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5.xml" ContentType="application/vnd.openxmlformats-officedocument.spreadsheetml.worksheet+xml"/>
  <Override PartName="/xl/chartsheets/sheet6.xml" ContentType="application/vnd.openxmlformats-officedocument.spreadsheetml.chartsheet+xml"/>
  <Override PartName="/xl/worksheets/sheet6.xml" ContentType="application/vnd.openxmlformats-officedocument.spreadsheetml.work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5.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charts/chart13.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0.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3.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addy\Documents\COMMITTE\Utah_Rivers\"/>
    </mc:Choice>
  </mc:AlternateContent>
  <bookViews>
    <workbookView xWindow="-15" yWindow="45" windowWidth="19230" windowHeight="5775" firstSheet="26" activeTab="30"/>
  </bookViews>
  <sheets>
    <sheet name="Cover" sheetId="56" r:id="rId1"/>
    <sheet name="Population Input" sheetId="101" r:id="rId2"/>
    <sheet name="Population Comparison" sheetId="100" r:id="rId3"/>
    <sheet name="Supply Input" sheetId="41" r:id="rId4"/>
    <sheet name="Water Supply Summary" sheetId="28" r:id="rId5"/>
    <sheet name="Water Supply and Demand" sheetId="106" r:id="rId6"/>
    <sheet name="Water Supply Evaporation" sheetId="104" r:id="rId7"/>
    <sheet name="Water Supply Evaporation Summ" sheetId="105" r:id="rId8"/>
    <sheet name="Water Evaporation and Demand" sheetId="107" r:id="rId9"/>
    <sheet name="Effective Capacity" sheetId="82" r:id="rId10"/>
    <sheet name="Water Supply, Demand, Buffer" sheetId="103" r:id="rId11"/>
    <sheet name="Conservation Input" sheetId="42" r:id="rId12"/>
    <sheet name="Water Conservation" sheetId="114" r:id="rId13"/>
    <sheet name="Conservation Adj S-D Balance" sheetId="112" r:id="rId14"/>
    <sheet name="Water Supply, Demand, Buff, Con" sheetId="110" r:id="rId15"/>
    <sheet name="Conservation Cost" sheetId="113" r:id="rId16"/>
    <sheet name="LPP Cost" sheetId="86" r:id="rId17"/>
    <sheet name="Interest Rate" sheetId="51" r:id="rId18"/>
    <sheet name="Economist Plan 1" sheetId="87" r:id="rId19"/>
    <sheet name="Economist Plan Exhibit" sheetId="115" r:id="rId20"/>
    <sheet name="Economist Plan Exhibit Cumul" sheetId="116" r:id="rId21"/>
    <sheet name="Economist Prepay (Plan 2)" sheetId="117" r:id="rId22"/>
    <sheet name="Economist Plan 2" sheetId="90" r:id="rId23"/>
    <sheet name="Economist Plan 2 Exhibit" sheetId="118" r:id="rId24"/>
    <sheet name="Economist Plan 2 Cumul Exhibit" sheetId="121" r:id="rId25"/>
    <sheet name="Econ Plan 2 Comps" sheetId="92" r:id="rId26"/>
    <sheet name="Construction Timing" sheetId="99" r:id="rId27"/>
    <sheet name="Supply &amp; Demand" sheetId="123" r:id="rId28"/>
    <sheet name="LPP Act Financing Plan" sheetId="96" r:id="rId29"/>
    <sheet name="LPP Act Financing Plan (2)" sheetId="134" r:id="rId30"/>
    <sheet name="LPP Act Financing Plan (3)" sheetId="135" r:id="rId31"/>
    <sheet name="Initial Capital Payment" sheetId="94" r:id="rId32"/>
    <sheet name="Incremental Repayments" sheetId="95" r:id="rId33"/>
    <sheet name="LPP Act Plan Exhibit" sheetId="124" r:id="rId34"/>
    <sheet name="Rate Costs" sheetId="130" r:id="rId35"/>
    <sheet name="Per Cap Fees" sheetId="125" r:id="rId36"/>
    <sheet name="Household Fees" sheetId="126" r:id="rId37"/>
    <sheet name="Impact Fees" sheetId="127" r:id="rId38"/>
    <sheet name="LPP &amp; Econ Summ" sheetId="131" r:id="rId39"/>
    <sheet name="LPP &amp; Oth Jur" sheetId="132" r:id="rId40"/>
    <sheet name="Dynamic Assumptions" sheetId="25" r:id="rId41"/>
    <sheet name="Summary Financial" sheetId="35" r:id="rId42"/>
    <sheet name="Dynamic Summary Financial" sheetId="36" r:id="rId43"/>
    <sheet name="Dynamic Population" sheetId="43" r:id="rId44"/>
    <sheet name="Dynamic Financing Summary" sheetId="14" r:id="rId45"/>
    <sheet name="LPP Annual Financing Costs" sheetId="13" r:id="rId46"/>
    <sheet name="Exhibit Data" sheetId="17" r:id="rId47"/>
    <sheet name="LPP Per Cap Annual Finan Costs" sheetId="22" r:id="rId48"/>
    <sheet name="LPP Cumulative Financing Costs" sheetId="15" r:id="rId49"/>
    <sheet name="Summary Baseline Data" sheetId="1" r:id="rId50"/>
    <sheet name="Economist Financing Model 1" sheetId="2" r:id="rId51"/>
    <sheet name="Economist Financing Model 2" sheetId="6" r:id="rId52"/>
    <sheet name="Underlying Assumptions" sheetId="3" r:id="rId53"/>
    <sheet name="Table of Contents" sheetId="9" r:id="rId54"/>
    <sheet name="Sheet1" sheetId="128" r:id="rId55"/>
    <sheet name="Rates in Oth Jurisdictions" sheetId="133" r:id="rId56"/>
  </sheets>
  <definedNames>
    <definedName name="Categories">'Underlying Assumptions'!$A$90:$A$95</definedName>
    <definedName name="DataCategoriesforSummaryPage">'Underlying Assumptions'!$A$90:$A$95</definedName>
    <definedName name="EcomomistInterestOptions">'Underlying Assumptions'!$A$98:$A$101</definedName>
    <definedName name="PayDebt">'Underlying Assumptions'!$F$90:$F$91</definedName>
    <definedName name="_xlnm.Print_Area" localSheetId="11">'Conservation Input'!$B$1:$L$32</definedName>
    <definedName name="_xlnm.Print_Area" localSheetId="26">'Construction Timing'!$A$1:$R$35</definedName>
    <definedName name="_xlnm.Print_Area" localSheetId="0">Cover!$A$1:$R$40</definedName>
    <definedName name="_xlnm.Print_Area" localSheetId="40">'Dynamic Assumptions'!$A$1:$G$10</definedName>
    <definedName name="_xlnm.Print_Area" localSheetId="44">'Dynamic Financing Summary'!$A$1:$J$80</definedName>
    <definedName name="_xlnm.Print_Area" localSheetId="43">'Dynamic Population'!$A$1:$AA$98</definedName>
    <definedName name="_xlnm.Print_Area" localSheetId="25">'Econ Plan 2 Comps'!$A$1:$L$14</definedName>
    <definedName name="_xlnm.Print_Area" localSheetId="50">'Economist Financing Model 1'!$A$1:$Z$77</definedName>
    <definedName name="_xlnm.Print_Area" localSheetId="51">'Economist Financing Model 2'!$A$1:$AD$148</definedName>
    <definedName name="_xlnm.Print_Area" localSheetId="18">'Economist Plan 1'!$A$1:$BA$63</definedName>
    <definedName name="_xlnm.Print_Area" localSheetId="22">'Economist Plan 2'!$A$1:$BH$47</definedName>
    <definedName name="_xlnm.Print_Area" localSheetId="21">'Economist Prepay (Plan 2)'!$A$1:$Q$23</definedName>
    <definedName name="_xlnm.Print_Area" localSheetId="9">'Effective Capacity'!$A$1:$N$29</definedName>
    <definedName name="_xlnm.Print_Area" localSheetId="32">'Incremental Repayments'!$A$1:$Z$43</definedName>
    <definedName name="_xlnm.Print_Area" localSheetId="31">'Initial Capital Payment'!$B$1:$H$24</definedName>
    <definedName name="_xlnm.Print_Area" localSheetId="17">'Interest Rate'!$A$1:$O$30</definedName>
    <definedName name="_xlnm.Print_Area" localSheetId="38">'LPP &amp; Econ Summ'!$A$1:$L$13</definedName>
    <definedName name="_xlnm.Print_Area" localSheetId="39">'LPP &amp; Oth Jur'!$A$1:$M$15</definedName>
    <definedName name="_xlnm.Print_Area" localSheetId="45">'LPP Annual Financing Costs'!$A$1:$N$80</definedName>
    <definedName name="_xlnm.Print_Area" localSheetId="16">'LPP Cost'!$A$1:$Q$28</definedName>
    <definedName name="_xlnm.Print_Area" localSheetId="48">'LPP Cumulative Financing Costs'!$A$1:$J$80</definedName>
    <definedName name="_xlnm.Print_Area" localSheetId="47">'LPP Per Cap Annual Finan Costs'!$A$1:$J$80</definedName>
    <definedName name="_xlnm.Print_Area" localSheetId="1">'Population Input'!$A$1:$O$32</definedName>
    <definedName name="_xlnm.Print_Area" localSheetId="49">'Summary Baseline Data'!$A$1:$AA$79</definedName>
    <definedName name="_xlnm.Print_Area" localSheetId="3">'Supply Input'!$A$1:$O$22</definedName>
    <definedName name="_xlnm.Print_Area" localSheetId="53">'Table of Contents'!$A$1:$X$18</definedName>
    <definedName name="_xlnm.Print_Area" localSheetId="52">'Underlying Assumptions'!$A$1:$F$80</definedName>
    <definedName name="_xlnm.Print_Area" localSheetId="6">'Water Supply Evaporation'!$A$1:$N$29</definedName>
    <definedName name="_xlnm.Print_Titles" localSheetId="44">'Dynamic Financing Summary'!$A:$A,'Dynamic Financing Summary'!$1:$9</definedName>
    <definedName name="_xlnm.Print_Titles" localSheetId="43">'Dynamic Population'!$1:$13</definedName>
    <definedName name="_xlnm.Print_Titles" localSheetId="50">'Economist Financing Model 1'!$A:$A</definedName>
    <definedName name="_xlnm.Print_Titles" localSheetId="51">'Economist Financing Model 2'!$A:$A</definedName>
    <definedName name="_xlnm.Print_Titles" localSheetId="18">'Economist Plan 1'!$A:$C</definedName>
    <definedName name="_xlnm.Print_Titles" localSheetId="22">'Economist Plan 2'!$A:$B,'Economist Plan 2'!$1:$1</definedName>
    <definedName name="_xlnm.Print_Titles" localSheetId="28">'LPP Act Financing Plan'!$A:$C,'LPP Act Financing Plan'!$1:$4</definedName>
    <definedName name="_xlnm.Print_Titles" localSheetId="29">'LPP Act Financing Plan (2)'!$A:$C,'LPP Act Financing Plan (2)'!$1:$4</definedName>
    <definedName name="_xlnm.Print_Titles" localSheetId="30">'LPP Act Financing Plan (3)'!$A:$C,'LPP Act Financing Plan (3)'!$1:$4</definedName>
    <definedName name="_xlnm.Print_Titles" localSheetId="45">'LPP Annual Financing Costs'!$A:$A,'LPP Annual Financing Costs'!$1:$9</definedName>
    <definedName name="_xlnm.Print_Titles" localSheetId="48">'LPP Cumulative Financing Costs'!$A:$A,'LPP Cumulative Financing Costs'!$1:$9</definedName>
    <definedName name="_xlnm.Print_Titles" localSheetId="47">'LPP Per Cap Annual Finan Costs'!$A:$A,'LPP Per Cap Annual Finan Costs'!$1:$9</definedName>
    <definedName name="_xlnm.Print_Titles" localSheetId="49">'Summary Baseline Data'!$A:$A,'Summary Baseline Data'!$1:$8</definedName>
    <definedName name="solver_adj" localSheetId="29" hidden="1">'LPP Act Financing Plan (2)'!#REF!</definedName>
    <definedName name="solver_adj" localSheetId="30" hidden="1">'LPP Act Financing Plan (3)'!#REF!</definedName>
    <definedName name="solver_cvg" localSheetId="29" hidden="1">0.0001</definedName>
    <definedName name="solver_cvg" localSheetId="30" hidden="1">0.0001</definedName>
    <definedName name="solver_drv" localSheetId="29" hidden="1">1</definedName>
    <definedName name="solver_drv" localSheetId="30" hidden="1">1</definedName>
    <definedName name="solver_eng" localSheetId="29" hidden="1">1</definedName>
    <definedName name="solver_eng" localSheetId="30" hidden="1">1</definedName>
    <definedName name="solver_est" localSheetId="29" hidden="1">1</definedName>
    <definedName name="solver_est" localSheetId="30" hidden="1">1</definedName>
    <definedName name="solver_itr" localSheetId="29" hidden="1">2147483647</definedName>
    <definedName name="solver_itr" localSheetId="30" hidden="1">2147483647</definedName>
    <definedName name="solver_mip" localSheetId="29" hidden="1">2147483647</definedName>
    <definedName name="solver_mip" localSheetId="30" hidden="1">2147483647</definedName>
    <definedName name="solver_mni" localSheetId="29" hidden="1">30</definedName>
    <definedName name="solver_mni" localSheetId="30" hidden="1">30</definedName>
    <definedName name="solver_mrt" localSheetId="29" hidden="1">0.075</definedName>
    <definedName name="solver_mrt" localSheetId="30" hidden="1">0.075</definedName>
    <definedName name="solver_msl" localSheetId="29" hidden="1">2</definedName>
    <definedName name="solver_msl" localSheetId="30" hidden="1">2</definedName>
    <definedName name="solver_neg" localSheetId="29" hidden="1">2</definedName>
    <definedName name="solver_neg" localSheetId="30" hidden="1">2</definedName>
    <definedName name="solver_nod" localSheetId="29" hidden="1">2147483647</definedName>
    <definedName name="solver_nod" localSheetId="30" hidden="1">2147483647</definedName>
    <definedName name="solver_num" localSheetId="29" hidden="1">0</definedName>
    <definedName name="solver_num" localSheetId="30" hidden="1">0</definedName>
    <definedName name="solver_nwt" localSheetId="29" hidden="1">1</definedName>
    <definedName name="solver_nwt" localSheetId="30" hidden="1">1</definedName>
    <definedName name="solver_opt" localSheetId="29" hidden="1">'LPP Act Financing Plan (2)'!#REF!</definedName>
    <definedName name="solver_opt" localSheetId="30" hidden="1">'LPP Act Financing Plan (3)'!#REF!</definedName>
    <definedName name="solver_pre" localSheetId="29" hidden="1">0.000001</definedName>
    <definedName name="solver_pre" localSheetId="30" hidden="1">0.000001</definedName>
    <definedName name="solver_rbv" localSheetId="29" hidden="1">1</definedName>
    <definedName name="solver_rbv" localSheetId="30" hidden="1">1</definedName>
    <definedName name="solver_rlx" localSheetId="29" hidden="1">2</definedName>
    <definedName name="solver_rlx" localSheetId="30" hidden="1">2</definedName>
    <definedName name="solver_rsd" localSheetId="29" hidden="1">0</definedName>
    <definedName name="solver_rsd" localSheetId="30" hidden="1">0</definedName>
    <definedName name="solver_scl" localSheetId="29" hidden="1">1</definedName>
    <definedName name="solver_scl" localSheetId="30" hidden="1">1</definedName>
    <definedName name="solver_sho" localSheetId="29" hidden="1">2</definedName>
    <definedName name="solver_sho" localSheetId="30" hidden="1">2</definedName>
    <definedName name="solver_ssz" localSheetId="29" hidden="1">100</definedName>
    <definedName name="solver_ssz" localSheetId="30" hidden="1">100</definedName>
    <definedName name="solver_tim" localSheetId="29" hidden="1">2147483647</definedName>
    <definedName name="solver_tim" localSheetId="30" hidden="1">2147483647</definedName>
    <definedName name="solver_tol" localSheetId="29" hidden="1">0.01</definedName>
    <definedName name="solver_tol" localSheetId="30" hidden="1">0.01</definedName>
    <definedName name="solver_typ" localSheetId="29" hidden="1">3</definedName>
    <definedName name="solver_typ" localSheetId="30" hidden="1">3</definedName>
    <definedName name="solver_val" localSheetId="29" hidden="1">1</definedName>
    <definedName name="solver_val" localSheetId="30" hidden="1">1</definedName>
    <definedName name="solver_ver" localSheetId="29" hidden="1">3</definedName>
    <definedName name="solver_ver" localSheetId="30" hidden="1">3</definedName>
  </definedNames>
  <calcPr calcId="152511"/>
</workbook>
</file>

<file path=xl/calcChain.xml><?xml version="1.0" encoding="utf-8"?>
<calcChain xmlns="http://schemas.openxmlformats.org/spreadsheetml/2006/main">
  <c r="J273" i="135" l="1"/>
  <c r="J274" i="135"/>
  <c r="J275" i="135"/>
  <c r="J276" i="135"/>
  <c r="J277" i="135"/>
  <c r="J280" i="135"/>
  <c r="J278" i="135"/>
  <c r="J281" i="135"/>
  <c r="J295" i="135"/>
  <c r="J294" i="135"/>
  <c r="J293" i="135"/>
  <c r="J292" i="135"/>
  <c r="J291" i="135"/>
  <c r="J290" i="135"/>
  <c r="J289" i="135"/>
  <c r="J279" i="135"/>
  <c r="J282" i="135"/>
  <c r="J283" i="135"/>
  <c r="J284" i="135"/>
  <c r="J285" i="135"/>
  <c r="J286" i="135"/>
  <c r="J287" i="135"/>
  <c r="J288" i="135"/>
  <c r="O190" i="135"/>
  <c r="O191" i="135"/>
  <c r="O192" i="135"/>
  <c r="O193" i="135"/>
  <c r="O194" i="135"/>
  <c r="O195" i="135"/>
  <c r="O196" i="135"/>
  <c r="O197" i="135"/>
  <c r="O198" i="135"/>
  <c r="O199" i="135"/>
  <c r="O200" i="135"/>
  <c r="O201" i="135"/>
  <c r="O202" i="135"/>
  <c r="O203" i="135"/>
  <c r="O204" i="135"/>
  <c r="O205" i="135"/>
  <c r="O206" i="135"/>
  <c r="O207" i="135"/>
  <c r="O208" i="135"/>
  <c r="O209" i="135"/>
  <c r="O210" i="135"/>
  <c r="O211" i="135"/>
  <c r="O212" i="135"/>
  <c r="O213" i="135"/>
  <c r="O214" i="135"/>
  <c r="O215" i="135"/>
  <c r="O216" i="135"/>
  <c r="O217" i="135"/>
  <c r="O218" i="135"/>
  <c r="O219" i="135"/>
  <c r="O220" i="135"/>
  <c r="O221" i="135"/>
  <c r="O222" i="135"/>
  <c r="O223" i="135"/>
  <c r="O224" i="135"/>
  <c r="O225" i="135"/>
  <c r="O226" i="135"/>
  <c r="O227" i="135"/>
  <c r="O228" i="135"/>
  <c r="O229" i="135"/>
  <c r="O230" i="135"/>
  <c r="O231" i="135"/>
  <c r="O232" i="135"/>
  <c r="O233" i="135"/>
  <c r="O234" i="135"/>
  <c r="O235" i="135"/>
  <c r="O236" i="135"/>
  <c r="O237" i="135"/>
  <c r="O238" i="135"/>
  <c r="O239" i="135"/>
  <c r="O240" i="135"/>
  <c r="O241" i="135"/>
  <c r="O242" i="135"/>
  <c r="O243" i="135"/>
  <c r="O244" i="135"/>
  <c r="O245" i="135"/>
  <c r="O246" i="135"/>
  <c r="O247" i="135"/>
  <c r="O248" i="135"/>
  <c r="O249" i="135"/>
  <c r="O250" i="135"/>
  <c r="O251" i="135"/>
  <c r="O252" i="135"/>
  <c r="O253" i="135"/>
  <c r="O254" i="135"/>
  <c r="O255" i="135"/>
  <c r="O256" i="135"/>
  <c r="O257" i="135"/>
  <c r="O258" i="135"/>
  <c r="O259" i="135"/>
  <c r="O260" i="135"/>
  <c r="O261" i="135"/>
  <c r="O262" i="135"/>
  <c r="O263" i="135"/>
  <c r="O264" i="135"/>
  <c r="N190" i="135"/>
  <c r="N191" i="135"/>
  <c r="N192" i="135"/>
  <c r="N193" i="135"/>
  <c r="N194" i="135"/>
  <c r="N195" i="135"/>
  <c r="N196" i="135"/>
  <c r="N197" i="135"/>
  <c r="N198" i="135"/>
  <c r="N199" i="135"/>
  <c r="N200" i="135"/>
  <c r="N201" i="135"/>
  <c r="N202" i="135"/>
  <c r="N203" i="135"/>
  <c r="N204" i="135"/>
  <c r="N205" i="135"/>
  <c r="N206" i="135"/>
  <c r="N207" i="135"/>
  <c r="N208" i="135"/>
  <c r="N209" i="135"/>
  <c r="N210" i="135"/>
  <c r="N211" i="135"/>
  <c r="N212" i="135"/>
  <c r="N213" i="135"/>
  <c r="N214" i="135"/>
  <c r="N215" i="135"/>
  <c r="N216" i="135"/>
  <c r="N217" i="135"/>
  <c r="N218" i="135"/>
  <c r="N219" i="135"/>
  <c r="N220" i="135"/>
  <c r="N221" i="135"/>
  <c r="N222" i="135"/>
  <c r="N223" i="135"/>
  <c r="N224" i="135"/>
  <c r="N225" i="135"/>
  <c r="N226" i="135"/>
  <c r="N227" i="135"/>
  <c r="N228" i="135"/>
  <c r="N229" i="135"/>
  <c r="N230" i="135"/>
  <c r="N231" i="135"/>
  <c r="N232" i="135"/>
  <c r="N233" i="135"/>
  <c r="N234" i="135"/>
  <c r="N235" i="135"/>
  <c r="N236" i="135"/>
  <c r="N237" i="135"/>
  <c r="N238" i="135"/>
  <c r="N239" i="135"/>
  <c r="N240" i="135"/>
  <c r="N241" i="135"/>
  <c r="N242" i="135"/>
  <c r="N243" i="135"/>
  <c r="N244" i="135"/>
  <c r="N245" i="135"/>
  <c r="N246" i="135"/>
  <c r="N247" i="135"/>
  <c r="N248" i="135"/>
  <c r="N249" i="135"/>
  <c r="N250" i="135"/>
  <c r="N251" i="135"/>
  <c r="N252" i="135"/>
  <c r="N253" i="135"/>
  <c r="N254" i="135"/>
  <c r="N255" i="135"/>
  <c r="N256" i="135"/>
  <c r="N257" i="135"/>
  <c r="N258" i="135"/>
  <c r="N259" i="135"/>
  <c r="N260" i="135"/>
  <c r="N261" i="135"/>
  <c r="N262" i="135"/>
  <c r="N263" i="135"/>
  <c r="N264" i="135"/>
  <c r="O189" i="135"/>
  <c r="N189" i="135"/>
  <c r="J235" i="135" l="1"/>
  <c r="J236" i="135"/>
  <c r="J237" i="135"/>
  <c r="J238" i="135"/>
  <c r="J239" i="135"/>
  <c r="J240" i="135"/>
  <c r="J241" i="135"/>
  <c r="J242" i="135"/>
  <c r="J243" i="135"/>
  <c r="J244" i="135"/>
  <c r="J245" i="135"/>
  <c r="J246" i="135"/>
  <c r="J247" i="135"/>
  <c r="J248" i="135"/>
  <c r="J249" i="135"/>
  <c r="J250" i="135"/>
  <c r="J251" i="135"/>
  <c r="J252" i="135"/>
  <c r="J253" i="135"/>
  <c r="J254" i="135"/>
  <c r="J255" i="135"/>
  <c r="J256" i="135"/>
  <c r="J257" i="135"/>
  <c r="J258" i="135"/>
  <c r="J259" i="135"/>
  <c r="J260" i="135"/>
  <c r="J261" i="135"/>
  <c r="J262" i="135"/>
  <c r="J263" i="135"/>
  <c r="J264" i="135"/>
  <c r="J190" i="135"/>
  <c r="J191" i="135"/>
  <c r="J192" i="135"/>
  <c r="J193" i="135"/>
  <c r="J194" i="135"/>
  <c r="J195" i="135"/>
  <c r="J196" i="135"/>
  <c r="J197" i="135"/>
  <c r="J198" i="135"/>
  <c r="J199" i="135"/>
  <c r="J200" i="135"/>
  <c r="J201" i="135"/>
  <c r="J202" i="135"/>
  <c r="J203" i="135"/>
  <c r="J204" i="135"/>
  <c r="J205" i="135"/>
  <c r="J206" i="135"/>
  <c r="J207" i="135"/>
  <c r="J208" i="135"/>
  <c r="J209" i="135"/>
  <c r="J210" i="135"/>
  <c r="J211" i="135"/>
  <c r="J212" i="135"/>
  <c r="J213" i="135"/>
  <c r="J214" i="135"/>
  <c r="J215" i="135"/>
  <c r="J216" i="135"/>
  <c r="J217" i="135"/>
  <c r="J218" i="135"/>
  <c r="J219" i="135"/>
  <c r="J220" i="135"/>
  <c r="J221" i="135"/>
  <c r="J222" i="135"/>
  <c r="J223" i="135"/>
  <c r="J224" i="135"/>
  <c r="J225" i="135"/>
  <c r="J226" i="135"/>
  <c r="J227" i="135"/>
  <c r="J228" i="135"/>
  <c r="J229" i="135"/>
  <c r="J230" i="135"/>
  <c r="J231" i="135"/>
  <c r="J232" i="135"/>
  <c r="J233" i="135"/>
  <c r="J234" i="135"/>
  <c r="J189" i="135"/>
  <c r="CD6" i="96" l="1"/>
  <c r="BU6" i="96"/>
  <c r="BV6" i="96"/>
  <c r="BW6" i="96"/>
  <c r="BX6" i="96"/>
  <c r="BY6" i="96"/>
  <c r="BZ6" i="96"/>
  <c r="CA6" i="96"/>
  <c r="CB6" i="96"/>
  <c r="CC6" i="96"/>
  <c r="C150" i="135" l="1"/>
  <c r="G140" i="135" l="1"/>
  <c r="H140" i="135" s="1"/>
  <c r="I140" i="135" s="1"/>
  <c r="J140" i="135" s="1"/>
  <c r="K140" i="135" s="1"/>
  <c r="L140" i="135" s="1"/>
  <c r="M140" i="135" s="1"/>
  <c r="N140" i="135" s="1"/>
  <c r="O140" i="135" s="1"/>
  <c r="P140" i="135" s="1"/>
  <c r="Q140" i="135" s="1"/>
  <c r="R140" i="135" s="1"/>
  <c r="S140" i="135" s="1"/>
  <c r="T140" i="135" s="1"/>
  <c r="U140" i="135" s="1"/>
  <c r="V140" i="135" s="1"/>
  <c r="W140" i="135" s="1"/>
  <c r="X140" i="135" s="1"/>
  <c r="Y140" i="135" s="1"/>
  <c r="Z140" i="135" s="1"/>
  <c r="AA140" i="135" s="1"/>
  <c r="AB140" i="135" s="1"/>
  <c r="AC140" i="135" s="1"/>
  <c r="AD140" i="135" s="1"/>
  <c r="AE140" i="135" s="1"/>
  <c r="AF140" i="135" s="1"/>
  <c r="AG140" i="135" s="1"/>
  <c r="AH140" i="135" s="1"/>
  <c r="AI140" i="135" s="1"/>
  <c r="AJ140" i="135" s="1"/>
  <c r="AK140" i="135" s="1"/>
  <c r="AL140" i="135" s="1"/>
  <c r="AM140" i="135" s="1"/>
  <c r="AN140" i="135" s="1"/>
  <c r="AO140" i="135" s="1"/>
  <c r="AP140" i="135" s="1"/>
  <c r="AQ140" i="135" s="1"/>
  <c r="AR140" i="135" s="1"/>
  <c r="AS140" i="135" s="1"/>
  <c r="AT140" i="135" s="1"/>
  <c r="AU140" i="135" s="1"/>
  <c r="AV140" i="135" s="1"/>
  <c r="AW140" i="135" s="1"/>
  <c r="AX140" i="135" s="1"/>
  <c r="AY140" i="135" s="1"/>
  <c r="AZ140" i="135" s="1"/>
  <c r="BA140" i="135" s="1"/>
  <c r="BB140" i="135" s="1"/>
  <c r="BC140" i="135" s="1"/>
  <c r="BD140" i="135" s="1"/>
  <c r="BE140" i="135" s="1"/>
  <c r="BF140" i="135" s="1"/>
  <c r="BG140" i="135" s="1"/>
  <c r="BH140" i="135" s="1"/>
  <c r="BI140" i="135" s="1"/>
  <c r="BJ140" i="135" s="1"/>
  <c r="BK140" i="135" s="1"/>
  <c r="BL140" i="135" s="1"/>
  <c r="BM140" i="135" s="1"/>
  <c r="BN140" i="135" s="1"/>
  <c r="BO140" i="135" s="1"/>
  <c r="BP140" i="135" s="1"/>
  <c r="BQ140" i="135" s="1"/>
  <c r="BR140" i="135" s="1"/>
  <c r="BS140" i="135" s="1"/>
  <c r="BT140" i="135" s="1"/>
  <c r="BU140" i="135" s="1"/>
  <c r="BV140" i="135" s="1"/>
  <c r="BW140" i="135" s="1"/>
  <c r="BX140" i="135" s="1"/>
  <c r="BY140" i="135" s="1"/>
  <c r="BZ140" i="135" s="1"/>
  <c r="CA140" i="135" s="1"/>
  <c r="CB140" i="135" s="1"/>
  <c r="CC140" i="135" s="1"/>
  <c r="X138" i="135" l="1"/>
  <c r="Y138" i="135" s="1"/>
  <c r="E125" i="135"/>
  <c r="E131" i="135" s="1"/>
  <c r="E124" i="135"/>
  <c r="D54" i="135"/>
  <c r="B54" i="135" s="1"/>
  <c r="E53" i="135"/>
  <c r="B53" i="135"/>
  <c r="E52" i="135"/>
  <c r="E30" i="135"/>
  <c r="E28" i="135"/>
  <c r="E29" i="135" s="1"/>
  <c r="E27" i="135"/>
  <c r="CP21" i="135"/>
  <c r="CO21" i="135"/>
  <c r="CN21" i="135"/>
  <c r="E19" i="135"/>
  <c r="CM18" i="135"/>
  <c r="CL18" i="135"/>
  <c r="CK18" i="135"/>
  <c r="CJ18" i="135"/>
  <c r="CI18" i="135"/>
  <c r="CH18" i="135"/>
  <c r="CG18" i="135"/>
  <c r="CF18" i="135"/>
  <c r="CE18" i="135"/>
  <c r="E17" i="135"/>
  <c r="E18" i="135" s="1"/>
  <c r="E15" i="135"/>
  <c r="E14" i="135"/>
  <c r="E20" i="135" s="1"/>
  <c r="CC12" i="135"/>
  <c r="CB12" i="135"/>
  <c r="CA12" i="135"/>
  <c r="BZ12" i="135"/>
  <c r="BY12" i="135"/>
  <c r="BX12" i="135"/>
  <c r="BW12" i="135"/>
  <c r="BV12" i="135"/>
  <c r="BU12" i="135"/>
  <c r="BT12" i="135"/>
  <c r="BS12" i="135"/>
  <c r="BR12" i="135"/>
  <c r="BQ12" i="135"/>
  <c r="BP12" i="135"/>
  <c r="BO12" i="135"/>
  <c r="BN12" i="135"/>
  <c r="BM12" i="135"/>
  <c r="BL12" i="135"/>
  <c r="BK12" i="135"/>
  <c r="BJ12" i="135"/>
  <c r="BI12" i="135"/>
  <c r="BH12" i="135"/>
  <c r="BG12" i="135"/>
  <c r="BF12" i="135"/>
  <c r="BE12" i="135"/>
  <c r="BD12" i="135"/>
  <c r="BC12" i="135"/>
  <c r="BB12" i="135"/>
  <c r="BA12" i="135"/>
  <c r="AZ12" i="135"/>
  <c r="AY12" i="135"/>
  <c r="AX12" i="135"/>
  <c r="AW12" i="135"/>
  <c r="AV12" i="135"/>
  <c r="AU12" i="135"/>
  <c r="AT12" i="135"/>
  <c r="AS12" i="135"/>
  <c r="AR12" i="135"/>
  <c r="AQ12" i="135"/>
  <c r="AP12" i="135"/>
  <c r="AO12" i="135"/>
  <c r="AN12" i="135"/>
  <c r="AM12" i="135"/>
  <c r="AL12" i="135"/>
  <c r="AK12" i="135"/>
  <c r="AJ12" i="135"/>
  <c r="AI12" i="135"/>
  <c r="AH12" i="135"/>
  <c r="AG12" i="135"/>
  <c r="AF12" i="135"/>
  <c r="AE12" i="135"/>
  <c r="AD12" i="135"/>
  <c r="AC12" i="135"/>
  <c r="AB12" i="135"/>
  <c r="AA12" i="135"/>
  <c r="Z12" i="135"/>
  <c r="Y12" i="135"/>
  <c r="X12" i="135"/>
  <c r="W12" i="135"/>
  <c r="V12" i="135"/>
  <c r="U12" i="135"/>
  <c r="T12" i="135"/>
  <c r="S12" i="135"/>
  <c r="R12" i="135"/>
  <c r="Q12" i="135"/>
  <c r="P12" i="135"/>
  <c r="O12" i="135"/>
  <c r="N12" i="135"/>
  <c r="M12" i="135"/>
  <c r="L12" i="135"/>
  <c r="K12" i="135"/>
  <c r="J12" i="135"/>
  <c r="I12" i="135"/>
  <c r="H12" i="135"/>
  <c r="G12" i="135"/>
  <c r="F12" i="135"/>
  <c r="E12" i="135"/>
  <c r="CC9" i="135"/>
  <c r="CB9" i="135"/>
  <c r="CA9" i="135"/>
  <c r="BZ9" i="135"/>
  <c r="BY9" i="135"/>
  <c r="BX9" i="135"/>
  <c r="BW9" i="135"/>
  <c r="BV9" i="135"/>
  <c r="BU9" i="135"/>
  <c r="BT9" i="135"/>
  <c r="BS9" i="135"/>
  <c r="BR9" i="135"/>
  <c r="BQ9" i="135"/>
  <c r="BP9" i="135"/>
  <c r="BO9" i="135"/>
  <c r="BN9" i="135"/>
  <c r="BM9" i="135"/>
  <c r="BL9" i="135"/>
  <c r="BK9" i="135"/>
  <c r="BJ9" i="135"/>
  <c r="BI9" i="135"/>
  <c r="BH9" i="135"/>
  <c r="BG9" i="135"/>
  <c r="BF9" i="135"/>
  <c r="BE9" i="135"/>
  <c r="BD9" i="135"/>
  <c r="BC9" i="135"/>
  <c r="BB9" i="135"/>
  <c r="BA9" i="135"/>
  <c r="AZ9" i="135"/>
  <c r="AY9" i="135"/>
  <c r="AX9" i="135"/>
  <c r="AW9" i="135"/>
  <c r="AV9" i="135"/>
  <c r="AU9" i="135"/>
  <c r="AT9"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J9" i="135"/>
  <c r="I9" i="135"/>
  <c r="H9" i="135"/>
  <c r="G9" i="135"/>
  <c r="F9" i="135"/>
  <c r="E9" i="135"/>
  <c r="CC7" i="135"/>
  <c r="CB7" i="135"/>
  <c r="CA7" i="135"/>
  <c r="BZ7" i="135"/>
  <c r="BY7" i="135"/>
  <c r="BX7" i="135"/>
  <c r="BW7" i="135"/>
  <c r="BV7" i="135"/>
  <c r="BU7" i="135"/>
  <c r="BT7" i="135"/>
  <c r="BS7" i="135"/>
  <c r="BR7" i="135"/>
  <c r="BQ7" i="135"/>
  <c r="BP7" i="135"/>
  <c r="BO7" i="135"/>
  <c r="BN7" i="135"/>
  <c r="BM7" i="135"/>
  <c r="BL7" i="135"/>
  <c r="BK7" i="135"/>
  <c r="BJ7" i="135"/>
  <c r="BI7" i="135"/>
  <c r="BH7" i="135"/>
  <c r="BG7" i="135"/>
  <c r="BF7" i="135"/>
  <c r="BE7" i="135"/>
  <c r="BD7" i="135"/>
  <c r="BC7" i="135"/>
  <c r="BB7" i="135"/>
  <c r="BA7" i="135"/>
  <c r="AZ7" i="135"/>
  <c r="AY7" i="135"/>
  <c r="AX7" i="135"/>
  <c r="AW7" i="135"/>
  <c r="AV7" i="135"/>
  <c r="AU7" i="135"/>
  <c r="AT7" i="135"/>
  <c r="AS7" i="135"/>
  <c r="AR7" i="135"/>
  <c r="AQ7" i="135"/>
  <c r="AP7" i="135"/>
  <c r="AO7" i="135"/>
  <c r="AN7" i="135"/>
  <c r="AM7" i="135"/>
  <c r="AL7" i="135"/>
  <c r="AK7" i="135"/>
  <c r="AJ7" i="135"/>
  <c r="AI7" i="135"/>
  <c r="AH7" i="135"/>
  <c r="AG7" i="135"/>
  <c r="AF7" i="135"/>
  <c r="AE7" i="135"/>
  <c r="AD7" i="135"/>
  <c r="AC7" i="135"/>
  <c r="AB7" i="135"/>
  <c r="AA7" i="135"/>
  <c r="Z7" i="135"/>
  <c r="Y7" i="135"/>
  <c r="X7" i="135"/>
  <c r="W7" i="135"/>
  <c r="V7" i="135"/>
  <c r="U7" i="135"/>
  <c r="T7" i="135"/>
  <c r="S7" i="135"/>
  <c r="R7" i="135"/>
  <c r="Q7" i="135"/>
  <c r="P7" i="135"/>
  <c r="O7" i="135"/>
  <c r="N7" i="135"/>
  <c r="M7" i="135"/>
  <c r="L7" i="135"/>
  <c r="K7" i="135"/>
  <c r="J7" i="135"/>
  <c r="I7" i="135"/>
  <c r="H7" i="135"/>
  <c r="G7" i="135"/>
  <c r="F7" i="135"/>
  <c r="E7" i="135"/>
  <c r="E8" i="135" s="1"/>
  <c r="CC6" i="135"/>
  <c r="CB6" i="135"/>
  <c r="CA6" i="135"/>
  <c r="BZ6" i="135"/>
  <c r="BY6" i="135"/>
  <c r="BX6" i="135"/>
  <c r="BW6" i="135"/>
  <c r="BV6" i="135"/>
  <c r="BU6" i="135"/>
  <c r="BT6" i="135"/>
  <c r="BS6" i="135"/>
  <c r="BR6" i="135"/>
  <c r="BQ6" i="135"/>
  <c r="BP6" i="135"/>
  <c r="BO6" i="135"/>
  <c r="BN6" i="135"/>
  <c r="BM6" i="135"/>
  <c r="BL6" i="135"/>
  <c r="BK6" i="135"/>
  <c r="BJ6" i="135"/>
  <c r="BI6" i="135"/>
  <c r="BH6" i="135"/>
  <c r="BG6" i="135"/>
  <c r="BF6" i="135"/>
  <c r="BE6" i="135"/>
  <c r="BD6" i="135"/>
  <c r="BC6" i="135"/>
  <c r="BB6" i="135"/>
  <c r="BA6" i="135"/>
  <c r="AZ6" i="135"/>
  <c r="AY6" i="135"/>
  <c r="AX6" i="135"/>
  <c r="AW6" i="135"/>
  <c r="AV6" i="135"/>
  <c r="AU6" i="135"/>
  <c r="AT6" i="135"/>
  <c r="AS6" i="135"/>
  <c r="AR6" i="135"/>
  <c r="AQ6" i="135"/>
  <c r="AP6" i="135"/>
  <c r="AO6" i="135"/>
  <c r="AN6" i="135"/>
  <c r="AM6" i="135"/>
  <c r="AL6" i="135"/>
  <c r="AK6" i="135"/>
  <c r="AJ6" i="135"/>
  <c r="AI6" i="135"/>
  <c r="AH6" i="135"/>
  <c r="AG6" i="135"/>
  <c r="AF6" i="135"/>
  <c r="AE6" i="135"/>
  <c r="AD6" i="135"/>
  <c r="AC6" i="135"/>
  <c r="AB6" i="135"/>
  <c r="AA6" i="135"/>
  <c r="Z6" i="135"/>
  <c r="Y6" i="135"/>
  <c r="X6" i="135"/>
  <c r="W6" i="135"/>
  <c r="V6" i="135"/>
  <c r="U6" i="135"/>
  <c r="T6" i="135"/>
  <c r="S6" i="135"/>
  <c r="R6" i="135"/>
  <c r="Q6" i="135"/>
  <c r="P6" i="135"/>
  <c r="O6" i="135"/>
  <c r="N6" i="135"/>
  <c r="M6" i="135"/>
  <c r="L6" i="135"/>
  <c r="K6" i="135"/>
  <c r="J6" i="135"/>
  <c r="I6" i="135"/>
  <c r="H6" i="135"/>
  <c r="G6" i="135"/>
  <c r="F6" i="135"/>
  <c r="E6" i="135"/>
  <c r="F4" i="135"/>
  <c r="BO10" i="135" l="1"/>
  <c r="S10" i="135"/>
  <c r="S156" i="135" s="1"/>
  <c r="M10" i="135"/>
  <c r="M156" i="135" s="1"/>
  <c r="Y10" i="135"/>
  <c r="Y156" i="135" s="1"/>
  <c r="AK10" i="135"/>
  <c r="AK156" i="135" s="1"/>
  <c r="AW10" i="135"/>
  <c r="AW156" i="135" s="1"/>
  <c r="BI10" i="135"/>
  <c r="W10" i="135"/>
  <c r="BS10" i="135"/>
  <c r="AV10" i="135"/>
  <c r="AL10" i="135"/>
  <c r="BJ10" i="135"/>
  <c r="BK10" i="135"/>
  <c r="E10" i="135"/>
  <c r="Q10" i="135"/>
  <c r="AC10" i="135"/>
  <c r="AC156" i="135" s="1"/>
  <c r="AO10" i="135"/>
  <c r="BA10" i="135"/>
  <c r="BM10" i="135"/>
  <c r="BY10" i="135"/>
  <c r="G4" i="135"/>
  <c r="F10" i="135"/>
  <c r="R10" i="135"/>
  <c r="AD10" i="135"/>
  <c r="AP10" i="135"/>
  <c r="BB10" i="135"/>
  <c r="BN10" i="135"/>
  <c r="BZ10" i="135"/>
  <c r="BZ156" i="135" s="1"/>
  <c r="AI10" i="135"/>
  <c r="BG10" i="135"/>
  <c r="L10" i="135"/>
  <c r="AJ10" i="135"/>
  <c r="BT10" i="135"/>
  <c r="I10" i="135"/>
  <c r="AG10" i="135"/>
  <c r="AS10" i="135"/>
  <c r="BE10" i="135"/>
  <c r="BQ10" i="135"/>
  <c r="CC10" i="135"/>
  <c r="K10" i="135"/>
  <c r="AU10" i="135"/>
  <c r="X10" i="135"/>
  <c r="BH10" i="135"/>
  <c r="H10" i="135"/>
  <c r="AR10" i="135"/>
  <c r="CB10" i="135"/>
  <c r="T10" i="135"/>
  <c r="AF10" i="135"/>
  <c r="BD10" i="135"/>
  <c r="BP10" i="135"/>
  <c r="BU10" i="135"/>
  <c r="AX10" i="135"/>
  <c r="O10" i="135"/>
  <c r="O156" i="135" s="1"/>
  <c r="AA10" i="135"/>
  <c r="AM10" i="135"/>
  <c r="AY10" i="135"/>
  <c r="BW10" i="135"/>
  <c r="P10" i="135"/>
  <c r="AB10" i="135"/>
  <c r="AN10" i="135"/>
  <c r="AZ10" i="135"/>
  <c r="BL10" i="135"/>
  <c r="BX10" i="135"/>
  <c r="E16" i="135"/>
  <c r="G10" i="135"/>
  <c r="AE10" i="135"/>
  <c r="AQ10" i="135"/>
  <c r="BC10" i="135"/>
  <c r="CA10" i="135"/>
  <c r="AC13" i="135"/>
  <c r="D55" i="135"/>
  <c r="B55" i="135" s="1"/>
  <c r="E21" i="135"/>
  <c r="E22" i="135" s="1"/>
  <c r="J10" i="135"/>
  <c r="V10" i="135"/>
  <c r="AH10" i="135"/>
  <c r="AT10" i="135"/>
  <c r="BF10" i="135"/>
  <c r="BR10" i="135"/>
  <c r="N10" i="135"/>
  <c r="Z10" i="135"/>
  <c r="BV10" i="135"/>
  <c r="S13" i="135"/>
  <c r="AW13" i="135"/>
  <c r="U10" i="135"/>
  <c r="F52" i="135"/>
  <c r="F141" i="135" s="1"/>
  <c r="F54" i="135"/>
  <c r="F53" i="135"/>
  <c r="F28" i="135"/>
  <c r="F29" i="135" s="1"/>
  <c r="F30" i="135"/>
  <c r="F39" i="135"/>
  <c r="F19" i="135"/>
  <c r="F15" i="135"/>
  <c r="F14" i="135"/>
  <c r="F17" i="135"/>
  <c r="F18" i="135" s="1"/>
  <c r="M13" i="135"/>
  <c r="Y13" i="135"/>
  <c r="AK13" i="135"/>
  <c r="E39" i="135"/>
  <c r="E40" i="135" s="1"/>
  <c r="F8" i="135"/>
  <c r="G8" i="135" s="1"/>
  <c r="H8" i="135" s="1"/>
  <c r="I8" i="135" s="1"/>
  <c r="J8" i="135" s="1"/>
  <c r="K8" i="135" s="1"/>
  <c r="L8" i="135" s="1"/>
  <c r="M8" i="135" s="1"/>
  <c r="N8" i="135" s="1"/>
  <c r="O8" i="135" s="1"/>
  <c r="P8" i="135" s="1"/>
  <c r="Q8" i="135" s="1"/>
  <c r="R8" i="135" s="1"/>
  <c r="S8" i="135" s="1"/>
  <c r="T8" i="135" s="1"/>
  <c r="U8" i="135" s="1"/>
  <c r="V8" i="135" s="1"/>
  <c r="W8" i="135" s="1"/>
  <c r="X8" i="135" s="1"/>
  <c r="Y8" i="135" s="1"/>
  <c r="Z8" i="135" s="1"/>
  <c r="AA8" i="135" s="1"/>
  <c r="AB8" i="135" s="1"/>
  <c r="AC8" i="135" s="1"/>
  <c r="AD8" i="135" s="1"/>
  <c r="AE8" i="135" s="1"/>
  <c r="AF8" i="135" s="1"/>
  <c r="AG8" i="135" s="1"/>
  <c r="AH8" i="135" s="1"/>
  <c r="AI8" i="135" s="1"/>
  <c r="AJ8" i="135" s="1"/>
  <c r="AK8" i="135" s="1"/>
  <c r="AL8" i="135" s="1"/>
  <c r="AM8" i="135" s="1"/>
  <c r="AN8" i="135" s="1"/>
  <c r="AO8" i="135" s="1"/>
  <c r="AP8" i="135" s="1"/>
  <c r="AQ8" i="135" s="1"/>
  <c r="AR8" i="135" s="1"/>
  <c r="AS8" i="135" s="1"/>
  <c r="AT8" i="135" s="1"/>
  <c r="AU8" i="135" s="1"/>
  <c r="AV8" i="135" s="1"/>
  <c r="AW8" i="135" s="1"/>
  <c r="AX8" i="135" s="1"/>
  <c r="AY8" i="135" s="1"/>
  <c r="AZ8" i="135" s="1"/>
  <c r="BA8" i="135" s="1"/>
  <c r="BB8" i="135" s="1"/>
  <c r="BC8" i="135" s="1"/>
  <c r="BD8" i="135" s="1"/>
  <c r="BE8" i="135" s="1"/>
  <c r="BF8" i="135" s="1"/>
  <c r="BG8" i="135" s="1"/>
  <c r="BH8" i="135" s="1"/>
  <c r="BI8" i="135" s="1"/>
  <c r="BJ8" i="135" s="1"/>
  <c r="BK8" i="135" s="1"/>
  <c r="BL8" i="135" s="1"/>
  <c r="BM8" i="135" s="1"/>
  <c r="BN8" i="135" s="1"/>
  <c r="BO8" i="135" s="1"/>
  <c r="BP8" i="135" s="1"/>
  <c r="BQ8" i="135" s="1"/>
  <c r="BR8" i="135" s="1"/>
  <c r="BS8" i="135" s="1"/>
  <c r="BT8" i="135" s="1"/>
  <c r="BU8" i="135" s="1"/>
  <c r="BV8" i="135" s="1"/>
  <c r="BW8" i="135" s="1"/>
  <c r="BX8" i="135" s="1"/>
  <c r="BY8" i="135" s="1"/>
  <c r="BZ8" i="135" s="1"/>
  <c r="CA8" i="135" s="1"/>
  <c r="CB8" i="135" s="1"/>
  <c r="CC8" i="135" s="1"/>
  <c r="BZ13" i="135"/>
  <c r="O13" i="135"/>
  <c r="E54" i="135"/>
  <c r="Z138" i="135"/>
  <c r="G14" i="135" l="1"/>
  <c r="E13" i="135"/>
  <c r="C151" i="135"/>
  <c r="AD13" i="135"/>
  <c r="AD156" i="135"/>
  <c r="AB13" i="135"/>
  <c r="AB156" i="135"/>
  <c r="T13" i="135"/>
  <c r="T156" i="135"/>
  <c r="AG13" i="135"/>
  <c r="AG156" i="135"/>
  <c r="R13" i="135"/>
  <c r="R156" i="135"/>
  <c r="AL13" i="135"/>
  <c r="AL156" i="135"/>
  <c r="P13" i="135"/>
  <c r="P156" i="135"/>
  <c r="CB13" i="135"/>
  <c r="CB156" i="135"/>
  <c r="I13" i="135"/>
  <c r="I156" i="135"/>
  <c r="F13" i="135"/>
  <c r="F156" i="135"/>
  <c r="AV13" i="135"/>
  <c r="AV156" i="135"/>
  <c r="BS13" i="135"/>
  <c r="BS156" i="135"/>
  <c r="Z13" i="135"/>
  <c r="Z156" i="135"/>
  <c r="BC13" i="135"/>
  <c r="BC156" i="135"/>
  <c r="AY13" i="135"/>
  <c r="AY156" i="135"/>
  <c r="H13" i="135"/>
  <c r="H156" i="135"/>
  <c r="AJ13" i="135"/>
  <c r="AJ156" i="135"/>
  <c r="BY13" i="135"/>
  <c r="BY156" i="135"/>
  <c r="W13" i="135"/>
  <c r="W156" i="135"/>
  <c r="AF13" i="135"/>
  <c r="AF156" i="135"/>
  <c r="N13" i="135"/>
  <c r="N156" i="135"/>
  <c r="AQ13" i="135"/>
  <c r="AQ156" i="135"/>
  <c r="AM13" i="135"/>
  <c r="AM156" i="135"/>
  <c r="BH13" i="135"/>
  <c r="BH156" i="135"/>
  <c r="L13" i="135"/>
  <c r="L156" i="135"/>
  <c r="BM13" i="135"/>
  <c r="BM156" i="135"/>
  <c r="BI13" i="135"/>
  <c r="BI156" i="135"/>
  <c r="U13" i="135"/>
  <c r="U156" i="135"/>
  <c r="BR13" i="135"/>
  <c r="BR156" i="135"/>
  <c r="AE13" i="135"/>
  <c r="AE156" i="135"/>
  <c r="AA13" i="135"/>
  <c r="AA156" i="135"/>
  <c r="X13" i="135"/>
  <c r="X156" i="135"/>
  <c r="BG13" i="135"/>
  <c r="BG156" i="135"/>
  <c r="BA13" i="135"/>
  <c r="BA156" i="135"/>
  <c r="AS13" i="135"/>
  <c r="AS156" i="135"/>
  <c r="BT13" i="135"/>
  <c r="BT156" i="135"/>
  <c r="AI13" i="135"/>
  <c r="AI156" i="135"/>
  <c r="AO13" i="135"/>
  <c r="AO156" i="135"/>
  <c r="G267" i="135" s="1"/>
  <c r="AN13" i="135"/>
  <c r="AN156" i="135"/>
  <c r="BJ13" i="135"/>
  <c r="BJ156" i="135"/>
  <c r="BV13" i="135"/>
  <c r="BV156" i="135"/>
  <c r="CA13" i="135"/>
  <c r="CA156" i="135"/>
  <c r="BW13" i="135"/>
  <c r="BW156" i="135"/>
  <c r="AR13" i="135"/>
  <c r="AR156" i="135"/>
  <c r="BF13" i="135"/>
  <c r="BF156" i="135"/>
  <c r="G13" i="135"/>
  <c r="G156" i="135"/>
  <c r="AU13" i="135"/>
  <c r="AU156" i="135"/>
  <c r="AT13" i="135"/>
  <c r="AT156" i="135"/>
  <c r="AX13" i="135"/>
  <c r="AX156" i="135"/>
  <c r="K13" i="135"/>
  <c r="K156" i="135"/>
  <c r="AH13" i="135"/>
  <c r="AH156" i="135"/>
  <c r="BX13" i="135"/>
  <c r="BX156" i="135"/>
  <c r="BU13" i="135"/>
  <c r="BU156" i="135"/>
  <c r="CC13" i="135"/>
  <c r="CC156" i="135"/>
  <c r="BN13" i="135"/>
  <c r="BN156" i="135"/>
  <c r="Q13" i="135"/>
  <c r="Q156" i="135"/>
  <c r="V13" i="135"/>
  <c r="V156" i="135"/>
  <c r="BL13" i="135"/>
  <c r="BL156" i="135"/>
  <c r="BP13" i="135"/>
  <c r="BP156" i="135"/>
  <c r="BQ13" i="135"/>
  <c r="BQ156" i="135"/>
  <c r="BB13" i="135"/>
  <c r="BB156" i="135"/>
  <c r="J13" i="135"/>
  <c r="J156" i="135"/>
  <c r="AZ13" i="135"/>
  <c r="AZ156" i="135"/>
  <c r="BD13" i="135"/>
  <c r="BD156" i="135"/>
  <c r="BE13" i="135"/>
  <c r="BE156" i="135"/>
  <c r="AP13" i="135"/>
  <c r="AP156" i="135"/>
  <c r="BK13" i="135"/>
  <c r="BK156" i="135"/>
  <c r="BO13" i="135"/>
  <c r="BO156" i="135"/>
  <c r="G53" i="135"/>
  <c r="G55" i="135"/>
  <c r="G19" i="135"/>
  <c r="G20" i="135" s="1"/>
  <c r="G15" i="135"/>
  <c r="G16" i="135" s="1"/>
  <c r="G30" i="135"/>
  <c r="G54" i="135"/>
  <c r="G39" i="135"/>
  <c r="G41" i="135" s="1"/>
  <c r="G52" i="135"/>
  <c r="G141" i="135" s="1"/>
  <c r="G28" i="135"/>
  <c r="G29" i="135" s="1"/>
  <c r="H4" i="135"/>
  <c r="G17" i="135"/>
  <c r="G18" i="135" s="1"/>
  <c r="E23" i="135"/>
  <c r="E24" i="135"/>
  <c r="E31" i="135" s="1"/>
  <c r="E32" i="135" s="1"/>
  <c r="F27" i="135" s="1"/>
  <c r="E11" i="135"/>
  <c r="E55" i="135"/>
  <c r="F55" i="135"/>
  <c r="D56" i="135"/>
  <c r="D57" i="135" s="1"/>
  <c r="F16" i="135"/>
  <c r="F21" i="135"/>
  <c r="F22" i="135" s="1"/>
  <c r="F139" i="135"/>
  <c r="F20" i="135"/>
  <c r="E41" i="135"/>
  <c r="H19" i="135"/>
  <c r="AA138" i="135"/>
  <c r="F41" i="135"/>
  <c r="F40" i="135"/>
  <c r="H273" i="135" l="1"/>
  <c r="G273" i="135" s="1"/>
  <c r="H274" i="135"/>
  <c r="G274" i="135" s="1"/>
  <c r="H275" i="135"/>
  <c r="G275" i="135" s="1"/>
  <c r="G152" i="135"/>
  <c r="H14" i="135"/>
  <c r="H152" i="135"/>
  <c r="H276" i="135"/>
  <c r="G276" i="135" s="1"/>
  <c r="H290" i="135"/>
  <c r="G290" i="135" s="1"/>
  <c r="H282" i="135"/>
  <c r="G282" i="135" s="1"/>
  <c r="H277" i="135"/>
  <c r="G277" i="135" s="1"/>
  <c r="H291" i="135"/>
  <c r="G291" i="135" s="1"/>
  <c r="H283" i="135"/>
  <c r="G283" i="135" s="1"/>
  <c r="H292" i="135"/>
  <c r="G292" i="135" s="1"/>
  <c r="H284" i="135"/>
  <c r="G284" i="135" s="1"/>
  <c r="H280" i="135"/>
  <c r="G280" i="135" s="1"/>
  <c r="H294" i="135"/>
  <c r="G294" i="135" s="1"/>
  <c r="H286" i="135"/>
  <c r="G286" i="135" s="1"/>
  <c r="H295" i="135"/>
  <c r="G295" i="135" s="1"/>
  <c r="H287" i="135"/>
  <c r="G287" i="135" s="1"/>
  <c r="H278" i="135"/>
  <c r="G278" i="135" s="1"/>
  <c r="H288" i="135"/>
  <c r="G288" i="135" s="1"/>
  <c r="H281" i="135"/>
  <c r="G281" i="135" s="1"/>
  <c r="H293" i="135"/>
  <c r="G293" i="135" s="1"/>
  <c r="H289" i="135"/>
  <c r="G289" i="135" s="1"/>
  <c r="H279" i="135"/>
  <c r="G279" i="135" s="1"/>
  <c r="H285" i="135"/>
  <c r="G285" i="135" s="1"/>
  <c r="F152" i="135"/>
  <c r="H39" i="135"/>
  <c r="H41" i="135" s="1"/>
  <c r="H15" i="135"/>
  <c r="H16" i="135" s="1"/>
  <c r="G21" i="135"/>
  <c r="G24" i="135" s="1"/>
  <c r="G139" i="135"/>
  <c r="G40" i="135"/>
  <c r="H30" i="135"/>
  <c r="H57" i="135"/>
  <c r="H52" i="135"/>
  <c r="H141" i="135" s="1"/>
  <c r="H28" i="135"/>
  <c r="H29" i="135" s="1"/>
  <c r="H55" i="135"/>
  <c r="I4" i="135"/>
  <c r="H17" i="135"/>
  <c r="H18" i="135" s="1"/>
  <c r="H36" i="135"/>
  <c r="H38" i="135" s="1"/>
  <c r="H53" i="135"/>
  <c r="H54" i="135"/>
  <c r="E47" i="135"/>
  <c r="E48" i="135" s="1"/>
  <c r="E44" i="135"/>
  <c r="E46" i="135" s="1"/>
  <c r="H56" i="135"/>
  <c r="B56" i="135"/>
  <c r="E56" i="135"/>
  <c r="F24" i="135"/>
  <c r="F31" i="135" s="1"/>
  <c r="E36" i="135"/>
  <c r="G36" i="135"/>
  <c r="F11" i="135"/>
  <c r="G11" i="135" s="1"/>
  <c r="H11" i="135" s="1"/>
  <c r="I11" i="135" s="1"/>
  <c r="J11" i="135" s="1"/>
  <c r="K11" i="135" s="1"/>
  <c r="L11" i="135" s="1"/>
  <c r="M11" i="135" s="1"/>
  <c r="N11" i="135" s="1"/>
  <c r="O11" i="135" s="1"/>
  <c r="P11" i="135" s="1"/>
  <c r="Q11" i="135" s="1"/>
  <c r="R11" i="135" s="1"/>
  <c r="S11" i="135" s="1"/>
  <c r="T11" i="135" s="1"/>
  <c r="U11" i="135" s="1"/>
  <c r="V11" i="135" s="1"/>
  <c r="W11" i="135" s="1"/>
  <c r="X11" i="135" s="1"/>
  <c r="Y11" i="135" s="1"/>
  <c r="Z11" i="135" s="1"/>
  <c r="AA11" i="135" s="1"/>
  <c r="AB11" i="135" s="1"/>
  <c r="AC11" i="135" s="1"/>
  <c r="AD11" i="135" s="1"/>
  <c r="AE11" i="135" s="1"/>
  <c r="AF11" i="135" s="1"/>
  <c r="AG11" i="135" s="1"/>
  <c r="AH11" i="135" s="1"/>
  <c r="AI11" i="135" s="1"/>
  <c r="AJ11" i="135" s="1"/>
  <c r="AK11" i="135" s="1"/>
  <c r="AL11" i="135" s="1"/>
  <c r="AM11" i="135" s="1"/>
  <c r="AN11" i="135" s="1"/>
  <c r="AO11" i="135" s="1"/>
  <c r="AP11" i="135" s="1"/>
  <c r="AQ11" i="135" s="1"/>
  <c r="AR11" i="135" s="1"/>
  <c r="AS11" i="135" s="1"/>
  <c r="AT11" i="135" s="1"/>
  <c r="AU11" i="135" s="1"/>
  <c r="AV11" i="135" s="1"/>
  <c r="AW11" i="135" s="1"/>
  <c r="AX11" i="135" s="1"/>
  <c r="AY11" i="135" s="1"/>
  <c r="AZ11" i="135" s="1"/>
  <c r="BA11" i="135" s="1"/>
  <c r="BB11" i="135" s="1"/>
  <c r="BC11" i="135" s="1"/>
  <c r="BD11" i="135" s="1"/>
  <c r="BE11" i="135" s="1"/>
  <c r="BF11" i="135" s="1"/>
  <c r="BG11" i="135" s="1"/>
  <c r="BH11" i="135" s="1"/>
  <c r="BI11" i="135" s="1"/>
  <c r="BJ11" i="135" s="1"/>
  <c r="BK11" i="135" s="1"/>
  <c r="BL11" i="135" s="1"/>
  <c r="BM11" i="135" s="1"/>
  <c r="BN11" i="135" s="1"/>
  <c r="BO11" i="135" s="1"/>
  <c r="BP11" i="135" s="1"/>
  <c r="BQ11" i="135" s="1"/>
  <c r="BR11" i="135" s="1"/>
  <c r="BS11" i="135" s="1"/>
  <c r="BT11" i="135" s="1"/>
  <c r="BU11" i="135" s="1"/>
  <c r="BV11" i="135" s="1"/>
  <c r="BW11" i="135" s="1"/>
  <c r="BX11" i="135" s="1"/>
  <c r="BY11" i="135" s="1"/>
  <c r="BZ11" i="135" s="1"/>
  <c r="CA11" i="135" s="1"/>
  <c r="CB11" i="135" s="1"/>
  <c r="CC11" i="135" s="1"/>
  <c r="F36" i="135"/>
  <c r="H21" i="135"/>
  <c r="H24" i="135" s="1"/>
  <c r="F56" i="135"/>
  <c r="G56" i="135"/>
  <c r="I57" i="135"/>
  <c r="I14" i="135"/>
  <c r="H20" i="135"/>
  <c r="D58" i="135"/>
  <c r="E57" i="135"/>
  <c r="B57" i="135"/>
  <c r="G57" i="135"/>
  <c r="F57" i="135"/>
  <c r="AB138" i="135"/>
  <c r="H40" i="135" l="1"/>
  <c r="I152" i="135"/>
  <c r="I52" i="135"/>
  <c r="I141" i="135" s="1"/>
  <c r="I56" i="135"/>
  <c r="I15" i="135"/>
  <c r="I53" i="135"/>
  <c r="I55" i="135"/>
  <c r="I54" i="135"/>
  <c r="J4" i="135"/>
  <c r="J36" i="135" s="1"/>
  <c r="G22" i="135"/>
  <c r="I17" i="135"/>
  <c r="I18" i="135" s="1"/>
  <c r="I28" i="135"/>
  <c r="I29" i="135" s="1"/>
  <c r="F23" i="135"/>
  <c r="H139" i="135"/>
  <c r="E49" i="135"/>
  <c r="I36" i="135"/>
  <c r="I38" i="135" s="1"/>
  <c r="H22" i="135"/>
  <c r="I39" i="135"/>
  <c r="I40" i="135" s="1"/>
  <c r="H37" i="135"/>
  <c r="I19" i="135"/>
  <c r="I20" i="135" s="1"/>
  <c r="I30" i="135"/>
  <c r="E45" i="135"/>
  <c r="E50" i="135" s="1"/>
  <c r="F37" i="135"/>
  <c r="F38" i="135"/>
  <c r="G38" i="135"/>
  <c r="G37" i="135"/>
  <c r="E37" i="135"/>
  <c r="E127" i="135" s="1"/>
  <c r="E38" i="135"/>
  <c r="AC138" i="135"/>
  <c r="D59" i="135"/>
  <c r="E58" i="135"/>
  <c r="B58" i="135"/>
  <c r="F58" i="135"/>
  <c r="G58" i="135"/>
  <c r="H58" i="135"/>
  <c r="F47" i="135"/>
  <c r="F44" i="135"/>
  <c r="F32" i="135"/>
  <c r="G27" i="135" s="1"/>
  <c r="G31" i="135" s="1"/>
  <c r="H23" i="135"/>
  <c r="I139" i="135"/>
  <c r="G23" i="135"/>
  <c r="J54" i="135"/>
  <c r="J53" i="135"/>
  <c r="J52" i="135"/>
  <c r="J141" i="135" s="1"/>
  <c r="J57" i="135"/>
  <c r="J58" i="135"/>
  <c r="J39" i="135"/>
  <c r="J30" i="135"/>
  <c r="J14" i="135"/>
  <c r="K4" i="135"/>
  <c r="J15" i="135"/>
  <c r="E129" i="135"/>
  <c r="E136" i="135"/>
  <c r="I58" i="135"/>
  <c r="I16" i="135"/>
  <c r="J19" i="135" l="1"/>
  <c r="J55" i="135"/>
  <c r="J17" i="135"/>
  <c r="J152" i="135"/>
  <c r="K152" i="135"/>
  <c r="J28" i="135"/>
  <c r="J29" i="135" s="1"/>
  <c r="J18" i="135"/>
  <c r="J56" i="135"/>
  <c r="J59" i="135"/>
  <c r="I37" i="135"/>
  <c r="I41" i="135"/>
  <c r="E128" i="135"/>
  <c r="I21" i="135"/>
  <c r="I24" i="135" s="1"/>
  <c r="E133" i="135"/>
  <c r="J16" i="135"/>
  <c r="J20" i="135"/>
  <c r="G47" i="135"/>
  <c r="G44" i="135"/>
  <c r="E134" i="135"/>
  <c r="E135" i="135" s="1"/>
  <c r="E130" i="135"/>
  <c r="D60" i="135"/>
  <c r="K60" i="135" s="1"/>
  <c r="E59" i="135"/>
  <c r="B59" i="135"/>
  <c r="F59" i="135"/>
  <c r="G59" i="135"/>
  <c r="H59" i="135"/>
  <c r="I59" i="135"/>
  <c r="J139" i="135"/>
  <c r="G32" i="135"/>
  <c r="H27" i="135" s="1"/>
  <c r="AD138" i="135"/>
  <c r="J21" i="135"/>
  <c r="K55" i="135"/>
  <c r="K54" i="135"/>
  <c r="K59" i="135"/>
  <c r="K58" i="135"/>
  <c r="K56" i="135"/>
  <c r="K57" i="135"/>
  <c r="K52" i="135"/>
  <c r="K141" i="135" s="1"/>
  <c r="K53" i="135"/>
  <c r="K30" i="135"/>
  <c r="K17" i="135"/>
  <c r="K39" i="135"/>
  <c r="K28" i="135"/>
  <c r="K29" i="135" s="1"/>
  <c r="K36" i="135"/>
  <c r="K14" i="135"/>
  <c r="K15" i="135"/>
  <c r="L4" i="135"/>
  <c r="K19" i="135"/>
  <c r="F45" i="135"/>
  <c r="F46" i="135"/>
  <c r="F48" i="135"/>
  <c r="F49" i="135"/>
  <c r="J37" i="135"/>
  <c r="J38" i="135"/>
  <c r="J40" i="135"/>
  <c r="J41" i="135"/>
  <c r="K18" i="135" l="1"/>
  <c r="L152" i="135"/>
  <c r="I22" i="135"/>
  <c r="J22" i="135"/>
  <c r="K16" i="135"/>
  <c r="K20" i="135"/>
  <c r="K139" i="135"/>
  <c r="I23" i="135"/>
  <c r="J24" i="135"/>
  <c r="D61" i="135"/>
  <c r="L61" i="135" s="1"/>
  <c r="E60" i="135"/>
  <c r="B60" i="135"/>
  <c r="G60" i="135"/>
  <c r="F60" i="135"/>
  <c r="H60" i="135"/>
  <c r="I60" i="135"/>
  <c r="J60" i="135"/>
  <c r="L52" i="135"/>
  <c r="L141" i="135" s="1"/>
  <c r="L54" i="135"/>
  <c r="L60" i="135"/>
  <c r="L59" i="135"/>
  <c r="L58" i="135"/>
  <c r="L57" i="135"/>
  <c r="L55" i="135"/>
  <c r="L56" i="135"/>
  <c r="L53" i="135"/>
  <c r="L39" i="135"/>
  <c r="L28" i="135"/>
  <c r="L29" i="135" s="1"/>
  <c r="L36" i="135"/>
  <c r="L30" i="135"/>
  <c r="L17" i="135"/>
  <c r="L18" i="135" s="1"/>
  <c r="M4" i="135"/>
  <c r="L19" i="135"/>
  <c r="L15" i="135"/>
  <c r="L14" i="135"/>
  <c r="AE138" i="135"/>
  <c r="H31" i="135"/>
  <c r="H32" i="135" s="1"/>
  <c r="I27" i="135" s="1"/>
  <c r="I31" i="135" s="1"/>
  <c r="K38" i="135"/>
  <c r="K37" i="135"/>
  <c r="K21" i="135"/>
  <c r="K22" i="135" s="1"/>
  <c r="K41" i="135"/>
  <c r="K40" i="135"/>
  <c r="G45" i="135"/>
  <c r="G46" i="135"/>
  <c r="F50" i="135"/>
  <c r="F136" i="135"/>
  <c r="F129" i="135"/>
  <c r="G49" i="135"/>
  <c r="G48" i="135"/>
  <c r="M152" i="135" l="1"/>
  <c r="L20" i="135"/>
  <c r="I47" i="135"/>
  <c r="I44" i="135"/>
  <c r="G50" i="135"/>
  <c r="G136" i="135"/>
  <c r="G129" i="135"/>
  <c r="L16" i="135"/>
  <c r="L21" i="135"/>
  <c r="L22" i="135" s="1"/>
  <c r="L139" i="135"/>
  <c r="M60" i="135"/>
  <c r="M58" i="135"/>
  <c r="M56" i="135"/>
  <c r="M54" i="135"/>
  <c r="M61" i="135"/>
  <c r="M59" i="135"/>
  <c r="M57" i="135"/>
  <c r="M55" i="135"/>
  <c r="M53" i="135"/>
  <c r="M52" i="135"/>
  <c r="M141" i="135" s="1"/>
  <c r="M39" i="135"/>
  <c r="M28" i="135"/>
  <c r="M29" i="135" s="1"/>
  <c r="M36" i="135"/>
  <c r="M30" i="135"/>
  <c r="M15" i="135"/>
  <c r="M17" i="135"/>
  <c r="M18" i="135" s="1"/>
  <c r="N4" i="135"/>
  <c r="M19" i="135"/>
  <c r="M14" i="135"/>
  <c r="D62" i="135"/>
  <c r="B61" i="135"/>
  <c r="E61" i="135"/>
  <c r="G61" i="135"/>
  <c r="F61" i="135"/>
  <c r="H61" i="135"/>
  <c r="I61" i="135"/>
  <c r="J61" i="135"/>
  <c r="K61" i="135"/>
  <c r="L38" i="135"/>
  <c r="L37" i="135"/>
  <c r="J23" i="135"/>
  <c r="K24" i="135"/>
  <c r="H47" i="135"/>
  <c r="H44" i="135"/>
  <c r="L41" i="135"/>
  <c r="L40" i="135"/>
  <c r="I32" i="135"/>
  <c r="J27" i="135" s="1"/>
  <c r="AF138" i="135"/>
  <c r="N152" i="135" l="1"/>
  <c r="M16" i="135"/>
  <c r="M20" i="135"/>
  <c r="M38" i="135"/>
  <c r="M37" i="135"/>
  <c r="M41" i="135"/>
  <c r="M40" i="135"/>
  <c r="M139" i="135"/>
  <c r="L24" i="135"/>
  <c r="K23" i="135"/>
  <c r="B62" i="135"/>
  <c r="E62" i="135"/>
  <c r="D63" i="135"/>
  <c r="N63" i="135" s="1"/>
  <c r="F62" i="135"/>
  <c r="G62" i="135"/>
  <c r="H62" i="135"/>
  <c r="I62" i="135"/>
  <c r="J62" i="135"/>
  <c r="K62" i="135"/>
  <c r="L62" i="135"/>
  <c r="J31" i="135"/>
  <c r="J32" i="135" s="1"/>
  <c r="K27" i="135" s="1"/>
  <c r="M62" i="135"/>
  <c r="M21" i="135"/>
  <c r="M22" i="135" s="1"/>
  <c r="AG138" i="135"/>
  <c r="H45" i="135"/>
  <c r="H46" i="135"/>
  <c r="N61" i="135"/>
  <c r="N59" i="135"/>
  <c r="N57" i="135"/>
  <c r="N55" i="135"/>
  <c r="N53" i="135"/>
  <c r="N60" i="135"/>
  <c r="N58" i="135"/>
  <c r="N39" i="135"/>
  <c r="N36" i="135"/>
  <c r="N30" i="135"/>
  <c r="N62" i="135"/>
  <c r="N56" i="135"/>
  <c r="N54" i="135"/>
  <c r="N52" i="135"/>
  <c r="N141" i="135" s="1"/>
  <c r="N28" i="135"/>
  <c r="N29" i="135" s="1"/>
  <c r="N17" i="135"/>
  <c r="N18" i="135" s="1"/>
  <c r="O4" i="135"/>
  <c r="N19" i="135"/>
  <c r="N15" i="135"/>
  <c r="N14" i="135"/>
  <c r="H49" i="135"/>
  <c r="H48" i="135"/>
  <c r="I46" i="135"/>
  <c r="I45" i="135"/>
  <c r="I49" i="135"/>
  <c r="I48" i="135"/>
  <c r="O152" i="135" l="1"/>
  <c r="N20" i="135"/>
  <c r="N139" i="135"/>
  <c r="K31" i="135"/>
  <c r="H50" i="135"/>
  <c r="H136" i="135"/>
  <c r="H129" i="135"/>
  <c r="N38" i="135"/>
  <c r="N37" i="135"/>
  <c r="L23" i="135"/>
  <c r="N40" i="135"/>
  <c r="N41" i="135"/>
  <c r="AH138" i="135"/>
  <c r="M24" i="135"/>
  <c r="I50" i="135"/>
  <c r="I129" i="135"/>
  <c r="I136" i="135"/>
  <c r="N16" i="135"/>
  <c r="N21" i="135"/>
  <c r="N22" i="135" s="1"/>
  <c r="O63" i="135"/>
  <c r="O61" i="135"/>
  <c r="O28" i="135"/>
  <c r="O29" i="135" s="1"/>
  <c r="O60" i="135"/>
  <c r="O59" i="135"/>
  <c r="O58" i="135"/>
  <c r="O57" i="135"/>
  <c r="O62" i="135"/>
  <c r="O56" i="135"/>
  <c r="O55" i="135"/>
  <c r="O52" i="135"/>
  <c r="O141" i="135" s="1"/>
  <c r="O53" i="135"/>
  <c r="O54" i="135"/>
  <c r="O39" i="135"/>
  <c r="O19" i="135"/>
  <c r="O36" i="135"/>
  <c r="O30" i="135"/>
  <c r="O17" i="135"/>
  <c r="O18" i="135" s="1"/>
  <c r="P4" i="135"/>
  <c r="O15" i="135"/>
  <c r="O14" i="135"/>
  <c r="D64" i="135"/>
  <c r="O64" i="135" s="1"/>
  <c r="B63" i="135"/>
  <c r="E63" i="135"/>
  <c r="G63" i="135"/>
  <c r="F63" i="135"/>
  <c r="H63" i="135"/>
  <c r="I63" i="135"/>
  <c r="J63" i="135"/>
  <c r="K63" i="135"/>
  <c r="L63" i="135"/>
  <c r="M63" i="135"/>
  <c r="J44" i="135"/>
  <c r="J47" i="135"/>
  <c r="P152" i="135" l="1"/>
  <c r="O21" i="135"/>
  <c r="O24" i="135" s="1"/>
  <c r="O16" i="135"/>
  <c r="P64" i="135"/>
  <c r="P62" i="135"/>
  <c r="P63" i="135"/>
  <c r="P61" i="135"/>
  <c r="P60" i="135"/>
  <c r="P59" i="135"/>
  <c r="P58" i="135"/>
  <c r="P57" i="135"/>
  <c r="P56" i="135"/>
  <c r="P55" i="135"/>
  <c r="P52" i="135"/>
  <c r="P141" i="135" s="1"/>
  <c r="P53" i="135"/>
  <c r="P54" i="135"/>
  <c r="P39" i="135"/>
  <c r="Q4" i="135"/>
  <c r="P28" i="135"/>
  <c r="P29" i="135" s="1"/>
  <c r="P36" i="135"/>
  <c r="P30" i="135"/>
  <c r="P14" i="135"/>
  <c r="P17" i="135"/>
  <c r="P18" i="135" s="1"/>
  <c r="P19" i="135"/>
  <c r="P15" i="135"/>
  <c r="O37" i="135"/>
  <c r="O38" i="135"/>
  <c r="M23" i="135"/>
  <c r="O40" i="135"/>
  <c r="O41" i="135"/>
  <c r="AI138" i="135"/>
  <c r="K47" i="135"/>
  <c r="K44" i="135"/>
  <c r="O139" i="135"/>
  <c r="K32" i="135"/>
  <c r="L27" i="135" s="1"/>
  <c r="J49" i="135"/>
  <c r="J48" i="135"/>
  <c r="J46" i="135"/>
  <c r="J45" i="135"/>
  <c r="D65" i="135"/>
  <c r="P65" i="135" s="1"/>
  <c r="E64" i="135"/>
  <c r="B64" i="135"/>
  <c r="F64" i="135"/>
  <c r="G64" i="135"/>
  <c r="H64" i="135"/>
  <c r="I64" i="135"/>
  <c r="J64" i="135"/>
  <c r="K64" i="135"/>
  <c r="L64" i="135"/>
  <c r="M64" i="135"/>
  <c r="N64" i="135"/>
  <c r="O22" i="135"/>
  <c r="N24" i="135"/>
  <c r="O20" i="135"/>
  <c r="Q152" i="135" l="1"/>
  <c r="P16" i="135"/>
  <c r="P20" i="135"/>
  <c r="N23" i="135"/>
  <c r="K46" i="135"/>
  <c r="K45" i="135"/>
  <c r="P21" i="135"/>
  <c r="D66" i="135"/>
  <c r="Q66" i="135" s="1"/>
  <c r="E65" i="135"/>
  <c r="B65" i="135"/>
  <c r="G65" i="135"/>
  <c r="F65" i="135"/>
  <c r="H65" i="135"/>
  <c r="I65" i="135"/>
  <c r="J65" i="135"/>
  <c r="K65" i="135"/>
  <c r="L65" i="135"/>
  <c r="M65" i="135"/>
  <c r="N65" i="135"/>
  <c r="O65" i="135"/>
  <c r="K48" i="135"/>
  <c r="K49" i="135"/>
  <c r="L31" i="135"/>
  <c r="AJ138" i="135"/>
  <c r="J50" i="135"/>
  <c r="J136" i="135"/>
  <c r="J129" i="135"/>
  <c r="P37" i="135"/>
  <c r="P38" i="135"/>
  <c r="Q65" i="135"/>
  <c r="Q62" i="135"/>
  <c r="Q63" i="135"/>
  <c r="Q61" i="135"/>
  <c r="Q60" i="135"/>
  <c r="Q59" i="135"/>
  <c r="Q58" i="135"/>
  <c r="Q57" i="135"/>
  <c r="Q56" i="135"/>
  <c r="Q54" i="135"/>
  <c r="Q64" i="135"/>
  <c r="Q52" i="135"/>
  <c r="Q141" i="135" s="1"/>
  <c r="Q53" i="135"/>
  <c r="Q55" i="135"/>
  <c r="Q39" i="135"/>
  <c r="Q28" i="135"/>
  <c r="Q29" i="135" s="1"/>
  <c r="Q36" i="135"/>
  <c r="Q30" i="135"/>
  <c r="Q17" i="135"/>
  <c r="Q18" i="135" s="1"/>
  <c r="Q19" i="135"/>
  <c r="Q21" i="135" s="1"/>
  <c r="Q15" i="135"/>
  <c r="Q14" i="135"/>
  <c r="R4" i="135"/>
  <c r="P40" i="135"/>
  <c r="P41" i="135"/>
  <c r="O23" i="135"/>
  <c r="P139" i="135"/>
  <c r="R152" i="135" l="1"/>
  <c r="Q16" i="135"/>
  <c r="Q38" i="135"/>
  <c r="Q37" i="135"/>
  <c r="Q40" i="135"/>
  <c r="Q41" i="135"/>
  <c r="L47" i="135"/>
  <c r="L44" i="135"/>
  <c r="L32" i="135"/>
  <c r="M27" i="135" s="1"/>
  <c r="K50" i="135"/>
  <c r="K136" i="135"/>
  <c r="K129" i="135"/>
  <c r="D67" i="135"/>
  <c r="R67" i="135" s="1"/>
  <c r="E66" i="135"/>
  <c r="B66" i="135"/>
  <c r="F66" i="135"/>
  <c r="G66" i="135"/>
  <c r="H66" i="135"/>
  <c r="I66" i="135"/>
  <c r="J66" i="135"/>
  <c r="K66" i="135"/>
  <c r="L66" i="135"/>
  <c r="M66" i="135"/>
  <c r="N66" i="135"/>
  <c r="O66" i="135"/>
  <c r="P66" i="135"/>
  <c r="Q139" i="135"/>
  <c r="R66" i="135"/>
  <c r="R65" i="135"/>
  <c r="R63" i="135"/>
  <c r="R61" i="135"/>
  <c r="R60" i="135"/>
  <c r="R59" i="135"/>
  <c r="R58" i="135"/>
  <c r="R57" i="135"/>
  <c r="R56" i="135"/>
  <c r="R55" i="135"/>
  <c r="R62" i="135"/>
  <c r="R53" i="135"/>
  <c r="R52" i="135"/>
  <c r="R141" i="135" s="1"/>
  <c r="R39" i="135"/>
  <c r="R64" i="135"/>
  <c r="R28" i="135"/>
  <c r="R29" i="135" s="1"/>
  <c r="R54" i="135"/>
  <c r="R36" i="135"/>
  <c r="R30" i="135"/>
  <c r="R19" i="135"/>
  <c r="R15" i="135"/>
  <c r="R14" i="135"/>
  <c r="R17" i="135"/>
  <c r="R18" i="135" s="1"/>
  <c r="S4" i="135"/>
  <c r="Q20" i="135"/>
  <c r="P24" i="135"/>
  <c r="Q22" i="135"/>
  <c r="P22" i="135"/>
  <c r="Q24" i="135"/>
  <c r="AK138" i="135"/>
  <c r="S152" i="135" l="1"/>
  <c r="R20" i="135"/>
  <c r="R16" i="135"/>
  <c r="Q23" i="135"/>
  <c r="R38" i="135"/>
  <c r="R37" i="135"/>
  <c r="R41" i="135"/>
  <c r="R40" i="135"/>
  <c r="M31" i="135"/>
  <c r="R139" i="135"/>
  <c r="L46" i="135"/>
  <c r="L45" i="135"/>
  <c r="P23" i="135"/>
  <c r="S67" i="135"/>
  <c r="S66" i="135"/>
  <c r="S65" i="135"/>
  <c r="S64" i="135"/>
  <c r="S61" i="135"/>
  <c r="S59" i="135"/>
  <c r="S57" i="135"/>
  <c r="S55" i="135"/>
  <c r="S53" i="135"/>
  <c r="S63" i="135"/>
  <c r="S52" i="135"/>
  <c r="S141" i="135" s="1"/>
  <c r="S60" i="135"/>
  <c r="S58" i="135"/>
  <c r="S39" i="135"/>
  <c r="S36" i="135"/>
  <c r="S30" i="135"/>
  <c r="S56" i="135"/>
  <c r="S62" i="135"/>
  <c r="S54" i="135"/>
  <c r="S28" i="135"/>
  <c r="S29" i="135" s="1"/>
  <c r="S15" i="135"/>
  <c r="S19" i="135"/>
  <c r="S14" i="135"/>
  <c r="S17" i="135"/>
  <c r="S18" i="135" s="1"/>
  <c r="T4" i="135"/>
  <c r="L48" i="135"/>
  <c r="L49" i="135"/>
  <c r="D68" i="135"/>
  <c r="S68" i="135" s="1"/>
  <c r="E67" i="135"/>
  <c r="B67" i="135"/>
  <c r="G67" i="135"/>
  <c r="F67" i="135"/>
  <c r="H67" i="135"/>
  <c r="I67" i="135"/>
  <c r="J67" i="135"/>
  <c r="K67" i="135"/>
  <c r="L67" i="135"/>
  <c r="M67" i="135"/>
  <c r="N67" i="135"/>
  <c r="O67" i="135"/>
  <c r="P67" i="135"/>
  <c r="Q67" i="135"/>
  <c r="AL138" i="135"/>
  <c r="R21" i="135"/>
  <c r="T152" i="135" l="1"/>
  <c r="S20" i="135"/>
  <c r="AM138" i="135"/>
  <c r="T66" i="135"/>
  <c r="T65" i="135"/>
  <c r="T60" i="135"/>
  <c r="T58" i="135"/>
  <c r="T56" i="135"/>
  <c r="T54" i="135"/>
  <c r="T67" i="135"/>
  <c r="T59" i="135"/>
  <c r="T68" i="135"/>
  <c r="T57" i="135"/>
  <c r="T62" i="135"/>
  <c r="T55" i="135"/>
  <c r="T64" i="135"/>
  <c r="T63" i="135"/>
  <c r="T61" i="135"/>
  <c r="T39" i="135"/>
  <c r="T52" i="135"/>
  <c r="T141" i="135" s="1"/>
  <c r="T53" i="135"/>
  <c r="T30" i="135"/>
  <c r="T28" i="135"/>
  <c r="T29" i="135" s="1"/>
  <c r="T36" i="135"/>
  <c r="T19" i="135"/>
  <c r="T15" i="135"/>
  <c r="T14" i="135"/>
  <c r="T17" i="135"/>
  <c r="T18" i="135" s="1"/>
  <c r="U4" i="135"/>
  <c r="S37" i="135"/>
  <c r="S38" i="135"/>
  <c r="S40" i="135"/>
  <c r="S41" i="135"/>
  <c r="M47" i="135"/>
  <c r="M44" i="135"/>
  <c r="M32" i="135"/>
  <c r="N27" i="135" s="1"/>
  <c r="S16" i="135"/>
  <c r="S21" i="135"/>
  <c r="S22" i="135" s="1"/>
  <c r="B68" i="135"/>
  <c r="E68" i="135"/>
  <c r="D69" i="135"/>
  <c r="T69" i="135" s="1"/>
  <c r="F68" i="135"/>
  <c r="G68" i="135"/>
  <c r="H68" i="135"/>
  <c r="I68" i="135"/>
  <c r="J68" i="135"/>
  <c r="K68" i="135"/>
  <c r="L68" i="135"/>
  <c r="M68" i="135"/>
  <c r="N68" i="135"/>
  <c r="O68" i="135"/>
  <c r="P68" i="135"/>
  <c r="Q68" i="135"/>
  <c r="R68" i="135"/>
  <c r="S139" i="135"/>
  <c r="R24" i="135"/>
  <c r="R22" i="135"/>
  <c r="L50" i="135"/>
  <c r="L129" i="135"/>
  <c r="L136" i="135"/>
  <c r="U152" i="135" l="1"/>
  <c r="T20" i="135"/>
  <c r="S24" i="135"/>
  <c r="U65" i="135"/>
  <c r="U69" i="135"/>
  <c r="U68" i="135"/>
  <c r="U66" i="135"/>
  <c r="U59" i="135"/>
  <c r="U58" i="135"/>
  <c r="U57" i="135"/>
  <c r="U56" i="135"/>
  <c r="U62" i="135"/>
  <c r="U55" i="135"/>
  <c r="U64" i="135"/>
  <c r="U60" i="135"/>
  <c r="U53" i="135"/>
  <c r="U54" i="135"/>
  <c r="U67" i="135"/>
  <c r="U63" i="135"/>
  <c r="U61" i="135"/>
  <c r="U39" i="135"/>
  <c r="U52" i="135"/>
  <c r="U141" i="135" s="1"/>
  <c r="U28" i="135"/>
  <c r="U29" i="135" s="1"/>
  <c r="U36" i="135"/>
  <c r="U30" i="135"/>
  <c r="U19" i="135"/>
  <c r="U15" i="135"/>
  <c r="U14" i="135"/>
  <c r="U17" i="135"/>
  <c r="U18" i="135" s="1"/>
  <c r="V4" i="135"/>
  <c r="T16" i="135"/>
  <c r="T38" i="135"/>
  <c r="T37" i="135"/>
  <c r="R23" i="135"/>
  <c r="T21" i="135"/>
  <c r="N31" i="135"/>
  <c r="N32" i="135" s="1"/>
  <c r="O27" i="135" s="1"/>
  <c r="M46" i="135"/>
  <c r="M45" i="135"/>
  <c r="M48" i="135"/>
  <c r="M49" i="135"/>
  <c r="D70" i="135"/>
  <c r="U70" i="135" s="1"/>
  <c r="E69" i="135"/>
  <c r="B69" i="135"/>
  <c r="G69" i="135"/>
  <c r="F69" i="135"/>
  <c r="H69" i="135"/>
  <c r="I69" i="135"/>
  <c r="J69" i="135"/>
  <c r="K69" i="135"/>
  <c r="L69" i="135"/>
  <c r="M69" i="135"/>
  <c r="N69" i="135"/>
  <c r="O69" i="135"/>
  <c r="P69" i="135"/>
  <c r="Q69" i="135"/>
  <c r="R69" i="135"/>
  <c r="S69" i="135"/>
  <c r="T139" i="135"/>
  <c r="AN138" i="135"/>
  <c r="T40" i="135"/>
  <c r="T41" i="135"/>
  <c r="V152" i="135" l="1"/>
  <c r="V28" i="135"/>
  <c r="U21" i="135"/>
  <c r="U24" i="135" s="1"/>
  <c r="O31" i="135"/>
  <c r="U20" i="135"/>
  <c r="U16" i="135"/>
  <c r="U38" i="135"/>
  <c r="U37" i="135"/>
  <c r="U139" i="135"/>
  <c r="N47" i="135"/>
  <c r="N44" i="135"/>
  <c r="T24" i="135"/>
  <c r="D71" i="135"/>
  <c r="V71" i="135" s="1"/>
  <c r="E70" i="135"/>
  <c r="B70" i="135"/>
  <c r="G70" i="135"/>
  <c r="F70" i="135"/>
  <c r="H70" i="135"/>
  <c r="I70" i="135"/>
  <c r="J70" i="135"/>
  <c r="K70" i="135"/>
  <c r="L70" i="135"/>
  <c r="M70" i="135"/>
  <c r="N70" i="135"/>
  <c r="O70" i="135"/>
  <c r="P70" i="135"/>
  <c r="Q70" i="135"/>
  <c r="R70" i="135"/>
  <c r="S70" i="135"/>
  <c r="T70" i="135"/>
  <c r="U41" i="135"/>
  <c r="U40" i="135"/>
  <c r="T22" i="135"/>
  <c r="S23" i="135"/>
  <c r="AO138" i="135"/>
  <c r="V69" i="135"/>
  <c r="V67" i="135"/>
  <c r="V65" i="135"/>
  <c r="V63" i="135"/>
  <c r="V61" i="135"/>
  <c r="V62" i="135"/>
  <c r="V70" i="135"/>
  <c r="V68" i="135"/>
  <c r="V58" i="135"/>
  <c r="V57" i="135"/>
  <c r="V56" i="135"/>
  <c r="V55" i="135"/>
  <c r="V66" i="135"/>
  <c r="V64" i="135"/>
  <c r="V59" i="135"/>
  <c r="V52" i="135"/>
  <c r="V141" i="135" s="1"/>
  <c r="V53" i="135"/>
  <c r="V60" i="135"/>
  <c r="V54" i="135"/>
  <c r="V36" i="135"/>
  <c r="V39" i="135"/>
  <c r="V29" i="135"/>
  <c r="V30" i="135"/>
  <c r="V14" i="135"/>
  <c r="W4" i="135"/>
  <c r="V19" i="135"/>
  <c r="V15" i="135"/>
  <c r="V17" i="135"/>
  <c r="V18" i="135" s="1"/>
  <c r="M50" i="135"/>
  <c r="M129" i="135"/>
  <c r="M136" i="135"/>
  <c r="W152" i="135" l="1"/>
  <c r="U22" i="135"/>
  <c r="V20" i="135"/>
  <c r="V37" i="135"/>
  <c r="V38" i="135"/>
  <c r="AP138" i="135"/>
  <c r="E71" i="135"/>
  <c r="D72" i="135"/>
  <c r="B71" i="135"/>
  <c r="F71" i="135"/>
  <c r="G71" i="135"/>
  <c r="H71" i="135"/>
  <c r="I71" i="135"/>
  <c r="J71" i="135"/>
  <c r="K71" i="135"/>
  <c r="L71" i="135"/>
  <c r="M71" i="135"/>
  <c r="N71" i="135"/>
  <c r="O71" i="135"/>
  <c r="P71" i="135"/>
  <c r="Q71" i="135"/>
  <c r="R71" i="135"/>
  <c r="S71" i="135"/>
  <c r="T71" i="135"/>
  <c r="U71" i="135"/>
  <c r="U23" i="135"/>
  <c r="V139" i="135"/>
  <c r="V21" i="135"/>
  <c r="V16" i="135"/>
  <c r="W70" i="135"/>
  <c r="W68" i="135"/>
  <c r="W66" i="135"/>
  <c r="W64" i="135"/>
  <c r="W71" i="135"/>
  <c r="W69" i="135"/>
  <c r="W67" i="135"/>
  <c r="W65" i="135"/>
  <c r="W57" i="135"/>
  <c r="W56" i="135"/>
  <c r="W55" i="135"/>
  <c r="W62" i="135"/>
  <c r="W63" i="135"/>
  <c r="W61" i="135"/>
  <c r="W60" i="135"/>
  <c r="W58" i="135"/>
  <c r="W59" i="135"/>
  <c r="W52" i="135"/>
  <c r="W141" i="135" s="1"/>
  <c r="W53" i="135"/>
  <c r="W36" i="135"/>
  <c r="W30" i="135"/>
  <c r="W17" i="135"/>
  <c r="W18" i="135" s="1"/>
  <c r="W39" i="135"/>
  <c r="W19" i="135"/>
  <c r="W15" i="135"/>
  <c r="W14" i="135"/>
  <c r="W28" i="135"/>
  <c r="W29" i="135" s="1"/>
  <c r="X4" i="135"/>
  <c r="T23" i="135"/>
  <c r="N45" i="135"/>
  <c r="N46" i="135"/>
  <c r="N49" i="135"/>
  <c r="N48" i="135"/>
  <c r="O47" i="135"/>
  <c r="O44" i="135"/>
  <c r="V40" i="135"/>
  <c r="V41" i="135"/>
  <c r="O32" i="135"/>
  <c r="P27" i="135" s="1"/>
  <c r="X152" i="135" l="1"/>
  <c r="W21" i="135"/>
  <c r="W24" i="135" s="1"/>
  <c r="W38" i="135"/>
  <c r="W37" i="135"/>
  <c r="E72" i="135"/>
  <c r="D73" i="135"/>
  <c r="X73" i="135" s="1"/>
  <c r="B72" i="135"/>
  <c r="F72" i="135"/>
  <c r="G72" i="135"/>
  <c r="H72" i="135"/>
  <c r="I72" i="135"/>
  <c r="J72" i="135"/>
  <c r="K72" i="135"/>
  <c r="L72" i="135"/>
  <c r="M72" i="135"/>
  <c r="N72" i="135"/>
  <c r="O72" i="135"/>
  <c r="P72" i="135"/>
  <c r="Q72" i="135"/>
  <c r="R72" i="135"/>
  <c r="S72" i="135"/>
  <c r="T72" i="135"/>
  <c r="U72" i="135"/>
  <c r="V72" i="135"/>
  <c r="V24" i="135"/>
  <c r="V22" i="135"/>
  <c r="W22" i="135" s="1"/>
  <c r="W20" i="135"/>
  <c r="O49" i="135"/>
  <c r="O48" i="135"/>
  <c r="W139" i="135"/>
  <c r="P31" i="135"/>
  <c r="X52" i="135"/>
  <c r="X141" i="135" s="1"/>
  <c r="X72" i="135"/>
  <c r="X71" i="135"/>
  <c r="X70" i="135"/>
  <c r="X69" i="135"/>
  <c r="X68" i="135"/>
  <c r="X67" i="135"/>
  <c r="X66" i="135"/>
  <c r="X56" i="135"/>
  <c r="X62" i="135"/>
  <c r="X53" i="135"/>
  <c r="X65" i="135"/>
  <c r="X64" i="135"/>
  <c r="X63" i="135"/>
  <c r="X61" i="135"/>
  <c r="X60" i="135"/>
  <c r="X59" i="135"/>
  <c r="X57" i="135"/>
  <c r="X58" i="135"/>
  <c r="X39" i="135"/>
  <c r="X36" i="135"/>
  <c r="X30" i="135"/>
  <c r="X28" i="135"/>
  <c r="X29" i="135" s="1"/>
  <c r="X14" i="135"/>
  <c r="X17" i="135"/>
  <c r="X18" i="135" s="1"/>
  <c r="X19" i="135"/>
  <c r="X15" i="135"/>
  <c r="Y4" i="135"/>
  <c r="O46" i="135"/>
  <c r="O45" i="135"/>
  <c r="W16" i="135"/>
  <c r="W72" i="135"/>
  <c r="AQ138" i="135"/>
  <c r="W23" i="135"/>
  <c r="N50" i="135"/>
  <c r="N129" i="135"/>
  <c r="N136" i="135"/>
  <c r="W41" i="135"/>
  <c r="W40" i="135"/>
  <c r="Y152" i="135" l="1"/>
  <c r="X21" i="135"/>
  <c r="X24" i="135" s="1"/>
  <c r="X23" i="135" s="1"/>
  <c r="X38" i="135"/>
  <c r="X37" i="135"/>
  <c r="X139" i="135"/>
  <c r="P47" i="135"/>
  <c r="P44" i="135"/>
  <c r="X41" i="135"/>
  <c r="X40" i="135"/>
  <c r="P32" i="135"/>
  <c r="Q27" i="135" s="1"/>
  <c r="E73" i="135"/>
  <c r="B73" i="135"/>
  <c r="D74" i="135"/>
  <c r="Y74" i="135" s="1"/>
  <c r="G73" i="135"/>
  <c r="F73" i="135"/>
  <c r="H73" i="135"/>
  <c r="I73" i="135"/>
  <c r="J73" i="135"/>
  <c r="K73" i="135"/>
  <c r="L73" i="135"/>
  <c r="M73" i="135"/>
  <c r="N73" i="135"/>
  <c r="O73" i="135"/>
  <c r="P73" i="135"/>
  <c r="Q73" i="135"/>
  <c r="R73" i="135"/>
  <c r="S73" i="135"/>
  <c r="T73" i="135"/>
  <c r="U73" i="135"/>
  <c r="V73" i="135"/>
  <c r="W73" i="135"/>
  <c r="Y72" i="135"/>
  <c r="Y71" i="135"/>
  <c r="Y63" i="135"/>
  <c r="Y60" i="135"/>
  <c r="Y58" i="135"/>
  <c r="Y70" i="135"/>
  <c r="Y69" i="135"/>
  <c r="Y68" i="135"/>
  <c r="Y67" i="135"/>
  <c r="Y66" i="135"/>
  <c r="Y62" i="135"/>
  <c r="Y52" i="135"/>
  <c r="Y141" i="135" s="1"/>
  <c r="Y73" i="135"/>
  <c r="Y65" i="135"/>
  <c r="Y64" i="135"/>
  <c r="Y61" i="135"/>
  <c r="Y59" i="135"/>
  <c r="Y53" i="135"/>
  <c r="Y57" i="135"/>
  <c r="Y36" i="135"/>
  <c r="Y30" i="135"/>
  <c r="Y28" i="135"/>
  <c r="Y29" i="135" s="1"/>
  <c r="Y39" i="135"/>
  <c r="Y15" i="135"/>
  <c r="Y17" i="135"/>
  <c r="Y18" i="135" s="1"/>
  <c r="Y14" i="135"/>
  <c r="Z4" i="135"/>
  <c r="Y19" i="135"/>
  <c r="X16" i="135"/>
  <c r="O50" i="135"/>
  <c r="O129" i="135"/>
  <c r="O136" i="135"/>
  <c r="AR138" i="135"/>
  <c r="X20" i="135"/>
  <c r="X22" i="135"/>
  <c r="V23" i="135"/>
  <c r="Z152" i="135" l="1"/>
  <c r="Y21" i="135"/>
  <c r="Y24" i="135" s="1"/>
  <c r="Y23" i="135" s="1"/>
  <c r="Q31" i="135"/>
  <c r="Y38" i="135"/>
  <c r="Y37" i="135"/>
  <c r="P45" i="135"/>
  <c r="P46" i="135"/>
  <c r="P49" i="135"/>
  <c r="P48" i="135"/>
  <c r="Z72" i="135"/>
  <c r="Z71" i="135"/>
  <c r="Z70" i="135"/>
  <c r="Z74" i="135"/>
  <c r="Z69" i="135"/>
  <c r="Z68" i="135"/>
  <c r="Z67" i="135"/>
  <c r="Z66" i="135"/>
  <c r="Z65" i="135"/>
  <c r="Z59" i="135"/>
  <c r="Z53" i="135"/>
  <c r="Z73" i="135"/>
  <c r="Z62" i="135"/>
  <c r="Z64" i="135"/>
  <c r="Z61" i="135"/>
  <c r="Z63" i="135"/>
  <c r="Z60" i="135"/>
  <c r="Z39" i="135"/>
  <c r="Z36" i="135"/>
  <c r="Z30" i="135"/>
  <c r="Z58" i="135"/>
  <c r="Z52" i="135"/>
  <c r="Z141" i="135" s="1"/>
  <c r="Z28" i="135"/>
  <c r="Z29" i="135" s="1"/>
  <c r="AA4" i="135"/>
  <c r="Z17" i="135"/>
  <c r="Z18" i="135" s="1"/>
  <c r="Z19" i="135"/>
  <c r="Z15" i="135"/>
  <c r="Z14" i="135"/>
  <c r="Y22" i="135"/>
  <c r="Y20" i="135"/>
  <c r="Y16" i="135"/>
  <c r="Y139" i="135"/>
  <c r="AS138" i="135"/>
  <c r="Y40" i="135"/>
  <c r="Y41" i="135"/>
  <c r="E74" i="135"/>
  <c r="D75" i="135"/>
  <c r="B74" i="135"/>
  <c r="F74" i="135"/>
  <c r="G74" i="135"/>
  <c r="H74" i="135"/>
  <c r="I74" i="135"/>
  <c r="J74" i="135"/>
  <c r="K74" i="135"/>
  <c r="L74" i="135"/>
  <c r="M74" i="135"/>
  <c r="N74" i="135"/>
  <c r="O74" i="135"/>
  <c r="P74" i="135"/>
  <c r="Q74" i="135"/>
  <c r="R74" i="135"/>
  <c r="S74" i="135"/>
  <c r="T74" i="135"/>
  <c r="U74" i="135"/>
  <c r="V74" i="135"/>
  <c r="W74" i="135"/>
  <c r="X74" i="135"/>
  <c r="AA152" i="135" l="1"/>
  <c r="Z20" i="135"/>
  <c r="Z38" i="135"/>
  <c r="Z37" i="135"/>
  <c r="P50" i="135"/>
  <c r="P129" i="135"/>
  <c r="P136" i="135"/>
  <c r="B75" i="135"/>
  <c r="D76" i="135"/>
  <c r="AA76" i="135" s="1"/>
  <c r="E75" i="135"/>
  <c r="G75" i="135"/>
  <c r="F75" i="135"/>
  <c r="H75" i="135"/>
  <c r="I75" i="135"/>
  <c r="J75" i="135"/>
  <c r="K75" i="135"/>
  <c r="L75" i="135"/>
  <c r="M75" i="135"/>
  <c r="N75" i="135"/>
  <c r="O75" i="135"/>
  <c r="P75" i="135"/>
  <c r="Q75" i="135"/>
  <c r="R75" i="135"/>
  <c r="S75" i="135"/>
  <c r="T75" i="135"/>
  <c r="U75" i="135"/>
  <c r="V75" i="135"/>
  <c r="W75" i="135"/>
  <c r="X75" i="135"/>
  <c r="Y75" i="135"/>
  <c r="Z41" i="135"/>
  <c r="Z40" i="135"/>
  <c r="Z75" i="135"/>
  <c r="Z16" i="135"/>
  <c r="AT138" i="135"/>
  <c r="Z21" i="135"/>
  <c r="Z24" i="135" s="1"/>
  <c r="AA75" i="135"/>
  <c r="AA71" i="135"/>
  <c r="AA70" i="135"/>
  <c r="AA74" i="135"/>
  <c r="AA72" i="135"/>
  <c r="AA69" i="135"/>
  <c r="AA68" i="135"/>
  <c r="AA67" i="135"/>
  <c r="AA66" i="135"/>
  <c r="AA73" i="135"/>
  <c r="AA64" i="135"/>
  <c r="AA61" i="135"/>
  <c r="AA28" i="135"/>
  <c r="AA29" i="135" s="1"/>
  <c r="AA65" i="135"/>
  <c r="AA63" i="135"/>
  <c r="AA60" i="135"/>
  <c r="AA59" i="135"/>
  <c r="AA62" i="135"/>
  <c r="AA53" i="135"/>
  <c r="AA52" i="135"/>
  <c r="AA141" i="135" s="1"/>
  <c r="AA30" i="135"/>
  <c r="AA19" i="135"/>
  <c r="AA39" i="135"/>
  <c r="AA17" i="135"/>
  <c r="AA18" i="135" s="1"/>
  <c r="AB4" i="135"/>
  <c r="AA36" i="135"/>
  <c r="AA14" i="135"/>
  <c r="AA15" i="135"/>
  <c r="Z139" i="135"/>
  <c r="Q47" i="135"/>
  <c r="Q44" i="135"/>
  <c r="Q32" i="135"/>
  <c r="R27" i="135" s="1"/>
  <c r="AB152" i="135" l="1"/>
  <c r="AA21" i="135"/>
  <c r="AA24" i="135" s="1"/>
  <c r="AA16" i="135"/>
  <c r="AA20" i="135"/>
  <c r="AA40" i="135"/>
  <c r="AA41" i="135"/>
  <c r="D77" i="135"/>
  <c r="AB77" i="135" s="1"/>
  <c r="E76" i="135"/>
  <c r="B76" i="135"/>
  <c r="G76" i="135"/>
  <c r="F76" i="135"/>
  <c r="H76" i="135"/>
  <c r="I76" i="135"/>
  <c r="J76" i="135"/>
  <c r="K76" i="135"/>
  <c r="L76" i="135"/>
  <c r="M76" i="135"/>
  <c r="N76" i="135"/>
  <c r="O76" i="135"/>
  <c r="P76" i="135"/>
  <c r="Q76" i="135"/>
  <c r="R76" i="135"/>
  <c r="S76" i="135"/>
  <c r="T76" i="135"/>
  <c r="U76" i="135"/>
  <c r="V76" i="135"/>
  <c r="W76" i="135"/>
  <c r="X76" i="135"/>
  <c r="Y76" i="135"/>
  <c r="Z76" i="135"/>
  <c r="AA37" i="135"/>
  <c r="AA38" i="135"/>
  <c r="AB75" i="135"/>
  <c r="AB70" i="135"/>
  <c r="AB68" i="135"/>
  <c r="AB66" i="135"/>
  <c r="AB64" i="135"/>
  <c r="AB62" i="135"/>
  <c r="AB73" i="135"/>
  <c r="AB71" i="135"/>
  <c r="AB74" i="135"/>
  <c r="AB72" i="135"/>
  <c r="AB69" i="135"/>
  <c r="AB67" i="135"/>
  <c r="AB76" i="135"/>
  <c r="AB65" i="135"/>
  <c r="AB63" i="135"/>
  <c r="AB61" i="135"/>
  <c r="AB60" i="135"/>
  <c r="AB39" i="135"/>
  <c r="AB52" i="135"/>
  <c r="AB141" i="135" s="1"/>
  <c r="AB53" i="135"/>
  <c r="AC4" i="135"/>
  <c r="AB28" i="135"/>
  <c r="AB29" i="135" s="1"/>
  <c r="AB36" i="135"/>
  <c r="AB14" i="135"/>
  <c r="AB30" i="135"/>
  <c r="AB17" i="135"/>
  <c r="AB18" i="135" s="1"/>
  <c r="AB19" i="135"/>
  <c r="AB15" i="135"/>
  <c r="R31" i="135"/>
  <c r="Q45" i="135"/>
  <c r="Q46" i="135"/>
  <c r="Q48" i="135"/>
  <c r="Q49" i="135"/>
  <c r="AA23" i="135"/>
  <c r="Z22" i="135"/>
  <c r="AA22" i="135" s="1"/>
  <c r="AA139" i="135"/>
  <c r="Z23" i="135"/>
  <c r="AU138" i="135"/>
  <c r="AC152" i="135" l="1"/>
  <c r="AB16" i="135"/>
  <c r="AB21" i="135"/>
  <c r="AB24" i="135" s="1"/>
  <c r="AB20" i="135"/>
  <c r="AB38" i="135"/>
  <c r="AB37" i="135"/>
  <c r="Q50" i="135"/>
  <c r="Q136" i="135"/>
  <c r="Q129" i="135"/>
  <c r="AB41" i="135"/>
  <c r="AB40" i="135"/>
  <c r="D78" i="135"/>
  <c r="AC78" i="135" s="1"/>
  <c r="E77" i="135"/>
  <c r="B77" i="135"/>
  <c r="G77" i="135"/>
  <c r="F77" i="135"/>
  <c r="H77" i="135"/>
  <c r="I77" i="135"/>
  <c r="J77" i="135"/>
  <c r="K77" i="135"/>
  <c r="L77" i="135"/>
  <c r="M77" i="135"/>
  <c r="N77" i="135"/>
  <c r="O77" i="135"/>
  <c r="P77" i="135"/>
  <c r="Q77" i="135"/>
  <c r="R77" i="135"/>
  <c r="S77" i="135"/>
  <c r="T77" i="135"/>
  <c r="U77" i="135"/>
  <c r="V77" i="135"/>
  <c r="W77" i="135"/>
  <c r="X77" i="135"/>
  <c r="Y77" i="135"/>
  <c r="Z77" i="135"/>
  <c r="AA77" i="135"/>
  <c r="AC75" i="135"/>
  <c r="AC77" i="135"/>
  <c r="AC71" i="135"/>
  <c r="AC69" i="135"/>
  <c r="AC67" i="135"/>
  <c r="AC65" i="135"/>
  <c r="AC74" i="135"/>
  <c r="AC72" i="135"/>
  <c r="AC70" i="135"/>
  <c r="AC68" i="135"/>
  <c r="AC66" i="135"/>
  <c r="AC76" i="135"/>
  <c r="AC73" i="135"/>
  <c r="AC64" i="135"/>
  <c r="AC63" i="135"/>
  <c r="AC61" i="135"/>
  <c r="AC62" i="135"/>
  <c r="AC52" i="135"/>
  <c r="AC141" i="135" s="1"/>
  <c r="AC53" i="135"/>
  <c r="AC28" i="135"/>
  <c r="AC29" i="135" s="1"/>
  <c r="AC39" i="135"/>
  <c r="AC36" i="135"/>
  <c r="AC30" i="135"/>
  <c r="AC17" i="135"/>
  <c r="AC18" i="135" s="1"/>
  <c r="AD4" i="135"/>
  <c r="AC19" i="135"/>
  <c r="AC15" i="135"/>
  <c r="AC14" i="135"/>
  <c r="AB139" i="135"/>
  <c r="AV138" i="135"/>
  <c r="R47" i="135"/>
  <c r="R44" i="135"/>
  <c r="R32" i="135"/>
  <c r="S27" i="135" s="1"/>
  <c r="AB23" i="135"/>
  <c r="AD152" i="135" l="1"/>
  <c r="AB22" i="135"/>
  <c r="AC20" i="135"/>
  <c r="AC41" i="135"/>
  <c r="AC40" i="135"/>
  <c r="AW138" i="135"/>
  <c r="AC139" i="135"/>
  <c r="AC21" i="135"/>
  <c r="AC24" i="135" s="1"/>
  <c r="AC16" i="135"/>
  <c r="S31" i="135"/>
  <c r="AD78" i="135"/>
  <c r="AD77" i="135"/>
  <c r="AD76" i="135"/>
  <c r="AD74" i="135"/>
  <c r="AD72" i="135"/>
  <c r="AD70" i="135"/>
  <c r="AD69" i="135"/>
  <c r="AD68" i="135"/>
  <c r="AD67" i="135"/>
  <c r="AD75" i="135"/>
  <c r="AD66" i="135"/>
  <c r="AD65" i="135"/>
  <c r="AD73" i="135"/>
  <c r="AD62" i="135"/>
  <c r="AD71" i="135"/>
  <c r="AD64" i="135"/>
  <c r="AD63" i="135"/>
  <c r="AD52" i="135"/>
  <c r="AD141" i="135" s="1"/>
  <c r="AD53" i="135"/>
  <c r="AD28" i="135"/>
  <c r="AD29" i="135" s="1"/>
  <c r="AD39" i="135"/>
  <c r="AD36" i="135"/>
  <c r="AD30" i="135"/>
  <c r="AD17" i="135"/>
  <c r="AD18" i="135" s="1"/>
  <c r="AE4" i="135"/>
  <c r="AD19" i="135"/>
  <c r="AD15" i="135"/>
  <c r="AD14" i="135"/>
  <c r="R45" i="135"/>
  <c r="R46" i="135"/>
  <c r="R49" i="135"/>
  <c r="R48" i="135"/>
  <c r="AC38" i="135"/>
  <c r="AC37" i="135"/>
  <c r="B78" i="135"/>
  <c r="D79" i="135"/>
  <c r="E78" i="135"/>
  <c r="F78" i="135"/>
  <c r="G78" i="135"/>
  <c r="H78" i="135"/>
  <c r="I78" i="135"/>
  <c r="J78" i="135"/>
  <c r="K78" i="135"/>
  <c r="L78" i="135"/>
  <c r="M78" i="135"/>
  <c r="N78" i="135"/>
  <c r="O78" i="135"/>
  <c r="P78" i="135"/>
  <c r="Q78" i="135"/>
  <c r="R78" i="135"/>
  <c r="S78" i="135"/>
  <c r="T78" i="135"/>
  <c r="U78" i="135"/>
  <c r="V78" i="135"/>
  <c r="W78" i="135"/>
  <c r="X78" i="135"/>
  <c r="Y78" i="135"/>
  <c r="Z78" i="135"/>
  <c r="AA78" i="135"/>
  <c r="AB78" i="135"/>
  <c r="AC22" i="135"/>
  <c r="AE152" i="135" l="1"/>
  <c r="AD20" i="135"/>
  <c r="S44" i="135"/>
  <c r="S47" i="135"/>
  <c r="AD139" i="135"/>
  <c r="S32" i="135"/>
  <c r="T27" i="135" s="1"/>
  <c r="AC23" i="135"/>
  <c r="AD21" i="135"/>
  <c r="AD24" i="135" s="1"/>
  <c r="AE79" i="135"/>
  <c r="AE77" i="135"/>
  <c r="AE75" i="135"/>
  <c r="AE73" i="135"/>
  <c r="AE78" i="135"/>
  <c r="AE76" i="135"/>
  <c r="AE72" i="135"/>
  <c r="AE74" i="135"/>
  <c r="AE69" i="135"/>
  <c r="AE68" i="135"/>
  <c r="AE67" i="135"/>
  <c r="AE66" i="135"/>
  <c r="AE53" i="135"/>
  <c r="AE65" i="135"/>
  <c r="AE52" i="135"/>
  <c r="AE141" i="135" s="1"/>
  <c r="AE70" i="135"/>
  <c r="AE64" i="135"/>
  <c r="AE63" i="135"/>
  <c r="AE39" i="135"/>
  <c r="AE36" i="135"/>
  <c r="AE30" i="135"/>
  <c r="AE71" i="135"/>
  <c r="AE28" i="135"/>
  <c r="AE29" i="135" s="1"/>
  <c r="AE15" i="135"/>
  <c r="AE17" i="135"/>
  <c r="AE18" i="135" s="1"/>
  <c r="AE19" i="135"/>
  <c r="AE14" i="135"/>
  <c r="AF4" i="135"/>
  <c r="AD22" i="135"/>
  <c r="B79" i="135"/>
  <c r="D80" i="135"/>
  <c r="E79" i="135"/>
  <c r="G79" i="135"/>
  <c r="F79" i="135"/>
  <c r="H79" i="135"/>
  <c r="I79" i="135"/>
  <c r="J79" i="135"/>
  <c r="K79" i="135"/>
  <c r="L79" i="135"/>
  <c r="M79" i="135"/>
  <c r="N79" i="135"/>
  <c r="O79" i="135"/>
  <c r="P79" i="135"/>
  <c r="Q79" i="135"/>
  <c r="R79" i="135"/>
  <c r="S79" i="135"/>
  <c r="T79" i="135"/>
  <c r="U79" i="135"/>
  <c r="V79" i="135"/>
  <c r="W79" i="135"/>
  <c r="X79" i="135"/>
  <c r="Y79" i="135"/>
  <c r="Z79" i="135"/>
  <c r="AA79" i="135"/>
  <c r="AB79" i="135"/>
  <c r="AC79" i="135"/>
  <c r="AD16" i="135"/>
  <c r="AD79" i="135"/>
  <c r="AD38" i="135"/>
  <c r="AD37" i="135"/>
  <c r="AX138" i="135"/>
  <c r="AD41" i="135"/>
  <c r="AD40" i="135"/>
  <c r="R50" i="135"/>
  <c r="R51" i="135" s="1"/>
  <c r="R136" i="135"/>
  <c r="R129" i="135"/>
  <c r="AF152" i="135" l="1"/>
  <c r="AE20" i="135"/>
  <c r="AE16" i="135"/>
  <c r="AE139" i="135"/>
  <c r="AD23" i="135"/>
  <c r="T31" i="135"/>
  <c r="D81" i="135"/>
  <c r="AF81" i="135" s="1"/>
  <c r="B80" i="135"/>
  <c r="E80" i="135"/>
  <c r="G80" i="135"/>
  <c r="F80" i="135"/>
  <c r="H80" i="135"/>
  <c r="I80" i="135"/>
  <c r="J80" i="135"/>
  <c r="K80" i="135"/>
  <c r="L80" i="135"/>
  <c r="M80" i="135"/>
  <c r="N80" i="135"/>
  <c r="O80" i="135"/>
  <c r="P80" i="135"/>
  <c r="Q80" i="135"/>
  <c r="R80" i="135"/>
  <c r="S80" i="135"/>
  <c r="T80" i="135"/>
  <c r="U80" i="135"/>
  <c r="V80" i="135"/>
  <c r="W80" i="135"/>
  <c r="X80" i="135"/>
  <c r="Y80" i="135"/>
  <c r="Z80" i="135"/>
  <c r="AA80" i="135"/>
  <c r="AB80" i="135"/>
  <c r="AC80" i="135"/>
  <c r="AD80" i="135"/>
  <c r="AF80" i="135"/>
  <c r="AF78" i="135"/>
  <c r="AF76" i="135"/>
  <c r="AF79" i="135"/>
  <c r="AF77" i="135"/>
  <c r="AF68" i="135"/>
  <c r="AF67" i="135"/>
  <c r="AF66" i="135"/>
  <c r="AF75" i="135"/>
  <c r="AF65" i="135"/>
  <c r="AF73" i="135"/>
  <c r="AF71" i="135"/>
  <c r="AF74" i="135"/>
  <c r="AF72" i="135"/>
  <c r="AF69" i="135"/>
  <c r="AF70" i="135"/>
  <c r="AF64" i="135"/>
  <c r="AF52" i="135"/>
  <c r="AF141" i="135" s="1"/>
  <c r="AF53" i="135"/>
  <c r="AF28" i="135"/>
  <c r="AF29" i="135" s="1"/>
  <c r="AF39" i="135"/>
  <c r="AF36" i="135"/>
  <c r="AF30" i="135"/>
  <c r="AF19" i="135"/>
  <c r="AF15" i="135"/>
  <c r="AF14" i="135"/>
  <c r="AF17" i="135"/>
  <c r="AF18" i="135" s="1"/>
  <c r="AG4" i="135"/>
  <c r="AE38" i="135"/>
  <c r="AE37" i="135"/>
  <c r="AY138" i="135"/>
  <c r="AE41" i="135"/>
  <c r="AE40" i="135"/>
  <c r="AE21" i="135"/>
  <c r="AE24" i="135" s="1"/>
  <c r="S48" i="135"/>
  <c r="S49" i="135"/>
  <c r="S46" i="135"/>
  <c r="S45" i="135"/>
  <c r="AE80" i="135"/>
  <c r="AG152" i="135" l="1"/>
  <c r="AF20" i="135"/>
  <c r="AG78" i="135"/>
  <c r="AG77" i="135"/>
  <c r="AG76" i="135"/>
  <c r="AG81" i="135"/>
  <c r="AG79" i="135"/>
  <c r="AG67" i="135"/>
  <c r="AG66" i="135"/>
  <c r="AG75" i="135"/>
  <c r="AG65" i="135"/>
  <c r="AG73" i="135"/>
  <c r="AG71" i="135"/>
  <c r="AG80" i="135"/>
  <c r="AG70" i="135"/>
  <c r="AG68" i="135"/>
  <c r="AG69" i="135"/>
  <c r="AG53" i="135"/>
  <c r="AG52" i="135"/>
  <c r="AG141" i="135" s="1"/>
  <c r="AG74" i="135"/>
  <c r="AG39" i="135"/>
  <c r="AG72" i="135"/>
  <c r="AG28" i="135"/>
  <c r="AG29" i="135" s="1"/>
  <c r="AG36" i="135"/>
  <c r="AG30" i="135"/>
  <c r="AG19" i="135"/>
  <c r="AG15" i="135"/>
  <c r="AG14" i="135"/>
  <c r="AH4" i="135"/>
  <c r="AG17" i="135"/>
  <c r="AG18" i="135" s="1"/>
  <c r="D82" i="135"/>
  <c r="AG82" i="135" s="1"/>
  <c r="E81" i="135"/>
  <c r="B81" i="135"/>
  <c r="G81" i="135"/>
  <c r="F81" i="135"/>
  <c r="H81" i="135"/>
  <c r="I81" i="135"/>
  <c r="J81" i="135"/>
  <c r="K81" i="135"/>
  <c r="L81" i="135"/>
  <c r="M81" i="135"/>
  <c r="N81" i="135"/>
  <c r="O81" i="135"/>
  <c r="P81" i="135"/>
  <c r="Q81" i="135"/>
  <c r="R81" i="135"/>
  <c r="S81" i="135"/>
  <c r="T81" i="135"/>
  <c r="U81" i="135"/>
  <c r="V81" i="135"/>
  <c r="W81" i="135"/>
  <c r="X81" i="135"/>
  <c r="Y81" i="135"/>
  <c r="Z81" i="135"/>
  <c r="AA81" i="135"/>
  <c r="AB81" i="135"/>
  <c r="AC81" i="135"/>
  <c r="AD81" i="135"/>
  <c r="AE81" i="135"/>
  <c r="T47" i="135"/>
  <c r="T44" i="135"/>
  <c r="AF16" i="135"/>
  <c r="T32" i="135"/>
  <c r="U27" i="135" s="1"/>
  <c r="S50" i="135"/>
  <c r="S129" i="135"/>
  <c r="S136" i="135"/>
  <c r="AE23" i="135"/>
  <c r="AF21" i="135"/>
  <c r="AF24" i="135" s="1"/>
  <c r="AF38" i="135"/>
  <c r="AF37" i="135"/>
  <c r="AF41" i="135"/>
  <c r="AF40" i="135"/>
  <c r="AZ138" i="135"/>
  <c r="AE22" i="135"/>
  <c r="AF139" i="135"/>
  <c r="AH152" i="135" l="1"/>
  <c r="AG20" i="135"/>
  <c r="AG16" i="135"/>
  <c r="AF23" i="135"/>
  <c r="AG40" i="135"/>
  <c r="AG41" i="135"/>
  <c r="AF22" i="135"/>
  <c r="D83" i="135"/>
  <c r="AH83" i="135" s="1"/>
  <c r="E82" i="135"/>
  <c r="B82" i="135"/>
  <c r="F82" i="135"/>
  <c r="G82" i="135"/>
  <c r="H82" i="135"/>
  <c r="I82" i="135"/>
  <c r="J82" i="135"/>
  <c r="K82" i="135"/>
  <c r="L82" i="135"/>
  <c r="M82" i="135"/>
  <c r="N82" i="135"/>
  <c r="O82" i="135"/>
  <c r="P82" i="135"/>
  <c r="Q82" i="135"/>
  <c r="R82" i="135"/>
  <c r="S82" i="135"/>
  <c r="T82" i="135"/>
  <c r="U82" i="135"/>
  <c r="V82" i="135"/>
  <c r="W82" i="135"/>
  <c r="X82" i="135"/>
  <c r="Y82" i="135"/>
  <c r="Z82" i="135"/>
  <c r="AA82" i="135"/>
  <c r="AB82" i="135"/>
  <c r="AC82" i="135"/>
  <c r="AD82" i="135"/>
  <c r="AE82" i="135"/>
  <c r="AF82" i="135"/>
  <c r="AG139" i="135"/>
  <c r="BA138" i="135"/>
  <c r="AG21" i="135"/>
  <c r="AG24" i="135" s="1"/>
  <c r="AH77" i="135"/>
  <c r="AH76" i="135"/>
  <c r="AH73" i="135"/>
  <c r="AH71" i="135"/>
  <c r="AH69" i="135"/>
  <c r="AH67" i="135"/>
  <c r="AH82" i="135"/>
  <c r="AH81" i="135"/>
  <c r="AH75" i="135"/>
  <c r="AH78" i="135"/>
  <c r="AH66" i="135"/>
  <c r="AH80" i="135"/>
  <c r="AH70" i="135"/>
  <c r="AH74" i="135"/>
  <c r="AH72" i="135"/>
  <c r="AH79" i="135"/>
  <c r="AH68" i="135"/>
  <c r="AH39" i="135"/>
  <c r="AH52" i="135"/>
  <c r="AH141" i="135" s="1"/>
  <c r="AH53" i="135"/>
  <c r="AH30" i="135"/>
  <c r="AH28" i="135"/>
  <c r="AH29" i="135" s="1"/>
  <c r="AH14" i="135"/>
  <c r="AH36" i="135"/>
  <c r="AI4" i="135"/>
  <c r="AH19" i="135"/>
  <c r="AH15" i="135"/>
  <c r="AH17" i="135"/>
  <c r="AH18" i="135" s="1"/>
  <c r="U31" i="135"/>
  <c r="T45" i="135"/>
  <c r="T46" i="135"/>
  <c r="AG37" i="135"/>
  <c r="AG38" i="135"/>
  <c r="T49" i="135"/>
  <c r="T48" i="135"/>
  <c r="AI152" i="135" l="1"/>
  <c r="AH16" i="135"/>
  <c r="AH20" i="135"/>
  <c r="T50" i="135"/>
  <c r="T136" i="135"/>
  <c r="T129" i="135"/>
  <c r="AH21" i="135"/>
  <c r="AH24" i="135" s="1"/>
  <c r="AI76" i="135"/>
  <c r="AI83" i="135"/>
  <c r="AI82" i="135"/>
  <c r="AI81" i="135"/>
  <c r="AI80" i="135"/>
  <c r="AI70" i="135"/>
  <c r="AI68" i="135"/>
  <c r="AI77" i="135"/>
  <c r="AI78" i="135"/>
  <c r="AI75" i="135"/>
  <c r="AI73" i="135"/>
  <c r="AI71" i="135"/>
  <c r="AI74" i="135"/>
  <c r="AI72" i="135"/>
  <c r="AI69" i="135"/>
  <c r="AI67" i="135"/>
  <c r="AI79" i="135"/>
  <c r="AI52" i="135"/>
  <c r="AI141" i="135" s="1"/>
  <c r="AI53" i="135"/>
  <c r="AI39" i="135"/>
  <c r="AI28" i="135"/>
  <c r="AI29" i="135" s="1"/>
  <c r="AI36" i="135"/>
  <c r="AI17" i="135"/>
  <c r="AI18" i="135" s="1"/>
  <c r="AI30" i="135"/>
  <c r="AI19" i="135"/>
  <c r="AI15" i="135"/>
  <c r="AI14" i="135"/>
  <c r="AJ4" i="135"/>
  <c r="AH37" i="135"/>
  <c r="AH38" i="135"/>
  <c r="D84" i="135"/>
  <c r="AI84" i="135" s="1"/>
  <c r="E83" i="135"/>
  <c r="B83" i="135"/>
  <c r="G83" i="135"/>
  <c r="F83" i="135"/>
  <c r="H83" i="135"/>
  <c r="I83" i="135"/>
  <c r="J83" i="135"/>
  <c r="K83" i="135"/>
  <c r="L83" i="135"/>
  <c r="M83" i="135"/>
  <c r="N83" i="135"/>
  <c r="O83" i="135"/>
  <c r="P83" i="135"/>
  <c r="Q83" i="135"/>
  <c r="R83" i="135"/>
  <c r="S83" i="135"/>
  <c r="T83" i="135"/>
  <c r="U83" i="135"/>
  <c r="V83" i="135"/>
  <c r="W83" i="135"/>
  <c r="X83" i="135"/>
  <c r="Y83" i="135"/>
  <c r="Z83" i="135"/>
  <c r="AA83" i="135"/>
  <c r="AB83" i="135"/>
  <c r="AC83" i="135"/>
  <c r="AD83" i="135"/>
  <c r="AE83" i="135"/>
  <c r="AF83" i="135"/>
  <c r="AG83" i="135"/>
  <c r="U44" i="135"/>
  <c r="U47" i="135"/>
  <c r="U32" i="135"/>
  <c r="V27" i="135" s="1"/>
  <c r="AH139" i="135"/>
  <c r="AG23" i="135"/>
  <c r="AG22" i="135"/>
  <c r="AH22" i="135" s="1"/>
  <c r="BB138" i="135"/>
  <c r="AH40" i="135"/>
  <c r="AH41" i="135"/>
  <c r="AJ152" i="135" l="1"/>
  <c r="AI20" i="135"/>
  <c r="AI16" i="135"/>
  <c r="BC138" i="135"/>
  <c r="AI21" i="135"/>
  <c r="AI24" i="135" s="1"/>
  <c r="U46" i="135"/>
  <c r="U45" i="135"/>
  <c r="AI38" i="135"/>
  <c r="AI37" i="135"/>
  <c r="D85" i="135"/>
  <c r="AJ85" i="135" s="1"/>
  <c r="E84" i="135"/>
  <c r="B84" i="135"/>
  <c r="F84" i="135"/>
  <c r="G84" i="135"/>
  <c r="H84" i="135"/>
  <c r="I84" i="135"/>
  <c r="J84" i="135"/>
  <c r="K84" i="135"/>
  <c r="L84" i="135"/>
  <c r="M84" i="135"/>
  <c r="N84" i="135"/>
  <c r="O84" i="135"/>
  <c r="P84" i="135"/>
  <c r="Q84" i="135"/>
  <c r="R84" i="135"/>
  <c r="S84" i="135"/>
  <c r="T84" i="135"/>
  <c r="U84" i="135"/>
  <c r="V84" i="135"/>
  <c r="W84" i="135"/>
  <c r="X84" i="135"/>
  <c r="Y84" i="135"/>
  <c r="Z84" i="135"/>
  <c r="AA84" i="135"/>
  <c r="AB84" i="135"/>
  <c r="AC84" i="135"/>
  <c r="AD84" i="135"/>
  <c r="AE84" i="135"/>
  <c r="AF84" i="135"/>
  <c r="AG84" i="135"/>
  <c r="AH84" i="135"/>
  <c r="AI41" i="135"/>
  <c r="AI40" i="135"/>
  <c r="V31" i="135"/>
  <c r="V32" i="135" s="1"/>
  <c r="W27" i="135" s="1"/>
  <c r="AI139" i="135"/>
  <c r="AH23" i="135"/>
  <c r="AJ74" i="135"/>
  <c r="AJ84" i="135"/>
  <c r="AJ83" i="135"/>
  <c r="AJ82" i="135"/>
  <c r="AJ81" i="135"/>
  <c r="AJ80" i="135"/>
  <c r="AJ79" i="135"/>
  <c r="AJ76" i="135"/>
  <c r="AJ78" i="135"/>
  <c r="AJ75" i="135"/>
  <c r="AJ73" i="135"/>
  <c r="AJ77" i="135"/>
  <c r="AJ52" i="135"/>
  <c r="AJ141" i="135" s="1"/>
  <c r="AJ71" i="135"/>
  <c r="AJ72" i="135"/>
  <c r="AJ70" i="135"/>
  <c r="AJ69" i="135"/>
  <c r="AJ68" i="135"/>
  <c r="AJ53" i="135"/>
  <c r="AJ36" i="135"/>
  <c r="AJ28" i="135"/>
  <c r="AJ29" i="135" s="1"/>
  <c r="AJ39" i="135"/>
  <c r="AJ30" i="135"/>
  <c r="AJ19" i="135"/>
  <c r="AJ15" i="135"/>
  <c r="AJ14" i="135"/>
  <c r="AJ17" i="135"/>
  <c r="AJ18" i="135" s="1"/>
  <c r="AK4" i="135"/>
  <c r="U49" i="135"/>
  <c r="U48" i="135"/>
  <c r="AK152" i="135" l="1"/>
  <c r="AI22" i="135"/>
  <c r="AJ21" i="135"/>
  <c r="AJ24" i="135" s="1"/>
  <c r="U50" i="135"/>
  <c r="U129" i="135"/>
  <c r="U136" i="135"/>
  <c r="AJ20" i="135"/>
  <c r="AJ16" i="135"/>
  <c r="V44" i="135"/>
  <c r="V47" i="135"/>
  <c r="E85" i="135"/>
  <c r="B85" i="135"/>
  <c r="D86" i="135"/>
  <c r="AK86" i="135" s="1"/>
  <c r="F85" i="135"/>
  <c r="G85" i="135"/>
  <c r="H85" i="135"/>
  <c r="I85" i="135"/>
  <c r="J85" i="135"/>
  <c r="K85" i="135"/>
  <c r="L85" i="135"/>
  <c r="M85" i="135"/>
  <c r="N85" i="135"/>
  <c r="O85" i="135"/>
  <c r="P85" i="135"/>
  <c r="Q85" i="135"/>
  <c r="R85" i="135"/>
  <c r="S85" i="135"/>
  <c r="T85" i="135"/>
  <c r="U85" i="135"/>
  <c r="V85" i="135"/>
  <c r="W85" i="135"/>
  <c r="X85" i="135"/>
  <c r="Y85" i="135"/>
  <c r="Z85" i="135"/>
  <c r="AA85" i="135"/>
  <c r="AB85" i="135"/>
  <c r="AC85" i="135"/>
  <c r="AD85" i="135"/>
  <c r="AE85" i="135"/>
  <c r="AF85" i="135"/>
  <c r="AG85" i="135"/>
  <c r="AH85" i="135"/>
  <c r="AI85" i="135"/>
  <c r="AJ139" i="135"/>
  <c r="W31" i="135"/>
  <c r="AK54" i="135" s="1"/>
  <c r="AJ41" i="135"/>
  <c r="AJ40" i="135"/>
  <c r="AJ22" i="135"/>
  <c r="AJ23" i="135"/>
  <c r="AJ38" i="135"/>
  <c r="AJ37" i="135"/>
  <c r="AI23" i="135"/>
  <c r="BD138" i="135"/>
  <c r="AK82" i="135"/>
  <c r="AK80" i="135"/>
  <c r="AK78" i="135"/>
  <c r="AK76" i="135"/>
  <c r="AK74" i="135"/>
  <c r="AK72" i="135"/>
  <c r="AK85" i="135"/>
  <c r="AK84" i="135"/>
  <c r="AK83" i="135"/>
  <c r="AK81" i="135"/>
  <c r="AK79" i="135"/>
  <c r="AK73" i="135"/>
  <c r="AK77" i="135"/>
  <c r="AK71" i="135"/>
  <c r="AK70" i="135"/>
  <c r="AK69" i="135"/>
  <c r="AK75" i="135"/>
  <c r="AK53" i="135"/>
  <c r="AK52" i="135"/>
  <c r="AK141" i="135" s="1"/>
  <c r="AK36" i="135"/>
  <c r="AK39" i="135"/>
  <c r="AK30" i="135"/>
  <c r="AK15" i="135"/>
  <c r="AK19" i="135"/>
  <c r="AK14" i="135"/>
  <c r="AK28" i="135"/>
  <c r="AK29" i="135" s="1"/>
  <c r="AK17" i="135"/>
  <c r="AK18" i="135" s="1"/>
  <c r="AL4" i="135"/>
  <c r="AL152" i="135" l="1"/>
  <c r="AK21" i="135"/>
  <c r="AK24" i="135" s="1"/>
  <c r="AL86" i="135"/>
  <c r="AL85" i="135"/>
  <c r="AL84" i="135"/>
  <c r="AL83" i="135"/>
  <c r="AL81" i="135"/>
  <c r="AL79" i="135"/>
  <c r="AL77" i="135"/>
  <c r="AL82" i="135"/>
  <c r="AL80" i="135"/>
  <c r="AL78" i="135"/>
  <c r="AL73" i="135"/>
  <c r="AL71" i="135"/>
  <c r="AL76" i="135"/>
  <c r="AL70" i="135"/>
  <c r="AL72" i="135"/>
  <c r="AL74" i="135"/>
  <c r="AL53" i="135"/>
  <c r="AL75" i="135"/>
  <c r="AL54" i="135"/>
  <c r="AL39" i="135"/>
  <c r="AL36" i="135"/>
  <c r="AL30" i="135"/>
  <c r="AL28" i="135"/>
  <c r="AL29" i="135" s="1"/>
  <c r="AL15" i="135"/>
  <c r="AL14" i="135"/>
  <c r="AL17" i="135"/>
  <c r="AL18" i="135" s="1"/>
  <c r="AL52" i="135"/>
  <c r="AL141" i="135" s="1"/>
  <c r="AL19" i="135"/>
  <c r="AM4" i="135"/>
  <c r="BE138" i="135"/>
  <c r="E86" i="135"/>
  <c r="B86" i="135"/>
  <c r="D87" i="135"/>
  <c r="AL87" i="135" s="1"/>
  <c r="F86" i="135"/>
  <c r="G86" i="135"/>
  <c r="H86" i="135"/>
  <c r="I86" i="135"/>
  <c r="J86" i="135"/>
  <c r="K86" i="135"/>
  <c r="L86" i="135"/>
  <c r="M86" i="135"/>
  <c r="N86" i="135"/>
  <c r="O86" i="135"/>
  <c r="P86" i="135"/>
  <c r="Q86" i="135"/>
  <c r="R86" i="135"/>
  <c r="S86" i="135"/>
  <c r="T86" i="135"/>
  <c r="U86" i="135"/>
  <c r="V86" i="135"/>
  <c r="W86" i="135"/>
  <c r="X86" i="135"/>
  <c r="Y86" i="135"/>
  <c r="Z86" i="135"/>
  <c r="AA86" i="135"/>
  <c r="AB86" i="135"/>
  <c r="AC86" i="135"/>
  <c r="AD86" i="135"/>
  <c r="AE86" i="135"/>
  <c r="AF86" i="135"/>
  <c r="AG86" i="135"/>
  <c r="AH86" i="135"/>
  <c r="AI86" i="135"/>
  <c r="AJ86" i="135"/>
  <c r="W47" i="135"/>
  <c r="W44" i="135"/>
  <c r="W54" i="135"/>
  <c r="X54" i="135"/>
  <c r="Y54" i="135"/>
  <c r="Z54" i="135"/>
  <c r="AA54" i="135"/>
  <c r="AB54" i="135"/>
  <c r="AC54" i="135"/>
  <c r="AD54" i="135"/>
  <c r="AE54" i="135"/>
  <c r="AF54" i="135"/>
  <c r="AG54" i="135"/>
  <c r="AH54" i="135"/>
  <c r="AI54" i="135"/>
  <c r="AJ54" i="135"/>
  <c r="W32" i="135"/>
  <c r="X27" i="135" s="1"/>
  <c r="V48" i="135"/>
  <c r="V49" i="135"/>
  <c r="AK23" i="135"/>
  <c r="V45" i="135"/>
  <c r="V46" i="135"/>
  <c r="AK139" i="135"/>
  <c r="AK20" i="135"/>
  <c r="AK16" i="135"/>
  <c r="AK41" i="135"/>
  <c r="AK40" i="135"/>
  <c r="AK22" i="135"/>
  <c r="AK37" i="135"/>
  <c r="AK38" i="135"/>
  <c r="AM152" i="135" l="1"/>
  <c r="AL16" i="135"/>
  <c r="AL21" i="135"/>
  <c r="AL24" i="135" s="1"/>
  <c r="AL23" i="135" s="1"/>
  <c r="BF138" i="135"/>
  <c r="AL38" i="135"/>
  <c r="AL37" i="135"/>
  <c r="AM87" i="135"/>
  <c r="AM85" i="135"/>
  <c r="AM86" i="135"/>
  <c r="AM84" i="135"/>
  <c r="AM83" i="135"/>
  <c r="AM82" i="135"/>
  <c r="AM75" i="135"/>
  <c r="AM81" i="135"/>
  <c r="AM80" i="135"/>
  <c r="AM79" i="135"/>
  <c r="AM78" i="135"/>
  <c r="AM77" i="135"/>
  <c r="AM72" i="135"/>
  <c r="AM71" i="135"/>
  <c r="AM76" i="135"/>
  <c r="AM74" i="135"/>
  <c r="AM73" i="135"/>
  <c r="AM54" i="135"/>
  <c r="AM53" i="135"/>
  <c r="AM52" i="135"/>
  <c r="AM141" i="135" s="1"/>
  <c r="AM28" i="135"/>
  <c r="AM29" i="135" s="1"/>
  <c r="AM39" i="135"/>
  <c r="AM36" i="135"/>
  <c r="AM30" i="135"/>
  <c r="AM19" i="135"/>
  <c r="AM17" i="135"/>
  <c r="AM18" i="135" s="1"/>
  <c r="AM15" i="135"/>
  <c r="AM14" i="135"/>
  <c r="AN4" i="135"/>
  <c r="AL40" i="135"/>
  <c r="AL41" i="135"/>
  <c r="AL139" i="135"/>
  <c r="V50" i="135"/>
  <c r="V129" i="135"/>
  <c r="V136" i="135"/>
  <c r="X31" i="135"/>
  <c r="AM55" i="135" s="1"/>
  <c r="AL20" i="135"/>
  <c r="D88" i="135"/>
  <c r="AM88" i="135" s="1"/>
  <c r="E87" i="135"/>
  <c r="B87" i="135"/>
  <c r="F87" i="135"/>
  <c r="G87" i="135"/>
  <c r="H87" i="135"/>
  <c r="I87" i="135"/>
  <c r="J87" i="135"/>
  <c r="K87" i="135"/>
  <c r="L87" i="135"/>
  <c r="M87" i="135"/>
  <c r="N87" i="135"/>
  <c r="O87" i="135"/>
  <c r="P87" i="135"/>
  <c r="Q87" i="135"/>
  <c r="R87" i="135"/>
  <c r="S87" i="135"/>
  <c r="T87" i="135"/>
  <c r="U87" i="135"/>
  <c r="V87" i="135"/>
  <c r="W87" i="135"/>
  <c r="X87" i="135"/>
  <c r="Y87" i="135"/>
  <c r="Z87" i="135"/>
  <c r="AA87" i="135"/>
  <c r="AB87" i="135"/>
  <c r="AC87" i="135"/>
  <c r="AD87" i="135"/>
  <c r="AE87" i="135"/>
  <c r="AF87" i="135"/>
  <c r="AG87" i="135"/>
  <c r="AH87" i="135"/>
  <c r="AI87" i="135"/>
  <c r="AJ87" i="135"/>
  <c r="AK87" i="135"/>
  <c r="W46" i="135"/>
  <c r="W45" i="135"/>
  <c r="W48" i="135"/>
  <c r="W49" i="135" s="1"/>
  <c r="AN152" i="135" l="1"/>
  <c r="AL22" i="135"/>
  <c r="AM21" i="135"/>
  <c r="AM24" i="135" s="1"/>
  <c r="X32" i="135"/>
  <c r="Y27" i="135" s="1"/>
  <c r="AM40" i="135"/>
  <c r="AM41" i="135"/>
  <c r="W50" i="135"/>
  <c r="W136" i="135"/>
  <c r="W129" i="135"/>
  <c r="AN88" i="135"/>
  <c r="AN84" i="135"/>
  <c r="AN87" i="135"/>
  <c r="AN85" i="135"/>
  <c r="AN83" i="135"/>
  <c r="AN82" i="135"/>
  <c r="AN75" i="135"/>
  <c r="AN81" i="135"/>
  <c r="AN80" i="135"/>
  <c r="AN86" i="135"/>
  <c r="AN79" i="135"/>
  <c r="AN78" i="135"/>
  <c r="AN77" i="135"/>
  <c r="AN76" i="135"/>
  <c r="AN74" i="135"/>
  <c r="AN72" i="135"/>
  <c r="AN55" i="135"/>
  <c r="AN54" i="135"/>
  <c r="AN73" i="135"/>
  <c r="AN52" i="135"/>
  <c r="AN141" i="135" s="1"/>
  <c r="AN53" i="135"/>
  <c r="AN36" i="135"/>
  <c r="AN30" i="135"/>
  <c r="AN39" i="135"/>
  <c r="AO4" i="135"/>
  <c r="AN28" i="135"/>
  <c r="AN29" i="135" s="1"/>
  <c r="AN14" i="135"/>
  <c r="AN17" i="135"/>
  <c r="AN18" i="135" s="1"/>
  <c r="AN15" i="135"/>
  <c r="AN19" i="135"/>
  <c r="BG138" i="135"/>
  <c r="D89" i="135"/>
  <c r="E88" i="135"/>
  <c r="B88" i="135"/>
  <c r="F88" i="135"/>
  <c r="G88" i="135"/>
  <c r="H88" i="135"/>
  <c r="I88" i="135"/>
  <c r="J88" i="135"/>
  <c r="K88" i="135"/>
  <c r="L88" i="135"/>
  <c r="M88" i="135"/>
  <c r="N88" i="135"/>
  <c r="O88" i="135"/>
  <c r="P88" i="135"/>
  <c r="Q88" i="135"/>
  <c r="R88" i="135"/>
  <c r="S88" i="135"/>
  <c r="T88" i="135"/>
  <c r="U88" i="135"/>
  <c r="V88" i="135"/>
  <c r="W88" i="135"/>
  <c r="X88" i="135"/>
  <c r="Y88" i="135"/>
  <c r="Z88" i="135"/>
  <c r="AA88" i="135"/>
  <c r="AB88" i="135"/>
  <c r="AC88" i="135"/>
  <c r="AD88" i="135"/>
  <c r="AE88" i="135"/>
  <c r="AF88" i="135"/>
  <c r="AG88" i="135"/>
  <c r="AH88" i="135"/>
  <c r="AI88" i="135"/>
  <c r="AJ88" i="135"/>
  <c r="AK88" i="135"/>
  <c r="AL88" i="135"/>
  <c r="AM20" i="135"/>
  <c r="AM16" i="135"/>
  <c r="AM23" i="135"/>
  <c r="AM139" i="135"/>
  <c r="X47" i="135"/>
  <c r="X44" i="135"/>
  <c r="X55" i="135"/>
  <c r="Y55" i="135"/>
  <c r="Z55" i="135"/>
  <c r="AA55" i="135"/>
  <c r="AB55" i="135"/>
  <c r="AC55" i="135"/>
  <c r="AD55" i="135"/>
  <c r="AE55" i="135"/>
  <c r="AF55" i="135"/>
  <c r="AG55" i="135"/>
  <c r="AH55" i="135"/>
  <c r="AI55" i="135"/>
  <c r="AJ55" i="135"/>
  <c r="AK55" i="135"/>
  <c r="AL55" i="135"/>
  <c r="Y31" i="135"/>
  <c r="AN56" i="135" s="1"/>
  <c r="AM37" i="135"/>
  <c r="AM38" i="135"/>
  <c r="AO152" i="135" l="1"/>
  <c r="G269" i="135" s="1"/>
  <c r="I267" i="135" s="1"/>
  <c r="I298" i="135" s="1"/>
  <c r="AM22" i="135"/>
  <c r="AN21" i="135"/>
  <c r="AN24" i="135" s="1"/>
  <c r="Y32" i="135"/>
  <c r="Z27" i="135" s="1"/>
  <c r="AN38" i="135"/>
  <c r="AN37" i="135"/>
  <c r="E89" i="135"/>
  <c r="B89" i="135"/>
  <c r="D90" i="135"/>
  <c r="F89" i="135"/>
  <c r="G89" i="135"/>
  <c r="H89" i="135"/>
  <c r="I89" i="135"/>
  <c r="J89" i="135"/>
  <c r="K89" i="135"/>
  <c r="L89" i="135"/>
  <c r="M89" i="135"/>
  <c r="N89" i="135"/>
  <c r="O89" i="135"/>
  <c r="P89" i="135"/>
  <c r="Q89" i="135"/>
  <c r="R89" i="135"/>
  <c r="S89" i="135"/>
  <c r="T89" i="135"/>
  <c r="U89" i="135"/>
  <c r="V89" i="135"/>
  <c r="W89" i="135"/>
  <c r="X89" i="135"/>
  <c r="Y89" i="135"/>
  <c r="Z89" i="135"/>
  <c r="AA89" i="135"/>
  <c r="AB89" i="135"/>
  <c r="AC89" i="135"/>
  <c r="AD89" i="135"/>
  <c r="AE89" i="135"/>
  <c r="AF89" i="135"/>
  <c r="AG89" i="135"/>
  <c r="AH89" i="135"/>
  <c r="AI89" i="135"/>
  <c r="AJ89" i="135"/>
  <c r="AK89" i="135"/>
  <c r="AL89" i="135"/>
  <c r="AM89" i="135"/>
  <c r="AN89" i="135"/>
  <c r="BH138" i="135"/>
  <c r="AN139" i="135"/>
  <c r="AN23" i="135"/>
  <c r="X46" i="135"/>
  <c r="X45" i="135"/>
  <c r="X48" i="135"/>
  <c r="AN16" i="135"/>
  <c r="AN20" i="135"/>
  <c r="AO87" i="135"/>
  <c r="AO85" i="135"/>
  <c r="AO88" i="135"/>
  <c r="AO89" i="135"/>
  <c r="AO90" i="135"/>
  <c r="AO86" i="135"/>
  <c r="AO83" i="135"/>
  <c r="AO84" i="135"/>
  <c r="AO82" i="135"/>
  <c r="AO75" i="135"/>
  <c r="AO81" i="135"/>
  <c r="AO80" i="135"/>
  <c r="AO79" i="135"/>
  <c r="AO78" i="135"/>
  <c r="AO77" i="135"/>
  <c r="AO76" i="135"/>
  <c r="AO73" i="135"/>
  <c r="AO74" i="135"/>
  <c r="AO54" i="135"/>
  <c r="AO52" i="135"/>
  <c r="AO141" i="135" s="1"/>
  <c r="AO53" i="135"/>
  <c r="AO55" i="135"/>
  <c r="AO56" i="135"/>
  <c r="AO36" i="135"/>
  <c r="AO30" i="135"/>
  <c r="AO39" i="135"/>
  <c r="AO28" i="135"/>
  <c r="AO29" i="135" s="1"/>
  <c r="AO17" i="135"/>
  <c r="AO18" i="135" s="1"/>
  <c r="AP4" i="135"/>
  <c r="AO15" i="135"/>
  <c r="AO19" i="135"/>
  <c r="AO14" i="135"/>
  <c r="AN22" i="135"/>
  <c r="Y44" i="135"/>
  <c r="Y47" i="135"/>
  <c r="Y56" i="135"/>
  <c r="Z56" i="135"/>
  <c r="AA56" i="135"/>
  <c r="AB56" i="135"/>
  <c r="AC56" i="135"/>
  <c r="AD56" i="135"/>
  <c r="AE56" i="135"/>
  <c r="AF56" i="135"/>
  <c r="AG56" i="135"/>
  <c r="AH56" i="135"/>
  <c r="AI56" i="135"/>
  <c r="AJ56" i="135"/>
  <c r="AK56" i="135"/>
  <c r="AL56" i="135"/>
  <c r="AM56" i="135"/>
  <c r="AN41" i="135"/>
  <c r="AN40" i="135"/>
  <c r="J298" i="135" l="1"/>
  <c r="H298" i="135"/>
  <c r="G298" i="135" s="1"/>
  <c r="AP152" i="135"/>
  <c r="AO20" i="135"/>
  <c r="Y46" i="135"/>
  <c r="Y45" i="135"/>
  <c r="BI138" i="135"/>
  <c r="B90" i="135"/>
  <c r="E90" i="135"/>
  <c r="D91" i="135"/>
  <c r="AP91" i="135" s="1"/>
  <c r="G90" i="135"/>
  <c r="F90" i="135"/>
  <c r="H90" i="135"/>
  <c r="I90" i="135"/>
  <c r="J90" i="135"/>
  <c r="K90" i="135"/>
  <c r="L90" i="135"/>
  <c r="M90" i="135"/>
  <c r="N90" i="135"/>
  <c r="O90" i="135"/>
  <c r="P90" i="135"/>
  <c r="Q90" i="135"/>
  <c r="R90" i="135"/>
  <c r="S90" i="135"/>
  <c r="T90" i="135"/>
  <c r="U90" i="135"/>
  <c r="V90" i="135"/>
  <c r="W90" i="135"/>
  <c r="X90" i="135"/>
  <c r="Y90" i="135"/>
  <c r="Z90" i="135"/>
  <c r="AA90" i="135"/>
  <c r="AB90" i="135"/>
  <c r="AC90" i="135"/>
  <c r="AD90" i="135"/>
  <c r="AE90" i="135"/>
  <c r="AF90" i="135"/>
  <c r="AG90" i="135"/>
  <c r="AH90" i="135"/>
  <c r="AI90" i="135"/>
  <c r="AJ90" i="135"/>
  <c r="AK90" i="135"/>
  <c r="AL90" i="135"/>
  <c r="AM90" i="135"/>
  <c r="AN90" i="135"/>
  <c r="AO139" i="135"/>
  <c r="AO16" i="135"/>
  <c r="AP86" i="135"/>
  <c r="AP85" i="135"/>
  <c r="AP87" i="135"/>
  <c r="AP88" i="135"/>
  <c r="AP89" i="135"/>
  <c r="AP90" i="135"/>
  <c r="AP84" i="135"/>
  <c r="AP82" i="135"/>
  <c r="AP75" i="135"/>
  <c r="AP81" i="135"/>
  <c r="AP80" i="135"/>
  <c r="AP79" i="135"/>
  <c r="AP78" i="135"/>
  <c r="AP77" i="135"/>
  <c r="AP76" i="135"/>
  <c r="AP83" i="135"/>
  <c r="AP74" i="135"/>
  <c r="AP56" i="135"/>
  <c r="AP52" i="135"/>
  <c r="AP141" i="135" s="1"/>
  <c r="AP53" i="135"/>
  <c r="AP55" i="135"/>
  <c r="AP39" i="135"/>
  <c r="AP54" i="135"/>
  <c r="AP30" i="135"/>
  <c r="AP28" i="135"/>
  <c r="AP29" i="135" s="1"/>
  <c r="AP17" i="135"/>
  <c r="AP18" i="135" s="1"/>
  <c r="AQ4" i="135"/>
  <c r="AP36" i="135"/>
  <c r="AP19" i="135"/>
  <c r="AP15" i="135"/>
  <c r="AP14" i="135"/>
  <c r="AO21" i="135"/>
  <c r="AO24" i="135" s="1"/>
  <c r="AO41" i="135"/>
  <c r="AO40" i="135"/>
  <c r="Z31" i="135"/>
  <c r="AP57" i="135" s="1"/>
  <c r="X50" i="135"/>
  <c r="X136" i="135"/>
  <c r="X129" i="135"/>
  <c r="Y48" i="135"/>
  <c r="AO38" i="135"/>
  <c r="AO37" i="135"/>
  <c r="X49" i="135"/>
  <c r="AQ152" i="135" l="1"/>
  <c r="AP20" i="135"/>
  <c r="Y49" i="135"/>
  <c r="AP21" i="135"/>
  <c r="AP24" i="135" s="1"/>
  <c r="Y50" i="135"/>
  <c r="Y129" i="135"/>
  <c r="Y136" i="135"/>
  <c r="AP38" i="135"/>
  <c r="AP37" i="135"/>
  <c r="AQ85" i="135"/>
  <c r="AQ87" i="135"/>
  <c r="AQ88" i="135"/>
  <c r="AQ83" i="135"/>
  <c r="AQ81" i="135"/>
  <c r="AQ79" i="135"/>
  <c r="AQ77" i="135"/>
  <c r="AQ75" i="135"/>
  <c r="AQ89" i="135"/>
  <c r="AQ90" i="135"/>
  <c r="AQ91" i="135"/>
  <c r="AQ86" i="135"/>
  <c r="AQ80" i="135"/>
  <c r="AQ78" i="135"/>
  <c r="AQ76" i="135"/>
  <c r="AQ84" i="135"/>
  <c r="AQ82" i="135"/>
  <c r="AQ57" i="135"/>
  <c r="AQ55" i="135"/>
  <c r="AQ53" i="135"/>
  <c r="AQ52" i="135"/>
  <c r="AQ141" i="135" s="1"/>
  <c r="AQ39" i="135"/>
  <c r="AQ36" i="135"/>
  <c r="AQ30" i="135"/>
  <c r="AQ56" i="135"/>
  <c r="AQ54" i="135"/>
  <c r="AQ15" i="135"/>
  <c r="AQ28" i="135"/>
  <c r="AQ29" i="135" s="1"/>
  <c r="AQ17" i="135"/>
  <c r="AQ18" i="135" s="1"/>
  <c r="AR4" i="135"/>
  <c r="AQ19" i="135"/>
  <c r="AQ14" i="135"/>
  <c r="E91" i="135"/>
  <c r="D92" i="135"/>
  <c r="B91" i="135"/>
  <c r="G91" i="135"/>
  <c r="F91" i="135"/>
  <c r="H91" i="135"/>
  <c r="I91" i="135"/>
  <c r="J91" i="135"/>
  <c r="K91" i="135"/>
  <c r="L91" i="135"/>
  <c r="M91" i="135"/>
  <c r="N91" i="135"/>
  <c r="O91" i="135"/>
  <c r="P91" i="135"/>
  <c r="Q91" i="135"/>
  <c r="R91" i="135"/>
  <c r="S91" i="135"/>
  <c r="T91" i="135"/>
  <c r="U91" i="135"/>
  <c r="V91" i="135"/>
  <c r="W91" i="135"/>
  <c r="X91" i="135"/>
  <c r="Y91" i="135"/>
  <c r="Z91" i="135"/>
  <c r="AA91" i="135"/>
  <c r="AB91" i="135"/>
  <c r="AC91" i="135"/>
  <c r="AD91" i="135"/>
  <c r="AE91" i="135"/>
  <c r="AF91" i="135"/>
  <c r="AG91" i="135"/>
  <c r="AH91" i="135"/>
  <c r="AI91" i="135"/>
  <c r="AJ91" i="135"/>
  <c r="AK91" i="135"/>
  <c r="AL91" i="135"/>
  <c r="AM91" i="135"/>
  <c r="AN91" i="135"/>
  <c r="AO91" i="135"/>
  <c r="AP16" i="135"/>
  <c r="Z44" i="135"/>
  <c r="Z47" i="135"/>
  <c r="Z57" i="135"/>
  <c r="AA57" i="135"/>
  <c r="AB57" i="135"/>
  <c r="AC57" i="135"/>
  <c r="AD57" i="135"/>
  <c r="AE57" i="135"/>
  <c r="AF57" i="135"/>
  <c r="AG57" i="135"/>
  <c r="AH57" i="135"/>
  <c r="AI57" i="135"/>
  <c r="AJ57" i="135"/>
  <c r="AK57" i="135"/>
  <c r="AL57" i="135"/>
  <c r="AM57" i="135"/>
  <c r="AN57" i="135"/>
  <c r="AO57" i="135"/>
  <c r="Z32" i="135"/>
  <c r="AA27" i="135" s="1"/>
  <c r="AP41" i="135"/>
  <c r="AP40" i="135"/>
  <c r="AO23" i="135"/>
  <c r="BJ138" i="135"/>
  <c r="AP139" i="135"/>
  <c r="AO22" i="135"/>
  <c r="AP22" i="135" s="1"/>
  <c r="AR152" i="135" l="1"/>
  <c r="AQ16" i="135"/>
  <c r="AQ21" i="135"/>
  <c r="AQ24" i="135" s="1"/>
  <c r="AQ23" i="135" s="1"/>
  <c r="BK138" i="135"/>
  <c r="AQ139" i="135"/>
  <c r="Z48" i="135"/>
  <c r="Z49" i="135" s="1"/>
  <c r="AA31" i="135"/>
  <c r="Z46" i="135"/>
  <c r="Z45" i="135"/>
  <c r="D93" i="135"/>
  <c r="AR93" i="135" s="1"/>
  <c r="B92" i="135"/>
  <c r="E92" i="135"/>
  <c r="F92" i="135"/>
  <c r="G92" i="135"/>
  <c r="H92" i="135"/>
  <c r="I92" i="135"/>
  <c r="J92" i="135"/>
  <c r="K92" i="135"/>
  <c r="L92" i="135"/>
  <c r="M92" i="135"/>
  <c r="N92" i="135"/>
  <c r="O92" i="135"/>
  <c r="P92" i="135"/>
  <c r="Q92" i="135"/>
  <c r="R92" i="135"/>
  <c r="S92" i="135"/>
  <c r="T92" i="135"/>
  <c r="U92" i="135"/>
  <c r="V92" i="135"/>
  <c r="W92" i="135"/>
  <c r="X92" i="135"/>
  <c r="Y92" i="135"/>
  <c r="Z92" i="135"/>
  <c r="AA92" i="135"/>
  <c r="AB92" i="135"/>
  <c r="AC92" i="135"/>
  <c r="AD92" i="135"/>
  <c r="AE92" i="135"/>
  <c r="AF92" i="135"/>
  <c r="AG92" i="135"/>
  <c r="AH92" i="135"/>
  <c r="AI92" i="135"/>
  <c r="AJ92" i="135"/>
  <c r="AK92" i="135"/>
  <c r="AL92" i="135"/>
  <c r="AM92" i="135"/>
  <c r="AN92" i="135"/>
  <c r="AO92" i="135"/>
  <c r="AP92" i="135"/>
  <c r="AQ22" i="135"/>
  <c r="AQ20" i="135"/>
  <c r="AR91" i="135"/>
  <c r="AR89" i="135"/>
  <c r="AR87" i="135"/>
  <c r="AR92" i="135"/>
  <c r="AR90" i="135"/>
  <c r="AR88" i="135"/>
  <c r="AR86" i="135"/>
  <c r="AR84" i="135"/>
  <c r="AR85" i="135"/>
  <c r="AR82" i="135"/>
  <c r="AR80" i="135"/>
  <c r="AR78" i="135"/>
  <c r="AR76" i="135"/>
  <c r="AR81" i="135"/>
  <c r="AR79" i="135"/>
  <c r="AR77" i="135"/>
  <c r="AR83" i="135"/>
  <c r="AR58" i="135"/>
  <c r="AR56" i="135"/>
  <c r="AR54" i="135"/>
  <c r="AR57" i="135"/>
  <c r="AR55" i="135"/>
  <c r="AR53" i="135"/>
  <c r="AR28" i="135"/>
  <c r="AR29" i="135" s="1"/>
  <c r="AR52" i="135"/>
  <c r="AR141" i="135" s="1"/>
  <c r="AR39" i="135"/>
  <c r="AR36" i="135"/>
  <c r="AR30" i="135"/>
  <c r="AR17" i="135"/>
  <c r="AR18" i="135" s="1"/>
  <c r="AS4" i="135"/>
  <c r="AR19" i="135"/>
  <c r="AR15" i="135"/>
  <c r="AR14" i="135"/>
  <c r="AQ38" i="135"/>
  <c r="AQ37" i="135"/>
  <c r="AP23" i="135"/>
  <c r="AQ40" i="135"/>
  <c r="AQ41" i="135"/>
  <c r="AQ92" i="135"/>
  <c r="AS152" i="135" l="1"/>
  <c r="AR16" i="135"/>
  <c r="AR21" i="135"/>
  <c r="AR24" i="135" s="1"/>
  <c r="AR139" i="135"/>
  <c r="AR20" i="135"/>
  <c r="AA47" i="135"/>
  <c r="AA44" i="135"/>
  <c r="AA58" i="135"/>
  <c r="AB58" i="135"/>
  <c r="AC58" i="135"/>
  <c r="AD58" i="135"/>
  <c r="AE58" i="135"/>
  <c r="AF58" i="135"/>
  <c r="AG58" i="135"/>
  <c r="AH58" i="135"/>
  <c r="AI58" i="135"/>
  <c r="AJ58" i="135"/>
  <c r="AK58" i="135"/>
  <c r="AL58" i="135"/>
  <c r="AM58" i="135"/>
  <c r="AN58" i="135"/>
  <c r="AO58" i="135"/>
  <c r="AP58" i="135"/>
  <c r="AQ58" i="135"/>
  <c r="AA32" i="135"/>
  <c r="AB27" i="135" s="1"/>
  <c r="D94" i="135"/>
  <c r="E93" i="135"/>
  <c r="B93" i="135"/>
  <c r="G93" i="135"/>
  <c r="F93" i="135"/>
  <c r="H93" i="135"/>
  <c r="I93" i="135"/>
  <c r="J93" i="135"/>
  <c r="K93" i="135"/>
  <c r="L93" i="135"/>
  <c r="M93" i="135"/>
  <c r="N93" i="135"/>
  <c r="O93" i="135"/>
  <c r="P93" i="135"/>
  <c r="Q93" i="135"/>
  <c r="R93" i="135"/>
  <c r="S93" i="135"/>
  <c r="T93" i="135"/>
  <c r="U93" i="135"/>
  <c r="V93" i="135"/>
  <c r="W93" i="135"/>
  <c r="X93" i="135"/>
  <c r="Y93" i="135"/>
  <c r="Z93" i="135"/>
  <c r="AA93" i="135"/>
  <c r="AB93" i="135"/>
  <c r="AC93" i="135"/>
  <c r="AD93" i="135"/>
  <c r="AE93" i="135"/>
  <c r="AF93" i="135"/>
  <c r="AG93" i="135"/>
  <c r="AH93" i="135"/>
  <c r="AI93" i="135"/>
  <c r="AJ93" i="135"/>
  <c r="AK93" i="135"/>
  <c r="AL93" i="135"/>
  <c r="AM93" i="135"/>
  <c r="AN93" i="135"/>
  <c r="AO93" i="135"/>
  <c r="AP93" i="135"/>
  <c r="AQ93" i="135"/>
  <c r="Z50" i="135"/>
  <c r="Z129" i="135"/>
  <c r="Z136" i="135"/>
  <c r="AR23" i="135"/>
  <c r="AS94" i="135"/>
  <c r="AS91" i="135"/>
  <c r="AS87" i="135"/>
  <c r="AS88" i="135"/>
  <c r="AS89" i="135"/>
  <c r="AS90" i="135"/>
  <c r="AS92" i="135"/>
  <c r="AS86" i="135"/>
  <c r="AS93" i="135"/>
  <c r="AS85" i="135"/>
  <c r="AS80" i="135"/>
  <c r="AS79" i="135"/>
  <c r="AS78" i="135"/>
  <c r="AS77" i="135"/>
  <c r="AS83" i="135"/>
  <c r="AS81" i="135"/>
  <c r="AS84" i="135"/>
  <c r="AS82" i="135"/>
  <c r="AS58" i="135"/>
  <c r="AS57" i="135"/>
  <c r="AS56" i="135"/>
  <c r="AS55" i="135"/>
  <c r="AS54" i="135"/>
  <c r="AS52" i="135"/>
  <c r="AS141" i="135" s="1"/>
  <c r="AS53" i="135"/>
  <c r="AS39" i="135"/>
  <c r="AS28" i="135"/>
  <c r="AS29" i="135" s="1"/>
  <c r="AS36" i="135"/>
  <c r="AS30" i="135"/>
  <c r="AS19" i="135"/>
  <c r="AS17" i="135"/>
  <c r="AS18" i="135" s="1"/>
  <c r="AS15" i="135"/>
  <c r="AS14" i="135"/>
  <c r="AT4" i="135"/>
  <c r="AR38" i="135"/>
  <c r="AR37" i="135"/>
  <c r="AR41" i="135"/>
  <c r="AR40" i="135"/>
  <c r="BL138" i="135"/>
  <c r="AT152" i="135" l="1"/>
  <c r="AR22" i="135"/>
  <c r="AS16" i="135"/>
  <c r="AS21" i="135"/>
  <c r="AS24" i="135" s="1"/>
  <c r="AS23" i="135" s="1"/>
  <c r="AS20" i="135"/>
  <c r="AA45" i="135"/>
  <c r="AA46" i="135"/>
  <c r="AA48" i="135"/>
  <c r="AA49" i="135" s="1"/>
  <c r="AS22" i="135"/>
  <c r="AT94" i="135"/>
  <c r="AT90" i="135"/>
  <c r="AT87" i="135"/>
  <c r="AT88" i="135"/>
  <c r="AT89" i="135"/>
  <c r="AT91" i="135"/>
  <c r="AT92" i="135"/>
  <c r="AT86" i="135"/>
  <c r="AT84" i="135"/>
  <c r="AT79" i="135"/>
  <c r="AT78" i="135"/>
  <c r="AT85" i="135"/>
  <c r="AT83" i="135"/>
  <c r="AT82" i="135"/>
  <c r="AT93" i="135"/>
  <c r="AT80" i="135"/>
  <c r="AT81" i="135"/>
  <c r="AT58" i="135"/>
  <c r="AT57" i="135"/>
  <c r="AT56" i="135"/>
  <c r="AT55" i="135"/>
  <c r="AT54" i="135"/>
  <c r="AT52" i="135"/>
  <c r="AT141" i="135" s="1"/>
  <c r="AT53" i="135"/>
  <c r="AT28" i="135"/>
  <c r="AT29" i="135" s="1"/>
  <c r="AT14" i="135"/>
  <c r="AT36" i="135"/>
  <c r="AT30" i="135"/>
  <c r="AU4" i="135"/>
  <c r="AT19" i="135"/>
  <c r="AT15" i="135"/>
  <c r="AT39" i="135"/>
  <c r="AT17" i="135"/>
  <c r="AT18" i="135" s="1"/>
  <c r="BM138" i="135"/>
  <c r="AS38" i="135"/>
  <c r="AS37" i="135"/>
  <c r="AS40" i="135"/>
  <c r="AS41" i="135"/>
  <c r="D95" i="135"/>
  <c r="E94" i="135"/>
  <c r="B94" i="135"/>
  <c r="F94" i="135"/>
  <c r="G94" i="135"/>
  <c r="H94" i="135"/>
  <c r="I94" i="135"/>
  <c r="J94" i="135"/>
  <c r="K94" i="135"/>
  <c r="L94" i="135"/>
  <c r="M94" i="135"/>
  <c r="N94" i="135"/>
  <c r="O94" i="135"/>
  <c r="P94" i="135"/>
  <c r="Q94" i="135"/>
  <c r="R94" i="135"/>
  <c r="S94" i="135"/>
  <c r="T94" i="135"/>
  <c r="U94" i="135"/>
  <c r="V94" i="135"/>
  <c r="W94" i="135"/>
  <c r="X94" i="135"/>
  <c r="Y94" i="135"/>
  <c r="Z94" i="135"/>
  <c r="AA94" i="135"/>
  <c r="AB94" i="135"/>
  <c r="AC94" i="135"/>
  <c r="AD94" i="135"/>
  <c r="AE94" i="135"/>
  <c r="AF94" i="135"/>
  <c r="AG94" i="135"/>
  <c r="AH94" i="135"/>
  <c r="AI94" i="135"/>
  <c r="AJ94" i="135"/>
  <c r="AK94" i="135"/>
  <c r="AL94" i="135"/>
  <c r="AM94" i="135"/>
  <c r="AN94" i="135"/>
  <c r="AO94" i="135"/>
  <c r="AP94" i="135"/>
  <c r="AQ94" i="135"/>
  <c r="AR94" i="135"/>
  <c r="AB31" i="135"/>
  <c r="AT59" i="135" s="1"/>
  <c r="AS139" i="135"/>
  <c r="AU152" i="135" l="1"/>
  <c r="AT16" i="135"/>
  <c r="AT21" i="135"/>
  <c r="AT24" i="135" s="1"/>
  <c r="AT23" i="135" s="1"/>
  <c r="AB32" i="135"/>
  <c r="AC27" i="135" s="1"/>
  <c r="AA50" i="135"/>
  <c r="AA129" i="135"/>
  <c r="AA136" i="135"/>
  <c r="AT40" i="135"/>
  <c r="AT41" i="135"/>
  <c r="AU95" i="135"/>
  <c r="AU94" i="135"/>
  <c r="AU89" i="135"/>
  <c r="AU88" i="135"/>
  <c r="AU90" i="135"/>
  <c r="AU91" i="135"/>
  <c r="AU92" i="135"/>
  <c r="AU86" i="135"/>
  <c r="AU93" i="135"/>
  <c r="AU85" i="135"/>
  <c r="AU87" i="135"/>
  <c r="AU83" i="135"/>
  <c r="AU82" i="135"/>
  <c r="AU84" i="135"/>
  <c r="AU81" i="135"/>
  <c r="AU79" i="135"/>
  <c r="AU80" i="135"/>
  <c r="AU59" i="135"/>
  <c r="AU58" i="135"/>
  <c r="AU57" i="135"/>
  <c r="AU56" i="135"/>
  <c r="AU55" i="135"/>
  <c r="AU53" i="135"/>
  <c r="AU52" i="135"/>
  <c r="AU141" i="135" s="1"/>
  <c r="AU39" i="135"/>
  <c r="AU54" i="135"/>
  <c r="AU28" i="135"/>
  <c r="AU29" i="135" s="1"/>
  <c r="AU17" i="135"/>
  <c r="AU18" i="135" s="1"/>
  <c r="AU36" i="135"/>
  <c r="AU30" i="135"/>
  <c r="AU19" i="135"/>
  <c r="AU15" i="135"/>
  <c r="AU14" i="135"/>
  <c r="AV4" i="135"/>
  <c r="D96" i="135"/>
  <c r="E95" i="135"/>
  <c r="B95" i="135"/>
  <c r="G95" i="135"/>
  <c r="F95" i="135"/>
  <c r="H95" i="135"/>
  <c r="I95" i="135"/>
  <c r="J95" i="135"/>
  <c r="K95" i="135"/>
  <c r="L95" i="135"/>
  <c r="M95" i="135"/>
  <c r="N95" i="135"/>
  <c r="O95" i="135"/>
  <c r="P95" i="135"/>
  <c r="Q95" i="135"/>
  <c r="R95" i="135"/>
  <c r="S95" i="135"/>
  <c r="T95" i="135"/>
  <c r="U95" i="135"/>
  <c r="V95" i="135"/>
  <c r="W95" i="135"/>
  <c r="X95" i="135"/>
  <c r="Y95" i="135"/>
  <c r="Z95" i="135"/>
  <c r="AA95" i="135"/>
  <c r="AB95" i="135"/>
  <c r="AC95" i="135"/>
  <c r="AD95" i="135"/>
  <c r="AE95" i="135"/>
  <c r="AF95" i="135"/>
  <c r="AG95" i="135"/>
  <c r="AH95" i="135"/>
  <c r="AI95" i="135"/>
  <c r="AJ95" i="135"/>
  <c r="AK95" i="135"/>
  <c r="AL95" i="135"/>
  <c r="AM95" i="135"/>
  <c r="AN95" i="135"/>
  <c r="AO95" i="135"/>
  <c r="AP95" i="135"/>
  <c r="AQ95" i="135"/>
  <c r="AR95" i="135"/>
  <c r="AS95" i="135"/>
  <c r="AT37" i="135"/>
  <c r="AT38" i="135"/>
  <c r="AT95" i="135"/>
  <c r="AT20" i="135"/>
  <c r="AB44" i="135"/>
  <c r="AB47" i="135"/>
  <c r="AB59" i="135"/>
  <c r="AC59" i="135"/>
  <c r="AD59" i="135"/>
  <c r="AE59" i="135"/>
  <c r="AF59" i="135"/>
  <c r="AG59" i="135"/>
  <c r="AH59" i="135"/>
  <c r="AI59" i="135"/>
  <c r="AJ59" i="135"/>
  <c r="AK59" i="135"/>
  <c r="AL59" i="135"/>
  <c r="AM59" i="135"/>
  <c r="AN59" i="135"/>
  <c r="AO59" i="135"/>
  <c r="AP59" i="135"/>
  <c r="AQ59" i="135"/>
  <c r="AR59" i="135"/>
  <c r="AS59" i="135"/>
  <c r="BN138" i="135"/>
  <c r="AT139" i="135"/>
  <c r="AV152" i="135" l="1"/>
  <c r="AU21" i="135"/>
  <c r="AU24" i="135" s="1"/>
  <c r="AU16" i="135"/>
  <c r="AT22" i="135"/>
  <c r="AB48" i="135"/>
  <c r="AB49" i="135" s="1"/>
  <c r="AB46" i="135"/>
  <c r="AB45" i="135"/>
  <c r="AU41" i="135"/>
  <c r="AU40" i="135"/>
  <c r="BO138" i="135"/>
  <c r="AU139" i="135"/>
  <c r="D97" i="135"/>
  <c r="AV97" i="135" s="1"/>
  <c r="E96" i="135"/>
  <c r="B96" i="135"/>
  <c r="G96" i="135"/>
  <c r="F96" i="135"/>
  <c r="H96" i="135"/>
  <c r="I96" i="135"/>
  <c r="J96" i="135"/>
  <c r="K96" i="135"/>
  <c r="L96" i="135"/>
  <c r="M96" i="135"/>
  <c r="N96" i="135"/>
  <c r="O96" i="135"/>
  <c r="P96" i="135"/>
  <c r="Q96" i="135"/>
  <c r="R96" i="135"/>
  <c r="S96" i="135"/>
  <c r="T96" i="135"/>
  <c r="U96" i="135"/>
  <c r="V96" i="135"/>
  <c r="W96" i="135"/>
  <c r="X96" i="135"/>
  <c r="Y96" i="135"/>
  <c r="Z96" i="135"/>
  <c r="AA96" i="135"/>
  <c r="AB96" i="135"/>
  <c r="AC96" i="135"/>
  <c r="AD96" i="135"/>
  <c r="AE96" i="135"/>
  <c r="AF96" i="135"/>
  <c r="AG96" i="135"/>
  <c r="AH96" i="135"/>
  <c r="AI96" i="135"/>
  <c r="AJ96" i="135"/>
  <c r="AK96" i="135"/>
  <c r="AL96" i="135"/>
  <c r="AM96" i="135"/>
  <c r="AN96" i="135"/>
  <c r="AO96" i="135"/>
  <c r="AP96" i="135"/>
  <c r="AQ96" i="135"/>
  <c r="AR96" i="135"/>
  <c r="AS96" i="135"/>
  <c r="AT96" i="135"/>
  <c r="AV96" i="135"/>
  <c r="AV95" i="135"/>
  <c r="AV94" i="135"/>
  <c r="AV93" i="135"/>
  <c r="AV88" i="135"/>
  <c r="AV89" i="135"/>
  <c r="AV90" i="135"/>
  <c r="AV91" i="135"/>
  <c r="AV92" i="135"/>
  <c r="AV86" i="135"/>
  <c r="AV85" i="135"/>
  <c r="AV83" i="135"/>
  <c r="AV82" i="135"/>
  <c r="AV84" i="135"/>
  <c r="AV81" i="135"/>
  <c r="AV52" i="135"/>
  <c r="AV141" i="135" s="1"/>
  <c r="AV80" i="135"/>
  <c r="AV87" i="135"/>
  <c r="AV59" i="135"/>
  <c r="AV58" i="135"/>
  <c r="AV57" i="135"/>
  <c r="AV56" i="135"/>
  <c r="AV55" i="135"/>
  <c r="AV39" i="135"/>
  <c r="AV54" i="135"/>
  <c r="AV30" i="135"/>
  <c r="AV53" i="135"/>
  <c r="AV28" i="135"/>
  <c r="AV29" i="135" s="1"/>
  <c r="AV36" i="135"/>
  <c r="AV19" i="135"/>
  <c r="AV15" i="135"/>
  <c r="AV14" i="135"/>
  <c r="AV17" i="135"/>
  <c r="AV18" i="135" s="1"/>
  <c r="AW4" i="135"/>
  <c r="AU20" i="135"/>
  <c r="AU23" i="135"/>
  <c r="AU22" i="135"/>
  <c r="AU38" i="135"/>
  <c r="AU37" i="135"/>
  <c r="AU96" i="135"/>
  <c r="AC31" i="135"/>
  <c r="AW152" i="135" l="1"/>
  <c r="AV20" i="135"/>
  <c r="AC47" i="135"/>
  <c r="AC44" i="135"/>
  <c r="AC60" i="135"/>
  <c r="AD60" i="135"/>
  <c r="AE60" i="135"/>
  <c r="AF60" i="135"/>
  <c r="AG60" i="135"/>
  <c r="AH60" i="135"/>
  <c r="AI60" i="135"/>
  <c r="AJ60" i="135"/>
  <c r="AK60" i="135"/>
  <c r="AL60" i="135"/>
  <c r="AM60" i="135"/>
  <c r="AN60" i="135"/>
  <c r="AO60" i="135"/>
  <c r="AP60" i="135"/>
  <c r="AQ60" i="135"/>
  <c r="AR60" i="135"/>
  <c r="AS60" i="135"/>
  <c r="AT60" i="135"/>
  <c r="AU60" i="135"/>
  <c r="AV60" i="135"/>
  <c r="AV40" i="135"/>
  <c r="AV41" i="135"/>
  <c r="BP138" i="135"/>
  <c r="AV16" i="135"/>
  <c r="AW95" i="135"/>
  <c r="AW94" i="135"/>
  <c r="AW93" i="135"/>
  <c r="AW92" i="135"/>
  <c r="AW87" i="135"/>
  <c r="AW96" i="135"/>
  <c r="AW89" i="135"/>
  <c r="AW90" i="135"/>
  <c r="AW91" i="135"/>
  <c r="AW86" i="135"/>
  <c r="AW82" i="135"/>
  <c r="AW97" i="135"/>
  <c r="AW88" i="135"/>
  <c r="AW85" i="135"/>
  <c r="AW83" i="135"/>
  <c r="AW84" i="135"/>
  <c r="AW81" i="135"/>
  <c r="AW60" i="135"/>
  <c r="AW58" i="135"/>
  <c r="AW56" i="135"/>
  <c r="AW54" i="135"/>
  <c r="AW59" i="135"/>
  <c r="AW57" i="135"/>
  <c r="AW55" i="135"/>
  <c r="AW53" i="135"/>
  <c r="AW52" i="135"/>
  <c r="AW141" i="135" s="1"/>
  <c r="AW39" i="135"/>
  <c r="AW28" i="135"/>
  <c r="AW29" i="135" s="1"/>
  <c r="AW36" i="135"/>
  <c r="AW30" i="135"/>
  <c r="AW15" i="135"/>
  <c r="AW19" i="135"/>
  <c r="AW14" i="135"/>
  <c r="AW17" i="135"/>
  <c r="AW18" i="135" s="1"/>
  <c r="AX4" i="135"/>
  <c r="AC32" i="135"/>
  <c r="AD27" i="135" s="1"/>
  <c r="AV21" i="135"/>
  <c r="AV24" i="135" s="1"/>
  <c r="AV38" i="135"/>
  <c r="AV37" i="135"/>
  <c r="AV139" i="135"/>
  <c r="D98" i="135"/>
  <c r="AW98" i="135" s="1"/>
  <c r="B97" i="135"/>
  <c r="E97" i="135"/>
  <c r="F97" i="135"/>
  <c r="G97" i="135"/>
  <c r="H97" i="135"/>
  <c r="I97" i="135"/>
  <c r="J97" i="135"/>
  <c r="K97" i="135"/>
  <c r="L97" i="135"/>
  <c r="M97" i="135"/>
  <c r="N97" i="135"/>
  <c r="O97" i="135"/>
  <c r="P97" i="135"/>
  <c r="Q97" i="135"/>
  <c r="R97" i="135"/>
  <c r="S97" i="135"/>
  <c r="T97" i="135"/>
  <c r="U97" i="135"/>
  <c r="V97" i="135"/>
  <c r="W97" i="135"/>
  <c r="X97" i="135"/>
  <c r="Y97" i="135"/>
  <c r="Z97" i="135"/>
  <c r="AA97" i="135"/>
  <c r="AB97" i="135"/>
  <c r="AC97" i="135"/>
  <c r="AD97" i="135"/>
  <c r="AE97" i="135"/>
  <c r="AF97" i="135"/>
  <c r="AG97" i="135"/>
  <c r="AH97" i="135"/>
  <c r="AI97" i="135"/>
  <c r="AJ97" i="135"/>
  <c r="AK97" i="135"/>
  <c r="AL97" i="135"/>
  <c r="AM97" i="135"/>
  <c r="AN97" i="135"/>
  <c r="AO97" i="135"/>
  <c r="AP97" i="135"/>
  <c r="AQ97" i="135"/>
  <c r="AR97" i="135"/>
  <c r="AS97" i="135"/>
  <c r="AT97" i="135"/>
  <c r="AU97" i="135"/>
  <c r="AB50" i="135"/>
  <c r="AB129" i="135"/>
  <c r="AB136" i="135"/>
  <c r="AX152" i="135" l="1"/>
  <c r="AV22" i="135"/>
  <c r="AW21" i="135"/>
  <c r="AW24" i="135" s="1"/>
  <c r="AW23" i="135" s="1"/>
  <c r="AW16" i="135"/>
  <c r="AW38" i="135"/>
  <c r="AW37" i="135"/>
  <c r="AW40" i="135"/>
  <c r="AW41" i="135"/>
  <c r="AW22" i="135"/>
  <c r="AV23" i="135"/>
  <c r="AW139" i="135"/>
  <c r="AD31" i="135"/>
  <c r="AD32" i="135" s="1"/>
  <c r="AE27" i="135" s="1"/>
  <c r="AX98" i="135"/>
  <c r="AX96" i="135"/>
  <c r="AX94" i="135"/>
  <c r="AX92" i="135"/>
  <c r="AX90" i="135"/>
  <c r="AX88" i="135"/>
  <c r="AX86" i="135"/>
  <c r="AX97" i="135"/>
  <c r="AX95" i="135"/>
  <c r="AX93" i="135"/>
  <c r="AX91" i="135"/>
  <c r="AX89" i="135"/>
  <c r="AX87" i="135"/>
  <c r="AX85" i="135"/>
  <c r="AX83" i="135"/>
  <c r="AX84" i="135"/>
  <c r="AX82" i="135"/>
  <c r="AX59" i="135"/>
  <c r="AX57" i="135"/>
  <c r="AX55" i="135"/>
  <c r="AX53" i="135"/>
  <c r="AX58" i="135"/>
  <c r="AX56" i="135"/>
  <c r="AX39" i="135"/>
  <c r="AX36" i="135"/>
  <c r="AX30" i="135"/>
  <c r="AX60" i="135"/>
  <c r="AX54" i="135"/>
  <c r="AX52" i="135"/>
  <c r="AX141" i="135" s="1"/>
  <c r="AX28" i="135"/>
  <c r="AX29" i="135" s="1"/>
  <c r="AX19" i="135"/>
  <c r="AX15" i="135"/>
  <c r="AX14" i="135"/>
  <c r="AX17" i="135"/>
  <c r="AX18" i="135" s="1"/>
  <c r="AY4" i="135"/>
  <c r="AC46" i="135"/>
  <c r="AC45" i="135"/>
  <c r="E98" i="135"/>
  <c r="B98" i="135"/>
  <c r="D99" i="135"/>
  <c r="F98" i="135"/>
  <c r="G98" i="135"/>
  <c r="H98" i="135"/>
  <c r="I98" i="135"/>
  <c r="J98" i="135"/>
  <c r="K98" i="135"/>
  <c r="L98" i="135"/>
  <c r="M98" i="135"/>
  <c r="N98" i="135"/>
  <c r="O98" i="135"/>
  <c r="P98" i="135"/>
  <c r="Q98" i="135"/>
  <c r="R98" i="135"/>
  <c r="S98" i="135"/>
  <c r="T98" i="135"/>
  <c r="U98" i="135"/>
  <c r="V98" i="135"/>
  <c r="W98" i="135"/>
  <c r="X98" i="135"/>
  <c r="Y98" i="135"/>
  <c r="Z98" i="135"/>
  <c r="AA98" i="135"/>
  <c r="AB98" i="135"/>
  <c r="AC98" i="135"/>
  <c r="AD98" i="135"/>
  <c r="AE98" i="135"/>
  <c r="AF98" i="135"/>
  <c r="AG98" i="135"/>
  <c r="AH98" i="135"/>
  <c r="AI98" i="135"/>
  <c r="AJ98" i="135"/>
  <c r="AK98" i="135"/>
  <c r="AL98" i="135"/>
  <c r="AM98" i="135"/>
  <c r="AN98" i="135"/>
  <c r="AO98" i="135"/>
  <c r="AP98" i="135"/>
  <c r="AQ98" i="135"/>
  <c r="AR98" i="135"/>
  <c r="AS98" i="135"/>
  <c r="AT98" i="135"/>
  <c r="AU98" i="135"/>
  <c r="AV98" i="135"/>
  <c r="AW20" i="135"/>
  <c r="BQ138" i="135"/>
  <c r="AC48" i="135"/>
  <c r="AC49" i="135" s="1"/>
  <c r="AY152" i="135" l="1"/>
  <c r="AX20" i="135"/>
  <c r="AE31" i="135"/>
  <c r="D100" i="135"/>
  <c r="E99" i="135"/>
  <c r="B99" i="135"/>
  <c r="F99" i="135"/>
  <c r="G99" i="135"/>
  <c r="H99" i="135"/>
  <c r="I99" i="135"/>
  <c r="J99" i="135"/>
  <c r="K99" i="135"/>
  <c r="L99" i="135"/>
  <c r="M99" i="135"/>
  <c r="N99" i="135"/>
  <c r="O99" i="135"/>
  <c r="P99" i="135"/>
  <c r="Q99" i="135"/>
  <c r="R99" i="135"/>
  <c r="S99" i="135"/>
  <c r="T99" i="135"/>
  <c r="U99" i="135"/>
  <c r="V99" i="135"/>
  <c r="W99" i="135"/>
  <c r="X99" i="135"/>
  <c r="Y99" i="135"/>
  <c r="Z99" i="135"/>
  <c r="AA99" i="135"/>
  <c r="AB99" i="135"/>
  <c r="AC99" i="135"/>
  <c r="AD99" i="135"/>
  <c r="AE99" i="135"/>
  <c r="AF99" i="135"/>
  <c r="AG99" i="135"/>
  <c r="AH99" i="135"/>
  <c r="AI99" i="135"/>
  <c r="AJ99" i="135"/>
  <c r="AK99" i="135"/>
  <c r="AL99" i="135"/>
  <c r="AM99" i="135"/>
  <c r="AN99" i="135"/>
  <c r="AO99" i="135"/>
  <c r="AP99" i="135"/>
  <c r="AQ99" i="135"/>
  <c r="AR99" i="135"/>
  <c r="AS99" i="135"/>
  <c r="AT99" i="135"/>
  <c r="AU99" i="135"/>
  <c r="AV99" i="135"/>
  <c r="AW99" i="135"/>
  <c r="AX37" i="135"/>
  <c r="AX38" i="135"/>
  <c r="AX41" i="135"/>
  <c r="AX40" i="135"/>
  <c r="AD44" i="135"/>
  <c r="AD47" i="135"/>
  <c r="AD61" i="135"/>
  <c r="AE61" i="135"/>
  <c r="AF61" i="135"/>
  <c r="AG61" i="135"/>
  <c r="AH61" i="135"/>
  <c r="AI61" i="135"/>
  <c r="AJ61" i="135"/>
  <c r="AK61" i="135"/>
  <c r="AL61" i="135"/>
  <c r="AM61" i="135"/>
  <c r="AN61" i="135"/>
  <c r="AO61" i="135"/>
  <c r="AP61" i="135"/>
  <c r="AQ61" i="135"/>
  <c r="AR61" i="135"/>
  <c r="AS61" i="135"/>
  <c r="AT61" i="135"/>
  <c r="AU61" i="135"/>
  <c r="AV61" i="135"/>
  <c r="AW61" i="135"/>
  <c r="BR138" i="135"/>
  <c r="AY99" i="135"/>
  <c r="AY98" i="135"/>
  <c r="AY100" i="135"/>
  <c r="AY94" i="135"/>
  <c r="AY93" i="135"/>
  <c r="AY91" i="135"/>
  <c r="AY97" i="135"/>
  <c r="AY95" i="135"/>
  <c r="AY96" i="135"/>
  <c r="AY90" i="135"/>
  <c r="AY86" i="135"/>
  <c r="AY92" i="135"/>
  <c r="AY84" i="135"/>
  <c r="AY87" i="135"/>
  <c r="AY89" i="135"/>
  <c r="AY85" i="135"/>
  <c r="AY88" i="135"/>
  <c r="AY83" i="135"/>
  <c r="AY58" i="135"/>
  <c r="AY57" i="135"/>
  <c r="AY56" i="135"/>
  <c r="AY55" i="135"/>
  <c r="AY28" i="135"/>
  <c r="AY29" i="135" s="1"/>
  <c r="AY54" i="135"/>
  <c r="AY62" i="135"/>
  <c r="AY61" i="135"/>
  <c r="AY59" i="135"/>
  <c r="AY60" i="135"/>
  <c r="AY52" i="135"/>
  <c r="AY141" i="135" s="1"/>
  <c r="AY53" i="135"/>
  <c r="AY36" i="135"/>
  <c r="AY19" i="135"/>
  <c r="AY30" i="135"/>
  <c r="AY39" i="135"/>
  <c r="AY15" i="135"/>
  <c r="AY14" i="135"/>
  <c r="AY17" i="135"/>
  <c r="AY18" i="135" s="1"/>
  <c r="AZ4" i="135"/>
  <c r="AX16" i="135"/>
  <c r="AX21" i="135"/>
  <c r="AX24" i="135" s="1"/>
  <c r="AX61" i="135"/>
  <c r="AX99" i="135"/>
  <c r="AC50" i="135"/>
  <c r="AC129" i="135"/>
  <c r="AC136" i="135"/>
  <c r="AX139" i="135"/>
  <c r="AZ152" i="135" l="1"/>
  <c r="AY21" i="135"/>
  <c r="AY24" i="135" s="1"/>
  <c r="AY23" i="135" s="1"/>
  <c r="AX22" i="135"/>
  <c r="AY37" i="135"/>
  <c r="AY38" i="135"/>
  <c r="AX23" i="135"/>
  <c r="BS138" i="135"/>
  <c r="AD48" i="135"/>
  <c r="AD49" i="135" s="1"/>
  <c r="AD45" i="135"/>
  <c r="AD46" i="135"/>
  <c r="AZ100" i="135"/>
  <c r="AZ93" i="135"/>
  <c r="AZ90" i="135"/>
  <c r="AZ99" i="135"/>
  <c r="AZ97" i="135"/>
  <c r="AZ96" i="135"/>
  <c r="AZ91" i="135"/>
  <c r="AZ86" i="135"/>
  <c r="AZ92" i="135"/>
  <c r="AZ84" i="135"/>
  <c r="AZ85" i="135"/>
  <c r="AZ95" i="135"/>
  <c r="AZ87" i="135"/>
  <c r="AZ88" i="135"/>
  <c r="AZ98" i="135"/>
  <c r="AZ94" i="135"/>
  <c r="AZ62" i="135"/>
  <c r="AZ89" i="135"/>
  <c r="AZ57" i="135"/>
  <c r="AZ56" i="135"/>
  <c r="AZ55" i="135"/>
  <c r="AZ54" i="135"/>
  <c r="AZ60" i="135"/>
  <c r="AZ58" i="135"/>
  <c r="AZ52" i="135"/>
  <c r="AZ141" i="135" s="1"/>
  <c r="AZ53" i="135"/>
  <c r="AZ61" i="135"/>
  <c r="AZ59" i="135"/>
  <c r="AZ36" i="135"/>
  <c r="BA4" i="135"/>
  <c r="AZ30" i="135"/>
  <c r="AZ39" i="135"/>
  <c r="AZ14" i="135"/>
  <c r="AZ19" i="135"/>
  <c r="AZ15" i="135"/>
  <c r="AZ28" i="135"/>
  <c r="AZ29" i="135" s="1"/>
  <c r="AZ17" i="135"/>
  <c r="AZ18" i="135" s="1"/>
  <c r="AY20" i="135"/>
  <c r="AY16" i="135"/>
  <c r="E100" i="135"/>
  <c r="D101" i="135"/>
  <c r="AZ101" i="135" s="1"/>
  <c r="B100" i="135"/>
  <c r="G100" i="135"/>
  <c r="F100" i="135"/>
  <c r="H100" i="135"/>
  <c r="I100" i="135"/>
  <c r="J100" i="135"/>
  <c r="K100" i="135"/>
  <c r="L100" i="135"/>
  <c r="M100" i="135"/>
  <c r="N100" i="135"/>
  <c r="O100" i="135"/>
  <c r="P100" i="135"/>
  <c r="Q100" i="135"/>
  <c r="R100" i="135"/>
  <c r="S100" i="135"/>
  <c r="T100" i="135"/>
  <c r="U100" i="135"/>
  <c r="V100" i="135"/>
  <c r="W100" i="135"/>
  <c r="X100" i="135"/>
  <c r="Y100" i="135"/>
  <c r="Z100" i="135"/>
  <c r="AA100" i="135"/>
  <c r="AB100" i="135"/>
  <c r="AC100" i="135"/>
  <c r="AD100" i="135"/>
  <c r="AE100" i="135"/>
  <c r="AF100" i="135"/>
  <c r="AG100" i="135"/>
  <c r="AH100" i="135"/>
  <c r="AI100" i="135"/>
  <c r="AJ100" i="135"/>
  <c r="AK100" i="135"/>
  <c r="AL100" i="135"/>
  <c r="AM100" i="135"/>
  <c r="AN100" i="135"/>
  <c r="AO100" i="135"/>
  <c r="AP100" i="135"/>
  <c r="AQ100" i="135"/>
  <c r="AR100" i="135"/>
  <c r="AS100" i="135"/>
  <c r="AT100" i="135"/>
  <c r="AU100" i="135"/>
  <c r="AV100" i="135"/>
  <c r="AW100" i="135"/>
  <c r="AX100" i="135"/>
  <c r="AY139" i="135"/>
  <c r="AY40" i="135"/>
  <c r="AY41" i="135"/>
  <c r="AE44" i="135"/>
  <c r="AE47" i="135"/>
  <c r="AE62" i="135"/>
  <c r="AF62" i="135"/>
  <c r="AG62" i="135"/>
  <c r="AH62" i="135"/>
  <c r="AI62" i="135"/>
  <c r="AJ62" i="135"/>
  <c r="AK62" i="135"/>
  <c r="AL62" i="135"/>
  <c r="AM62" i="135"/>
  <c r="AN62" i="135"/>
  <c r="AO62" i="135"/>
  <c r="AP62" i="135"/>
  <c r="AQ62" i="135"/>
  <c r="AR62" i="135"/>
  <c r="AS62" i="135"/>
  <c r="AT62" i="135"/>
  <c r="AU62" i="135"/>
  <c r="AV62" i="135"/>
  <c r="AW62" i="135"/>
  <c r="AX62" i="135"/>
  <c r="AE32" i="135"/>
  <c r="AF27" i="135" s="1"/>
  <c r="BA152" i="135" l="1"/>
  <c r="AY25" i="135"/>
  <c r="AY22" i="135"/>
  <c r="AZ21" i="135"/>
  <c r="AZ25" i="135" s="1"/>
  <c r="AE48" i="135"/>
  <c r="AE49" i="135" s="1"/>
  <c r="AZ139" i="135"/>
  <c r="AE45" i="135"/>
  <c r="AE46" i="135"/>
  <c r="AZ16" i="135"/>
  <c r="AZ20" i="135"/>
  <c r="BT138" i="135"/>
  <c r="AZ41" i="135"/>
  <c r="AZ40" i="135"/>
  <c r="AZ38" i="135"/>
  <c r="AZ37" i="135"/>
  <c r="AD50" i="135"/>
  <c r="AD129" i="135"/>
  <c r="AD136" i="135"/>
  <c r="D102" i="135"/>
  <c r="E101" i="135"/>
  <c r="B101" i="135"/>
  <c r="G101" i="135"/>
  <c r="F101" i="135"/>
  <c r="H101" i="135"/>
  <c r="I101" i="135"/>
  <c r="J101" i="135"/>
  <c r="K101" i="135"/>
  <c r="L101" i="135"/>
  <c r="M101" i="135"/>
  <c r="N101" i="135"/>
  <c r="O101" i="135"/>
  <c r="P101" i="135"/>
  <c r="Q101" i="135"/>
  <c r="R101" i="135"/>
  <c r="S101" i="135"/>
  <c r="T101" i="135"/>
  <c r="U101" i="135"/>
  <c r="V101" i="135"/>
  <c r="W101" i="135"/>
  <c r="X101" i="135"/>
  <c r="Y101" i="135"/>
  <c r="Z101" i="135"/>
  <c r="AA101" i="135"/>
  <c r="AB101" i="135"/>
  <c r="AC101" i="135"/>
  <c r="AD101" i="135"/>
  <c r="AE101" i="135"/>
  <c r="AF101" i="135"/>
  <c r="AG101" i="135"/>
  <c r="AH101" i="135"/>
  <c r="AI101" i="135"/>
  <c r="AJ101" i="135"/>
  <c r="AK101" i="135"/>
  <c r="AL101" i="135"/>
  <c r="AM101" i="135"/>
  <c r="AN101" i="135"/>
  <c r="AO101" i="135"/>
  <c r="AP101" i="135"/>
  <c r="AQ101" i="135"/>
  <c r="AR101" i="135"/>
  <c r="AS101" i="135"/>
  <c r="AT101" i="135"/>
  <c r="AU101" i="135"/>
  <c r="AV101" i="135"/>
  <c r="AW101" i="135"/>
  <c r="AX101" i="135"/>
  <c r="AY101" i="135"/>
  <c r="BA102" i="135"/>
  <c r="BA100" i="135"/>
  <c r="BA98" i="135"/>
  <c r="BA101" i="135"/>
  <c r="BA99" i="135"/>
  <c r="BA89" i="135"/>
  <c r="BA97" i="135"/>
  <c r="BA96" i="135"/>
  <c r="BA91" i="135"/>
  <c r="BA86" i="135"/>
  <c r="BA92" i="135"/>
  <c r="BA85" i="135"/>
  <c r="BA95" i="135"/>
  <c r="BA87" i="135"/>
  <c r="BA93" i="135"/>
  <c r="BA88" i="135"/>
  <c r="BA90" i="135"/>
  <c r="BA94" i="135"/>
  <c r="BA61" i="135"/>
  <c r="BA56" i="135"/>
  <c r="BA55" i="135"/>
  <c r="BA54" i="135"/>
  <c r="BA53" i="135"/>
  <c r="BA52" i="135"/>
  <c r="BA141" i="135" s="1"/>
  <c r="BA62" i="135"/>
  <c r="BA60" i="135"/>
  <c r="BA59" i="135"/>
  <c r="BA57" i="135"/>
  <c r="BA58" i="135"/>
  <c r="BA39" i="135"/>
  <c r="BA36" i="135"/>
  <c r="BA30" i="135"/>
  <c r="BA28" i="135"/>
  <c r="BA29" i="135" s="1"/>
  <c r="BA17" i="135"/>
  <c r="BA18" i="135" s="1"/>
  <c r="BA14" i="135"/>
  <c r="BA19" i="135"/>
  <c r="BA15" i="135"/>
  <c r="BB4" i="135"/>
  <c r="AF31" i="135"/>
  <c r="BB152" i="135" l="1"/>
  <c r="AZ24" i="135"/>
  <c r="AZ23" i="135" s="1"/>
  <c r="BA21" i="135"/>
  <c r="BA24" i="135" s="1"/>
  <c r="BA16" i="135"/>
  <c r="BA20" i="135"/>
  <c r="BB102" i="135"/>
  <c r="BB100" i="135"/>
  <c r="BB98" i="135"/>
  <c r="BB101" i="135"/>
  <c r="BB99" i="135"/>
  <c r="BB88" i="135"/>
  <c r="BB97" i="135"/>
  <c r="BB96" i="135"/>
  <c r="BB95" i="135"/>
  <c r="BB92" i="135"/>
  <c r="BB87" i="135"/>
  <c r="BB93" i="135"/>
  <c r="BB94" i="135"/>
  <c r="BB89" i="135"/>
  <c r="BB91" i="135"/>
  <c r="BB86" i="135"/>
  <c r="BB90" i="135"/>
  <c r="BB55" i="135"/>
  <c r="BB54" i="135"/>
  <c r="BB62" i="135"/>
  <c r="BB60" i="135"/>
  <c r="BB59" i="135"/>
  <c r="BB63" i="135"/>
  <c r="BB61" i="135"/>
  <c r="BB58" i="135"/>
  <c r="BB56" i="135"/>
  <c r="BB57" i="135"/>
  <c r="BB52" i="135"/>
  <c r="BB141" i="135" s="1"/>
  <c r="BB53" i="135"/>
  <c r="BB36" i="135"/>
  <c r="BB30" i="135"/>
  <c r="BB39" i="135"/>
  <c r="BB28" i="135"/>
  <c r="BB29" i="135" s="1"/>
  <c r="BB17" i="135"/>
  <c r="BB18" i="135" s="1"/>
  <c r="BB14" i="135"/>
  <c r="BB15" i="135"/>
  <c r="BB19" i="135"/>
  <c r="BC4" i="135"/>
  <c r="BA139" i="135"/>
  <c r="BA38" i="135"/>
  <c r="BA37" i="135"/>
  <c r="AE50" i="135"/>
  <c r="AE136" i="135"/>
  <c r="AE129" i="135"/>
  <c r="BA41" i="135"/>
  <c r="BA40" i="135"/>
  <c r="AF44" i="135"/>
  <c r="AF47" i="135"/>
  <c r="AF63" i="135"/>
  <c r="AG63" i="135"/>
  <c r="AH63" i="135"/>
  <c r="AI63" i="135"/>
  <c r="AJ63" i="135"/>
  <c r="AK63" i="135"/>
  <c r="AL63" i="135"/>
  <c r="AM63" i="135"/>
  <c r="AN63" i="135"/>
  <c r="AO63" i="135"/>
  <c r="AP63" i="135"/>
  <c r="AQ63" i="135"/>
  <c r="AR63" i="135"/>
  <c r="AS63" i="135"/>
  <c r="AT63" i="135"/>
  <c r="AU63" i="135"/>
  <c r="AV63" i="135"/>
  <c r="AW63" i="135"/>
  <c r="AX63" i="135"/>
  <c r="AY63" i="135"/>
  <c r="AZ63" i="135"/>
  <c r="AF32" i="135"/>
  <c r="AG27" i="135" s="1"/>
  <c r="BA63" i="135"/>
  <c r="E102" i="135"/>
  <c r="B102" i="135"/>
  <c r="D103" i="135"/>
  <c r="BB103" i="135" s="1"/>
  <c r="G102" i="135"/>
  <c r="F102" i="135"/>
  <c r="H102" i="135"/>
  <c r="I102" i="135"/>
  <c r="J102" i="135"/>
  <c r="K102" i="135"/>
  <c r="L102" i="135"/>
  <c r="M102" i="135"/>
  <c r="N102" i="135"/>
  <c r="O102" i="135"/>
  <c r="P102" i="135"/>
  <c r="Q102" i="135"/>
  <c r="R102" i="135"/>
  <c r="S102" i="135"/>
  <c r="T102" i="135"/>
  <c r="U102" i="135"/>
  <c r="V102" i="135"/>
  <c r="W102" i="135"/>
  <c r="X102" i="135"/>
  <c r="Y102" i="135"/>
  <c r="Z102" i="135"/>
  <c r="AA102" i="135"/>
  <c r="AB102" i="135"/>
  <c r="AC102" i="135"/>
  <c r="AD102" i="135"/>
  <c r="AE102" i="135"/>
  <c r="AF102" i="135"/>
  <c r="AG102" i="135"/>
  <c r="AH102" i="135"/>
  <c r="AI102" i="135"/>
  <c r="AJ102" i="135"/>
  <c r="AK102" i="135"/>
  <c r="AL102" i="135"/>
  <c r="AM102" i="135"/>
  <c r="AN102" i="135"/>
  <c r="AO102" i="135"/>
  <c r="AP102" i="135"/>
  <c r="AQ102" i="135"/>
  <c r="AR102" i="135"/>
  <c r="AS102" i="135"/>
  <c r="AT102" i="135"/>
  <c r="AU102" i="135"/>
  <c r="AV102" i="135"/>
  <c r="AW102" i="135"/>
  <c r="AX102" i="135"/>
  <c r="AY102" i="135"/>
  <c r="AZ102" i="135"/>
  <c r="BU138" i="135"/>
  <c r="BC152" i="135" l="1"/>
  <c r="BA23" i="135"/>
  <c r="BA25" i="135"/>
  <c r="BB20" i="135"/>
  <c r="BB41" i="135"/>
  <c r="BB40" i="135"/>
  <c r="BB38" i="135"/>
  <c r="BB37" i="135"/>
  <c r="BB139" i="135"/>
  <c r="AF45" i="135"/>
  <c r="AF46" i="135"/>
  <c r="BV138" i="135"/>
  <c r="E103" i="135"/>
  <c r="D104" i="135"/>
  <c r="BC104" i="135" s="1"/>
  <c r="B103" i="135"/>
  <c r="F103" i="135"/>
  <c r="G103" i="135"/>
  <c r="H103" i="135"/>
  <c r="I103" i="135"/>
  <c r="J103" i="135"/>
  <c r="K103" i="135"/>
  <c r="L103" i="135"/>
  <c r="M103" i="135"/>
  <c r="N103" i="135"/>
  <c r="O103" i="135"/>
  <c r="P103" i="135"/>
  <c r="Q103" i="135"/>
  <c r="R103" i="135"/>
  <c r="S103" i="135"/>
  <c r="T103" i="135"/>
  <c r="U103" i="135"/>
  <c r="V103" i="135"/>
  <c r="W103" i="135"/>
  <c r="X103" i="135"/>
  <c r="Y103" i="135"/>
  <c r="Z103" i="135"/>
  <c r="AA103" i="135"/>
  <c r="AB103" i="135"/>
  <c r="AC103" i="135"/>
  <c r="AD103" i="135"/>
  <c r="AE103" i="135"/>
  <c r="AF103" i="135"/>
  <c r="AG103" i="135"/>
  <c r="AH103" i="135"/>
  <c r="AI103" i="135"/>
  <c r="AJ103" i="135"/>
  <c r="AK103" i="135"/>
  <c r="AL103" i="135"/>
  <c r="AM103" i="135"/>
  <c r="AN103" i="135"/>
  <c r="AO103" i="135"/>
  <c r="AP103" i="135"/>
  <c r="AQ103" i="135"/>
  <c r="AR103" i="135"/>
  <c r="AS103" i="135"/>
  <c r="AT103" i="135"/>
  <c r="AU103" i="135"/>
  <c r="AV103" i="135"/>
  <c r="AW103" i="135"/>
  <c r="AX103" i="135"/>
  <c r="AY103" i="135"/>
  <c r="AZ103" i="135"/>
  <c r="BA103" i="135"/>
  <c r="AF48" i="135"/>
  <c r="BC101" i="135"/>
  <c r="BC103" i="135"/>
  <c r="BC102" i="135"/>
  <c r="BC100" i="135"/>
  <c r="BC99" i="135"/>
  <c r="BC98" i="135"/>
  <c r="BC87" i="135"/>
  <c r="BC97" i="135"/>
  <c r="BC96" i="135"/>
  <c r="BC95" i="135"/>
  <c r="BC94" i="135"/>
  <c r="BC93" i="135"/>
  <c r="BC88" i="135"/>
  <c r="BC89" i="135"/>
  <c r="BC90" i="135"/>
  <c r="BC92" i="135"/>
  <c r="BC59" i="135"/>
  <c r="BC57" i="135"/>
  <c r="BC55" i="135"/>
  <c r="BC53" i="135"/>
  <c r="BC91" i="135"/>
  <c r="BC52" i="135"/>
  <c r="BC141" i="135" s="1"/>
  <c r="BC54" i="135"/>
  <c r="BC62" i="135"/>
  <c r="BC39" i="135"/>
  <c r="BC36" i="135"/>
  <c r="BC30" i="135"/>
  <c r="BC60" i="135"/>
  <c r="BC63" i="135"/>
  <c r="BC61" i="135"/>
  <c r="BC58" i="135"/>
  <c r="BC56" i="135"/>
  <c r="BC15" i="135"/>
  <c r="BC28" i="135"/>
  <c r="BC29" i="135" s="1"/>
  <c r="BD4" i="135"/>
  <c r="BC17" i="135"/>
  <c r="BC18" i="135" s="1"/>
  <c r="BC19" i="135"/>
  <c r="BC14" i="135"/>
  <c r="BB21" i="135"/>
  <c r="AG31" i="135"/>
  <c r="AG32" i="135" s="1"/>
  <c r="AH27" i="135" s="1"/>
  <c r="BB16" i="135"/>
  <c r="BD152" i="135" l="1"/>
  <c r="BC16" i="135"/>
  <c r="BC21" i="135"/>
  <c r="BC24" i="135" s="1"/>
  <c r="BB24" i="135"/>
  <c r="BB23" i="135" s="1"/>
  <c r="BB25" i="135"/>
  <c r="AH31" i="135"/>
  <c r="BD65" i="135" s="1"/>
  <c r="BC139" i="135"/>
  <c r="AF50" i="135"/>
  <c r="AF136" i="135"/>
  <c r="AF129" i="135"/>
  <c r="AF49" i="135"/>
  <c r="BD101" i="135"/>
  <c r="BD103" i="135"/>
  <c r="BD102" i="135"/>
  <c r="BD104" i="135"/>
  <c r="BD97" i="135"/>
  <c r="BD95" i="135"/>
  <c r="BD93" i="135"/>
  <c r="BD91" i="135"/>
  <c r="BD89" i="135"/>
  <c r="BD100" i="135"/>
  <c r="BD99" i="135"/>
  <c r="BD98" i="135"/>
  <c r="BD96" i="135"/>
  <c r="BD94" i="135"/>
  <c r="BD92" i="135"/>
  <c r="BD90" i="135"/>
  <c r="BD88" i="135"/>
  <c r="BD64" i="135"/>
  <c r="BD62" i="135"/>
  <c r="BD60" i="135"/>
  <c r="BD58" i="135"/>
  <c r="BD56" i="135"/>
  <c r="BD54" i="135"/>
  <c r="BD53" i="135"/>
  <c r="BD63" i="135"/>
  <c r="BD61" i="135"/>
  <c r="BD59" i="135"/>
  <c r="BD57" i="135"/>
  <c r="BD55" i="135"/>
  <c r="BD36" i="135"/>
  <c r="BD30" i="135"/>
  <c r="BD39" i="135"/>
  <c r="BD28" i="135"/>
  <c r="BD29" i="135" s="1"/>
  <c r="BD52" i="135"/>
  <c r="BD141" i="135" s="1"/>
  <c r="BD17" i="135"/>
  <c r="BD18" i="135" s="1"/>
  <c r="BE4" i="135"/>
  <c r="BD19" i="135"/>
  <c r="BD14" i="135"/>
  <c r="BD15" i="135"/>
  <c r="AG47" i="135"/>
  <c r="AG44" i="135"/>
  <c r="AG64" i="135"/>
  <c r="AH64" i="135"/>
  <c r="AI64" i="135"/>
  <c r="AJ64" i="135"/>
  <c r="AK64" i="135"/>
  <c r="AL64" i="135"/>
  <c r="AM64" i="135"/>
  <c r="AN64" i="135"/>
  <c r="AO64" i="135"/>
  <c r="AP64" i="135"/>
  <c r="AQ64" i="135"/>
  <c r="AR64" i="135"/>
  <c r="AS64" i="135"/>
  <c r="AT64" i="135"/>
  <c r="AU64" i="135"/>
  <c r="AV64" i="135"/>
  <c r="AW64" i="135"/>
  <c r="AX64" i="135"/>
  <c r="AY64" i="135"/>
  <c r="AZ64" i="135"/>
  <c r="BA64" i="135"/>
  <c r="BB64" i="135"/>
  <c r="BC64" i="135"/>
  <c r="BC20" i="135"/>
  <c r="E104" i="135"/>
  <c r="B104" i="135"/>
  <c r="D105" i="135"/>
  <c r="BD105" i="135" s="1"/>
  <c r="G104" i="135"/>
  <c r="F104" i="135"/>
  <c r="H104" i="135"/>
  <c r="I104" i="135"/>
  <c r="J104" i="135"/>
  <c r="K104" i="135"/>
  <c r="L104" i="135"/>
  <c r="M104" i="135"/>
  <c r="N104" i="135"/>
  <c r="O104" i="135"/>
  <c r="P104" i="135"/>
  <c r="Q104" i="135"/>
  <c r="R104" i="135"/>
  <c r="S104" i="135"/>
  <c r="T104" i="135"/>
  <c r="U104" i="135"/>
  <c r="V104" i="135"/>
  <c r="W104" i="135"/>
  <c r="X104" i="135"/>
  <c r="Y104" i="135"/>
  <c r="Z104" i="135"/>
  <c r="AA104" i="135"/>
  <c r="AB104" i="135"/>
  <c r="AC104" i="135"/>
  <c r="AD104" i="135"/>
  <c r="AE104" i="135"/>
  <c r="AF104" i="135"/>
  <c r="AG104" i="135"/>
  <c r="AH104" i="135"/>
  <c r="AI104" i="135"/>
  <c r="AJ104" i="135"/>
  <c r="AK104" i="135"/>
  <c r="AL104" i="135"/>
  <c r="AM104" i="135"/>
  <c r="AN104" i="135"/>
  <c r="AO104" i="135"/>
  <c r="AP104" i="135"/>
  <c r="AQ104" i="135"/>
  <c r="AR104" i="135"/>
  <c r="AS104" i="135"/>
  <c r="AT104" i="135"/>
  <c r="AU104" i="135"/>
  <c r="AV104" i="135"/>
  <c r="AW104" i="135"/>
  <c r="AX104" i="135"/>
  <c r="AY104" i="135"/>
  <c r="AZ104" i="135"/>
  <c r="BA104" i="135"/>
  <c r="BB104" i="135"/>
  <c r="BC38" i="135"/>
  <c r="BC37" i="135"/>
  <c r="BC41" i="135"/>
  <c r="BC40" i="135"/>
  <c r="BW138" i="135"/>
  <c r="BE152" i="135" l="1"/>
  <c r="BC25" i="135"/>
  <c r="BC23" i="135"/>
  <c r="BD21" i="135"/>
  <c r="BD24" i="135" s="1"/>
  <c r="BD23" i="135" s="1"/>
  <c r="AG48" i="135"/>
  <c r="BD16" i="135"/>
  <c r="BD20" i="135"/>
  <c r="AG46" i="135"/>
  <c r="AG45" i="135"/>
  <c r="BE103" i="135"/>
  <c r="BE102" i="135"/>
  <c r="BE104" i="135"/>
  <c r="BE105" i="135"/>
  <c r="BE100" i="135"/>
  <c r="BE99" i="135"/>
  <c r="BE101" i="135"/>
  <c r="BE97" i="135"/>
  <c r="BE96" i="135"/>
  <c r="BE95" i="135"/>
  <c r="BE94" i="135"/>
  <c r="BE93" i="135"/>
  <c r="BE98" i="135"/>
  <c r="BE89" i="135"/>
  <c r="BE90" i="135"/>
  <c r="BE91" i="135"/>
  <c r="BE92" i="135"/>
  <c r="BE53" i="135"/>
  <c r="BE62" i="135"/>
  <c r="BE60" i="135"/>
  <c r="BE63" i="135"/>
  <c r="BE61" i="135"/>
  <c r="BE59" i="135"/>
  <c r="BE64" i="135"/>
  <c r="BE58" i="135"/>
  <c r="BE57" i="135"/>
  <c r="BE56" i="135"/>
  <c r="BE55" i="135"/>
  <c r="BE52" i="135"/>
  <c r="BE141" i="135" s="1"/>
  <c r="BE54" i="135"/>
  <c r="BE39" i="135"/>
  <c r="BE28" i="135"/>
  <c r="BE29" i="135" s="1"/>
  <c r="BE65" i="135"/>
  <c r="BE36" i="135"/>
  <c r="BE30" i="135"/>
  <c r="BE19" i="135"/>
  <c r="BE17" i="135"/>
  <c r="BE18" i="135" s="1"/>
  <c r="BF4" i="135"/>
  <c r="BE15" i="135"/>
  <c r="BE14" i="135"/>
  <c r="BX138" i="135"/>
  <c r="BD139" i="135"/>
  <c r="D106" i="135"/>
  <c r="BE106" i="135" s="1"/>
  <c r="E105" i="135"/>
  <c r="B105" i="135"/>
  <c r="G105" i="135"/>
  <c r="F105" i="135"/>
  <c r="H105" i="135"/>
  <c r="I105" i="135"/>
  <c r="J105" i="135"/>
  <c r="K105" i="135"/>
  <c r="L105" i="135"/>
  <c r="M105" i="135"/>
  <c r="N105" i="135"/>
  <c r="O105" i="135"/>
  <c r="P105" i="135"/>
  <c r="Q105" i="135"/>
  <c r="R105" i="135"/>
  <c r="S105" i="135"/>
  <c r="T105" i="135"/>
  <c r="U105" i="135"/>
  <c r="V105" i="135"/>
  <c r="W105" i="135"/>
  <c r="X105" i="135"/>
  <c r="Y105" i="135"/>
  <c r="Z105" i="135"/>
  <c r="AA105" i="135"/>
  <c r="AB105" i="135"/>
  <c r="AC105" i="135"/>
  <c r="AD105" i="135"/>
  <c r="AE105" i="135"/>
  <c r="AF105" i="135"/>
  <c r="AG105" i="135"/>
  <c r="AH105" i="135"/>
  <c r="AI105" i="135"/>
  <c r="AJ105" i="135"/>
  <c r="AK105" i="135"/>
  <c r="AL105" i="135"/>
  <c r="AM105" i="135"/>
  <c r="AN105" i="135"/>
  <c r="AO105" i="135"/>
  <c r="AP105" i="135"/>
  <c r="AQ105" i="135"/>
  <c r="AR105" i="135"/>
  <c r="AS105" i="135"/>
  <c r="AT105" i="135"/>
  <c r="AU105" i="135"/>
  <c r="AV105" i="135"/>
  <c r="AW105" i="135"/>
  <c r="AX105" i="135"/>
  <c r="AY105" i="135"/>
  <c r="AZ105" i="135"/>
  <c r="BA105" i="135"/>
  <c r="BB105" i="135"/>
  <c r="BC105" i="135"/>
  <c r="BD40" i="135"/>
  <c r="BD41" i="135"/>
  <c r="AH44" i="135"/>
  <c r="AH47" i="135"/>
  <c r="AH65" i="135"/>
  <c r="AI65" i="135"/>
  <c r="AJ65" i="135"/>
  <c r="AK65" i="135"/>
  <c r="AL65" i="135"/>
  <c r="AM65" i="135"/>
  <c r="AN65" i="135"/>
  <c r="AO65" i="135"/>
  <c r="AP65" i="135"/>
  <c r="AQ65" i="135"/>
  <c r="AR65" i="135"/>
  <c r="AS65" i="135"/>
  <c r="AT65" i="135"/>
  <c r="AU65" i="135"/>
  <c r="AV65" i="135"/>
  <c r="AW65" i="135"/>
  <c r="AX65" i="135"/>
  <c r="AY65" i="135"/>
  <c r="AZ65" i="135"/>
  <c r="BA65" i="135"/>
  <c r="BB65" i="135"/>
  <c r="BC65" i="135"/>
  <c r="BD38" i="135"/>
  <c r="BD37" i="135"/>
  <c r="AH32" i="135"/>
  <c r="AI27" i="135" s="1"/>
  <c r="BF152" i="135" l="1"/>
  <c r="BD25" i="135"/>
  <c r="BE20" i="135"/>
  <c r="BE40" i="135"/>
  <c r="BE41" i="135"/>
  <c r="BY138" i="135"/>
  <c r="AH48" i="135"/>
  <c r="BE139" i="135"/>
  <c r="E106" i="135"/>
  <c r="D107" i="135"/>
  <c r="BF107" i="135" s="1"/>
  <c r="B106" i="135"/>
  <c r="G106" i="135"/>
  <c r="F106" i="135"/>
  <c r="H106" i="135"/>
  <c r="I106" i="135"/>
  <c r="J106" i="135"/>
  <c r="K106" i="135"/>
  <c r="L106" i="135"/>
  <c r="M106" i="135"/>
  <c r="N106" i="135"/>
  <c r="O106" i="135"/>
  <c r="P106" i="135"/>
  <c r="Q106" i="135"/>
  <c r="R106" i="135"/>
  <c r="S106" i="135"/>
  <c r="T106" i="135"/>
  <c r="U106" i="135"/>
  <c r="V106" i="135"/>
  <c r="W106" i="135"/>
  <c r="X106" i="135"/>
  <c r="Y106" i="135"/>
  <c r="Z106" i="135"/>
  <c r="AA106" i="135"/>
  <c r="AB106" i="135"/>
  <c r="AC106" i="135"/>
  <c r="AD106" i="135"/>
  <c r="AE106" i="135"/>
  <c r="AF106" i="135"/>
  <c r="AG106" i="135"/>
  <c r="AH106" i="135"/>
  <c r="AI106" i="135"/>
  <c r="AJ106" i="135"/>
  <c r="AK106" i="135"/>
  <c r="AL106" i="135"/>
  <c r="AM106" i="135"/>
  <c r="AN106" i="135"/>
  <c r="AO106" i="135"/>
  <c r="AP106" i="135"/>
  <c r="AQ106" i="135"/>
  <c r="AR106" i="135"/>
  <c r="AS106" i="135"/>
  <c r="AT106" i="135"/>
  <c r="AU106" i="135"/>
  <c r="AV106" i="135"/>
  <c r="AW106" i="135"/>
  <c r="AX106" i="135"/>
  <c r="AY106" i="135"/>
  <c r="AZ106" i="135"/>
  <c r="BA106" i="135"/>
  <c r="BB106" i="135"/>
  <c r="BC106" i="135"/>
  <c r="BD106" i="135"/>
  <c r="BE16" i="135"/>
  <c r="BF104" i="135"/>
  <c r="BF103" i="135"/>
  <c r="BF102" i="135"/>
  <c r="BF105" i="135"/>
  <c r="BF106" i="135"/>
  <c r="BF100" i="135"/>
  <c r="BF99" i="135"/>
  <c r="BF101" i="135"/>
  <c r="BF97" i="135"/>
  <c r="BF96" i="135"/>
  <c r="BF95" i="135"/>
  <c r="BF94" i="135"/>
  <c r="BF98" i="135"/>
  <c r="BF92" i="135"/>
  <c r="BF93" i="135"/>
  <c r="BF90" i="135"/>
  <c r="BF91" i="135"/>
  <c r="BF65" i="135"/>
  <c r="BF63" i="135"/>
  <c r="BF61" i="135"/>
  <c r="BF62" i="135"/>
  <c r="BF60" i="135"/>
  <c r="BF59" i="135"/>
  <c r="BF64" i="135"/>
  <c r="BF58" i="135"/>
  <c r="BF57" i="135"/>
  <c r="BF56" i="135"/>
  <c r="BF55" i="135"/>
  <c r="BF52" i="135"/>
  <c r="BF141" i="135" s="1"/>
  <c r="BF54" i="135"/>
  <c r="BF53" i="135"/>
  <c r="BF30" i="135"/>
  <c r="BF14" i="135"/>
  <c r="BF39" i="135"/>
  <c r="BF28" i="135"/>
  <c r="BF29" i="135" s="1"/>
  <c r="BG4" i="135"/>
  <c r="BF17" i="135"/>
  <c r="BF18" i="135" s="1"/>
  <c r="BF36" i="135"/>
  <c r="BF19" i="135"/>
  <c r="BF15" i="135"/>
  <c r="AI31" i="135"/>
  <c r="AI32" i="135" s="1"/>
  <c r="AJ27" i="135" s="1"/>
  <c r="BE21" i="135"/>
  <c r="AH45" i="135"/>
  <c r="AH46" i="135"/>
  <c r="BE38" i="135"/>
  <c r="BE37" i="135"/>
  <c r="AG50" i="135"/>
  <c r="AG136" i="135"/>
  <c r="AG129" i="135"/>
  <c r="AG49" i="135"/>
  <c r="AH49" i="135" s="1"/>
  <c r="BG152" i="135" l="1"/>
  <c r="BF20" i="135"/>
  <c r="BF66" i="135"/>
  <c r="BF16" i="135"/>
  <c r="BE24" i="135"/>
  <c r="BE23" i="135" s="1"/>
  <c r="BE25" i="135"/>
  <c r="AI44" i="135"/>
  <c r="AI47" i="135"/>
  <c r="AI66" i="135"/>
  <c r="AJ66" i="135"/>
  <c r="AK66" i="135"/>
  <c r="AL66" i="135"/>
  <c r="AM66" i="135"/>
  <c r="AN66" i="135"/>
  <c r="AO66" i="135"/>
  <c r="AP66" i="135"/>
  <c r="AQ66" i="135"/>
  <c r="AR66" i="135"/>
  <c r="AS66" i="135"/>
  <c r="AT66" i="135"/>
  <c r="AU66" i="135"/>
  <c r="AV66" i="135"/>
  <c r="AW66" i="135"/>
  <c r="AX66" i="135"/>
  <c r="AY66" i="135"/>
  <c r="AZ66" i="135"/>
  <c r="BA66" i="135"/>
  <c r="BB66" i="135"/>
  <c r="BC66" i="135"/>
  <c r="BD66" i="135"/>
  <c r="BE66" i="135"/>
  <c r="AH50" i="135"/>
  <c r="AH136" i="135"/>
  <c r="AH129" i="135"/>
  <c r="AJ31" i="135"/>
  <c r="BG67" i="135" s="1"/>
  <c r="BZ138" i="135"/>
  <c r="BF40" i="135"/>
  <c r="BF41" i="135"/>
  <c r="BF139" i="135"/>
  <c r="BF21" i="135"/>
  <c r="BF37" i="135"/>
  <c r="BF38" i="135"/>
  <c r="D108" i="135"/>
  <c r="BG108" i="135" s="1"/>
  <c r="E107" i="135"/>
  <c r="B107" i="135"/>
  <c r="G107" i="135"/>
  <c r="F107" i="135"/>
  <c r="H107" i="135"/>
  <c r="I107" i="135"/>
  <c r="J107" i="135"/>
  <c r="K107" i="135"/>
  <c r="L107" i="135"/>
  <c r="M107" i="135"/>
  <c r="N107" i="135"/>
  <c r="O107" i="135"/>
  <c r="P107" i="135"/>
  <c r="Q107" i="135"/>
  <c r="R107" i="135"/>
  <c r="S107" i="135"/>
  <c r="T107" i="135"/>
  <c r="U107" i="135"/>
  <c r="V107" i="135"/>
  <c r="W107" i="135"/>
  <c r="X107" i="135"/>
  <c r="Y107" i="135"/>
  <c r="Z107" i="135"/>
  <c r="AA107" i="135"/>
  <c r="AB107" i="135"/>
  <c r="AC107" i="135"/>
  <c r="AD107" i="135"/>
  <c r="AE107" i="135"/>
  <c r="AF107" i="135"/>
  <c r="AG107" i="135"/>
  <c r="AH107" i="135"/>
  <c r="AI107" i="135"/>
  <c r="AJ107" i="135"/>
  <c r="AK107" i="135"/>
  <c r="AL107" i="135"/>
  <c r="AM107" i="135"/>
  <c r="AN107" i="135"/>
  <c r="AO107" i="135"/>
  <c r="AP107" i="135"/>
  <c r="AQ107" i="135"/>
  <c r="AR107" i="135"/>
  <c r="AS107" i="135"/>
  <c r="AT107" i="135"/>
  <c r="AU107" i="135"/>
  <c r="AV107" i="135"/>
  <c r="AW107" i="135"/>
  <c r="AX107" i="135"/>
  <c r="AY107" i="135"/>
  <c r="AZ107" i="135"/>
  <c r="BA107" i="135"/>
  <c r="BB107" i="135"/>
  <c r="BC107" i="135"/>
  <c r="BD107" i="135"/>
  <c r="BE107" i="135"/>
  <c r="BG105" i="135"/>
  <c r="BG103" i="135"/>
  <c r="BG101" i="135"/>
  <c r="BG99" i="135"/>
  <c r="BG104" i="135"/>
  <c r="BG106" i="135"/>
  <c r="BG100" i="135"/>
  <c r="BG107" i="135"/>
  <c r="BG97" i="135"/>
  <c r="BG96" i="135"/>
  <c r="BG95" i="135"/>
  <c r="BG94" i="135"/>
  <c r="BG102" i="135"/>
  <c r="BG98" i="135"/>
  <c r="BG91" i="135"/>
  <c r="BG93" i="135"/>
  <c r="BG92" i="135"/>
  <c r="BG66" i="135"/>
  <c r="BG64" i="135"/>
  <c r="BG61" i="135"/>
  <c r="BG65" i="135"/>
  <c r="BG63" i="135"/>
  <c r="BG60" i="135"/>
  <c r="BG59" i="135"/>
  <c r="BG58" i="135"/>
  <c r="BG57" i="135"/>
  <c r="BG56" i="135"/>
  <c r="BG55" i="135"/>
  <c r="BG62" i="135"/>
  <c r="BG52" i="135"/>
  <c r="BG141" i="135" s="1"/>
  <c r="BG54" i="135"/>
  <c r="BG53" i="135"/>
  <c r="BG17" i="135"/>
  <c r="BG18" i="135" s="1"/>
  <c r="BG39" i="135"/>
  <c r="BG28" i="135"/>
  <c r="BG29" i="135" s="1"/>
  <c r="BG36" i="135"/>
  <c r="BH4" i="135"/>
  <c r="BG19" i="135"/>
  <c r="BG15" i="135"/>
  <c r="BG14" i="135"/>
  <c r="BG30" i="135"/>
  <c r="BH152" i="135" l="1"/>
  <c r="BG20" i="135"/>
  <c r="BF24" i="135"/>
  <c r="BF25" i="135"/>
  <c r="BH105" i="135"/>
  <c r="BH103" i="135"/>
  <c r="BH101" i="135"/>
  <c r="BH99" i="135"/>
  <c r="BH102" i="135"/>
  <c r="BH104" i="135"/>
  <c r="BH106" i="135"/>
  <c r="BH100" i="135"/>
  <c r="BH98" i="135"/>
  <c r="BH107" i="135"/>
  <c r="BH97" i="135"/>
  <c r="BH96" i="135"/>
  <c r="BH95" i="135"/>
  <c r="BH94" i="135"/>
  <c r="BH108" i="135"/>
  <c r="BH93" i="135"/>
  <c r="BH92" i="135"/>
  <c r="BH67" i="135"/>
  <c r="BH66" i="135"/>
  <c r="BH52" i="135"/>
  <c r="BH141" i="135" s="1"/>
  <c r="BH65" i="135"/>
  <c r="BH60" i="135"/>
  <c r="BH59" i="135"/>
  <c r="BH58" i="135"/>
  <c r="BH64" i="135"/>
  <c r="BH63" i="135"/>
  <c r="BH61" i="135"/>
  <c r="BH57" i="135"/>
  <c r="BH56" i="135"/>
  <c r="BH55" i="135"/>
  <c r="BH54" i="135"/>
  <c r="BH62" i="135"/>
  <c r="BH53" i="135"/>
  <c r="BH39" i="135"/>
  <c r="BH28" i="135"/>
  <c r="BH29" i="135" s="1"/>
  <c r="BH36" i="135"/>
  <c r="BH30" i="135"/>
  <c r="BH17" i="135"/>
  <c r="BH18" i="135" s="1"/>
  <c r="BH19" i="135"/>
  <c r="BH15" i="135"/>
  <c r="BH14" i="135"/>
  <c r="BI4" i="135"/>
  <c r="BG21" i="135"/>
  <c r="CA138" i="135"/>
  <c r="BG38" i="135"/>
  <c r="BG37" i="135"/>
  <c r="AJ44" i="135"/>
  <c r="AJ47" i="135"/>
  <c r="AJ67" i="135"/>
  <c r="AK67" i="135"/>
  <c r="AL67" i="135"/>
  <c r="AM67" i="135"/>
  <c r="AN67" i="135"/>
  <c r="AO67" i="135"/>
  <c r="AP67" i="135"/>
  <c r="AQ67" i="135"/>
  <c r="AR67" i="135"/>
  <c r="AS67" i="135"/>
  <c r="AT67" i="135"/>
  <c r="AU67" i="135"/>
  <c r="AV67" i="135"/>
  <c r="AW67" i="135"/>
  <c r="AX67" i="135"/>
  <c r="AY67" i="135"/>
  <c r="AZ67" i="135"/>
  <c r="BA67" i="135"/>
  <c r="BB67" i="135"/>
  <c r="BC67" i="135"/>
  <c r="BD67" i="135"/>
  <c r="BE67" i="135"/>
  <c r="BF67" i="135"/>
  <c r="D109" i="135"/>
  <c r="BH109" i="135" s="1"/>
  <c r="B108" i="135"/>
  <c r="E108" i="135"/>
  <c r="G108" i="135"/>
  <c r="F108" i="135"/>
  <c r="H108" i="135"/>
  <c r="I108" i="135"/>
  <c r="J108" i="135"/>
  <c r="K108" i="135"/>
  <c r="L108" i="135"/>
  <c r="M108" i="135"/>
  <c r="N108" i="135"/>
  <c r="O108" i="135"/>
  <c r="P108" i="135"/>
  <c r="Q108" i="135"/>
  <c r="R108" i="135"/>
  <c r="S108" i="135"/>
  <c r="T108" i="135"/>
  <c r="U108" i="135"/>
  <c r="V108" i="135"/>
  <c r="W108" i="135"/>
  <c r="X108" i="135"/>
  <c r="Y108" i="135"/>
  <c r="Z108" i="135"/>
  <c r="AA108" i="135"/>
  <c r="AB108" i="135"/>
  <c r="AC108" i="135"/>
  <c r="AD108" i="135"/>
  <c r="AE108" i="135"/>
  <c r="AF108" i="135"/>
  <c r="AG108" i="135"/>
  <c r="AH108" i="135"/>
  <c r="AI108" i="135"/>
  <c r="AJ108" i="135"/>
  <c r="AK108" i="135"/>
  <c r="AL108" i="135"/>
  <c r="AM108" i="135"/>
  <c r="AN108" i="135"/>
  <c r="AO108" i="135"/>
  <c r="AP108" i="135"/>
  <c r="AQ108" i="135"/>
  <c r="AR108" i="135"/>
  <c r="AS108" i="135"/>
  <c r="AT108" i="135"/>
  <c r="AU108" i="135"/>
  <c r="AV108" i="135"/>
  <c r="AW108" i="135"/>
  <c r="AX108" i="135"/>
  <c r="AY108" i="135"/>
  <c r="AZ108" i="135"/>
  <c r="BA108" i="135"/>
  <c r="BB108" i="135"/>
  <c r="BC108" i="135"/>
  <c r="BD108" i="135"/>
  <c r="BE108" i="135"/>
  <c r="BF108" i="135"/>
  <c r="AJ32" i="135"/>
  <c r="AK27" i="135" s="1"/>
  <c r="BG41" i="135"/>
  <c r="BG40" i="135"/>
  <c r="BF23" i="135"/>
  <c r="AI48" i="135"/>
  <c r="BG16" i="135"/>
  <c r="BG139" i="135"/>
  <c r="AI45" i="135"/>
  <c r="AI46" i="135"/>
  <c r="BI152" i="135" l="1"/>
  <c r="BH16" i="135"/>
  <c r="BH21" i="135"/>
  <c r="BH25" i="135" s="1"/>
  <c r="BG24" i="135"/>
  <c r="BG23" i="135" s="1"/>
  <c r="BG25" i="135"/>
  <c r="AI50" i="135"/>
  <c r="AI136" i="135"/>
  <c r="AI129" i="135"/>
  <c r="BI109" i="135"/>
  <c r="BI104" i="135"/>
  <c r="BI103" i="135"/>
  <c r="BI106" i="135"/>
  <c r="BI105" i="135"/>
  <c r="BI100" i="135"/>
  <c r="BI99" i="135"/>
  <c r="BI98" i="135"/>
  <c r="BI107" i="135"/>
  <c r="BI101" i="135"/>
  <c r="BI108" i="135"/>
  <c r="BI102" i="135"/>
  <c r="BI97" i="135"/>
  <c r="BI96" i="135"/>
  <c r="BI95" i="135"/>
  <c r="BI94" i="135"/>
  <c r="BI93" i="135"/>
  <c r="BI67" i="135"/>
  <c r="BI66" i="135"/>
  <c r="BI65" i="135"/>
  <c r="BI62" i="135"/>
  <c r="BI60" i="135"/>
  <c r="BI58" i="135"/>
  <c r="BI56" i="135"/>
  <c r="BI54" i="135"/>
  <c r="BI59" i="135"/>
  <c r="BI64" i="135"/>
  <c r="BI63" i="135"/>
  <c r="BI61" i="135"/>
  <c r="BI57" i="135"/>
  <c r="BI55" i="135"/>
  <c r="BI53" i="135"/>
  <c r="BI39" i="135"/>
  <c r="BI52" i="135"/>
  <c r="BI141" i="135" s="1"/>
  <c r="BI28" i="135"/>
  <c r="BI29" i="135" s="1"/>
  <c r="BI36" i="135"/>
  <c r="BI30" i="135"/>
  <c r="BI15" i="135"/>
  <c r="BI19" i="135"/>
  <c r="BI14" i="135"/>
  <c r="BI17" i="135"/>
  <c r="BI18" i="135" s="1"/>
  <c r="BJ4" i="135"/>
  <c r="AI49" i="135"/>
  <c r="BH20" i="135"/>
  <c r="BH139" i="135"/>
  <c r="AJ48" i="135"/>
  <c r="D110" i="135"/>
  <c r="BI110" i="135" s="1"/>
  <c r="E109" i="135"/>
  <c r="B109" i="135"/>
  <c r="F109" i="135"/>
  <c r="G109" i="135"/>
  <c r="H109" i="135"/>
  <c r="I109" i="135"/>
  <c r="J109" i="135"/>
  <c r="K109" i="135"/>
  <c r="L109" i="135"/>
  <c r="M109" i="135"/>
  <c r="N109" i="135"/>
  <c r="O109" i="135"/>
  <c r="P109" i="135"/>
  <c r="Q109" i="135"/>
  <c r="R109" i="135"/>
  <c r="S109" i="135"/>
  <c r="T109" i="135"/>
  <c r="U109" i="135"/>
  <c r="V109" i="135"/>
  <c r="W109" i="135"/>
  <c r="X109" i="135"/>
  <c r="Y109" i="135"/>
  <c r="Z109" i="135"/>
  <c r="AA109" i="135"/>
  <c r="AB109" i="135"/>
  <c r="AC109" i="135"/>
  <c r="AD109" i="135"/>
  <c r="AE109" i="135"/>
  <c r="AF109" i="135"/>
  <c r="AG109" i="135"/>
  <c r="AH109" i="135"/>
  <c r="AI109" i="135"/>
  <c r="AJ109" i="135"/>
  <c r="AK109" i="135"/>
  <c r="AL109" i="135"/>
  <c r="AM109" i="135"/>
  <c r="AN109" i="135"/>
  <c r="AO109" i="135"/>
  <c r="AP109" i="135"/>
  <c r="AQ109" i="135"/>
  <c r="AR109" i="135"/>
  <c r="AS109" i="135"/>
  <c r="AT109" i="135"/>
  <c r="AU109" i="135"/>
  <c r="AV109" i="135"/>
  <c r="AW109" i="135"/>
  <c r="AX109" i="135"/>
  <c r="AY109" i="135"/>
  <c r="AZ109" i="135"/>
  <c r="BA109" i="135"/>
  <c r="BB109" i="135"/>
  <c r="BC109" i="135"/>
  <c r="BD109" i="135"/>
  <c r="BE109" i="135"/>
  <c r="BF109" i="135"/>
  <c r="BG109" i="135"/>
  <c r="AJ46" i="135"/>
  <c r="AJ45" i="135"/>
  <c r="BH38" i="135"/>
  <c r="BH37" i="135"/>
  <c r="BH41" i="135"/>
  <c r="BH40" i="135"/>
  <c r="AK31" i="135"/>
  <c r="CB138" i="135"/>
  <c r="BJ152" i="135" l="1"/>
  <c r="BH24" i="135"/>
  <c r="BH23" i="135" s="1"/>
  <c r="AJ49" i="135"/>
  <c r="BI21" i="135"/>
  <c r="CC138" i="135"/>
  <c r="BI16" i="135"/>
  <c r="AK47" i="135"/>
  <c r="AK44" i="135"/>
  <c r="AK68" i="135"/>
  <c r="AL68" i="135"/>
  <c r="AM68" i="135"/>
  <c r="AN68" i="135"/>
  <c r="AO68" i="135"/>
  <c r="AP68" i="135"/>
  <c r="AQ68" i="135"/>
  <c r="AR68" i="135"/>
  <c r="AS68" i="135"/>
  <c r="AT68" i="135"/>
  <c r="AU68" i="135"/>
  <c r="AV68" i="135"/>
  <c r="AW68" i="135"/>
  <c r="AX68" i="135"/>
  <c r="AY68" i="135"/>
  <c r="AZ68" i="135"/>
  <c r="BA68" i="135"/>
  <c r="BB68" i="135"/>
  <c r="BC68" i="135"/>
  <c r="BD68" i="135"/>
  <c r="BE68" i="135"/>
  <c r="BF68" i="135"/>
  <c r="BG68" i="135"/>
  <c r="BH68" i="135"/>
  <c r="BI38" i="135"/>
  <c r="BI37" i="135"/>
  <c r="BI68" i="135"/>
  <c r="AK32" i="135"/>
  <c r="AL27" i="135" s="1"/>
  <c r="BI139" i="135"/>
  <c r="BI40" i="135"/>
  <c r="BI41" i="135"/>
  <c r="BJ109" i="135"/>
  <c r="BJ110" i="135"/>
  <c r="BJ106" i="135"/>
  <c r="BJ107" i="135"/>
  <c r="BJ101" i="135"/>
  <c r="BJ105" i="135"/>
  <c r="BJ100" i="135"/>
  <c r="BJ96" i="135"/>
  <c r="BJ94" i="135"/>
  <c r="BJ108" i="135"/>
  <c r="BJ102" i="135"/>
  <c r="BJ97" i="135"/>
  <c r="BJ95" i="135"/>
  <c r="BJ103" i="135"/>
  <c r="BJ99" i="135"/>
  <c r="BJ98" i="135"/>
  <c r="BJ104" i="135"/>
  <c r="BJ67" i="135"/>
  <c r="BJ66" i="135"/>
  <c r="BJ65" i="135"/>
  <c r="BJ64" i="135"/>
  <c r="BJ59" i="135"/>
  <c r="BJ57" i="135"/>
  <c r="BJ55" i="135"/>
  <c r="BJ53" i="135"/>
  <c r="BJ68" i="135"/>
  <c r="BJ60" i="135"/>
  <c r="BJ63" i="135"/>
  <c r="BJ61" i="135"/>
  <c r="BJ58" i="135"/>
  <c r="BJ56" i="135"/>
  <c r="BJ52" i="135"/>
  <c r="BJ141" i="135" s="1"/>
  <c r="BJ39" i="135"/>
  <c r="BJ36" i="135"/>
  <c r="BJ30" i="135"/>
  <c r="BJ62" i="135"/>
  <c r="BJ54" i="135"/>
  <c r="BJ28" i="135"/>
  <c r="BJ29" i="135" s="1"/>
  <c r="BJ19" i="135"/>
  <c r="BJ15" i="135"/>
  <c r="BJ14" i="135"/>
  <c r="BJ17" i="135"/>
  <c r="BJ18" i="135" s="1"/>
  <c r="BK4" i="135"/>
  <c r="D111" i="135"/>
  <c r="BJ111" i="135" s="1"/>
  <c r="E110" i="135"/>
  <c r="B110" i="135"/>
  <c r="F110" i="135"/>
  <c r="G110" i="135"/>
  <c r="H110" i="135"/>
  <c r="I110" i="135"/>
  <c r="J110" i="135"/>
  <c r="K110" i="135"/>
  <c r="L110" i="135"/>
  <c r="M110" i="135"/>
  <c r="N110" i="135"/>
  <c r="O110" i="135"/>
  <c r="P110" i="135"/>
  <c r="Q110" i="135"/>
  <c r="R110" i="135"/>
  <c r="S110" i="135"/>
  <c r="T110" i="135"/>
  <c r="U110" i="135"/>
  <c r="V110" i="135"/>
  <c r="W110" i="135"/>
  <c r="X110" i="135"/>
  <c r="Y110" i="135"/>
  <c r="Z110" i="135"/>
  <c r="AA110" i="135"/>
  <c r="AB110" i="135"/>
  <c r="AC110" i="135"/>
  <c r="AD110" i="135"/>
  <c r="AE110" i="135"/>
  <c r="AF110" i="135"/>
  <c r="AG110" i="135"/>
  <c r="AH110" i="135"/>
  <c r="AI110" i="135"/>
  <c r="AJ110" i="135"/>
  <c r="AK110" i="135"/>
  <c r="AL110" i="135"/>
  <c r="AM110" i="135"/>
  <c r="AN110" i="135"/>
  <c r="AO110" i="135"/>
  <c r="AP110" i="135"/>
  <c r="AQ110" i="135"/>
  <c r="AR110" i="135"/>
  <c r="AS110" i="135"/>
  <c r="AT110" i="135"/>
  <c r="AU110" i="135"/>
  <c r="AV110" i="135"/>
  <c r="AW110" i="135"/>
  <c r="AX110" i="135"/>
  <c r="AY110" i="135"/>
  <c r="AZ110" i="135"/>
  <c r="BA110" i="135"/>
  <c r="BB110" i="135"/>
  <c r="BC110" i="135"/>
  <c r="BD110" i="135"/>
  <c r="BE110" i="135"/>
  <c r="BF110" i="135"/>
  <c r="BG110" i="135"/>
  <c r="BH110" i="135"/>
  <c r="AJ50" i="135"/>
  <c r="AJ129" i="135"/>
  <c r="AJ136" i="135"/>
  <c r="BI20" i="135"/>
  <c r="BK152" i="135" l="1"/>
  <c r="BJ16" i="135"/>
  <c r="BJ21" i="135"/>
  <c r="BJ24" i="135" s="1"/>
  <c r="BI24" i="135"/>
  <c r="BI23" i="135" s="1"/>
  <c r="BI25" i="135"/>
  <c r="AL31" i="135"/>
  <c r="BJ40" i="135"/>
  <c r="BJ41" i="135"/>
  <c r="AK45" i="135"/>
  <c r="AK46" i="135"/>
  <c r="BJ139" i="135"/>
  <c r="AK48" i="135"/>
  <c r="AK49" i="135" s="1"/>
  <c r="CD138" i="135"/>
  <c r="BJ38" i="135"/>
  <c r="BJ37" i="135"/>
  <c r="D112" i="135"/>
  <c r="E111" i="135"/>
  <c r="B111" i="135"/>
  <c r="F111" i="135"/>
  <c r="G111" i="135"/>
  <c r="H111" i="135"/>
  <c r="I111" i="135"/>
  <c r="J111" i="135"/>
  <c r="K111" i="135"/>
  <c r="L111" i="135"/>
  <c r="M111" i="135"/>
  <c r="N111" i="135"/>
  <c r="O111" i="135"/>
  <c r="P111" i="135"/>
  <c r="Q111" i="135"/>
  <c r="R111" i="135"/>
  <c r="S111" i="135"/>
  <c r="T111" i="135"/>
  <c r="U111" i="135"/>
  <c r="V111" i="135"/>
  <c r="W111" i="135"/>
  <c r="X111" i="135"/>
  <c r="Y111" i="135"/>
  <c r="Z111" i="135"/>
  <c r="AA111" i="135"/>
  <c r="AB111" i="135"/>
  <c r="AC111" i="135"/>
  <c r="AD111" i="135"/>
  <c r="AE111" i="135"/>
  <c r="AF111" i="135"/>
  <c r="AG111" i="135"/>
  <c r="AH111" i="135"/>
  <c r="AI111" i="135"/>
  <c r="AJ111" i="135"/>
  <c r="AK111" i="135"/>
  <c r="AL111" i="135"/>
  <c r="AM111" i="135"/>
  <c r="AN111" i="135"/>
  <c r="AO111" i="135"/>
  <c r="AP111" i="135"/>
  <c r="AQ111" i="135"/>
  <c r="AR111" i="135"/>
  <c r="AS111" i="135"/>
  <c r="AT111" i="135"/>
  <c r="AU111" i="135"/>
  <c r="AV111" i="135"/>
  <c r="AW111" i="135"/>
  <c r="AX111" i="135"/>
  <c r="AY111" i="135"/>
  <c r="AZ111" i="135"/>
  <c r="BA111" i="135"/>
  <c r="BB111" i="135"/>
  <c r="BC111" i="135"/>
  <c r="BD111" i="135"/>
  <c r="BE111" i="135"/>
  <c r="BF111" i="135"/>
  <c r="BG111" i="135"/>
  <c r="BH111" i="135"/>
  <c r="BI111" i="135"/>
  <c r="BK111" i="135"/>
  <c r="BK110" i="135"/>
  <c r="BK108" i="135"/>
  <c r="BK105" i="135"/>
  <c r="BK100" i="135"/>
  <c r="BK106" i="135"/>
  <c r="BK99" i="135"/>
  <c r="BK98" i="135"/>
  <c r="BK107" i="135"/>
  <c r="BK102" i="135"/>
  <c r="BK101" i="135"/>
  <c r="BK109" i="135"/>
  <c r="BK104" i="135"/>
  <c r="BK103" i="135"/>
  <c r="BK96" i="135"/>
  <c r="BK95" i="135"/>
  <c r="BK97" i="135"/>
  <c r="BK66" i="135"/>
  <c r="BK65" i="135"/>
  <c r="BK64" i="135"/>
  <c r="BK69" i="135"/>
  <c r="BK67" i="135"/>
  <c r="BK68" i="135"/>
  <c r="BK60" i="135"/>
  <c r="BK59" i="135"/>
  <c r="BK63" i="135"/>
  <c r="BK61" i="135"/>
  <c r="BK58" i="135"/>
  <c r="BK57" i="135"/>
  <c r="BK28" i="135"/>
  <c r="BK29" i="135" s="1"/>
  <c r="BK56" i="135"/>
  <c r="BK55" i="135"/>
  <c r="BK62" i="135"/>
  <c r="BK39" i="135"/>
  <c r="BK54" i="135"/>
  <c r="BK53" i="135"/>
  <c r="BK30" i="135"/>
  <c r="BK52" i="135"/>
  <c r="BK141" i="135" s="1"/>
  <c r="BK19" i="135"/>
  <c r="BK36" i="135"/>
  <c r="BK15" i="135"/>
  <c r="BK14" i="135"/>
  <c r="BK17" i="135"/>
  <c r="BK18" i="135" s="1"/>
  <c r="BL4" i="135"/>
  <c r="BJ20" i="135"/>
  <c r="BL152" i="135" l="1"/>
  <c r="BJ25" i="135"/>
  <c r="BJ23" i="135"/>
  <c r="BK16" i="135"/>
  <c r="BK21" i="135"/>
  <c r="D113" i="135"/>
  <c r="E112" i="135"/>
  <c r="B112" i="135"/>
  <c r="F112" i="135"/>
  <c r="G112" i="135"/>
  <c r="H112" i="135"/>
  <c r="I112" i="135"/>
  <c r="J112" i="135"/>
  <c r="K112" i="135"/>
  <c r="L112" i="135"/>
  <c r="M112" i="135"/>
  <c r="N112" i="135"/>
  <c r="O112" i="135"/>
  <c r="P112" i="135"/>
  <c r="Q112" i="135"/>
  <c r="R112" i="135"/>
  <c r="S112" i="135"/>
  <c r="T112" i="135"/>
  <c r="U112" i="135"/>
  <c r="V112" i="135"/>
  <c r="W112" i="135"/>
  <c r="X112" i="135"/>
  <c r="Y112" i="135"/>
  <c r="Z112" i="135"/>
  <c r="AA112" i="135"/>
  <c r="AB112" i="135"/>
  <c r="AC112" i="135"/>
  <c r="AD112" i="135"/>
  <c r="AE112" i="135"/>
  <c r="AF112" i="135"/>
  <c r="AG112" i="135"/>
  <c r="AH112" i="135"/>
  <c r="AI112" i="135"/>
  <c r="AJ112" i="135"/>
  <c r="AK112" i="135"/>
  <c r="AL112" i="135"/>
  <c r="AM112" i="135"/>
  <c r="AN112" i="135"/>
  <c r="AO112" i="135"/>
  <c r="AP112" i="135"/>
  <c r="AQ112" i="135"/>
  <c r="AR112" i="135"/>
  <c r="AS112" i="135"/>
  <c r="AT112" i="135"/>
  <c r="AU112" i="135"/>
  <c r="AV112" i="135"/>
  <c r="AW112" i="135"/>
  <c r="AX112" i="135"/>
  <c r="AY112" i="135"/>
  <c r="AZ112" i="135"/>
  <c r="BA112" i="135"/>
  <c r="BB112" i="135"/>
  <c r="BC112" i="135"/>
  <c r="BD112" i="135"/>
  <c r="BE112" i="135"/>
  <c r="BF112" i="135"/>
  <c r="BG112" i="135"/>
  <c r="BH112" i="135"/>
  <c r="BI112" i="135"/>
  <c r="BJ112" i="135"/>
  <c r="CE138" i="135"/>
  <c r="BK112" i="135"/>
  <c r="BK40" i="135"/>
  <c r="BK41" i="135"/>
  <c r="BK139" i="135"/>
  <c r="BL113" i="135"/>
  <c r="BL111" i="135"/>
  <c r="BL109" i="135"/>
  <c r="BL107" i="135"/>
  <c r="BL112" i="135"/>
  <c r="BL110" i="135"/>
  <c r="BL108" i="135"/>
  <c r="BL105" i="135"/>
  <c r="BL104" i="135"/>
  <c r="BL106" i="135"/>
  <c r="BL99" i="135"/>
  <c r="BL98" i="135"/>
  <c r="BL102" i="135"/>
  <c r="BL101" i="135"/>
  <c r="BL103" i="135"/>
  <c r="BL100" i="135"/>
  <c r="BL96" i="135"/>
  <c r="BL97" i="135"/>
  <c r="BL68" i="135"/>
  <c r="BL66" i="135"/>
  <c r="BL64" i="135"/>
  <c r="BL62" i="135"/>
  <c r="BL65" i="135"/>
  <c r="BL63" i="135"/>
  <c r="BL69" i="135"/>
  <c r="BL59" i="135"/>
  <c r="BL61" i="135"/>
  <c r="BL58" i="135"/>
  <c r="BL57" i="135"/>
  <c r="BL56" i="135"/>
  <c r="BL55" i="135"/>
  <c r="BL67" i="135"/>
  <c r="BL60" i="135"/>
  <c r="BL54" i="135"/>
  <c r="BL53" i="135"/>
  <c r="BL52" i="135"/>
  <c r="BL141" i="135" s="1"/>
  <c r="BL39" i="135"/>
  <c r="BL28" i="135"/>
  <c r="BL29" i="135" s="1"/>
  <c r="BM4" i="135"/>
  <c r="BL36" i="135"/>
  <c r="BL30" i="135"/>
  <c r="BL14" i="135"/>
  <c r="BL19" i="135"/>
  <c r="BL15" i="135"/>
  <c r="BL17" i="135"/>
  <c r="BL18" i="135" s="1"/>
  <c r="BK20" i="135"/>
  <c r="AK50" i="135"/>
  <c r="AK136" i="135"/>
  <c r="AK129" i="135"/>
  <c r="AL44" i="135"/>
  <c r="AL47" i="135"/>
  <c r="AL69" i="135"/>
  <c r="AM69" i="135"/>
  <c r="AN69" i="135"/>
  <c r="AO69" i="135"/>
  <c r="AP69" i="135"/>
  <c r="AQ69" i="135"/>
  <c r="AR69" i="135"/>
  <c r="AS69" i="135"/>
  <c r="AT69" i="135"/>
  <c r="AU69" i="135"/>
  <c r="AV69" i="135"/>
  <c r="AW69" i="135"/>
  <c r="AX69" i="135"/>
  <c r="AY69" i="135"/>
  <c r="AZ69" i="135"/>
  <c r="BA69" i="135"/>
  <c r="BB69" i="135"/>
  <c r="BC69" i="135"/>
  <c r="BD69" i="135"/>
  <c r="BE69" i="135"/>
  <c r="BF69" i="135"/>
  <c r="BG69" i="135"/>
  <c r="BH69" i="135"/>
  <c r="BI69" i="135"/>
  <c r="BJ69" i="135"/>
  <c r="BK37" i="135"/>
  <c r="BK38" i="135"/>
  <c r="AL32" i="135"/>
  <c r="AM27" i="135" s="1"/>
  <c r="BM152" i="135" l="1"/>
  <c r="BL21" i="135"/>
  <c r="BK24" i="135"/>
  <c r="BK23" i="135" s="1"/>
  <c r="BK25" i="135"/>
  <c r="BL16" i="135"/>
  <c r="AM31" i="135"/>
  <c r="CF138" i="135"/>
  <c r="BL20" i="135"/>
  <c r="BL38" i="135"/>
  <c r="BL37" i="135"/>
  <c r="AL48" i="135"/>
  <c r="BM113" i="135"/>
  <c r="BM111" i="135"/>
  <c r="BM110" i="135"/>
  <c r="BM106" i="135"/>
  <c r="BM104" i="135"/>
  <c r="BM102" i="135"/>
  <c r="BM100" i="135"/>
  <c r="BM98" i="135"/>
  <c r="BM112" i="135"/>
  <c r="BM109" i="135"/>
  <c r="BM99" i="135"/>
  <c r="BM101" i="135"/>
  <c r="BM107" i="135"/>
  <c r="BM108" i="135"/>
  <c r="BM103" i="135"/>
  <c r="BM105" i="135"/>
  <c r="BM97" i="135"/>
  <c r="BM69" i="135"/>
  <c r="BM67" i="135"/>
  <c r="BM65" i="135"/>
  <c r="BM64" i="135"/>
  <c r="BM70" i="135"/>
  <c r="BM68" i="135"/>
  <c r="BM66" i="135"/>
  <c r="BM61" i="135"/>
  <c r="BM58" i="135"/>
  <c r="BM63" i="135"/>
  <c r="BM57" i="135"/>
  <c r="BM56" i="135"/>
  <c r="BM55" i="135"/>
  <c r="BM54" i="135"/>
  <c r="BM62" i="135"/>
  <c r="BM59" i="135"/>
  <c r="BM60" i="135"/>
  <c r="BM52" i="135"/>
  <c r="BM141" i="135" s="1"/>
  <c r="BM36" i="135"/>
  <c r="BM53" i="135"/>
  <c r="BM28" i="135"/>
  <c r="BM29" i="135" s="1"/>
  <c r="BM39" i="135"/>
  <c r="BM30" i="135"/>
  <c r="BM17" i="135"/>
  <c r="BM18" i="135" s="1"/>
  <c r="BM19" i="135"/>
  <c r="BM15" i="135"/>
  <c r="BM14" i="135"/>
  <c r="BN4" i="135"/>
  <c r="D114" i="135"/>
  <c r="E113" i="135"/>
  <c r="B113" i="135"/>
  <c r="G113" i="135"/>
  <c r="F113" i="135"/>
  <c r="H113" i="135"/>
  <c r="I113" i="135"/>
  <c r="J113" i="135"/>
  <c r="K113" i="135"/>
  <c r="L113" i="135"/>
  <c r="M113" i="135"/>
  <c r="N113" i="135"/>
  <c r="O113" i="135"/>
  <c r="P113" i="135"/>
  <c r="Q113" i="135"/>
  <c r="R113" i="135"/>
  <c r="S113" i="135"/>
  <c r="T113" i="135"/>
  <c r="U113" i="135"/>
  <c r="V113" i="135"/>
  <c r="W113" i="135"/>
  <c r="X113" i="135"/>
  <c r="Y113" i="135"/>
  <c r="Z113" i="135"/>
  <c r="AA113" i="135"/>
  <c r="AB113" i="135"/>
  <c r="AC113" i="135"/>
  <c r="AD113" i="135"/>
  <c r="AE113" i="135"/>
  <c r="AF113" i="135"/>
  <c r="AG113" i="135"/>
  <c r="AH113" i="135"/>
  <c r="AI113" i="135"/>
  <c r="AJ113" i="135"/>
  <c r="AK113" i="135"/>
  <c r="AL113" i="135"/>
  <c r="AM113" i="135"/>
  <c r="AN113" i="135"/>
  <c r="AO113" i="135"/>
  <c r="AP113" i="135"/>
  <c r="AQ113" i="135"/>
  <c r="AR113" i="135"/>
  <c r="AS113" i="135"/>
  <c r="AT113" i="135"/>
  <c r="AU113" i="135"/>
  <c r="AV113" i="135"/>
  <c r="AW113" i="135"/>
  <c r="AX113" i="135"/>
  <c r="AY113" i="135"/>
  <c r="AZ113" i="135"/>
  <c r="BA113" i="135"/>
  <c r="BB113" i="135"/>
  <c r="BC113" i="135"/>
  <c r="BD113" i="135"/>
  <c r="BE113" i="135"/>
  <c r="BF113" i="135"/>
  <c r="BG113" i="135"/>
  <c r="BH113" i="135"/>
  <c r="BI113" i="135"/>
  <c r="BJ113" i="135"/>
  <c r="BK113" i="135"/>
  <c r="AL46" i="135"/>
  <c r="AL45" i="135"/>
  <c r="BL41" i="135"/>
  <c r="BL40" i="135"/>
  <c r="BL139" i="135"/>
  <c r="BN152" i="135" l="1"/>
  <c r="BM20" i="135"/>
  <c r="BM21" i="135"/>
  <c r="BM16" i="135"/>
  <c r="BL24" i="135"/>
  <c r="BL23" i="135" s="1"/>
  <c r="BL25" i="135"/>
  <c r="BM41" i="135"/>
  <c r="BM40" i="135"/>
  <c r="CG138" i="135"/>
  <c r="BM38" i="135"/>
  <c r="BM37" i="135"/>
  <c r="AL50" i="135"/>
  <c r="AL136" i="135"/>
  <c r="AL129" i="135"/>
  <c r="BM139" i="135"/>
  <c r="AL49" i="135"/>
  <c r="AM47" i="135"/>
  <c r="AM44" i="135"/>
  <c r="AM70" i="135"/>
  <c r="AN70" i="135"/>
  <c r="AO70" i="135"/>
  <c r="AP70" i="135"/>
  <c r="AQ70" i="135"/>
  <c r="AR70" i="135"/>
  <c r="AS70" i="135"/>
  <c r="AT70" i="135"/>
  <c r="AU70" i="135"/>
  <c r="AV70" i="135"/>
  <c r="AW70" i="135"/>
  <c r="AX70" i="135"/>
  <c r="AY70" i="135"/>
  <c r="AZ70" i="135"/>
  <c r="BA70" i="135"/>
  <c r="BB70" i="135"/>
  <c r="BC70" i="135"/>
  <c r="BD70" i="135"/>
  <c r="BE70" i="135"/>
  <c r="BF70" i="135"/>
  <c r="BG70" i="135"/>
  <c r="BH70" i="135"/>
  <c r="BI70" i="135"/>
  <c r="BJ70" i="135"/>
  <c r="BK70" i="135"/>
  <c r="BL70" i="135"/>
  <c r="D115" i="135"/>
  <c r="B114" i="135"/>
  <c r="E114" i="135"/>
  <c r="G114" i="135"/>
  <c r="F114" i="135"/>
  <c r="H114" i="135"/>
  <c r="I114" i="135"/>
  <c r="J114" i="135"/>
  <c r="K114" i="135"/>
  <c r="L114" i="135"/>
  <c r="M114" i="135"/>
  <c r="N114" i="135"/>
  <c r="O114" i="135"/>
  <c r="P114" i="135"/>
  <c r="Q114" i="135"/>
  <c r="R114" i="135"/>
  <c r="S114" i="135"/>
  <c r="T114" i="135"/>
  <c r="U114" i="135"/>
  <c r="V114" i="135"/>
  <c r="W114" i="135"/>
  <c r="X114" i="135"/>
  <c r="Y114" i="135"/>
  <c r="Z114" i="135"/>
  <c r="AA114" i="135"/>
  <c r="AB114" i="135"/>
  <c r="AC114" i="135"/>
  <c r="AD114" i="135"/>
  <c r="AE114" i="135"/>
  <c r="AF114" i="135"/>
  <c r="AG114" i="135"/>
  <c r="AH114" i="135"/>
  <c r="AI114" i="135"/>
  <c r="AJ114" i="135"/>
  <c r="AK114" i="135"/>
  <c r="AL114" i="135"/>
  <c r="AM114" i="135"/>
  <c r="AN114" i="135"/>
  <c r="AO114" i="135"/>
  <c r="AP114" i="135"/>
  <c r="AQ114" i="135"/>
  <c r="AR114" i="135"/>
  <c r="AS114" i="135"/>
  <c r="AT114" i="135"/>
  <c r="AU114" i="135"/>
  <c r="AV114" i="135"/>
  <c r="AW114" i="135"/>
  <c r="AX114" i="135"/>
  <c r="AY114" i="135"/>
  <c r="AZ114" i="135"/>
  <c r="BA114" i="135"/>
  <c r="BB114" i="135"/>
  <c r="BC114" i="135"/>
  <c r="BD114" i="135"/>
  <c r="BE114" i="135"/>
  <c r="BF114" i="135"/>
  <c r="BG114" i="135"/>
  <c r="BH114" i="135"/>
  <c r="BI114" i="135"/>
  <c r="BJ114" i="135"/>
  <c r="BK114" i="135"/>
  <c r="BL114" i="135"/>
  <c r="BN113" i="135"/>
  <c r="BN110" i="135"/>
  <c r="BN106" i="135"/>
  <c r="BN104" i="135"/>
  <c r="BN102" i="135"/>
  <c r="BN100" i="135"/>
  <c r="BN98" i="135"/>
  <c r="BN109" i="135"/>
  <c r="BN114" i="135"/>
  <c r="BN111" i="135"/>
  <c r="BN112" i="135"/>
  <c r="BN103" i="135"/>
  <c r="BN101" i="135"/>
  <c r="BN107" i="135"/>
  <c r="BN108" i="135"/>
  <c r="BN105" i="135"/>
  <c r="BN99" i="135"/>
  <c r="BN64" i="135"/>
  <c r="BN70" i="135"/>
  <c r="BN69" i="135"/>
  <c r="BN68" i="135"/>
  <c r="BN61" i="135"/>
  <c r="BN67" i="135"/>
  <c r="BN65" i="135"/>
  <c r="BN63" i="135"/>
  <c r="BN57" i="135"/>
  <c r="BN56" i="135"/>
  <c r="BN66" i="135"/>
  <c r="BN55" i="135"/>
  <c r="BN54" i="135"/>
  <c r="BN62" i="135"/>
  <c r="BN60" i="135"/>
  <c r="BN58" i="135"/>
  <c r="BN52" i="135"/>
  <c r="BN141" i="135" s="1"/>
  <c r="BN59" i="135"/>
  <c r="BN53" i="135"/>
  <c r="BN39" i="135"/>
  <c r="BN36" i="135"/>
  <c r="BN30" i="135"/>
  <c r="BN19" i="135"/>
  <c r="BN15" i="135"/>
  <c r="BN28" i="135"/>
  <c r="BN29" i="135" s="1"/>
  <c r="BN14" i="135"/>
  <c r="BN17" i="135"/>
  <c r="BN18" i="135" s="1"/>
  <c r="BO4" i="135"/>
  <c r="BM114" i="135"/>
  <c r="AM32" i="135"/>
  <c r="AN27" i="135" s="1"/>
  <c r="BO152" i="135" l="1"/>
  <c r="BN21" i="135"/>
  <c r="BN25" i="135" s="1"/>
  <c r="BN16" i="135"/>
  <c r="BN20" i="135"/>
  <c r="BM24" i="135"/>
  <c r="BM25" i="135"/>
  <c r="BN38" i="135"/>
  <c r="BN37" i="135"/>
  <c r="BO115" i="135"/>
  <c r="BO114" i="135"/>
  <c r="BO109" i="135"/>
  <c r="BO108" i="135"/>
  <c r="BO111" i="135"/>
  <c r="BO112" i="135"/>
  <c r="BO110" i="135"/>
  <c r="BO101" i="135"/>
  <c r="BO107" i="135"/>
  <c r="BO102" i="135"/>
  <c r="BO103" i="135"/>
  <c r="BO105" i="135"/>
  <c r="BO104" i="135"/>
  <c r="BO113" i="135"/>
  <c r="BO100" i="135"/>
  <c r="BO99" i="135"/>
  <c r="BO106" i="135"/>
  <c r="BO59" i="135"/>
  <c r="BO57" i="135"/>
  <c r="BO55" i="135"/>
  <c r="BO53" i="135"/>
  <c r="BO70" i="135"/>
  <c r="BO69" i="135"/>
  <c r="BO68" i="135"/>
  <c r="BO67" i="135"/>
  <c r="BO52" i="135"/>
  <c r="BO141" i="135" s="1"/>
  <c r="BO66" i="135"/>
  <c r="BO56" i="135"/>
  <c r="BO54" i="135"/>
  <c r="BO64" i="135"/>
  <c r="BO39" i="135"/>
  <c r="BO36" i="135"/>
  <c r="BO30" i="135"/>
  <c r="BO62" i="135"/>
  <c r="BO60" i="135"/>
  <c r="BO65" i="135"/>
  <c r="BO63" i="135"/>
  <c r="BO61" i="135"/>
  <c r="BO58" i="135"/>
  <c r="BO15" i="135"/>
  <c r="BO28" i="135"/>
  <c r="BO29" i="135" s="1"/>
  <c r="BO14" i="135"/>
  <c r="BO17" i="135"/>
  <c r="BO18" i="135" s="1"/>
  <c r="BO19" i="135"/>
  <c r="BP4" i="135"/>
  <c r="AN31" i="135"/>
  <c r="AN32" i="135" s="1"/>
  <c r="AO27" i="135" s="1"/>
  <c r="BN41" i="135"/>
  <c r="BN40" i="135"/>
  <c r="D116" i="135"/>
  <c r="BO116" i="135" s="1"/>
  <c r="E115" i="135"/>
  <c r="B115" i="135"/>
  <c r="G115" i="135"/>
  <c r="F115" i="135"/>
  <c r="H115" i="135"/>
  <c r="I115" i="135"/>
  <c r="J115" i="135"/>
  <c r="K115" i="135"/>
  <c r="L115" i="135"/>
  <c r="M115" i="135"/>
  <c r="N115" i="135"/>
  <c r="O115" i="135"/>
  <c r="P115" i="135"/>
  <c r="Q115" i="135"/>
  <c r="R115" i="135"/>
  <c r="S115" i="135"/>
  <c r="T115" i="135"/>
  <c r="U115" i="135"/>
  <c r="V115" i="135"/>
  <c r="W115" i="135"/>
  <c r="X115" i="135"/>
  <c r="Y115" i="135"/>
  <c r="Z115" i="135"/>
  <c r="AA115" i="135"/>
  <c r="AB115" i="135"/>
  <c r="AC115" i="135"/>
  <c r="AD115" i="135"/>
  <c r="AE115" i="135"/>
  <c r="AF115" i="135"/>
  <c r="AG115" i="135"/>
  <c r="AH115" i="135"/>
  <c r="AI115" i="135"/>
  <c r="AJ115" i="135"/>
  <c r="AK115" i="135"/>
  <c r="AL115" i="135"/>
  <c r="AM115" i="135"/>
  <c r="AN115" i="135"/>
  <c r="AO115" i="135"/>
  <c r="AP115" i="135"/>
  <c r="AQ115" i="135"/>
  <c r="AR115" i="135"/>
  <c r="AS115" i="135"/>
  <c r="AT115" i="135"/>
  <c r="AU115" i="135"/>
  <c r="AV115" i="135"/>
  <c r="AW115" i="135"/>
  <c r="AX115" i="135"/>
  <c r="AY115" i="135"/>
  <c r="AZ115" i="135"/>
  <c r="BA115" i="135"/>
  <c r="BB115" i="135"/>
  <c r="BC115" i="135"/>
  <c r="BD115" i="135"/>
  <c r="BE115" i="135"/>
  <c r="BF115" i="135"/>
  <c r="BG115" i="135"/>
  <c r="BH115" i="135"/>
  <c r="BI115" i="135"/>
  <c r="BJ115" i="135"/>
  <c r="BK115" i="135"/>
  <c r="BL115" i="135"/>
  <c r="BM115" i="135"/>
  <c r="BN139" i="135"/>
  <c r="BN115" i="135"/>
  <c r="AM45" i="135"/>
  <c r="AM46" i="135"/>
  <c r="CH138" i="135"/>
  <c r="AM48" i="135"/>
  <c r="AM49" i="135" s="1"/>
  <c r="BP152" i="135" l="1"/>
  <c r="BN24" i="135"/>
  <c r="BO71" i="135"/>
  <c r="BO20" i="135"/>
  <c r="BP116" i="135"/>
  <c r="BP115" i="135"/>
  <c r="BP113" i="135"/>
  <c r="BP108" i="135"/>
  <c r="BP107" i="135"/>
  <c r="BP112" i="135"/>
  <c r="BP102" i="135"/>
  <c r="BP101" i="135"/>
  <c r="BP110" i="135"/>
  <c r="BP103" i="135"/>
  <c r="BP114" i="135"/>
  <c r="BP111" i="135"/>
  <c r="BP109" i="135"/>
  <c r="BP105" i="135"/>
  <c r="BP104" i="135"/>
  <c r="BP100" i="135"/>
  <c r="BP106" i="135"/>
  <c r="BP71" i="135"/>
  <c r="BP70" i="135"/>
  <c r="BP69" i="135"/>
  <c r="BP68" i="135"/>
  <c r="BP67" i="135"/>
  <c r="BP66" i="135"/>
  <c r="BP60" i="135"/>
  <c r="BP58" i="135"/>
  <c r="BP56" i="135"/>
  <c r="BP54" i="135"/>
  <c r="BP65" i="135"/>
  <c r="BP55" i="135"/>
  <c r="BP64" i="135"/>
  <c r="BP53" i="135"/>
  <c r="BP52" i="135"/>
  <c r="BP141" i="135" s="1"/>
  <c r="BP62" i="135"/>
  <c r="BP59" i="135"/>
  <c r="BP57" i="135"/>
  <c r="BP63" i="135"/>
  <c r="BP61" i="135"/>
  <c r="BP39" i="135"/>
  <c r="BP36" i="135"/>
  <c r="BP30" i="135"/>
  <c r="BP28" i="135"/>
  <c r="BP29" i="135" s="1"/>
  <c r="BP17" i="135"/>
  <c r="BP18" i="135" s="1"/>
  <c r="BP15" i="135"/>
  <c r="BP14" i="135"/>
  <c r="BP19" i="135"/>
  <c r="BQ4" i="135"/>
  <c r="BO21" i="135"/>
  <c r="BO38" i="135"/>
  <c r="BO37" i="135"/>
  <c r="BO40" i="135"/>
  <c r="BO41" i="135"/>
  <c r="AM50" i="135"/>
  <c r="AM129" i="135"/>
  <c r="AM136" i="135"/>
  <c r="CI138" i="135"/>
  <c r="AO31" i="135"/>
  <c r="AO32" i="135" s="1"/>
  <c r="AP27" i="135" s="1"/>
  <c r="BO16" i="135"/>
  <c r="D117" i="135"/>
  <c r="E116" i="135"/>
  <c r="B116" i="135"/>
  <c r="F116" i="135"/>
  <c r="G116" i="135"/>
  <c r="H116" i="135"/>
  <c r="I116" i="135"/>
  <c r="J116" i="135"/>
  <c r="K116" i="135"/>
  <c r="L116" i="135"/>
  <c r="M116" i="135"/>
  <c r="N116" i="135"/>
  <c r="O116" i="135"/>
  <c r="P116" i="135"/>
  <c r="Q116" i="135"/>
  <c r="R116" i="135"/>
  <c r="S116" i="135"/>
  <c r="T116" i="135"/>
  <c r="U116" i="135"/>
  <c r="V116" i="135"/>
  <c r="W116" i="135"/>
  <c r="X116" i="135"/>
  <c r="Y116" i="135"/>
  <c r="Z116" i="135"/>
  <c r="AA116" i="135"/>
  <c r="AB116" i="135"/>
  <c r="AC116" i="135"/>
  <c r="AD116" i="135"/>
  <c r="AE116" i="135"/>
  <c r="AF116" i="135"/>
  <c r="AG116" i="135"/>
  <c r="AH116" i="135"/>
  <c r="AI116" i="135"/>
  <c r="AJ116" i="135"/>
  <c r="AK116" i="135"/>
  <c r="AL116" i="135"/>
  <c r="AM116" i="135"/>
  <c r="AN116" i="135"/>
  <c r="AO116" i="135"/>
  <c r="AP116" i="135"/>
  <c r="AQ116" i="135"/>
  <c r="AR116" i="135"/>
  <c r="AS116" i="135"/>
  <c r="AT116" i="135"/>
  <c r="AU116" i="135"/>
  <c r="AV116" i="135"/>
  <c r="AW116" i="135"/>
  <c r="AX116" i="135"/>
  <c r="AY116" i="135"/>
  <c r="AZ116" i="135"/>
  <c r="BA116" i="135"/>
  <c r="BB116" i="135"/>
  <c r="BC116" i="135"/>
  <c r="BD116" i="135"/>
  <c r="BE116" i="135"/>
  <c r="BF116" i="135"/>
  <c r="BG116" i="135"/>
  <c r="BH116" i="135"/>
  <c r="BI116" i="135"/>
  <c r="BJ116" i="135"/>
  <c r="BK116" i="135"/>
  <c r="BL116" i="135"/>
  <c r="BM116" i="135"/>
  <c r="BN116" i="135"/>
  <c r="BO139" i="135"/>
  <c r="AN47" i="135"/>
  <c r="AN44" i="135"/>
  <c r="AN71" i="135"/>
  <c r="AO71" i="135"/>
  <c r="AP71" i="135"/>
  <c r="AQ71" i="135"/>
  <c r="AR71" i="135"/>
  <c r="AS71" i="135"/>
  <c r="AT71" i="135"/>
  <c r="AU71" i="135"/>
  <c r="AV71" i="135"/>
  <c r="AW71" i="135"/>
  <c r="AX71" i="135"/>
  <c r="AY71" i="135"/>
  <c r="AZ71" i="135"/>
  <c r="BA71" i="135"/>
  <c r="BB71" i="135"/>
  <c r="BC71" i="135"/>
  <c r="BD71" i="135"/>
  <c r="BE71" i="135"/>
  <c r="BF71" i="135"/>
  <c r="BG71" i="135"/>
  <c r="BH71" i="135"/>
  <c r="BI71" i="135"/>
  <c r="BJ71" i="135"/>
  <c r="BK71" i="135"/>
  <c r="BL71" i="135"/>
  <c r="BM71" i="135"/>
  <c r="BN71" i="135"/>
  <c r="BQ152" i="135" l="1"/>
  <c r="BP21" i="135"/>
  <c r="BP24" i="135" s="1"/>
  <c r="BO24" i="135"/>
  <c r="BO25" i="135"/>
  <c r="BP72" i="135"/>
  <c r="D118" i="135"/>
  <c r="E117" i="135"/>
  <c r="B117" i="135"/>
  <c r="F117" i="135"/>
  <c r="G117" i="135"/>
  <c r="H117" i="135"/>
  <c r="I117" i="135"/>
  <c r="J117" i="135"/>
  <c r="K117" i="135"/>
  <c r="L117" i="135"/>
  <c r="M117" i="135"/>
  <c r="N117" i="135"/>
  <c r="O117" i="135"/>
  <c r="P117" i="135"/>
  <c r="Q117" i="135"/>
  <c r="R117" i="135"/>
  <c r="S117" i="135"/>
  <c r="T117" i="135"/>
  <c r="U117" i="135"/>
  <c r="V117" i="135"/>
  <c r="W117" i="135"/>
  <c r="X117" i="135"/>
  <c r="Y117" i="135"/>
  <c r="Z117" i="135"/>
  <c r="AA117" i="135"/>
  <c r="AB117" i="135"/>
  <c r="AC117" i="135"/>
  <c r="AD117" i="135"/>
  <c r="AE117" i="135"/>
  <c r="AF117" i="135"/>
  <c r="AG117" i="135"/>
  <c r="AH117" i="135"/>
  <c r="AI117" i="135"/>
  <c r="AJ117" i="135"/>
  <c r="AK117" i="135"/>
  <c r="AL117" i="135"/>
  <c r="AM117" i="135"/>
  <c r="AN117" i="135"/>
  <c r="AO117" i="135"/>
  <c r="AP117" i="135"/>
  <c r="AQ117" i="135"/>
  <c r="AR117" i="135"/>
  <c r="AS117" i="135"/>
  <c r="AT117" i="135"/>
  <c r="AU117" i="135"/>
  <c r="AV117" i="135"/>
  <c r="AW117" i="135"/>
  <c r="AX117" i="135"/>
  <c r="AY117" i="135"/>
  <c r="AZ117" i="135"/>
  <c r="BA117" i="135"/>
  <c r="BB117" i="135"/>
  <c r="BC117" i="135"/>
  <c r="BD117" i="135"/>
  <c r="BE117" i="135"/>
  <c r="BF117" i="135"/>
  <c r="BG117" i="135"/>
  <c r="BH117" i="135"/>
  <c r="BI117" i="135"/>
  <c r="BJ117" i="135"/>
  <c r="BK117" i="135"/>
  <c r="BL117" i="135"/>
  <c r="BM117" i="135"/>
  <c r="BN117" i="135"/>
  <c r="BO117" i="135"/>
  <c r="AN48" i="135"/>
  <c r="AO47" i="135"/>
  <c r="AO44" i="135"/>
  <c r="AO72" i="135"/>
  <c r="AP72" i="135"/>
  <c r="AQ72" i="135"/>
  <c r="AR72" i="135"/>
  <c r="AS72" i="135"/>
  <c r="AT72" i="135"/>
  <c r="AU72" i="135"/>
  <c r="AV72" i="135"/>
  <c r="AW72" i="135"/>
  <c r="AX72" i="135"/>
  <c r="AY72" i="135"/>
  <c r="AZ72" i="135"/>
  <c r="BA72" i="135"/>
  <c r="BB72" i="135"/>
  <c r="BC72" i="135"/>
  <c r="BD72" i="135"/>
  <c r="BE72" i="135"/>
  <c r="BF72" i="135"/>
  <c r="BG72" i="135"/>
  <c r="BH72" i="135"/>
  <c r="BI72" i="135"/>
  <c r="BJ72" i="135"/>
  <c r="BK72" i="135"/>
  <c r="BL72" i="135"/>
  <c r="BM72" i="135"/>
  <c r="BN72" i="135"/>
  <c r="BO72" i="135"/>
  <c r="AP31" i="135"/>
  <c r="AP32" i="135" s="1"/>
  <c r="AQ27" i="135" s="1"/>
  <c r="BQ116" i="135"/>
  <c r="BQ115" i="135"/>
  <c r="BQ114" i="135"/>
  <c r="BQ118" i="135"/>
  <c r="BQ107" i="135"/>
  <c r="BQ112" i="135"/>
  <c r="BQ110" i="135"/>
  <c r="BQ117" i="135"/>
  <c r="BQ113" i="135"/>
  <c r="BQ111" i="135"/>
  <c r="BQ101" i="135"/>
  <c r="BQ103" i="135"/>
  <c r="BQ102" i="135"/>
  <c r="BQ108" i="135"/>
  <c r="BQ109" i="135"/>
  <c r="BQ105" i="135"/>
  <c r="BQ104" i="135"/>
  <c r="BQ106" i="135"/>
  <c r="BQ71" i="135"/>
  <c r="BQ70" i="135"/>
  <c r="BQ69" i="135"/>
  <c r="BQ68" i="135"/>
  <c r="BQ72" i="135"/>
  <c r="BQ67" i="135"/>
  <c r="BQ66" i="135"/>
  <c r="BQ65" i="135"/>
  <c r="BQ62" i="135"/>
  <c r="BQ55" i="135"/>
  <c r="BQ64" i="135"/>
  <c r="BQ54" i="135"/>
  <c r="BQ53" i="135"/>
  <c r="BQ60" i="135"/>
  <c r="BQ59" i="135"/>
  <c r="BQ63" i="135"/>
  <c r="BQ61" i="135"/>
  <c r="BQ58" i="135"/>
  <c r="BQ56" i="135"/>
  <c r="BQ52" i="135"/>
  <c r="BQ141" i="135" s="1"/>
  <c r="BQ57" i="135"/>
  <c r="BQ39" i="135"/>
  <c r="BQ36" i="135"/>
  <c r="BQ30" i="135"/>
  <c r="BQ28" i="135"/>
  <c r="BQ29" i="135" s="1"/>
  <c r="BQ19" i="135"/>
  <c r="BQ17" i="135"/>
  <c r="BQ18" i="135" s="1"/>
  <c r="BR4" i="135"/>
  <c r="BQ14" i="135"/>
  <c r="BQ15" i="135"/>
  <c r="AN46" i="135"/>
  <c r="AN45" i="135"/>
  <c r="BP20" i="135"/>
  <c r="BP139" i="135"/>
  <c r="BP16" i="135"/>
  <c r="BP117" i="135"/>
  <c r="CJ138" i="135"/>
  <c r="BP38" i="135"/>
  <c r="BP37" i="135"/>
  <c r="BP40" i="135"/>
  <c r="BP41" i="135"/>
  <c r="BR152" i="135" l="1"/>
  <c r="BQ16" i="135"/>
  <c r="BP25" i="135"/>
  <c r="BQ73" i="135"/>
  <c r="BQ20" i="135"/>
  <c r="BR118" i="135"/>
  <c r="BR116" i="135"/>
  <c r="BR114" i="135"/>
  <c r="BR112" i="135"/>
  <c r="BR110" i="135"/>
  <c r="BR108" i="135"/>
  <c r="BR117" i="135"/>
  <c r="BR115" i="135"/>
  <c r="BR113" i="135"/>
  <c r="BR111" i="135"/>
  <c r="BR109" i="135"/>
  <c r="BR107" i="135"/>
  <c r="BR106" i="135"/>
  <c r="BR105" i="135"/>
  <c r="BR103" i="135"/>
  <c r="BR102" i="135"/>
  <c r="BR104" i="135"/>
  <c r="BR72" i="135"/>
  <c r="BR71" i="135"/>
  <c r="BR69" i="135"/>
  <c r="BR67" i="135"/>
  <c r="BR65" i="135"/>
  <c r="BR63" i="135"/>
  <c r="BR61" i="135"/>
  <c r="BR73" i="135"/>
  <c r="BR70" i="135"/>
  <c r="BR68" i="135"/>
  <c r="BR66" i="135"/>
  <c r="BR64" i="135"/>
  <c r="BR54" i="135"/>
  <c r="BR53" i="135"/>
  <c r="BR62" i="135"/>
  <c r="BR60" i="135"/>
  <c r="BR59" i="135"/>
  <c r="BR58" i="135"/>
  <c r="BR57" i="135"/>
  <c r="BR55" i="135"/>
  <c r="BR52" i="135"/>
  <c r="BR141" i="135" s="1"/>
  <c r="BR56" i="135"/>
  <c r="BR28" i="135"/>
  <c r="BR29" i="135" s="1"/>
  <c r="BR39" i="135"/>
  <c r="BR36" i="135"/>
  <c r="BR30" i="135"/>
  <c r="BR14" i="135"/>
  <c r="BS4" i="135"/>
  <c r="BR17" i="135"/>
  <c r="BR18" i="135" s="1"/>
  <c r="BR19" i="135"/>
  <c r="BR15" i="135"/>
  <c r="AO46" i="135"/>
  <c r="AO45" i="135"/>
  <c r="AO48" i="135"/>
  <c r="AN50" i="135"/>
  <c r="AN129" i="135"/>
  <c r="AN136" i="135"/>
  <c r="AN49" i="135"/>
  <c r="CK138" i="135"/>
  <c r="BQ21" i="135"/>
  <c r="BQ38" i="135"/>
  <c r="BQ37" i="135"/>
  <c r="BQ40" i="135"/>
  <c r="BQ41" i="135"/>
  <c r="AP44" i="135"/>
  <c r="AP47" i="135"/>
  <c r="AP73" i="135"/>
  <c r="AQ73" i="135"/>
  <c r="AR73" i="135"/>
  <c r="AS73" i="135"/>
  <c r="AT73" i="135"/>
  <c r="AU73" i="135"/>
  <c r="AV73" i="135"/>
  <c r="AW73" i="135"/>
  <c r="AX73" i="135"/>
  <c r="AY73" i="135"/>
  <c r="AZ73" i="135"/>
  <c r="BA73" i="135"/>
  <c r="BB73" i="135"/>
  <c r="BC73" i="135"/>
  <c r="BD73" i="135"/>
  <c r="BE73" i="135"/>
  <c r="BF73" i="135"/>
  <c r="BG73" i="135"/>
  <c r="BH73" i="135"/>
  <c r="BI73" i="135"/>
  <c r="BJ73" i="135"/>
  <c r="BK73" i="135"/>
  <c r="BL73" i="135"/>
  <c r="BM73" i="135"/>
  <c r="BN73" i="135"/>
  <c r="BO73" i="135"/>
  <c r="BP73" i="135"/>
  <c r="BQ139" i="135"/>
  <c r="AQ31" i="135"/>
  <c r="BR74" i="135" s="1"/>
  <c r="D119" i="135"/>
  <c r="BR119" i="135" s="1"/>
  <c r="E118" i="135"/>
  <c r="B118" i="135"/>
  <c r="F118" i="135"/>
  <c r="G118" i="135"/>
  <c r="H118" i="135"/>
  <c r="I118" i="135"/>
  <c r="J118" i="135"/>
  <c r="K118" i="135"/>
  <c r="L118" i="135"/>
  <c r="M118" i="135"/>
  <c r="N118" i="135"/>
  <c r="O118" i="135"/>
  <c r="P118" i="135"/>
  <c r="Q118" i="135"/>
  <c r="R118" i="135"/>
  <c r="S118" i="135"/>
  <c r="T118" i="135"/>
  <c r="U118" i="135"/>
  <c r="V118" i="135"/>
  <c r="W118" i="135"/>
  <c r="X118" i="135"/>
  <c r="Y118" i="135"/>
  <c r="Z118" i="135"/>
  <c r="AA118" i="135"/>
  <c r="AB118" i="135"/>
  <c r="AC118" i="135"/>
  <c r="AD118" i="135"/>
  <c r="AE118" i="135"/>
  <c r="AF118" i="135"/>
  <c r="AG118" i="135"/>
  <c r="AH118" i="135"/>
  <c r="AI118" i="135"/>
  <c r="AJ118" i="135"/>
  <c r="AK118" i="135"/>
  <c r="AL118" i="135"/>
  <c r="AM118" i="135"/>
  <c r="AN118" i="135"/>
  <c r="AO118" i="135"/>
  <c r="AP118" i="135"/>
  <c r="AQ118" i="135"/>
  <c r="AR118" i="135"/>
  <c r="AS118" i="135"/>
  <c r="AT118" i="135"/>
  <c r="AU118" i="135"/>
  <c r="AV118" i="135"/>
  <c r="AW118" i="135"/>
  <c r="AX118" i="135"/>
  <c r="AY118" i="135"/>
  <c r="AZ118" i="135"/>
  <c r="BA118" i="135"/>
  <c r="BB118" i="135"/>
  <c r="BC118" i="135"/>
  <c r="BD118" i="135"/>
  <c r="BE118" i="135"/>
  <c r="BF118" i="135"/>
  <c r="BG118" i="135"/>
  <c r="BH118" i="135"/>
  <c r="BI118" i="135"/>
  <c r="BJ118" i="135"/>
  <c r="BK118" i="135"/>
  <c r="BL118" i="135"/>
  <c r="BM118" i="135"/>
  <c r="BN118" i="135"/>
  <c r="BO118" i="135"/>
  <c r="BP118" i="135"/>
  <c r="BS152" i="135" l="1"/>
  <c r="BR21" i="135"/>
  <c r="BR24" i="135" s="1"/>
  <c r="BQ24" i="135"/>
  <c r="BQ25" i="135"/>
  <c r="AO49" i="135"/>
  <c r="BR16" i="135"/>
  <c r="BR25" i="135"/>
  <c r="BR139" i="135"/>
  <c r="AP48" i="135"/>
  <c r="AP49" i="135" s="1"/>
  <c r="AP46" i="135"/>
  <c r="AP45" i="135"/>
  <c r="CL138" i="135"/>
  <c r="BS118" i="135"/>
  <c r="BS119" i="135"/>
  <c r="BS115" i="135"/>
  <c r="BS114" i="135"/>
  <c r="BS117" i="135"/>
  <c r="BS105" i="135"/>
  <c r="BS103" i="135"/>
  <c r="BS116" i="135"/>
  <c r="BS109" i="135"/>
  <c r="BS110" i="135"/>
  <c r="BS113" i="135"/>
  <c r="BS111" i="135"/>
  <c r="BS112" i="135"/>
  <c r="BS107" i="135"/>
  <c r="BS108" i="135"/>
  <c r="BS104" i="135"/>
  <c r="BS106" i="135"/>
  <c r="BS70" i="135"/>
  <c r="BS68" i="135"/>
  <c r="BS66" i="135"/>
  <c r="BS64" i="135"/>
  <c r="BS71" i="135"/>
  <c r="BS69" i="135"/>
  <c r="BS74" i="135"/>
  <c r="BS72" i="135"/>
  <c r="BS67" i="135"/>
  <c r="BS65" i="135"/>
  <c r="BS73" i="135"/>
  <c r="BS53" i="135"/>
  <c r="BS62" i="135"/>
  <c r="BS60" i="135"/>
  <c r="BS59" i="135"/>
  <c r="BS58" i="135"/>
  <c r="BS63" i="135"/>
  <c r="BS61" i="135"/>
  <c r="BS57" i="135"/>
  <c r="BS56" i="135"/>
  <c r="BS55" i="135"/>
  <c r="BS52" i="135"/>
  <c r="BS141" i="135" s="1"/>
  <c r="BS39" i="135"/>
  <c r="BS54" i="135"/>
  <c r="BS36" i="135"/>
  <c r="BS30" i="135"/>
  <c r="BS17" i="135"/>
  <c r="BS18" i="135" s="1"/>
  <c r="BS28" i="135"/>
  <c r="BS29" i="135" s="1"/>
  <c r="BT4" i="135"/>
  <c r="BS19" i="135"/>
  <c r="BS15" i="135"/>
  <c r="BS14" i="135"/>
  <c r="E119" i="135"/>
  <c r="D120" i="135"/>
  <c r="BS120" i="135" s="1"/>
  <c r="B119" i="135"/>
  <c r="G119" i="135"/>
  <c r="F119" i="135"/>
  <c r="H119" i="135"/>
  <c r="I119" i="135"/>
  <c r="J119" i="135"/>
  <c r="K119" i="135"/>
  <c r="L119" i="135"/>
  <c r="M119" i="135"/>
  <c r="N119" i="135"/>
  <c r="O119" i="135"/>
  <c r="P119" i="135"/>
  <c r="Q119" i="135"/>
  <c r="R119" i="135"/>
  <c r="S119" i="135"/>
  <c r="T119" i="135"/>
  <c r="U119" i="135"/>
  <c r="V119" i="135"/>
  <c r="W119" i="135"/>
  <c r="X119" i="135"/>
  <c r="Y119" i="135"/>
  <c r="Z119" i="135"/>
  <c r="AA119" i="135"/>
  <c r="AB119" i="135"/>
  <c r="AC119" i="135"/>
  <c r="AD119" i="135"/>
  <c r="AE119" i="135"/>
  <c r="AF119" i="135"/>
  <c r="AG119" i="135"/>
  <c r="AH119" i="135"/>
  <c r="AI119" i="135"/>
  <c r="AJ119" i="135"/>
  <c r="AK119" i="135"/>
  <c r="AL119" i="135"/>
  <c r="AM119" i="135"/>
  <c r="AN119" i="135"/>
  <c r="AO119" i="135"/>
  <c r="AP119" i="135"/>
  <c r="AQ119" i="135"/>
  <c r="AR119" i="135"/>
  <c r="AS119" i="135"/>
  <c r="AT119" i="135"/>
  <c r="AU119" i="135"/>
  <c r="AV119" i="135"/>
  <c r="AW119" i="135"/>
  <c r="AX119" i="135"/>
  <c r="AY119" i="135"/>
  <c r="AZ119" i="135"/>
  <c r="BA119" i="135"/>
  <c r="BB119" i="135"/>
  <c r="BC119" i="135"/>
  <c r="BD119" i="135"/>
  <c r="BE119" i="135"/>
  <c r="BF119" i="135"/>
  <c r="BG119" i="135"/>
  <c r="BH119" i="135"/>
  <c r="BI119" i="135"/>
  <c r="BJ119" i="135"/>
  <c r="BK119" i="135"/>
  <c r="BL119" i="135"/>
  <c r="BM119" i="135"/>
  <c r="BN119" i="135"/>
  <c r="BO119" i="135"/>
  <c r="BP119" i="135"/>
  <c r="BQ119" i="135"/>
  <c r="BR20" i="135"/>
  <c r="BR37" i="135"/>
  <c r="BR38" i="135"/>
  <c r="AQ44" i="135"/>
  <c r="AQ47" i="135"/>
  <c r="AQ74" i="135"/>
  <c r="AR74" i="135"/>
  <c r="AS74" i="135"/>
  <c r="AT74" i="135"/>
  <c r="AU74" i="135"/>
  <c r="AV74" i="135"/>
  <c r="AW74" i="135"/>
  <c r="AX74" i="135"/>
  <c r="AY74" i="135"/>
  <c r="AZ74" i="135"/>
  <c r="BA74" i="135"/>
  <c r="BB74" i="135"/>
  <c r="BC74" i="135"/>
  <c r="BD74" i="135"/>
  <c r="BE74" i="135"/>
  <c r="BF74" i="135"/>
  <c r="BG74" i="135"/>
  <c r="BH74" i="135"/>
  <c r="BI74" i="135"/>
  <c r="BJ74" i="135"/>
  <c r="BK74" i="135"/>
  <c r="BL74" i="135"/>
  <c r="BM74" i="135"/>
  <c r="BN74" i="135"/>
  <c r="BO74" i="135"/>
  <c r="BP74" i="135"/>
  <c r="BQ74" i="135"/>
  <c r="BR40" i="135"/>
  <c r="BR41" i="135"/>
  <c r="AQ32" i="135"/>
  <c r="AR27" i="135" s="1"/>
  <c r="AO50" i="135"/>
  <c r="AO129" i="135"/>
  <c r="AO136" i="135"/>
  <c r="X139" i="134"/>
  <c r="Y139" i="134" s="1"/>
  <c r="BT152" i="135" l="1"/>
  <c r="BS21" i="135"/>
  <c r="BS24" i="135" s="1"/>
  <c r="BS20" i="135"/>
  <c r="BS16" i="135"/>
  <c r="BT120" i="135"/>
  <c r="BT118" i="135"/>
  <c r="BT119" i="135"/>
  <c r="BT114" i="135"/>
  <c r="BT113" i="135"/>
  <c r="BT117" i="135"/>
  <c r="BT105" i="135"/>
  <c r="BT116" i="135"/>
  <c r="BT115" i="135"/>
  <c r="BT107" i="135"/>
  <c r="BT109" i="135"/>
  <c r="BT110" i="135"/>
  <c r="BT111" i="135"/>
  <c r="BT112" i="135"/>
  <c r="BT104" i="135"/>
  <c r="BT108" i="135"/>
  <c r="BT106" i="135"/>
  <c r="BT71" i="135"/>
  <c r="BT70" i="135"/>
  <c r="BT69" i="135"/>
  <c r="BT68" i="135"/>
  <c r="BT61" i="135"/>
  <c r="BT52" i="135"/>
  <c r="BT141" i="135" s="1"/>
  <c r="BT74" i="135"/>
  <c r="BT72" i="135"/>
  <c r="BT67" i="135"/>
  <c r="BT66" i="135"/>
  <c r="BT65" i="135"/>
  <c r="BT63" i="135"/>
  <c r="BT64" i="135"/>
  <c r="BT73" i="135"/>
  <c r="BT62" i="135"/>
  <c r="BT60" i="135"/>
  <c r="BT59" i="135"/>
  <c r="BT58" i="135"/>
  <c r="BT57" i="135"/>
  <c r="BT56" i="135"/>
  <c r="BT55" i="135"/>
  <c r="BT53" i="135"/>
  <c r="BT54" i="135"/>
  <c r="BT36" i="135"/>
  <c r="BT30" i="135"/>
  <c r="BT28" i="135"/>
  <c r="BT29" i="135" s="1"/>
  <c r="BT17" i="135"/>
  <c r="BT18" i="135" s="1"/>
  <c r="BU4" i="135"/>
  <c r="BT19" i="135"/>
  <c r="BT15" i="135"/>
  <c r="BT14" i="135"/>
  <c r="BT39" i="135"/>
  <c r="AP50" i="135"/>
  <c r="AP129" i="135"/>
  <c r="AP136" i="135"/>
  <c r="AR31" i="135"/>
  <c r="BS38" i="135"/>
  <c r="BS37" i="135"/>
  <c r="AQ48" i="135"/>
  <c r="AQ49" i="135" s="1"/>
  <c r="BS41" i="135"/>
  <c r="BS40" i="135"/>
  <c r="CM138" i="135"/>
  <c r="AQ46" i="135"/>
  <c r="AQ45" i="135"/>
  <c r="D121" i="135"/>
  <c r="E120" i="135"/>
  <c r="B120" i="135"/>
  <c r="F120" i="135"/>
  <c r="G120" i="135"/>
  <c r="H120" i="135"/>
  <c r="I120" i="135"/>
  <c r="J120" i="135"/>
  <c r="K120" i="135"/>
  <c r="L120" i="135"/>
  <c r="M120" i="135"/>
  <c r="N120" i="135"/>
  <c r="O120" i="135"/>
  <c r="P120" i="135"/>
  <c r="Q120" i="135"/>
  <c r="R120" i="135"/>
  <c r="S120" i="135"/>
  <c r="T120" i="135"/>
  <c r="U120" i="135"/>
  <c r="V120" i="135"/>
  <c r="W120" i="135"/>
  <c r="X120" i="135"/>
  <c r="Y120" i="135"/>
  <c r="Z120" i="135"/>
  <c r="AA120" i="135"/>
  <c r="AB120" i="135"/>
  <c r="AC120" i="135"/>
  <c r="AD120" i="135"/>
  <c r="AE120" i="135"/>
  <c r="AF120" i="135"/>
  <c r="AG120" i="135"/>
  <c r="AH120" i="135"/>
  <c r="AI120" i="135"/>
  <c r="AJ120" i="135"/>
  <c r="AK120" i="135"/>
  <c r="AL120" i="135"/>
  <c r="AM120" i="135"/>
  <c r="AN120" i="135"/>
  <c r="AO120" i="135"/>
  <c r="AP120" i="135"/>
  <c r="AQ120" i="135"/>
  <c r="AR120" i="135"/>
  <c r="AS120" i="135"/>
  <c r="AT120" i="135"/>
  <c r="AU120" i="135"/>
  <c r="AV120" i="135"/>
  <c r="AW120" i="135"/>
  <c r="AX120" i="135"/>
  <c r="AY120" i="135"/>
  <c r="AZ120" i="135"/>
  <c r="BA120" i="135"/>
  <c r="BB120" i="135"/>
  <c r="BC120" i="135"/>
  <c r="BD120" i="135"/>
  <c r="BE120" i="135"/>
  <c r="BF120" i="135"/>
  <c r="BG120" i="135"/>
  <c r="BH120" i="135"/>
  <c r="BI120" i="135"/>
  <c r="BJ120" i="135"/>
  <c r="BK120" i="135"/>
  <c r="BL120" i="135"/>
  <c r="BM120" i="135"/>
  <c r="BN120" i="135"/>
  <c r="BO120" i="135"/>
  <c r="BP120" i="135"/>
  <c r="BQ120" i="135"/>
  <c r="BR120" i="135"/>
  <c r="BS139" i="135"/>
  <c r="Z139" i="134"/>
  <c r="E53" i="134"/>
  <c r="F53" i="96"/>
  <c r="G53" i="96"/>
  <c r="H53" i="96"/>
  <c r="I53" i="96"/>
  <c r="J53" i="96"/>
  <c r="K53" i="96"/>
  <c r="L53" i="96"/>
  <c r="M53" i="96"/>
  <c r="N53" i="96"/>
  <c r="O53" i="96"/>
  <c r="P53" i="96"/>
  <c r="Q53" i="96"/>
  <c r="R53" i="96"/>
  <c r="S53" i="96"/>
  <c r="T53" i="96"/>
  <c r="U53" i="96"/>
  <c r="V53" i="96"/>
  <c r="W53" i="96"/>
  <c r="X53" i="96"/>
  <c r="Y53" i="96"/>
  <c r="Z53" i="96"/>
  <c r="AA53" i="96"/>
  <c r="AB53" i="96"/>
  <c r="AC53" i="96"/>
  <c r="AD53" i="96"/>
  <c r="AE53" i="96"/>
  <c r="AF53" i="96"/>
  <c r="AG53" i="96"/>
  <c r="AH53" i="96"/>
  <c r="AI53" i="96"/>
  <c r="AJ53" i="96"/>
  <c r="AK53" i="96"/>
  <c r="AL53" i="96"/>
  <c r="AM53" i="96"/>
  <c r="AN53" i="96"/>
  <c r="AO53" i="96"/>
  <c r="AP53" i="96"/>
  <c r="AQ53" i="96"/>
  <c r="AR53" i="96"/>
  <c r="AS53" i="96"/>
  <c r="AT53" i="96"/>
  <c r="AU53" i="96"/>
  <c r="AV53" i="96"/>
  <c r="AW53" i="96"/>
  <c r="AX53" i="96"/>
  <c r="AY53" i="96"/>
  <c r="AZ53" i="96"/>
  <c r="BA53" i="96"/>
  <c r="BB53" i="96"/>
  <c r="BC53" i="96"/>
  <c r="BD53" i="96"/>
  <c r="BE53" i="96"/>
  <c r="BF53" i="96"/>
  <c r="BG53" i="96"/>
  <c r="BH53" i="96"/>
  <c r="BI53" i="96"/>
  <c r="BJ53" i="96"/>
  <c r="BK53" i="96"/>
  <c r="BL53" i="96"/>
  <c r="BM53" i="96"/>
  <c r="BN53" i="96"/>
  <c r="BO53" i="96"/>
  <c r="BP53" i="96"/>
  <c r="BQ53" i="96"/>
  <c r="BR53" i="96"/>
  <c r="BS53" i="96"/>
  <c r="BT53" i="96"/>
  <c r="BU53" i="96"/>
  <c r="BV53" i="96"/>
  <c r="BW53" i="96"/>
  <c r="BX53" i="96"/>
  <c r="BY53" i="96"/>
  <c r="BZ53" i="96"/>
  <c r="CA53" i="96"/>
  <c r="CB53" i="96"/>
  <c r="CC53" i="96"/>
  <c r="CD53" i="96"/>
  <c r="CE53" i="96"/>
  <c r="CF53" i="96"/>
  <c r="CG53" i="96"/>
  <c r="CH53" i="96"/>
  <c r="CI53" i="96"/>
  <c r="CJ53" i="96"/>
  <c r="CK53" i="96"/>
  <c r="CL53" i="96"/>
  <c r="CM53" i="96"/>
  <c r="CN53" i="96"/>
  <c r="CO53" i="96"/>
  <c r="CP53" i="96"/>
  <c r="CQ53" i="96"/>
  <c r="CR53" i="96"/>
  <c r="CS53" i="96"/>
  <c r="CT53" i="96"/>
  <c r="CU53" i="96"/>
  <c r="CV53" i="96"/>
  <c r="CW53" i="96"/>
  <c r="CX53" i="96"/>
  <c r="CY53" i="96"/>
  <c r="CZ53" i="96"/>
  <c r="E53" i="96"/>
  <c r="BU152" i="135" l="1"/>
  <c r="BT20" i="135"/>
  <c r="BS25" i="135"/>
  <c r="BT16" i="135"/>
  <c r="BT21" i="135"/>
  <c r="E121" i="135"/>
  <c r="B121" i="135"/>
  <c r="D122" i="135"/>
  <c r="G121" i="135"/>
  <c r="F121" i="135"/>
  <c r="H121" i="135"/>
  <c r="I121" i="135"/>
  <c r="J121" i="135"/>
  <c r="K121" i="135"/>
  <c r="L121" i="135"/>
  <c r="M121" i="135"/>
  <c r="N121" i="135"/>
  <c r="O121" i="135"/>
  <c r="P121" i="135"/>
  <c r="Q121" i="135"/>
  <c r="R121" i="135"/>
  <c r="S121" i="135"/>
  <c r="T121" i="135"/>
  <c r="U121" i="135"/>
  <c r="V121" i="135"/>
  <c r="W121" i="135"/>
  <c r="X121" i="135"/>
  <c r="Y121" i="135"/>
  <c r="Z121" i="135"/>
  <c r="AA121" i="135"/>
  <c r="AB121" i="135"/>
  <c r="AC121" i="135"/>
  <c r="AD121" i="135"/>
  <c r="AE121" i="135"/>
  <c r="AF121" i="135"/>
  <c r="AG121" i="135"/>
  <c r="AH121" i="135"/>
  <c r="AI121" i="135"/>
  <c r="AJ121" i="135"/>
  <c r="AK121" i="135"/>
  <c r="AL121" i="135"/>
  <c r="AM121" i="135"/>
  <c r="AN121" i="135"/>
  <c r="AO121" i="135"/>
  <c r="AP121" i="135"/>
  <c r="AQ121" i="135"/>
  <c r="AR121" i="135"/>
  <c r="AS121" i="135"/>
  <c r="AT121" i="135"/>
  <c r="AU121" i="135"/>
  <c r="AV121" i="135"/>
  <c r="AW121" i="135"/>
  <c r="AX121" i="135"/>
  <c r="AY121" i="135"/>
  <c r="AZ121" i="135"/>
  <c r="BA121" i="135"/>
  <c r="BB121" i="135"/>
  <c r="BC121" i="135"/>
  <c r="BD121" i="135"/>
  <c r="BE121" i="135"/>
  <c r="BF121" i="135"/>
  <c r="BG121" i="135"/>
  <c r="BH121" i="135"/>
  <c r="BI121" i="135"/>
  <c r="BJ121" i="135"/>
  <c r="BK121" i="135"/>
  <c r="BL121" i="135"/>
  <c r="BM121" i="135"/>
  <c r="BN121" i="135"/>
  <c r="BO121" i="135"/>
  <c r="BP121" i="135"/>
  <c r="BQ121" i="135"/>
  <c r="BR121" i="135"/>
  <c r="BS121" i="135"/>
  <c r="BU121" i="135"/>
  <c r="BU119" i="135"/>
  <c r="BU113" i="135"/>
  <c r="BU112" i="135"/>
  <c r="BU118" i="135"/>
  <c r="BU120" i="135"/>
  <c r="BU122" i="135"/>
  <c r="BU117" i="135"/>
  <c r="BU116" i="135"/>
  <c r="BU115" i="135"/>
  <c r="BU108" i="135"/>
  <c r="BU109" i="135"/>
  <c r="BU110" i="135"/>
  <c r="BU111" i="135"/>
  <c r="BU114" i="135"/>
  <c r="BU107" i="135"/>
  <c r="BU106" i="135"/>
  <c r="BU105" i="135"/>
  <c r="BU74" i="135"/>
  <c r="BU72" i="135"/>
  <c r="BU73" i="135"/>
  <c r="BU75" i="135"/>
  <c r="BU70" i="135"/>
  <c r="BU69" i="135"/>
  <c r="BU68" i="135"/>
  <c r="BU67" i="135"/>
  <c r="BU60" i="135"/>
  <c r="BU58" i="135"/>
  <c r="BU56" i="135"/>
  <c r="BU54" i="135"/>
  <c r="BU66" i="135"/>
  <c r="BU65" i="135"/>
  <c r="BU71" i="135"/>
  <c r="BU62" i="135"/>
  <c r="BU59" i="135"/>
  <c r="BU57" i="135"/>
  <c r="BU63" i="135"/>
  <c r="BU61" i="135"/>
  <c r="BU55" i="135"/>
  <c r="BU64" i="135"/>
  <c r="BU53" i="135"/>
  <c r="BU30" i="135"/>
  <c r="BU28" i="135"/>
  <c r="BU29" i="135" s="1"/>
  <c r="BU52" i="135"/>
  <c r="BU141" i="135" s="1"/>
  <c r="BU39" i="135"/>
  <c r="BU15" i="135"/>
  <c r="BU17" i="135"/>
  <c r="BU18" i="135" s="1"/>
  <c r="BV4" i="135"/>
  <c r="BU36" i="135"/>
  <c r="BU19" i="135"/>
  <c r="BU14" i="135"/>
  <c r="BT121" i="135"/>
  <c r="BT139" i="135"/>
  <c r="AR44" i="135"/>
  <c r="AR47" i="135"/>
  <c r="AR75" i="135"/>
  <c r="AS75" i="135"/>
  <c r="AT75" i="135"/>
  <c r="AU75" i="135"/>
  <c r="AV75" i="135"/>
  <c r="AW75" i="135"/>
  <c r="AX75" i="135"/>
  <c r="AY75" i="135"/>
  <c r="AZ75" i="135"/>
  <c r="BA75" i="135"/>
  <c r="BB75" i="135"/>
  <c r="BC75" i="135"/>
  <c r="BD75" i="135"/>
  <c r="BE75" i="135"/>
  <c r="BF75" i="135"/>
  <c r="BG75" i="135"/>
  <c r="BH75" i="135"/>
  <c r="BI75" i="135"/>
  <c r="BJ75" i="135"/>
  <c r="BK75" i="135"/>
  <c r="BL75" i="135"/>
  <c r="BM75" i="135"/>
  <c r="BN75" i="135"/>
  <c r="BO75" i="135"/>
  <c r="BP75" i="135"/>
  <c r="BQ75" i="135"/>
  <c r="BR75" i="135"/>
  <c r="BS75" i="135"/>
  <c r="BT38" i="135"/>
  <c r="BT37" i="135"/>
  <c r="CN138" i="135"/>
  <c r="AR32" i="135"/>
  <c r="AS27" i="135" s="1"/>
  <c r="BT75" i="135"/>
  <c r="AQ50" i="135"/>
  <c r="AQ136" i="135"/>
  <c r="AQ129" i="135"/>
  <c r="BT40" i="135"/>
  <c r="BT41" i="135"/>
  <c r="AA139" i="134"/>
  <c r="E124" i="134"/>
  <c r="E125" i="134"/>
  <c r="D54" i="134"/>
  <c r="E54" i="134" s="1"/>
  <c r="B53" i="134"/>
  <c r="E52" i="134"/>
  <c r="E30" i="134"/>
  <c r="E28" i="134"/>
  <c r="E29" i="134" s="1"/>
  <c r="E27" i="134"/>
  <c r="CP21" i="134"/>
  <c r="CO21" i="134"/>
  <c r="CN21" i="134"/>
  <c r="E19" i="134"/>
  <c r="CM18" i="134"/>
  <c r="CL18" i="134"/>
  <c r="CK18" i="134"/>
  <c r="CJ18" i="134"/>
  <c r="CI18" i="134"/>
  <c r="CH18" i="134"/>
  <c r="CG18" i="134"/>
  <c r="CF18" i="134"/>
  <c r="CE18" i="134"/>
  <c r="E17" i="134"/>
  <c r="E18" i="134" s="1"/>
  <c r="E15" i="134"/>
  <c r="E14" i="134"/>
  <c r="E20" i="134" s="1"/>
  <c r="CC12" i="134"/>
  <c r="CB12" i="134"/>
  <c r="CA12" i="134"/>
  <c r="BZ12" i="134"/>
  <c r="BY12" i="134"/>
  <c r="BX12" i="134"/>
  <c r="BW12" i="134"/>
  <c r="BV12" i="134"/>
  <c r="BU12" i="134"/>
  <c r="BT12" i="134"/>
  <c r="BS12" i="134"/>
  <c r="BR12" i="134"/>
  <c r="BQ12" i="134"/>
  <c r="BP12" i="134"/>
  <c r="BO12" i="134"/>
  <c r="BN12" i="134"/>
  <c r="BM12" i="134"/>
  <c r="BL12" i="134"/>
  <c r="BK12" i="134"/>
  <c r="BJ12" i="134"/>
  <c r="BI12" i="134"/>
  <c r="BH12" i="134"/>
  <c r="BG12" i="134"/>
  <c r="BF12" i="134"/>
  <c r="BE12" i="134"/>
  <c r="BD12" i="134"/>
  <c r="BC12" i="134"/>
  <c r="BB12" i="134"/>
  <c r="BA12" i="134"/>
  <c r="AZ12" i="134"/>
  <c r="AY12" i="134"/>
  <c r="AX12" i="134"/>
  <c r="AW12" i="134"/>
  <c r="AV12" i="134"/>
  <c r="AU12" i="134"/>
  <c r="AT12" i="134"/>
  <c r="AS12" i="134"/>
  <c r="AR12" i="134"/>
  <c r="AQ12" i="134"/>
  <c r="AP12" i="134"/>
  <c r="AO12" i="134"/>
  <c r="AN12" i="134"/>
  <c r="AM12" i="134"/>
  <c r="AL12" i="134"/>
  <c r="AK12" i="134"/>
  <c r="AJ12" i="134"/>
  <c r="AI12" i="134"/>
  <c r="AH12" i="134"/>
  <c r="AG12" i="134"/>
  <c r="AF12" i="134"/>
  <c r="AE12" i="134"/>
  <c r="AD12" i="134"/>
  <c r="AC12" i="134"/>
  <c r="AB12" i="134"/>
  <c r="AA12" i="134"/>
  <c r="Z12" i="134"/>
  <c r="Y12" i="134"/>
  <c r="X12" i="134"/>
  <c r="W12" i="134"/>
  <c r="V12" i="134"/>
  <c r="U12" i="134"/>
  <c r="T12" i="134"/>
  <c r="S12" i="134"/>
  <c r="R12" i="134"/>
  <c r="Q12" i="134"/>
  <c r="P12" i="134"/>
  <c r="O12" i="134"/>
  <c r="N12" i="134"/>
  <c r="M12" i="134"/>
  <c r="L12" i="134"/>
  <c r="K12" i="134"/>
  <c r="J12" i="134"/>
  <c r="I12" i="134"/>
  <c r="H12" i="134"/>
  <c r="G12" i="134"/>
  <c r="F12" i="134"/>
  <c r="E12" i="134"/>
  <c r="CC9" i="134"/>
  <c r="CB9" i="134"/>
  <c r="CA9" i="134"/>
  <c r="BZ9" i="134"/>
  <c r="BY9" i="134"/>
  <c r="BX9" i="134"/>
  <c r="BW9" i="134"/>
  <c r="BV9" i="134"/>
  <c r="BU9" i="134"/>
  <c r="BT9" i="134"/>
  <c r="BS9" i="134"/>
  <c r="BR9" i="134"/>
  <c r="BQ9" i="134"/>
  <c r="BP9" i="134"/>
  <c r="BO9" i="134"/>
  <c r="BN9" i="134"/>
  <c r="BM9" i="134"/>
  <c r="BL9" i="134"/>
  <c r="BK9" i="134"/>
  <c r="BJ9" i="134"/>
  <c r="BI9" i="134"/>
  <c r="BH9" i="134"/>
  <c r="BG9" i="134"/>
  <c r="BF9" i="134"/>
  <c r="BE9" i="134"/>
  <c r="BD9" i="134"/>
  <c r="BC9" i="134"/>
  <c r="BB9" i="134"/>
  <c r="BA9" i="134"/>
  <c r="AZ9" i="134"/>
  <c r="AY9" i="134"/>
  <c r="AX9" i="134"/>
  <c r="AW9" i="134"/>
  <c r="AV9" i="134"/>
  <c r="AU9" i="134"/>
  <c r="AT9"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J9" i="134"/>
  <c r="I9" i="134"/>
  <c r="H9" i="134"/>
  <c r="G9" i="134"/>
  <c r="F9" i="134"/>
  <c r="E9" i="134"/>
  <c r="CC7" i="134"/>
  <c r="CB7" i="134"/>
  <c r="CA7" i="134"/>
  <c r="BZ7" i="134"/>
  <c r="BY7" i="134"/>
  <c r="BX7" i="134"/>
  <c r="BW7" i="134"/>
  <c r="BV7" i="134"/>
  <c r="BU7" i="134"/>
  <c r="BT7" i="134"/>
  <c r="BS7" i="134"/>
  <c r="BR7" i="134"/>
  <c r="BQ7" i="134"/>
  <c r="BP7" i="134"/>
  <c r="BO7" i="134"/>
  <c r="BN7" i="134"/>
  <c r="BM7" i="134"/>
  <c r="BL7" i="134"/>
  <c r="BK7" i="134"/>
  <c r="BJ7" i="134"/>
  <c r="BI7" i="134"/>
  <c r="BH7" i="134"/>
  <c r="BG7" i="134"/>
  <c r="BF7" i="134"/>
  <c r="BE7" i="134"/>
  <c r="BD7" i="134"/>
  <c r="BC7" i="134"/>
  <c r="BB7" i="134"/>
  <c r="BA7" i="134"/>
  <c r="AZ7" i="134"/>
  <c r="AY7" i="134"/>
  <c r="AX7" i="134"/>
  <c r="AW7" i="134"/>
  <c r="AV7" i="134"/>
  <c r="AU7" i="134"/>
  <c r="AT7" i="134"/>
  <c r="AS7" i="134"/>
  <c r="AR7" i="134"/>
  <c r="AQ7" i="134"/>
  <c r="AP7" i="134"/>
  <c r="AO7" i="134"/>
  <c r="AN7" i="134"/>
  <c r="AM7" i="134"/>
  <c r="AL7" i="134"/>
  <c r="AK7" i="134"/>
  <c r="AJ7" i="134"/>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J7" i="134"/>
  <c r="I7" i="134"/>
  <c r="H7" i="134"/>
  <c r="G7" i="134"/>
  <c r="F7" i="134"/>
  <c r="E7" i="134"/>
  <c r="E8" i="134" s="1"/>
  <c r="E39" i="134" s="1"/>
  <c r="E40" i="134" s="1"/>
  <c r="CC6" i="134"/>
  <c r="CB6" i="134"/>
  <c r="CB10" i="134" s="1"/>
  <c r="CA6" i="134"/>
  <c r="BZ6" i="134"/>
  <c r="BY6" i="134"/>
  <c r="BX6" i="134"/>
  <c r="BW6" i="134"/>
  <c r="BV6" i="134"/>
  <c r="BV10" i="134" s="1"/>
  <c r="BU6" i="134"/>
  <c r="BT6" i="134"/>
  <c r="BS6" i="134"/>
  <c r="BR6" i="134"/>
  <c r="BQ6" i="134"/>
  <c r="BP6" i="134"/>
  <c r="BP10" i="134" s="1"/>
  <c r="BO6" i="134"/>
  <c r="BN6" i="134"/>
  <c r="BM6" i="134"/>
  <c r="BL6" i="134"/>
  <c r="BK6" i="134"/>
  <c r="BJ6" i="134"/>
  <c r="BJ10" i="134" s="1"/>
  <c r="BI6" i="134"/>
  <c r="BH6" i="134"/>
  <c r="BG6" i="134"/>
  <c r="BF6" i="134"/>
  <c r="BE6" i="134"/>
  <c r="BD6" i="134"/>
  <c r="BD10" i="134" s="1"/>
  <c r="BC6" i="134"/>
  <c r="BB6" i="134"/>
  <c r="BA6" i="134"/>
  <c r="AZ6" i="134"/>
  <c r="AY6" i="134"/>
  <c r="AX6" i="134"/>
  <c r="AX10" i="134" s="1"/>
  <c r="AW6" i="134"/>
  <c r="AV6" i="134"/>
  <c r="AU6" i="134"/>
  <c r="AT6" i="134"/>
  <c r="AS6" i="134"/>
  <c r="AR6" i="134"/>
  <c r="AR10" i="134" s="1"/>
  <c r="AQ6" i="134"/>
  <c r="AP6" i="134"/>
  <c r="AO6" i="134"/>
  <c r="AN6" i="134"/>
  <c r="AM6" i="134"/>
  <c r="AL6" i="134"/>
  <c r="AL10" i="134" s="1"/>
  <c r="AK6" i="134"/>
  <c r="AJ6" i="134"/>
  <c r="AI6" i="134"/>
  <c r="AH6" i="134"/>
  <c r="AG6" i="134"/>
  <c r="AF6" i="134"/>
  <c r="AF10" i="134" s="1"/>
  <c r="AE6" i="134"/>
  <c r="AD6" i="134"/>
  <c r="AC6" i="134"/>
  <c r="AB6" i="134"/>
  <c r="AA6" i="134"/>
  <c r="Z6" i="134"/>
  <c r="Z10" i="134" s="1"/>
  <c r="Y6" i="134"/>
  <c r="X6" i="134"/>
  <c r="W6" i="134"/>
  <c r="V6" i="134"/>
  <c r="U6" i="134"/>
  <c r="T6" i="134"/>
  <c r="T10" i="134" s="1"/>
  <c r="S6" i="134"/>
  <c r="R6" i="134"/>
  <c r="R10" i="134" s="1"/>
  <c r="Q6" i="134"/>
  <c r="P6" i="134"/>
  <c r="O6" i="134"/>
  <c r="N6" i="134"/>
  <c r="N10" i="134" s="1"/>
  <c r="M6" i="134"/>
  <c r="L6" i="134"/>
  <c r="K6" i="134"/>
  <c r="J6" i="134"/>
  <c r="I6" i="134"/>
  <c r="H6" i="134"/>
  <c r="H10" i="134" s="1"/>
  <c r="G6" i="134"/>
  <c r="F6" i="134"/>
  <c r="E6" i="134"/>
  <c r="F4" i="134"/>
  <c r="BR8" i="87"/>
  <c r="BS8" i="87"/>
  <c r="BT8" i="87"/>
  <c r="BU8" i="87"/>
  <c r="BV8" i="87"/>
  <c r="BW8" i="87"/>
  <c r="BX8" i="87"/>
  <c r="BY8" i="87"/>
  <c r="BZ8" i="87"/>
  <c r="CA8" i="87"/>
  <c r="CB8" i="87"/>
  <c r="BT9" i="87"/>
  <c r="BU9" i="87"/>
  <c r="BV9" i="87"/>
  <c r="BW9" i="87"/>
  <c r="BX9" i="87"/>
  <c r="BY9" i="87"/>
  <c r="BZ9" i="87"/>
  <c r="CA9" i="87"/>
  <c r="CB9" i="87"/>
  <c r="BS9" i="87"/>
  <c r="BR9" i="87"/>
  <c r="BS8" i="96"/>
  <c r="BS9" i="96"/>
  <c r="BS10" i="96" s="1"/>
  <c r="BS11" i="96" s="1"/>
  <c r="BS12" i="96"/>
  <c r="BS14" i="96"/>
  <c r="BS20" i="96" s="1"/>
  <c r="BS15" i="96"/>
  <c r="BS16" i="96" s="1"/>
  <c r="BS17" i="96"/>
  <c r="BS18" i="96" s="1"/>
  <c r="BS19" i="96"/>
  <c r="BS21" i="96" s="1"/>
  <c r="BV152" i="135" l="1"/>
  <c r="AH10" i="134"/>
  <c r="J10" i="134"/>
  <c r="BF10" i="134"/>
  <c r="V10" i="134"/>
  <c r="AT10" i="134"/>
  <c r="BU20" i="135"/>
  <c r="BT24" i="135"/>
  <c r="BT25" i="135"/>
  <c r="AR48" i="135"/>
  <c r="AR49" i="135" s="1"/>
  <c r="AR46" i="135"/>
  <c r="AR45" i="135"/>
  <c r="AS31" i="135"/>
  <c r="BV76" i="135" s="1"/>
  <c r="CO138" i="135"/>
  <c r="BU21" i="135"/>
  <c r="BU38" i="135"/>
  <c r="BU37" i="135"/>
  <c r="BV121" i="135"/>
  <c r="BV119" i="135"/>
  <c r="BV122" i="135"/>
  <c r="BV120" i="135"/>
  <c r="BV112" i="135"/>
  <c r="BV118" i="135"/>
  <c r="BV117" i="135"/>
  <c r="BV116" i="135"/>
  <c r="BV115" i="135"/>
  <c r="BV114" i="135"/>
  <c r="BV109" i="135"/>
  <c r="BV110" i="135"/>
  <c r="BV111" i="135"/>
  <c r="BV113" i="135"/>
  <c r="BV107" i="135"/>
  <c r="BV108" i="135"/>
  <c r="BV106" i="135"/>
  <c r="BV69" i="135"/>
  <c r="BV68" i="135"/>
  <c r="BV67" i="135"/>
  <c r="BV74" i="135"/>
  <c r="BV72" i="135"/>
  <c r="BV66" i="135"/>
  <c r="BV62" i="135"/>
  <c r="BV65" i="135"/>
  <c r="BV75" i="135"/>
  <c r="BV59" i="135"/>
  <c r="BV57" i="135"/>
  <c r="BV55" i="135"/>
  <c r="BV53" i="135"/>
  <c r="BV73" i="135"/>
  <c r="BV70" i="135"/>
  <c r="BV71" i="135"/>
  <c r="BV60" i="135"/>
  <c r="BV58" i="135"/>
  <c r="BV63" i="135"/>
  <c r="BV61" i="135"/>
  <c r="BV56" i="135"/>
  <c r="BV39" i="135"/>
  <c r="BV36" i="135"/>
  <c r="BV30" i="135"/>
  <c r="BV64" i="135"/>
  <c r="BV52" i="135"/>
  <c r="BV141" i="135" s="1"/>
  <c r="BV54" i="135"/>
  <c r="BV28" i="135"/>
  <c r="BV29" i="135" s="1"/>
  <c r="BV17" i="135"/>
  <c r="BV18" i="135" s="1"/>
  <c r="BV19" i="135"/>
  <c r="BV15" i="135"/>
  <c r="BV14" i="135"/>
  <c r="BW4" i="135"/>
  <c r="D123" i="135"/>
  <c r="BV123" i="135" s="1"/>
  <c r="E122" i="135"/>
  <c r="B122" i="135"/>
  <c r="F122" i="135"/>
  <c r="G122" i="135"/>
  <c r="H122" i="135"/>
  <c r="I122" i="135"/>
  <c r="J122" i="135"/>
  <c r="K122" i="135"/>
  <c r="L122" i="135"/>
  <c r="M122" i="135"/>
  <c r="N122" i="135"/>
  <c r="O122" i="135"/>
  <c r="P122" i="135"/>
  <c r="Q122" i="135"/>
  <c r="R122" i="135"/>
  <c r="S122" i="135"/>
  <c r="T122" i="135"/>
  <c r="U122" i="135"/>
  <c r="V122" i="135"/>
  <c r="W122" i="135"/>
  <c r="X122" i="135"/>
  <c r="Y122" i="135"/>
  <c r="Z122" i="135"/>
  <c r="AA122" i="135"/>
  <c r="AB122" i="135"/>
  <c r="AC122" i="135"/>
  <c r="AD122" i="135"/>
  <c r="AE122" i="135"/>
  <c r="AF122" i="135"/>
  <c r="AG122" i="135"/>
  <c r="AH122" i="135"/>
  <c r="AI122" i="135"/>
  <c r="AJ122" i="135"/>
  <c r="AK122" i="135"/>
  <c r="AL122" i="135"/>
  <c r="AM122" i="135"/>
  <c r="AN122" i="135"/>
  <c r="AO122" i="135"/>
  <c r="AP122" i="135"/>
  <c r="AQ122" i="135"/>
  <c r="AR122" i="135"/>
  <c r="AS122" i="135"/>
  <c r="AT122" i="135"/>
  <c r="AU122" i="135"/>
  <c r="AV122" i="135"/>
  <c r="AW122" i="135"/>
  <c r="AX122" i="135"/>
  <c r="AY122" i="135"/>
  <c r="AZ122" i="135"/>
  <c r="BA122" i="135"/>
  <c r="BB122" i="135"/>
  <c r="BC122" i="135"/>
  <c r="BD122" i="135"/>
  <c r="BE122" i="135"/>
  <c r="BF122" i="135"/>
  <c r="BG122" i="135"/>
  <c r="BH122" i="135"/>
  <c r="BI122" i="135"/>
  <c r="BJ122" i="135"/>
  <c r="BK122" i="135"/>
  <c r="BL122" i="135"/>
  <c r="BM122" i="135"/>
  <c r="BN122" i="135"/>
  <c r="BO122" i="135"/>
  <c r="BP122" i="135"/>
  <c r="BQ122" i="135"/>
  <c r="BR122" i="135"/>
  <c r="BS122" i="135"/>
  <c r="BT122" i="135"/>
  <c r="BU16" i="135"/>
  <c r="BU41" i="135"/>
  <c r="BU40" i="135"/>
  <c r="BU139" i="135"/>
  <c r="BR10" i="134"/>
  <c r="AB139" i="134"/>
  <c r="AM10" i="134"/>
  <c r="AA10" i="134"/>
  <c r="BK10" i="134"/>
  <c r="BK13" i="134" s="1"/>
  <c r="O10" i="134"/>
  <c r="BW10" i="134"/>
  <c r="BW13" i="134" s="1"/>
  <c r="AY10" i="134"/>
  <c r="W10" i="134"/>
  <c r="AI10" i="134"/>
  <c r="AU10" i="134"/>
  <c r="AU13" i="134" s="1"/>
  <c r="BG10" i="134"/>
  <c r="BG13" i="134" s="1"/>
  <c r="AB10" i="134"/>
  <c r="AB13" i="134" s="1"/>
  <c r="F54" i="134"/>
  <c r="BX10" i="134"/>
  <c r="BX13" i="134" s="1"/>
  <c r="E10" i="134"/>
  <c r="E11" i="134" s="1"/>
  <c r="E36" i="134" s="1"/>
  <c r="E37" i="134" s="1"/>
  <c r="Q10" i="134"/>
  <c r="Q13" i="134" s="1"/>
  <c r="AC10" i="134"/>
  <c r="AO10" i="134"/>
  <c r="BA10" i="134"/>
  <c r="BM10" i="134"/>
  <c r="BM13" i="134" s="1"/>
  <c r="BY10" i="134"/>
  <c r="BY13" i="134" s="1"/>
  <c r="BV13" i="134"/>
  <c r="K10" i="134"/>
  <c r="K13" i="134" s="1"/>
  <c r="AP10" i="134"/>
  <c r="AP13" i="134" s="1"/>
  <c r="Z13" i="134"/>
  <c r="AL13" i="134"/>
  <c r="AX13" i="134"/>
  <c r="BJ13" i="134"/>
  <c r="F10" i="134"/>
  <c r="F13" i="134" s="1"/>
  <c r="AD10" i="134"/>
  <c r="AD13" i="134" s="1"/>
  <c r="BB10" i="134"/>
  <c r="BB13" i="134" s="1"/>
  <c r="BN10" i="134"/>
  <c r="BN13" i="134" s="1"/>
  <c r="BZ10" i="134"/>
  <c r="BZ13" i="134" s="1"/>
  <c r="G10" i="134"/>
  <c r="S10" i="134"/>
  <c r="S13" i="134" s="1"/>
  <c r="AE10" i="134"/>
  <c r="AE13" i="134" s="1"/>
  <c r="AQ10" i="134"/>
  <c r="AQ13" i="134" s="1"/>
  <c r="BC10" i="134"/>
  <c r="BC13" i="134" s="1"/>
  <c r="BO10" i="134"/>
  <c r="CA10" i="134"/>
  <c r="CA13" i="134" s="1"/>
  <c r="I10" i="134"/>
  <c r="U10" i="134"/>
  <c r="U13" i="134" s="1"/>
  <c r="AG10" i="134"/>
  <c r="AG13" i="134" s="1"/>
  <c r="AS10" i="134"/>
  <c r="AS13" i="134" s="1"/>
  <c r="BE10" i="134"/>
  <c r="BE13" i="134" s="1"/>
  <c r="BQ10" i="134"/>
  <c r="BQ13" i="134" s="1"/>
  <c r="CC10" i="134"/>
  <c r="CC13" i="134" s="1"/>
  <c r="H13" i="134"/>
  <c r="T13" i="134"/>
  <c r="AF13" i="134"/>
  <c r="AR13" i="134"/>
  <c r="BD13" i="134"/>
  <c r="BP13" i="134"/>
  <c r="CB13" i="134"/>
  <c r="B54" i="134"/>
  <c r="BS10" i="134"/>
  <c r="BS13" i="134" s="1"/>
  <c r="AV10" i="134"/>
  <c r="AV13" i="134" s="1"/>
  <c r="F8" i="134"/>
  <c r="G8" i="134" s="1"/>
  <c r="H8" i="134" s="1"/>
  <c r="I8" i="134" s="1"/>
  <c r="J8" i="134" s="1"/>
  <c r="K8" i="134" s="1"/>
  <c r="L8" i="134" s="1"/>
  <c r="M8" i="134" s="1"/>
  <c r="N8" i="134" s="1"/>
  <c r="O8" i="134" s="1"/>
  <c r="P8" i="134" s="1"/>
  <c r="Q8" i="134" s="1"/>
  <c r="R8" i="134" s="1"/>
  <c r="S8" i="134" s="1"/>
  <c r="T8" i="134" s="1"/>
  <c r="U8" i="134" s="1"/>
  <c r="V8" i="134" s="1"/>
  <c r="W8" i="134" s="1"/>
  <c r="X8" i="134" s="1"/>
  <c r="Y8" i="134" s="1"/>
  <c r="Z8" i="134" s="1"/>
  <c r="AA8" i="134" s="1"/>
  <c r="AB8" i="134" s="1"/>
  <c r="AC8" i="134" s="1"/>
  <c r="AD8" i="134" s="1"/>
  <c r="AE8" i="134" s="1"/>
  <c r="AF8" i="134" s="1"/>
  <c r="AG8" i="134" s="1"/>
  <c r="AH8" i="134" s="1"/>
  <c r="AI8" i="134" s="1"/>
  <c r="AJ8" i="134" s="1"/>
  <c r="AK8" i="134" s="1"/>
  <c r="AL8" i="134" s="1"/>
  <c r="AM8" i="134" s="1"/>
  <c r="AN8" i="134" s="1"/>
  <c r="AO8" i="134" s="1"/>
  <c r="AP8" i="134" s="1"/>
  <c r="AQ8" i="134" s="1"/>
  <c r="AR8" i="134" s="1"/>
  <c r="AS8" i="134" s="1"/>
  <c r="AT8" i="134" s="1"/>
  <c r="AU8" i="134" s="1"/>
  <c r="AV8" i="134" s="1"/>
  <c r="AW8" i="134" s="1"/>
  <c r="AX8" i="134" s="1"/>
  <c r="AY8" i="134" s="1"/>
  <c r="AZ8" i="134" s="1"/>
  <c r="BA8" i="134" s="1"/>
  <c r="BB8" i="134" s="1"/>
  <c r="BC8" i="134" s="1"/>
  <c r="BD8" i="134" s="1"/>
  <c r="BE8" i="134" s="1"/>
  <c r="BF8" i="134" s="1"/>
  <c r="BG8" i="134" s="1"/>
  <c r="BH8" i="134" s="1"/>
  <c r="BI8" i="134" s="1"/>
  <c r="BJ8" i="134" s="1"/>
  <c r="BK8" i="134" s="1"/>
  <c r="BL8" i="134" s="1"/>
  <c r="BM8" i="134" s="1"/>
  <c r="BN8" i="134" s="1"/>
  <c r="BO8" i="134" s="1"/>
  <c r="BP8" i="134" s="1"/>
  <c r="BQ8" i="134" s="1"/>
  <c r="BR8" i="134" s="1"/>
  <c r="BS8" i="134" s="1"/>
  <c r="BT8" i="134" s="1"/>
  <c r="BU8" i="134" s="1"/>
  <c r="BV8" i="134" s="1"/>
  <c r="BW8" i="134" s="1"/>
  <c r="BX8" i="134" s="1"/>
  <c r="BY8" i="134" s="1"/>
  <c r="BZ8" i="134" s="1"/>
  <c r="CA8" i="134" s="1"/>
  <c r="CB8" i="134" s="1"/>
  <c r="CC8" i="134" s="1"/>
  <c r="L10" i="134"/>
  <c r="L13" i="134" s="1"/>
  <c r="X10" i="134"/>
  <c r="X13" i="134" s="1"/>
  <c r="AJ10" i="134"/>
  <c r="AJ13" i="134" s="1"/>
  <c r="BH10" i="134"/>
  <c r="BH13" i="134" s="1"/>
  <c r="BT10" i="134"/>
  <c r="BT13" i="134" s="1"/>
  <c r="M10" i="134"/>
  <c r="Y10" i="134"/>
  <c r="Y13" i="134" s="1"/>
  <c r="AK10" i="134"/>
  <c r="AK13" i="134" s="1"/>
  <c r="AW10" i="134"/>
  <c r="AW13" i="134" s="1"/>
  <c r="BI10" i="134"/>
  <c r="BU10" i="134"/>
  <c r="BU13" i="134" s="1"/>
  <c r="AT13" i="134"/>
  <c r="BF13" i="134"/>
  <c r="BR13" i="134"/>
  <c r="D55" i="134"/>
  <c r="E55" i="134" s="1"/>
  <c r="P10" i="134"/>
  <c r="P13" i="134" s="1"/>
  <c r="AN10" i="134"/>
  <c r="AZ10" i="134"/>
  <c r="BL10" i="134"/>
  <c r="F17" i="134"/>
  <c r="F18" i="134" s="1"/>
  <c r="F28" i="134"/>
  <c r="F29" i="134" s="1"/>
  <c r="F53" i="134"/>
  <c r="I13" i="134"/>
  <c r="V13" i="134"/>
  <c r="AH13" i="134"/>
  <c r="M13" i="134"/>
  <c r="BI13" i="134"/>
  <c r="N13" i="134"/>
  <c r="O13" i="134"/>
  <c r="AA13" i="134"/>
  <c r="AM13" i="134"/>
  <c r="AY13" i="134"/>
  <c r="AN13" i="134"/>
  <c r="AZ13" i="134"/>
  <c r="BL13" i="134"/>
  <c r="E13" i="134"/>
  <c r="AC13" i="134"/>
  <c r="AO13" i="134"/>
  <c r="BA13" i="134"/>
  <c r="R13" i="134"/>
  <c r="BO13" i="134"/>
  <c r="F52" i="134"/>
  <c r="F140" i="134" s="1"/>
  <c r="F39" i="134"/>
  <c r="F30" i="134"/>
  <c r="F14" i="134"/>
  <c r="G4" i="134"/>
  <c r="E41" i="134"/>
  <c r="W13" i="134"/>
  <c r="AI13" i="134"/>
  <c r="E21" i="134"/>
  <c r="E16" i="134"/>
  <c r="F19" i="134"/>
  <c r="J13" i="134"/>
  <c r="F15" i="134"/>
  <c r="BS13" i="96"/>
  <c r="BW152" i="135" l="1"/>
  <c r="E38" i="134"/>
  <c r="F21" i="134"/>
  <c r="BU24" i="135"/>
  <c r="BU25" i="135"/>
  <c r="BV20" i="135"/>
  <c r="CP138" i="135"/>
  <c r="BV139" i="135"/>
  <c r="AS44" i="135"/>
  <c r="AS47" i="135"/>
  <c r="AS76" i="135"/>
  <c r="AT76" i="135"/>
  <c r="AU76" i="135"/>
  <c r="AV76" i="135"/>
  <c r="AW76" i="135"/>
  <c r="AX76" i="135"/>
  <c r="AY76" i="135"/>
  <c r="AZ76" i="135"/>
  <c r="BA76" i="135"/>
  <c r="BB76" i="135"/>
  <c r="BC76" i="135"/>
  <c r="BD76" i="135"/>
  <c r="BE76" i="135"/>
  <c r="BF76" i="135"/>
  <c r="BG76" i="135"/>
  <c r="BH76" i="135"/>
  <c r="BI76" i="135"/>
  <c r="BJ76" i="135"/>
  <c r="BK76" i="135"/>
  <c r="BL76" i="135"/>
  <c r="BM76" i="135"/>
  <c r="BN76" i="135"/>
  <c r="BO76" i="135"/>
  <c r="BP76" i="135"/>
  <c r="BQ76" i="135"/>
  <c r="BR76" i="135"/>
  <c r="BS76" i="135"/>
  <c r="BT76" i="135"/>
  <c r="BU76" i="135"/>
  <c r="BV38" i="135"/>
  <c r="BV37" i="135"/>
  <c r="AS32" i="135"/>
  <c r="AT27" i="135" s="1"/>
  <c r="E123" i="135"/>
  <c r="B123" i="135"/>
  <c r="G123" i="135"/>
  <c r="G124" i="135" s="1"/>
  <c r="F123" i="135"/>
  <c r="F124" i="135" s="1"/>
  <c r="H123" i="135"/>
  <c r="H124" i="135" s="1"/>
  <c r="I123" i="135"/>
  <c r="I124" i="135" s="1"/>
  <c r="J123" i="135"/>
  <c r="J124" i="135" s="1"/>
  <c r="K123" i="135"/>
  <c r="K124" i="135" s="1"/>
  <c r="L123" i="135"/>
  <c r="L124" i="135" s="1"/>
  <c r="M123" i="135"/>
  <c r="M124" i="135" s="1"/>
  <c r="N123" i="135"/>
  <c r="N124" i="135" s="1"/>
  <c r="O123" i="135"/>
  <c r="O124" i="135" s="1"/>
  <c r="P123" i="135"/>
  <c r="P124" i="135" s="1"/>
  <c r="Q123" i="135"/>
  <c r="Q124" i="135" s="1"/>
  <c r="R123" i="135"/>
  <c r="R124" i="135" s="1"/>
  <c r="S123" i="135"/>
  <c r="S124" i="135" s="1"/>
  <c r="T123" i="135"/>
  <c r="T124" i="135" s="1"/>
  <c r="U123" i="135"/>
  <c r="U124" i="135" s="1"/>
  <c r="V123" i="135"/>
  <c r="V124" i="135" s="1"/>
  <c r="W123" i="135"/>
  <c r="W124" i="135" s="1"/>
  <c r="X123" i="135"/>
  <c r="X124" i="135" s="1"/>
  <c r="Y123" i="135"/>
  <c r="Y124" i="135" s="1"/>
  <c r="Z123" i="135"/>
  <c r="Z124" i="135" s="1"/>
  <c r="AA123" i="135"/>
  <c r="AA124" i="135" s="1"/>
  <c r="AB123" i="135"/>
  <c r="AB124" i="135" s="1"/>
  <c r="AC123" i="135"/>
  <c r="AC124" i="135" s="1"/>
  <c r="AD123" i="135"/>
  <c r="AD124" i="135" s="1"/>
  <c r="AE123" i="135"/>
  <c r="AE124" i="135" s="1"/>
  <c r="AF123" i="135"/>
  <c r="AF124" i="135" s="1"/>
  <c r="AG123" i="135"/>
  <c r="AG124" i="135" s="1"/>
  <c r="AH123" i="135"/>
  <c r="AH124" i="135" s="1"/>
  <c r="AI123" i="135"/>
  <c r="AI124" i="135" s="1"/>
  <c r="AJ123" i="135"/>
  <c r="AJ124" i="135" s="1"/>
  <c r="AK123" i="135"/>
  <c r="AK124" i="135" s="1"/>
  <c r="AL123" i="135"/>
  <c r="AL124" i="135" s="1"/>
  <c r="AM123" i="135"/>
  <c r="AM124" i="135" s="1"/>
  <c r="AN123" i="135"/>
  <c r="AN124" i="135" s="1"/>
  <c r="AO123" i="135"/>
  <c r="AO124" i="135" s="1"/>
  <c r="AP123" i="135"/>
  <c r="AP124" i="135" s="1"/>
  <c r="AQ123" i="135"/>
  <c r="AQ124" i="135" s="1"/>
  <c r="AR123" i="135"/>
  <c r="AR124" i="135" s="1"/>
  <c r="AR128" i="135" s="1"/>
  <c r="AR154" i="135" s="1"/>
  <c r="AS123" i="135"/>
  <c r="AT123" i="135"/>
  <c r="AU123" i="135"/>
  <c r="AV123" i="135"/>
  <c r="AW123" i="135"/>
  <c r="AX123" i="135"/>
  <c r="AY123" i="135"/>
  <c r="AZ123" i="135"/>
  <c r="BA123" i="135"/>
  <c r="BB123" i="135"/>
  <c r="BC123" i="135"/>
  <c r="BD123" i="135"/>
  <c r="BE123" i="135"/>
  <c r="BF123" i="135"/>
  <c r="BG123" i="135"/>
  <c r="BH123" i="135"/>
  <c r="BI123" i="135"/>
  <c r="BJ123" i="135"/>
  <c r="BK123" i="135"/>
  <c r="BL123" i="135"/>
  <c r="BM123" i="135"/>
  <c r="BN123" i="135"/>
  <c r="BO123" i="135"/>
  <c r="BP123" i="135"/>
  <c r="BQ123" i="135"/>
  <c r="BR123" i="135"/>
  <c r="BS123" i="135"/>
  <c r="BT123" i="135"/>
  <c r="BU123" i="135"/>
  <c r="BV40" i="135"/>
  <c r="BV41" i="135"/>
  <c r="BW123" i="135"/>
  <c r="BW121" i="135"/>
  <c r="BW119" i="135"/>
  <c r="BW118" i="135"/>
  <c r="BW120" i="135"/>
  <c r="BW117" i="135"/>
  <c r="BW122" i="135"/>
  <c r="BW116" i="135"/>
  <c r="BW115" i="135"/>
  <c r="BW114" i="135"/>
  <c r="BW113" i="135"/>
  <c r="BW109" i="135"/>
  <c r="BW110" i="135"/>
  <c r="BW111" i="135"/>
  <c r="BW112" i="135"/>
  <c r="BW107" i="135"/>
  <c r="BW108" i="135"/>
  <c r="BW76" i="135"/>
  <c r="BW68" i="135"/>
  <c r="BW67" i="135"/>
  <c r="BW74" i="135"/>
  <c r="BW72" i="135"/>
  <c r="BW66" i="135"/>
  <c r="BW65" i="135"/>
  <c r="BW75" i="135"/>
  <c r="BW73" i="135"/>
  <c r="BW71" i="135"/>
  <c r="BW69" i="135"/>
  <c r="BW60" i="135"/>
  <c r="BW59" i="135"/>
  <c r="BW28" i="135"/>
  <c r="BW29" i="135" s="1"/>
  <c r="BW58" i="135"/>
  <c r="BW63" i="135"/>
  <c r="BW61" i="135"/>
  <c r="BW57" i="135"/>
  <c r="BW56" i="135"/>
  <c r="BW55" i="135"/>
  <c r="BW54" i="135"/>
  <c r="BW70" i="135"/>
  <c r="BW64" i="135"/>
  <c r="BW62" i="135"/>
  <c r="BW52" i="135"/>
  <c r="BW141" i="135" s="1"/>
  <c r="BW53" i="135"/>
  <c r="BW19" i="135"/>
  <c r="BW39" i="135"/>
  <c r="BW36" i="135"/>
  <c r="BW15" i="135"/>
  <c r="BW14" i="135"/>
  <c r="BW30" i="135"/>
  <c r="BW17" i="135"/>
  <c r="BW18" i="135" s="1"/>
  <c r="BX4" i="135"/>
  <c r="BV16" i="135"/>
  <c r="AR50" i="135"/>
  <c r="AR136" i="135"/>
  <c r="AR129" i="135"/>
  <c r="BV21" i="135"/>
  <c r="F36" i="134"/>
  <c r="F38" i="134" s="1"/>
  <c r="AC139" i="134"/>
  <c r="D56" i="134"/>
  <c r="G13" i="134"/>
  <c r="B55" i="134"/>
  <c r="F11" i="134"/>
  <c r="G11" i="134" s="1"/>
  <c r="H11" i="134" s="1"/>
  <c r="I11" i="134" s="1"/>
  <c r="J11" i="134" s="1"/>
  <c r="K11" i="134" s="1"/>
  <c r="L11" i="134" s="1"/>
  <c r="M11" i="134" s="1"/>
  <c r="N11" i="134" s="1"/>
  <c r="O11" i="134" s="1"/>
  <c r="P11" i="134" s="1"/>
  <c r="Q11" i="134" s="1"/>
  <c r="R11" i="134" s="1"/>
  <c r="S11" i="134" s="1"/>
  <c r="T11" i="134" s="1"/>
  <c r="U11" i="134" s="1"/>
  <c r="V11" i="134" s="1"/>
  <c r="W11" i="134" s="1"/>
  <c r="X11" i="134" s="1"/>
  <c r="Y11" i="134" s="1"/>
  <c r="Z11" i="134" s="1"/>
  <c r="AA11" i="134" s="1"/>
  <c r="AB11" i="134" s="1"/>
  <c r="AC11" i="134" s="1"/>
  <c r="AD11" i="134" s="1"/>
  <c r="AE11" i="134" s="1"/>
  <c r="AF11" i="134" s="1"/>
  <c r="AG11" i="134" s="1"/>
  <c r="AH11" i="134" s="1"/>
  <c r="AI11" i="134" s="1"/>
  <c r="AJ11" i="134" s="1"/>
  <c r="AK11" i="134" s="1"/>
  <c r="AL11" i="134" s="1"/>
  <c r="AM11" i="134" s="1"/>
  <c r="AN11" i="134" s="1"/>
  <c r="AO11" i="134" s="1"/>
  <c r="AP11" i="134" s="1"/>
  <c r="AQ11" i="134" s="1"/>
  <c r="AR11" i="134" s="1"/>
  <c r="AS11" i="134" s="1"/>
  <c r="AT11" i="134" s="1"/>
  <c r="AU11" i="134" s="1"/>
  <c r="AV11" i="134" s="1"/>
  <c r="AW11" i="134" s="1"/>
  <c r="AX11" i="134" s="1"/>
  <c r="AY11" i="134" s="1"/>
  <c r="AZ11" i="134" s="1"/>
  <c r="BA11" i="134" s="1"/>
  <c r="BB11" i="134" s="1"/>
  <c r="BC11" i="134" s="1"/>
  <c r="BD11" i="134" s="1"/>
  <c r="BE11" i="134" s="1"/>
  <c r="BF11" i="134" s="1"/>
  <c r="BG11" i="134" s="1"/>
  <c r="BH11" i="134" s="1"/>
  <c r="BI11" i="134" s="1"/>
  <c r="BJ11" i="134" s="1"/>
  <c r="BK11" i="134" s="1"/>
  <c r="BL11" i="134" s="1"/>
  <c r="BM11" i="134" s="1"/>
  <c r="BN11" i="134" s="1"/>
  <c r="BO11" i="134" s="1"/>
  <c r="BP11" i="134" s="1"/>
  <c r="BQ11" i="134" s="1"/>
  <c r="BR11" i="134" s="1"/>
  <c r="BS11" i="134" s="1"/>
  <c r="BT11" i="134" s="1"/>
  <c r="BU11" i="134" s="1"/>
  <c r="BV11" i="134" s="1"/>
  <c r="BW11" i="134" s="1"/>
  <c r="BX11" i="134" s="1"/>
  <c r="BY11" i="134" s="1"/>
  <c r="BZ11" i="134" s="1"/>
  <c r="CA11" i="134" s="1"/>
  <c r="CB11" i="134" s="1"/>
  <c r="CC11" i="134" s="1"/>
  <c r="G55" i="134"/>
  <c r="G56" i="134"/>
  <c r="G54" i="134"/>
  <c r="F55" i="134"/>
  <c r="F16" i="134"/>
  <c r="G28" i="134"/>
  <c r="G29" i="134" s="1"/>
  <c r="G53" i="134"/>
  <c r="F40" i="134"/>
  <c r="F41" i="134"/>
  <c r="E24" i="134"/>
  <c r="E31" i="134" s="1"/>
  <c r="E23" i="134"/>
  <c r="F22" i="134"/>
  <c r="E22" i="134"/>
  <c r="G52" i="134"/>
  <c r="G140" i="134" s="1"/>
  <c r="G36" i="134"/>
  <c r="G39" i="134"/>
  <c r="G30" i="134"/>
  <c r="G17" i="134"/>
  <c r="G18" i="134" s="1"/>
  <c r="G15" i="134"/>
  <c r="G19" i="134"/>
  <c r="G14" i="134"/>
  <c r="H4" i="134"/>
  <c r="F20" i="134"/>
  <c r="F24" i="134"/>
  <c r="D57" i="134"/>
  <c r="B56" i="134"/>
  <c r="BX152" i="135" l="1"/>
  <c r="AS124" i="135"/>
  <c r="AR153" i="135"/>
  <c r="AR155" i="135"/>
  <c r="BW21" i="135"/>
  <c r="BW24" i="135" s="1"/>
  <c r="F37" i="134"/>
  <c r="BV24" i="135"/>
  <c r="BV25" i="135"/>
  <c r="BX121" i="135"/>
  <c r="BX119" i="135"/>
  <c r="BX117" i="135"/>
  <c r="BX115" i="135"/>
  <c r="BX113" i="135"/>
  <c r="BX111" i="135"/>
  <c r="BX109" i="135"/>
  <c r="BX122" i="135"/>
  <c r="BX120" i="135"/>
  <c r="BX118" i="135"/>
  <c r="BX116" i="135"/>
  <c r="BX114" i="135"/>
  <c r="BX112" i="135"/>
  <c r="BX110" i="135"/>
  <c r="BX108" i="135"/>
  <c r="BX123" i="135"/>
  <c r="BX77" i="135"/>
  <c r="BX76" i="135"/>
  <c r="BX74" i="135"/>
  <c r="BX70" i="135"/>
  <c r="BX68" i="135"/>
  <c r="BX66" i="135"/>
  <c r="BX64" i="135"/>
  <c r="BX62" i="135"/>
  <c r="BX67" i="135"/>
  <c r="BX72" i="135"/>
  <c r="BX65" i="135"/>
  <c r="BX75" i="135"/>
  <c r="BX73" i="135"/>
  <c r="BX71" i="135"/>
  <c r="BX60" i="135"/>
  <c r="BX59" i="135"/>
  <c r="BX58" i="135"/>
  <c r="BX69" i="135"/>
  <c r="BX63" i="135"/>
  <c r="BX61" i="135"/>
  <c r="BX57" i="135"/>
  <c r="BX56" i="135"/>
  <c r="BX55" i="135"/>
  <c r="BX53" i="135"/>
  <c r="BX52" i="135"/>
  <c r="BX141" i="135" s="1"/>
  <c r="BX39" i="135"/>
  <c r="BX54" i="135"/>
  <c r="BX28" i="135"/>
  <c r="BX29" i="135" s="1"/>
  <c r="BY4" i="135"/>
  <c r="BX36" i="135"/>
  <c r="BX30" i="135"/>
  <c r="BX14" i="135"/>
  <c r="BX19" i="135"/>
  <c r="BX15" i="135"/>
  <c r="BX17" i="135"/>
  <c r="BX18" i="135" s="1"/>
  <c r="BW20" i="135"/>
  <c r="BW16" i="135"/>
  <c r="AS133" i="135"/>
  <c r="BW37" i="135"/>
  <c r="BW38" i="135"/>
  <c r="AR127" i="135"/>
  <c r="AR142" i="135" s="1"/>
  <c r="AR125" i="135"/>
  <c r="AR133" i="135"/>
  <c r="AF127" i="135"/>
  <c r="AF142" i="135" s="1"/>
  <c r="AF125" i="135"/>
  <c r="AF133" i="135"/>
  <c r="AF128" i="135"/>
  <c r="AF154" i="135" s="1"/>
  <c r="T127" i="135"/>
  <c r="T142" i="135" s="1"/>
  <c r="T125" i="135"/>
  <c r="T133" i="135"/>
  <c r="T128" i="135"/>
  <c r="T154" i="135" s="1"/>
  <c r="H127" i="135"/>
  <c r="H142" i="135" s="1"/>
  <c r="H125" i="135"/>
  <c r="H133" i="135"/>
  <c r="H128" i="135"/>
  <c r="H154" i="135" s="1"/>
  <c r="AQ127" i="135"/>
  <c r="AQ142" i="135" s="1"/>
  <c r="AQ125" i="135"/>
  <c r="AQ133" i="135"/>
  <c r="AQ128" i="135"/>
  <c r="AQ154" i="135" s="1"/>
  <c r="AE127" i="135"/>
  <c r="AE142" i="135" s="1"/>
  <c r="AE125" i="135"/>
  <c r="AE133" i="135"/>
  <c r="AE128" i="135"/>
  <c r="AE154" i="135" s="1"/>
  <c r="S127" i="135"/>
  <c r="S142" i="135" s="1"/>
  <c r="S125" i="135"/>
  <c r="S133" i="135"/>
  <c r="S128" i="135"/>
  <c r="S154" i="135" s="1"/>
  <c r="F127" i="135"/>
  <c r="F142" i="135" s="1"/>
  <c r="F125" i="135"/>
  <c r="F131" i="135" s="1"/>
  <c r="F133" i="135"/>
  <c r="F128" i="135"/>
  <c r="F154" i="135" s="1"/>
  <c r="AP127" i="135"/>
  <c r="AP142" i="135" s="1"/>
  <c r="AP125" i="135"/>
  <c r="AP133" i="135"/>
  <c r="AP128" i="135"/>
  <c r="AP154" i="135" s="1"/>
  <c r="AD127" i="135"/>
  <c r="AD142" i="135" s="1"/>
  <c r="AD125" i="135"/>
  <c r="AD133" i="135"/>
  <c r="AD128" i="135"/>
  <c r="AD154" i="135" s="1"/>
  <c r="R127" i="135"/>
  <c r="R142" i="135" s="1"/>
  <c r="R125" i="135"/>
  <c r="R133" i="135"/>
  <c r="R128" i="135"/>
  <c r="R154" i="135" s="1"/>
  <c r="G127" i="135"/>
  <c r="G142" i="135" s="1"/>
  <c r="G125" i="135"/>
  <c r="G133" i="135"/>
  <c r="G128" i="135"/>
  <c r="G154" i="135" s="1"/>
  <c r="AO127" i="135"/>
  <c r="AO142" i="135" s="1"/>
  <c r="AO125" i="135"/>
  <c r="AO133" i="135"/>
  <c r="AO128" i="135"/>
  <c r="AC127" i="135"/>
  <c r="AC142" i="135" s="1"/>
  <c r="AC125" i="135"/>
  <c r="AC133" i="135"/>
  <c r="AC128" i="135"/>
  <c r="AC154" i="135" s="1"/>
  <c r="Q127" i="135"/>
  <c r="Q142" i="135" s="1"/>
  <c r="Q125" i="135"/>
  <c r="Q133" i="135"/>
  <c r="Q128" i="135"/>
  <c r="Q154" i="135" s="1"/>
  <c r="AS48" i="135"/>
  <c r="AS127" i="135" s="1"/>
  <c r="AS142" i="135" s="1"/>
  <c r="AN127" i="135"/>
  <c r="AN142" i="135" s="1"/>
  <c r="AN125" i="135"/>
  <c r="AN133" i="135"/>
  <c r="AN128" i="135"/>
  <c r="AN154" i="135" s="1"/>
  <c r="AB127" i="135"/>
  <c r="AB142" i="135" s="1"/>
  <c r="AB125" i="135"/>
  <c r="AB133" i="135"/>
  <c r="AB128" i="135"/>
  <c r="AB154" i="135" s="1"/>
  <c r="P127" i="135"/>
  <c r="P142" i="135" s="1"/>
  <c r="P125" i="135"/>
  <c r="P133" i="135"/>
  <c r="P128" i="135"/>
  <c r="P154" i="135" s="1"/>
  <c r="AS46" i="135"/>
  <c r="AS45" i="135"/>
  <c r="BW139" i="135"/>
  <c r="AA127" i="135"/>
  <c r="AA142" i="135" s="1"/>
  <c r="AA125" i="135"/>
  <c r="AA133" i="135"/>
  <c r="AA128" i="135"/>
  <c r="AA154" i="135" s="1"/>
  <c r="O127" i="135"/>
  <c r="O142" i="135" s="1"/>
  <c r="O125" i="135"/>
  <c r="O133" i="135"/>
  <c r="O128" i="135"/>
  <c r="O154" i="135" s="1"/>
  <c r="AT31" i="135"/>
  <c r="AM127" i="135"/>
  <c r="AM142" i="135" s="1"/>
  <c r="AM125" i="135"/>
  <c r="AM133" i="135"/>
  <c r="AM128" i="135"/>
  <c r="AM154" i="135" s="1"/>
  <c r="AL127" i="135"/>
  <c r="AL142" i="135" s="1"/>
  <c r="AL125" i="135"/>
  <c r="AL133" i="135"/>
  <c r="AL128" i="135"/>
  <c r="AL154" i="135" s="1"/>
  <c r="Z127" i="135"/>
  <c r="Z142" i="135" s="1"/>
  <c r="Z125" i="135"/>
  <c r="Z133" i="135"/>
  <c r="Z128" i="135"/>
  <c r="Z154" i="135" s="1"/>
  <c r="N127" i="135"/>
  <c r="N142" i="135" s="1"/>
  <c r="N125" i="135"/>
  <c r="N133" i="135"/>
  <c r="N128" i="135"/>
  <c r="N154" i="135" s="1"/>
  <c r="AK127" i="135"/>
  <c r="AK142" i="135" s="1"/>
  <c r="AK125" i="135"/>
  <c r="AK133" i="135"/>
  <c r="AK128" i="135"/>
  <c r="AK154" i="135" s="1"/>
  <c r="Y127" i="135"/>
  <c r="Y142" i="135" s="1"/>
  <c r="Y125" i="135"/>
  <c r="Y133" i="135"/>
  <c r="Y128" i="135"/>
  <c r="Y154" i="135" s="1"/>
  <c r="M127" i="135"/>
  <c r="M142" i="135" s="1"/>
  <c r="M125" i="135"/>
  <c r="M133" i="135"/>
  <c r="M128" i="135"/>
  <c r="M154" i="135" s="1"/>
  <c r="AJ127" i="135"/>
  <c r="AJ142" i="135" s="1"/>
  <c r="AJ125" i="135"/>
  <c r="AJ133" i="135"/>
  <c r="AJ128" i="135"/>
  <c r="AJ154" i="135" s="1"/>
  <c r="X127" i="135"/>
  <c r="X142" i="135" s="1"/>
  <c r="X125" i="135"/>
  <c r="X133" i="135"/>
  <c r="X128" i="135"/>
  <c r="X154" i="135" s="1"/>
  <c r="L127" i="135"/>
  <c r="L142" i="135" s="1"/>
  <c r="L125" i="135"/>
  <c r="L133" i="135"/>
  <c r="L128" i="135"/>
  <c r="L154" i="135" s="1"/>
  <c r="CQ138" i="135"/>
  <c r="AI127" i="135"/>
  <c r="AI142" i="135" s="1"/>
  <c r="AI125" i="135"/>
  <c r="AI133" i="135"/>
  <c r="AI128" i="135"/>
  <c r="AI154" i="135" s="1"/>
  <c r="W127" i="135"/>
  <c r="W142" i="135" s="1"/>
  <c r="W125" i="135"/>
  <c r="W133" i="135"/>
  <c r="W128" i="135"/>
  <c r="W154" i="135" s="1"/>
  <c r="K127" i="135"/>
  <c r="K142" i="135" s="1"/>
  <c r="K125" i="135"/>
  <c r="K133" i="135"/>
  <c r="K128" i="135"/>
  <c r="K154" i="135" s="1"/>
  <c r="BW40" i="135"/>
  <c r="BW41" i="135"/>
  <c r="AH127" i="135"/>
  <c r="AH142" i="135" s="1"/>
  <c r="AH125" i="135"/>
  <c r="AH133" i="135"/>
  <c r="AH128" i="135"/>
  <c r="AH154" i="135" s="1"/>
  <c r="V127" i="135"/>
  <c r="V142" i="135" s="1"/>
  <c r="V125" i="135"/>
  <c r="V133" i="135"/>
  <c r="V128" i="135"/>
  <c r="V154" i="135" s="1"/>
  <c r="J127" i="135"/>
  <c r="J142" i="135" s="1"/>
  <c r="J125" i="135"/>
  <c r="J133" i="135"/>
  <c r="J128" i="135"/>
  <c r="J154" i="135" s="1"/>
  <c r="AG127" i="135"/>
  <c r="AG142" i="135" s="1"/>
  <c r="AG125" i="135"/>
  <c r="AG133" i="135"/>
  <c r="AG128" i="135"/>
  <c r="AG154" i="135" s="1"/>
  <c r="U127" i="135"/>
  <c r="U142" i="135" s="1"/>
  <c r="U125" i="135"/>
  <c r="U133" i="135"/>
  <c r="U128" i="135"/>
  <c r="U154" i="135" s="1"/>
  <c r="I127" i="135"/>
  <c r="I142" i="135" s="1"/>
  <c r="I125" i="135"/>
  <c r="I133" i="135"/>
  <c r="I128" i="135"/>
  <c r="I154" i="135" s="1"/>
  <c r="AD139" i="134"/>
  <c r="G20" i="134"/>
  <c r="H55" i="134"/>
  <c r="H57" i="134"/>
  <c r="H56" i="134"/>
  <c r="H54" i="134"/>
  <c r="E57" i="134"/>
  <c r="F57" i="134"/>
  <c r="G57" i="134"/>
  <c r="E56" i="134"/>
  <c r="F56" i="134"/>
  <c r="F23" i="134"/>
  <c r="H28" i="134"/>
  <c r="H29" i="134" s="1"/>
  <c r="H53" i="134"/>
  <c r="H52" i="134"/>
  <c r="H140" i="134" s="1"/>
  <c r="H30" i="134"/>
  <c r="H15" i="134"/>
  <c r="H39" i="134"/>
  <c r="H36" i="134"/>
  <c r="H19" i="134"/>
  <c r="H14" i="134"/>
  <c r="H17" i="134"/>
  <c r="H18" i="134" s="1"/>
  <c r="I4" i="134"/>
  <c r="G21" i="134"/>
  <c r="G16" i="134"/>
  <c r="G37" i="134"/>
  <c r="G38" i="134"/>
  <c r="D58" i="134"/>
  <c r="B57" i="134"/>
  <c r="G40" i="134"/>
  <c r="G41" i="134"/>
  <c r="G268" i="135" l="1"/>
  <c r="AO154" i="135"/>
  <c r="BY152" i="135"/>
  <c r="AS128" i="135"/>
  <c r="AS154" i="135" s="1"/>
  <c r="W153" i="135"/>
  <c r="W155" i="135"/>
  <c r="X153" i="135"/>
  <c r="X155" i="135"/>
  <c r="Y153" i="135"/>
  <c r="Y155" i="135"/>
  <c r="P153" i="135"/>
  <c r="P155" i="135"/>
  <c r="AG153" i="135"/>
  <c r="AG155" i="135"/>
  <c r="AH153" i="135"/>
  <c r="AH155" i="135"/>
  <c r="O153" i="135"/>
  <c r="O155" i="135"/>
  <c r="AI153" i="135"/>
  <c r="AI155" i="135"/>
  <c r="AJ153" i="135"/>
  <c r="AJ155" i="135"/>
  <c r="AK153" i="135"/>
  <c r="AK155" i="135"/>
  <c r="AL153" i="135"/>
  <c r="AL155" i="135"/>
  <c r="AB153" i="135"/>
  <c r="AB155" i="135"/>
  <c r="J153" i="135"/>
  <c r="J155" i="135"/>
  <c r="AA153" i="135"/>
  <c r="AA155" i="135"/>
  <c r="AC153" i="135"/>
  <c r="AC155" i="135"/>
  <c r="R153" i="135"/>
  <c r="R155" i="135"/>
  <c r="F153" i="135"/>
  <c r="F155" i="135"/>
  <c r="AQ153" i="135"/>
  <c r="AQ155" i="135"/>
  <c r="AF153" i="135"/>
  <c r="AF155" i="135"/>
  <c r="M153" i="135"/>
  <c r="M155" i="135"/>
  <c r="N153" i="135"/>
  <c r="N155" i="135"/>
  <c r="AM153" i="135"/>
  <c r="AM155" i="135"/>
  <c r="AN153" i="135"/>
  <c r="AN155" i="135"/>
  <c r="I153" i="135"/>
  <c r="I155" i="135"/>
  <c r="K153" i="135"/>
  <c r="K155" i="135"/>
  <c r="L153" i="135"/>
  <c r="L155" i="135"/>
  <c r="U153" i="135"/>
  <c r="U155" i="135"/>
  <c r="V153" i="135"/>
  <c r="V155" i="135"/>
  <c r="AO153" i="135"/>
  <c r="AO155" i="135"/>
  <c r="G270" i="135" s="1"/>
  <c r="I270" i="135" s="1"/>
  <c r="I299" i="135" s="1"/>
  <c r="AD153" i="135"/>
  <c r="AD155" i="135"/>
  <c r="S153" i="135"/>
  <c r="S155" i="135"/>
  <c r="H153" i="135"/>
  <c r="H155" i="135"/>
  <c r="AS153" i="135"/>
  <c r="AS155" i="135"/>
  <c r="Z153" i="135"/>
  <c r="Z155" i="135"/>
  <c r="Q153" i="135"/>
  <c r="Q155" i="135"/>
  <c r="G153" i="135"/>
  <c r="G155" i="135"/>
  <c r="AP153" i="135"/>
  <c r="AP155" i="135"/>
  <c r="AE153" i="135"/>
  <c r="AE155" i="135"/>
  <c r="T153" i="135"/>
  <c r="T155" i="135"/>
  <c r="BX21" i="135"/>
  <c r="BX25" i="135" s="1"/>
  <c r="BW25" i="135"/>
  <c r="BX16" i="135"/>
  <c r="AS137" i="135"/>
  <c r="AS134" i="135"/>
  <c r="AS135" i="135" s="1"/>
  <c r="X137" i="135"/>
  <c r="X134" i="135"/>
  <c r="X135" i="135" s="1"/>
  <c r="CR138" i="135"/>
  <c r="P134" i="135"/>
  <c r="P135" i="135" s="1"/>
  <c r="P137" i="135"/>
  <c r="K137" i="135"/>
  <c r="K134" i="135"/>
  <c r="K135" i="135" s="1"/>
  <c r="Y137" i="135"/>
  <c r="Y134" i="135"/>
  <c r="Y135" i="135" s="1"/>
  <c r="AQ137" i="135"/>
  <c r="AQ134" i="135"/>
  <c r="AQ135" i="135" s="1"/>
  <c r="AD137" i="135"/>
  <c r="AD134" i="135"/>
  <c r="AD135" i="135" s="1"/>
  <c r="AG137" i="135"/>
  <c r="AG134" i="135"/>
  <c r="AG135" i="135" s="1"/>
  <c r="AJ137" i="135"/>
  <c r="AJ134" i="135"/>
  <c r="AJ135" i="135" s="1"/>
  <c r="Z137" i="135"/>
  <c r="Z134" i="135"/>
  <c r="Z135" i="135" s="1"/>
  <c r="AM137" i="135"/>
  <c r="AM134" i="135"/>
  <c r="AM135" i="135" s="1"/>
  <c r="AA134" i="135"/>
  <c r="AA135" i="135" s="1"/>
  <c r="AA137" i="135"/>
  <c r="BX41" i="135"/>
  <c r="BX40" i="135"/>
  <c r="Q137" i="135"/>
  <c r="Q134" i="135"/>
  <c r="Q135" i="135" s="1"/>
  <c r="AF137" i="135"/>
  <c r="AF134" i="135"/>
  <c r="AF135" i="135" s="1"/>
  <c r="BX139" i="135"/>
  <c r="AK137" i="135"/>
  <c r="AK134" i="135"/>
  <c r="AK135" i="135" s="1"/>
  <c r="S137" i="135"/>
  <c r="S134" i="135"/>
  <c r="S135" i="135" s="1"/>
  <c r="G137" i="135"/>
  <c r="G134" i="135"/>
  <c r="G135" i="135" s="1"/>
  <c r="AP137" i="135"/>
  <c r="AP134" i="135"/>
  <c r="AP135" i="135" s="1"/>
  <c r="AB134" i="135"/>
  <c r="AB135" i="135" s="1"/>
  <c r="AB137" i="135"/>
  <c r="AL137" i="135"/>
  <c r="AL134" i="135"/>
  <c r="AL135" i="135" s="1"/>
  <c r="AN134" i="135"/>
  <c r="AN135" i="135" s="1"/>
  <c r="AN137" i="135"/>
  <c r="AH137" i="135"/>
  <c r="AH134" i="135"/>
  <c r="AH135" i="135" s="1"/>
  <c r="AT47" i="135"/>
  <c r="AT44" i="135"/>
  <c r="AT77" i="135"/>
  <c r="AT124" i="135" s="1"/>
  <c r="AU77" i="135"/>
  <c r="AV77" i="135"/>
  <c r="AW77" i="135"/>
  <c r="AX77" i="135"/>
  <c r="AY77" i="135"/>
  <c r="AZ77" i="135"/>
  <c r="BA77" i="135"/>
  <c r="BB77" i="135"/>
  <c r="BC77" i="135"/>
  <c r="BD77" i="135"/>
  <c r="BE77" i="135"/>
  <c r="BF77" i="135"/>
  <c r="BG77" i="135"/>
  <c r="BH77" i="135"/>
  <c r="BI77" i="135"/>
  <c r="BJ77" i="135"/>
  <c r="BK77" i="135"/>
  <c r="BL77" i="135"/>
  <c r="BM77" i="135"/>
  <c r="BN77" i="135"/>
  <c r="BO77" i="135"/>
  <c r="BP77" i="135"/>
  <c r="BQ77" i="135"/>
  <c r="BR77" i="135"/>
  <c r="BS77" i="135"/>
  <c r="BT77" i="135"/>
  <c r="BU77" i="135"/>
  <c r="BV77" i="135"/>
  <c r="BW77" i="135"/>
  <c r="I137" i="135"/>
  <c r="I134" i="135"/>
  <c r="I135" i="135" s="1"/>
  <c r="L137" i="135"/>
  <c r="L134" i="135"/>
  <c r="L135" i="135" s="1"/>
  <c r="AT32" i="135"/>
  <c r="AU27" i="135" s="1"/>
  <c r="AR137" i="135"/>
  <c r="AR134" i="135"/>
  <c r="AR135" i="135" s="1"/>
  <c r="AC137" i="135"/>
  <c r="AC134" i="135"/>
  <c r="AC135" i="135" s="1"/>
  <c r="H137" i="135"/>
  <c r="H134" i="135"/>
  <c r="H135" i="135" s="1"/>
  <c r="J137" i="135"/>
  <c r="J134" i="135"/>
  <c r="J135" i="135" s="1"/>
  <c r="AI134" i="135"/>
  <c r="AI135" i="135" s="1"/>
  <c r="AI137" i="135"/>
  <c r="M137" i="135"/>
  <c r="M134" i="135"/>
  <c r="M135" i="135" s="1"/>
  <c r="AE137" i="135"/>
  <c r="AE134" i="135"/>
  <c r="AE135" i="135" s="1"/>
  <c r="BX20" i="135"/>
  <c r="R137" i="135"/>
  <c r="R134" i="135"/>
  <c r="R135" i="135" s="1"/>
  <c r="O137" i="135"/>
  <c r="O134" i="135"/>
  <c r="O135" i="135" s="1"/>
  <c r="AS50" i="135"/>
  <c r="AS136" i="135"/>
  <c r="AS129" i="135"/>
  <c r="AS125" i="135" s="1"/>
  <c r="BX38" i="135"/>
  <c r="BX37" i="135"/>
  <c r="U137" i="135"/>
  <c r="U134" i="135"/>
  <c r="U135" i="135" s="1"/>
  <c r="AS49" i="135"/>
  <c r="AO137" i="135"/>
  <c r="AO134" i="135"/>
  <c r="AO135" i="135" s="1"/>
  <c r="G131" i="135"/>
  <c r="H131" i="135" s="1"/>
  <c r="I131" i="135" s="1"/>
  <c r="J131" i="135" s="1"/>
  <c r="K131" i="135" s="1"/>
  <c r="L131" i="135" s="1"/>
  <c r="M131" i="135" s="1"/>
  <c r="N131" i="135" s="1"/>
  <c r="O131" i="135" s="1"/>
  <c r="P131" i="135" s="1"/>
  <c r="Q131" i="135" s="1"/>
  <c r="R131" i="135" s="1"/>
  <c r="S131" i="135" s="1"/>
  <c r="T131" i="135" s="1"/>
  <c r="U131" i="135" s="1"/>
  <c r="V131" i="135" s="1"/>
  <c r="W131" i="135" s="1"/>
  <c r="X131" i="135" s="1"/>
  <c r="Y131" i="135" s="1"/>
  <c r="Z131" i="135" s="1"/>
  <c r="AA131" i="135" s="1"/>
  <c r="AB131" i="135" s="1"/>
  <c r="AC131" i="135" s="1"/>
  <c r="AD131" i="135" s="1"/>
  <c r="AE131" i="135" s="1"/>
  <c r="AF131" i="135" s="1"/>
  <c r="AG131" i="135" s="1"/>
  <c r="AH131" i="135" s="1"/>
  <c r="AI131" i="135" s="1"/>
  <c r="AJ131" i="135" s="1"/>
  <c r="AK131" i="135" s="1"/>
  <c r="AL131" i="135" s="1"/>
  <c r="AM131" i="135" s="1"/>
  <c r="AN131" i="135" s="1"/>
  <c r="AO131" i="135" s="1"/>
  <c r="AP131" i="135" s="1"/>
  <c r="AQ131" i="135" s="1"/>
  <c r="AR131" i="135" s="1"/>
  <c r="T137" i="135"/>
  <c r="T134" i="135"/>
  <c r="T135" i="135" s="1"/>
  <c r="BY121" i="135"/>
  <c r="BY119" i="135"/>
  <c r="BY122" i="135"/>
  <c r="BY120" i="135"/>
  <c r="BY123" i="135"/>
  <c r="BY118" i="135"/>
  <c r="BY117" i="135"/>
  <c r="BY116" i="135"/>
  <c r="BY115" i="135"/>
  <c r="BY113" i="135"/>
  <c r="BY112" i="135"/>
  <c r="BY109" i="135"/>
  <c r="BY110" i="135"/>
  <c r="BY111" i="135"/>
  <c r="BY114" i="135"/>
  <c r="BY77" i="135"/>
  <c r="BY76" i="135"/>
  <c r="BY71" i="135"/>
  <c r="BY69" i="135"/>
  <c r="BY67" i="135"/>
  <c r="BY65" i="135"/>
  <c r="BY63" i="135"/>
  <c r="BY78" i="135"/>
  <c r="BY72" i="135"/>
  <c r="BY74" i="135"/>
  <c r="BY66" i="135"/>
  <c r="BY75" i="135"/>
  <c r="BY64" i="135"/>
  <c r="BY73" i="135"/>
  <c r="BY70" i="135"/>
  <c r="BY68" i="135"/>
  <c r="BY60" i="135"/>
  <c r="BY59" i="135"/>
  <c r="BY58" i="135"/>
  <c r="BY61" i="135"/>
  <c r="BY57" i="135"/>
  <c r="BY56" i="135"/>
  <c r="BY55" i="135"/>
  <c r="BY62" i="135"/>
  <c r="BY52" i="135"/>
  <c r="BY141" i="135" s="1"/>
  <c r="BY39" i="135"/>
  <c r="BY53" i="135"/>
  <c r="BY54" i="135"/>
  <c r="BY30" i="135"/>
  <c r="BY28" i="135"/>
  <c r="BY29" i="135" s="1"/>
  <c r="BY36" i="135"/>
  <c r="BY17" i="135"/>
  <c r="BY18" i="135" s="1"/>
  <c r="BY19" i="135"/>
  <c r="BY15" i="135"/>
  <c r="BY14" i="135"/>
  <c r="BZ4" i="135"/>
  <c r="W137" i="135"/>
  <c r="W134" i="135"/>
  <c r="W135" i="135" s="1"/>
  <c r="N134" i="135"/>
  <c r="N135" i="135" s="1"/>
  <c r="N137" i="135"/>
  <c r="F137" i="135"/>
  <c r="F134" i="135"/>
  <c r="F135" i="135" s="1"/>
  <c r="F130" i="135"/>
  <c r="G130" i="135" s="1"/>
  <c r="H130" i="135" s="1"/>
  <c r="I130" i="135" s="1"/>
  <c r="J130" i="135" s="1"/>
  <c r="K130" i="135" s="1"/>
  <c r="L130" i="135" s="1"/>
  <c r="M130" i="135" s="1"/>
  <c r="N130" i="135" s="1"/>
  <c r="O130" i="135" s="1"/>
  <c r="P130" i="135" s="1"/>
  <c r="Q130" i="135" s="1"/>
  <c r="R130" i="135" s="1"/>
  <c r="S130" i="135" s="1"/>
  <c r="T130" i="135" s="1"/>
  <c r="U130" i="135" s="1"/>
  <c r="V130" i="135" s="1"/>
  <c r="W130" i="135" s="1"/>
  <c r="X130" i="135" s="1"/>
  <c r="Y130" i="135" s="1"/>
  <c r="Z130" i="135" s="1"/>
  <c r="AA130" i="135" s="1"/>
  <c r="AB130" i="135" s="1"/>
  <c r="AC130" i="135" s="1"/>
  <c r="AD130" i="135" s="1"/>
  <c r="AE130" i="135" s="1"/>
  <c r="AF130" i="135" s="1"/>
  <c r="AG130" i="135" s="1"/>
  <c r="AH130" i="135" s="1"/>
  <c r="AI130" i="135" s="1"/>
  <c r="AJ130" i="135" s="1"/>
  <c r="AK130" i="135" s="1"/>
  <c r="AL130" i="135" s="1"/>
  <c r="AM130" i="135" s="1"/>
  <c r="AN130" i="135" s="1"/>
  <c r="AO130" i="135" s="1"/>
  <c r="AP130" i="135" s="1"/>
  <c r="AQ130" i="135" s="1"/>
  <c r="AR130" i="135" s="1"/>
  <c r="AS130" i="135" s="1"/>
  <c r="V137" i="135"/>
  <c r="V134" i="135"/>
  <c r="V135" i="135" s="1"/>
  <c r="AE139" i="134"/>
  <c r="E58" i="134"/>
  <c r="F58" i="134"/>
  <c r="G58" i="134"/>
  <c r="H16" i="134"/>
  <c r="I55" i="134"/>
  <c r="I58" i="134"/>
  <c r="I57" i="134"/>
  <c r="I56" i="134"/>
  <c r="I54" i="134"/>
  <c r="H58" i="134"/>
  <c r="H21" i="134"/>
  <c r="H24" i="134" s="1"/>
  <c r="H23" i="134" s="1"/>
  <c r="I28" i="134"/>
  <c r="I29" i="134" s="1"/>
  <c r="I53" i="134"/>
  <c r="I39" i="134"/>
  <c r="I52" i="134"/>
  <c r="I140" i="134" s="1"/>
  <c r="I30" i="134"/>
  <c r="I36" i="134"/>
  <c r="I19" i="134"/>
  <c r="I15" i="134"/>
  <c r="I14" i="134"/>
  <c r="I17" i="134"/>
  <c r="I18" i="134" s="1"/>
  <c r="J4" i="134"/>
  <c r="D59" i="134"/>
  <c r="I59" i="134" s="1"/>
  <c r="B58" i="134"/>
  <c r="H20" i="134"/>
  <c r="E44" i="134"/>
  <c r="E47" i="134"/>
  <c r="E32" i="134"/>
  <c r="H38" i="134"/>
  <c r="H37" i="134"/>
  <c r="G24" i="134"/>
  <c r="G23" i="134" s="1"/>
  <c r="G22" i="134"/>
  <c r="H41" i="134"/>
  <c r="H40" i="134"/>
  <c r="J299" i="135" l="1"/>
  <c r="H299" i="135"/>
  <c r="G299" i="135" s="1"/>
  <c r="BZ152" i="135"/>
  <c r="BX24" i="135"/>
  <c r="BY16" i="135"/>
  <c r="BY21" i="135"/>
  <c r="AS131" i="135"/>
  <c r="BZ121" i="135"/>
  <c r="BZ119" i="135"/>
  <c r="BZ122" i="135"/>
  <c r="BZ120" i="135"/>
  <c r="BZ118" i="135"/>
  <c r="BZ123" i="135"/>
  <c r="BZ117" i="135"/>
  <c r="BZ116" i="135"/>
  <c r="BZ115" i="135"/>
  <c r="BZ114" i="135"/>
  <c r="BZ112" i="135"/>
  <c r="BZ111" i="135"/>
  <c r="BZ110" i="135"/>
  <c r="BZ113" i="135"/>
  <c r="BZ76" i="135"/>
  <c r="BZ75" i="135"/>
  <c r="BZ72" i="135"/>
  <c r="BZ77" i="135"/>
  <c r="BZ74" i="135"/>
  <c r="BZ66" i="135"/>
  <c r="BZ65" i="135"/>
  <c r="BZ64" i="135"/>
  <c r="BZ63" i="135"/>
  <c r="BZ79" i="135"/>
  <c r="BZ73" i="135"/>
  <c r="BZ78" i="135"/>
  <c r="BZ71" i="135"/>
  <c r="BZ70" i="135"/>
  <c r="BZ69" i="135"/>
  <c r="BZ67" i="135"/>
  <c r="BZ59" i="135"/>
  <c r="BZ58" i="135"/>
  <c r="BZ61" i="135"/>
  <c r="BZ57" i="135"/>
  <c r="BZ56" i="135"/>
  <c r="BZ55" i="135"/>
  <c r="BZ54" i="135"/>
  <c r="BZ62" i="135"/>
  <c r="BZ68" i="135"/>
  <c r="BZ60" i="135"/>
  <c r="BZ53" i="135"/>
  <c r="BZ52" i="135"/>
  <c r="BZ141" i="135" s="1"/>
  <c r="BZ39" i="135"/>
  <c r="BZ28" i="135"/>
  <c r="BZ29" i="135" s="1"/>
  <c r="BZ36" i="135"/>
  <c r="BZ30" i="135"/>
  <c r="BZ19" i="135"/>
  <c r="BZ15" i="135"/>
  <c r="BZ14" i="135"/>
  <c r="BZ17" i="135"/>
  <c r="BZ18" i="135" s="1"/>
  <c r="CA4" i="135"/>
  <c r="BY20" i="135"/>
  <c r="CS138" i="135"/>
  <c r="BY38" i="135"/>
  <c r="BY37" i="135"/>
  <c r="AU31" i="135"/>
  <c r="AT133" i="135"/>
  <c r="AT45" i="135"/>
  <c r="AT128" i="135" s="1"/>
  <c r="AT154" i="135" s="1"/>
  <c r="AT46" i="135"/>
  <c r="AT48" i="135"/>
  <c r="AT127" i="135" s="1"/>
  <c r="BY41" i="135"/>
  <c r="BY40" i="135"/>
  <c r="BY139" i="135"/>
  <c r="AF139" i="134"/>
  <c r="H22" i="134"/>
  <c r="E59" i="134"/>
  <c r="F59" i="134"/>
  <c r="G59" i="134"/>
  <c r="H59" i="134"/>
  <c r="J57" i="134"/>
  <c r="J55" i="134"/>
  <c r="J58" i="134"/>
  <c r="J56" i="134"/>
  <c r="J59" i="134"/>
  <c r="J54" i="134"/>
  <c r="I20" i="134"/>
  <c r="J28" i="134"/>
  <c r="J29" i="134" s="1"/>
  <c r="J53" i="134"/>
  <c r="F27" i="134"/>
  <c r="J39" i="134"/>
  <c r="J52" i="134"/>
  <c r="J140" i="134" s="1"/>
  <c r="J30" i="134"/>
  <c r="J36" i="134"/>
  <c r="J19" i="134"/>
  <c r="J15" i="134"/>
  <c r="J14" i="134"/>
  <c r="K4" i="134"/>
  <c r="J17" i="134"/>
  <c r="J18" i="134" s="1"/>
  <c r="I16" i="134"/>
  <c r="D60" i="134"/>
  <c r="B59" i="134"/>
  <c r="I21" i="134"/>
  <c r="I40" i="134"/>
  <c r="I41" i="134"/>
  <c r="E49" i="134"/>
  <c r="E48" i="134"/>
  <c r="E45" i="134"/>
  <c r="E46" i="134"/>
  <c r="I38" i="134"/>
  <c r="I37" i="134"/>
  <c r="CA152" i="135" l="1"/>
  <c r="AT153" i="135"/>
  <c r="AT155" i="135"/>
  <c r="AT130" i="135"/>
  <c r="AT142" i="135"/>
  <c r="BZ21" i="135"/>
  <c r="BY24" i="135"/>
  <c r="BY25" i="135"/>
  <c r="AT50" i="135"/>
  <c r="AT136" i="135"/>
  <c r="AT129" i="135"/>
  <c r="AT125" i="135" s="1"/>
  <c r="AT131" i="135" s="1"/>
  <c r="AU47" i="135"/>
  <c r="AU44" i="135"/>
  <c r="AU78" i="135"/>
  <c r="AU124" i="135" s="1"/>
  <c r="AV78" i="135"/>
  <c r="AW78" i="135"/>
  <c r="AX78" i="135"/>
  <c r="AY78" i="135"/>
  <c r="AZ78" i="135"/>
  <c r="BA78" i="135"/>
  <c r="BB78" i="135"/>
  <c r="BC78" i="135"/>
  <c r="BD78" i="135"/>
  <c r="BE78" i="135"/>
  <c r="BF78" i="135"/>
  <c r="BG78" i="135"/>
  <c r="BH78" i="135"/>
  <c r="BI78" i="135"/>
  <c r="BJ78" i="135"/>
  <c r="BK78" i="135"/>
  <c r="BL78" i="135"/>
  <c r="BM78" i="135"/>
  <c r="BN78" i="135"/>
  <c r="BO78" i="135"/>
  <c r="BP78" i="135"/>
  <c r="BQ78" i="135"/>
  <c r="BR78" i="135"/>
  <c r="BS78" i="135"/>
  <c r="BT78" i="135"/>
  <c r="BU78" i="135"/>
  <c r="BV78" i="135"/>
  <c r="BW78" i="135"/>
  <c r="BX78" i="135"/>
  <c r="AU32" i="135"/>
  <c r="AV27" i="135" s="1"/>
  <c r="CT138" i="135"/>
  <c r="BZ41" i="135"/>
  <c r="BZ40" i="135"/>
  <c r="BZ139" i="135"/>
  <c r="CA123" i="135"/>
  <c r="CA122" i="135"/>
  <c r="CA120" i="135"/>
  <c r="CA121" i="135"/>
  <c r="CA118" i="135"/>
  <c r="CA117" i="135"/>
  <c r="CA116" i="135"/>
  <c r="CA115" i="135"/>
  <c r="CA114" i="135"/>
  <c r="CA113" i="135"/>
  <c r="CA111" i="135"/>
  <c r="CA119" i="135"/>
  <c r="CA112" i="135"/>
  <c r="CA79" i="135"/>
  <c r="CA77" i="135"/>
  <c r="CA75" i="135"/>
  <c r="CA73" i="135"/>
  <c r="CA80" i="135"/>
  <c r="CA76" i="135"/>
  <c r="CA65" i="135"/>
  <c r="CA64" i="135"/>
  <c r="CA59" i="135"/>
  <c r="CA57" i="135"/>
  <c r="CA55" i="135"/>
  <c r="CA53" i="135"/>
  <c r="CA78" i="135"/>
  <c r="CA71" i="135"/>
  <c r="CA70" i="135"/>
  <c r="CA69" i="135"/>
  <c r="CA61" i="135"/>
  <c r="CA52" i="135"/>
  <c r="CA141" i="135" s="1"/>
  <c r="CA68" i="135"/>
  <c r="CA74" i="135"/>
  <c r="CA72" i="135"/>
  <c r="CA66" i="135"/>
  <c r="CA58" i="135"/>
  <c r="CA56" i="135"/>
  <c r="CA63" i="135"/>
  <c r="CA39" i="135"/>
  <c r="CA36" i="135"/>
  <c r="CA30" i="135"/>
  <c r="CA54" i="135"/>
  <c r="CA67" i="135"/>
  <c r="CA62" i="135"/>
  <c r="CA60" i="135"/>
  <c r="CA28" i="135"/>
  <c r="CA29" i="135" s="1"/>
  <c r="CA15" i="135"/>
  <c r="CA19" i="135"/>
  <c r="CA14" i="135"/>
  <c r="CA17" i="135"/>
  <c r="CA18" i="135" s="1"/>
  <c r="CB4" i="135"/>
  <c r="BZ20" i="135"/>
  <c r="AT49" i="135"/>
  <c r="BZ16" i="135"/>
  <c r="AT137" i="135"/>
  <c r="AT134" i="135"/>
  <c r="AT135" i="135" s="1"/>
  <c r="BZ38" i="135"/>
  <c r="BZ37" i="135"/>
  <c r="J16" i="134"/>
  <c r="J21" i="134"/>
  <c r="J22" i="134" s="1"/>
  <c r="AG139" i="134"/>
  <c r="E60" i="134"/>
  <c r="F60" i="134"/>
  <c r="G60" i="134"/>
  <c r="H60" i="134"/>
  <c r="I60" i="134"/>
  <c r="K57" i="134"/>
  <c r="K55" i="134"/>
  <c r="K58" i="134"/>
  <c r="K60" i="134"/>
  <c r="K56" i="134"/>
  <c r="K59" i="134"/>
  <c r="K54" i="134"/>
  <c r="J60" i="134"/>
  <c r="F31" i="134"/>
  <c r="K28" i="134"/>
  <c r="K29" i="134" s="1"/>
  <c r="K53" i="134"/>
  <c r="I24" i="134"/>
  <c r="I23" i="134" s="1"/>
  <c r="I22" i="134"/>
  <c r="K52" i="134"/>
  <c r="K140" i="134" s="1"/>
  <c r="K36" i="134"/>
  <c r="K30" i="134"/>
  <c r="K14" i="134"/>
  <c r="K39" i="134"/>
  <c r="K19" i="134"/>
  <c r="L4" i="134"/>
  <c r="K17" i="134"/>
  <c r="K18" i="134" s="1"/>
  <c r="K15" i="134"/>
  <c r="J40" i="134"/>
  <c r="J41" i="134"/>
  <c r="J20" i="134"/>
  <c r="J38" i="134"/>
  <c r="J37" i="134"/>
  <c r="D61" i="134"/>
  <c r="K61" i="134" s="1"/>
  <c r="B60" i="134"/>
  <c r="E50" i="134"/>
  <c r="E137" i="134"/>
  <c r="E129" i="134"/>
  <c r="CB152" i="135" l="1"/>
  <c r="J24" i="134"/>
  <c r="J23" i="134" s="1"/>
  <c r="CA20" i="135"/>
  <c r="BZ25" i="135"/>
  <c r="BZ24" i="135"/>
  <c r="CA41" i="135"/>
  <c r="CA40" i="135"/>
  <c r="CA21" i="135"/>
  <c r="CA16" i="135"/>
  <c r="CA139" i="135"/>
  <c r="AU133" i="135"/>
  <c r="CA37" i="135"/>
  <c r="CA38" i="135"/>
  <c r="AU45" i="135"/>
  <c r="AU128" i="135" s="1"/>
  <c r="AU154" i="135" s="1"/>
  <c r="AU46" i="135"/>
  <c r="AU48" i="135"/>
  <c r="AU127" i="135" s="1"/>
  <c r="AU142" i="135" s="1"/>
  <c r="CB122" i="135"/>
  <c r="CB120" i="135"/>
  <c r="CB123" i="135"/>
  <c r="CB121" i="135"/>
  <c r="CB119" i="135"/>
  <c r="CB117" i="135"/>
  <c r="CB116" i="135"/>
  <c r="CB115" i="135"/>
  <c r="CB113" i="135"/>
  <c r="CB112" i="135"/>
  <c r="CB118" i="135"/>
  <c r="CB114" i="135"/>
  <c r="CB80" i="135"/>
  <c r="CB78" i="135"/>
  <c r="CB76" i="135"/>
  <c r="CB75" i="135"/>
  <c r="CB81" i="135"/>
  <c r="CB79" i="135"/>
  <c r="CB64" i="135"/>
  <c r="CB73" i="135"/>
  <c r="CB71" i="135"/>
  <c r="CB70" i="135"/>
  <c r="CB69" i="135"/>
  <c r="CB68" i="135"/>
  <c r="CB60" i="135"/>
  <c r="CB58" i="135"/>
  <c r="CB56" i="135"/>
  <c r="CB54" i="135"/>
  <c r="CB77" i="135"/>
  <c r="CB67" i="135"/>
  <c r="CB65" i="135"/>
  <c r="CB66" i="135"/>
  <c r="CB61" i="135"/>
  <c r="CB57" i="135"/>
  <c r="CB63" i="135"/>
  <c r="CB55" i="135"/>
  <c r="CB74" i="135"/>
  <c r="CB72" i="135"/>
  <c r="CB62" i="135"/>
  <c r="CB59" i="135"/>
  <c r="CB53" i="135"/>
  <c r="CB36" i="135"/>
  <c r="CB52" i="135"/>
  <c r="CB141" i="135" s="1"/>
  <c r="CB39" i="135"/>
  <c r="CB30" i="135"/>
  <c r="CB28" i="135"/>
  <c r="CB29" i="135" s="1"/>
  <c r="CB19" i="135"/>
  <c r="CB15" i="135"/>
  <c r="CB14" i="135"/>
  <c r="CB17" i="135"/>
  <c r="CB18" i="135" s="1"/>
  <c r="CC4" i="135"/>
  <c r="CU138" i="135"/>
  <c r="AV31" i="135"/>
  <c r="AV32" i="135" s="1"/>
  <c r="AW27" i="135" s="1"/>
  <c r="AH139" i="134"/>
  <c r="K16" i="134"/>
  <c r="L57" i="134"/>
  <c r="L60" i="134"/>
  <c r="L55" i="134"/>
  <c r="L58" i="134"/>
  <c r="L61" i="134"/>
  <c r="L56" i="134"/>
  <c r="L59" i="134"/>
  <c r="L54" i="134"/>
  <c r="K21" i="134"/>
  <c r="K22" i="134" s="1"/>
  <c r="E61" i="134"/>
  <c r="F61" i="134"/>
  <c r="G61" i="134"/>
  <c r="H61" i="134"/>
  <c r="I61" i="134"/>
  <c r="J61" i="134"/>
  <c r="F47" i="134"/>
  <c r="F44" i="134"/>
  <c r="F32" i="134"/>
  <c r="G27" i="134" s="1"/>
  <c r="L28" i="134"/>
  <c r="L29" i="134" s="1"/>
  <c r="L53" i="134"/>
  <c r="K38" i="134"/>
  <c r="K37" i="134"/>
  <c r="D62" i="134"/>
  <c r="L62" i="134" s="1"/>
  <c r="B61" i="134"/>
  <c r="L39" i="134"/>
  <c r="L36" i="134"/>
  <c r="L52" i="134"/>
  <c r="L140" i="134" s="1"/>
  <c r="L30" i="134"/>
  <c r="L17" i="134"/>
  <c r="L18" i="134" s="1"/>
  <c r="M4" i="134"/>
  <c r="L19" i="134"/>
  <c r="L15" i="134"/>
  <c r="L14" i="134"/>
  <c r="K41" i="134"/>
  <c r="K40" i="134"/>
  <c r="K20" i="134"/>
  <c r="CC152" i="135" l="1"/>
  <c r="AU153" i="135"/>
  <c r="AU155" i="135"/>
  <c r="CB21" i="135"/>
  <c r="J2" i="135"/>
  <c r="CA24" i="135"/>
  <c r="CA25" i="135"/>
  <c r="CB20" i="135"/>
  <c r="CB16" i="135"/>
  <c r="CB25" i="135"/>
  <c r="CB24" i="135"/>
  <c r="AU137" i="135"/>
  <c r="AU134" i="135"/>
  <c r="AU135" i="135" s="1"/>
  <c r="AU130" i="135"/>
  <c r="AW31" i="135"/>
  <c r="AW32" i="135" s="1"/>
  <c r="AX27" i="135" s="1"/>
  <c r="CC122" i="135"/>
  <c r="CC120" i="135"/>
  <c r="CC123" i="135"/>
  <c r="CC117" i="135"/>
  <c r="CC116" i="135"/>
  <c r="CC115" i="135"/>
  <c r="CC114" i="135"/>
  <c r="CC119" i="135"/>
  <c r="CC118" i="135"/>
  <c r="CC113" i="135"/>
  <c r="CC121" i="135"/>
  <c r="CC75" i="135"/>
  <c r="CC82" i="135"/>
  <c r="CC81" i="135"/>
  <c r="CC80" i="135"/>
  <c r="CC79" i="135"/>
  <c r="CC78" i="135"/>
  <c r="CC73" i="135"/>
  <c r="CC71" i="135"/>
  <c r="CC70" i="135"/>
  <c r="CC69" i="135"/>
  <c r="CC68" i="135"/>
  <c r="CC77" i="135"/>
  <c r="CC67" i="135"/>
  <c r="CC74" i="135"/>
  <c r="CC72" i="135"/>
  <c r="CC66" i="135"/>
  <c r="CC76" i="135"/>
  <c r="CC61" i="135"/>
  <c r="CC57" i="135"/>
  <c r="CC63" i="135"/>
  <c r="CC56" i="135"/>
  <c r="CC55" i="135"/>
  <c r="CC54" i="135"/>
  <c r="CC62" i="135"/>
  <c r="CC65" i="135"/>
  <c r="CC64" i="135"/>
  <c r="CC60" i="135"/>
  <c r="CC58" i="135"/>
  <c r="CC53" i="135"/>
  <c r="CC59" i="135"/>
  <c r="CC52" i="135"/>
  <c r="CC141" i="135" s="1"/>
  <c r="CC36" i="135"/>
  <c r="CC39" i="135"/>
  <c r="CC30" i="135"/>
  <c r="CC28" i="135"/>
  <c r="CC29" i="135" s="1"/>
  <c r="CC19" i="135"/>
  <c r="CC15" i="135"/>
  <c r="CC14" i="135"/>
  <c r="CC17" i="135"/>
  <c r="CD4" i="135"/>
  <c r="AU49" i="135"/>
  <c r="AV44" i="135"/>
  <c r="AV47" i="135"/>
  <c r="AV79" i="135"/>
  <c r="AV124" i="135" s="1"/>
  <c r="AW79" i="135"/>
  <c r="AX79" i="135"/>
  <c r="AY79" i="135"/>
  <c r="AZ79" i="135"/>
  <c r="BA79" i="135"/>
  <c r="BB79" i="135"/>
  <c r="BC79" i="135"/>
  <c r="BD79" i="135"/>
  <c r="BE79" i="135"/>
  <c r="BF79" i="135"/>
  <c r="BG79" i="135"/>
  <c r="BH79" i="135"/>
  <c r="BI79" i="135"/>
  <c r="BJ79" i="135"/>
  <c r="BK79" i="135"/>
  <c r="BL79" i="135"/>
  <c r="BM79" i="135"/>
  <c r="BN79" i="135"/>
  <c r="BO79" i="135"/>
  <c r="BP79" i="135"/>
  <c r="BQ79" i="135"/>
  <c r="BR79" i="135"/>
  <c r="BS79" i="135"/>
  <c r="BT79" i="135"/>
  <c r="BU79" i="135"/>
  <c r="BV79" i="135"/>
  <c r="BW79" i="135"/>
  <c r="BX79" i="135"/>
  <c r="BY79" i="135"/>
  <c r="CB41" i="135"/>
  <c r="CB40" i="135"/>
  <c r="CB139" i="135"/>
  <c r="CB37" i="135"/>
  <c r="CB38" i="135"/>
  <c r="CV138" i="135"/>
  <c r="AU50" i="135"/>
  <c r="AU136" i="135"/>
  <c r="AU129" i="135"/>
  <c r="AU125" i="135" s="1"/>
  <c r="AU131" i="135" s="1"/>
  <c r="K24" i="134"/>
  <c r="K23" i="134" s="1"/>
  <c r="AI139" i="134"/>
  <c r="L20" i="134"/>
  <c r="M56" i="134"/>
  <c r="M57" i="134"/>
  <c r="M60" i="134"/>
  <c r="M55" i="134"/>
  <c r="M58" i="134"/>
  <c r="M61" i="134"/>
  <c r="M59" i="134"/>
  <c r="M62" i="134"/>
  <c r="M54" i="134"/>
  <c r="E62" i="134"/>
  <c r="F62" i="134"/>
  <c r="G62" i="134"/>
  <c r="H62" i="134"/>
  <c r="I62" i="134"/>
  <c r="J62" i="134"/>
  <c r="K62" i="134"/>
  <c r="L16" i="134"/>
  <c r="G31" i="134"/>
  <c r="G32" i="134"/>
  <c r="H27" i="134" s="1"/>
  <c r="H31" i="134" s="1"/>
  <c r="M28" i="134"/>
  <c r="M29" i="134" s="1"/>
  <c r="M53" i="134"/>
  <c r="F46" i="134"/>
  <c r="F45" i="134"/>
  <c r="F49" i="134"/>
  <c r="F48" i="134"/>
  <c r="L37" i="134"/>
  <c r="L38" i="134"/>
  <c r="L40" i="134"/>
  <c r="L41" i="134"/>
  <c r="L21" i="134"/>
  <c r="M30" i="134"/>
  <c r="M52" i="134"/>
  <c r="M140" i="134" s="1"/>
  <c r="M39" i="134"/>
  <c r="M36" i="134"/>
  <c r="M17" i="134"/>
  <c r="M18" i="134" s="1"/>
  <c r="M15" i="134"/>
  <c r="M19" i="134"/>
  <c r="M14" i="134"/>
  <c r="N4" i="134"/>
  <c r="D63" i="134"/>
  <c r="M63" i="134" s="1"/>
  <c r="B62" i="134"/>
  <c r="CC20" i="135" l="1"/>
  <c r="CC16" i="135"/>
  <c r="CC21" i="135"/>
  <c r="CC24" i="135" s="1"/>
  <c r="CC40" i="135"/>
  <c r="CC41" i="135"/>
  <c r="CC38" i="135"/>
  <c r="CC37" i="135"/>
  <c r="AV48" i="135"/>
  <c r="AV133" i="135"/>
  <c r="CC139" i="135"/>
  <c r="AV46" i="135"/>
  <c r="AV45" i="135"/>
  <c r="AV128" i="135" s="1"/>
  <c r="AV154" i="135" s="1"/>
  <c r="AW44" i="135"/>
  <c r="AW47" i="135"/>
  <c r="AW80" i="135"/>
  <c r="AW124" i="135" s="1"/>
  <c r="AX80" i="135"/>
  <c r="AY80" i="135"/>
  <c r="AZ80" i="135"/>
  <c r="BA80" i="135"/>
  <c r="BB80" i="135"/>
  <c r="BC80" i="135"/>
  <c r="BD80" i="135"/>
  <c r="BE80" i="135"/>
  <c r="BF80" i="135"/>
  <c r="BG80" i="135"/>
  <c r="BH80" i="135"/>
  <c r="BI80" i="135"/>
  <c r="BJ80" i="135"/>
  <c r="BK80" i="135"/>
  <c r="BL80" i="135"/>
  <c r="BM80" i="135"/>
  <c r="BN80" i="135"/>
  <c r="BO80" i="135"/>
  <c r="BP80" i="135"/>
  <c r="BQ80" i="135"/>
  <c r="BR80" i="135"/>
  <c r="BS80" i="135"/>
  <c r="BT80" i="135"/>
  <c r="BU80" i="135"/>
  <c r="BV80" i="135"/>
  <c r="BW80" i="135"/>
  <c r="BX80" i="135"/>
  <c r="BY80" i="135"/>
  <c r="BZ80" i="135"/>
  <c r="AX31" i="135"/>
  <c r="CD18" i="135"/>
  <c r="CC18" i="135"/>
  <c r="CD122" i="135"/>
  <c r="CD120" i="135"/>
  <c r="CD118" i="135"/>
  <c r="CD116" i="135"/>
  <c r="CD114" i="135"/>
  <c r="CD123" i="135"/>
  <c r="CD121" i="135"/>
  <c r="CD119" i="135"/>
  <c r="CD117" i="135"/>
  <c r="CD115" i="135"/>
  <c r="CD75" i="135"/>
  <c r="CD83" i="135"/>
  <c r="CD82" i="135"/>
  <c r="CD71" i="135"/>
  <c r="CD69" i="135"/>
  <c r="CD67" i="135"/>
  <c r="CD65" i="135"/>
  <c r="CD63" i="135"/>
  <c r="CD61" i="135"/>
  <c r="CD81" i="135"/>
  <c r="CD80" i="135"/>
  <c r="CD79" i="135"/>
  <c r="CD78" i="135"/>
  <c r="CD77" i="135"/>
  <c r="CD73" i="135"/>
  <c r="CD70" i="135"/>
  <c r="CD68" i="135"/>
  <c r="CD74" i="135"/>
  <c r="CD72" i="135"/>
  <c r="CD66" i="135"/>
  <c r="CD62" i="135"/>
  <c r="CD56" i="135"/>
  <c r="CD55" i="135"/>
  <c r="CD54" i="135"/>
  <c r="CD53" i="135"/>
  <c r="CD52" i="135"/>
  <c r="CD64" i="135"/>
  <c r="CD60" i="135"/>
  <c r="CD59" i="135"/>
  <c r="CD76" i="135"/>
  <c r="CD57" i="135"/>
  <c r="CD58" i="135"/>
  <c r="CD39" i="135"/>
  <c r="CD14" i="135"/>
  <c r="CD36" i="135"/>
  <c r="CD30" i="135"/>
  <c r="CD28" i="135"/>
  <c r="CD29" i="135" s="1"/>
  <c r="CE4" i="135"/>
  <c r="CD19" i="135"/>
  <c r="CD15" i="135"/>
  <c r="CD6" i="135"/>
  <c r="CW138" i="135"/>
  <c r="AJ139" i="134"/>
  <c r="M21" i="134"/>
  <c r="E63" i="134"/>
  <c r="F63" i="134"/>
  <c r="G63" i="134"/>
  <c r="H63" i="134"/>
  <c r="I63" i="134"/>
  <c r="J63" i="134"/>
  <c r="K63" i="134"/>
  <c r="L63" i="134"/>
  <c r="N56" i="134"/>
  <c r="N57" i="134"/>
  <c r="N60" i="134"/>
  <c r="N55" i="134"/>
  <c r="N58" i="134"/>
  <c r="N61" i="134"/>
  <c r="N63" i="134"/>
  <c r="N62" i="134"/>
  <c r="N59" i="134"/>
  <c r="N54" i="134"/>
  <c r="N28" i="134"/>
  <c r="N29" i="134" s="1"/>
  <c r="N53" i="134"/>
  <c r="G47" i="134"/>
  <c r="G44" i="134"/>
  <c r="M16" i="134"/>
  <c r="F50" i="134"/>
  <c r="F137" i="134"/>
  <c r="F129" i="134"/>
  <c r="H47" i="134"/>
  <c r="H44" i="134"/>
  <c r="H32" i="134"/>
  <c r="I27" i="134" s="1"/>
  <c r="M38" i="134"/>
  <c r="M37" i="134"/>
  <c r="L24" i="134"/>
  <c r="M22" i="134"/>
  <c r="L22" i="134"/>
  <c r="M40" i="134"/>
  <c r="M41" i="134"/>
  <c r="D64" i="134"/>
  <c r="N64" i="134" s="1"/>
  <c r="B63" i="134"/>
  <c r="M24" i="134"/>
  <c r="M23" i="134" s="1"/>
  <c r="N36" i="134"/>
  <c r="N52" i="134"/>
  <c r="N140" i="134" s="1"/>
  <c r="N30" i="134"/>
  <c r="N39" i="134"/>
  <c r="N17" i="134"/>
  <c r="N18" i="134" s="1"/>
  <c r="N15" i="134"/>
  <c r="N14" i="134"/>
  <c r="N19" i="134"/>
  <c r="O4" i="134"/>
  <c r="M20" i="134"/>
  <c r="AV153" i="135" l="1"/>
  <c r="AV155" i="135"/>
  <c r="CD20" i="135"/>
  <c r="CD40" i="135"/>
  <c r="CD41" i="135"/>
  <c r="AV50" i="135"/>
  <c r="AV129" i="135"/>
  <c r="AV125" i="135" s="1"/>
  <c r="AV131" i="135" s="1"/>
  <c r="AV136" i="135"/>
  <c r="AW133" i="135"/>
  <c r="AW48" i="135"/>
  <c r="AW127" i="135" s="1"/>
  <c r="AW142" i="135" s="1"/>
  <c r="AW46" i="135"/>
  <c r="AW45" i="135"/>
  <c r="AW128" i="135" s="1"/>
  <c r="AW154" i="135" s="1"/>
  <c r="AX44" i="135"/>
  <c r="AX47" i="135"/>
  <c r="AX81" i="135"/>
  <c r="AX124" i="135" s="1"/>
  <c r="AY81" i="135"/>
  <c r="AZ81" i="135"/>
  <c r="BA81" i="135"/>
  <c r="BB81" i="135"/>
  <c r="BC81" i="135"/>
  <c r="BD81" i="135"/>
  <c r="BE81" i="135"/>
  <c r="BF81" i="135"/>
  <c r="BG81" i="135"/>
  <c r="BH81" i="135"/>
  <c r="BI81" i="135"/>
  <c r="BJ81" i="135"/>
  <c r="BK81" i="135"/>
  <c r="BL81" i="135"/>
  <c r="BM81" i="135"/>
  <c r="BN81" i="135"/>
  <c r="BO81" i="135"/>
  <c r="BP81" i="135"/>
  <c r="BQ81" i="135"/>
  <c r="BR81" i="135"/>
  <c r="BS81" i="135"/>
  <c r="BT81" i="135"/>
  <c r="BU81" i="135"/>
  <c r="BV81" i="135"/>
  <c r="BW81" i="135"/>
  <c r="BX81" i="135"/>
  <c r="BY81" i="135"/>
  <c r="BZ81" i="135"/>
  <c r="CA81" i="135"/>
  <c r="CX138" i="135"/>
  <c r="CD21" i="135"/>
  <c r="AX32" i="135"/>
  <c r="AY27" i="135" s="1"/>
  <c r="CE122" i="135"/>
  <c r="CE120" i="135"/>
  <c r="CE118" i="135"/>
  <c r="CE123" i="135"/>
  <c r="CE121" i="135"/>
  <c r="CE119" i="135"/>
  <c r="CE117" i="135"/>
  <c r="CE116" i="135"/>
  <c r="CE115" i="135"/>
  <c r="CE83" i="135"/>
  <c r="CE84" i="135"/>
  <c r="CE82" i="135"/>
  <c r="CE81" i="135"/>
  <c r="CE72" i="135"/>
  <c r="CE80" i="135"/>
  <c r="CE79" i="135"/>
  <c r="CE78" i="135"/>
  <c r="CE77" i="135"/>
  <c r="CE76" i="135"/>
  <c r="CE74" i="135"/>
  <c r="CE70" i="135"/>
  <c r="CE68" i="135"/>
  <c r="CE66" i="135"/>
  <c r="CE64" i="135"/>
  <c r="CE75" i="135"/>
  <c r="CE73" i="135"/>
  <c r="CE71" i="135"/>
  <c r="CE69" i="135"/>
  <c r="CE67" i="135"/>
  <c r="CE65" i="135"/>
  <c r="CE63" i="135"/>
  <c r="CE55" i="135"/>
  <c r="CE54" i="135"/>
  <c r="CE53" i="135"/>
  <c r="CE62" i="135"/>
  <c r="CE60" i="135"/>
  <c r="CE59" i="135"/>
  <c r="CE58" i="135"/>
  <c r="CE61" i="135"/>
  <c r="CE56" i="135"/>
  <c r="CE52" i="135"/>
  <c r="CE28" i="135"/>
  <c r="CE29" i="135" s="1"/>
  <c r="CE57" i="135"/>
  <c r="CE36" i="135"/>
  <c r="CE30" i="135"/>
  <c r="CE39" i="135"/>
  <c r="CE6" i="135"/>
  <c r="CE14" i="135"/>
  <c r="CE19" i="135"/>
  <c r="CE15" i="135"/>
  <c r="CF4" i="135"/>
  <c r="CD139" i="135"/>
  <c r="CD37" i="135"/>
  <c r="CD38" i="135"/>
  <c r="AV127" i="135"/>
  <c r="AV142" i="135" s="1"/>
  <c r="AV49" i="135"/>
  <c r="AW49" i="135" s="1"/>
  <c r="AK139" i="134"/>
  <c r="N20" i="134"/>
  <c r="O56" i="134"/>
  <c r="O57" i="134"/>
  <c r="O55" i="134"/>
  <c r="O59" i="134"/>
  <c r="O60" i="134"/>
  <c r="O58" i="134"/>
  <c r="O64" i="134"/>
  <c r="O63" i="134"/>
  <c r="O62" i="134"/>
  <c r="O61" i="134"/>
  <c r="O54" i="134"/>
  <c r="E64" i="134"/>
  <c r="F64" i="134"/>
  <c r="G64" i="134"/>
  <c r="H64" i="134"/>
  <c r="I64" i="134"/>
  <c r="J64" i="134"/>
  <c r="K64" i="134"/>
  <c r="L64" i="134"/>
  <c r="M64" i="134"/>
  <c r="G48" i="134"/>
  <c r="G49" i="134"/>
  <c r="L23" i="134"/>
  <c r="G45" i="134"/>
  <c r="G46" i="134"/>
  <c r="O28" i="134"/>
  <c r="O29" i="134" s="1"/>
  <c r="O53" i="134"/>
  <c r="I31" i="134"/>
  <c r="H46" i="134"/>
  <c r="H45" i="134"/>
  <c r="H49" i="134"/>
  <c r="H48" i="134"/>
  <c r="N21" i="134"/>
  <c r="O39" i="134"/>
  <c r="O30" i="134"/>
  <c r="O36" i="134"/>
  <c r="O15" i="134"/>
  <c r="O17" i="134"/>
  <c r="O18" i="134" s="1"/>
  <c r="O52" i="134"/>
  <c r="O140" i="134" s="1"/>
  <c r="O19" i="134"/>
  <c r="O14" i="134"/>
  <c r="P4" i="134"/>
  <c r="N16" i="134"/>
  <c r="N40" i="134"/>
  <c r="N41" i="134"/>
  <c r="N38" i="134"/>
  <c r="N37" i="134"/>
  <c r="D65" i="134"/>
  <c r="O65" i="134" s="1"/>
  <c r="B64" i="134"/>
  <c r="AW153" i="135" l="1"/>
  <c r="AW155" i="135"/>
  <c r="CE21" i="135"/>
  <c r="AW137" i="135"/>
  <c r="AW134" i="135"/>
  <c r="AW135" i="135" s="1"/>
  <c r="CE20" i="135"/>
  <c r="AV137" i="135"/>
  <c r="AV134" i="135"/>
  <c r="AV135" i="135" s="1"/>
  <c r="AV130" i="135"/>
  <c r="AW130" i="135" s="1"/>
  <c r="AX133" i="135"/>
  <c r="CF122" i="135"/>
  <c r="CF120" i="135"/>
  <c r="CF118" i="135"/>
  <c r="CF123" i="135"/>
  <c r="CF121" i="135"/>
  <c r="CF119" i="135"/>
  <c r="CF116" i="135"/>
  <c r="CF117" i="135"/>
  <c r="CF85" i="135"/>
  <c r="CF83" i="135"/>
  <c r="CF84" i="135"/>
  <c r="CF82" i="135"/>
  <c r="CF81" i="135"/>
  <c r="CF80" i="135"/>
  <c r="CF79" i="135"/>
  <c r="CF78" i="135"/>
  <c r="CF77" i="135"/>
  <c r="CF76" i="135"/>
  <c r="CF75" i="135"/>
  <c r="CF73" i="135"/>
  <c r="CF71" i="135"/>
  <c r="CF70" i="135"/>
  <c r="CF52" i="135"/>
  <c r="CF69" i="135"/>
  <c r="CF68" i="135"/>
  <c r="CF67" i="135"/>
  <c r="CF74" i="135"/>
  <c r="CF72" i="135"/>
  <c r="CF66" i="135"/>
  <c r="CF65" i="135"/>
  <c r="CF54" i="135"/>
  <c r="CF53" i="135"/>
  <c r="CF62" i="135"/>
  <c r="CF64" i="135"/>
  <c r="CF60" i="135"/>
  <c r="CF59" i="135"/>
  <c r="CF58" i="135"/>
  <c r="CF57" i="135"/>
  <c r="CF63" i="135"/>
  <c r="CF55" i="135"/>
  <c r="CF56" i="135"/>
  <c r="CF61" i="135"/>
  <c r="CF36" i="135"/>
  <c r="CF30" i="135"/>
  <c r="CF39" i="135"/>
  <c r="CF28" i="135"/>
  <c r="CF29" i="135" s="1"/>
  <c r="CF6" i="135"/>
  <c r="CG4" i="135"/>
  <c r="CF19" i="135"/>
  <c r="CF15" i="135"/>
  <c r="CF14" i="135"/>
  <c r="AX48" i="135"/>
  <c r="AX49" i="135" s="1"/>
  <c r="CE41" i="135"/>
  <c r="CE40" i="135"/>
  <c r="AX45" i="135"/>
  <c r="AX128" i="135" s="1"/>
  <c r="AX154" i="135" s="1"/>
  <c r="AX46" i="135"/>
  <c r="CE38" i="135"/>
  <c r="CE37" i="135"/>
  <c r="AY31" i="135"/>
  <c r="AY32" i="135" s="1"/>
  <c r="AZ27" i="135" s="1"/>
  <c r="CE139" i="135"/>
  <c r="CY138" i="135"/>
  <c r="AW50" i="135"/>
  <c r="AW129" i="135"/>
  <c r="AW125" i="135" s="1"/>
  <c r="AW131" i="135" s="1"/>
  <c r="AW136" i="135"/>
  <c r="AL139" i="134"/>
  <c r="P56" i="134"/>
  <c r="P59" i="134"/>
  <c r="P62" i="134"/>
  <c r="P65" i="134"/>
  <c r="P55" i="134"/>
  <c r="P61" i="134"/>
  <c r="P57" i="134"/>
  <c r="P60" i="134"/>
  <c r="P58" i="134"/>
  <c r="P63" i="134"/>
  <c r="P64" i="134"/>
  <c r="P54" i="134"/>
  <c r="E65" i="134"/>
  <c r="F65" i="134"/>
  <c r="G65" i="134"/>
  <c r="H65" i="134"/>
  <c r="I65" i="134"/>
  <c r="J65" i="134"/>
  <c r="K65" i="134"/>
  <c r="L65" i="134"/>
  <c r="M65" i="134"/>
  <c r="N65" i="134"/>
  <c r="P28" i="134"/>
  <c r="P29" i="134" s="1"/>
  <c r="P53" i="134"/>
  <c r="O21" i="134"/>
  <c r="O22" i="134" s="1"/>
  <c r="G50" i="134"/>
  <c r="G137" i="134"/>
  <c r="G129" i="134"/>
  <c r="H129" i="134"/>
  <c r="H50" i="134"/>
  <c r="H137" i="134"/>
  <c r="I47" i="134"/>
  <c r="I44" i="134"/>
  <c r="I32" i="134"/>
  <c r="J27" i="134" s="1"/>
  <c r="O41" i="134"/>
  <c r="O40" i="134"/>
  <c r="D66" i="134"/>
  <c r="B65" i="134"/>
  <c r="P39" i="134"/>
  <c r="P36" i="134"/>
  <c r="P52" i="134"/>
  <c r="P140" i="134" s="1"/>
  <c r="P19" i="134"/>
  <c r="P17" i="134"/>
  <c r="P18" i="134" s="1"/>
  <c r="P30" i="134"/>
  <c r="P15" i="134"/>
  <c r="P14" i="134"/>
  <c r="Q4" i="134"/>
  <c r="O20" i="134"/>
  <c r="O24" i="134"/>
  <c r="O23" i="134" s="1"/>
  <c r="N24" i="134"/>
  <c r="N23" i="134" s="1"/>
  <c r="N22" i="134"/>
  <c r="O16" i="134"/>
  <c r="O38" i="134"/>
  <c r="O37" i="134"/>
  <c r="AX153" i="135" l="1"/>
  <c r="AX155" i="135"/>
  <c r="CF20" i="135"/>
  <c r="AZ31" i="135"/>
  <c r="CZ138" i="135"/>
  <c r="CF40" i="135"/>
  <c r="CF41" i="135"/>
  <c r="CF38" i="135"/>
  <c r="CF37" i="135"/>
  <c r="AX50" i="135"/>
  <c r="AX136" i="135"/>
  <c r="AX129" i="135"/>
  <c r="AX125" i="135" s="1"/>
  <c r="AX131" i="135" s="1"/>
  <c r="AX127" i="135"/>
  <c r="CF21" i="135"/>
  <c r="CG123" i="135"/>
  <c r="CG121" i="135"/>
  <c r="CG119" i="135"/>
  <c r="CG120" i="135"/>
  <c r="CG122" i="135"/>
  <c r="CG118" i="135"/>
  <c r="CG117" i="135"/>
  <c r="CG86" i="135"/>
  <c r="CG82" i="135"/>
  <c r="CG80" i="135"/>
  <c r="CG78" i="135"/>
  <c r="CG76" i="135"/>
  <c r="CG74" i="135"/>
  <c r="CG72" i="135"/>
  <c r="CG84" i="135"/>
  <c r="CG81" i="135"/>
  <c r="CG79" i="135"/>
  <c r="CG77" i="135"/>
  <c r="CG85" i="135"/>
  <c r="CG83" i="135"/>
  <c r="CG75" i="135"/>
  <c r="CG73" i="135"/>
  <c r="CG71" i="135"/>
  <c r="CG70" i="135"/>
  <c r="CG69" i="135"/>
  <c r="CG61" i="135"/>
  <c r="CG60" i="135"/>
  <c r="CG58" i="135"/>
  <c r="CG56" i="135"/>
  <c r="CG54" i="135"/>
  <c r="CG68" i="135"/>
  <c r="CG67" i="135"/>
  <c r="CG66" i="135"/>
  <c r="CG65" i="135"/>
  <c r="CG64" i="135"/>
  <c r="CG53" i="135"/>
  <c r="CG62" i="135"/>
  <c r="CG59" i="135"/>
  <c r="CG57" i="135"/>
  <c r="CG55" i="135"/>
  <c r="CG63" i="135"/>
  <c r="CG39" i="135"/>
  <c r="CG52" i="135"/>
  <c r="CG36" i="135"/>
  <c r="CG30" i="135"/>
  <c r="CG6" i="135"/>
  <c r="CG28" i="135"/>
  <c r="CG29" i="135" s="1"/>
  <c r="CG15" i="135"/>
  <c r="CH4" i="135"/>
  <c r="CG19" i="135"/>
  <c r="CG14" i="135"/>
  <c r="CF139" i="135"/>
  <c r="AY44" i="135"/>
  <c r="AY47" i="135"/>
  <c r="AY82" i="135"/>
  <c r="AY124" i="135" s="1"/>
  <c r="AZ82" i="135"/>
  <c r="BA82" i="135"/>
  <c r="BB82" i="135"/>
  <c r="BC82" i="135"/>
  <c r="BD82" i="135"/>
  <c r="BE82" i="135"/>
  <c r="BF82" i="135"/>
  <c r="BG82" i="135"/>
  <c r="BH82" i="135"/>
  <c r="BI82" i="135"/>
  <c r="BJ82" i="135"/>
  <c r="BK82" i="135"/>
  <c r="BL82" i="135"/>
  <c r="BM82" i="135"/>
  <c r="BN82" i="135"/>
  <c r="BO82" i="135"/>
  <c r="BP82" i="135"/>
  <c r="BQ82" i="135"/>
  <c r="BR82" i="135"/>
  <c r="BS82" i="135"/>
  <c r="BT82" i="135"/>
  <c r="BU82" i="135"/>
  <c r="BV82" i="135"/>
  <c r="BW82" i="135"/>
  <c r="BX82" i="135"/>
  <c r="BY82" i="135"/>
  <c r="BZ82" i="135"/>
  <c r="CA82" i="135"/>
  <c r="CB82" i="135"/>
  <c r="AM139" i="134"/>
  <c r="E66" i="134"/>
  <c r="F66" i="134"/>
  <c r="G66" i="134"/>
  <c r="H66" i="134"/>
  <c r="I66" i="134"/>
  <c r="J66" i="134"/>
  <c r="K66" i="134"/>
  <c r="L66" i="134"/>
  <c r="M66" i="134"/>
  <c r="N66" i="134"/>
  <c r="O66" i="134"/>
  <c r="Q55" i="134"/>
  <c r="Q56" i="134"/>
  <c r="Q59" i="134"/>
  <c r="Q61" i="134"/>
  <c r="Q57" i="134"/>
  <c r="Q63" i="134"/>
  <c r="Q60" i="134"/>
  <c r="Q58" i="134"/>
  <c r="Q66" i="134"/>
  <c r="Q62" i="134"/>
  <c r="Q65" i="134"/>
  <c r="Q64" i="134"/>
  <c r="Q54" i="134"/>
  <c r="P66" i="134"/>
  <c r="Q28" i="134"/>
  <c r="Q29" i="134" s="1"/>
  <c r="Q53" i="134"/>
  <c r="P20" i="134"/>
  <c r="I49" i="134"/>
  <c r="I48" i="134"/>
  <c r="I46" i="134"/>
  <c r="I45" i="134"/>
  <c r="J31" i="134"/>
  <c r="J32" i="134" s="1"/>
  <c r="K27" i="134" s="1"/>
  <c r="P38" i="134"/>
  <c r="P37" i="134"/>
  <c r="P41" i="134"/>
  <c r="P40" i="134"/>
  <c r="D67" i="134"/>
  <c r="Q67" i="134" s="1"/>
  <c r="B66" i="134"/>
  <c r="Q39" i="134"/>
  <c r="Q52" i="134"/>
  <c r="Q140" i="134" s="1"/>
  <c r="Q36" i="134"/>
  <c r="Q30" i="134"/>
  <c r="Q17" i="134"/>
  <c r="Q18" i="134" s="1"/>
  <c r="Q15" i="134"/>
  <c r="Q14" i="134"/>
  <c r="Q19" i="134"/>
  <c r="R4" i="134"/>
  <c r="P16" i="134"/>
  <c r="P21" i="134"/>
  <c r="AX130" i="135" l="1"/>
  <c r="AX142" i="135"/>
  <c r="CG21" i="135"/>
  <c r="AY133" i="135"/>
  <c r="CG37" i="135"/>
  <c r="CG38" i="135"/>
  <c r="CG139" i="135"/>
  <c r="CG40" i="135"/>
  <c r="CG41" i="135"/>
  <c r="AY48" i="135"/>
  <c r="AY127" i="135" s="1"/>
  <c r="AY142" i="135" s="1"/>
  <c r="AY45" i="135"/>
  <c r="AY128" i="135" s="1"/>
  <c r="AY154" i="135" s="1"/>
  <c r="AY46" i="135"/>
  <c r="CG20" i="135"/>
  <c r="AX137" i="135"/>
  <c r="AX134" i="135"/>
  <c r="AX135" i="135" s="1"/>
  <c r="CH123" i="135"/>
  <c r="CH121" i="135"/>
  <c r="CH119" i="135"/>
  <c r="CH122" i="135"/>
  <c r="CH120" i="135"/>
  <c r="CH118" i="135"/>
  <c r="CH86" i="135"/>
  <c r="CH87" i="135"/>
  <c r="CH85" i="135"/>
  <c r="CH83" i="135"/>
  <c r="CH81" i="135"/>
  <c r="CH79" i="135"/>
  <c r="CH77" i="135"/>
  <c r="CH84" i="135"/>
  <c r="CH82" i="135"/>
  <c r="CH80" i="135"/>
  <c r="CH73" i="135"/>
  <c r="CH78" i="135"/>
  <c r="CH76" i="135"/>
  <c r="CH75" i="135"/>
  <c r="CH71" i="135"/>
  <c r="CH70" i="135"/>
  <c r="CH69" i="135"/>
  <c r="CH68" i="135"/>
  <c r="CH67" i="135"/>
  <c r="CH66" i="135"/>
  <c r="CH74" i="135"/>
  <c r="CH72" i="135"/>
  <c r="CH65" i="135"/>
  <c r="CH63" i="135"/>
  <c r="CH59" i="135"/>
  <c r="CH57" i="135"/>
  <c r="CH55" i="135"/>
  <c r="CH53" i="135"/>
  <c r="CH62" i="135"/>
  <c r="CH64" i="135"/>
  <c r="CH60" i="135"/>
  <c r="CH58" i="135"/>
  <c r="CH39" i="135"/>
  <c r="CH36" i="135"/>
  <c r="CH30" i="135"/>
  <c r="CH61" i="135"/>
  <c r="CH56" i="135"/>
  <c r="CH54" i="135"/>
  <c r="CH52" i="135"/>
  <c r="CH28" i="135"/>
  <c r="CH29" i="135" s="1"/>
  <c r="CI4" i="135"/>
  <c r="CH6" i="135"/>
  <c r="CH19" i="135"/>
  <c r="CH15" i="135"/>
  <c r="CH14" i="135"/>
  <c r="AZ47" i="135"/>
  <c r="AZ44" i="135"/>
  <c r="AZ83" i="135"/>
  <c r="AZ124" i="135" s="1"/>
  <c r="BA83" i="135"/>
  <c r="BB83" i="135"/>
  <c r="BC83" i="135"/>
  <c r="BD83" i="135"/>
  <c r="BE83" i="135"/>
  <c r="BF83" i="135"/>
  <c r="BG83" i="135"/>
  <c r="BH83" i="135"/>
  <c r="BI83" i="135"/>
  <c r="BJ83" i="135"/>
  <c r="BK83" i="135"/>
  <c r="BL83" i="135"/>
  <c r="BM83" i="135"/>
  <c r="BN83" i="135"/>
  <c r="BO83" i="135"/>
  <c r="BP83" i="135"/>
  <c r="BQ83" i="135"/>
  <c r="BR83" i="135"/>
  <c r="BS83" i="135"/>
  <c r="BT83" i="135"/>
  <c r="BU83" i="135"/>
  <c r="BV83" i="135"/>
  <c r="BW83" i="135"/>
  <c r="BX83" i="135"/>
  <c r="BY83" i="135"/>
  <c r="BZ83" i="135"/>
  <c r="CA83" i="135"/>
  <c r="CB83" i="135"/>
  <c r="CC83" i="135"/>
  <c r="AZ32" i="135"/>
  <c r="BA27" i="135" s="1"/>
  <c r="AN139" i="134"/>
  <c r="R55" i="134"/>
  <c r="R59" i="134"/>
  <c r="R61" i="134"/>
  <c r="R57" i="134"/>
  <c r="R60" i="134"/>
  <c r="R58" i="134"/>
  <c r="R62" i="134"/>
  <c r="R56" i="134"/>
  <c r="R64" i="134"/>
  <c r="R63" i="134"/>
  <c r="R66" i="134"/>
  <c r="R67" i="134"/>
  <c r="R65" i="134"/>
  <c r="R54" i="134"/>
  <c r="E67" i="134"/>
  <c r="F67" i="134"/>
  <c r="G67" i="134"/>
  <c r="H67" i="134"/>
  <c r="I67" i="134"/>
  <c r="J67" i="134"/>
  <c r="K67" i="134"/>
  <c r="L67" i="134"/>
  <c r="M67" i="134"/>
  <c r="N67" i="134"/>
  <c r="O67" i="134"/>
  <c r="P67" i="134"/>
  <c r="Q16" i="134"/>
  <c r="Q20" i="134"/>
  <c r="R28" i="134"/>
  <c r="R29" i="134" s="1"/>
  <c r="R53" i="134"/>
  <c r="K31" i="134"/>
  <c r="I137" i="134"/>
  <c r="I50" i="134"/>
  <c r="I129" i="134"/>
  <c r="J47" i="134"/>
  <c r="J44" i="134"/>
  <c r="Q38" i="134"/>
  <c r="Q37" i="134"/>
  <c r="R52" i="134"/>
  <c r="R140" i="134" s="1"/>
  <c r="R39" i="134"/>
  <c r="R36" i="134"/>
  <c r="R14" i="134"/>
  <c r="R30" i="134"/>
  <c r="R17" i="134"/>
  <c r="R18" i="134" s="1"/>
  <c r="R15" i="134"/>
  <c r="R19" i="134"/>
  <c r="S4" i="134"/>
  <c r="D68" i="134"/>
  <c r="B67" i="134"/>
  <c r="Q21" i="134"/>
  <c r="Q22" i="134" s="1"/>
  <c r="P24" i="134"/>
  <c r="P23" i="134" s="1"/>
  <c r="P22" i="134"/>
  <c r="Q40" i="134"/>
  <c r="Q41" i="134"/>
  <c r="AY153" i="135" l="1"/>
  <c r="AY155" i="135"/>
  <c r="CH20" i="135"/>
  <c r="AY49" i="135"/>
  <c r="AY137" i="135"/>
  <c r="AY134" i="135"/>
  <c r="AY135" i="135" s="1"/>
  <c r="AY130" i="135"/>
  <c r="BA31" i="135"/>
  <c r="AZ45" i="135"/>
  <c r="AZ128" i="135" s="1"/>
  <c r="AZ154" i="135" s="1"/>
  <c r="AZ46" i="135"/>
  <c r="CH37" i="135"/>
  <c r="CH38" i="135"/>
  <c r="CH40" i="135"/>
  <c r="CH41" i="135"/>
  <c r="CH21" i="135"/>
  <c r="CI123" i="135"/>
  <c r="CI121" i="135"/>
  <c r="CI119" i="135"/>
  <c r="CI120" i="135"/>
  <c r="CI122" i="135"/>
  <c r="CI87" i="135"/>
  <c r="CI88" i="135"/>
  <c r="CI85" i="135"/>
  <c r="CI86" i="135"/>
  <c r="CI81" i="135"/>
  <c r="CI80" i="135"/>
  <c r="CI79" i="135"/>
  <c r="CI78" i="135"/>
  <c r="CI77" i="135"/>
  <c r="CI76" i="135"/>
  <c r="CI84" i="135"/>
  <c r="CI82" i="135"/>
  <c r="CI70" i="135"/>
  <c r="CI69" i="135"/>
  <c r="CI68" i="135"/>
  <c r="CI67" i="135"/>
  <c r="CI62" i="135"/>
  <c r="CI83" i="135"/>
  <c r="CI66" i="135"/>
  <c r="CI74" i="135"/>
  <c r="CI72" i="135"/>
  <c r="CI65" i="135"/>
  <c r="CI75" i="135"/>
  <c r="CI73" i="135"/>
  <c r="CI71" i="135"/>
  <c r="CI28" i="135"/>
  <c r="CI29" i="135" s="1"/>
  <c r="CI64" i="135"/>
  <c r="CI60" i="135"/>
  <c r="CI59" i="135"/>
  <c r="CI58" i="135"/>
  <c r="CI57" i="135"/>
  <c r="CI61" i="135"/>
  <c r="CI56" i="135"/>
  <c r="CI63" i="135"/>
  <c r="CI55" i="135"/>
  <c r="CI53" i="135"/>
  <c r="CI54" i="135"/>
  <c r="CI52" i="135"/>
  <c r="CI36" i="135"/>
  <c r="CI30" i="135"/>
  <c r="CI39" i="135"/>
  <c r="CI19" i="135"/>
  <c r="CJ4" i="135"/>
  <c r="CI6" i="135"/>
  <c r="CI15" i="135"/>
  <c r="CI14" i="135"/>
  <c r="CH139" i="135"/>
  <c r="AZ133" i="135"/>
  <c r="AY50" i="135"/>
  <c r="AY129" i="135"/>
  <c r="AY125" i="135" s="1"/>
  <c r="AY131" i="135" s="1"/>
  <c r="AY136" i="135"/>
  <c r="AZ48" i="135"/>
  <c r="AO139" i="134"/>
  <c r="E68" i="134"/>
  <c r="F68" i="134"/>
  <c r="G68" i="134"/>
  <c r="H68" i="134"/>
  <c r="I68" i="134"/>
  <c r="J68" i="134"/>
  <c r="K68" i="134"/>
  <c r="L68" i="134"/>
  <c r="M68" i="134"/>
  <c r="N68" i="134"/>
  <c r="O68" i="134"/>
  <c r="P68" i="134"/>
  <c r="Q68" i="134"/>
  <c r="S55" i="134"/>
  <c r="S56" i="134"/>
  <c r="S59" i="134"/>
  <c r="S61" i="134"/>
  <c r="S57" i="134"/>
  <c r="S60" i="134"/>
  <c r="S58" i="134"/>
  <c r="S65" i="134"/>
  <c r="S62" i="134"/>
  <c r="S64" i="134"/>
  <c r="S63" i="134"/>
  <c r="S66" i="134"/>
  <c r="S67" i="134"/>
  <c r="S68" i="134"/>
  <c r="S54" i="134"/>
  <c r="R68" i="134"/>
  <c r="R16" i="134"/>
  <c r="S28" i="134"/>
  <c r="S29" i="134" s="1"/>
  <c r="S53" i="134"/>
  <c r="R20" i="134"/>
  <c r="J48" i="134"/>
  <c r="J49" i="134"/>
  <c r="J46" i="134"/>
  <c r="J45" i="134"/>
  <c r="K44" i="134"/>
  <c r="K47" i="134"/>
  <c r="K32" i="134"/>
  <c r="L27" i="134" s="1"/>
  <c r="Q24" i="134"/>
  <c r="Q23" i="134" s="1"/>
  <c r="R41" i="134"/>
  <c r="R40" i="134"/>
  <c r="D69" i="134"/>
  <c r="S69" i="134" s="1"/>
  <c r="B68" i="134"/>
  <c r="R38" i="134"/>
  <c r="R37" i="134"/>
  <c r="S52" i="134"/>
  <c r="S140" i="134" s="1"/>
  <c r="S39" i="134"/>
  <c r="S36" i="134"/>
  <c r="S30" i="134"/>
  <c r="S17" i="134"/>
  <c r="S18" i="134" s="1"/>
  <c r="S15" i="134"/>
  <c r="S19" i="134"/>
  <c r="S14" i="134"/>
  <c r="T4" i="134"/>
  <c r="R21" i="134"/>
  <c r="AZ153" i="135" l="1"/>
  <c r="AZ155" i="135"/>
  <c r="CI21" i="135"/>
  <c r="CJ123" i="135"/>
  <c r="CJ121" i="135"/>
  <c r="CJ122" i="135"/>
  <c r="CJ120" i="135"/>
  <c r="CJ87" i="135"/>
  <c r="CJ88" i="135"/>
  <c r="CJ85" i="135"/>
  <c r="CJ89" i="135"/>
  <c r="CJ80" i="135"/>
  <c r="CJ79" i="135"/>
  <c r="CJ86" i="135"/>
  <c r="CJ78" i="135"/>
  <c r="CJ77" i="135"/>
  <c r="CJ70" i="135"/>
  <c r="CJ68" i="135"/>
  <c r="CJ66" i="135"/>
  <c r="CJ64" i="135"/>
  <c r="CJ62" i="135"/>
  <c r="CJ76" i="135"/>
  <c r="CJ83" i="135"/>
  <c r="CJ81" i="135"/>
  <c r="CJ69" i="135"/>
  <c r="CJ67" i="135"/>
  <c r="CJ74" i="135"/>
  <c r="CJ72" i="135"/>
  <c r="CJ65" i="135"/>
  <c r="CJ82" i="135"/>
  <c r="CJ73" i="135"/>
  <c r="CJ75" i="135"/>
  <c r="CJ71" i="135"/>
  <c r="CJ60" i="135"/>
  <c r="CJ84" i="135"/>
  <c r="CJ59" i="135"/>
  <c r="CJ58" i="135"/>
  <c r="CJ57" i="135"/>
  <c r="CJ61" i="135"/>
  <c r="CJ56" i="135"/>
  <c r="CJ63" i="135"/>
  <c r="CJ55" i="135"/>
  <c r="CJ53" i="135"/>
  <c r="CJ54" i="135"/>
  <c r="CJ52" i="135"/>
  <c r="CJ36" i="135"/>
  <c r="CJ30" i="135"/>
  <c r="CJ39" i="135"/>
  <c r="CK4" i="135"/>
  <c r="CJ28" i="135"/>
  <c r="CJ29" i="135" s="1"/>
  <c r="CJ14" i="135"/>
  <c r="CJ6" i="135"/>
  <c r="CJ19" i="135"/>
  <c r="CJ15" i="135"/>
  <c r="CI20" i="135"/>
  <c r="AZ50" i="135"/>
  <c r="AZ136" i="135"/>
  <c r="AZ129" i="135"/>
  <c r="AZ125" i="135" s="1"/>
  <c r="AZ131" i="135" s="1"/>
  <c r="AZ49" i="135"/>
  <c r="CI37" i="135"/>
  <c r="CI38" i="135"/>
  <c r="BA47" i="135"/>
  <c r="BA44" i="135"/>
  <c r="BA84" i="135"/>
  <c r="BA124" i="135" s="1"/>
  <c r="BB84" i="135"/>
  <c r="BC84" i="135"/>
  <c r="BD84" i="135"/>
  <c r="BE84" i="135"/>
  <c r="BF84" i="135"/>
  <c r="BG84" i="135"/>
  <c r="BH84" i="135"/>
  <c r="BI84" i="135"/>
  <c r="BJ84" i="135"/>
  <c r="BK84" i="135"/>
  <c r="BL84" i="135"/>
  <c r="BM84" i="135"/>
  <c r="BN84" i="135"/>
  <c r="BO84" i="135"/>
  <c r="BP84" i="135"/>
  <c r="BQ84" i="135"/>
  <c r="BR84" i="135"/>
  <c r="BS84" i="135"/>
  <c r="BT84" i="135"/>
  <c r="BU84" i="135"/>
  <c r="BV84" i="135"/>
  <c r="BW84" i="135"/>
  <c r="BX84" i="135"/>
  <c r="BY84" i="135"/>
  <c r="BZ84" i="135"/>
  <c r="CA84" i="135"/>
  <c r="CB84" i="135"/>
  <c r="CC84" i="135"/>
  <c r="CD84" i="135"/>
  <c r="CI40" i="135"/>
  <c r="CI41" i="135"/>
  <c r="AZ127" i="135"/>
  <c r="CI139" i="135"/>
  <c r="BA32" i="135"/>
  <c r="BB27" i="135" s="1"/>
  <c r="AP139" i="134"/>
  <c r="T55" i="134"/>
  <c r="T58" i="134"/>
  <c r="T61" i="134"/>
  <c r="T64" i="134"/>
  <c r="T59" i="134"/>
  <c r="T57" i="134"/>
  <c r="T60" i="134"/>
  <c r="T65" i="134"/>
  <c r="T56" i="134"/>
  <c r="T63" i="134"/>
  <c r="T62" i="134"/>
  <c r="T66" i="134"/>
  <c r="T67" i="134"/>
  <c r="T68" i="134"/>
  <c r="T69" i="134"/>
  <c r="T54" i="134"/>
  <c r="E69" i="134"/>
  <c r="F69" i="134"/>
  <c r="G69" i="134"/>
  <c r="H69" i="134"/>
  <c r="I69" i="134"/>
  <c r="J69" i="134"/>
  <c r="K69" i="134"/>
  <c r="L69" i="134"/>
  <c r="M69" i="134"/>
  <c r="N69" i="134"/>
  <c r="O69" i="134"/>
  <c r="P69" i="134"/>
  <c r="Q69" i="134"/>
  <c r="R69" i="134"/>
  <c r="L31" i="134"/>
  <c r="L32" i="134" s="1"/>
  <c r="M27" i="134" s="1"/>
  <c r="M31" i="134" s="1"/>
  <c r="T28" i="134"/>
  <c r="T29" i="134" s="1"/>
  <c r="T53" i="134"/>
  <c r="S20" i="134"/>
  <c r="K49" i="134"/>
  <c r="K48" i="134"/>
  <c r="K45" i="134"/>
  <c r="K46" i="134"/>
  <c r="J50" i="134"/>
  <c r="J137" i="134"/>
  <c r="J129" i="134"/>
  <c r="S21" i="134"/>
  <c r="S22" i="134" s="1"/>
  <c r="B69" i="134"/>
  <c r="D70" i="134"/>
  <c r="T70" i="134" s="1"/>
  <c r="S16" i="134"/>
  <c r="S38" i="134"/>
  <c r="S37" i="134"/>
  <c r="S40" i="134"/>
  <c r="S41" i="134"/>
  <c r="R24" i="134"/>
  <c r="R23" i="134" s="1"/>
  <c r="R22" i="134"/>
  <c r="T39" i="134"/>
  <c r="T52" i="134"/>
  <c r="T140" i="134" s="1"/>
  <c r="T30" i="134"/>
  <c r="T36" i="134"/>
  <c r="T15" i="134"/>
  <c r="T19" i="134"/>
  <c r="T14" i="134"/>
  <c r="T17" i="134"/>
  <c r="T18" i="134" s="1"/>
  <c r="U4" i="134"/>
  <c r="CJ21" i="135" l="1"/>
  <c r="AZ130" i="135"/>
  <c r="AZ142" i="135"/>
  <c r="BA133" i="135"/>
  <c r="CJ139" i="135"/>
  <c r="BA46" i="135"/>
  <c r="BA45" i="135"/>
  <c r="BA128" i="135" s="1"/>
  <c r="BA154" i="135" s="1"/>
  <c r="BA49" i="135"/>
  <c r="BA48" i="135"/>
  <c r="BB31" i="135"/>
  <c r="AZ134" i="135"/>
  <c r="AZ135" i="135" s="1"/>
  <c r="AZ137" i="135"/>
  <c r="CJ20" i="135"/>
  <c r="CK123" i="135"/>
  <c r="CK121" i="135"/>
  <c r="CK122" i="135"/>
  <c r="CK90" i="135"/>
  <c r="CK84" i="135"/>
  <c r="CK87" i="135"/>
  <c r="CK88" i="135"/>
  <c r="CK85" i="135"/>
  <c r="CK89" i="135"/>
  <c r="CK86" i="135"/>
  <c r="CK79" i="135"/>
  <c r="CK78" i="135"/>
  <c r="CK77" i="135"/>
  <c r="CK76" i="135"/>
  <c r="CK74" i="135"/>
  <c r="CK83" i="135"/>
  <c r="CK71" i="135"/>
  <c r="CK69" i="135"/>
  <c r="CK67" i="135"/>
  <c r="CK65" i="135"/>
  <c r="CK63" i="135"/>
  <c r="CK82" i="135"/>
  <c r="CK80" i="135"/>
  <c r="CK68" i="135"/>
  <c r="CK72" i="135"/>
  <c r="CK66" i="135"/>
  <c r="CK64" i="135"/>
  <c r="CK81" i="135"/>
  <c r="CK75" i="135"/>
  <c r="CK73" i="135"/>
  <c r="CK70" i="135"/>
  <c r="CK62" i="135"/>
  <c r="CK60" i="135"/>
  <c r="CK59" i="135"/>
  <c r="CK58" i="135"/>
  <c r="CK57" i="135"/>
  <c r="CK61" i="135"/>
  <c r="CK56" i="135"/>
  <c r="CK55" i="135"/>
  <c r="CK54" i="135"/>
  <c r="CK53" i="135"/>
  <c r="CK30" i="135"/>
  <c r="CK39" i="135"/>
  <c r="CK28" i="135"/>
  <c r="CK29" i="135" s="1"/>
  <c r="CK52" i="135"/>
  <c r="CK6" i="135"/>
  <c r="CK36" i="135"/>
  <c r="CK19" i="135"/>
  <c r="CK15" i="135"/>
  <c r="CK14" i="135"/>
  <c r="CL4" i="135"/>
  <c r="CJ40" i="135"/>
  <c r="CJ41" i="135"/>
  <c r="CJ38" i="135"/>
  <c r="CJ37" i="135"/>
  <c r="AQ139" i="134"/>
  <c r="U55" i="134"/>
  <c r="U58" i="134"/>
  <c r="U56" i="134"/>
  <c r="U59" i="134"/>
  <c r="U61" i="134"/>
  <c r="U57" i="134"/>
  <c r="U60" i="134"/>
  <c r="U64" i="134"/>
  <c r="U63" i="134"/>
  <c r="U62" i="134"/>
  <c r="U66" i="134"/>
  <c r="U67" i="134"/>
  <c r="U65" i="134"/>
  <c r="U68" i="134"/>
  <c r="U69" i="134"/>
  <c r="U70" i="134"/>
  <c r="U54" i="134"/>
  <c r="E70" i="134"/>
  <c r="F70" i="134"/>
  <c r="G70" i="134"/>
  <c r="H70" i="134"/>
  <c r="I70" i="134"/>
  <c r="J70" i="134"/>
  <c r="K70" i="134"/>
  <c r="L70" i="134"/>
  <c r="M70" i="134"/>
  <c r="N70" i="134"/>
  <c r="O70" i="134"/>
  <c r="P70" i="134"/>
  <c r="Q70" i="134"/>
  <c r="R70" i="134"/>
  <c r="S70" i="134"/>
  <c r="T20" i="134"/>
  <c r="U28" i="134"/>
  <c r="U29" i="134" s="1"/>
  <c r="U53" i="134"/>
  <c r="L47" i="134"/>
  <c r="L44" i="134"/>
  <c r="M44" i="134"/>
  <c r="M47" i="134"/>
  <c r="M32" i="134"/>
  <c r="N27" i="134" s="1"/>
  <c r="K137" i="134"/>
  <c r="K129" i="134"/>
  <c r="K50" i="134"/>
  <c r="T21" i="134"/>
  <c r="T22" i="134" s="1"/>
  <c r="T38" i="134"/>
  <c r="T37" i="134"/>
  <c r="D71" i="134"/>
  <c r="B70" i="134"/>
  <c r="T16" i="134"/>
  <c r="S24" i="134"/>
  <c r="S23" i="134" s="1"/>
  <c r="T41" i="134"/>
  <c r="T40" i="134"/>
  <c r="U36" i="134"/>
  <c r="U52" i="134"/>
  <c r="U140" i="134" s="1"/>
  <c r="U30" i="134"/>
  <c r="U19" i="134"/>
  <c r="U15" i="134"/>
  <c r="U14" i="134"/>
  <c r="U39" i="134"/>
  <c r="U17" i="134"/>
  <c r="U18" i="134" s="1"/>
  <c r="V4" i="134"/>
  <c r="BA153" i="135" l="1"/>
  <c r="BA155" i="135"/>
  <c r="CK20" i="135"/>
  <c r="CK38" i="135"/>
  <c r="CK37" i="135"/>
  <c r="CK40" i="135"/>
  <c r="CK41" i="135"/>
  <c r="BA50" i="135"/>
  <c r="BA129" i="135"/>
  <c r="BA125" i="135" s="1"/>
  <c r="BA131" i="135" s="1"/>
  <c r="BA136" i="135"/>
  <c r="CL122" i="135"/>
  <c r="CL123" i="135"/>
  <c r="CL89" i="135"/>
  <c r="CL84" i="135"/>
  <c r="CL87" i="135"/>
  <c r="CL88" i="135"/>
  <c r="CL85" i="135"/>
  <c r="CL86" i="135"/>
  <c r="CL90" i="135"/>
  <c r="CL78" i="135"/>
  <c r="CL77" i="135"/>
  <c r="CL76" i="135"/>
  <c r="CL83" i="135"/>
  <c r="CL91" i="135"/>
  <c r="CL82" i="135"/>
  <c r="CL81" i="135"/>
  <c r="CL79" i="135"/>
  <c r="CL68" i="135"/>
  <c r="CL80" i="135"/>
  <c r="CL67" i="135"/>
  <c r="CL72" i="135"/>
  <c r="CL66" i="135"/>
  <c r="CL74" i="135"/>
  <c r="CL65" i="135"/>
  <c r="CL75" i="135"/>
  <c r="CL73" i="135"/>
  <c r="CL71" i="135"/>
  <c r="CL69" i="135"/>
  <c r="CL62" i="135"/>
  <c r="CL60" i="135"/>
  <c r="CL59" i="135"/>
  <c r="CL64" i="135"/>
  <c r="CL58" i="135"/>
  <c r="CL57" i="135"/>
  <c r="CL61" i="135"/>
  <c r="CL56" i="135"/>
  <c r="CL55" i="135"/>
  <c r="CL63" i="135"/>
  <c r="CL70" i="135"/>
  <c r="CL53" i="135"/>
  <c r="CL52" i="135"/>
  <c r="CL39" i="135"/>
  <c r="CL54" i="135"/>
  <c r="CL28" i="135"/>
  <c r="CL29" i="135" s="1"/>
  <c r="CL36" i="135"/>
  <c r="CL6" i="135"/>
  <c r="CL19" i="135"/>
  <c r="CL15" i="135"/>
  <c r="CL14" i="135"/>
  <c r="CL30" i="135"/>
  <c r="CM4" i="135"/>
  <c r="CK21" i="135"/>
  <c r="CK139" i="135"/>
  <c r="BB47" i="135"/>
  <c r="BB44" i="135"/>
  <c r="BB85" i="135"/>
  <c r="BB124" i="135" s="1"/>
  <c r="BC85" i="135"/>
  <c r="BD85" i="135"/>
  <c r="BE85" i="135"/>
  <c r="BF85" i="135"/>
  <c r="BG85" i="135"/>
  <c r="BH85" i="135"/>
  <c r="BI85" i="135"/>
  <c r="BJ85" i="135"/>
  <c r="BK85" i="135"/>
  <c r="BL85" i="135"/>
  <c r="BM85" i="135"/>
  <c r="BN85" i="135"/>
  <c r="BO85" i="135"/>
  <c r="BP85" i="135"/>
  <c r="BQ85" i="135"/>
  <c r="BR85" i="135"/>
  <c r="BS85" i="135"/>
  <c r="BT85" i="135"/>
  <c r="BU85" i="135"/>
  <c r="BV85" i="135"/>
  <c r="BW85" i="135"/>
  <c r="BX85" i="135"/>
  <c r="BY85" i="135"/>
  <c r="BZ85" i="135"/>
  <c r="CA85" i="135"/>
  <c r="CB85" i="135"/>
  <c r="CC85" i="135"/>
  <c r="CD85" i="135"/>
  <c r="CE85" i="135"/>
  <c r="BB32" i="135"/>
  <c r="BC27" i="135" s="1"/>
  <c r="BA127" i="135"/>
  <c r="BA142" i="135" s="1"/>
  <c r="AR139" i="134"/>
  <c r="V56" i="134"/>
  <c r="V55" i="134"/>
  <c r="V64" i="134"/>
  <c r="V59" i="134"/>
  <c r="V61" i="134"/>
  <c r="V57" i="134"/>
  <c r="V63" i="134"/>
  <c r="V58" i="134"/>
  <c r="V60" i="134"/>
  <c r="V69" i="134"/>
  <c r="V62" i="134"/>
  <c r="V66" i="134"/>
  <c r="V71" i="134"/>
  <c r="V67" i="134"/>
  <c r="V68" i="134"/>
  <c r="V65" i="134"/>
  <c r="V70" i="134"/>
  <c r="V54" i="134"/>
  <c r="U16" i="134"/>
  <c r="E71" i="134"/>
  <c r="F71" i="134"/>
  <c r="G71" i="134"/>
  <c r="H71" i="134"/>
  <c r="I71" i="134"/>
  <c r="J71" i="134"/>
  <c r="K71" i="134"/>
  <c r="L71" i="134"/>
  <c r="M71" i="134"/>
  <c r="N71" i="134"/>
  <c r="O71" i="134"/>
  <c r="P71" i="134"/>
  <c r="Q71" i="134"/>
  <c r="R71" i="134"/>
  <c r="S71" i="134"/>
  <c r="T71" i="134"/>
  <c r="U71" i="134"/>
  <c r="V28" i="134"/>
  <c r="V53" i="134"/>
  <c r="L45" i="134"/>
  <c r="L46" i="134"/>
  <c r="L48" i="134"/>
  <c r="L49" i="134"/>
  <c r="U21" i="134"/>
  <c r="U24" i="134" s="1"/>
  <c r="U23" i="134" s="1"/>
  <c r="N31" i="134"/>
  <c r="M49" i="134"/>
  <c r="M48" i="134"/>
  <c r="M45" i="134"/>
  <c r="M46" i="134"/>
  <c r="D72" i="134"/>
  <c r="V72" i="134" s="1"/>
  <c r="B71" i="134"/>
  <c r="U37" i="134"/>
  <c r="U38" i="134"/>
  <c r="V39" i="134"/>
  <c r="V52" i="134"/>
  <c r="V140" i="134" s="1"/>
  <c r="V36" i="134"/>
  <c r="V30" i="134"/>
  <c r="V19" i="134"/>
  <c r="V15" i="134"/>
  <c r="V14" i="134"/>
  <c r="V17" i="134"/>
  <c r="V18" i="134" s="1"/>
  <c r="W4" i="134"/>
  <c r="U41" i="134"/>
  <c r="U40" i="134"/>
  <c r="U20" i="134"/>
  <c r="T24" i="134"/>
  <c r="T23" i="134" s="1"/>
  <c r="CL21" i="135" l="1"/>
  <c r="V16" i="134"/>
  <c r="BB46" i="135"/>
  <c r="BB45" i="135"/>
  <c r="BB128" i="135" s="1"/>
  <c r="BB154" i="135" s="1"/>
  <c r="CL38" i="135"/>
  <c r="CL37" i="135"/>
  <c r="CL41" i="135"/>
  <c r="CL40" i="135"/>
  <c r="BA137" i="135"/>
  <c r="BA134" i="135"/>
  <c r="BA135" i="135" s="1"/>
  <c r="BA130" i="135"/>
  <c r="CL139" i="135"/>
  <c r="BB49" i="135"/>
  <c r="BB48" i="135"/>
  <c r="BB127" i="135" s="1"/>
  <c r="BB142" i="135" s="1"/>
  <c r="BC31" i="135"/>
  <c r="CM123" i="135"/>
  <c r="CM88" i="135"/>
  <c r="CM84" i="135"/>
  <c r="CM83" i="135"/>
  <c r="CM81" i="135"/>
  <c r="CM79" i="135"/>
  <c r="CM77" i="135"/>
  <c r="CM75" i="135"/>
  <c r="CM73" i="135"/>
  <c r="CM87" i="135"/>
  <c r="CM85" i="135"/>
  <c r="CM89" i="135"/>
  <c r="CM86" i="135"/>
  <c r="CM90" i="135"/>
  <c r="CM91" i="135"/>
  <c r="CM76" i="135"/>
  <c r="CM92" i="135"/>
  <c r="CM82" i="135"/>
  <c r="CM72" i="135"/>
  <c r="CM80" i="135"/>
  <c r="CM78" i="135"/>
  <c r="CM67" i="135"/>
  <c r="CM66" i="135"/>
  <c r="CM74" i="135"/>
  <c r="CM65" i="135"/>
  <c r="CM64" i="135"/>
  <c r="CM59" i="135"/>
  <c r="CM57" i="135"/>
  <c r="CM55" i="135"/>
  <c r="CM53" i="135"/>
  <c r="CM71" i="135"/>
  <c r="CM52" i="135"/>
  <c r="CM70" i="135"/>
  <c r="CM68" i="135"/>
  <c r="CM60" i="135"/>
  <c r="CM58" i="135"/>
  <c r="CM69" i="135"/>
  <c r="CM39" i="135"/>
  <c r="CM36" i="135"/>
  <c r="CM30" i="135"/>
  <c r="CM61" i="135"/>
  <c r="CM56" i="135"/>
  <c r="CM63" i="135"/>
  <c r="CM62" i="135"/>
  <c r="CM54" i="135"/>
  <c r="CM28" i="135"/>
  <c r="CM29" i="135" s="1"/>
  <c r="CM15" i="135"/>
  <c r="CM6" i="135"/>
  <c r="CM19" i="135"/>
  <c r="CM14" i="135"/>
  <c r="CN4" i="135"/>
  <c r="CL20" i="135"/>
  <c r="BB133" i="135"/>
  <c r="AS139" i="134"/>
  <c r="W57" i="134"/>
  <c r="W55" i="134"/>
  <c r="W58" i="134"/>
  <c r="W56" i="134"/>
  <c r="W59" i="134"/>
  <c r="W61" i="134"/>
  <c r="W67" i="134"/>
  <c r="W63" i="134"/>
  <c r="W65" i="134"/>
  <c r="W68" i="134"/>
  <c r="W64" i="134"/>
  <c r="W60" i="134"/>
  <c r="W69" i="134"/>
  <c r="W72" i="134"/>
  <c r="W62" i="134"/>
  <c r="W70" i="134"/>
  <c r="W71" i="134"/>
  <c r="W66" i="134"/>
  <c r="E72" i="134"/>
  <c r="F72" i="134"/>
  <c r="G72" i="134"/>
  <c r="H72" i="134"/>
  <c r="I72" i="134"/>
  <c r="J72" i="134"/>
  <c r="K72" i="134"/>
  <c r="L72" i="134"/>
  <c r="M72" i="134"/>
  <c r="N72" i="134"/>
  <c r="O72" i="134"/>
  <c r="P72" i="134"/>
  <c r="Q72" i="134"/>
  <c r="R72" i="134"/>
  <c r="S72" i="134"/>
  <c r="T72" i="134"/>
  <c r="U72" i="134"/>
  <c r="U22" i="134"/>
  <c r="W28" i="134"/>
  <c r="W29" i="134" s="1"/>
  <c r="W53" i="134"/>
  <c r="L129" i="134"/>
  <c r="L50" i="134"/>
  <c r="L137" i="134"/>
  <c r="V20" i="134"/>
  <c r="M50" i="134"/>
  <c r="M137" i="134"/>
  <c r="M129" i="134"/>
  <c r="N44" i="134"/>
  <c r="N47" i="134"/>
  <c r="N32" i="134"/>
  <c r="O27" i="134" s="1"/>
  <c r="V21" i="134"/>
  <c r="V29" i="134"/>
  <c r="V37" i="134"/>
  <c r="V38" i="134"/>
  <c r="V41" i="134"/>
  <c r="V40" i="134"/>
  <c r="W52" i="134"/>
  <c r="W140" i="134" s="1"/>
  <c r="W39" i="134"/>
  <c r="W14" i="134"/>
  <c r="W30" i="134"/>
  <c r="W19" i="134"/>
  <c r="W15" i="134"/>
  <c r="X4" i="134"/>
  <c r="W36" i="134"/>
  <c r="W17" i="134"/>
  <c r="W18" i="134" s="1"/>
  <c r="D73" i="134"/>
  <c r="B72" i="134"/>
  <c r="BB153" i="135" l="1"/>
  <c r="BB155" i="135"/>
  <c r="CM21" i="135"/>
  <c r="BB134" i="135"/>
  <c r="BB135" i="135" s="1"/>
  <c r="BB137" i="135"/>
  <c r="CN93" i="135"/>
  <c r="CN91" i="135"/>
  <c r="CN89" i="135"/>
  <c r="CN87" i="135"/>
  <c r="CN92" i="135"/>
  <c r="CN90" i="135"/>
  <c r="CN88" i="135"/>
  <c r="CN86" i="135"/>
  <c r="CN84" i="135"/>
  <c r="CN85" i="135"/>
  <c r="CN82" i="135"/>
  <c r="CN80" i="135"/>
  <c r="CN78" i="135"/>
  <c r="CN76" i="135"/>
  <c r="CN77" i="135"/>
  <c r="CN74" i="135"/>
  <c r="CN75" i="135"/>
  <c r="CN83" i="135"/>
  <c r="CN81" i="135"/>
  <c r="CN66" i="135"/>
  <c r="CN72" i="135"/>
  <c r="CN65" i="135"/>
  <c r="CN64" i="135"/>
  <c r="CN79" i="135"/>
  <c r="CN63" i="135"/>
  <c r="CN73" i="135"/>
  <c r="CN71" i="135"/>
  <c r="CN70" i="135"/>
  <c r="CN61" i="135"/>
  <c r="CN60" i="135"/>
  <c r="CN58" i="135"/>
  <c r="CN56" i="135"/>
  <c r="CN54" i="135"/>
  <c r="CN69" i="135"/>
  <c r="CN67" i="135"/>
  <c r="CN59" i="135"/>
  <c r="CN57" i="135"/>
  <c r="CN55" i="135"/>
  <c r="CN39" i="135"/>
  <c r="CN52" i="135"/>
  <c r="CN68" i="135"/>
  <c r="CN30" i="135"/>
  <c r="CN62" i="135"/>
  <c r="CN53" i="135"/>
  <c r="CN28" i="135"/>
  <c r="CN29" i="135" s="1"/>
  <c r="CN36" i="135"/>
  <c r="CN6" i="135"/>
  <c r="CO4" i="135"/>
  <c r="CM20" i="135"/>
  <c r="BB130" i="135"/>
  <c r="CM139" i="135"/>
  <c r="BC44" i="135"/>
  <c r="BC47" i="135"/>
  <c r="BC86" i="135"/>
  <c r="BC124" i="135" s="1"/>
  <c r="BD86" i="135"/>
  <c r="BE86" i="135"/>
  <c r="BF86" i="135"/>
  <c r="BG86" i="135"/>
  <c r="BH86" i="135"/>
  <c r="BI86" i="135"/>
  <c r="BJ86" i="135"/>
  <c r="BK86" i="135"/>
  <c r="BL86" i="135"/>
  <c r="BM86" i="135"/>
  <c r="BN86" i="135"/>
  <c r="BO86" i="135"/>
  <c r="BP86" i="135"/>
  <c r="BQ86" i="135"/>
  <c r="BR86" i="135"/>
  <c r="BS86" i="135"/>
  <c r="BT86" i="135"/>
  <c r="BU86" i="135"/>
  <c r="BV86" i="135"/>
  <c r="BW86" i="135"/>
  <c r="BX86" i="135"/>
  <c r="BY86" i="135"/>
  <c r="BZ86" i="135"/>
  <c r="CA86" i="135"/>
  <c r="CB86" i="135"/>
  <c r="CC86" i="135"/>
  <c r="CD86" i="135"/>
  <c r="CE86" i="135"/>
  <c r="CF86" i="135"/>
  <c r="CM37" i="135"/>
  <c r="CM38" i="135"/>
  <c r="BC32" i="135"/>
  <c r="BD27" i="135" s="1"/>
  <c r="CM40" i="135"/>
  <c r="CM41" i="135"/>
  <c r="BB50" i="135"/>
  <c r="BB136" i="135"/>
  <c r="BB129" i="135"/>
  <c r="BB125" i="135" s="1"/>
  <c r="BB131" i="135" s="1"/>
  <c r="AT139" i="134"/>
  <c r="E73" i="134"/>
  <c r="F73" i="134"/>
  <c r="G73" i="134"/>
  <c r="H73" i="134"/>
  <c r="I73" i="134"/>
  <c r="J73" i="134"/>
  <c r="K73" i="134"/>
  <c r="L73" i="134"/>
  <c r="M73" i="134"/>
  <c r="N73" i="134"/>
  <c r="O73" i="134"/>
  <c r="P73" i="134"/>
  <c r="Q73" i="134"/>
  <c r="R73" i="134"/>
  <c r="S73" i="134"/>
  <c r="T73" i="134"/>
  <c r="U73" i="134"/>
  <c r="V73" i="134"/>
  <c r="X57" i="134"/>
  <c r="X60" i="134"/>
  <c r="X63" i="134"/>
  <c r="X56" i="134"/>
  <c r="X59" i="134"/>
  <c r="X61" i="134"/>
  <c r="X67" i="134"/>
  <c r="X66" i="134"/>
  <c r="X65" i="134"/>
  <c r="X68" i="134"/>
  <c r="X58" i="134"/>
  <c r="X64" i="134"/>
  <c r="X70" i="134"/>
  <c r="X73" i="134"/>
  <c r="X71" i="134"/>
  <c r="X62" i="134"/>
  <c r="X72" i="134"/>
  <c r="X69" i="134"/>
  <c r="W73" i="134"/>
  <c r="W16" i="134"/>
  <c r="W21" i="134"/>
  <c r="W24" i="134" s="1"/>
  <c r="W23" i="134" s="1"/>
  <c r="X28" i="134"/>
  <c r="X29" i="134" s="1"/>
  <c r="X53" i="134"/>
  <c r="N48" i="134"/>
  <c r="N49" i="134"/>
  <c r="N46" i="134"/>
  <c r="N45" i="134"/>
  <c r="O31" i="134"/>
  <c r="W38" i="134"/>
  <c r="W37" i="134"/>
  <c r="W40" i="134"/>
  <c r="W41" i="134"/>
  <c r="X39" i="134"/>
  <c r="X36" i="134"/>
  <c r="X52" i="134"/>
  <c r="X140" i="134" s="1"/>
  <c r="X17" i="134"/>
  <c r="X18" i="134" s="1"/>
  <c r="X30" i="134"/>
  <c r="Y4" i="134"/>
  <c r="X15" i="134"/>
  <c r="X19" i="134"/>
  <c r="X14" i="134"/>
  <c r="D74" i="134"/>
  <c r="X74" i="134" s="1"/>
  <c r="B73" i="134"/>
  <c r="W20" i="134"/>
  <c r="V24" i="134"/>
  <c r="V23" i="134" s="1"/>
  <c r="V22" i="134"/>
  <c r="W22" i="134" s="1"/>
  <c r="CN40" i="135" l="1"/>
  <c r="CN41" i="135"/>
  <c r="CO94" i="135"/>
  <c r="CO93" i="135"/>
  <c r="CO92" i="135"/>
  <c r="CO87" i="135"/>
  <c r="CO84" i="135"/>
  <c r="CO85" i="135"/>
  <c r="CO88" i="135"/>
  <c r="CO89" i="135"/>
  <c r="CO86" i="135"/>
  <c r="CO90" i="135"/>
  <c r="CO91" i="135"/>
  <c r="CO76" i="135"/>
  <c r="CO75" i="135"/>
  <c r="CO83" i="135"/>
  <c r="CO82" i="135"/>
  <c r="CO81" i="135"/>
  <c r="CO80" i="135"/>
  <c r="CO77" i="135"/>
  <c r="CO72" i="135"/>
  <c r="CO65" i="135"/>
  <c r="CO74" i="135"/>
  <c r="CO64" i="135"/>
  <c r="CO79" i="135"/>
  <c r="CO78" i="135"/>
  <c r="CO73" i="135"/>
  <c r="CO71" i="135"/>
  <c r="CO70" i="135"/>
  <c r="CO69" i="135"/>
  <c r="CO68" i="135"/>
  <c r="CO66" i="135"/>
  <c r="CO59" i="135"/>
  <c r="CO58" i="135"/>
  <c r="CO57" i="135"/>
  <c r="CO61" i="135"/>
  <c r="CO56" i="135"/>
  <c r="CO55" i="135"/>
  <c r="CO67" i="135"/>
  <c r="CO63" i="135"/>
  <c r="CO54" i="135"/>
  <c r="CO62" i="135"/>
  <c r="CO60" i="135"/>
  <c r="CO52" i="135"/>
  <c r="CO53" i="135"/>
  <c r="CO39" i="135"/>
  <c r="CO28" i="135"/>
  <c r="CO29" i="135" s="1"/>
  <c r="CO36" i="135"/>
  <c r="CO30" i="135"/>
  <c r="CP4" i="135"/>
  <c r="CO6" i="135"/>
  <c r="CN37" i="135"/>
  <c r="CN38" i="135"/>
  <c r="BC133" i="135"/>
  <c r="BC48" i="135"/>
  <c r="BC49" i="135"/>
  <c r="BC46" i="135"/>
  <c r="BC45" i="135"/>
  <c r="BC128" i="135" s="1"/>
  <c r="BC154" i="135" s="1"/>
  <c r="BD31" i="135"/>
  <c r="BD32" i="135" s="1"/>
  <c r="BE27" i="135" s="1"/>
  <c r="CN139" i="135"/>
  <c r="AU139" i="134"/>
  <c r="E74" i="134"/>
  <c r="F74" i="134"/>
  <c r="G74" i="134"/>
  <c r="H74" i="134"/>
  <c r="I74" i="134"/>
  <c r="J74" i="134"/>
  <c r="K74" i="134"/>
  <c r="L74" i="134"/>
  <c r="M74" i="134"/>
  <c r="N74" i="134"/>
  <c r="O74" i="134"/>
  <c r="P74" i="134"/>
  <c r="Q74" i="134"/>
  <c r="R74" i="134"/>
  <c r="S74" i="134"/>
  <c r="T74" i="134"/>
  <c r="U74" i="134"/>
  <c r="V74" i="134"/>
  <c r="W74" i="134"/>
  <c r="X20" i="134"/>
  <c r="Y57" i="134"/>
  <c r="Y58" i="134"/>
  <c r="Y60" i="134"/>
  <c r="Y62" i="134"/>
  <c r="Y59" i="134"/>
  <c r="Y61" i="134"/>
  <c r="Y66" i="134"/>
  <c r="Y65" i="134"/>
  <c r="Y68" i="134"/>
  <c r="Y64" i="134"/>
  <c r="Y63" i="134"/>
  <c r="Y70" i="134"/>
  <c r="Y73" i="134"/>
  <c r="Y71" i="134"/>
  <c r="Y67" i="134"/>
  <c r="Y72" i="134"/>
  <c r="Y69" i="134"/>
  <c r="Y74" i="134"/>
  <c r="X16" i="134"/>
  <c r="Y28" i="134"/>
  <c r="Y29" i="134" s="1"/>
  <c r="Y53" i="134"/>
  <c r="O44" i="134"/>
  <c r="O47" i="134"/>
  <c r="O32" i="134"/>
  <c r="P27" i="134" s="1"/>
  <c r="N50" i="134"/>
  <c r="N129" i="134"/>
  <c r="N137" i="134"/>
  <c r="X21" i="134"/>
  <c r="X24" i="134" s="1"/>
  <c r="X23" i="134" s="1"/>
  <c r="X37" i="134"/>
  <c r="X38" i="134"/>
  <c r="X40" i="134"/>
  <c r="X41" i="134"/>
  <c r="Y52" i="134"/>
  <c r="Y140" i="134" s="1"/>
  <c r="Y30" i="134"/>
  <c r="Y39" i="134"/>
  <c r="Y36" i="134"/>
  <c r="Y19" i="134"/>
  <c r="Y14" i="134"/>
  <c r="Z4" i="134"/>
  <c r="Y17" i="134"/>
  <c r="Y18" i="134" s="1"/>
  <c r="Y15" i="134"/>
  <c r="D75" i="134"/>
  <c r="Y75" i="134" s="1"/>
  <c r="B74" i="134"/>
  <c r="BC153" i="135" l="1"/>
  <c r="BC155" i="135"/>
  <c r="BD44" i="135"/>
  <c r="BD47" i="135"/>
  <c r="BD87" i="135"/>
  <c r="BD124" i="135" s="1"/>
  <c r="BE87" i="135"/>
  <c r="BF87" i="135"/>
  <c r="BG87" i="135"/>
  <c r="BH87" i="135"/>
  <c r="BI87" i="135"/>
  <c r="BJ87" i="135"/>
  <c r="BK87" i="135"/>
  <c r="BL87" i="135"/>
  <c r="BM87" i="135"/>
  <c r="BN87" i="135"/>
  <c r="BO87" i="135"/>
  <c r="BP87" i="135"/>
  <c r="BQ87" i="135"/>
  <c r="BR87" i="135"/>
  <c r="BS87" i="135"/>
  <c r="BT87" i="135"/>
  <c r="BU87" i="135"/>
  <c r="BV87" i="135"/>
  <c r="BW87" i="135"/>
  <c r="BX87" i="135"/>
  <c r="BY87" i="135"/>
  <c r="BZ87" i="135"/>
  <c r="CA87" i="135"/>
  <c r="CB87" i="135"/>
  <c r="CC87" i="135"/>
  <c r="CD87" i="135"/>
  <c r="CE87" i="135"/>
  <c r="CF87" i="135"/>
  <c r="CG87" i="135"/>
  <c r="CP94" i="135"/>
  <c r="CP93" i="135"/>
  <c r="CP91" i="135"/>
  <c r="CP95" i="135"/>
  <c r="CP84" i="135"/>
  <c r="CP85" i="135"/>
  <c r="CP87" i="135"/>
  <c r="CP88" i="135"/>
  <c r="CP89" i="135"/>
  <c r="CP86" i="135"/>
  <c r="CP90" i="135"/>
  <c r="CP92" i="135"/>
  <c r="CP75" i="135"/>
  <c r="CP71" i="135"/>
  <c r="CP69" i="135"/>
  <c r="CP67" i="135"/>
  <c r="CP65" i="135"/>
  <c r="CP63" i="135"/>
  <c r="CP61" i="135"/>
  <c r="CP83" i="135"/>
  <c r="CP82" i="135"/>
  <c r="CP81" i="135"/>
  <c r="CP80" i="135"/>
  <c r="CP79" i="135"/>
  <c r="CP73" i="135"/>
  <c r="CP76" i="135"/>
  <c r="CP74" i="135"/>
  <c r="CP64" i="135"/>
  <c r="CP78" i="135"/>
  <c r="CP70" i="135"/>
  <c r="CP77" i="135"/>
  <c r="CP68" i="135"/>
  <c r="CP72" i="135"/>
  <c r="CP66" i="135"/>
  <c r="CP58" i="135"/>
  <c r="CP57" i="135"/>
  <c r="CP56" i="135"/>
  <c r="CP55" i="135"/>
  <c r="CP54" i="135"/>
  <c r="CP62" i="135"/>
  <c r="CP59" i="135"/>
  <c r="CP60" i="135"/>
  <c r="CP52" i="135"/>
  <c r="CP36" i="135"/>
  <c r="CP53" i="135"/>
  <c r="CP39" i="135"/>
  <c r="CP30" i="135"/>
  <c r="CQ4" i="135"/>
  <c r="CP6" i="135"/>
  <c r="CP28" i="135"/>
  <c r="CP29" i="135" s="1"/>
  <c r="BC50" i="135"/>
  <c r="BC129" i="135"/>
  <c r="BC125" i="135" s="1"/>
  <c r="BC131" i="135" s="1"/>
  <c r="BC136" i="135"/>
  <c r="CO37" i="135"/>
  <c r="CO38" i="135"/>
  <c r="CO41" i="135"/>
  <c r="CO40" i="135"/>
  <c r="BC127" i="135"/>
  <c r="BC142" i="135" s="1"/>
  <c r="CO139" i="135"/>
  <c r="BE31" i="135"/>
  <c r="AV139" i="134"/>
  <c r="Y21" i="134"/>
  <c r="Y24" i="134" s="1"/>
  <c r="Y23" i="134" s="1"/>
  <c r="E75" i="134"/>
  <c r="F75" i="134"/>
  <c r="G75" i="134"/>
  <c r="H75" i="134"/>
  <c r="I75" i="134"/>
  <c r="J75" i="134"/>
  <c r="K75" i="134"/>
  <c r="L75" i="134"/>
  <c r="M75" i="134"/>
  <c r="N75" i="134"/>
  <c r="O75" i="134"/>
  <c r="P75" i="134"/>
  <c r="Q75" i="134"/>
  <c r="R75" i="134"/>
  <c r="S75" i="134"/>
  <c r="T75" i="134"/>
  <c r="U75" i="134"/>
  <c r="V75" i="134"/>
  <c r="W75" i="134"/>
  <c r="X75" i="134"/>
  <c r="Z58" i="134"/>
  <c r="Z60" i="134"/>
  <c r="Z65" i="134"/>
  <c r="Z59" i="134"/>
  <c r="Z61" i="134"/>
  <c r="Z62" i="134"/>
  <c r="Z67" i="134"/>
  <c r="Z66" i="134"/>
  <c r="Z68" i="134"/>
  <c r="Z71" i="134"/>
  <c r="Z64" i="134"/>
  <c r="Z63" i="134"/>
  <c r="Z70" i="134"/>
  <c r="Z73" i="134"/>
  <c r="Z74" i="134"/>
  <c r="Z72" i="134"/>
  <c r="Z75" i="134"/>
  <c r="Z69" i="134"/>
  <c r="Y20" i="134"/>
  <c r="Z28" i="134"/>
  <c r="Z29" i="134" s="1"/>
  <c r="Z53" i="134"/>
  <c r="P31" i="134"/>
  <c r="O49" i="134"/>
  <c r="O48" i="134"/>
  <c r="O45" i="134"/>
  <c r="O46" i="134"/>
  <c r="Y16" i="134"/>
  <c r="Z52" i="134"/>
  <c r="Z140" i="134" s="1"/>
  <c r="Z30" i="134"/>
  <c r="Z39" i="134"/>
  <c r="Z36" i="134"/>
  <c r="Z17" i="134"/>
  <c r="Z18" i="134" s="1"/>
  <c r="Z19" i="134"/>
  <c r="Z15" i="134"/>
  <c r="AA4" i="134"/>
  <c r="Z14" i="134"/>
  <c r="Y37" i="134"/>
  <c r="Y38" i="134"/>
  <c r="Y41" i="134"/>
  <c r="Y40" i="134"/>
  <c r="D76" i="134"/>
  <c r="Z76" i="134" s="1"/>
  <c r="B75" i="134"/>
  <c r="X22" i="134"/>
  <c r="Y22" i="134" s="1"/>
  <c r="CQ93" i="135" l="1"/>
  <c r="CQ90" i="135"/>
  <c r="CQ96" i="135"/>
  <c r="CQ94" i="135"/>
  <c r="CQ85" i="135"/>
  <c r="CQ87" i="135"/>
  <c r="CQ88" i="135"/>
  <c r="CQ95" i="135"/>
  <c r="CQ89" i="135"/>
  <c r="CQ86" i="135"/>
  <c r="CQ91" i="135"/>
  <c r="CQ92" i="135"/>
  <c r="CQ75" i="135"/>
  <c r="CQ83" i="135"/>
  <c r="CQ82" i="135"/>
  <c r="CQ81" i="135"/>
  <c r="CQ80" i="135"/>
  <c r="CQ79" i="135"/>
  <c r="CQ78" i="135"/>
  <c r="CQ70" i="135"/>
  <c r="CQ68" i="135"/>
  <c r="CQ66" i="135"/>
  <c r="CQ64" i="135"/>
  <c r="CQ84" i="135"/>
  <c r="CQ73" i="135"/>
  <c r="CQ71" i="135"/>
  <c r="CQ77" i="135"/>
  <c r="CQ69" i="135"/>
  <c r="CQ62" i="135"/>
  <c r="CQ76" i="135"/>
  <c r="CQ67" i="135"/>
  <c r="CQ74" i="135"/>
  <c r="CQ65" i="135"/>
  <c r="CQ57" i="135"/>
  <c r="CQ56" i="135"/>
  <c r="CQ61" i="135"/>
  <c r="CQ55" i="135"/>
  <c r="CQ54" i="135"/>
  <c r="CQ63" i="135"/>
  <c r="CQ72" i="135"/>
  <c r="CQ60" i="135"/>
  <c r="CQ58" i="135"/>
  <c r="CQ59" i="135"/>
  <c r="CQ53" i="135"/>
  <c r="CQ52" i="135"/>
  <c r="CQ39" i="135"/>
  <c r="CQ36" i="135"/>
  <c r="CQ30" i="135"/>
  <c r="CQ28" i="135"/>
  <c r="CQ29" i="135" s="1"/>
  <c r="CQ6" i="135"/>
  <c r="CR4" i="135"/>
  <c r="BC137" i="135"/>
  <c r="BC134" i="135"/>
  <c r="BC135" i="135" s="1"/>
  <c r="BC130" i="135"/>
  <c r="CP40" i="135"/>
  <c r="CP41" i="135"/>
  <c r="CP139" i="135"/>
  <c r="CP37" i="135"/>
  <c r="CP38" i="135"/>
  <c r="BE44" i="135"/>
  <c r="BE47" i="135"/>
  <c r="BE88" i="135"/>
  <c r="BE124" i="135" s="1"/>
  <c r="BF88" i="135"/>
  <c r="BG88" i="135"/>
  <c r="BH88" i="135"/>
  <c r="BI88" i="135"/>
  <c r="BJ88" i="135"/>
  <c r="BK88" i="135"/>
  <c r="BL88" i="135"/>
  <c r="BM88" i="135"/>
  <c r="BN88" i="135"/>
  <c r="BO88" i="135"/>
  <c r="BP88" i="135"/>
  <c r="BQ88" i="135"/>
  <c r="BR88" i="135"/>
  <c r="BS88" i="135"/>
  <c r="BT88" i="135"/>
  <c r="BU88" i="135"/>
  <c r="BV88" i="135"/>
  <c r="BW88" i="135"/>
  <c r="BX88" i="135"/>
  <c r="BY88" i="135"/>
  <c r="BZ88" i="135"/>
  <c r="CA88" i="135"/>
  <c r="CB88" i="135"/>
  <c r="CC88" i="135"/>
  <c r="CD88" i="135"/>
  <c r="CE88" i="135"/>
  <c r="CF88" i="135"/>
  <c r="CG88" i="135"/>
  <c r="CH88" i="135"/>
  <c r="BE32" i="135"/>
  <c r="BF27" i="135" s="1"/>
  <c r="BD133" i="135"/>
  <c r="BD48" i="135"/>
  <c r="BD127" i="135" s="1"/>
  <c r="BD142" i="135" s="1"/>
  <c r="BD49" i="135"/>
  <c r="BD45" i="135"/>
  <c r="BD128" i="135" s="1"/>
  <c r="BD154" i="135" s="1"/>
  <c r="BD46" i="135"/>
  <c r="AW139" i="134"/>
  <c r="Z20" i="134"/>
  <c r="AA60" i="134"/>
  <c r="AA64" i="134"/>
  <c r="AA66" i="134"/>
  <c r="AA59" i="134"/>
  <c r="AA61" i="134"/>
  <c r="AA62" i="134"/>
  <c r="AA67" i="134"/>
  <c r="AA65" i="134"/>
  <c r="AA68" i="134"/>
  <c r="AA71" i="134"/>
  <c r="AA63" i="134"/>
  <c r="AA69" i="134"/>
  <c r="AA70" i="134"/>
  <c r="AA72" i="134"/>
  <c r="AA75" i="134"/>
  <c r="AA73" i="134"/>
  <c r="AA74" i="134"/>
  <c r="AA76" i="134"/>
  <c r="E76" i="134"/>
  <c r="F76" i="134"/>
  <c r="G76" i="134"/>
  <c r="H76" i="134"/>
  <c r="I76" i="134"/>
  <c r="J76" i="134"/>
  <c r="K76" i="134"/>
  <c r="L76" i="134"/>
  <c r="M76" i="134"/>
  <c r="N76" i="134"/>
  <c r="O76" i="134"/>
  <c r="P76" i="134"/>
  <c r="Q76" i="134"/>
  <c r="R76" i="134"/>
  <c r="S76" i="134"/>
  <c r="T76" i="134"/>
  <c r="U76" i="134"/>
  <c r="V76" i="134"/>
  <c r="W76" i="134"/>
  <c r="X76" i="134"/>
  <c r="Y76" i="134"/>
  <c r="Z16" i="134"/>
  <c r="AA28" i="134"/>
  <c r="AA29" i="134" s="1"/>
  <c r="AA53" i="134"/>
  <c r="O129" i="134"/>
  <c r="O137" i="134"/>
  <c r="O50" i="134"/>
  <c r="P44" i="134"/>
  <c r="P47" i="134"/>
  <c r="P32" i="134"/>
  <c r="Q27" i="134" s="1"/>
  <c r="AA39" i="134"/>
  <c r="AA52" i="134"/>
  <c r="AA140" i="134" s="1"/>
  <c r="AA30" i="134"/>
  <c r="AA36" i="134"/>
  <c r="AA15" i="134"/>
  <c r="AA17" i="134"/>
  <c r="AA18" i="134" s="1"/>
  <c r="AA19" i="134"/>
  <c r="AA14" i="134"/>
  <c r="AB4" i="134"/>
  <c r="D77" i="134"/>
  <c r="AA77" i="134" s="1"/>
  <c r="B76" i="134"/>
  <c r="Z21" i="134"/>
  <c r="Z24" i="134" s="1"/>
  <c r="Z23" i="134" s="1"/>
  <c r="Z37" i="134"/>
  <c r="Z38" i="134"/>
  <c r="Z41" i="134"/>
  <c r="Z40" i="134"/>
  <c r="BD153" i="135" l="1"/>
  <c r="BD155" i="135"/>
  <c r="BE133" i="135"/>
  <c r="CQ41" i="135"/>
  <c r="CQ40" i="135"/>
  <c r="BE46" i="135"/>
  <c r="BE45" i="135"/>
  <c r="BE128" i="135" s="1"/>
  <c r="BE154" i="135" s="1"/>
  <c r="CQ139" i="135"/>
  <c r="BD137" i="135"/>
  <c r="BD134" i="135"/>
  <c r="BD135" i="135" s="1"/>
  <c r="BD130" i="135"/>
  <c r="BF31" i="135"/>
  <c r="BF32" i="135" s="1"/>
  <c r="BG27" i="135" s="1"/>
  <c r="CR97" i="135"/>
  <c r="CR89" i="135"/>
  <c r="CR96" i="135"/>
  <c r="CR95" i="135"/>
  <c r="CR85" i="135"/>
  <c r="CR87" i="135"/>
  <c r="CR88" i="135"/>
  <c r="CR86" i="135"/>
  <c r="CR94" i="135"/>
  <c r="CR90" i="135"/>
  <c r="CR91" i="135"/>
  <c r="CR92" i="135"/>
  <c r="CR93" i="135"/>
  <c r="CR83" i="135"/>
  <c r="CR82" i="135"/>
  <c r="CR72" i="135"/>
  <c r="CR81" i="135"/>
  <c r="CR80" i="135"/>
  <c r="CR79" i="135"/>
  <c r="CR78" i="135"/>
  <c r="CR84" i="135"/>
  <c r="CR77" i="135"/>
  <c r="CR74" i="135"/>
  <c r="CR75" i="135"/>
  <c r="CR52" i="135"/>
  <c r="CR73" i="135"/>
  <c r="CR71" i="135"/>
  <c r="CR70" i="135"/>
  <c r="CR69" i="135"/>
  <c r="CR68" i="135"/>
  <c r="CR76" i="135"/>
  <c r="CR67" i="135"/>
  <c r="CR66" i="135"/>
  <c r="CR64" i="135"/>
  <c r="CR56" i="135"/>
  <c r="CR61" i="135"/>
  <c r="CR55" i="135"/>
  <c r="CR54" i="135"/>
  <c r="CR63" i="135"/>
  <c r="CR53" i="135"/>
  <c r="CR65" i="135"/>
  <c r="CR62" i="135"/>
  <c r="CR60" i="135"/>
  <c r="CR59" i="135"/>
  <c r="CR57" i="135"/>
  <c r="CR58" i="135"/>
  <c r="CR39" i="135"/>
  <c r="CR28" i="135"/>
  <c r="CR29" i="135" s="1"/>
  <c r="CR36" i="135"/>
  <c r="CR30" i="135"/>
  <c r="CR6" i="135"/>
  <c r="CS4" i="135"/>
  <c r="CQ38" i="135"/>
  <c r="CQ37" i="135"/>
  <c r="BD50" i="135"/>
  <c r="BD136" i="135"/>
  <c r="BD129" i="135"/>
  <c r="BD125" i="135" s="1"/>
  <c r="BD131" i="135" s="1"/>
  <c r="BE49" i="135"/>
  <c r="BE48" i="135"/>
  <c r="AX139" i="134"/>
  <c r="AA21" i="134"/>
  <c r="AA24" i="134" s="1"/>
  <c r="AB62" i="134"/>
  <c r="AB60" i="134"/>
  <c r="AB64" i="134"/>
  <c r="AB66" i="134"/>
  <c r="AB61" i="134"/>
  <c r="AB67" i="134"/>
  <c r="AB65" i="134"/>
  <c r="AB69" i="134"/>
  <c r="AB72" i="134"/>
  <c r="AB63" i="134"/>
  <c r="AB70" i="134"/>
  <c r="AB73" i="134"/>
  <c r="AB68" i="134"/>
  <c r="AB71" i="134"/>
  <c r="AB75" i="134"/>
  <c r="AB77" i="134"/>
  <c r="AB74" i="134"/>
  <c r="AB76" i="134"/>
  <c r="E77" i="134"/>
  <c r="F77" i="134"/>
  <c r="G77" i="134"/>
  <c r="H77" i="134"/>
  <c r="I77" i="134"/>
  <c r="J77" i="134"/>
  <c r="K77" i="134"/>
  <c r="L77" i="134"/>
  <c r="M77" i="134"/>
  <c r="N77" i="134"/>
  <c r="O77" i="134"/>
  <c r="P77" i="134"/>
  <c r="Q77" i="134"/>
  <c r="R77" i="134"/>
  <c r="S77" i="134"/>
  <c r="T77" i="134"/>
  <c r="U77" i="134"/>
  <c r="V77" i="134"/>
  <c r="W77" i="134"/>
  <c r="X77" i="134"/>
  <c r="Y77" i="134"/>
  <c r="Z77" i="134"/>
  <c r="AB28" i="134"/>
  <c r="AB29" i="134" s="1"/>
  <c r="AB53" i="134"/>
  <c r="AA16" i="134"/>
  <c r="Q31" i="134"/>
  <c r="P49" i="134"/>
  <c r="P48" i="134"/>
  <c r="P46" i="134"/>
  <c r="P45" i="134"/>
  <c r="Z22" i="134"/>
  <c r="AA22" i="134" s="1"/>
  <c r="AB39" i="134"/>
  <c r="AB36" i="134"/>
  <c r="AB52" i="134"/>
  <c r="AB140" i="134" s="1"/>
  <c r="AB30" i="134"/>
  <c r="AB19" i="134"/>
  <c r="AB17" i="134"/>
  <c r="AB18" i="134" s="1"/>
  <c r="AB15" i="134"/>
  <c r="AB14" i="134"/>
  <c r="AC4" i="134"/>
  <c r="AA40" i="134"/>
  <c r="AA41" i="134"/>
  <c r="AA20" i="134"/>
  <c r="D78" i="134"/>
  <c r="AB78" i="134" s="1"/>
  <c r="B77" i="134"/>
  <c r="AA23" i="134"/>
  <c r="AA38" i="134"/>
  <c r="AA37" i="134"/>
  <c r="BE153" i="135" l="1"/>
  <c r="BE155" i="135"/>
  <c r="BE50" i="135"/>
  <c r="BE129" i="135"/>
  <c r="BE125" i="135" s="1"/>
  <c r="BE136" i="135"/>
  <c r="CS98" i="135"/>
  <c r="CS88" i="135"/>
  <c r="CS96" i="135"/>
  <c r="CS97" i="135"/>
  <c r="CS95" i="135"/>
  <c r="CS87" i="135"/>
  <c r="CS86" i="135"/>
  <c r="CS94" i="135"/>
  <c r="CS89" i="135"/>
  <c r="CS82" i="135"/>
  <c r="CS80" i="135"/>
  <c r="CS78" i="135"/>
  <c r="CS76" i="135"/>
  <c r="CS74" i="135"/>
  <c r="CS72" i="135"/>
  <c r="CS90" i="135"/>
  <c r="CS91" i="135"/>
  <c r="CS92" i="135"/>
  <c r="CS85" i="135"/>
  <c r="CS83" i="135"/>
  <c r="CS81" i="135"/>
  <c r="CS79" i="135"/>
  <c r="CS84" i="135"/>
  <c r="CS77" i="135"/>
  <c r="CS93" i="135"/>
  <c r="CS73" i="135"/>
  <c r="CS71" i="135"/>
  <c r="CS60" i="135"/>
  <c r="CS58" i="135"/>
  <c r="CS56" i="135"/>
  <c r="CS54" i="135"/>
  <c r="CS70" i="135"/>
  <c r="CS69" i="135"/>
  <c r="CS68" i="135"/>
  <c r="CS75" i="135"/>
  <c r="CS67" i="135"/>
  <c r="CS66" i="135"/>
  <c r="CS65" i="135"/>
  <c r="CS61" i="135"/>
  <c r="CS55" i="135"/>
  <c r="CS64" i="135"/>
  <c r="CS63" i="135"/>
  <c r="CS53" i="135"/>
  <c r="CS52" i="135"/>
  <c r="CS62" i="135"/>
  <c r="CS59" i="135"/>
  <c r="CS57" i="135"/>
  <c r="CS6" i="135"/>
  <c r="CS36" i="135"/>
  <c r="CS30" i="135"/>
  <c r="CS28" i="135"/>
  <c r="CS29" i="135" s="1"/>
  <c r="CS39" i="135"/>
  <c r="CT4" i="135"/>
  <c r="CR38" i="135"/>
  <c r="CR37" i="135"/>
  <c r="CR139" i="135"/>
  <c r="CR40" i="135"/>
  <c r="CR41" i="135"/>
  <c r="BE131" i="135"/>
  <c r="BF44" i="135"/>
  <c r="BF47" i="135"/>
  <c r="BF89" i="135"/>
  <c r="BF124" i="135" s="1"/>
  <c r="BG89" i="135"/>
  <c r="BH89" i="135"/>
  <c r="BI89" i="135"/>
  <c r="BJ89" i="135"/>
  <c r="BK89" i="135"/>
  <c r="BL89" i="135"/>
  <c r="BM89" i="135"/>
  <c r="BN89" i="135"/>
  <c r="BO89" i="135"/>
  <c r="BP89" i="135"/>
  <c r="BQ89" i="135"/>
  <c r="BR89" i="135"/>
  <c r="BS89" i="135"/>
  <c r="BT89" i="135"/>
  <c r="BU89" i="135"/>
  <c r="BV89" i="135"/>
  <c r="BW89" i="135"/>
  <c r="BX89" i="135"/>
  <c r="BY89" i="135"/>
  <c r="BZ89" i="135"/>
  <c r="CA89" i="135"/>
  <c r="CB89" i="135"/>
  <c r="CC89" i="135"/>
  <c r="CD89" i="135"/>
  <c r="CE89" i="135"/>
  <c r="CF89" i="135"/>
  <c r="CG89" i="135"/>
  <c r="CH89" i="135"/>
  <c r="CI89" i="135"/>
  <c r="BG31" i="135"/>
  <c r="BE127" i="135"/>
  <c r="AY139" i="134"/>
  <c r="E78" i="134"/>
  <c r="F78" i="134"/>
  <c r="G78" i="134"/>
  <c r="H78" i="134"/>
  <c r="I78" i="134"/>
  <c r="J78" i="134"/>
  <c r="K78" i="134"/>
  <c r="L78" i="134"/>
  <c r="M78" i="134"/>
  <c r="N78" i="134"/>
  <c r="O78" i="134"/>
  <c r="P78" i="134"/>
  <c r="Q78" i="134"/>
  <c r="R78" i="134"/>
  <c r="S78" i="134"/>
  <c r="T78" i="134"/>
  <c r="U78" i="134"/>
  <c r="V78" i="134"/>
  <c r="W78" i="134"/>
  <c r="X78" i="134"/>
  <c r="Y78" i="134"/>
  <c r="Z78" i="134"/>
  <c r="AA78" i="134"/>
  <c r="AC61" i="134"/>
  <c r="AC62" i="134"/>
  <c r="AC66" i="134"/>
  <c r="AC67" i="134"/>
  <c r="AC65" i="134"/>
  <c r="AC64" i="134"/>
  <c r="AC63" i="134"/>
  <c r="AC69" i="134"/>
  <c r="AC70" i="134"/>
  <c r="AC68" i="134"/>
  <c r="AC71" i="134"/>
  <c r="AC72" i="134"/>
  <c r="AC76" i="134"/>
  <c r="AC73" i="134"/>
  <c r="AC77" i="134"/>
  <c r="AC74" i="134"/>
  <c r="AC75" i="134"/>
  <c r="AC78" i="134"/>
  <c r="AC28" i="134"/>
  <c r="AC29" i="134" s="1"/>
  <c r="AC53" i="134"/>
  <c r="AB20" i="134"/>
  <c r="P50" i="134"/>
  <c r="P137" i="134"/>
  <c r="P129" i="134"/>
  <c r="Q44" i="134"/>
  <c r="Q47" i="134"/>
  <c r="Q32" i="134"/>
  <c r="R27" i="134" s="1"/>
  <c r="AB38" i="134"/>
  <c r="AB37" i="134"/>
  <c r="AB41" i="134"/>
  <c r="AB40" i="134"/>
  <c r="AC36" i="134"/>
  <c r="AC30" i="134"/>
  <c r="AC39" i="134"/>
  <c r="AC52" i="134"/>
  <c r="AC140" i="134" s="1"/>
  <c r="AC17" i="134"/>
  <c r="AC18" i="134" s="1"/>
  <c r="AC15" i="134"/>
  <c r="AC14" i="134"/>
  <c r="AC19" i="134"/>
  <c r="AD4" i="134"/>
  <c r="AB16" i="134"/>
  <c r="D79" i="134"/>
  <c r="B78" i="134"/>
  <c r="AB21" i="134"/>
  <c r="AB24" i="134" s="1"/>
  <c r="AB23" i="134" s="1"/>
  <c r="BE130" i="135" l="1"/>
  <c r="BE142" i="135"/>
  <c r="BG47" i="135"/>
  <c r="BG44" i="135"/>
  <c r="BG90" i="135"/>
  <c r="BG124" i="135" s="1"/>
  <c r="BH90" i="135"/>
  <c r="BI90" i="135"/>
  <c r="BJ90" i="135"/>
  <c r="BK90" i="135"/>
  <c r="BL90" i="135"/>
  <c r="BM90" i="135"/>
  <c r="BN90" i="135"/>
  <c r="BO90" i="135"/>
  <c r="BP90" i="135"/>
  <c r="BQ90" i="135"/>
  <c r="BR90" i="135"/>
  <c r="BS90" i="135"/>
  <c r="BT90" i="135"/>
  <c r="BU90" i="135"/>
  <c r="BV90" i="135"/>
  <c r="BW90" i="135"/>
  <c r="BX90" i="135"/>
  <c r="BY90" i="135"/>
  <c r="BZ90" i="135"/>
  <c r="CA90" i="135"/>
  <c r="CB90" i="135"/>
  <c r="CC90" i="135"/>
  <c r="CD90" i="135"/>
  <c r="CE90" i="135"/>
  <c r="CF90" i="135"/>
  <c r="CG90" i="135"/>
  <c r="CH90" i="135"/>
  <c r="CI90" i="135"/>
  <c r="CJ90" i="135"/>
  <c r="BG32" i="135"/>
  <c r="BH27" i="135" s="1"/>
  <c r="CS139" i="135"/>
  <c r="CT96" i="135"/>
  <c r="CT94" i="135"/>
  <c r="CT92" i="135"/>
  <c r="CT90" i="135"/>
  <c r="CT88" i="135"/>
  <c r="CT86" i="135"/>
  <c r="CT99" i="135"/>
  <c r="CT98" i="135"/>
  <c r="CT95" i="135"/>
  <c r="CT93" i="135"/>
  <c r="CT91" i="135"/>
  <c r="CT89" i="135"/>
  <c r="CT87" i="135"/>
  <c r="CT85" i="135"/>
  <c r="CT97" i="135"/>
  <c r="CT84" i="135"/>
  <c r="CT83" i="135"/>
  <c r="CT81" i="135"/>
  <c r="CT79" i="135"/>
  <c r="CT77" i="135"/>
  <c r="CT82" i="135"/>
  <c r="CT80" i="135"/>
  <c r="CT78" i="135"/>
  <c r="CT76" i="135"/>
  <c r="CT73" i="135"/>
  <c r="CT71" i="135"/>
  <c r="CT70" i="135"/>
  <c r="CT61" i="135"/>
  <c r="CT69" i="135"/>
  <c r="CT68" i="135"/>
  <c r="CT75" i="135"/>
  <c r="CT67" i="135"/>
  <c r="CT66" i="135"/>
  <c r="CT65" i="135"/>
  <c r="CT59" i="135"/>
  <c r="CT57" i="135"/>
  <c r="CT55" i="135"/>
  <c r="CT53" i="135"/>
  <c r="CT72" i="135"/>
  <c r="CT64" i="135"/>
  <c r="CT63" i="135"/>
  <c r="CT54" i="135"/>
  <c r="CT74" i="135"/>
  <c r="CT62" i="135"/>
  <c r="CT60" i="135"/>
  <c r="CT39" i="135"/>
  <c r="CT36" i="135"/>
  <c r="CT30" i="135"/>
  <c r="CT58" i="135"/>
  <c r="CT56" i="135"/>
  <c r="CT52" i="135"/>
  <c r="CT28" i="135"/>
  <c r="CT29" i="135" s="1"/>
  <c r="CT6" i="135"/>
  <c r="CU4" i="135"/>
  <c r="CS40" i="135"/>
  <c r="CS41" i="135"/>
  <c r="BE137" i="135"/>
  <c r="BE134" i="135"/>
  <c r="BE135" i="135" s="1"/>
  <c r="BF133" i="135"/>
  <c r="BF48" i="135"/>
  <c r="BF49" i="135"/>
  <c r="BF45" i="135"/>
  <c r="BF128" i="135" s="1"/>
  <c r="BF154" i="135" s="1"/>
  <c r="BF46" i="135"/>
  <c r="CS37" i="135"/>
  <c r="CS38" i="135"/>
  <c r="AZ139" i="134"/>
  <c r="E79" i="134"/>
  <c r="F79" i="134"/>
  <c r="G79" i="134"/>
  <c r="H79" i="134"/>
  <c r="I79" i="134"/>
  <c r="J79" i="134"/>
  <c r="K79" i="134"/>
  <c r="L79" i="134"/>
  <c r="M79" i="134"/>
  <c r="N79" i="134"/>
  <c r="O79" i="134"/>
  <c r="P79" i="134"/>
  <c r="Q79" i="134"/>
  <c r="R79" i="134"/>
  <c r="S79" i="134"/>
  <c r="T79" i="134"/>
  <c r="U79" i="134"/>
  <c r="V79" i="134"/>
  <c r="W79" i="134"/>
  <c r="X79" i="134"/>
  <c r="Y79" i="134"/>
  <c r="Z79" i="134"/>
  <c r="AA79" i="134"/>
  <c r="AB79" i="134"/>
  <c r="AD63" i="134"/>
  <c r="AD62" i="134"/>
  <c r="AD70" i="134"/>
  <c r="AD73" i="134"/>
  <c r="AD66" i="134"/>
  <c r="AD67" i="134"/>
  <c r="AD65" i="134"/>
  <c r="AD64" i="134"/>
  <c r="AD69" i="134"/>
  <c r="AD76" i="134"/>
  <c r="AD68" i="134"/>
  <c r="AD71" i="134"/>
  <c r="AD78" i="134"/>
  <c r="AD72" i="134"/>
  <c r="AD77" i="134"/>
  <c r="AD74" i="134"/>
  <c r="AD75" i="134"/>
  <c r="AD79" i="134"/>
  <c r="AC79" i="134"/>
  <c r="AC16" i="134"/>
  <c r="AC21" i="134"/>
  <c r="AC24" i="134" s="1"/>
  <c r="AC23" i="134" s="1"/>
  <c r="AD28" i="134"/>
  <c r="AD29" i="134" s="1"/>
  <c r="AD53" i="134"/>
  <c r="Q48" i="134"/>
  <c r="Q49" i="134"/>
  <c r="Q45" i="134"/>
  <c r="Q46" i="134"/>
  <c r="R31" i="134"/>
  <c r="AC40" i="134"/>
  <c r="AC41" i="134"/>
  <c r="D80" i="134"/>
  <c r="B79" i="134"/>
  <c r="AB22" i="134"/>
  <c r="AC22" i="134" s="1"/>
  <c r="AC37" i="134"/>
  <c r="AC38" i="134"/>
  <c r="AD52" i="134"/>
  <c r="AD140" i="134" s="1"/>
  <c r="AD36" i="134"/>
  <c r="AD39" i="134"/>
  <c r="AD14" i="134"/>
  <c r="AD17" i="134"/>
  <c r="AD18" i="134" s="1"/>
  <c r="AD30" i="134"/>
  <c r="AD15" i="134"/>
  <c r="AD19" i="134"/>
  <c r="AD21" i="134" s="1"/>
  <c r="AD24" i="134" s="1"/>
  <c r="AD23" i="134" s="1"/>
  <c r="AE4" i="134"/>
  <c r="AC20" i="134"/>
  <c r="BF153" i="135" l="1"/>
  <c r="BF155" i="135"/>
  <c r="CT37" i="135"/>
  <c r="CT38" i="135"/>
  <c r="CT40" i="135"/>
  <c r="CT41" i="135"/>
  <c r="BH31" i="135"/>
  <c r="CT139" i="135"/>
  <c r="BG133" i="135"/>
  <c r="CU100" i="135"/>
  <c r="CU99" i="135"/>
  <c r="CU87" i="135"/>
  <c r="CU98" i="135"/>
  <c r="CU97" i="135"/>
  <c r="CU96" i="135"/>
  <c r="CU95" i="135"/>
  <c r="CU94" i="135"/>
  <c r="CU88" i="135"/>
  <c r="CU86" i="135"/>
  <c r="CU89" i="135"/>
  <c r="CU90" i="135"/>
  <c r="CU91" i="135"/>
  <c r="CU92" i="135"/>
  <c r="CU93" i="135"/>
  <c r="CU83" i="135"/>
  <c r="CU82" i="135"/>
  <c r="CU81" i="135"/>
  <c r="CU80" i="135"/>
  <c r="CU73" i="135"/>
  <c r="CU79" i="135"/>
  <c r="CU78" i="135"/>
  <c r="CU84" i="135"/>
  <c r="CU77" i="135"/>
  <c r="CU76" i="135"/>
  <c r="CU85" i="135"/>
  <c r="CU75" i="135"/>
  <c r="CU71" i="135"/>
  <c r="CU70" i="135"/>
  <c r="CU69" i="135"/>
  <c r="CU68" i="135"/>
  <c r="CU67" i="135"/>
  <c r="CU66" i="135"/>
  <c r="CU65" i="135"/>
  <c r="CU72" i="135"/>
  <c r="CU64" i="135"/>
  <c r="CU74" i="135"/>
  <c r="CU63" i="135"/>
  <c r="CU54" i="135"/>
  <c r="CU53" i="135"/>
  <c r="CU28" i="135"/>
  <c r="CU29" i="135" s="1"/>
  <c r="CU62" i="135"/>
  <c r="CU60" i="135"/>
  <c r="CU59" i="135"/>
  <c r="CU58" i="135"/>
  <c r="CU57" i="135"/>
  <c r="CU61" i="135"/>
  <c r="CU55" i="135"/>
  <c r="CU56" i="135"/>
  <c r="CU52" i="135"/>
  <c r="CU36" i="135"/>
  <c r="CU30" i="135"/>
  <c r="CU39" i="135"/>
  <c r="CV4" i="135"/>
  <c r="CU6" i="135"/>
  <c r="BG46" i="135"/>
  <c r="BG45" i="135"/>
  <c r="BG128" i="135" s="1"/>
  <c r="BG154" i="135" s="1"/>
  <c r="BF50" i="135"/>
  <c r="BF136" i="135"/>
  <c r="BF129" i="135"/>
  <c r="BF125" i="135" s="1"/>
  <c r="BF131" i="135" s="1"/>
  <c r="BG48" i="135"/>
  <c r="BG49" i="135"/>
  <c r="BF127" i="135"/>
  <c r="BF142" i="135" s="1"/>
  <c r="BA139" i="134"/>
  <c r="E80" i="134"/>
  <c r="F80" i="134"/>
  <c r="G80" i="134"/>
  <c r="H80" i="134"/>
  <c r="I80" i="134"/>
  <c r="J80" i="134"/>
  <c r="K80" i="134"/>
  <c r="L80" i="134"/>
  <c r="M80" i="134"/>
  <c r="N80" i="134"/>
  <c r="O80" i="134"/>
  <c r="P80" i="134"/>
  <c r="Q80" i="134"/>
  <c r="R80" i="134"/>
  <c r="S80" i="134"/>
  <c r="T80" i="134"/>
  <c r="U80" i="134"/>
  <c r="V80" i="134"/>
  <c r="W80" i="134"/>
  <c r="X80" i="134"/>
  <c r="Y80" i="134"/>
  <c r="Z80" i="134"/>
  <c r="AA80" i="134"/>
  <c r="AB80" i="134"/>
  <c r="AC80" i="134"/>
  <c r="AD80" i="134"/>
  <c r="AE65" i="134"/>
  <c r="AE63" i="134"/>
  <c r="AE70" i="134"/>
  <c r="AE66" i="134"/>
  <c r="AE67" i="134"/>
  <c r="AE64" i="134"/>
  <c r="AE72" i="134"/>
  <c r="AE69" i="134"/>
  <c r="AE73" i="134"/>
  <c r="AE68" i="134"/>
  <c r="AE71" i="134"/>
  <c r="AE74" i="134"/>
  <c r="AE77" i="134"/>
  <c r="AE76" i="134"/>
  <c r="AE78" i="134"/>
  <c r="AE75" i="134"/>
  <c r="AE80" i="134"/>
  <c r="AE79" i="134"/>
  <c r="AE28" i="134"/>
  <c r="AE29" i="134" s="1"/>
  <c r="AE53" i="134"/>
  <c r="R47" i="134"/>
  <c r="R44" i="134"/>
  <c r="R32" i="134"/>
  <c r="S27" i="134" s="1"/>
  <c r="Q129" i="134"/>
  <c r="Q137" i="134"/>
  <c r="Q50" i="134"/>
  <c r="AE52" i="134"/>
  <c r="AE140" i="134" s="1"/>
  <c r="AE39" i="134"/>
  <c r="AE36" i="134"/>
  <c r="AE17" i="134"/>
  <c r="AE18" i="134" s="1"/>
  <c r="AE30" i="134"/>
  <c r="AE15" i="134"/>
  <c r="AE19" i="134"/>
  <c r="AE14" i="134"/>
  <c r="AF4" i="134"/>
  <c r="AD16" i="134"/>
  <c r="D81" i="134"/>
  <c r="B80" i="134"/>
  <c r="AD22" i="134"/>
  <c r="AD20" i="134"/>
  <c r="AD40" i="134"/>
  <c r="AD41" i="134"/>
  <c r="AD38" i="134"/>
  <c r="AD37" i="134"/>
  <c r="BG153" i="135" l="1"/>
  <c r="BG155" i="135"/>
  <c r="BH44" i="135"/>
  <c r="BH47" i="135"/>
  <c r="BH91" i="135"/>
  <c r="BH124" i="135" s="1"/>
  <c r="BI91" i="135"/>
  <c r="BJ91" i="135"/>
  <c r="BK91" i="135"/>
  <c r="BL91" i="135"/>
  <c r="BM91" i="135"/>
  <c r="BN91" i="135"/>
  <c r="BO91" i="135"/>
  <c r="BP91" i="135"/>
  <c r="BQ91" i="135"/>
  <c r="BR91" i="135"/>
  <c r="BS91" i="135"/>
  <c r="BT91" i="135"/>
  <c r="BU91" i="135"/>
  <c r="BV91" i="135"/>
  <c r="BW91" i="135"/>
  <c r="BX91" i="135"/>
  <c r="BY91" i="135"/>
  <c r="BZ91" i="135"/>
  <c r="CA91" i="135"/>
  <c r="CB91" i="135"/>
  <c r="CC91" i="135"/>
  <c r="CD91" i="135"/>
  <c r="CE91" i="135"/>
  <c r="CF91" i="135"/>
  <c r="CG91" i="135"/>
  <c r="CH91" i="135"/>
  <c r="CI91" i="135"/>
  <c r="CJ91" i="135"/>
  <c r="CK91" i="135"/>
  <c r="BH32" i="135"/>
  <c r="BI27" i="135" s="1"/>
  <c r="BF137" i="135"/>
  <c r="BF134" i="135"/>
  <c r="BF135" i="135" s="1"/>
  <c r="BF130" i="135"/>
  <c r="CU40" i="135"/>
  <c r="CU41" i="135"/>
  <c r="CU37" i="135"/>
  <c r="CU38" i="135"/>
  <c r="CU139" i="135"/>
  <c r="BG50" i="135"/>
  <c r="BG136" i="135"/>
  <c r="BG129" i="135"/>
  <c r="BG125" i="135" s="1"/>
  <c r="BG131" i="135" s="1"/>
  <c r="BG127" i="135"/>
  <c r="BG142" i="135" s="1"/>
  <c r="CV100" i="135"/>
  <c r="CV101" i="135"/>
  <c r="CV99" i="135"/>
  <c r="CV97" i="135"/>
  <c r="CV86" i="135"/>
  <c r="CV98" i="135"/>
  <c r="CV96" i="135"/>
  <c r="CV95" i="135"/>
  <c r="CV94" i="135"/>
  <c r="CV93" i="135"/>
  <c r="CV88" i="135"/>
  <c r="CV89" i="135"/>
  <c r="CV90" i="135"/>
  <c r="CV91" i="135"/>
  <c r="CV92" i="135"/>
  <c r="CV85" i="135"/>
  <c r="CV87" i="135"/>
  <c r="CV82" i="135"/>
  <c r="CV81" i="135"/>
  <c r="CV80" i="135"/>
  <c r="CV79" i="135"/>
  <c r="CV70" i="135"/>
  <c r="CV68" i="135"/>
  <c r="CV66" i="135"/>
  <c r="CV64" i="135"/>
  <c r="CV62" i="135"/>
  <c r="CV78" i="135"/>
  <c r="CV84" i="135"/>
  <c r="CV77" i="135"/>
  <c r="CV76" i="135"/>
  <c r="CV83" i="135"/>
  <c r="CV71" i="135"/>
  <c r="CV73" i="135"/>
  <c r="CV69" i="135"/>
  <c r="CV67" i="135"/>
  <c r="CV75" i="135"/>
  <c r="CV65" i="135"/>
  <c r="CV72" i="135"/>
  <c r="CV74" i="135"/>
  <c r="CV63" i="135"/>
  <c r="CV53" i="135"/>
  <c r="CV60" i="135"/>
  <c r="CV59" i="135"/>
  <c r="CV58" i="135"/>
  <c r="CV57" i="135"/>
  <c r="CV56" i="135"/>
  <c r="CV54" i="135"/>
  <c r="CV61" i="135"/>
  <c r="CV39" i="135"/>
  <c r="CV52" i="135"/>
  <c r="CV55" i="135"/>
  <c r="CV36" i="135"/>
  <c r="CV30" i="135"/>
  <c r="CW4" i="135"/>
  <c r="CV28" i="135"/>
  <c r="CV29" i="135" s="1"/>
  <c r="CV6" i="135"/>
  <c r="BB139" i="134"/>
  <c r="E81" i="134"/>
  <c r="F81" i="134"/>
  <c r="G81" i="134"/>
  <c r="H81" i="134"/>
  <c r="I81" i="134"/>
  <c r="J81" i="134"/>
  <c r="K81" i="134"/>
  <c r="L81" i="134"/>
  <c r="M81" i="134"/>
  <c r="N81" i="134"/>
  <c r="O81" i="134"/>
  <c r="P81" i="134"/>
  <c r="Q81" i="134"/>
  <c r="R81" i="134"/>
  <c r="S81" i="134"/>
  <c r="T81" i="134"/>
  <c r="U81" i="134"/>
  <c r="V81" i="134"/>
  <c r="W81" i="134"/>
  <c r="X81" i="134"/>
  <c r="Y81" i="134"/>
  <c r="Z81" i="134"/>
  <c r="AA81" i="134"/>
  <c r="AB81" i="134"/>
  <c r="AC81" i="134"/>
  <c r="AD81" i="134"/>
  <c r="AF64" i="134"/>
  <c r="AF65" i="134"/>
  <c r="AF66" i="134"/>
  <c r="AF67" i="134"/>
  <c r="AF68" i="134"/>
  <c r="AF71" i="134"/>
  <c r="AF72" i="134"/>
  <c r="AF69" i="134"/>
  <c r="AF70" i="134"/>
  <c r="AF73" i="134"/>
  <c r="AF74" i="134"/>
  <c r="AF77" i="134"/>
  <c r="AF76" i="134"/>
  <c r="AF79" i="134"/>
  <c r="AF75" i="134"/>
  <c r="AF78" i="134"/>
  <c r="AF80" i="134"/>
  <c r="AF81" i="134"/>
  <c r="AE81" i="134"/>
  <c r="AF28" i="134"/>
  <c r="AF29" i="134" s="1"/>
  <c r="AF53" i="134"/>
  <c r="AE21" i="134"/>
  <c r="AE24" i="134" s="1"/>
  <c r="AE23" i="134" s="1"/>
  <c r="AE16" i="134"/>
  <c r="S31" i="134"/>
  <c r="S32" i="134" s="1"/>
  <c r="T27" i="134" s="1"/>
  <c r="R45" i="134"/>
  <c r="R46" i="134"/>
  <c r="R48" i="134"/>
  <c r="R49" i="134"/>
  <c r="AF30" i="134"/>
  <c r="AF52" i="134"/>
  <c r="AF140" i="134" s="1"/>
  <c r="AF15" i="134"/>
  <c r="AF39" i="134"/>
  <c r="AF36" i="134"/>
  <c r="AF17" i="134"/>
  <c r="AF18" i="134" s="1"/>
  <c r="AF19" i="134"/>
  <c r="AF14" i="134"/>
  <c r="AG4" i="134"/>
  <c r="B81" i="134"/>
  <c r="D82" i="134"/>
  <c r="AE20" i="134"/>
  <c r="AE38" i="134"/>
  <c r="AE37" i="134"/>
  <c r="AE40" i="134"/>
  <c r="AE41" i="134"/>
  <c r="CV139" i="135" l="1"/>
  <c r="BI31" i="135"/>
  <c r="CW102" i="135"/>
  <c r="CW100" i="135"/>
  <c r="CW98" i="135"/>
  <c r="CW101" i="135"/>
  <c r="CW99" i="135"/>
  <c r="CW96" i="135"/>
  <c r="CW97" i="135"/>
  <c r="CW95" i="135"/>
  <c r="CW94" i="135"/>
  <c r="CW92" i="135"/>
  <c r="CW89" i="135"/>
  <c r="CW86" i="135"/>
  <c r="CW90" i="135"/>
  <c r="CW91" i="135"/>
  <c r="CW84" i="135"/>
  <c r="CW93" i="135"/>
  <c r="CW85" i="135"/>
  <c r="CW88" i="135"/>
  <c r="CW81" i="135"/>
  <c r="CW80" i="135"/>
  <c r="CW79" i="135"/>
  <c r="CW78" i="135"/>
  <c r="CW77" i="135"/>
  <c r="CW76" i="135"/>
  <c r="CW87" i="135"/>
  <c r="CW71" i="135"/>
  <c r="CW69" i="135"/>
  <c r="CW67" i="135"/>
  <c r="CW65" i="135"/>
  <c r="CW63" i="135"/>
  <c r="CW82" i="135"/>
  <c r="CW73" i="135"/>
  <c r="CW70" i="135"/>
  <c r="CW83" i="135"/>
  <c r="CW68" i="135"/>
  <c r="CW62" i="135"/>
  <c r="CW75" i="135"/>
  <c r="CW66" i="135"/>
  <c r="CW72" i="135"/>
  <c r="CW74" i="135"/>
  <c r="CW64" i="135"/>
  <c r="CW60" i="135"/>
  <c r="CW59" i="135"/>
  <c r="CW58" i="135"/>
  <c r="CW57" i="135"/>
  <c r="CW56" i="135"/>
  <c r="CW61" i="135"/>
  <c r="CW55" i="135"/>
  <c r="CW54" i="135"/>
  <c r="CW53" i="135"/>
  <c r="CW52" i="135"/>
  <c r="CW36" i="135"/>
  <c r="CW30" i="135"/>
  <c r="CW28" i="135"/>
  <c r="CW29" i="135" s="1"/>
  <c r="CW39" i="135"/>
  <c r="CW6" i="135"/>
  <c r="CX4" i="135"/>
  <c r="CV38" i="135"/>
  <c r="CV37" i="135"/>
  <c r="BH133" i="135"/>
  <c r="BH48" i="135"/>
  <c r="BH127" i="135" s="1"/>
  <c r="BH142" i="135" s="1"/>
  <c r="BH49" i="135"/>
  <c r="CV41" i="135"/>
  <c r="CV40" i="135"/>
  <c r="BG130" i="135"/>
  <c r="BH46" i="135"/>
  <c r="BH45" i="135"/>
  <c r="BH128" i="135" s="1"/>
  <c r="BH154" i="135" s="1"/>
  <c r="BG137" i="135"/>
  <c r="BG134" i="135"/>
  <c r="BG135" i="135" s="1"/>
  <c r="BC139" i="134"/>
  <c r="AF20" i="134"/>
  <c r="AG65" i="134"/>
  <c r="AG66" i="134"/>
  <c r="AG67" i="134"/>
  <c r="AG72" i="134"/>
  <c r="AG69" i="134"/>
  <c r="AG70" i="134"/>
  <c r="AG73" i="134"/>
  <c r="AG68" i="134"/>
  <c r="AG71" i="134"/>
  <c r="AG75" i="134"/>
  <c r="AG80" i="134"/>
  <c r="AG76" i="134"/>
  <c r="AG77" i="134"/>
  <c r="AG78" i="134"/>
  <c r="AG74" i="134"/>
  <c r="AG79" i="134"/>
  <c r="AG81" i="134"/>
  <c r="AG82" i="134"/>
  <c r="AF21" i="134"/>
  <c r="AF24" i="134" s="1"/>
  <c r="AF23" i="134" s="1"/>
  <c r="E82" i="134"/>
  <c r="F82" i="134"/>
  <c r="G82" i="134"/>
  <c r="H82" i="134"/>
  <c r="I82" i="134"/>
  <c r="J82" i="134"/>
  <c r="K82" i="134"/>
  <c r="L82" i="134"/>
  <c r="M82" i="134"/>
  <c r="N82" i="134"/>
  <c r="O82" i="134"/>
  <c r="P82" i="134"/>
  <c r="Q82" i="134"/>
  <c r="R82" i="134"/>
  <c r="S82" i="134"/>
  <c r="T82" i="134"/>
  <c r="U82" i="134"/>
  <c r="V82" i="134"/>
  <c r="W82" i="134"/>
  <c r="X82" i="134"/>
  <c r="Y82" i="134"/>
  <c r="Z82" i="134"/>
  <c r="AA82" i="134"/>
  <c r="AB82" i="134"/>
  <c r="AC82" i="134"/>
  <c r="AD82" i="134"/>
  <c r="AE82" i="134"/>
  <c r="AF82" i="134"/>
  <c r="AG28" i="134"/>
  <c r="AG29" i="134" s="1"/>
  <c r="AG53" i="134"/>
  <c r="AE22" i="134"/>
  <c r="R50" i="134"/>
  <c r="R51" i="134" s="1"/>
  <c r="R137" i="134"/>
  <c r="R129" i="134"/>
  <c r="T31" i="134"/>
  <c r="T32" i="134" s="1"/>
  <c r="U27" i="134" s="1"/>
  <c r="S44" i="134"/>
  <c r="S47" i="134"/>
  <c r="AF22" i="134"/>
  <c r="AG39" i="134"/>
  <c r="AG36" i="134"/>
  <c r="AG52" i="134"/>
  <c r="AG140" i="134" s="1"/>
  <c r="AG30" i="134"/>
  <c r="AG17" i="134"/>
  <c r="AG18" i="134" s="1"/>
  <c r="AG19" i="134"/>
  <c r="AG15" i="134"/>
  <c r="AG14" i="134"/>
  <c r="AH4" i="134"/>
  <c r="AF38" i="134"/>
  <c r="AF37" i="134"/>
  <c r="D83" i="134"/>
  <c r="AG83" i="134" s="1"/>
  <c r="B82" i="134"/>
  <c r="AF41" i="134"/>
  <c r="AF40" i="134"/>
  <c r="AF16" i="134"/>
  <c r="BH153" i="135" l="1"/>
  <c r="BH155" i="135"/>
  <c r="BH130" i="135"/>
  <c r="CX102" i="135"/>
  <c r="CX100" i="135"/>
  <c r="CX98" i="135"/>
  <c r="CX103" i="135"/>
  <c r="CX101" i="135"/>
  <c r="CX99" i="135"/>
  <c r="CX96" i="135"/>
  <c r="CX97" i="135"/>
  <c r="CX95" i="135"/>
  <c r="CX94" i="135"/>
  <c r="CX91" i="135"/>
  <c r="CX90" i="135"/>
  <c r="CX92" i="135"/>
  <c r="CX84" i="135"/>
  <c r="CX93" i="135"/>
  <c r="CX85" i="135"/>
  <c r="CX87" i="135"/>
  <c r="CX89" i="135"/>
  <c r="CX86" i="135"/>
  <c r="CX80" i="135"/>
  <c r="CX88" i="135"/>
  <c r="CX79" i="135"/>
  <c r="CX78" i="135"/>
  <c r="CX77" i="135"/>
  <c r="CX74" i="135"/>
  <c r="CX76" i="135"/>
  <c r="CX83" i="135"/>
  <c r="CX81" i="135"/>
  <c r="CX70" i="135"/>
  <c r="CX69" i="135"/>
  <c r="CX68" i="135"/>
  <c r="CX75" i="135"/>
  <c r="CX67" i="135"/>
  <c r="CX66" i="135"/>
  <c r="CX72" i="135"/>
  <c r="CX65" i="135"/>
  <c r="CX73" i="135"/>
  <c r="CX71" i="135"/>
  <c r="CX62" i="135"/>
  <c r="CX60" i="135"/>
  <c r="CX59" i="135"/>
  <c r="CX82" i="135"/>
  <c r="CX58" i="135"/>
  <c r="CX57" i="135"/>
  <c r="CX56" i="135"/>
  <c r="CX61" i="135"/>
  <c r="CX55" i="135"/>
  <c r="CX54" i="135"/>
  <c r="CX64" i="135"/>
  <c r="CX63" i="135"/>
  <c r="CX53" i="135"/>
  <c r="CX52" i="135"/>
  <c r="CX36" i="135"/>
  <c r="CX30" i="135"/>
  <c r="CX28" i="135"/>
  <c r="CX29" i="135" s="1"/>
  <c r="CX39" i="135"/>
  <c r="CX6" i="135"/>
  <c r="CY4" i="135"/>
  <c r="BH50" i="135"/>
  <c r="BH136" i="135"/>
  <c r="BH129" i="135"/>
  <c r="BH125" i="135" s="1"/>
  <c r="BH131" i="135" s="1"/>
  <c r="BH137" i="135"/>
  <c r="BH134" i="135"/>
  <c r="BH135" i="135" s="1"/>
  <c r="CW41" i="135"/>
  <c r="CW40" i="135"/>
  <c r="CW37" i="135"/>
  <c r="CW38" i="135"/>
  <c r="CW139" i="135"/>
  <c r="BI47" i="135"/>
  <c r="BI44" i="135"/>
  <c r="BI92" i="135"/>
  <c r="BI124" i="135" s="1"/>
  <c r="BJ92" i="135"/>
  <c r="BK92" i="135"/>
  <c r="BL92" i="135"/>
  <c r="BM92" i="135"/>
  <c r="BN92" i="135"/>
  <c r="BO92" i="135"/>
  <c r="BP92" i="135"/>
  <c r="BQ92" i="135"/>
  <c r="BR92" i="135"/>
  <c r="BS92" i="135"/>
  <c r="BT92" i="135"/>
  <c r="BU92" i="135"/>
  <c r="BV92" i="135"/>
  <c r="BW92" i="135"/>
  <c r="BX92" i="135"/>
  <c r="BY92" i="135"/>
  <c r="BZ92" i="135"/>
  <c r="CA92" i="135"/>
  <c r="CB92" i="135"/>
  <c r="CC92" i="135"/>
  <c r="CD92" i="135"/>
  <c r="CE92" i="135"/>
  <c r="CF92" i="135"/>
  <c r="CG92" i="135"/>
  <c r="CH92" i="135"/>
  <c r="CI92" i="135"/>
  <c r="CJ92" i="135"/>
  <c r="CK92" i="135"/>
  <c r="CL92" i="135"/>
  <c r="BI32" i="135"/>
  <c r="BJ27" i="135" s="1"/>
  <c r="BD139" i="134"/>
  <c r="AG21" i="134"/>
  <c r="AG24" i="134" s="1"/>
  <c r="AG23" i="134" s="1"/>
  <c r="AG16" i="134"/>
  <c r="AH69" i="134"/>
  <c r="AH72" i="134"/>
  <c r="AH66" i="134"/>
  <c r="AH67" i="134"/>
  <c r="AH75" i="134"/>
  <c r="AH70" i="134"/>
  <c r="AH73" i="134"/>
  <c r="AH71" i="134"/>
  <c r="AH76" i="134"/>
  <c r="AH68" i="134"/>
  <c r="AH77" i="134"/>
  <c r="AH74" i="134"/>
  <c r="AH78" i="134"/>
  <c r="AH80" i="134"/>
  <c r="AH79" i="134"/>
  <c r="AH81" i="134"/>
  <c r="AH83" i="134"/>
  <c r="AH82" i="134"/>
  <c r="E83" i="134"/>
  <c r="F83" i="134"/>
  <c r="G83" i="134"/>
  <c r="H83" i="134"/>
  <c r="I83" i="134"/>
  <c r="J83" i="134"/>
  <c r="K83" i="134"/>
  <c r="L83" i="134"/>
  <c r="M83" i="134"/>
  <c r="N83" i="134"/>
  <c r="O83" i="134"/>
  <c r="P83" i="134"/>
  <c r="Q83" i="134"/>
  <c r="R83" i="134"/>
  <c r="S83" i="134"/>
  <c r="T83" i="134"/>
  <c r="U83" i="134"/>
  <c r="V83" i="134"/>
  <c r="W83" i="134"/>
  <c r="X83" i="134"/>
  <c r="Y83" i="134"/>
  <c r="Z83" i="134"/>
  <c r="AA83" i="134"/>
  <c r="AB83" i="134"/>
  <c r="AC83" i="134"/>
  <c r="AD83" i="134"/>
  <c r="AE83" i="134"/>
  <c r="AF83" i="134"/>
  <c r="AH28" i="134"/>
  <c r="AH29" i="134" s="1"/>
  <c r="AH53" i="134"/>
  <c r="U31" i="134"/>
  <c r="S49" i="134"/>
  <c r="S48" i="134"/>
  <c r="S46" i="134"/>
  <c r="S45" i="134"/>
  <c r="T47" i="134"/>
  <c r="T44" i="134"/>
  <c r="B83" i="134"/>
  <c r="D84" i="134"/>
  <c r="AH84" i="134" s="1"/>
  <c r="AG37" i="134"/>
  <c r="AG38" i="134"/>
  <c r="AG41" i="134"/>
  <c r="AG40" i="134"/>
  <c r="AG22" i="134"/>
  <c r="AH52" i="134"/>
  <c r="AH140" i="134" s="1"/>
  <c r="AH36" i="134"/>
  <c r="AH39" i="134"/>
  <c r="AH30" i="134"/>
  <c r="AH19" i="134"/>
  <c r="AH15" i="134"/>
  <c r="AH14" i="134"/>
  <c r="AH17" i="134"/>
  <c r="AH18" i="134" s="1"/>
  <c r="AI4" i="134"/>
  <c r="AG20" i="134"/>
  <c r="BI45" i="135" l="1"/>
  <c r="BI128" i="135" s="1"/>
  <c r="BI154" i="135" s="1"/>
  <c r="BI46" i="135"/>
  <c r="BI48" i="135"/>
  <c r="BI49" i="135"/>
  <c r="CY101" i="135"/>
  <c r="CY100" i="135"/>
  <c r="CY99" i="135"/>
  <c r="CY102" i="135"/>
  <c r="CY103" i="135"/>
  <c r="CY104" i="135"/>
  <c r="CY96" i="135"/>
  <c r="CY97" i="135"/>
  <c r="CY95" i="135"/>
  <c r="CY98" i="135"/>
  <c r="CY94" i="135"/>
  <c r="CY90" i="135"/>
  <c r="CY91" i="135"/>
  <c r="CY92" i="135"/>
  <c r="CY84" i="135"/>
  <c r="CY83" i="135"/>
  <c r="CY81" i="135"/>
  <c r="CY79" i="135"/>
  <c r="CY77" i="135"/>
  <c r="CY75" i="135"/>
  <c r="CY73" i="135"/>
  <c r="CY71" i="135"/>
  <c r="CY93" i="135"/>
  <c r="CY85" i="135"/>
  <c r="CY87" i="135"/>
  <c r="CY88" i="135"/>
  <c r="CY86" i="135"/>
  <c r="CY78" i="135"/>
  <c r="CY74" i="135"/>
  <c r="CY76" i="135"/>
  <c r="CY89" i="135"/>
  <c r="CY82" i="135"/>
  <c r="CY80" i="135"/>
  <c r="CY69" i="135"/>
  <c r="CY68" i="135"/>
  <c r="CY67" i="135"/>
  <c r="CY66" i="135"/>
  <c r="CY59" i="135"/>
  <c r="CY57" i="135"/>
  <c r="CY55" i="135"/>
  <c r="CY53" i="135"/>
  <c r="CY72" i="135"/>
  <c r="CY65" i="135"/>
  <c r="CY64" i="135"/>
  <c r="CY52" i="135"/>
  <c r="CY70" i="135"/>
  <c r="CY62" i="135"/>
  <c r="CY60" i="135"/>
  <c r="CY39" i="135"/>
  <c r="CY36" i="135"/>
  <c r="CY30" i="135"/>
  <c r="CY58" i="135"/>
  <c r="CY56" i="135"/>
  <c r="CY61" i="135"/>
  <c r="CY54" i="135"/>
  <c r="CY63" i="135"/>
  <c r="CY28" i="135"/>
  <c r="CY29" i="135" s="1"/>
  <c r="CY6" i="135"/>
  <c r="CZ4" i="135"/>
  <c r="BJ31" i="135"/>
  <c r="BJ32" i="135" s="1"/>
  <c r="BK27" i="135" s="1"/>
  <c r="CX41" i="135"/>
  <c r="CX40" i="135"/>
  <c r="CX38" i="135"/>
  <c r="CX37" i="135"/>
  <c r="CX139" i="135"/>
  <c r="BI127" i="135"/>
  <c r="BI142" i="135" s="1"/>
  <c r="BI133" i="135"/>
  <c r="BE139" i="134"/>
  <c r="AI67" i="134"/>
  <c r="AI68" i="134"/>
  <c r="AI69" i="134"/>
  <c r="AI72" i="134"/>
  <c r="AI71" i="134"/>
  <c r="AI70" i="134"/>
  <c r="AI76" i="134"/>
  <c r="AI73" i="134"/>
  <c r="AI79" i="134"/>
  <c r="AI75" i="134"/>
  <c r="AI80" i="134"/>
  <c r="AI77" i="134"/>
  <c r="AI78" i="134"/>
  <c r="AI74" i="134"/>
  <c r="AI82" i="134"/>
  <c r="AI84" i="134"/>
  <c r="AI81" i="134"/>
  <c r="AI83" i="134"/>
  <c r="AH20" i="134"/>
  <c r="E84" i="134"/>
  <c r="F84" i="134"/>
  <c r="G84" i="134"/>
  <c r="H84" i="134"/>
  <c r="I84" i="134"/>
  <c r="J84" i="134"/>
  <c r="K84" i="134"/>
  <c r="L84" i="134"/>
  <c r="M84" i="134"/>
  <c r="N84" i="134"/>
  <c r="O84" i="134"/>
  <c r="P84" i="134"/>
  <c r="Q84" i="134"/>
  <c r="R84" i="134"/>
  <c r="S84" i="134"/>
  <c r="T84" i="134"/>
  <c r="U84" i="134"/>
  <c r="V84" i="134"/>
  <c r="W84" i="134"/>
  <c r="X84" i="134"/>
  <c r="Y84" i="134"/>
  <c r="Z84" i="134"/>
  <c r="AA84" i="134"/>
  <c r="AB84" i="134"/>
  <c r="AC84" i="134"/>
  <c r="AD84" i="134"/>
  <c r="AE84" i="134"/>
  <c r="AF84" i="134"/>
  <c r="AG84" i="134"/>
  <c r="AI28" i="134"/>
  <c r="AI29" i="134" s="1"/>
  <c r="AI53" i="134"/>
  <c r="T46" i="134"/>
  <c r="T45" i="134"/>
  <c r="S129" i="134"/>
  <c r="S50" i="134"/>
  <c r="S137" i="134"/>
  <c r="U44" i="134"/>
  <c r="U47" i="134"/>
  <c r="T48" i="134"/>
  <c r="T49" i="134"/>
  <c r="U32" i="134"/>
  <c r="V27" i="134" s="1"/>
  <c r="AH16" i="134"/>
  <c r="AH21" i="134"/>
  <c r="AH24" i="134" s="1"/>
  <c r="AH23" i="134" s="1"/>
  <c r="D85" i="134"/>
  <c r="AI85" i="134" s="1"/>
  <c r="B84" i="134"/>
  <c r="AH38" i="134"/>
  <c r="AH37" i="134"/>
  <c r="AH41" i="134"/>
  <c r="AH40" i="134"/>
  <c r="AI52" i="134"/>
  <c r="AI140" i="134" s="1"/>
  <c r="AI36" i="134"/>
  <c r="AI14" i="134"/>
  <c r="AI39" i="134"/>
  <c r="AI30" i="134"/>
  <c r="AI19" i="134"/>
  <c r="AI15" i="134"/>
  <c r="AI17" i="134"/>
  <c r="AI18" i="134" s="1"/>
  <c r="AJ4" i="134"/>
  <c r="BI153" i="135" l="1"/>
  <c r="BI155" i="135"/>
  <c r="BK31" i="135"/>
  <c r="BI134" i="135"/>
  <c r="BI135" i="135" s="1"/>
  <c r="BI137" i="135"/>
  <c r="CY41" i="135"/>
  <c r="CY40" i="135"/>
  <c r="CZ102" i="135"/>
  <c r="CZ101" i="135"/>
  <c r="CZ100" i="135"/>
  <c r="CZ99" i="135"/>
  <c r="CZ95" i="135"/>
  <c r="CZ93" i="135"/>
  <c r="CZ91" i="135"/>
  <c r="CZ89" i="135"/>
  <c r="CZ87" i="135"/>
  <c r="CZ103" i="135"/>
  <c r="CZ98" i="135"/>
  <c r="CZ105" i="135"/>
  <c r="CZ104" i="135"/>
  <c r="CZ96" i="135"/>
  <c r="CZ94" i="135"/>
  <c r="CZ92" i="135"/>
  <c r="CZ90" i="135"/>
  <c r="CZ88" i="135"/>
  <c r="CZ86" i="135"/>
  <c r="CZ84" i="135"/>
  <c r="CZ97" i="135"/>
  <c r="CZ85" i="135"/>
  <c r="CZ82" i="135"/>
  <c r="CZ80" i="135"/>
  <c r="CZ78" i="135"/>
  <c r="CZ76" i="135"/>
  <c r="CZ79" i="135"/>
  <c r="CZ74" i="135"/>
  <c r="CZ77" i="135"/>
  <c r="CZ75" i="135"/>
  <c r="CZ83" i="135"/>
  <c r="CZ72" i="135"/>
  <c r="CZ68" i="135"/>
  <c r="CZ67" i="135"/>
  <c r="CZ66" i="135"/>
  <c r="CZ65" i="135"/>
  <c r="CZ64" i="135"/>
  <c r="CZ81" i="135"/>
  <c r="CZ60" i="135"/>
  <c r="CZ58" i="135"/>
  <c r="CZ56" i="135"/>
  <c r="CZ54" i="135"/>
  <c r="CZ69" i="135"/>
  <c r="CZ71" i="135"/>
  <c r="CZ62" i="135"/>
  <c r="CZ59" i="135"/>
  <c r="CZ57" i="135"/>
  <c r="CZ61" i="135"/>
  <c r="CZ70" i="135"/>
  <c r="CZ55" i="135"/>
  <c r="CZ63" i="135"/>
  <c r="CZ73" i="135"/>
  <c r="CZ53" i="135"/>
  <c r="CZ52" i="135"/>
  <c r="CZ36" i="135"/>
  <c r="CZ30" i="135"/>
  <c r="CZ28" i="135"/>
  <c r="CZ29" i="135" s="1"/>
  <c r="CZ39" i="135"/>
  <c r="CZ6" i="135"/>
  <c r="CY139" i="135"/>
  <c r="BI130" i="135"/>
  <c r="BI50" i="135"/>
  <c r="BI129" i="135"/>
  <c r="BI125" i="135" s="1"/>
  <c r="BI131" i="135" s="1"/>
  <c r="BI136" i="135"/>
  <c r="CY37" i="135"/>
  <c r="CY38" i="135"/>
  <c r="BJ44" i="135"/>
  <c r="BJ47" i="135"/>
  <c r="BJ93" i="135"/>
  <c r="BJ124" i="135" s="1"/>
  <c r="BK93" i="135"/>
  <c r="BL93" i="135"/>
  <c r="BM93" i="135"/>
  <c r="BN93" i="135"/>
  <c r="BO93" i="135"/>
  <c r="BP93" i="135"/>
  <c r="BQ93" i="135"/>
  <c r="BR93" i="135"/>
  <c r="BS93" i="135"/>
  <c r="BT93" i="135"/>
  <c r="BU93" i="135"/>
  <c r="BV93" i="135"/>
  <c r="BW93" i="135"/>
  <c r="BX93" i="135"/>
  <c r="BY93" i="135"/>
  <c r="BZ93" i="135"/>
  <c r="CA93" i="135"/>
  <c r="CB93" i="135"/>
  <c r="CC93" i="135"/>
  <c r="CD93" i="135"/>
  <c r="CE93" i="135"/>
  <c r="CF93" i="135"/>
  <c r="CG93" i="135"/>
  <c r="CH93" i="135"/>
  <c r="CI93" i="135"/>
  <c r="CJ93" i="135"/>
  <c r="CK93" i="135"/>
  <c r="CL93" i="135"/>
  <c r="CM93" i="135"/>
  <c r="AH22" i="134"/>
  <c r="BF139" i="134"/>
  <c r="AJ68" i="134"/>
  <c r="AJ70" i="134"/>
  <c r="AJ73" i="134"/>
  <c r="AJ71" i="134"/>
  <c r="AJ72" i="134"/>
  <c r="AJ69" i="134"/>
  <c r="AJ76" i="134"/>
  <c r="AJ79" i="134"/>
  <c r="AJ75" i="134"/>
  <c r="AJ81" i="134"/>
  <c r="AJ77" i="134"/>
  <c r="AJ83" i="134"/>
  <c r="AJ82" i="134"/>
  <c r="AJ78" i="134"/>
  <c r="AJ80" i="134"/>
  <c r="AJ74" i="134"/>
  <c r="AJ84" i="134"/>
  <c r="AJ85" i="134"/>
  <c r="E85" i="134"/>
  <c r="F85" i="134"/>
  <c r="G85" i="134"/>
  <c r="H85" i="134"/>
  <c r="I85" i="134"/>
  <c r="J85" i="134"/>
  <c r="K85" i="134"/>
  <c r="L85" i="134"/>
  <c r="M85" i="134"/>
  <c r="N85" i="134"/>
  <c r="O85" i="134"/>
  <c r="P85" i="134"/>
  <c r="Q85" i="134"/>
  <c r="R85" i="134"/>
  <c r="S85" i="134"/>
  <c r="T85" i="134"/>
  <c r="U85" i="134"/>
  <c r="V85" i="134"/>
  <c r="W85" i="134"/>
  <c r="X85" i="134"/>
  <c r="Y85" i="134"/>
  <c r="Z85" i="134"/>
  <c r="AA85" i="134"/>
  <c r="AB85" i="134"/>
  <c r="AC85" i="134"/>
  <c r="AD85" i="134"/>
  <c r="AE85" i="134"/>
  <c r="AF85" i="134"/>
  <c r="AG85" i="134"/>
  <c r="AH85" i="134"/>
  <c r="AI20" i="134"/>
  <c r="AI16" i="134"/>
  <c r="AJ28" i="134"/>
  <c r="AJ29" i="134" s="1"/>
  <c r="AJ53" i="134"/>
  <c r="V31" i="134"/>
  <c r="V32" i="134" s="1"/>
  <c r="W27" i="134" s="1"/>
  <c r="T50" i="134"/>
  <c r="T129" i="134"/>
  <c r="T137" i="134"/>
  <c r="U49" i="134"/>
  <c r="U48" i="134"/>
  <c r="U45" i="134"/>
  <c r="U46" i="134"/>
  <c r="AI21" i="134"/>
  <c r="AI24" i="134" s="1"/>
  <c r="AI23" i="134" s="1"/>
  <c r="D86" i="134"/>
  <c r="B85" i="134"/>
  <c r="AI38" i="134"/>
  <c r="AI37" i="134"/>
  <c r="AI22" i="134"/>
  <c r="AI41" i="134"/>
  <c r="AI40" i="134"/>
  <c r="AJ39" i="134"/>
  <c r="AJ36" i="134"/>
  <c r="AJ52" i="134"/>
  <c r="AJ140" i="134" s="1"/>
  <c r="AJ17" i="134"/>
  <c r="AJ18" i="134" s="1"/>
  <c r="AJ30" i="134"/>
  <c r="AK4" i="134"/>
  <c r="AJ15" i="134"/>
  <c r="AJ19" i="134"/>
  <c r="AJ14" i="134"/>
  <c r="AJ20" i="134" s="1"/>
  <c r="CZ40" i="135" l="1"/>
  <c r="CZ41" i="135"/>
  <c r="CZ139" i="135"/>
  <c r="E146" i="135" s="1"/>
  <c r="CZ38" i="135"/>
  <c r="CZ37" i="135"/>
  <c r="BJ133" i="135"/>
  <c r="BJ48" i="135"/>
  <c r="BJ49" i="135"/>
  <c r="BJ46" i="135"/>
  <c r="BJ45" i="135"/>
  <c r="BJ128" i="135" s="1"/>
  <c r="BJ154" i="135" s="1"/>
  <c r="BK44" i="135"/>
  <c r="BK47" i="135"/>
  <c r="BK94" i="135"/>
  <c r="BK124" i="135" s="1"/>
  <c r="BL94" i="135"/>
  <c r="BM94" i="135"/>
  <c r="BN94" i="135"/>
  <c r="BO94" i="135"/>
  <c r="BP94" i="135"/>
  <c r="BQ94" i="135"/>
  <c r="BR94" i="135"/>
  <c r="BS94" i="135"/>
  <c r="BT94" i="135"/>
  <c r="BU94" i="135"/>
  <c r="BV94" i="135"/>
  <c r="BW94" i="135"/>
  <c r="BX94" i="135"/>
  <c r="BY94" i="135"/>
  <c r="BZ94" i="135"/>
  <c r="CA94" i="135"/>
  <c r="CB94" i="135"/>
  <c r="CC94" i="135"/>
  <c r="CD94" i="135"/>
  <c r="CE94" i="135"/>
  <c r="CF94" i="135"/>
  <c r="CG94" i="135"/>
  <c r="CH94" i="135"/>
  <c r="CI94" i="135"/>
  <c r="CJ94" i="135"/>
  <c r="CK94" i="135"/>
  <c r="CL94" i="135"/>
  <c r="CM94" i="135"/>
  <c r="CN94" i="135"/>
  <c r="BK32" i="135"/>
  <c r="BL27" i="135" s="1"/>
  <c r="BG139" i="134"/>
  <c r="AK71" i="134"/>
  <c r="AK72" i="134"/>
  <c r="AK69" i="134"/>
  <c r="AK70" i="134"/>
  <c r="AK74" i="134"/>
  <c r="AK79" i="134"/>
  <c r="AK82" i="134"/>
  <c r="AK75" i="134"/>
  <c r="AK73" i="134"/>
  <c r="AK76" i="134"/>
  <c r="AK83" i="134"/>
  <c r="AK77" i="134"/>
  <c r="AK86" i="134"/>
  <c r="AK78" i="134"/>
  <c r="AK80" i="134"/>
  <c r="AK84" i="134"/>
  <c r="AK81" i="134"/>
  <c r="AK85" i="134"/>
  <c r="E86" i="134"/>
  <c r="F86" i="134"/>
  <c r="G86" i="134"/>
  <c r="H86" i="134"/>
  <c r="I86" i="134"/>
  <c r="J86" i="134"/>
  <c r="K86" i="134"/>
  <c r="L86" i="134"/>
  <c r="M86" i="134"/>
  <c r="N86" i="134"/>
  <c r="O86" i="134"/>
  <c r="P86" i="134"/>
  <c r="Q86" i="134"/>
  <c r="R86" i="134"/>
  <c r="S86" i="134"/>
  <c r="T86" i="134"/>
  <c r="U86" i="134"/>
  <c r="V86" i="134"/>
  <c r="W86" i="134"/>
  <c r="X86" i="134"/>
  <c r="Y86" i="134"/>
  <c r="Z86" i="134"/>
  <c r="AA86" i="134"/>
  <c r="AB86" i="134"/>
  <c r="AC86" i="134"/>
  <c r="AD86" i="134"/>
  <c r="AE86" i="134"/>
  <c r="AF86" i="134"/>
  <c r="AG86" i="134"/>
  <c r="AH86" i="134"/>
  <c r="AI86" i="134"/>
  <c r="AJ86" i="134"/>
  <c r="AK28" i="134"/>
  <c r="AK29" i="134" s="1"/>
  <c r="AK53" i="134"/>
  <c r="U129" i="134"/>
  <c r="U50" i="134"/>
  <c r="U137" i="134"/>
  <c r="W31" i="134"/>
  <c r="AK54" i="134" s="1"/>
  <c r="V44" i="134"/>
  <c r="V47" i="134"/>
  <c r="AJ21" i="134"/>
  <c r="AJ24" i="134" s="1"/>
  <c r="AJ23" i="134" s="1"/>
  <c r="AJ16" i="134"/>
  <c r="AJ37" i="134"/>
  <c r="AJ38" i="134"/>
  <c r="D87" i="134"/>
  <c r="AK87" i="134" s="1"/>
  <c r="B86" i="134"/>
  <c r="AK30" i="134"/>
  <c r="AK39" i="134"/>
  <c r="AK52" i="134"/>
  <c r="AK140" i="134" s="1"/>
  <c r="AK36" i="134"/>
  <c r="AK15" i="134"/>
  <c r="AK19" i="134"/>
  <c r="AK14" i="134"/>
  <c r="AL4" i="134"/>
  <c r="AK17" i="134"/>
  <c r="AK18" i="134" s="1"/>
  <c r="AJ40" i="134"/>
  <c r="AJ41" i="134"/>
  <c r="BJ153" i="135" l="1"/>
  <c r="BJ155" i="135"/>
  <c r="BK49" i="135"/>
  <c r="BK48" i="135"/>
  <c r="BK45" i="135"/>
  <c r="BK128" i="135" s="1"/>
  <c r="BK154" i="135" s="1"/>
  <c r="BK46" i="135"/>
  <c r="BL31" i="135"/>
  <c r="BJ50" i="135"/>
  <c r="BJ136" i="135"/>
  <c r="BJ129" i="135"/>
  <c r="BJ125" i="135" s="1"/>
  <c r="BJ131" i="135" s="1"/>
  <c r="BJ127" i="135"/>
  <c r="BJ142" i="135" s="1"/>
  <c r="BK127" i="135"/>
  <c r="BK142" i="135" s="1"/>
  <c r="BK133" i="135"/>
  <c r="AK21" i="134"/>
  <c r="AK24" i="134" s="1"/>
  <c r="AK23" i="134" s="1"/>
  <c r="BH139" i="134"/>
  <c r="E87" i="134"/>
  <c r="F87" i="134"/>
  <c r="G87" i="134"/>
  <c r="H87" i="134"/>
  <c r="I87" i="134"/>
  <c r="J87" i="134"/>
  <c r="K87" i="134"/>
  <c r="L87" i="134"/>
  <c r="M87" i="134"/>
  <c r="N87" i="134"/>
  <c r="O87" i="134"/>
  <c r="P87" i="134"/>
  <c r="Q87" i="134"/>
  <c r="R87" i="134"/>
  <c r="S87" i="134"/>
  <c r="T87" i="134"/>
  <c r="U87" i="134"/>
  <c r="V87" i="134"/>
  <c r="W87" i="134"/>
  <c r="X87" i="134"/>
  <c r="Y87" i="134"/>
  <c r="Z87" i="134"/>
  <c r="AA87" i="134"/>
  <c r="AB87" i="134"/>
  <c r="AC87" i="134"/>
  <c r="AD87" i="134"/>
  <c r="AE87" i="134"/>
  <c r="AF87" i="134"/>
  <c r="AG87" i="134"/>
  <c r="AH87" i="134"/>
  <c r="AI87" i="134"/>
  <c r="AJ87" i="134"/>
  <c r="AL71" i="134"/>
  <c r="AL73" i="134"/>
  <c r="AL74" i="134"/>
  <c r="AL72" i="134"/>
  <c r="AL77" i="134"/>
  <c r="AL78" i="134"/>
  <c r="AL75" i="134"/>
  <c r="AL70" i="134"/>
  <c r="AL76" i="134"/>
  <c r="AL85" i="134"/>
  <c r="AL82" i="134"/>
  <c r="AL83" i="134"/>
  <c r="AL86" i="134"/>
  <c r="AL80" i="134"/>
  <c r="AL87" i="134"/>
  <c r="AL79" i="134"/>
  <c r="AL84" i="134"/>
  <c r="AL81" i="134"/>
  <c r="AL54" i="134"/>
  <c r="W32" i="134"/>
  <c r="X27" i="134" s="1"/>
  <c r="X31" i="134" s="1"/>
  <c r="W54" i="134"/>
  <c r="X54" i="134"/>
  <c r="Y54" i="134"/>
  <c r="Z54" i="134"/>
  <c r="AA54" i="134"/>
  <c r="AB54" i="134"/>
  <c r="AC54" i="134"/>
  <c r="AD54" i="134"/>
  <c r="AE54" i="134"/>
  <c r="AF54" i="134"/>
  <c r="AG54" i="134"/>
  <c r="AH54" i="134"/>
  <c r="AI54" i="134"/>
  <c r="AJ54" i="134"/>
  <c r="AJ22" i="134"/>
  <c r="AK22" i="134" s="1"/>
  <c r="AL28" i="134"/>
  <c r="AL29" i="134" s="1"/>
  <c r="AL53" i="134"/>
  <c r="AK20" i="134"/>
  <c r="V49" i="134"/>
  <c r="V48" i="134"/>
  <c r="V45" i="134"/>
  <c r="V46" i="134"/>
  <c r="W44" i="134"/>
  <c r="W47" i="134"/>
  <c r="AL39" i="134"/>
  <c r="AL52" i="134"/>
  <c r="AL140" i="134" s="1"/>
  <c r="AL36" i="134"/>
  <c r="AL30" i="134"/>
  <c r="AL15" i="134"/>
  <c r="AL19" i="134"/>
  <c r="AL14" i="134"/>
  <c r="AM4" i="134"/>
  <c r="AL17" i="134"/>
  <c r="AL18" i="134" s="1"/>
  <c r="AK16" i="134"/>
  <c r="AK38" i="134"/>
  <c r="AK37" i="134"/>
  <c r="AK40" i="134"/>
  <c r="AK41" i="134"/>
  <c r="D88" i="134"/>
  <c r="AL88" i="134" s="1"/>
  <c r="B87" i="134"/>
  <c r="BK153" i="135" l="1"/>
  <c r="BK155" i="135"/>
  <c r="BJ137" i="135"/>
  <c r="BJ134" i="135"/>
  <c r="BJ135" i="135" s="1"/>
  <c r="BJ130" i="135"/>
  <c r="BK130" i="135" s="1"/>
  <c r="BL44" i="135"/>
  <c r="BL47" i="135"/>
  <c r="BL95" i="135"/>
  <c r="BL124" i="135" s="1"/>
  <c r="BM95" i="135"/>
  <c r="BN95" i="135"/>
  <c r="BO95" i="135"/>
  <c r="BP95" i="135"/>
  <c r="BQ95" i="135"/>
  <c r="BR95" i="135"/>
  <c r="BS95" i="135"/>
  <c r="BT95" i="135"/>
  <c r="BU95" i="135"/>
  <c r="BV95" i="135"/>
  <c r="BW95" i="135"/>
  <c r="BX95" i="135"/>
  <c r="BY95" i="135"/>
  <c r="BZ95" i="135"/>
  <c r="CA95" i="135"/>
  <c r="CB95" i="135"/>
  <c r="CC95" i="135"/>
  <c r="CD95" i="135"/>
  <c r="CE95" i="135"/>
  <c r="CF95" i="135"/>
  <c r="CG95" i="135"/>
  <c r="CH95" i="135"/>
  <c r="CI95" i="135"/>
  <c r="CJ95" i="135"/>
  <c r="CK95" i="135"/>
  <c r="CL95" i="135"/>
  <c r="CM95" i="135"/>
  <c r="CN95" i="135"/>
  <c r="CO95" i="135"/>
  <c r="BL32" i="135"/>
  <c r="BM27" i="135" s="1"/>
  <c r="BK137" i="135"/>
  <c r="BK134" i="135"/>
  <c r="BK135" i="135" s="1"/>
  <c r="BK50" i="135"/>
  <c r="BK136" i="135"/>
  <c r="BK129" i="135"/>
  <c r="BK125" i="135" s="1"/>
  <c r="BK131" i="135" s="1"/>
  <c r="BI139" i="134"/>
  <c r="X55" i="134"/>
  <c r="Y55" i="134"/>
  <c r="Z55" i="134"/>
  <c r="AA55" i="134"/>
  <c r="AB55" i="134"/>
  <c r="AC55" i="134"/>
  <c r="AD55" i="134"/>
  <c r="AE55" i="134"/>
  <c r="AF55" i="134"/>
  <c r="AG55" i="134"/>
  <c r="AH55" i="134"/>
  <c r="AI55" i="134"/>
  <c r="AJ55" i="134"/>
  <c r="AK55" i="134"/>
  <c r="AL55" i="134"/>
  <c r="X32" i="134"/>
  <c r="Y27" i="134" s="1"/>
  <c r="Y31" i="134" s="1"/>
  <c r="AM56" i="134" s="1"/>
  <c r="AM55" i="134"/>
  <c r="AM71" i="134"/>
  <c r="AM73" i="134"/>
  <c r="AM72" i="134"/>
  <c r="AM75" i="134"/>
  <c r="AM78" i="134"/>
  <c r="AM74" i="134"/>
  <c r="AM77" i="134"/>
  <c r="AM79" i="134"/>
  <c r="AM82" i="134"/>
  <c r="AM76" i="134"/>
  <c r="AM81" i="134"/>
  <c r="AM85" i="134"/>
  <c r="AM88" i="134"/>
  <c r="AM83" i="134"/>
  <c r="AM86" i="134"/>
  <c r="AM80" i="134"/>
  <c r="AM87" i="134"/>
  <c r="AM84" i="134"/>
  <c r="AM54" i="134"/>
  <c r="E88" i="134"/>
  <c r="F88" i="134"/>
  <c r="G88" i="134"/>
  <c r="H88" i="134"/>
  <c r="I88" i="134"/>
  <c r="J88" i="134"/>
  <c r="K88" i="134"/>
  <c r="L88" i="134"/>
  <c r="M88" i="134"/>
  <c r="N88" i="134"/>
  <c r="O88" i="134"/>
  <c r="P88" i="134"/>
  <c r="Q88" i="134"/>
  <c r="R88" i="134"/>
  <c r="S88" i="134"/>
  <c r="T88" i="134"/>
  <c r="U88" i="134"/>
  <c r="V88" i="134"/>
  <c r="W88" i="134"/>
  <c r="X88" i="134"/>
  <c r="Y88" i="134"/>
  <c r="Z88" i="134"/>
  <c r="AA88" i="134"/>
  <c r="AB88" i="134"/>
  <c r="AC88" i="134"/>
  <c r="AD88" i="134"/>
  <c r="AE88" i="134"/>
  <c r="AF88" i="134"/>
  <c r="AG88" i="134"/>
  <c r="AH88" i="134"/>
  <c r="AI88" i="134"/>
  <c r="AJ88" i="134"/>
  <c r="AK88" i="134"/>
  <c r="AM28" i="134"/>
  <c r="AM29" i="134" s="1"/>
  <c r="AM53" i="134"/>
  <c r="AL21" i="134"/>
  <c r="AL24" i="134" s="1"/>
  <c r="AL23" i="134" s="1"/>
  <c r="AL16" i="134"/>
  <c r="W46" i="134"/>
  <c r="W45" i="134"/>
  <c r="X47" i="134"/>
  <c r="X44" i="134"/>
  <c r="W48" i="134"/>
  <c r="V50" i="134"/>
  <c r="V129" i="134"/>
  <c r="V137" i="134"/>
  <c r="AL38" i="134"/>
  <c r="AL37" i="134"/>
  <c r="D89" i="134"/>
  <c r="AM89" i="134" s="1"/>
  <c r="B88" i="134"/>
  <c r="AL40" i="134"/>
  <c r="AL41" i="134"/>
  <c r="AM52" i="134"/>
  <c r="AM140" i="134" s="1"/>
  <c r="AM36" i="134"/>
  <c r="AM39" i="134"/>
  <c r="AM30" i="134"/>
  <c r="AM15" i="134"/>
  <c r="AM19" i="134"/>
  <c r="AM14" i="134"/>
  <c r="AM17" i="134"/>
  <c r="AM18" i="134" s="1"/>
  <c r="AN4" i="134"/>
  <c r="AL20" i="134"/>
  <c r="Y32" i="134" l="1"/>
  <c r="Z27" i="134" s="1"/>
  <c r="BM31" i="135"/>
  <c r="BL133" i="135"/>
  <c r="BL49" i="135"/>
  <c r="BL48" i="135"/>
  <c r="BL45" i="135"/>
  <c r="BL128" i="135" s="1"/>
  <c r="BL154" i="135" s="1"/>
  <c r="BL46" i="135"/>
  <c r="BJ139" i="134"/>
  <c r="Y56" i="134"/>
  <c r="Z56" i="134"/>
  <c r="AA56" i="134"/>
  <c r="AB56" i="134"/>
  <c r="AC56" i="134"/>
  <c r="AD56" i="134"/>
  <c r="AE56" i="134"/>
  <c r="AF56" i="134"/>
  <c r="AG56" i="134"/>
  <c r="AH56" i="134"/>
  <c r="AI56" i="134"/>
  <c r="AJ56" i="134"/>
  <c r="AK56" i="134"/>
  <c r="AL56" i="134"/>
  <c r="AN56" i="134"/>
  <c r="AN55" i="134"/>
  <c r="AN72" i="134"/>
  <c r="AN73" i="134"/>
  <c r="AN75" i="134"/>
  <c r="AN78" i="134"/>
  <c r="AN74" i="134"/>
  <c r="AN77" i="134"/>
  <c r="AN76" i="134"/>
  <c r="AN80" i="134"/>
  <c r="AN84" i="134"/>
  <c r="AN81" i="134"/>
  <c r="AN85" i="134"/>
  <c r="AN88" i="134"/>
  <c r="AN82" i="134"/>
  <c r="AN83" i="134"/>
  <c r="AN86" i="134"/>
  <c r="AN79" i="134"/>
  <c r="AN87" i="134"/>
  <c r="AN89" i="134"/>
  <c r="AN54" i="134"/>
  <c r="E89" i="134"/>
  <c r="F89" i="134"/>
  <c r="G89" i="134"/>
  <c r="H89" i="134"/>
  <c r="I89" i="134"/>
  <c r="J89" i="134"/>
  <c r="K89" i="134"/>
  <c r="L89" i="134"/>
  <c r="M89" i="134"/>
  <c r="N89" i="134"/>
  <c r="O89" i="134"/>
  <c r="P89" i="134"/>
  <c r="Q89" i="134"/>
  <c r="R89" i="134"/>
  <c r="S89" i="134"/>
  <c r="T89" i="134"/>
  <c r="U89" i="134"/>
  <c r="V89" i="134"/>
  <c r="W89" i="134"/>
  <c r="X89" i="134"/>
  <c r="Y89" i="134"/>
  <c r="Z89" i="134"/>
  <c r="AA89" i="134"/>
  <c r="AB89" i="134"/>
  <c r="AC89" i="134"/>
  <c r="AD89" i="134"/>
  <c r="AE89" i="134"/>
  <c r="AF89" i="134"/>
  <c r="AG89" i="134"/>
  <c r="AH89" i="134"/>
  <c r="AI89" i="134"/>
  <c r="AJ89" i="134"/>
  <c r="AK89" i="134"/>
  <c r="AL89" i="134"/>
  <c r="AM20" i="134"/>
  <c r="AL22" i="134"/>
  <c r="AN28" i="134"/>
  <c r="AN29" i="134" s="1"/>
  <c r="AN53" i="134"/>
  <c r="X48" i="134"/>
  <c r="Z31" i="134"/>
  <c r="AN57" i="134" s="1"/>
  <c r="Y44" i="134"/>
  <c r="Y47" i="134"/>
  <c r="Y48" i="134" s="1"/>
  <c r="W137" i="134"/>
  <c r="W129" i="134"/>
  <c r="W50" i="134"/>
  <c r="W49" i="134"/>
  <c r="X46" i="134"/>
  <c r="X45" i="134"/>
  <c r="AM16" i="134"/>
  <c r="AM41" i="134"/>
  <c r="AM40" i="134"/>
  <c r="AM38" i="134"/>
  <c r="AM37" i="134"/>
  <c r="AM21" i="134"/>
  <c r="AM24" i="134" s="1"/>
  <c r="AM23" i="134" s="1"/>
  <c r="D90" i="134"/>
  <c r="AN90" i="134" s="1"/>
  <c r="B89" i="134"/>
  <c r="AN39" i="134"/>
  <c r="AN36" i="134"/>
  <c r="AN52" i="134"/>
  <c r="AN140" i="134" s="1"/>
  <c r="AN30" i="134"/>
  <c r="AN19" i="134"/>
  <c r="AO4" i="134"/>
  <c r="AN17" i="134"/>
  <c r="AN18" i="134" s="1"/>
  <c r="AN14" i="134"/>
  <c r="AN15" i="134"/>
  <c r="AN16" i="134" s="1"/>
  <c r="BL153" i="135" l="1"/>
  <c r="BL155" i="135"/>
  <c r="BL50" i="135"/>
  <c r="BL129" i="135"/>
  <c r="BL125" i="135" s="1"/>
  <c r="BL131" i="135" s="1"/>
  <c r="BL136" i="135"/>
  <c r="BL127" i="135"/>
  <c r="BL142" i="135" s="1"/>
  <c r="BM47" i="135"/>
  <c r="BM44" i="135"/>
  <c r="BM96" i="135"/>
  <c r="BM124" i="135" s="1"/>
  <c r="BN96" i="135"/>
  <c r="BO96" i="135"/>
  <c r="BP96" i="135"/>
  <c r="BQ96" i="135"/>
  <c r="BR96" i="135"/>
  <c r="BS96" i="135"/>
  <c r="BT96" i="135"/>
  <c r="BU96" i="135"/>
  <c r="BV96" i="135"/>
  <c r="BW96" i="135"/>
  <c r="BX96" i="135"/>
  <c r="BY96" i="135"/>
  <c r="BZ96" i="135"/>
  <c r="CA96" i="135"/>
  <c r="CB96" i="135"/>
  <c r="CC96" i="135"/>
  <c r="CD96" i="135"/>
  <c r="CE96" i="135"/>
  <c r="CF96" i="135"/>
  <c r="CG96" i="135"/>
  <c r="CH96" i="135"/>
  <c r="CI96" i="135"/>
  <c r="CJ96" i="135"/>
  <c r="CK96" i="135"/>
  <c r="CL96" i="135"/>
  <c r="CM96" i="135"/>
  <c r="CN96" i="135"/>
  <c r="CO96" i="135"/>
  <c r="CP96" i="135"/>
  <c r="BM32" i="135"/>
  <c r="BN27" i="135" s="1"/>
  <c r="BK139" i="134"/>
  <c r="AM22" i="134"/>
  <c r="AN21" i="134"/>
  <c r="AN24" i="134" s="1"/>
  <c r="AN23" i="134" s="1"/>
  <c r="X49" i="134"/>
  <c r="E90" i="134"/>
  <c r="F90" i="134"/>
  <c r="G90" i="134"/>
  <c r="H90" i="134"/>
  <c r="I90" i="134"/>
  <c r="J90" i="134"/>
  <c r="K90" i="134"/>
  <c r="L90" i="134"/>
  <c r="M90" i="134"/>
  <c r="N90" i="134"/>
  <c r="O90" i="134"/>
  <c r="P90" i="134"/>
  <c r="Q90" i="134"/>
  <c r="R90" i="134"/>
  <c r="S90" i="134"/>
  <c r="T90" i="134"/>
  <c r="U90" i="134"/>
  <c r="V90" i="134"/>
  <c r="W90" i="134"/>
  <c r="X90" i="134"/>
  <c r="Y90" i="134"/>
  <c r="Z90" i="134"/>
  <c r="AA90" i="134"/>
  <c r="AB90" i="134"/>
  <c r="AC90" i="134"/>
  <c r="AD90" i="134"/>
  <c r="AE90" i="134"/>
  <c r="AF90" i="134"/>
  <c r="AG90" i="134"/>
  <c r="AH90" i="134"/>
  <c r="AI90" i="134"/>
  <c r="AJ90" i="134"/>
  <c r="AK90" i="134"/>
  <c r="AL90" i="134"/>
  <c r="AM90" i="134"/>
  <c r="AO55" i="134"/>
  <c r="AO56" i="134"/>
  <c r="AO57" i="134"/>
  <c r="AO78" i="134"/>
  <c r="AO81" i="134"/>
  <c r="AO84" i="134"/>
  <c r="AO74" i="134"/>
  <c r="AO77" i="134"/>
  <c r="AO73" i="134"/>
  <c r="AO75" i="134"/>
  <c r="AO76" i="134"/>
  <c r="AO85" i="134"/>
  <c r="AO82" i="134"/>
  <c r="AO83" i="134"/>
  <c r="AO86" i="134"/>
  <c r="AO80" i="134"/>
  <c r="AO89" i="134"/>
  <c r="AO90" i="134"/>
  <c r="AO87" i="134"/>
  <c r="AO79" i="134"/>
  <c r="AO88" i="134"/>
  <c r="AO54" i="134"/>
  <c r="Z32" i="134"/>
  <c r="AA27" i="134" s="1"/>
  <c r="AA31" i="134" s="1"/>
  <c r="Z57" i="134"/>
  <c r="AA57" i="134"/>
  <c r="AB57" i="134"/>
  <c r="AC57" i="134"/>
  <c r="AD57" i="134"/>
  <c r="AE57" i="134"/>
  <c r="AF57" i="134"/>
  <c r="AG57" i="134"/>
  <c r="AH57" i="134"/>
  <c r="AI57" i="134"/>
  <c r="AJ57" i="134"/>
  <c r="AK57" i="134"/>
  <c r="AL57" i="134"/>
  <c r="AM57" i="134"/>
  <c r="AO28" i="134"/>
  <c r="AO29" i="134" s="1"/>
  <c r="AO53" i="134"/>
  <c r="Y46" i="134"/>
  <c r="Y45" i="134"/>
  <c r="Y50" i="134" s="1"/>
  <c r="Y49" i="134"/>
  <c r="Y129" i="134"/>
  <c r="Y137" i="134"/>
  <c r="Z44" i="134"/>
  <c r="Z47" i="134"/>
  <c r="X137" i="134"/>
  <c r="X129" i="134"/>
  <c r="X50" i="134"/>
  <c r="AN38" i="134"/>
  <c r="AN37" i="134"/>
  <c r="D91" i="134"/>
  <c r="AO91" i="134" s="1"/>
  <c r="B90" i="134"/>
  <c r="AN41" i="134"/>
  <c r="AN40" i="134"/>
  <c r="AN22" i="134"/>
  <c r="AN20" i="134"/>
  <c r="AO52" i="134"/>
  <c r="AO140" i="134" s="1"/>
  <c r="AO39" i="134"/>
  <c r="AO36" i="134"/>
  <c r="AO30" i="134"/>
  <c r="AO17" i="134"/>
  <c r="AO18" i="134" s="1"/>
  <c r="AO19" i="134"/>
  <c r="AO15" i="134"/>
  <c r="AO14" i="134"/>
  <c r="AP4" i="134"/>
  <c r="BM133" i="135" l="1"/>
  <c r="BM45" i="135"/>
  <c r="BM128" i="135" s="1"/>
  <c r="BM154" i="135" s="1"/>
  <c r="BM46" i="135"/>
  <c r="BM48" i="135"/>
  <c r="BM49" i="135"/>
  <c r="BL134" i="135"/>
  <c r="BL135" i="135" s="1"/>
  <c r="BL137" i="135"/>
  <c r="BL130" i="135"/>
  <c r="BN31" i="135"/>
  <c r="BL139" i="134"/>
  <c r="AA32" i="134"/>
  <c r="AB27" i="134" s="1"/>
  <c r="AB31" i="134" s="1"/>
  <c r="AA58" i="134"/>
  <c r="AB58" i="134"/>
  <c r="AC58" i="134"/>
  <c r="AD58" i="134"/>
  <c r="AE58" i="134"/>
  <c r="AF58" i="134"/>
  <c r="AG58" i="134"/>
  <c r="AH58" i="134"/>
  <c r="AI58" i="134"/>
  <c r="AJ58" i="134"/>
  <c r="AK58" i="134"/>
  <c r="AL58" i="134"/>
  <c r="AM58" i="134"/>
  <c r="AN58" i="134"/>
  <c r="AO58" i="134"/>
  <c r="E91" i="134"/>
  <c r="F91" i="134"/>
  <c r="G91" i="134"/>
  <c r="H91" i="134"/>
  <c r="I91" i="134"/>
  <c r="J91" i="134"/>
  <c r="K91" i="134"/>
  <c r="L91" i="134"/>
  <c r="M91" i="134"/>
  <c r="N91" i="134"/>
  <c r="O91" i="134"/>
  <c r="P91" i="134"/>
  <c r="Q91" i="134"/>
  <c r="R91" i="134"/>
  <c r="S91" i="134"/>
  <c r="T91" i="134"/>
  <c r="U91" i="134"/>
  <c r="V91" i="134"/>
  <c r="W91" i="134"/>
  <c r="X91" i="134"/>
  <c r="Y91" i="134"/>
  <c r="Z91" i="134"/>
  <c r="AA91" i="134"/>
  <c r="AB91" i="134"/>
  <c r="AC91" i="134"/>
  <c r="AD91" i="134"/>
  <c r="AE91" i="134"/>
  <c r="AF91" i="134"/>
  <c r="AG91" i="134"/>
  <c r="AH91" i="134"/>
  <c r="AI91" i="134"/>
  <c r="AJ91" i="134"/>
  <c r="AK91" i="134"/>
  <c r="AL91" i="134"/>
  <c r="AM91" i="134"/>
  <c r="AN91" i="134"/>
  <c r="AP55" i="134"/>
  <c r="AP58" i="134"/>
  <c r="AP56" i="134"/>
  <c r="AP57" i="134"/>
  <c r="AP76" i="134"/>
  <c r="AP78" i="134"/>
  <c r="AP74" i="134"/>
  <c r="AP77" i="134"/>
  <c r="AP75" i="134"/>
  <c r="AP79" i="134"/>
  <c r="AP87" i="134"/>
  <c r="AP84" i="134"/>
  <c r="AP81" i="134"/>
  <c r="AP85" i="134"/>
  <c r="AP88" i="134"/>
  <c r="AP91" i="134"/>
  <c r="AP82" i="134"/>
  <c r="AP83" i="134"/>
  <c r="AP86" i="134"/>
  <c r="AP80" i="134"/>
  <c r="AP89" i="134"/>
  <c r="AP90" i="134"/>
  <c r="AP54" i="134"/>
  <c r="AO16" i="134"/>
  <c r="AO21" i="134"/>
  <c r="AO24" i="134" s="1"/>
  <c r="AO23" i="134" s="1"/>
  <c r="AP28" i="134"/>
  <c r="AP29" i="134" s="1"/>
  <c r="AP53" i="134"/>
  <c r="Z48" i="134"/>
  <c r="Z49" i="134" s="1"/>
  <c r="AA44" i="134"/>
  <c r="AA47" i="134"/>
  <c r="Z45" i="134"/>
  <c r="Z46" i="134"/>
  <c r="AP52" i="134"/>
  <c r="AP140" i="134" s="1"/>
  <c r="AP36" i="134"/>
  <c r="AP30" i="134"/>
  <c r="AP39" i="134"/>
  <c r="AP14" i="134"/>
  <c r="AP17" i="134"/>
  <c r="AP18" i="134" s="1"/>
  <c r="AP15" i="134"/>
  <c r="AP19" i="134"/>
  <c r="AQ4" i="134"/>
  <c r="AO40" i="134"/>
  <c r="AO41" i="134"/>
  <c r="AO20" i="134"/>
  <c r="D92" i="134"/>
  <c r="AP92" i="134" s="1"/>
  <c r="B91" i="134"/>
  <c r="AO38" i="134"/>
  <c r="AO37" i="134"/>
  <c r="BM153" i="135" l="1"/>
  <c r="BM155" i="135"/>
  <c r="AB32" i="134"/>
  <c r="AC27" i="134" s="1"/>
  <c r="BM50" i="135"/>
  <c r="BM129" i="135"/>
  <c r="BM125" i="135" s="1"/>
  <c r="BM131" i="135" s="1"/>
  <c r="BM136" i="135"/>
  <c r="BN44" i="135"/>
  <c r="BN47" i="135"/>
  <c r="BN97" i="135"/>
  <c r="BN124" i="135" s="1"/>
  <c r="BO97" i="135"/>
  <c r="BP97" i="135"/>
  <c r="BQ97" i="135"/>
  <c r="BR97" i="135"/>
  <c r="BS97" i="135"/>
  <c r="BT97" i="135"/>
  <c r="BU97" i="135"/>
  <c r="BV97" i="135"/>
  <c r="BW97" i="135"/>
  <c r="BX97" i="135"/>
  <c r="BY97" i="135"/>
  <c r="BZ97" i="135"/>
  <c r="CA97" i="135"/>
  <c r="CB97" i="135"/>
  <c r="CC97" i="135"/>
  <c r="CD97" i="135"/>
  <c r="CE97" i="135"/>
  <c r="CF97" i="135"/>
  <c r="CG97" i="135"/>
  <c r="CH97" i="135"/>
  <c r="CI97" i="135"/>
  <c r="CJ97" i="135"/>
  <c r="CK97" i="135"/>
  <c r="CL97" i="135"/>
  <c r="CM97" i="135"/>
  <c r="CN97" i="135"/>
  <c r="CO97" i="135"/>
  <c r="CP97" i="135"/>
  <c r="CQ97" i="135"/>
  <c r="BN32" i="135"/>
  <c r="BO27" i="135" s="1"/>
  <c r="BM127" i="135"/>
  <c r="BM139" i="134"/>
  <c r="Z50" i="134"/>
  <c r="AB59" i="134"/>
  <c r="AC59" i="134"/>
  <c r="AD59" i="134"/>
  <c r="AE59" i="134"/>
  <c r="AF59" i="134"/>
  <c r="AG59" i="134"/>
  <c r="AH59" i="134"/>
  <c r="AI59" i="134"/>
  <c r="AJ59" i="134"/>
  <c r="AK59" i="134"/>
  <c r="AL59" i="134"/>
  <c r="AM59" i="134"/>
  <c r="AN59" i="134"/>
  <c r="AO59" i="134"/>
  <c r="AP59" i="134"/>
  <c r="E92" i="134"/>
  <c r="F92" i="134"/>
  <c r="G92" i="134"/>
  <c r="H92" i="134"/>
  <c r="I92" i="134"/>
  <c r="J92" i="134"/>
  <c r="K92" i="134"/>
  <c r="L92" i="134"/>
  <c r="M92" i="134"/>
  <c r="N92" i="134"/>
  <c r="O92" i="134"/>
  <c r="P92" i="134"/>
  <c r="Q92" i="134"/>
  <c r="R92" i="134"/>
  <c r="S92" i="134"/>
  <c r="T92" i="134"/>
  <c r="U92" i="134"/>
  <c r="V92" i="134"/>
  <c r="W92" i="134"/>
  <c r="X92" i="134"/>
  <c r="Y92" i="134"/>
  <c r="Z92" i="134"/>
  <c r="AA92" i="134"/>
  <c r="AB92" i="134"/>
  <c r="AC92" i="134"/>
  <c r="AD92" i="134"/>
  <c r="AE92" i="134"/>
  <c r="AF92" i="134"/>
  <c r="AG92" i="134"/>
  <c r="AH92" i="134"/>
  <c r="AI92" i="134"/>
  <c r="AJ92" i="134"/>
  <c r="AK92" i="134"/>
  <c r="AL92" i="134"/>
  <c r="AM92" i="134"/>
  <c r="AN92" i="134"/>
  <c r="AO92" i="134"/>
  <c r="AO22" i="134"/>
  <c r="AQ55" i="134"/>
  <c r="AQ56" i="134"/>
  <c r="AQ58" i="134"/>
  <c r="AQ59" i="134"/>
  <c r="AQ57" i="134"/>
  <c r="AQ77" i="134"/>
  <c r="AQ81" i="134"/>
  <c r="AQ75" i="134"/>
  <c r="AQ76" i="134"/>
  <c r="AQ80" i="134"/>
  <c r="AQ79" i="134"/>
  <c r="AQ87" i="134"/>
  <c r="AQ84" i="134"/>
  <c r="AQ85" i="134"/>
  <c r="AQ82" i="134"/>
  <c r="AQ83" i="134"/>
  <c r="AQ78" i="134"/>
  <c r="AQ86" i="134"/>
  <c r="AQ89" i="134"/>
  <c r="AQ92" i="134"/>
  <c r="AQ90" i="134"/>
  <c r="AQ91" i="134"/>
  <c r="AQ88" i="134"/>
  <c r="AQ54" i="134"/>
  <c r="AQ28" i="134"/>
  <c r="AQ29" i="134" s="1"/>
  <c r="AQ53" i="134"/>
  <c r="AP20" i="134"/>
  <c r="AA48" i="134"/>
  <c r="AA49" i="134"/>
  <c r="AC31" i="134"/>
  <c r="AQ60" i="134" s="1"/>
  <c r="AB44" i="134"/>
  <c r="AB47" i="134"/>
  <c r="AB48" i="134" s="1"/>
  <c r="AA46" i="134"/>
  <c r="AA45" i="134"/>
  <c r="Z129" i="134"/>
  <c r="Z137" i="134"/>
  <c r="AP16" i="134"/>
  <c r="AP21" i="134"/>
  <c r="AP24" i="134" s="1"/>
  <c r="AP23" i="134" s="1"/>
  <c r="AP40" i="134"/>
  <c r="AP41" i="134"/>
  <c r="D93" i="134"/>
  <c r="B92" i="134"/>
  <c r="AP37" i="134"/>
  <c r="AP38" i="134"/>
  <c r="AQ52" i="134"/>
  <c r="AQ140" i="134" s="1"/>
  <c r="AQ36" i="134"/>
  <c r="AQ39" i="134"/>
  <c r="AQ30" i="134"/>
  <c r="AQ17" i="134"/>
  <c r="AQ18" i="134" s="1"/>
  <c r="AQ15" i="134"/>
  <c r="AQ14" i="134"/>
  <c r="AR4" i="134"/>
  <c r="AQ19" i="134"/>
  <c r="BM130" i="135" l="1"/>
  <c r="BM142" i="135"/>
  <c r="AP22" i="134"/>
  <c r="BM137" i="135"/>
  <c r="BM134" i="135"/>
  <c r="BM135" i="135" s="1"/>
  <c r="BO31" i="135"/>
  <c r="BO32" i="135" s="1"/>
  <c r="BP27" i="135" s="1"/>
  <c r="BN133" i="135"/>
  <c r="BN48" i="135"/>
  <c r="BN127" i="135" s="1"/>
  <c r="BN142" i="135" s="1"/>
  <c r="BN49" i="135"/>
  <c r="BN45" i="135"/>
  <c r="BN128" i="135" s="1"/>
  <c r="BN154" i="135" s="1"/>
  <c r="BN46" i="135"/>
  <c r="BN139" i="134"/>
  <c r="AA50" i="134"/>
  <c r="AQ21" i="134"/>
  <c r="AQ24" i="134" s="1"/>
  <c r="AQ23" i="134" s="1"/>
  <c r="AC32" i="134"/>
  <c r="AD27" i="134" s="1"/>
  <c r="AC60" i="134"/>
  <c r="AD60" i="134"/>
  <c r="AE60" i="134"/>
  <c r="AF60" i="134"/>
  <c r="AG60" i="134"/>
  <c r="AH60" i="134"/>
  <c r="AI60" i="134"/>
  <c r="AJ60" i="134"/>
  <c r="AK60" i="134"/>
  <c r="AL60" i="134"/>
  <c r="AM60" i="134"/>
  <c r="AN60" i="134"/>
  <c r="AO60" i="134"/>
  <c r="AP60" i="134"/>
  <c r="E93" i="134"/>
  <c r="F93" i="134"/>
  <c r="G93" i="134"/>
  <c r="H93" i="134"/>
  <c r="I93" i="134"/>
  <c r="J93" i="134"/>
  <c r="K93" i="134"/>
  <c r="L93" i="134"/>
  <c r="M93" i="134"/>
  <c r="N93" i="134"/>
  <c r="O93" i="134"/>
  <c r="P93" i="134"/>
  <c r="Q93" i="134"/>
  <c r="R93" i="134"/>
  <c r="S93" i="134"/>
  <c r="T93" i="134"/>
  <c r="U93" i="134"/>
  <c r="V93" i="134"/>
  <c r="W93" i="134"/>
  <c r="X93" i="134"/>
  <c r="Y93" i="134"/>
  <c r="Z93" i="134"/>
  <c r="AA93" i="134"/>
  <c r="AB93" i="134"/>
  <c r="AC93" i="134"/>
  <c r="AD93" i="134"/>
  <c r="AE93" i="134"/>
  <c r="AF93" i="134"/>
  <c r="AG93" i="134"/>
  <c r="AH93" i="134"/>
  <c r="AI93" i="134"/>
  <c r="AJ93" i="134"/>
  <c r="AK93" i="134"/>
  <c r="AL93" i="134"/>
  <c r="AM93" i="134"/>
  <c r="AN93" i="134"/>
  <c r="AO93" i="134"/>
  <c r="AP93" i="134"/>
  <c r="AR55" i="134"/>
  <c r="AR58" i="134"/>
  <c r="AR57" i="134"/>
  <c r="AR60" i="134"/>
  <c r="AR56" i="134"/>
  <c r="AR59" i="134"/>
  <c r="AR77" i="134"/>
  <c r="AR78" i="134"/>
  <c r="AR79" i="134"/>
  <c r="AR82" i="134"/>
  <c r="AR80" i="134"/>
  <c r="AR87" i="134"/>
  <c r="AR90" i="134"/>
  <c r="AR93" i="134"/>
  <c r="AR81" i="134"/>
  <c r="AR84" i="134"/>
  <c r="AR85" i="134"/>
  <c r="AR76" i="134"/>
  <c r="AR83" i="134"/>
  <c r="AR86" i="134"/>
  <c r="AR88" i="134"/>
  <c r="AR92" i="134"/>
  <c r="AR89" i="134"/>
  <c r="AR91" i="134"/>
  <c r="AR54" i="134"/>
  <c r="AQ93" i="134"/>
  <c r="AQ16" i="134"/>
  <c r="AR28" i="134"/>
  <c r="AR29" i="134" s="1"/>
  <c r="AR53" i="134"/>
  <c r="AB49" i="134"/>
  <c r="AB137" i="134"/>
  <c r="AB129" i="134"/>
  <c r="AD31" i="134"/>
  <c r="AC47" i="134"/>
  <c r="AC48" i="134" s="1"/>
  <c r="AC44" i="134"/>
  <c r="AB46" i="134"/>
  <c r="AB45" i="134"/>
  <c r="AB50" i="134" s="1"/>
  <c r="AA129" i="134"/>
  <c r="AA137" i="134"/>
  <c r="D94" i="134"/>
  <c r="B93" i="134"/>
  <c r="AQ40" i="134"/>
  <c r="AQ41" i="134"/>
  <c r="AQ37" i="134"/>
  <c r="AQ38" i="134"/>
  <c r="AQ22" i="134"/>
  <c r="AR39" i="134"/>
  <c r="AR52" i="134"/>
  <c r="AR140" i="134" s="1"/>
  <c r="AR30" i="134"/>
  <c r="AR15" i="134"/>
  <c r="AR17" i="134"/>
  <c r="AR18" i="134" s="1"/>
  <c r="AR36" i="134"/>
  <c r="AR19" i="134"/>
  <c r="AR14" i="134"/>
  <c r="AS4" i="134"/>
  <c r="AQ20" i="134"/>
  <c r="BN153" i="135" l="1"/>
  <c r="BN155" i="135"/>
  <c r="BN50" i="135"/>
  <c r="BN129" i="135"/>
  <c r="BN125" i="135" s="1"/>
  <c r="BN131" i="135" s="1"/>
  <c r="BN136" i="135"/>
  <c r="BN137" i="135"/>
  <c r="BN134" i="135"/>
  <c r="BN135" i="135" s="1"/>
  <c r="BO44" i="135"/>
  <c r="BO47" i="135"/>
  <c r="BO98" i="135"/>
  <c r="BO124" i="135" s="1"/>
  <c r="BP98" i="135"/>
  <c r="BQ98" i="135"/>
  <c r="BR98" i="135"/>
  <c r="BS98" i="135"/>
  <c r="BT98" i="135"/>
  <c r="BU98" i="135"/>
  <c r="BV98" i="135"/>
  <c r="BW98" i="135"/>
  <c r="BX98" i="135"/>
  <c r="BY98" i="135"/>
  <c r="BZ98" i="135"/>
  <c r="CA98" i="135"/>
  <c r="CB98" i="135"/>
  <c r="CC98" i="135"/>
  <c r="CD98" i="135"/>
  <c r="CE98" i="135"/>
  <c r="CF98" i="135"/>
  <c r="CG98" i="135"/>
  <c r="CH98" i="135"/>
  <c r="CI98" i="135"/>
  <c r="CJ98" i="135"/>
  <c r="CK98" i="135"/>
  <c r="CL98" i="135"/>
  <c r="CM98" i="135"/>
  <c r="CN98" i="135"/>
  <c r="CO98" i="135"/>
  <c r="CP98" i="135"/>
  <c r="CQ98" i="135"/>
  <c r="CR98" i="135"/>
  <c r="BP31" i="135"/>
  <c r="BN130" i="135"/>
  <c r="BO139" i="134"/>
  <c r="AD61" i="134"/>
  <c r="AE61" i="134"/>
  <c r="AF61" i="134"/>
  <c r="AG61" i="134"/>
  <c r="AH61" i="134"/>
  <c r="AI61" i="134"/>
  <c r="AJ61" i="134"/>
  <c r="AK61" i="134"/>
  <c r="AL61" i="134"/>
  <c r="AM61" i="134"/>
  <c r="AN61" i="134"/>
  <c r="AO61" i="134"/>
  <c r="AP61" i="134"/>
  <c r="AQ61" i="134"/>
  <c r="AR61" i="134"/>
  <c r="E94" i="134"/>
  <c r="F94" i="134"/>
  <c r="G94" i="134"/>
  <c r="H94" i="134"/>
  <c r="I94" i="134"/>
  <c r="J94" i="134"/>
  <c r="K94" i="134"/>
  <c r="L94" i="134"/>
  <c r="M94" i="134"/>
  <c r="N94" i="134"/>
  <c r="O94" i="134"/>
  <c r="P94" i="134"/>
  <c r="Q94" i="134"/>
  <c r="R94" i="134"/>
  <c r="S94" i="134"/>
  <c r="T94" i="134"/>
  <c r="U94" i="134"/>
  <c r="V94" i="134"/>
  <c r="W94" i="134"/>
  <c r="X94" i="134"/>
  <c r="Y94" i="134"/>
  <c r="Z94" i="134"/>
  <c r="AA94" i="134"/>
  <c r="AB94" i="134"/>
  <c r="AC94" i="134"/>
  <c r="AD94" i="134"/>
  <c r="AE94" i="134"/>
  <c r="AF94" i="134"/>
  <c r="AG94" i="134"/>
  <c r="AH94" i="134"/>
  <c r="AI94" i="134"/>
  <c r="AJ94" i="134"/>
  <c r="AK94" i="134"/>
  <c r="AL94" i="134"/>
  <c r="AM94" i="134"/>
  <c r="AN94" i="134"/>
  <c r="AO94" i="134"/>
  <c r="AP94" i="134"/>
  <c r="AQ94" i="134"/>
  <c r="AS55" i="134"/>
  <c r="AS58" i="134"/>
  <c r="AS56" i="134"/>
  <c r="AS59" i="134"/>
  <c r="AS57" i="134"/>
  <c r="AS61" i="134"/>
  <c r="AS60" i="134"/>
  <c r="AS80" i="134"/>
  <c r="AS83" i="134"/>
  <c r="AS77" i="134"/>
  <c r="AS79" i="134"/>
  <c r="AS87" i="134"/>
  <c r="AS81" i="134"/>
  <c r="AS84" i="134"/>
  <c r="AS82" i="134"/>
  <c r="AS85" i="134"/>
  <c r="AS88" i="134"/>
  <c r="AS78" i="134"/>
  <c r="AS92" i="134"/>
  <c r="AS93" i="134"/>
  <c r="AS89" i="134"/>
  <c r="AS90" i="134"/>
  <c r="AS94" i="134"/>
  <c r="AS86" i="134"/>
  <c r="AS91" i="134"/>
  <c r="AS54" i="134"/>
  <c r="AR94" i="134"/>
  <c r="AD32" i="134"/>
  <c r="AE27" i="134" s="1"/>
  <c r="AR21" i="134"/>
  <c r="AR24" i="134" s="1"/>
  <c r="AR23" i="134" s="1"/>
  <c r="AS28" i="134"/>
  <c r="AS29" i="134" s="1"/>
  <c r="AS53" i="134"/>
  <c r="AC45" i="134"/>
  <c r="AC50" i="134" s="1"/>
  <c r="AC46" i="134"/>
  <c r="AC49" i="134"/>
  <c r="AC137" i="134"/>
  <c r="AC129" i="134"/>
  <c r="AD47" i="134"/>
  <c r="AD48" i="134" s="1"/>
  <c r="AD44" i="134"/>
  <c r="AS52" i="134"/>
  <c r="AS140" i="134" s="1"/>
  <c r="AS39" i="134"/>
  <c r="AS36" i="134"/>
  <c r="AS30" i="134"/>
  <c r="AS17" i="134"/>
  <c r="AS18" i="134" s="1"/>
  <c r="AS19" i="134"/>
  <c r="AS15" i="134"/>
  <c r="AS14" i="134"/>
  <c r="AT4" i="134"/>
  <c r="AR41" i="134"/>
  <c r="AR40" i="134"/>
  <c r="B94" i="134"/>
  <c r="D95" i="134"/>
  <c r="AR38" i="134"/>
  <c r="AR37" i="134"/>
  <c r="AR16" i="134"/>
  <c r="AR20" i="134"/>
  <c r="BO133" i="135" l="1"/>
  <c r="BO49" i="135"/>
  <c r="BO48" i="135"/>
  <c r="BO46" i="135"/>
  <c r="BO45" i="135"/>
  <c r="BO128" i="135" s="1"/>
  <c r="BO154" i="135" s="1"/>
  <c r="BP47" i="135"/>
  <c r="BP44" i="135"/>
  <c r="BP99" i="135"/>
  <c r="BP124" i="135" s="1"/>
  <c r="BQ99" i="135"/>
  <c r="BR99" i="135"/>
  <c r="BS99" i="135"/>
  <c r="BT99" i="135"/>
  <c r="BU99" i="135"/>
  <c r="BV99" i="135"/>
  <c r="BW99" i="135"/>
  <c r="BX99" i="135"/>
  <c r="BY99" i="135"/>
  <c r="BZ99" i="135"/>
  <c r="CA99" i="135"/>
  <c r="CB99" i="135"/>
  <c r="CC99" i="135"/>
  <c r="CD99" i="135"/>
  <c r="CE99" i="135"/>
  <c r="CF99" i="135"/>
  <c r="CG99" i="135"/>
  <c r="CH99" i="135"/>
  <c r="CI99" i="135"/>
  <c r="CJ99" i="135"/>
  <c r="CK99" i="135"/>
  <c r="CL99" i="135"/>
  <c r="CM99" i="135"/>
  <c r="CN99" i="135"/>
  <c r="CO99" i="135"/>
  <c r="CP99" i="135"/>
  <c r="CQ99" i="135"/>
  <c r="CR99" i="135"/>
  <c r="CS99" i="135"/>
  <c r="BP32" i="135"/>
  <c r="BQ27" i="135" s="1"/>
  <c r="AR22" i="134"/>
  <c r="BP139" i="134"/>
  <c r="AE31" i="134"/>
  <c r="AE32" i="134" s="1"/>
  <c r="AF27" i="134" s="1"/>
  <c r="AF31" i="134" s="1"/>
  <c r="AF32" i="134" s="1"/>
  <c r="AG27" i="134" s="1"/>
  <c r="AG62" i="134"/>
  <c r="AH62" i="134"/>
  <c r="AI62" i="134"/>
  <c r="AJ62" i="134"/>
  <c r="AK62" i="134"/>
  <c r="AL62" i="134"/>
  <c r="AM62" i="134"/>
  <c r="AN62" i="134"/>
  <c r="AO62" i="134"/>
  <c r="AP62" i="134"/>
  <c r="AQ62" i="134"/>
  <c r="AS20" i="134"/>
  <c r="E95" i="134"/>
  <c r="F95" i="134"/>
  <c r="G95" i="134"/>
  <c r="H95" i="134"/>
  <c r="I95" i="134"/>
  <c r="J95" i="134"/>
  <c r="K95" i="134"/>
  <c r="L95" i="134"/>
  <c r="M95" i="134"/>
  <c r="N95" i="134"/>
  <c r="O95" i="134"/>
  <c r="P95" i="134"/>
  <c r="Q95" i="134"/>
  <c r="R95" i="134"/>
  <c r="S95" i="134"/>
  <c r="T95" i="134"/>
  <c r="U95" i="134"/>
  <c r="V95" i="134"/>
  <c r="W95" i="134"/>
  <c r="X95" i="134"/>
  <c r="Y95" i="134"/>
  <c r="Z95" i="134"/>
  <c r="AA95" i="134"/>
  <c r="AB95" i="134"/>
  <c r="AC95" i="134"/>
  <c r="AD95" i="134"/>
  <c r="AE95" i="134"/>
  <c r="AF95" i="134"/>
  <c r="AG95" i="134"/>
  <c r="AH95" i="134"/>
  <c r="AI95" i="134"/>
  <c r="AJ95" i="134"/>
  <c r="AK95" i="134"/>
  <c r="AL95" i="134"/>
  <c r="AM95" i="134"/>
  <c r="AN95" i="134"/>
  <c r="AO95" i="134"/>
  <c r="AP95" i="134"/>
  <c r="AQ95" i="134"/>
  <c r="AR95" i="134"/>
  <c r="AT55" i="134"/>
  <c r="AT56" i="134"/>
  <c r="AT59" i="134"/>
  <c r="AT57" i="134"/>
  <c r="AT58" i="134"/>
  <c r="AT60" i="134"/>
  <c r="AT62" i="134"/>
  <c r="AT61" i="134"/>
  <c r="AT86" i="134"/>
  <c r="AT80" i="134"/>
  <c r="AT79" i="134"/>
  <c r="AT87" i="134"/>
  <c r="AT90" i="134"/>
  <c r="AT93" i="134"/>
  <c r="AT81" i="134"/>
  <c r="AT84" i="134"/>
  <c r="AT82" i="134"/>
  <c r="AT85" i="134"/>
  <c r="AT83" i="134"/>
  <c r="AT78" i="134"/>
  <c r="AT88" i="134"/>
  <c r="AT92" i="134"/>
  <c r="AT89" i="134"/>
  <c r="AT94" i="134"/>
  <c r="AT95" i="134"/>
  <c r="AT91" i="134"/>
  <c r="AT54" i="134"/>
  <c r="AS95" i="134"/>
  <c r="AS62" i="134"/>
  <c r="AT28" i="134"/>
  <c r="AT29" i="134" s="1"/>
  <c r="AT53" i="134"/>
  <c r="AD49" i="134"/>
  <c r="AD137" i="134"/>
  <c r="AD129" i="134"/>
  <c r="AE47" i="134"/>
  <c r="AE44" i="134"/>
  <c r="AD45" i="134"/>
  <c r="AD50" i="134" s="1"/>
  <c r="AD46" i="134"/>
  <c r="AS16" i="134"/>
  <c r="D96" i="134"/>
  <c r="B95" i="134"/>
  <c r="AS21" i="134"/>
  <c r="AS24" i="134" s="1"/>
  <c r="AS23" i="134" s="1"/>
  <c r="AS38" i="134"/>
  <c r="AS37" i="134"/>
  <c r="AT52" i="134"/>
  <c r="AT140" i="134" s="1"/>
  <c r="AT36" i="134"/>
  <c r="AT39" i="134"/>
  <c r="AT30" i="134"/>
  <c r="AT17" i="134"/>
  <c r="AT18" i="134" s="1"/>
  <c r="AT19" i="134"/>
  <c r="AT15" i="134"/>
  <c r="AT14" i="134"/>
  <c r="AU4" i="134"/>
  <c r="AS40" i="134"/>
  <c r="AS41" i="134"/>
  <c r="BO153" i="135" l="1"/>
  <c r="BO155" i="135"/>
  <c r="AR62" i="134"/>
  <c r="AF62" i="134"/>
  <c r="BP133" i="135"/>
  <c r="BP46" i="135"/>
  <c r="BP45" i="135"/>
  <c r="BP128" i="135" s="1"/>
  <c r="BP154" i="135" s="1"/>
  <c r="BP48" i="135"/>
  <c r="BP49" i="135"/>
  <c r="BQ31" i="135"/>
  <c r="BO50" i="135"/>
  <c r="BO136" i="135"/>
  <c r="BO129" i="135"/>
  <c r="BO125" i="135" s="1"/>
  <c r="BO131" i="135" s="1"/>
  <c r="BO127" i="135"/>
  <c r="BO142" i="135" s="1"/>
  <c r="AE62" i="134"/>
  <c r="BQ139" i="134"/>
  <c r="AT16" i="134"/>
  <c r="AT63" i="134"/>
  <c r="AT20" i="134"/>
  <c r="AU55" i="134"/>
  <c r="AU58" i="134"/>
  <c r="AU56" i="134"/>
  <c r="AU59" i="134"/>
  <c r="AU57" i="134"/>
  <c r="AU61" i="134"/>
  <c r="AU60" i="134"/>
  <c r="AU63" i="134"/>
  <c r="AU62" i="134"/>
  <c r="AU79" i="134"/>
  <c r="AU80" i="134"/>
  <c r="AU86" i="134"/>
  <c r="AU89" i="134"/>
  <c r="AU87" i="134"/>
  <c r="AU81" i="134"/>
  <c r="AU84" i="134"/>
  <c r="AU82" i="134"/>
  <c r="AU85" i="134"/>
  <c r="AU88" i="134"/>
  <c r="AU91" i="134"/>
  <c r="AU94" i="134"/>
  <c r="AU83" i="134"/>
  <c r="AU95" i="134"/>
  <c r="AU96" i="134"/>
  <c r="AU92" i="134"/>
  <c r="AU93" i="134"/>
  <c r="AU90" i="134"/>
  <c r="AU54" i="134"/>
  <c r="E96" i="134"/>
  <c r="F96" i="134"/>
  <c r="G96" i="134"/>
  <c r="H96" i="134"/>
  <c r="I96" i="134"/>
  <c r="J96" i="134"/>
  <c r="K96" i="134"/>
  <c r="L96" i="134"/>
  <c r="M96" i="134"/>
  <c r="N96" i="134"/>
  <c r="O96" i="134"/>
  <c r="P96" i="134"/>
  <c r="Q96" i="134"/>
  <c r="R96" i="134"/>
  <c r="S96" i="134"/>
  <c r="T96" i="134"/>
  <c r="U96" i="134"/>
  <c r="V96" i="134"/>
  <c r="W96" i="134"/>
  <c r="X96" i="134"/>
  <c r="Y96" i="134"/>
  <c r="Z96" i="134"/>
  <c r="AA96" i="134"/>
  <c r="AB96" i="134"/>
  <c r="AC96" i="134"/>
  <c r="AD96" i="134"/>
  <c r="AE96" i="134"/>
  <c r="AF96" i="134"/>
  <c r="AG96" i="134"/>
  <c r="AH96" i="134"/>
  <c r="AI96" i="134"/>
  <c r="AJ96" i="134"/>
  <c r="AK96" i="134"/>
  <c r="AL96" i="134"/>
  <c r="AM96" i="134"/>
  <c r="AN96" i="134"/>
  <c r="AO96" i="134"/>
  <c r="AP96" i="134"/>
  <c r="AQ96" i="134"/>
  <c r="AR96" i="134"/>
  <c r="AS96" i="134"/>
  <c r="AF63" i="134"/>
  <c r="AG63" i="134"/>
  <c r="AH63" i="134"/>
  <c r="AI63" i="134"/>
  <c r="AJ63" i="134"/>
  <c r="AK63" i="134"/>
  <c r="AL63" i="134"/>
  <c r="AM63" i="134"/>
  <c r="AN63" i="134"/>
  <c r="AO63" i="134"/>
  <c r="AP63" i="134"/>
  <c r="AQ63" i="134"/>
  <c r="AR63" i="134"/>
  <c r="AS63" i="134"/>
  <c r="AT96" i="134"/>
  <c r="AS22" i="134"/>
  <c r="AU28" i="134"/>
  <c r="AU29" i="134" s="1"/>
  <c r="AU53" i="134"/>
  <c r="AE45" i="134"/>
  <c r="AE46" i="134"/>
  <c r="AG31" i="134"/>
  <c r="AU64" i="134" s="1"/>
  <c r="AF47" i="134"/>
  <c r="AF48" i="134" s="1"/>
  <c r="AF44" i="134"/>
  <c r="AE48" i="134"/>
  <c r="AE49" i="134" s="1"/>
  <c r="B96" i="134"/>
  <c r="D97" i="134"/>
  <c r="AT37" i="134"/>
  <c r="AT38" i="134"/>
  <c r="AT40" i="134"/>
  <c r="AT41" i="134"/>
  <c r="AU52" i="134"/>
  <c r="AU140" i="134" s="1"/>
  <c r="AU39" i="134"/>
  <c r="AU14" i="134"/>
  <c r="AU19" i="134"/>
  <c r="AU36" i="134"/>
  <c r="AU30" i="134"/>
  <c r="AU17" i="134"/>
  <c r="AU18" i="134" s="1"/>
  <c r="AU15" i="134"/>
  <c r="AV4" i="134"/>
  <c r="AT21" i="134"/>
  <c r="AT24" i="134" s="1"/>
  <c r="AT23" i="134" s="1"/>
  <c r="BP153" i="135" l="1"/>
  <c r="BP155" i="135"/>
  <c r="AG32" i="134"/>
  <c r="AH27" i="134" s="1"/>
  <c r="BQ47" i="135"/>
  <c r="BQ44" i="135"/>
  <c r="BQ100" i="135"/>
  <c r="BQ124" i="135" s="1"/>
  <c r="BR100" i="135"/>
  <c r="BS100" i="135"/>
  <c r="BT100" i="135"/>
  <c r="BU100" i="135"/>
  <c r="BV100" i="135"/>
  <c r="BW100" i="135"/>
  <c r="BX100" i="135"/>
  <c r="BY100" i="135"/>
  <c r="BZ100" i="135"/>
  <c r="CA100" i="135"/>
  <c r="CB100" i="135"/>
  <c r="CC100" i="135"/>
  <c r="CD100" i="135"/>
  <c r="CE100" i="135"/>
  <c r="CF100" i="135"/>
  <c r="CG100" i="135"/>
  <c r="CH100" i="135"/>
  <c r="CI100" i="135"/>
  <c r="CJ100" i="135"/>
  <c r="CK100" i="135"/>
  <c r="CL100" i="135"/>
  <c r="CM100" i="135"/>
  <c r="CN100" i="135"/>
  <c r="CO100" i="135"/>
  <c r="CP100" i="135"/>
  <c r="CQ100" i="135"/>
  <c r="CR100" i="135"/>
  <c r="CS100" i="135"/>
  <c r="CT100" i="135"/>
  <c r="BQ32" i="135"/>
  <c r="BR27" i="135" s="1"/>
  <c r="BP50" i="135"/>
  <c r="BP136" i="135"/>
  <c r="BP129" i="135"/>
  <c r="BP125" i="135" s="1"/>
  <c r="BP131" i="135" s="1"/>
  <c r="BO134" i="135"/>
  <c r="BO135" i="135" s="1"/>
  <c r="BO137" i="135"/>
  <c r="BO130" i="135"/>
  <c r="BP127" i="135"/>
  <c r="BP142" i="135" s="1"/>
  <c r="BR139" i="134"/>
  <c r="AV57" i="134"/>
  <c r="AV60" i="134"/>
  <c r="AV63" i="134"/>
  <c r="AV55" i="134"/>
  <c r="AV56" i="134"/>
  <c r="AV59" i="134"/>
  <c r="AV64" i="134"/>
  <c r="AV58" i="134"/>
  <c r="AV62" i="134"/>
  <c r="AV61" i="134"/>
  <c r="AV81" i="134"/>
  <c r="AV86" i="134"/>
  <c r="AV89" i="134"/>
  <c r="AV92" i="134"/>
  <c r="AV95" i="134"/>
  <c r="AV80" i="134"/>
  <c r="AV87" i="134"/>
  <c r="AV84" i="134"/>
  <c r="AV82" i="134"/>
  <c r="AV85" i="134"/>
  <c r="AV88" i="134"/>
  <c r="AV91" i="134"/>
  <c r="AV97" i="134"/>
  <c r="AV96" i="134"/>
  <c r="AV93" i="134"/>
  <c r="AV83" i="134"/>
  <c r="AV90" i="134"/>
  <c r="AV94" i="134"/>
  <c r="AV54" i="134"/>
  <c r="E97" i="134"/>
  <c r="F97" i="134"/>
  <c r="G97" i="134"/>
  <c r="H97" i="134"/>
  <c r="I97" i="134"/>
  <c r="J97" i="134"/>
  <c r="K97" i="134"/>
  <c r="L97" i="134"/>
  <c r="M97" i="134"/>
  <c r="N97" i="134"/>
  <c r="O97" i="134"/>
  <c r="P97" i="134"/>
  <c r="Q97" i="134"/>
  <c r="R97" i="134"/>
  <c r="S97" i="134"/>
  <c r="T97" i="134"/>
  <c r="U97" i="134"/>
  <c r="V97" i="134"/>
  <c r="W97" i="134"/>
  <c r="X97" i="134"/>
  <c r="Y97" i="134"/>
  <c r="Z97" i="134"/>
  <c r="AA97" i="134"/>
  <c r="AB97" i="134"/>
  <c r="AC97" i="134"/>
  <c r="AD97" i="134"/>
  <c r="AE97" i="134"/>
  <c r="AF97" i="134"/>
  <c r="AG97" i="134"/>
  <c r="AH97" i="134"/>
  <c r="AI97" i="134"/>
  <c r="AJ97" i="134"/>
  <c r="AK97" i="134"/>
  <c r="AL97" i="134"/>
  <c r="AM97" i="134"/>
  <c r="AN97" i="134"/>
  <c r="AO97" i="134"/>
  <c r="AP97" i="134"/>
  <c r="AQ97" i="134"/>
  <c r="AR97" i="134"/>
  <c r="AS97" i="134"/>
  <c r="AT97" i="134"/>
  <c r="AU21" i="134"/>
  <c r="AU24" i="134" s="1"/>
  <c r="AU23" i="134" s="1"/>
  <c r="AG64" i="134"/>
  <c r="AH64" i="134"/>
  <c r="AI64" i="134"/>
  <c r="AJ64" i="134"/>
  <c r="AK64" i="134"/>
  <c r="AL64" i="134"/>
  <c r="AM64" i="134"/>
  <c r="AN64" i="134"/>
  <c r="AO64" i="134"/>
  <c r="AP64" i="134"/>
  <c r="AQ64" i="134"/>
  <c r="AR64" i="134"/>
  <c r="AS64" i="134"/>
  <c r="AT64" i="134"/>
  <c r="AU97" i="134"/>
  <c r="AV28" i="134"/>
  <c r="AV29" i="134" s="1"/>
  <c r="AV53" i="134"/>
  <c r="AF49" i="134"/>
  <c r="AF129" i="134"/>
  <c r="AF137" i="134"/>
  <c r="AH31" i="134"/>
  <c r="AH32" i="134" s="1"/>
  <c r="AI27" i="134" s="1"/>
  <c r="AF45" i="134"/>
  <c r="AF50" i="134" s="1"/>
  <c r="AF46" i="134"/>
  <c r="AG44" i="134"/>
  <c r="AG47" i="134"/>
  <c r="AG48" i="134" s="1"/>
  <c r="AE50" i="134"/>
  <c r="AE129" i="134"/>
  <c r="AE137" i="134"/>
  <c r="AU20" i="134"/>
  <c r="D98" i="134"/>
  <c r="AV98" i="134" s="1"/>
  <c r="B97" i="134"/>
  <c r="AV39" i="134"/>
  <c r="AV36" i="134"/>
  <c r="AV17" i="134"/>
  <c r="AV18" i="134" s="1"/>
  <c r="AV52" i="134"/>
  <c r="AV140" i="134" s="1"/>
  <c r="AV30" i="134"/>
  <c r="AW4" i="134"/>
  <c r="AV15" i="134"/>
  <c r="AV19" i="134"/>
  <c r="AV14" i="134"/>
  <c r="AV20" i="134" s="1"/>
  <c r="AU16" i="134"/>
  <c r="AU41" i="134"/>
  <c r="AU40" i="134"/>
  <c r="AT22" i="134"/>
  <c r="AU37" i="134"/>
  <c r="AU38" i="134"/>
  <c r="BP137" i="135" l="1"/>
  <c r="BP134" i="135"/>
  <c r="BP135" i="135" s="1"/>
  <c r="BP130" i="135"/>
  <c r="BR31" i="135"/>
  <c r="BQ133" i="135"/>
  <c r="BQ46" i="135"/>
  <c r="BQ45" i="135"/>
  <c r="BQ128" i="135" s="1"/>
  <c r="BQ154" i="135" s="1"/>
  <c r="BQ49" i="135"/>
  <c r="BQ48" i="135"/>
  <c r="BQ127" i="135" s="1"/>
  <c r="BQ142" i="135" s="1"/>
  <c r="BS139" i="134"/>
  <c r="AV65" i="134"/>
  <c r="E98" i="134"/>
  <c r="F98" i="134"/>
  <c r="G98" i="134"/>
  <c r="H98" i="134"/>
  <c r="I98" i="134"/>
  <c r="J98" i="134"/>
  <c r="K98" i="134"/>
  <c r="L98" i="134"/>
  <c r="M98" i="134"/>
  <c r="N98" i="134"/>
  <c r="O98" i="134"/>
  <c r="P98" i="134"/>
  <c r="Q98" i="134"/>
  <c r="R98" i="134"/>
  <c r="S98" i="134"/>
  <c r="T98" i="134"/>
  <c r="U98" i="134"/>
  <c r="V98" i="134"/>
  <c r="W98" i="134"/>
  <c r="X98" i="134"/>
  <c r="Y98" i="134"/>
  <c r="Z98" i="134"/>
  <c r="AA98" i="134"/>
  <c r="AB98" i="134"/>
  <c r="AC98" i="134"/>
  <c r="AD98" i="134"/>
  <c r="AE98" i="134"/>
  <c r="AF98" i="134"/>
  <c r="AG98" i="134"/>
  <c r="AH98" i="134"/>
  <c r="AI98" i="134"/>
  <c r="AJ98" i="134"/>
  <c r="AK98" i="134"/>
  <c r="AL98" i="134"/>
  <c r="AM98" i="134"/>
  <c r="AN98" i="134"/>
  <c r="AO98" i="134"/>
  <c r="AP98" i="134"/>
  <c r="AQ98" i="134"/>
  <c r="AR98" i="134"/>
  <c r="AS98" i="134"/>
  <c r="AT98" i="134"/>
  <c r="AU98" i="134"/>
  <c r="AW56" i="134"/>
  <c r="AW57" i="134"/>
  <c r="AW55" i="134"/>
  <c r="AW59" i="134"/>
  <c r="AW58" i="134"/>
  <c r="AW61" i="134"/>
  <c r="AW63" i="134"/>
  <c r="AW60" i="134"/>
  <c r="AW62" i="134"/>
  <c r="AW64" i="134"/>
  <c r="AW65" i="134"/>
  <c r="AW82" i="134"/>
  <c r="AW83" i="134"/>
  <c r="AW86" i="134"/>
  <c r="AW81" i="134"/>
  <c r="AW87" i="134"/>
  <c r="AW84" i="134"/>
  <c r="AW85" i="134"/>
  <c r="AW91" i="134"/>
  <c r="AW95" i="134"/>
  <c r="AW98" i="134"/>
  <c r="AW88" i="134"/>
  <c r="AW97" i="134"/>
  <c r="AW92" i="134"/>
  <c r="AW96" i="134"/>
  <c r="AW93" i="134"/>
  <c r="AW89" i="134"/>
  <c r="AW90" i="134"/>
  <c r="AW94" i="134"/>
  <c r="AW54" i="134"/>
  <c r="AU22" i="134"/>
  <c r="AH65" i="134"/>
  <c r="AI65" i="134"/>
  <c r="AJ65" i="134"/>
  <c r="AK65" i="134"/>
  <c r="AL65" i="134"/>
  <c r="AM65" i="134"/>
  <c r="AN65" i="134"/>
  <c r="AO65" i="134"/>
  <c r="AP65" i="134"/>
  <c r="AQ65" i="134"/>
  <c r="AR65" i="134"/>
  <c r="AS65" i="134"/>
  <c r="AT65" i="134"/>
  <c r="AU65" i="134"/>
  <c r="AW28" i="134"/>
  <c r="AW29" i="134" s="1"/>
  <c r="AW53" i="134"/>
  <c r="AI31" i="134"/>
  <c r="AW66" i="134" s="1"/>
  <c r="AH44" i="134"/>
  <c r="AH47" i="134"/>
  <c r="AG49" i="134"/>
  <c r="AG137" i="134"/>
  <c r="AG129" i="134"/>
  <c r="AG46" i="134"/>
  <c r="AG45" i="134"/>
  <c r="AG50" i="134" s="1"/>
  <c r="D99" i="134"/>
  <c r="AW99" i="134" s="1"/>
  <c r="B98" i="134"/>
  <c r="AV16" i="134"/>
  <c r="AV21" i="134"/>
  <c r="AV24" i="134" s="1"/>
  <c r="AV23" i="134" s="1"/>
  <c r="AV37" i="134"/>
  <c r="AV38" i="134"/>
  <c r="AV40" i="134"/>
  <c r="AV41" i="134"/>
  <c r="AW30" i="134"/>
  <c r="AW52" i="134"/>
  <c r="AW140" i="134" s="1"/>
  <c r="AW36" i="134"/>
  <c r="AW15" i="134"/>
  <c r="AW19" i="134"/>
  <c r="AW14" i="134"/>
  <c r="AW39" i="134"/>
  <c r="AW17" i="134"/>
  <c r="AW18" i="134" s="1"/>
  <c r="AX4" i="134"/>
  <c r="BQ153" i="135" l="1"/>
  <c r="BQ155" i="135"/>
  <c r="BQ137" i="135"/>
  <c r="BQ134" i="135"/>
  <c r="BQ135" i="135" s="1"/>
  <c r="BR47" i="135"/>
  <c r="BR44" i="135"/>
  <c r="BR101" i="135"/>
  <c r="BR124" i="135" s="1"/>
  <c r="BS101" i="135"/>
  <c r="BT101" i="135"/>
  <c r="BU101" i="135"/>
  <c r="BV101" i="135"/>
  <c r="BW101" i="135"/>
  <c r="BX101" i="135"/>
  <c r="BY101" i="135"/>
  <c r="BZ101" i="135"/>
  <c r="CA101" i="135"/>
  <c r="CB101" i="135"/>
  <c r="CC101" i="135"/>
  <c r="CD101" i="135"/>
  <c r="CE101" i="135"/>
  <c r="CF101" i="135"/>
  <c r="CG101" i="135"/>
  <c r="CH101" i="135"/>
  <c r="CI101" i="135"/>
  <c r="CJ101" i="135"/>
  <c r="CK101" i="135"/>
  <c r="CL101" i="135"/>
  <c r="CM101" i="135"/>
  <c r="CN101" i="135"/>
  <c r="CO101" i="135"/>
  <c r="CP101" i="135"/>
  <c r="CQ101" i="135"/>
  <c r="CR101" i="135"/>
  <c r="CS101" i="135"/>
  <c r="CT101" i="135"/>
  <c r="CU101" i="135"/>
  <c r="BR32" i="135"/>
  <c r="BS27" i="135" s="1"/>
  <c r="BQ130" i="135"/>
  <c r="BQ50" i="135"/>
  <c r="BQ136" i="135"/>
  <c r="BQ129" i="135"/>
  <c r="BQ125" i="135" s="1"/>
  <c r="BQ131" i="135" s="1"/>
  <c r="BT139" i="134"/>
  <c r="E99" i="134"/>
  <c r="F99" i="134"/>
  <c r="G99" i="134"/>
  <c r="H99" i="134"/>
  <c r="I99" i="134"/>
  <c r="J99" i="134"/>
  <c r="K99" i="134"/>
  <c r="L99" i="134"/>
  <c r="M99" i="134"/>
  <c r="N99" i="134"/>
  <c r="O99" i="134"/>
  <c r="P99" i="134"/>
  <c r="Q99" i="134"/>
  <c r="R99" i="134"/>
  <c r="S99" i="134"/>
  <c r="T99" i="134"/>
  <c r="U99" i="134"/>
  <c r="V99" i="134"/>
  <c r="W99" i="134"/>
  <c r="X99" i="134"/>
  <c r="Y99" i="134"/>
  <c r="Z99" i="134"/>
  <c r="AA99" i="134"/>
  <c r="AB99" i="134"/>
  <c r="AC99" i="134"/>
  <c r="AD99" i="134"/>
  <c r="AE99" i="134"/>
  <c r="AF99" i="134"/>
  <c r="AG99" i="134"/>
  <c r="AH99" i="134"/>
  <c r="AI99" i="134"/>
  <c r="AJ99" i="134"/>
  <c r="AK99" i="134"/>
  <c r="AL99" i="134"/>
  <c r="AM99" i="134"/>
  <c r="AN99" i="134"/>
  <c r="AO99" i="134"/>
  <c r="AP99" i="134"/>
  <c r="AQ99" i="134"/>
  <c r="AR99" i="134"/>
  <c r="AS99" i="134"/>
  <c r="AT99" i="134"/>
  <c r="AU99" i="134"/>
  <c r="AV99" i="134"/>
  <c r="AX56" i="134"/>
  <c r="AX55" i="134"/>
  <c r="AX57" i="134"/>
  <c r="AX59" i="134"/>
  <c r="AX58" i="134"/>
  <c r="AX61" i="134"/>
  <c r="AX63" i="134"/>
  <c r="AX62" i="134"/>
  <c r="AX60" i="134"/>
  <c r="AX64" i="134"/>
  <c r="AX65" i="134"/>
  <c r="AX66" i="134"/>
  <c r="AX85" i="134"/>
  <c r="AX88" i="134"/>
  <c r="AX83" i="134"/>
  <c r="AX86" i="134"/>
  <c r="AX89" i="134"/>
  <c r="AX92" i="134"/>
  <c r="AX95" i="134"/>
  <c r="AX87" i="134"/>
  <c r="AX84" i="134"/>
  <c r="AX82" i="134"/>
  <c r="AX91" i="134"/>
  <c r="AX98" i="134"/>
  <c r="AX99" i="134"/>
  <c r="AX97" i="134"/>
  <c r="AX96" i="134"/>
  <c r="AX93" i="134"/>
  <c r="AX90" i="134"/>
  <c r="AX94" i="134"/>
  <c r="AX54" i="134"/>
  <c r="AI32" i="134"/>
  <c r="AJ27" i="134" s="1"/>
  <c r="AJ31" i="134" s="1"/>
  <c r="AI66" i="134"/>
  <c r="AJ66" i="134"/>
  <c r="AK66" i="134"/>
  <c r="AL66" i="134"/>
  <c r="AM66" i="134"/>
  <c r="AN66" i="134"/>
  <c r="AO66" i="134"/>
  <c r="AP66" i="134"/>
  <c r="AQ66" i="134"/>
  <c r="AR66" i="134"/>
  <c r="AS66" i="134"/>
  <c r="AT66" i="134"/>
  <c r="AU66" i="134"/>
  <c r="AV66" i="134"/>
  <c r="AX28" i="134"/>
  <c r="AX29" i="134" s="1"/>
  <c r="AX53" i="134"/>
  <c r="AW16" i="134"/>
  <c r="AW21" i="134"/>
  <c r="AW24" i="134" s="1"/>
  <c r="AW23" i="134" s="1"/>
  <c r="AH45" i="134"/>
  <c r="AH46" i="134"/>
  <c r="AH48" i="134"/>
  <c r="AH49" i="134" s="1"/>
  <c r="AI44" i="134"/>
  <c r="AI47" i="134"/>
  <c r="AX36" i="134"/>
  <c r="AX39" i="134"/>
  <c r="AX52" i="134"/>
  <c r="AX140" i="134" s="1"/>
  <c r="AX30" i="134"/>
  <c r="AX15" i="134"/>
  <c r="AX19" i="134"/>
  <c r="AX14" i="134"/>
  <c r="AY4" i="134"/>
  <c r="AX17" i="134"/>
  <c r="AX18" i="134" s="1"/>
  <c r="AW40" i="134"/>
  <c r="AW41" i="134"/>
  <c r="AW20" i="134"/>
  <c r="D100" i="134"/>
  <c r="B99" i="134"/>
  <c r="AW37" i="134"/>
  <c r="AW38" i="134"/>
  <c r="AV22" i="134"/>
  <c r="AW22" i="134" s="1"/>
  <c r="BS31" i="135" l="1"/>
  <c r="BR133" i="135"/>
  <c r="BR45" i="135"/>
  <c r="BR128" i="135" s="1"/>
  <c r="BR154" i="135" s="1"/>
  <c r="BR46" i="135"/>
  <c r="BR49" i="135"/>
  <c r="BR48" i="135"/>
  <c r="BU139" i="134"/>
  <c r="AX16" i="134"/>
  <c r="AJ32" i="134"/>
  <c r="AK27" i="134" s="1"/>
  <c r="AJ67" i="134"/>
  <c r="AK67" i="134"/>
  <c r="AL67" i="134"/>
  <c r="AM67" i="134"/>
  <c r="AN67" i="134"/>
  <c r="AO67" i="134"/>
  <c r="AP67" i="134"/>
  <c r="AQ67" i="134"/>
  <c r="AR67" i="134"/>
  <c r="AS67" i="134"/>
  <c r="AT67" i="134"/>
  <c r="AU67" i="134"/>
  <c r="AV67" i="134"/>
  <c r="AW67" i="134"/>
  <c r="AX67" i="134"/>
  <c r="E100" i="134"/>
  <c r="F100" i="134"/>
  <c r="G100" i="134"/>
  <c r="H100" i="134"/>
  <c r="I100" i="134"/>
  <c r="J100" i="134"/>
  <c r="K100" i="134"/>
  <c r="L100" i="134"/>
  <c r="M100" i="134"/>
  <c r="N100" i="134"/>
  <c r="O100" i="134"/>
  <c r="P100" i="134"/>
  <c r="Q100" i="134"/>
  <c r="R100" i="134"/>
  <c r="S100" i="134"/>
  <c r="T100" i="134"/>
  <c r="U100" i="134"/>
  <c r="V100" i="134"/>
  <c r="W100" i="134"/>
  <c r="X100" i="134"/>
  <c r="Y100" i="134"/>
  <c r="Z100" i="134"/>
  <c r="AA100" i="134"/>
  <c r="AB100" i="134"/>
  <c r="AC100" i="134"/>
  <c r="AD100" i="134"/>
  <c r="AE100" i="134"/>
  <c r="AF100" i="134"/>
  <c r="AG100" i="134"/>
  <c r="AH100" i="134"/>
  <c r="AI100" i="134"/>
  <c r="AJ100" i="134"/>
  <c r="AK100" i="134"/>
  <c r="AL100" i="134"/>
  <c r="AM100" i="134"/>
  <c r="AN100" i="134"/>
  <c r="AO100" i="134"/>
  <c r="AP100" i="134"/>
  <c r="AQ100" i="134"/>
  <c r="AR100" i="134"/>
  <c r="AS100" i="134"/>
  <c r="AT100" i="134"/>
  <c r="AU100" i="134"/>
  <c r="AV100" i="134"/>
  <c r="AW100" i="134"/>
  <c r="AX100" i="134"/>
  <c r="AY56" i="134"/>
  <c r="AY57" i="134"/>
  <c r="AY60" i="134"/>
  <c r="AY62" i="134"/>
  <c r="AY55" i="134"/>
  <c r="AY59" i="134"/>
  <c r="AY58" i="134"/>
  <c r="AY66" i="134"/>
  <c r="AY67" i="134"/>
  <c r="AY63" i="134"/>
  <c r="AY61" i="134"/>
  <c r="AY65" i="134"/>
  <c r="AY64" i="134"/>
  <c r="AY85" i="134"/>
  <c r="AY88" i="134"/>
  <c r="AY83" i="134"/>
  <c r="AY86" i="134"/>
  <c r="AY87" i="134"/>
  <c r="AY90" i="134"/>
  <c r="AY93" i="134"/>
  <c r="AY96" i="134"/>
  <c r="AY84" i="134"/>
  <c r="AY94" i="134"/>
  <c r="AY95" i="134"/>
  <c r="AY91" i="134"/>
  <c r="AY98" i="134"/>
  <c r="AY97" i="134"/>
  <c r="AY92" i="134"/>
  <c r="AY89" i="134"/>
  <c r="AY99" i="134"/>
  <c r="AY100" i="134"/>
  <c r="AY54" i="134"/>
  <c r="AY28" i="134"/>
  <c r="AY29" i="134" s="1"/>
  <c r="AY53" i="134"/>
  <c r="AX20" i="134"/>
  <c r="AK31" i="134"/>
  <c r="AY68" i="134" s="1"/>
  <c r="AK32" i="134"/>
  <c r="AL27" i="134" s="1"/>
  <c r="AI48" i="134"/>
  <c r="AI49" i="134" s="1"/>
  <c r="AI45" i="134"/>
  <c r="AI46" i="134"/>
  <c r="AH137" i="134"/>
  <c r="AH129" i="134"/>
  <c r="AJ44" i="134"/>
  <c r="AJ47" i="134"/>
  <c r="AH50" i="134"/>
  <c r="AY52" i="134"/>
  <c r="AY140" i="134" s="1"/>
  <c r="AY30" i="134"/>
  <c r="AY36" i="134"/>
  <c r="AY15" i="134"/>
  <c r="AY39" i="134"/>
  <c r="AY19" i="134"/>
  <c r="AY14" i="134"/>
  <c r="AZ4" i="134"/>
  <c r="AY17" i="134"/>
  <c r="AY18" i="134" s="1"/>
  <c r="AX21" i="134"/>
  <c r="AX24" i="134" s="1"/>
  <c r="AX23" i="134" s="1"/>
  <c r="AX37" i="134"/>
  <c r="AX38" i="134"/>
  <c r="AX41" i="134"/>
  <c r="AX40" i="134"/>
  <c r="D101" i="134"/>
  <c r="AY101" i="134" s="1"/>
  <c r="B100" i="134"/>
  <c r="BR153" i="135" l="1"/>
  <c r="BR155" i="135"/>
  <c r="BR50" i="135"/>
  <c r="BR136" i="135"/>
  <c r="BR129" i="135"/>
  <c r="BR125" i="135" s="1"/>
  <c r="BR131" i="135" s="1"/>
  <c r="BR127" i="135"/>
  <c r="BR142" i="135" s="1"/>
  <c r="BS44" i="135"/>
  <c r="BS47" i="135"/>
  <c r="BS102" i="135"/>
  <c r="BS124" i="135" s="1"/>
  <c r="BT102" i="135"/>
  <c r="BU102" i="135"/>
  <c r="BV102" i="135"/>
  <c r="BW102" i="135"/>
  <c r="BX102" i="135"/>
  <c r="BY102" i="135"/>
  <c r="BZ102" i="135"/>
  <c r="CA102" i="135"/>
  <c r="CB102" i="135"/>
  <c r="CC102" i="135"/>
  <c r="CD102" i="135"/>
  <c r="CE102" i="135"/>
  <c r="CF102" i="135"/>
  <c r="CG102" i="135"/>
  <c r="CH102" i="135"/>
  <c r="CI102" i="135"/>
  <c r="CJ102" i="135"/>
  <c r="CK102" i="135"/>
  <c r="CL102" i="135"/>
  <c r="CM102" i="135"/>
  <c r="CN102" i="135"/>
  <c r="CO102" i="135"/>
  <c r="CP102" i="135"/>
  <c r="CQ102" i="135"/>
  <c r="CR102" i="135"/>
  <c r="CS102" i="135"/>
  <c r="CT102" i="135"/>
  <c r="CU102" i="135"/>
  <c r="CV102" i="135"/>
  <c r="BS32" i="135"/>
  <c r="BT27" i="135" s="1"/>
  <c r="BV139" i="134"/>
  <c r="AY20" i="134"/>
  <c r="AZ56" i="134"/>
  <c r="AZ59" i="134"/>
  <c r="AZ62" i="134"/>
  <c r="AZ55" i="134"/>
  <c r="AZ60" i="134"/>
  <c r="AZ57" i="134"/>
  <c r="AZ58" i="134"/>
  <c r="AZ61" i="134"/>
  <c r="AZ66" i="134"/>
  <c r="AZ64" i="134"/>
  <c r="AZ65" i="134"/>
  <c r="AZ67" i="134"/>
  <c r="AZ63" i="134"/>
  <c r="AZ68" i="134"/>
  <c r="AZ85" i="134"/>
  <c r="AZ88" i="134"/>
  <c r="AZ91" i="134"/>
  <c r="AZ94" i="134"/>
  <c r="AZ97" i="134"/>
  <c r="AZ86" i="134"/>
  <c r="AZ87" i="134"/>
  <c r="AZ90" i="134"/>
  <c r="AZ95" i="134"/>
  <c r="AZ98" i="134"/>
  <c r="AZ99" i="134"/>
  <c r="AZ84" i="134"/>
  <c r="AZ92" i="134"/>
  <c r="AZ96" i="134"/>
  <c r="AZ93" i="134"/>
  <c r="AZ89" i="134"/>
  <c r="AZ100" i="134"/>
  <c r="AZ101" i="134"/>
  <c r="AZ54" i="134"/>
  <c r="AK68" i="134"/>
  <c r="AL68" i="134"/>
  <c r="AM68" i="134"/>
  <c r="AN68" i="134"/>
  <c r="AO68" i="134"/>
  <c r="AP68" i="134"/>
  <c r="AQ68" i="134"/>
  <c r="AR68" i="134"/>
  <c r="AS68" i="134"/>
  <c r="AT68" i="134"/>
  <c r="AU68" i="134"/>
  <c r="AV68" i="134"/>
  <c r="AW68" i="134"/>
  <c r="AX68" i="134"/>
  <c r="E101" i="134"/>
  <c r="F101" i="134"/>
  <c r="G101" i="134"/>
  <c r="H101" i="134"/>
  <c r="I101" i="134"/>
  <c r="J101" i="134"/>
  <c r="K101" i="134"/>
  <c r="L101" i="134"/>
  <c r="M101" i="134"/>
  <c r="N101" i="134"/>
  <c r="O101" i="134"/>
  <c r="P101" i="134"/>
  <c r="Q101" i="134"/>
  <c r="R101" i="134"/>
  <c r="S101" i="134"/>
  <c r="T101" i="134"/>
  <c r="U101" i="134"/>
  <c r="V101" i="134"/>
  <c r="W101" i="134"/>
  <c r="X101" i="134"/>
  <c r="Y101" i="134"/>
  <c r="Z101" i="134"/>
  <c r="AA101" i="134"/>
  <c r="AB101" i="134"/>
  <c r="AC101" i="134"/>
  <c r="AD101" i="134"/>
  <c r="AE101" i="134"/>
  <c r="AF101" i="134"/>
  <c r="AG101" i="134"/>
  <c r="AH101" i="134"/>
  <c r="AI101" i="134"/>
  <c r="AJ101" i="134"/>
  <c r="AK101" i="134"/>
  <c r="AL101" i="134"/>
  <c r="AM101" i="134"/>
  <c r="AN101" i="134"/>
  <c r="AO101" i="134"/>
  <c r="AP101" i="134"/>
  <c r="AQ101" i="134"/>
  <c r="AR101" i="134"/>
  <c r="AS101" i="134"/>
  <c r="AT101" i="134"/>
  <c r="AU101" i="134"/>
  <c r="AV101" i="134"/>
  <c r="AW101" i="134"/>
  <c r="AX101" i="134"/>
  <c r="AX22" i="134"/>
  <c r="AZ28" i="134"/>
  <c r="AZ29" i="134" s="1"/>
  <c r="AZ53" i="134"/>
  <c r="AJ45" i="134"/>
  <c r="AJ46" i="134"/>
  <c r="AJ48" i="134"/>
  <c r="AJ49" i="134"/>
  <c r="AI129" i="134"/>
  <c r="AI50" i="134"/>
  <c r="AI137" i="134"/>
  <c r="AL31" i="134"/>
  <c r="AL32" i="134" s="1"/>
  <c r="AM27" i="134" s="1"/>
  <c r="AK44" i="134"/>
  <c r="AK47" i="134"/>
  <c r="AK48" i="134" s="1"/>
  <c r="AZ39" i="134"/>
  <c r="AZ36" i="134"/>
  <c r="AZ52" i="134"/>
  <c r="AZ140" i="134" s="1"/>
  <c r="AZ19" i="134"/>
  <c r="AZ30" i="134"/>
  <c r="AZ15" i="134"/>
  <c r="AZ14" i="134"/>
  <c r="AZ17" i="134"/>
  <c r="AZ18" i="134" s="1"/>
  <c r="BA4" i="134"/>
  <c r="D102" i="134"/>
  <c r="B101" i="134"/>
  <c r="AY41" i="134"/>
  <c r="AY40" i="134"/>
  <c r="AY21" i="134"/>
  <c r="AY24" i="134" s="1"/>
  <c r="AY23" i="134" s="1"/>
  <c r="AY16" i="134"/>
  <c r="AY38" i="134"/>
  <c r="AY37" i="134"/>
  <c r="BS133" i="135" l="1"/>
  <c r="BS49" i="135"/>
  <c r="BS48" i="135"/>
  <c r="BS127" i="135" s="1"/>
  <c r="BS142" i="135" s="1"/>
  <c r="BS46" i="135"/>
  <c r="BS45" i="135"/>
  <c r="BS128" i="135" s="1"/>
  <c r="BS154" i="135" s="1"/>
  <c r="BR137" i="135"/>
  <c r="BR134" i="135"/>
  <c r="BR135" i="135" s="1"/>
  <c r="BR130" i="135"/>
  <c r="BT31" i="135"/>
  <c r="BW139" i="134"/>
  <c r="AL69" i="134"/>
  <c r="AM69" i="134"/>
  <c r="AN69" i="134"/>
  <c r="AO69" i="134"/>
  <c r="AP69" i="134"/>
  <c r="AQ69" i="134"/>
  <c r="AR69" i="134"/>
  <c r="AS69" i="134"/>
  <c r="AT69" i="134"/>
  <c r="AU69" i="134"/>
  <c r="AV69" i="134"/>
  <c r="AW69" i="134"/>
  <c r="AX69" i="134"/>
  <c r="AY69" i="134"/>
  <c r="E102" i="134"/>
  <c r="F102" i="134"/>
  <c r="G102" i="134"/>
  <c r="H102" i="134"/>
  <c r="I102" i="134"/>
  <c r="J102" i="134"/>
  <c r="K102" i="134"/>
  <c r="L102" i="134"/>
  <c r="M102" i="134"/>
  <c r="N102" i="134"/>
  <c r="O102" i="134"/>
  <c r="P102" i="134"/>
  <c r="Q102" i="134"/>
  <c r="R102" i="134"/>
  <c r="S102" i="134"/>
  <c r="T102" i="134"/>
  <c r="U102" i="134"/>
  <c r="V102" i="134"/>
  <c r="W102" i="134"/>
  <c r="X102" i="134"/>
  <c r="Y102" i="134"/>
  <c r="Z102" i="134"/>
  <c r="AA102" i="134"/>
  <c r="AB102" i="134"/>
  <c r="AC102" i="134"/>
  <c r="AD102" i="134"/>
  <c r="AE102" i="134"/>
  <c r="AF102" i="134"/>
  <c r="AG102" i="134"/>
  <c r="AH102" i="134"/>
  <c r="AI102" i="134"/>
  <c r="AJ102" i="134"/>
  <c r="AK102" i="134"/>
  <c r="AL102" i="134"/>
  <c r="AM102" i="134"/>
  <c r="AN102" i="134"/>
  <c r="AO102" i="134"/>
  <c r="AP102" i="134"/>
  <c r="AQ102" i="134"/>
  <c r="AR102" i="134"/>
  <c r="AS102" i="134"/>
  <c r="AT102" i="134"/>
  <c r="AU102" i="134"/>
  <c r="AV102" i="134"/>
  <c r="AW102" i="134"/>
  <c r="AX102" i="134"/>
  <c r="AY102" i="134"/>
  <c r="BA55" i="134"/>
  <c r="BA56" i="134"/>
  <c r="BA59" i="134"/>
  <c r="BA60" i="134"/>
  <c r="BA57" i="134"/>
  <c r="BA64" i="134"/>
  <c r="BA58" i="134"/>
  <c r="BA61" i="134"/>
  <c r="BA65" i="134"/>
  <c r="BA67" i="134"/>
  <c r="BA63" i="134"/>
  <c r="BA62" i="134"/>
  <c r="BA68" i="134"/>
  <c r="BA69" i="134"/>
  <c r="BA66" i="134"/>
  <c r="BA85" i="134"/>
  <c r="BA86" i="134"/>
  <c r="BA90" i="134"/>
  <c r="BA94" i="134"/>
  <c r="BA88" i="134"/>
  <c r="BA91" i="134"/>
  <c r="BA95" i="134"/>
  <c r="BA97" i="134"/>
  <c r="BA98" i="134"/>
  <c r="BA87" i="134"/>
  <c r="BA92" i="134"/>
  <c r="BA96" i="134"/>
  <c r="BA100" i="134"/>
  <c r="BA93" i="134"/>
  <c r="BA99" i="134"/>
  <c r="BA102" i="134"/>
  <c r="BA101" i="134"/>
  <c r="BA89" i="134"/>
  <c r="BA54" i="134"/>
  <c r="AZ16" i="134"/>
  <c r="AZ102" i="134"/>
  <c r="AZ69" i="134"/>
  <c r="BA28" i="134"/>
  <c r="BA29" i="134" s="1"/>
  <c r="BA53" i="134"/>
  <c r="AZ21" i="134"/>
  <c r="AZ24" i="134" s="1"/>
  <c r="AZ23" i="134" s="1"/>
  <c r="AM31" i="134"/>
  <c r="BA70" i="134" s="1"/>
  <c r="AL44" i="134"/>
  <c r="AL47" i="134"/>
  <c r="AL48" i="134" s="1"/>
  <c r="AK49" i="134"/>
  <c r="AK137" i="134"/>
  <c r="AK129" i="134"/>
  <c r="AK45" i="134"/>
  <c r="AK50" i="134" s="1"/>
  <c r="AK46" i="134"/>
  <c r="AJ129" i="134"/>
  <c r="AJ137" i="134"/>
  <c r="AJ50" i="134"/>
  <c r="AZ38" i="134"/>
  <c r="AZ37" i="134"/>
  <c r="AZ41" i="134"/>
  <c r="AZ40" i="134"/>
  <c r="BA39" i="134"/>
  <c r="BA52" i="134"/>
  <c r="BA140" i="134" s="1"/>
  <c r="BA30" i="134"/>
  <c r="BA36" i="134"/>
  <c r="BA15" i="134"/>
  <c r="BA14" i="134"/>
  <c r="BA19" i="134"/>
  <c r="BB4" i="134"/>
  <c r="BA17" i="134"/>
  <c r="BA18" i="134" s="1"/>
  <c r="B102" i="134"/>
  <c r="D103" i="134"/>
  <c r="BA103" i="134" s="1"/>
  <c r="AZ20" i="134"/>
  <c r="AY22" i="134"/>
  <c r="BS153" i="135" l="1"/>
  <c r="BS155" i="135"/>
  <c r="BS130" i="135"/>
  <c r="BS50" i="135"/>
  <c r="BS136" i="135"/>
  <c r="BS129" i="135"/>
  <c r="BS125" i="135" s="1"/>
  <c r="BS131" i="135" s="1"/>
  <c r="BT47" i="135"/>
  <c r="BT44" i="135"/>
  <c r="BT103" i="135"/>
  <c r="BT124" i="135" s="1"/>
  <c r="BU103" i="135"/>
  <c r="BV103" i="135"/>
  <c r="BW103" i="135"/>
  <c r="BX103" i="135"/>
  <c r="BY103" i="135"/>
  <c r="BZ103" i="135"/>
  <c r="CA103" i="135"/>
  <c r="CB103" i="135"/>
  <c r="CC103" i="135"/>
  <c r="CD103" i="135"/>
  <c r="CE103" i="135"/>
  <c r="CF103" i="135"/>
  <c r="CG103" i="135"/>
  <c r="CH103" i="135"/>
  <c r="CI103" i="135"/>
  <c r="CJ103" i="135"/>
  <c r="CK103" i="135"/>
  <c r="CL103" i="135"/>
  <c r="CM103" i="135"/>
  <c r="CN103" i="135"/>
  <c r="CO103" i="135"/>
  <c r="CP103" i="135"/>
  <c r="CQ103" i="135"/>
  <c r="CR103" i="135"/>
  <c r="CS103" i="135"/>
  <c r="CT103" i="135"/>
  <c r="CU103" i="135"/>
  <c r="CV103" i="135"/>
  <c r="CW103" i="135"/>
  <c r="BT32" i="135"/>
  <c r="BU27" i="135" s="1"/>
  <c r="BS137" i="135"/>
  <c r="BS134" i="135"/>
  <c r="BS135" i="135" s="1"/>
  <c r="AM32" i="134"/>
  <c r="AN27" i="134" s="1"/>
  <c r="BX139" i="134"/>
  <c r="E103" i="134"/>
  <c r="F103" i="134"/>
  <c r="G103" i="134"/>
  <c r="H103" i="134"/>
  <c r="I103" i="134"/>
  <c r="J103" i="134"/>
  <c r="K103" i="134"/>
  <c r="L103" i="134"/>
  <c r="M103" i="134"/>
  <c r="N103" i="134"/>
  <c r="O103" i="134"/>
  <c r="P103" i="134"/>
  <c r="Q103" i="134"/>
  <c r="R103" i="134"/>
  <c r="S103" i="134"/>
  <c r="T103" i="134"/>
  <c r="U103" i="134"/>
  <c r="V103" i="134"/>
  <c r="W103" i="134"/>
  <c r="X103" i="134"/>
  <c r="Y103" i="134"/>
  <c r="Z103" i="134"/>
  <c r="AA103" i="134"/>
  <c r="AB103" i="134"/>
  <c r="AC103" i="134"/>
  <c r="AD103" i="134"/>
  <c r="AE103" i="134"/>
  <c r="AF103" i="134"/>
  <c r="AG103" i="134"/>
  <c r="AH103" i="134"/>
  <c r="AI103" i="134"/>
  <c r="AJ103" i="134"/>
  <c r="AK103" i="134"/>
  <c r="AL103" i="134"/>
  <c r="AM103" i="134"/>
  <c r="AN103" i="134"/>
  <c r="AO103" i="134"/>
  <c r="AP103" i="134"/>
  <c r="AQ103" i="134"/>
  <c r="AR103" i="134"/>
  <c r="AS103" i="134"/>
  <c r="AT103" i="134"/>
  <c r="AU103" i="134"/>
  <c r="AV103" i="134"/>
  <c r="AW103" i="134"/>
  <c r="AX103" i="134"/>
  <c r="AY103" i="134"/>
  <c r="AZ103" i="134"/>
  <c r="BB55" i="134"/>
  <c r="BB60" i="134"/>
  <c r="BB56" i="134"/>
  <c r="BB57" i="134"/>
  <c r="BB59" i="134"/>
  <c r="BB64" i="134"/>
  <c r="BB66" i="134"/>
  <c r="BB65" i="134"/>
  <c r="BB67" i="134"/>
  <c r="BB70" i="134"/>
  <c r="BB58" i="134"/>
  <c r="BB63" i="134"/>
  <c r="BB62" i="134"/>
  <c r="BB61" i="134"/>
  <c r="BB68" i="134"/>
  <c r="BB69" i="134"/>
  <c r="BB87" i="134"/>
  <c r="BB88" i="134"/>
  <c r="BB91" i="134"/>
  <c r="BB94" i="134"/>
  <c r="BB86" i="134"/>
  <c r="BB89" i="134"/>
  <c r="BB90" i="134"/>
  <c r="BB95" i="134"/>
  <c r="BB97" i="134"/>
  <c r="BB98" i="134"/>
  <c r="BB99" i="134"/>
  <c r="BB92" i="134"/>
  <c r="BB96" i="134"/>
  <c r="BB100" i="134"/>
  <c r="BB103" i="134"/>
  <c r="BB93" i="134"/>
  <c r="BB102" i="134"/>
  <c r="BB101" i="134"/>
  <c r="BB54" i="134"/>
  <c r="AM70" i="134"/>
  <c r="AN70" i="134"/>
  <c r="AO70" i="134"/>
  <c r="AP70" i="134"/>
  <c r="AQ70" i="134"/>
  <c r="AR70" i="134"/>
  <c r="AS70" i="134"/>
  <c r="AT70" i="134"/>
  <c r="AU70" i="134"/>
  <c r="AV70" i="134"/>
  <c r="AW70" i="134"/>
  <c r="AX70" i="134"/>
  <c r="AY70" i="134"/>
  <c r="AZ70" i="134"/>
  <c r="BB28" i="134"/>
  <c r="BB29" i="134" s="1"/>
  <c r="BB53" i="134"/>
  <c r="BA21" i="134"/>
  <c r="BA24" i="134" s="1"/>
  <c r="BA23" i="134" s="1"/>
  <c r="AL49" i="134"/>
  <c r="AL129" i="134"/>
  <c r="AL137" i="134"/>
  <c r="AL46" i="134"/>
  <c r="AL45" i="134"/>
  <c r="AL50" i="134" s="1"/>
  <c r="AN31" i="134"/>
  <c r="AM47" i="134"/>
  <c r="AM44" i="134"/>
  <c r="BB52" i="134"/>
  <c r="BB140" i="134" s="1"/>
  <c r="BB30" i="134"/>
  <c r="BB36" i="134"/>
  <c r="BB14" i="134"/>
  <c r="BB39" i="134"/>
  <c r="BB19" i="134"/>
  <c r="BB17" i="134"/>
  <c r="BB18" i="134" s="1"/>
  <c r="BC4" i="134"/>
  <c r="BB15" i="134"/>
  <c r="BA16" i="134"/>
  <c r="BA40" i="134"/>
  <c r="BA41" i="134"/>
  <c r="BA20" i="134"/>
  <c r="BA38" i="134"/>
  <c r="BA37" i="134"/>
  <c r="D104" i="134"/>
  <c r="BB104" i="134" s="1"/>
  <c r="B103" i="134"/>
  <c r="BT133" i="135" l="1"/>
  <c r="BT45" i="135"/>
  <c r="BT128" i="135" s="1"/>
  <c r="BT154" i="135" s="1"/>
  <c r="BT46" i="135"/>
  <c r="BT48" i="135"/>
  <c r="BT49" i="135"/>
  <c r="BU31" i="135"/>
  <c r="BU32" i="135" s="1"/>
  <c r="BV27" i="135" s="1"/>
  <c r="BY139" i="134"/>
  <c r="AN32" i="134"/>
  <c r="AO27" i="134" s="1"/>
  <c r="AN71" i="134"/>
  <c r="AO71" i="134"/>
  <c r="AP71" i="134"/>
  <c r="AQ71" i="134"/>
  <c r="AR71" i="134"/>
  <c r="AS71" i="134"/>
  <c r="AT71" i="134"/>
  <c r="AU71" i="134"/>
  <c r="AV71" i="134"/>
  <c r="AW71" i="134"/>
  <c r="AX71" i="134"/>
  <c r="AY71" i="134"/>
  <c r="AZ71" i="134"/>
  <c r="BA71" i="134"/>
  <c r="BC55" i="134"/>
  <c r="BC56" i="134"/>
  <c r="BC58" i="134"/>
  <c r="BC61" i="134"/>
  <c r="BC60" i="134"/>
  <c r="BC57" i="134"/>
  <c r="BC59" i="134"/>
  <c r="BC65" i="134"/>
  <c r="BC64" i="134"/>
  <c r="BC66" i="134"/>
  <c r="BC67" i="134"/>
  <c r="BC70" i="134"/>
  <c r="BC63" i="134"/>
  <c r="BC62" i="134"/>
  <c r="BC71" i="134"/>
  <c r="BC68" i="134"/>
  <c r="BC69" i="134"/>
  <c r="BC87" i="134"/>
  <c r="BC89" i="134"/>
  <c r="BC92" i="134"/>
  <c r="BC95" i="134"/>
  <c r="BC98" i="134"/>
  <c r="BC93" i="134"/>
  <c r="BC94" i="134"/>
  <c r="BC90" i="134"/>
  <c r="BC88" i="134"/>
  <c r="BC91" i="134"/>
  <c r="BC97" i="134"/>
  <c r="BC99" i="134"/>
  <c r="BC96" i="134"/>
  <c r="BC101" i="134"/>
  <c r="BC102" i="134"/>
  <c r="BC103" i="134"/>
  <c r="BC100" i="134"/>
  <c r="BC104" i="134"/>
  <c r="BC54" i="134"/>
  <c r="E104" i="134"/>
  <c r="F104" i="134"/>
  <c r="G104" i="134"/>
  <c r="H104" i="134"/>
  <c r="I104" i="134"/>
  <c r="J104" i="134"/>
  <c r="K104" i="134"/>
  <c r="L104" i="134"/>
  <c r="M104" i="134"/>
  <c r="N104" i="134"/>
  <c r="O104" i="134"/>
  <c r="P104" i="134"/>
  <c r="Q104" i="134"/>
  <c r="R104" i="134"/>
  <c r="S104" i="134"/>
  <c r="T104" i="134"/>
  <c r="U104" i="134"/>
  <c r="V104" i="134"/>
  <c r="W104" i="134"/>
  <c r="X104" i="134"/>
  <c r="Y104" i="134"/>
  <c r="Z104" i="134"/>
  <c r="AA104" i="134"/>
  <c r="AB104" i="134"/>
  <c r="AC104" i="134"/>
  <c r="AD104" i="134"/>
  <c r="AE104" i="134"/>
  <c r="AF104" i="134"/>
  <c r="AG104" i="134"/>
  <c r="AH104" i="134"/>
  <c r="AI104" i="134"/>
  <c r="AJ104" i="134"/>
  <c r="AK104" i="134"/>
  <c r="AL104" i="134"/>
  <c r="AM104" i="134"/>
  <c r="AN104" i="134"/>
  <c r="AO104" i="134"/>
  <c r="AP104" i="134"/>
  <c r="AQ104" i="134"/>
  <c r="AR104" i="134"/>
  <c r="AS104" i="134"/>
  <c r="AT104" i="134"/>
  <c r="AU104" i="134"/>
  <c r="AV104" i="134"/>
  <c r="AW104" i="134"/>
  <c r="AX104" i="134"/>
  <c r="AY104" i="134"/>
  <c r="AZ104" i="134"/>
  <c r="BA104" i="134"/>
  <c r="BB71" i="134"/>
  <c r="BB16" i="134"/>
  <c r="BC28" i="134"/>
  <c r="BC29" i="134" s="1"/>
  <c r="BC53" i="134"/>
  <c r="BB20" i="134"/>
  <c r="AM48" i="134"/>
  <c r="AM49" i="134" s="1"/>
  <c r="AO31" i="134"/>
  <c r="BC72" i="134" s="1"/>
  <c r="AN47" i="134"/>
  <c r="AN48" i="134" s="1"/>
  <c r="AN44" i="134"/>
  <c r="AM46" i="134"/>
  <c r="AM45" i="134"/>
  <c r="BB38" i="134"/>
  <c r="BB37" i="134"/>
  <c r="BC52" i="134"/>
  <c r="BC140" i="134" s="1"/>
  <c r="BC39" i="134"/>
  <c r="BC30" i="134"/>
  <c r="BC36" i="134"/>
  <c r="BC17" i="134"/>
  <c r="BC18" i="134" s="1"/>
  <c r="BC19" i="134"/>
  <c r="BC15" i="134"/>
  <c r="BC14" i="134"/>
  <c r="BD4" i="134"/>
  <c r="BB21" i="134"/>
  <c r="BB24" i="134" s="1"/>
  <c r="BB23" i="134" s="1"/>
  <c r="B104" i="134"/>
  <c r="D105" i="134"/>
  <c r="BB41" i="134"/>
  <c r="BB40" i="134"/>
  <c r="BT153" i="135" l="1"/>
  <c r="BT155" i="135"/>
  <c r="BV31" i="135"/>
  <c r="BU44" i="135"/>
  <c r="BU47" i="135"/>
  <c r="BU104" i="135"/>
  <c r="BU124" i="135" s="1"/>
  <c r="BV104" i="135"/>
  <c r="BW104" i="135"/>
  <c r="BX104" i="135"/>
  <c r="BY104" i="135"/>
  <c r="BZ104" i="135"/>
  <c r="CA104" i="135"/>
  <c r="CB104" i="135"/>
  <c r="CC104" i="135"/>
  <c r="CD104" i="135"/>
  <c r="CE104" i="135"/>
  <c r="CF104" i="135"/>
  <c r="CG104" i="135"/>
  <c r="CH104" i="135"/>
  <c r="CI104" i="135"/>
  <c r="CJ104" i="135"/>
  <c r="CK104" i="135"/>
  <c r="CL104" i="135"/>
  <c r="CM104" i="135"/>
  <c r="CN104" i="135"/>
  <c r="CO104" i="135"/>
  <c r="CP104" i="135"/>
  <c r="CQ104" i="135"/>
  <c r="CR104" i="135"/>
  <c r="CS104" i="135"/>
  <c r="CT104" i="135"/>
  <c r="CU104" i="135"/>
  <c r="CV104" i="135"/>
  <c r="CW104" i="135"/>
  <c r="CX104" i="135"/>
  <c r="BT50" i="135"/>
  <c r="BT136" i="135"/>
  <c r="BT129" i="135"/>
  <c r="BT125" i="135" s="1"/>
  <c r="BT131" i="135" s="1"/>
  <c r="BT127" i="135"/>
  <c r="BT142" i="135" s="1"/>
  <c r="BZ139" i="134"/>
  <c r="BC21" i="134"/>
  <c r="BC24" i="134" s="1"/>
  <c r="BC23" i="134" s="1"/>
  <c r="AO32" i="134"/>
  <c r="AP27" i="134" s="1"/>
  <c r="AO72" i="134"/>
  <c r="AP72" i="134"/>
  <c r="AQ72" i="134"/>
  <c r="AR72" i="134"/>
  <c r="AS72" i="134"/>
  <c r="AT72" i="134"/>
  <c r="AU72" i="134"/>
  <c r="AV72" i="134"/>
  <c r="AW72" i="134"/>
  <c r="AX72" i="134"/>
  <c r="AY72" i="134"/>
  <c r="AZ72" i="134"/>
  <c r="BA72" i="134"/>
  <c r="BB72" i="134"/>
  <c r="E105" i="134"/>
  <c r="F105" i="134"/>
  <c r="G105" i="134"/>
  <c r="H105" i="134"/>
  <c r="I105" i="134"/>
  <c r="J105" i="134"/>
  <c r="K105" i="134"/>
  <c r="L105" i="134"/>
  <c r="M105" i="134"/>
  <c r="N105" i="134"/>
  <c r="O105" i="134"/>
  <c r="P105" i="134"/>
  <c r="Q105" i="134"/>
  <c r="R105" i="134"/>
  <c r="S105" i="134"/>
  <c r="T105" i="134"/>
  <c r="U105" i="134"/>
  <c r="V105" i="134"/>
  <c r="W105" i="134"/>
  <c r="X105" i="134"/>
  <c r="Y105" i="134"/>
  <c r="Z105" i="134"/>
  <c r="AA105" i="134"/>
  <c r="AB105" i="134"/>
  <c r="AC105" i="134"/>
  <c r="AD105" i="134"/>
  <c r="AE105" i="134"/>
  <c r="AF105" i="134"/>
  <c r="AG105" i="134"/>
  <c r="AH105" i="134"/>
  <c r="AI105" i="134"/>
  <c r="AJ105" i="134"/>
  <c r="AK105" i="134"/>
  <c r="AL105" i="134"/>
  <c r="AM105" i="134"/>
  <c r="AN105" i="134"/>
  <c r="AO105" i="134"/>
  <c r="AP105" i="134"/>
  <c r="AQ105" i="134"/>
  <c r="AR105" i="134"/>
  <c r="AS105" i="134"/>
  <c r="AT105" i="134"/>
  <c r="AU105" i="134"/>
  <c r="AV105" i="134"/>
  <c r="AW105" i="134"/>
  <c r="AX105" i="134"/>
  <c r="AY105" i="134"/>
  <c r="AZ105" i="134"/>
  <c r="BA105" i="134"/>
  <c r="BB105" i="134"/>
  <c r="BD55" i="134"/>
  <c r="BD58" i="134"/>
  <c r="BD61" i="134"/>
  <c r="BD64" i="134"/>
  <c r="BD63" i="134"/>
  <c r="BD56" i="134"/>
  <c r="BD60" i="134"/>
  <c r="BD57" i="134"/>
  <c r="BD59" i="134"/>
  <c r="BD65" i="134"/>
  <c r="BD66" i="134"/>
  <c r="BD67" i="134"/>
  <c r="BD62" i="134"/>
  <c r="BD68" i="134"/>
  <c r="BD71" i="134"/>
  <c r="BD70" i="134"/>
  <c r="BD72" i="134"/>
  <c r="BD69" i="134"/>
  <c r="BD90" i="134"/>
  <c r="BD93" i="134"/>
  <c r="BD96" i="134"/>
  <c r="BD89" i="134"/>
  <c r="BD94" i="134"/>
  <c r="BD101" i="134"/>
  <c r="BD104" i="134"/>
  <c r="BD88" i="134"/>
  <c r="BD91" i="134"/>
  <c r="BD95" i="134"/>
  <c r="BD98" i="134"/>
  <c r="BD97" i="134"/>
  <c r="BD99" i="134"/>
  <c r="BD92" i="134"/>
  <c r="BD105" i="134"/>
  <c r="BD102" i="134"/>
  <c r="BD103" i="134"/>
  <c r="BD100" i="134"/>
  <c r="BD54" i="134"/>
  <c r="BC16" i="134"/>
  <c r="BC105" i="134"/>
  <c r="BD28" i="134"/>
  <c r="BD29" i="134" s="1"/>
  <c r="BD53" i="134"/>
  <c r="AM50" i="134"/>
  <c r="AN45" i="134"/>
  <c r="AN50" i="134" s="1"/>
  <c r="AN46" i="134"/>
  <c r="AN49" i="134"/>
  <c r="AN137" i="134"/>
  <c r="AN129" i="134"/>
  <c r="AP31" i="134"/>
  <c r="AP32" i="134" s="1"/>
  <c r="AQ27" i="134" s="1"/>
  <c r="AO44" i="134"/>
  <c r="AO47" i="134"/>
  <c r="AM137" i="134"/>
  <c r="AM129" i="134"/>
  <c r="D106" i="134"/>
  <c r="BD106" i="134" s="1"/>
  <c r="B105" i="134"/>
  <c r="BC38" i="134"/>
  <c r="BC37" i="134"/>
  <c r="BC41" i="134"/>
  <c r="BC40" i="134"/>
  <c r="BD52" i="134"/>
  <c r="BD140" i="134" s="1"/>
  <c r="BD36" i="134"/>
  <c r="BD30" i="134"/>
  <c r="BD15" i="134"/>
  <c r="BD39" i="134"/>
  <c r="BD17" i="134"/>
  <c r="BD18" i="134" s="1"/>
  <c r="BE4" i="134"/>
  <c r="BD19" i="134"/>
  <c r="BD14" i="134"/>
  <c r="BC20" i="134"/>
  <c r="BD73" i="134" l="1"/>
  <c r="BT137" i="135"/>
  <c r="BT134" i="135"/>
  <c r="BT135" i="135" s="1"/>
  <c r="BT130" i="135"/>
  <c r="BU133" i="135"/>
  <c r="BU48" i="135"/>
  <c r="BU49" i="135"/>
  <c r="BU45" i="135"/>
  <c r="BU128" i="135" s="1"/>
  <c r="BU154" i="135" s="1"/>
  <c r="BU46" i="135"/>
  <c r="BV44" i="135"/>
  <c r="BV47" i="135"/>
  <c r="BV105" i="135"/>
  <c r="BV124" i="135" s="1"/>
  <c r="BW105" i="135"/>
  <c r="BX105" i="135"/>
  <c r="BY105" i="135"/>
  <c r="BZ105" i="135"/>
  <c r="CA105" i="135"/>
  <c r="CB105" i="135"/>
  <c r="CC105" i="135"/>
  <c r="CD105" i="135"/>
  <c r="CE105" i="135"/>
  <c r="CF105" i="135"/>
  <c r="CG105" i="135"/>
  <c r="CH105" i="135"/>
  <c r="CI105" i="135"/>
  <c r="CJ105" i="135"/>
  <c r="CK105" i="135"/>
  <c r="CL105" i="135"/>
  <c r="CM105" i="135"/>
  <c r="CN105" i="135"/>
  <c r="CO105" i="135"/>
  <c r="CP105" i="135"/>
  <c r="CQ105" i="135"/>
  <c r="CR105" i="135"/>
  <c r="CS105" i="135"/>
  <c r="CT105" i="135"/>
  <c r="CU105" i="135"/>
  <c r="CV105" i="135"/>
  <c r="CW105" i="135"/>
  <c r="CX105" i="135"/>
  <c r="CY105" i="135"/>
  <c r="BV32" i="135"/>
  <c r="BW27" i="135" s="1"/>
  <c r="CA139" i="134"/>
  <c r="E106" i="134"/>
  <c r="F106" i="134"/>
  <c r="G106" i="134"/>
  <c r="H106" i="134"/>
  <c r="I106" i="134"/>
  <c r="J106" i="134"/>
  <c r="K106" i="134"/>
  <c r="L106" i="134"/>
  <c r="M106" i="134"/>
  <c r="N106" i="134"/>
  <c r="O106" i="134"/>
  <c r="P106" i="134"/>
  <c r="Q106" i="134"/>
  <c r="R106" i="134"/>
  <c r="S106" i="134"/>
  <c r="T106" i="134"/>
  <c r="U106" i="134"/>
  <c r="V106" i="134"/>
  <c r="W106" i="134"/>
  <c r="X106" i="134"/>
  <c r="Y106" i="134"/>
  <c r="Z106" i="134"/>
  <c r="AA106" i="134"/>
  <c r="AB106" i="134"/>
  <c r="AC106" i="134"/>
  <c r="AD106" i="134"/>
  <c r="AE106" i="134"/>
  <c r="AF106" i="134"/>
  <c r="AG106" i="134"/>
  <c r="AH106" i="134"/>
  <c r="AI106" i="134"/>
  <c r="AJ106" i="134"/>
  <c r="AK106" i="134"/>
  <c r="AL106" i="134"/>
  <c r="AM106" i="134"/>
  <c r="AN106" i="134"/>
  <c r="AO106" i="134"/>
  <c r="AP106" i="134"/>
  <c r="AQ106" i="134"/>
  <c r="AR106" i="134"/>
  <c r="AS106" i="134"/>
  <c r="AT106" i="134"/>
  <c r="AU106" i="134"/>
  <c r="AV106" i="134"/>
  <c r="AW106" i="134"/>
  <c r="AX106" i="134"/>
  <c r="AY106" i="134"/>
  <c r="AZ106" i="134"/>
  <c r="BA106" i="134"/>
  <c r="BB106" i="134"/>
  <c r="BC106" i="134"/>
  <c r="BD16" i="134"/>
  <c r="BE55" i="134"/>
  <c r="BE58" i="134"/>
  <c r="BE61" i="134"/>
  <c r="BE56" i="134"/>
  <c r="BE60" i="134"/>
  <c r="BE62" i="134"/>
  <c r="BE57" i="134"/>
  <c r="BE59" i="134"/>
  <c r="BE64" i="134"/>
  <c r="BE65" i="134"/>
  <c r="BE66" i="134"/>
  <c r="BE63" i="134"/>
  <c r="BE67" i="134"/>
  <c r="BE70" i="134"/>
  <c r="BE71" i="134"/>
  <c r="BE73" i="134"/>
  <c r="BE72" i="134"/>
  <c r="BE68" i="134"/>
  <c r="BE69" i="134"/>
  <c r="BE93" i="134"/>
  <c r="BE89" i="134"/>
  <c r="BE90" i="134"/>
  <c r="BE94" i="134"/>
  <c r="BE91" i="134"/>
  <c r="BE95" i="134"/>
  <c r="BE98" i="134"/>
  <c r="BE97" i="134"/>
  <c r="BE99" i="134"/>
  <c r="BE102" i="134"/>
  <c r="BE105" i="134"/>
  <c r="BE92" i="134"/>
  <c r="BE96" i="134"/>
  <c r="BE101" i="134"/>
  <c r="BE103" i="134"/>
  <c r="BE100" i="134"/>
  <c r="BE106" i="134"/>
  <c r="BE104" i="134"/>
  <c r="BE54" i="134"/>
  <c r="AP73" i="134"/>
  <c r="AQ73" i="134"/>
  <c r="AR73" i="134"/>
  <c r="AS73" i="134"/>
  <c r="AT73" i="134"/>
  <c r="AU73" i="134"/>
  <c r="AV73" i="134"/>
  <c r="AW73" i="134"/>
  <c r="AX73" i="134"/>
  <c r="AY73" i="134"/>
  <c r="AZ73" i="134"/>
  <c r="BA73" i="134"/>
  <c r="BB73" i="134"/>
  <c r="BC73" i="134"/>
  <c r="BD20" i="134"/>
  <c r="BE28" i="134"/>
  <c r="BE29" i="134" s="1"/>
  <c r="BE53" i="134"/>
  <c r="AQ31" i="134"/>
  <c r="AQ32" i="134" s="1"/>
  <c r="AR27" i="134" s="1"/>
  <c r="AP47" i="134"/>
  <c r="AP48" i="134" s="1"/>
  <c r="AP44" i="134"/>
  <c r="AO48" i="134"/>
  <c r="AO49" i="134" s="1"/>
  <c r="AO45" i="134"/>
  <c r="AO46" i="134"/>
  <c r="BD41" i="134"/>
  <c r="BD40" i="134"/>
  <c r="BD38" i="134"/>
  <c r="BD37" i="134"/>
  <c r="BD21" i="134"/>
  <c r="BD24" i="134" s="1"/>
  <c r="BD23" i="134" s="1"/>
  <c r="BE36" i="134"/>
  <c r="BE39" i="134"/>
  <c r="BE52" i="134"/>
  <c r="BE140" i="134" s="1"/>
  <c r="BE30" i="134"/>
  <c r="BE17" i="134"/>
  <c r="BE18" i="134" s="1"/>
  <c r="BE15" i="134"/>
  <c r="BF4" i="134"/>
  <c r="BE19" i="134"/>
  <c r="BE14" i="134"/>
  <c r="B106" i="134"/>
  <c r="D107" i="134"/>
  <c r="BU153" i="135" l="1"/>
  <c r="BU155" i="135"/>
  <c r="BW31" i="135"/>
  <c r="BW32" i="135" s="1"/>
  <c r="BX27" i="135" s="1"/>
  <c r="BU50" i="135"/>
  <c r="BU136" i="135"/>
  <c r="BU129" i="135"/>
  <c r="BU125" i="135" s="1"/>
  <c r="BU131" i="135" s="1"/>
  <c r="BU127" i="135"/>
  <c r="BU142" i="135" s="1"/>
  <c r="BV133" i="135"/>
  <c r="BV48" i="135"/>
  <c r="BV127" i="135" s="1"/>
  <c r="BV142" i="135" s="1"/>
  <c r="BV49" i="135"/>
  <c r="BV46" i="135"/>
  <c r="BV45" i="135"/>
  <c r="BV128" i="135" s="1"/>
  <c r="BV154" i="135" s="1"/>
  <c r="BE74" i="134"/>
  <c r="CB139" i="134"/>
  <c r="AQ74" i="134"/>
  <c r="AR74" i="134"/>
  <c r="AS74" i="134"/>
  <c r="AT74" i="134"/>
  <c r="AU74" i="134"/>
  <c r="AV74" i="134"/>
  <c r="AW74" i="134"/>
  <c r="AX74" i="134"/>
  <c r="AY74" i="134"/>
  <c r="AZ74" i="134"/>
  <c r="BA74" i="134"/>
  <c r="BB74" i="134"/>
  <c r="BC74" i="134"/>
  <c r="BD74" i="134"/>
  <c r="E107" i="134"/>
  <c r="F107" i="134"/>
  <c r="G107" i="134"/>
  <c r="H107" i="134"/>
  <c r="I107" i="134"/>
  <c r="J107" i="134"/>
  <c r="K107" i="134"/>
  <c r="L107" i="134"/>
  <c r="M107" i="134"/>
  <c r="N107" i="134"/>
  <c r="O107" i="134"/>
  <c r="P107" i="134"/>
  <c r="Q107" i="134"/>
  <c r="R107" i="134"/>
  <c r="S107" i="134"/>
  <c r="T107" i="134"/>
  <c r="U107" i="134"/>
  <c r="V107" i="134"/>
  <c r="W107" i="134"/>
  <c r="X107" i="134"/>
  <c r="Y107" i="134"/>
  <c r="Z107" i="134"/>
  <c r="AA107" i="134"/>
  <c r="AB107" i="134"/>
  <c r="AC107" i="134"/>
  <c r="AD107" i="134"/>
  <c r="AE107" i="134"/>
  <c r="AF107" i="134"/>
  <c r="AG107" i="134"/>
  <c r="AH107" i="134"/>
  <c r="AI107" i="134"/>
  <c r="AJ107" i="134"/>
  <c r="AK107" i="134"/>
  <c r="AL107" i="134"/>
  <c r="AM107" i="134"/>
  <c r="AN107" i="134"/>
  <c r="AO107" i="134"/>
  <c r="AP107" i="134"/>
  <c r="AQ107" i="134"/>
  <c r="AR107" i="134"/>
  <c r="AS107" i="134"/>
  <c r="AT107" i="134"/>
  <c r="AU107" i="134"/>
  <c r="AV107" i="134"/>
  <c r="AW107" i="134"/>
  <c r="AX107" i="134"/>
  <c r="AY107" i="134"/>
  <c r="AZ107" i="134"/>
  <c r="BA107" i="134"/>
  <c r="BB107" i="134"/>
  <c r="BC107" i="134"/>
  <c r="BD107" i="134"/>
  <c r="BE107" i="134"/>
  <c r="BF58" i="134"/>
  <c r="BF55" i="134"/>
  <c r="BF56" i="134"/>
  <c r="BF60" i="134"/>
  <c r="BF62" i="134"/>
  <c r="BF64" i="134"/>
  <c r="BF69" i="134"/>
  <c r="BF72" i="134"/>
  <c r="BF65" i="134"/>
  <c r="BF66" i="134"/>
  <c r="BF63" i="134"/>
  <c r="BF67" i="134"/>
  <c r="BF61" i="134"/>
  <c r="BF57" i="134"/>
  <c r="BF59" i="134"/>
  <c r="BF70" i="134"/>
  <c r="BF71" i="134"/>
  <c r="BF74" i="134"/>
  <c r="BF68" i="134"/>
  <c r="BF73" i="134"/>
  <c r="BF90" i="134"/>
  <c r="BF93" i="134"/>
  <c r="BF96" i="134"/>
  <c r="BF94" i="134"/>
  <c r="BF91" i="134"/>
  <c r="BF95" i="134"/>
  <c r="BF98" i="134"/>
  <c r="BF97" i="134"/>
  <c r="BF99" i="134"/>
  <c r="BF102" i="134"/>
  <c r="BF105" i="134"/>
  <c r="BF101" i="134"/>
  <c r="BF92" i="134"/>
  <c r="BF103" i="134"/>
  <c r="BF107" i="134"/>
  <c r="BF106" i="134"/>
  <c r="BF104" i="134"/>
  <c r="BF54" i="134"/>
  <c r="BF100" i="134"/>
  <c r="BE21" i="134"/>
  <c r="BE24" i="134" s="1"/>
  <c r="BE23" i="134" s="1"/>
  <c r="BF28" i="134"/>
  <c r="BF29" i="134" s="1"/>
  <c r="BF53" i="134"/>
  <c r="BE16" i="134"/>
  <c r="AO50" i="134"/>
  <c r="AO137" i="134"/>
  <c r="AO129" i="134"/>
  <c r="AP46" i="134"/>
  <c r="AP45" i="134"/>
  <c r="AP50" i="134" s="1"/>
  <c r="AP49" i="134"/>
  <c r="AP137" i="134"/>
  <c r="AP129" i="134"/>
  <c r="AR31" i="134"/>
  <c r="AR32" i="134" s="1"/>
  <c r="AS27" i="134" s="1"/>
  <c r="AQ47" i="134"/>
  <c r="AQ44" i="134"/>
  <c r="D108" i="134"/>
  <c r="B107" i="134"/>
  <c r="BE41" i="134"/>
  <c r="BE40" i="134"/>
  <c r="BE38" i="134"/>
  <c r="BE37" i="134"/>
  <c r="BE20" i="134"/>
  <c r="BF52" i="134"/>
  <c r="BF140" i="134" s="1"/>
  <c r="BF30" i="134"/>
  <c r="BF36" i="134"/>
  <c r="BF39" i="134"/>
  <c r="BF17" i="134"/>
  <c r="BF18" i="134" s="1"/>
  <c r="BF19" i="134"/>
  <c r="BF15" i="134"/>
  <c r="BF14" i="134"/>
  <c r="BG4" i="134"/>
  <c r="BV153" i="135" l="1"/>
  <c r="BV155" i="135"/>
  <c r="BF20" i="134"/>
  <c r="BV50" i="135"/>
  <c r="BV136" i="135"/>
  <c r="BV129" i="135"/>
  <c r="BV125" i="135" s="1"/>
  <c r="BV131" i="135" s="1"/>
  <c r="BV134" i="135"/>
  <c r="BV135" i="135" s="1"/>
  <c r="BV137" i="135"/>
  <c r="BU137" i="135"/>
  <c r="BU134" i="135"/>
  <c r="BU135" i="135" s="1"/>
  <c r="BX31" i="135"/>
  <c r="BX32" i="135" s="1"/>
  <c r="BY27" i="135" s="1"/>
  <c r="BU130" i="135"/>
  <c r="BV130" i="135" s="1"/>
  <c r="BW44" i="135"/>
  <c r="BW47" i="135"/>
  <c r="BW106" i="135"/>
  <c r="BW124" i="135" s="1"/>
  <c r="BX106" i="135"/>
  <c r="BY106" i="135"/>
  <c r="BZ106" i="135"/>
  <c r="CA106" i="135"/>
  <c r="CB106" i="135"/>
  <c r="CC106" i="135"/>
  <c r="CD106" i="135"/>
  <c r="CE106" i="135"/>
  <c r="CF106" i="135"/>
  <c r="CG106" i="135"/>
  <c r="CH106" i="135"/>
  <c r="CI106" i="135"/>
  <c r="CJ106" i="135"/>
  <c r="CK106" i="135"/>
  <c r="CL106" i="135"/>
  <c r="CM106" i="135"/>
  <c r="CN106" i="135"/>
  <c r="CO106" i="135"/>
  <c r="CP106" i="135"/>
  <c r="CQ106" i="135"/>
  <c r="CR106" i="135"/>
  <c r="CS106" i="135"/>
  <c r="CT106" i="135"/>
  <c r="CU106" i="135"/>
  <c r="CV106" i="135"/>
  <c r="CW106" i="135"/>
  <c r="CX106" i="135"/>
  <c r="CY106" i="135"/>
  <c r="CZ106" i="135"/>
  <c r="BF75" i="134"/>
  <c r="CC139" i="134"/>
  <c r="E108" i="134"/>
  <c r="F108" i="134"/>
  <c r="G108" i="134"/>
  <c r="H108" i="134"/>
  <c r="I108" i="134"/>
  <c r="J108" i="134"/>
  <c r="K108" i="134"/>
  <c r="L108" i="134"/>
  <c r="M108" i="134"/>
  <c r="N108" i="134"/>
  <c r="O108" i="134"/>
  <c r="P108" i="134"/>
  <c r="Q108" i="134"/>
  <c r="R108" i="134"/>
  <c r="S108" i="134"/>
  <c r="T108" i="134"/>
  <c r="U108" i="134"/>
  <c r="V108" i="134"/>
  <c r="W108" i="134"/>
  <c r="X108" i="134"/>
  <c r="Y108" i="134"/>
  <c r="Z108" i="134"/>
  <c r="AA108" i="134"/>
  <c r="AB108" i="134"/>
  <c r="AC108" i="134"/>
  <c r="AD108" i="134"/>
  <c r="AE108" i="134"/>
  <c r="AF108" i="134"/>
  <c r="AG108" i="134"/>
  <c r="AH108" i="134"/>
  <c r="AI108" i="134"/>
  <c r="AJ108" i="134"/>
  <c r="AK108" i="134"/>
  <c r="AL108" i="134"/>
  <c r="AM108" i="134"/>
  <c r="AN108" i="134"/>
  <c r="AO108" i="134"/>
  <c r="AP108" i="134"/>
  <c r="AQ108" i="134"/>
  <c r="AR108" i="134"/>
  <c r="AS108" i="134"/>
  <c r="AT108" i="134"/>
  <c r="AU108" i="134"/>
  <c r="AV108" i="134"/>
  <c r="AW108" i="134"/>
  <c r="AX108" i="134"/>
  <c r="AY108" i="134"/>
  <c r="AZ108" i="134"/>
  <c r="BA108" i="134"/>
  <c r="BB108" i="134"/>
  <c r="BC108" i="134"/>
  <c r="BD108" i="134"/>
  <c r="BE108" i="134"/>
  <c r="BF108" i="134"/>
  <c r="AR75" i="134"/>
  <c r="AS75" i="134"/>
  <c r="AT75" i="134"/>
  <c r="AU75" i="134"/>
  <c r="AV75" i="134"/>
  <c r="AW75" i="134"/>
  <c r="AX75" i="134"/>
  <c r="AY75" i="134"/>
  <c r="AZ75" i="134"/>
  <c r="BA75" i="134"/>
  <c r="BB75" i="134"/>
  <c r="BC75" i="134"/>
  <c r="BD75" i="134"/>
  <c r="BE75" i="134"/>
  <c r="BG55" i="134"/>
  <c r="BG58" i="134"/>
  <c r="BG57" i="134"/>
  <c r="BG59" i="134"/>
  <c r="BG56" i="134"/>
  <c r="BG60" i="134"/>
  <c r="BG68" i="134"/>
  <c r="BG64" i="134"/>
  <c r="BG69" i="134"/>
  <c r="BG72" i="134"/>
  <c r="BG65" i="134"/>
  <c r="BG66" i="134"/>
  <c r="BG63" i="134"/>
  <c r="BG61" i="134"/>
  <c r="BG62" i="134"/>
  <c r="BG67" i="134"/>
  <c r="BG70" i="134"/>
  <c r="BG71" i="134"/>
  <c r="BG73" i="134"/>
  <c r="BG74" i="134"/>
  <c r="BG75" i="134"/>
  <c r="BG91" i="134"/>
  <c r="BG94" i="134"/>
  <c r="BG97" i="134"/>
  <c r="BG92" i="134"/>
  <c r="BG93" i="134"/>
  <c r="BG95" i="134"/>
  <c r="BG98" i="134"/>
  <c r="BG100" i="134"/>
  <c r="BG104" i="134"/>
  <c r="BG99" i="134"/>
  <c r="BG105" i="134"/>
  <c r="BG101" i="134"/>
  <c r="BG102" i="134"/>
  <c r="BG96" i="134"/>
  <c r="BG103" i="134"/>
  <c r="BG107" i="134"/>
  <c r="BG106" i="134"/>
  <c r="BG108" i="134"/>
  <c r="BG54" i="134"/>
  <c r="BF16" i="134"/>
  <c r="BG28" i="134"/>
  <c r="BG29" i="134" s="1"/>
  <c r="BG53" i="134"/>
  <c r="AS31" i="134"/>
  <c r="AS32" i="134" s="1"/>
  <c r="AT27" i="134" s="1"/>
  <c r="AR47" i="134"/>
  <c r="AR48" i="134" s="1"/>
  <c r="AR44" i="134"/>
  <c r="AQ46" i="134"/>
  <c r="AQ45" i="134"/>
  <c r="AQ48" i="134"/>
  <c r="AQ49" i="134" s="1"/>
  <c r="BF40" i="134"/>
  <c r="BF41" i="134"/>
  <c r="BF37" i="134"/>
  <c r="BF38" i="134"/>
  <c r="BG52" i="134"/>
  <c r="BG140" i="134" s="1"/>
  <c r="BG39" i="134"/>
  <c r="BG36" i="134"/>
  <c r="BG14" i="134"/>
  <c r="BG19" i="134"/>
  <c r="BG30" i="134"/>
  <c r="BG17" i="134"/>
  <c r="BG18" i="134" s="1"/>
  <c r="BG15" i="134"/>
  <c r="BH4" i="134"/>
  <c r="B108" i="134"/>
  <c r="D109" i="134"/>
  <c r="BG109" i="134" s="1"/>
  <c r="BF21" i="134"/>
  <c r="BF24" i="134" s="1"/>
  <c r="BF23" i="134" s="1"/>
  <c r="BG21" i="134" l="1"/>
  <c r="BG24" i="134" s="1"/>
  <c r="BX47" i="135"/>
  <c r="BX44" i="135"/>
  <c r="BX107" i="135"/>
  <c r="BX124" i="135" s="1"/>
  <c r="BY107" i="135"/>
  <c r="BZ107" i="135"/>
  <c r="CA107" i="135"/>
  <c r="CB107" i="135"/>
  <c r="CC107" i="135"/>
  <c r="CD107" i="135"/>
  <c r="CE107" i="135"/>
  <c r="CF107" i="135"/>
  <c r="CG107" i="135"/>
  <c r="CH107" i="135"/>
  <c r="CI107" i="135"/>
  <c r="CJ107" i="135"/>
  <c r="CK107" i="135"/>
  <c r="CL107" i="135"/>
  <c r="CM107" i="135"/>
  <c r="CN107" i="135"/>
  <c r="CO107" i="135"/>
  <c r="CP107" i="135"/>
  <c r="CQ107" i="135"/>
  <c r="CR107" i="135"/>
  <c r="CS107" i="135"/>
  <c r="CT107" i="135"/>
  <c r="CU107" i="135"/>
  <c r="CV107" i="135"/>
  <c r="CW107" i="135"/>
  <c r="CX107" i="135"/>
  <c r="CY107" i="135"/>
  <c r="CZ107" i="135"/>
  <c r="BY31" i="135"/>
  <c r="BW133" i="135"/>
  <c r="BW49" i="135"/>
  <c r="BW48" i="135"/>
  <c r="BW46" i="135"/>
  <c r="BW45" i="135"/>
  <c r="BW128" i="135" s="1"/>
  <c r="BW154" i="135" s="1"/>
  <c r="CD139" i="134"/>
  <c r="AS76" i="134"/>
  <c r="AT76" i="134"/>
  <c r="AU76" i="134"/>
  <c r="AV76" i="134"/>
  <c r="AW76" i="134"/>
  <c r="AX76" i="134"/>
  <c r="AY76" i="134"/>
  <c r="AZ76" i="134"/>
  <c r="BA76" i="134"/>
  <c r="BB76" i="134"/>
  <c r="BC76" i="134"/>
  <c r="BD76" i="134"/>
  <c r="BE76" i="134"/>
  <c r="BF76" i="134"/>
  <c r="E109" i="134"/>
  <c r="F109" i="134"/>
  <c r="G109" i="134"/>
  <c r="H109" i="134"/>
  <c r="I109" i="134"/>
  <c r="J109" i="134"/>
  <c r="K109" i="134"/>
  <c r="L109" i="134"/>
  <c r="M109" i="134"/>
  <c r="N109" i="134"/>
  <c r="O109" i="134"/>
  <c r="P109" i="134"/>
  <c r="Q109" i="134"/>
  <c r="R109" i="134"/>
  <c r="S109" i="134"/>
  <c r="T109" i="134"/>
  <c r="U109" i="134"/>
  <c r="V109" i="134"/>
  <c r="W109" i="134"/>
  <c r="X109" i="134"/>
  <c r="Y109" i="134"/>
  <c r="Z109" i="134"/>
  <c r="AA109" i="134"/>
  <c r="AB109" i="134"/>
  <c r="AC109" i="134"/>
  <c r="AD109" i="134"/>
  <c r="AE109" i="134"/>
  <c r="AF109" i="134"/>
  <c r="AG109" i="134"/>
  <c r="AH109" i="134"/>
  <c r="AI109" i="134"/>
  <c r="AJ109" i="134"/>
  <c r="AK109" i="134"/>
  <c r="AL109" i="134"/>
  <c r="AM109" i="134"/>
  <c r="AN109" i="134"/>
  <c r="AO109" i="134"/>
  <c r="AP109" i="134"/>
  <c r="AQ109" i="134"/>
  <c r="AR109" i="134"/>
  <c r="AS109" i="134"/>
  <c r="AT109" i="134"/>
  <c r="AU109" i="134"/>
  <c r="AV109" i="134"/>
  <c r="AW109" i="134"/>
  <c r="AX109" i="134"/>
  <c r="AY109" i="134"/>
  <c r="AZ109" i="134"/>
  <c r="BA109" i="134"/>
  <c r="BB109" i="134"/>
  <c r="BC109" i="134"/>
  <c r="BD109" i="134"/>
  <c r="BE109" i="134"/>
  <c r="BF109" i="134"/>
  <c r="BH57" i="134"/>
  <c r="BH60" i="134"/>
  <c r="BH63" i="134"/>
  <c r="BH59" i="134"/>
  <c r="BH58" i="134"/>
  <c r="BH61" i="134"/>
  <c r="BH55" i="134"/>
  <c r="BH56" i="134"/>
  <c r="BH68" i="134"/>
  <c r="BH64" i="134"/>
  <c r="BH65" i="134"/>
  <c r="BH66" i="134"/>
  <c r="BH67" i="134"/>
  <c r="BH70" i="134"/>
  <c r="BH69" i="134"/>
  <c r="BH71" i="134"/>
  <c r="BH62" i="134"/>
  <c r="BH72" i="134"/>
  <c r="BH73" i="134"/>
  <c r="BH76" i="134"/>
  <c r="BH74" i="134"/>
  <c r="BH75" i="134"/>
  <c r="BH92" i="134"/>
  <c r="BH95" i="134"/>
  <c r="BH98" i="134"/>
  <c r="BH96" i="134"/>
  <c r="BH99" i="134"/>
  <c r="BH93" i="134"/>
  <c r="BH100" i="134"/>
  <c r="BH103" i="134"/>
  <c r="BH106" i="134"/>
  <c r="BH94" i="134"/>
  <c r="BH104" i="134"/>
  <c r="BH97" i="134"/>
  <c r="BH105" i="134"/>
  <c r="BH101" i="134"/>
  <c r="BH102" i="134"/>
  <c r="BH108" i="134"/>
  <c r="BH107" i="134"/>
  <c r="BH109" i="134"/>
  <c r="BH54" i="134"/>
  <c r="BG16" i="134"/>
  <c r="BG76" i="134"/>
  <c r="BH28" i="134"/>
  <c r="BH29" i="134" s="1"/>
  <c r="BH53" i="134"/>
  <c r="AR46" i="134"/>
  <c r="AR45" i="134"/>
  <c r="AR50" i="134" s="1"/>
  <c r="AR49" i="134"/>
  <c r="AR137" i="134"/>
  <c r="AR129" i="134"/>
  <c r="AT31" i="134"/>
  <c r="BH77" i="134" s="1"/>
  <c r="AQ129" i="134"/>
  <c r="AQ137" i="134"/>
  <c r="AQ50" i="134"/>
  <c r="AS47" i="134"/>
  <c r="AS48" i="134" s="1"/>
  <c r="AS44" i="134"/>
  <c r="BH39" i="134"/>
  <c r="BH36" i="134"/>
  <c r="BH52" i="134"/>
  <c r="BH140" i="134" s="1"/>
  <c r="BH17" i="134"/>
  <c r="BH18" i="134" s="1"/>
  <c r="BI4" i="134"/>
  <c r="BH30" i="134"/>
  <c r="BH15" i="134"/>
  <c r="BH19" i="134"/>
  <c r="BH14" i="134"/>
  <c r="BG23" i="134"/>
  <c r="BG20" i="134"/>
  <c r="BG38" i="134"/>
  <c r="BG37" i="134"/>
  <c r="D110" i="134"/>
  <c r="B109" i="134"/>
  <c r="BG41" i="134"/>
  <c r="BG40" i="134"/>
  <c r="BW153" i="135" l="1"/>
  <c r="BW155" i="135"/>
  <c r="BW50" i="135"/>
  <c r="BW136" i="135"/>
  <c r="BW129" i="135"/>
  <c r="BW125" i="135" s="1"/>
  <c r="BW131" i="135" s="1"/>
  <c r="BW127" i="135"/>
  <c r="BW142" i="135" s="1"/>
  <c r="BY47" i="135"/>
  <c r="BY44" i="135"/>
  <c r="BY108" i="135"/>
  <c r="BY124" i="135" s="1"/>
  <c r="BZ108" i="135"/>
  <c r="CA108" i="135"/>
  <c r="CB108" i="135"/>
  <c r="CC108" i="135"/>
  <c r="CD108" i="135"/>
  <c r="CE108" i="135"/>
  <c r="CF108" i="135"/>
  <c r="CG108" i="135"/>
  <c r="CH108" i="135"/>
  <c r="CI108" i="135"/>
  <c r="CJ108" i="135"/>
  <c r="CK108" i="135"/>
  <c r="CL108" i="135"/>
  <c r="CM108" i="135"/>
  <c r="CN108" i="135"/>
  <c r="CO108" i="135"/>
  <c r="CP108" i="135"/>
  <c r="CQ108" i="135"/>
  <c r="CR108" i="135"/>
  <c r="CS108" i="135"/>
  <c r="CT108" i="135"/>
  <c r="CU108" i="135"/>
  <c r="CV108" i="135"/>
  <c r="CW108" i="135"/>
  <c r="CX108" i="135"/>
  <c r="CY108" i="135"/>
  <c r="CZ108" i="135"/>
  <c r="BY32" i="135"/>
  <c r="BZ27" i="135" s="1"/>
  <c r="BX133" i="135"/>
  <c r="BX45" i="135"/>
  <c r="BX128" i="135" s="1"/>
  <c r="BX154" i="135" s="1"/>
  <c r="BX46" i="135"/>
  <c r="BX49" i="135"/>
  <c r="BX48" i="135"/>
  <c r="BX127" i="135" s="1"/>
  <c r="BX142" i="135" s="1"/>
  <c r="AT32" i="134"/>
  <c r="AU27" i="134" s="1"/>
  <c r="CE139" i="134"/>
  <c r="E110" i="134"/>
  <c r="F110" i="134"/>
  <c r="G110" i="134"/>
  <c r="H110" i="134"/>
  <c r="I110" i="134"/>
  <c r="J110" i="134"/>
  <c r="K110" i="134"/>
  <c r="L110" i="134"/>
  <c r="M110" i="134"/>
  <c r="N110" i="134"/>
  <c r="O110" i="134"/>
  <c r="P110" i="134"/>
  <c r="Q110" i="134"/>
  <c r="R110" i="134"/>
  <c r="S110" i="134"/>
  <c r="T110" i="134"/>
  <c r="U110" i="134"/>
  <c r="V110" i="134"/>
  <c r="W110" i="134"/>
  <c r="X110" i="134"/>
  <c r="Y110" i="134"/>
  <c r="Z110" i="134"/>
  <c r="AA110" i="134"/>
  <c r="AB110" i="134"/>
  <c r="AC110" i="134"/>
  <c r="AD110" i="134"/>
  <c r="AE110" i="134"/>
  <c r="AF110" i="134"/>
  <c r="AG110" i="134"/>
  <c r="AH110" i="134"/>
  <c r="AI110" i="134"/>
  <c r="AJ110" i="134"/>
  <c r="AK110" i="134"/>
  <c r="AL110" i="134"/>
  <c r="AM110" i="134"/>
  <c r="AN110" i="134"/>
  <c r="AO110" i="134"/>
  <c r="AP110" i="134"/>
  <c r="AQ110" i="134"/>
  <c r="AR110" i="134"/>
  <c r="AS110" i="134"/>
  <c r="AT110" i="134"/>
  <c r="AU110" i="134"/>
  <c r="AV110" i="134"/>
  <c r="AW110" i="134"/>
  <c r="AX110" i="134"/>
  <c r="AY110" i="134"/>
  <c r="AZ110" i="134"/>
  <c r="BA110" i="134"/>
  <c r="BB110" i="134"/>
  <c r="BC110" i="134"/>
  <c r="BD110" i="134"/>
  <c r="BE110" i="134"/>
  <c r="BF110" i="134"/>
  <c r="BG110" i="134"/>
  <c r="AT77" i="134"/>
  <c r="AU77" i="134"/>
  <c r="AV77" i="134"/>
  <c r="AW77" i="134"/>
  <c r="AX77" i="134"/>
  <c r="AY77" i="134"/>
  <c r="AZ77" i="134"/>
  <c r="BA77" i="134"/>
  <c r="BB77" i="134"/>
  <c r="BC77" i="134"/>
  <c r="BD77" i="134"/>
  <c r="BE77" i="134"/>
  <c r="BF77" i="134"/>
  <c r="BG77" i="134"/>
  <c r="BI56" i="134"/>
  <c r="BI57" i="134"/>
  <c r="BI59" i="134"/>
  <c r="BI58" i="134"/>
  <c r="BI64" i="134"/>
  <c r="BI55" i="134"/>
  <c r="BI60" i="134"/>
  <c r="BI62" i="134"/>
  <c r="BI65" i="134"/>
  <c r="BI66" i="134"/>
  <c r="BI63" i="134"/>
  <c r="BI68" i="134"/>
  <c r="BI67" i="134"/>
  <c r="BI69" i="134"/>
  <c r="BI61" i="134"/>
  <c r="BI70" i="134"/>
  <c r="BI71" i="134"/>
  <c r="BI72" i="134"/>
  <c r="BI73" i="134"/>
  <c r="BI74" i="134"/>
  <c r="BI77" i="134"/>
  <c r="BI75" i="134"/>
  <c r="BI76" i="134"/>
  <c r="BI97" i="134"/>
  <c r="BI96" i="134"/>
  <c r="BI99" i="134"/>
  <c r="BI93" i="134"/>
  <c r="BI94" i="134"/>
  <c r="BI101" i="134"/>
  <c r="BI104" i="134"/>
  <c r="BI107" i="134"/>
  <c r="BI95" i="134"/>
  <c r="BI100" i="134"/>
  <c r="BI102" i="134"/>
  <c r="BI98" i="134"/>
  <c r="BI103" i="134"/>
  <c r="BI105" i="134"/>
  <c r="BI106" i="134"/>
  <c r="BI110" i="134"/>
  <c r="BI108" i="134"/>
  <c r="BI109" i="134"/>
  <c r="BI54" i="134"/>
  <c r="BH110" i="134"/>
  <c r="BI28" i="134"/>
  <c r="BI29" i="134" s="1"/>
  <c r="BI53" i="134"/>
  <c r="BH21" i="134"/>
  <c r="BH24" i="134" s="1"/>
  <c r="BH23" i="134" s="1"/>
  <c r="BH16" i="134"/>
  <c r="AS45" i="134"/>
  <c r="AS50" i="134" s="1"/>
  <c r="AS46" i="134"/>
  <c r="AU31" i="134"/>
  <c r="BI78" i="134" s="1"/>
  <c r="AT44" i="134"/>
  <c r="AT47" i="134"/>
  <c r="AT48" i="134" s="1"/>
  <c r="AS49" i="134"/>
  <c r="AS137" i="134"/>
  <c r="AS129" i="134"/>
  <c r="BH37" i="134"/>
  <c r="BH38" i="134"/>
  <c r="BI39" i="134"/>
  <c r="BI52" i="134"/>
  <c r="BI140" i="134" s="1"/>
  <c r="BI30" i="134"/>
  <c r="BI36" i="134"/>
  <c r="BI17" i="134"/>
  <c r="BI18" i="134" s="1"/>
  <c r="BI15" i="134"/>
  <c r="BI19" i="134"/>
  <c r="BI14" i="134"/>
  <c r="BJ4" i="134"/>
  <c r="BH40" i="134"/>
  <c r="BH41" i="134"/>
  <c r="B110" i="134"/>
  <c r="D111" i="134"/>
  <c r="BI111" i="134" s="1"/>
  <c r="BH20" i="134"/>
  <c r="BX153" i="135" l="1"/>
  <c r="BX155" i="135"/>
  <c r="BX134" i="135"/>
  <c r="BX135" i="135" s="1"/>
  <c r="BX137" i="135"/>
  <c r="BZ31" i="135"/>
  <c r="BY133" i="135"/>
  <c r="BY45" i="135"/>
  <c r="BY128" i="135" s="1"/>
  <c r="BY154" i="135" s="1"/>
  <c r="BY46" i="135"/>
  <c r="BX50" i="135"/>
  <c r="BX136" i="135"/>
  <c r="BX129" i="135"/>
  <c r="BX125" i="135" s="1"/>
  <c r="BX131" i="135" s="1"/>
  <c r="BY48" i="135"/>
  <c r="BY127" i="135" s="1"/>
  <c r="BY142" i="135" s="1"/>
  <c r="BY49" i="135"/>
  <c r="BW137" i="135"/>
  <c r="BW134" i="135"/>
  <c r="BW135" i="135" s="1"/>
  <c r="BW130" i="135"/>
  <c r="BX130" i="135" s="1"/>
  <c r="CF139" i="134"/>
  <c r="E111" i="134"/>
  <c r="F111" i="134"/>
  <c r="G111" i="134"/>
  <c r="H111" i="134"/>
  <c r="I111" i="134"/>
  <c r="J111" i="134"/>
  <c r="K111" i="134"/>
  <c r="L111" i="134"/>
  <c r="M111" i="134"/>
  <c r="N111" i="134"/>
  <c r="O111" i="134"/>
  <c r="P111" i="134"/>
  <c r="Q111" i="134"/>
  <c r="R111" i="134"/>
  <c r="S111" i="134"/>
  <c r="T111" i="134"/>
  <c r="U111" i="134"/>
  <c r="V111" i="134"/>
  <c r="W111" i="134"/>
  <c r="X111" i="134"/>
  <c r="Y111" i="134"/>
  <c r="Z111" i="134"/>
  <c r="AA111" i="134"/>
  <c r="AB111" i="134"/>
  <c r="AC111" i="134"/>
  <c r="AD111" i="134"/>
  <c r="AE111" i="134"/>
  <c r="AF111" i="134"/>
  <c r="AG111" i="134"/>
  <c r="AH111" i="134"/>
  <c r="AI111" i="134"/>
  <c r="AJ111" i="134"/>
  <c r="AK111" i="134"/>
  <c r="AL111" i="134"/>
  <c r="AM111" i="134"/>
  <c r="AN111" i="134"/>
  <c r="AO111" i="134"/>
  <c r="AP111" i="134"/>
  <c r="AQ111" i="134"/>
  <c r="AR111" i="134"/>
  <c r="AS111" i="134"/>
  <c r="AT111" i="134"/>
  <c r="AU111" i="134"/>
  <c r="AV111" i="134"/>
  <c r="AW111" i="134"/>
  <c r="AX111" i="134"/>
  <c r="AY111" i="134"/>
  <c r="AZ111" i="134"/>
  <c r="BA111" i="134"/>
  <c r="BB111" i="134"/>
  <c r="BC111" i="134"/>
  <c r="BD111" i="134"/>
  <c r="BE111" i="134"/>
  <c r="BF111" i="134"/>
  <c r="BG111" i="134"/>
  <c r="BH111" i="134"/>
  <c r="BJ56" i="134"/>
  <c r="BJ57" i="134"/>
  <c r="BJ59" i="134"/>
  <c r="BJ58" i="134"/>
  <c r="BJ55" i="134"/>
  <c r="BJ63" i="134"/>
  <c r="BJ60" i="134"/>
  <c r="BJ61" i="134"/>
  <c r="BJ62" i="134"/>
  <c r="BJ68" i="134"/>
  <c r="BJ71" i="134"/>
  <c r="BJ64" i="134"/>
  <c r="BJ65" i="134"/>
  <c r="BJ66" i="134"/>
  <c r="BJ73" i="134"/>
  <c r="BJ67" i="134"/>
  <c r="BJ69" i="134"/>
  <c r="BJ74" i="134"/>
  <c r="BJ70" i="134"/>
  <c r="BJ76" i="134"/>
  <c r="BJ72" i="134"/>
  <c r="BJ77" i="134"/>
  <c r="BJ75" i="134"/>
  <c r="BJ95" i="134"/>
  <c r="BJ78" i="134"/>
  <c r="BJ98" i="134"/>
  <c r="BJ97" i="134"/>
  <c r="BJ96" i="134"/>
  <c r="BJ99" i="134"/>
  <c r="BJ94" i="134"/>
  <c r="BJ101" i="134"/>
  <c r="BJ104" i="134"/>
  <c r="BJ107" i="134"/>
  <c r="BJ110" i="134"/>
  <c r="BJ100" i="134"/>
  <c r="BJ108" i="134"/>
  <c r="BJ109" i="134"/>
  <c r="BJ102" i="134"/>
  <c r="BJ106" i="134"/>
  <c r="BJ105" i="134"/>
  <c r="BJ111" i="134"/>
  <c r="BJ103" i="134"/>
  <c r="BJ54" i="134"/>
  <c r="AU32" i="134"/>
  <c r="AV27" i="134" s="1"/>
  <c r="AU78" i="134"/>
  <c r="AV78" i="134"/>
  <c r="AW78" i="134"/>
  <c r="AX78" i="134"/>
  <c r="AY78" i="134"/>
  <c r="AZ78" i="134"/>
  <c r="BA78" i="134"/>
  <c r="BB78" i="134"/>
  <c r="BC78" i="134"/>
  <c r="BD78" i="134"/>
  <c r="BE78" i="134"/>
  <c r="BF78" i="134"/>
  <c r="BG78" i="134"/>
  <c r="BH78" i="134"/>
  <c r="BJ28" i="134"/>
  <c r="BJ29" i="134" s="1"/>
  <c r="BJ53" i="134"/>
  <c r="BI16" i="134"/>
  <c r="BI21" i="134"/>
  <c r="BI24" i="134" s="1"/>
  <c r="BI23" i="134" s="1"/>
  <c r="AT45" i="134"/>
  <c r="AT50" i="134" s="1"/>
  <c r="AT46" i="134"/>
  <c r="AT49" i="134"/>
  <c r="AT137" i="134"/>
  <c r="AT129" i="134"/>
  <c r="AV31" i="134"/>
  <c r="AU44" i="134"/>
  <c r="AU47" i="134"/>
  <c r="BI37" i="134"/>
  <c r="BI38" i="134"/>
  <c r="BJ39" i="134"/>
  <c r="BJ52" i="134"/>
  <c r="BJ140" i="134" s="1"/>
  <c r="BJ36" i="134"/>
  <c r="BJ30" i="134"/>
  <c r="BJ17" i="134"/>
  <c r="BJ18" i="134" s="1"/>
  <c r="BJ15" i="134"/>
  <c r="BJ19" i="134"/>
  <c r="BJ14" i="134"/>
  <c r="BK4" i="134"/>
  <c r="D112" i="134"/>
  <c r="B111" i="134"/>
  <c r="BI20" i="134"/>
  <c r="BI41" i="134"/>
  <c r="BI40" i="134"/>
  <c r="BY153" i="135" l="1"/>
  <c r="BY155" i="135"/>
  <c r="BY137" i="135"/>
  <c r="BY134" i="135"/>
  <c r="BY135" i="135" s="1"/>
  <c r="BY130" i="135"/>
  <c r="BZ44" i="135"/>
  <c r="BZ47" i="135"/>
  <c r="BZ109" i="135"/>
  <c r="BZ124" i="135" s="1"/>
  <c r="CA109" i="135"/>
  <c r="CB109" i="135"/>
  <c r="CC109" i="135"/>
  <c r="CD109" i="135"/>
  <c r="CE109" i="135"/>
  <c r="CF109" i="135"/>
  <c r="CG109" i="135"/>
  <c r="CH109" i="135"/>
  <c r="CI109" i="135"/>
  <c r="CJ109" i="135"/>
  <c r="CK109" i="135"/>
  <c r="CL109" i="135"/>
  <c r="CM109" i="135"/>
  <c r="CN109" i="135"/>
  <c r="CO109" i="135"/>
  <c r="CP109" i="135"/>
  <c r="CQ109" i="135"/>
  <c r="CR109" i="135"/>
  <c r="CS109" i="135"/>
  <c r="CT109" i="135"/>
  <c r="CU109" i="135"/>
  <c r="CV109" i="135"/>
  <c r="CW109" i="135"/>
  <c r="CX109" i="135"/>
  <c r="CY109" i="135"/>
  <c r="CZ109" i="135"/>
  <c r="BZ32" i="135"/>
  <c r="CA27" i="135" s="1"/>
  <c r="BY50" i="135"/>
  <c r="BY136" i="135"/>
  <c r="BY129" i="135"/>
  <c r="BY125" i="135" s="1"/>
  <c r="BY131" i="135" s="1"/>
  <c r="CG139" i="134"/>
  <c r="E112" i="134"/>
  <c r="F112" i="134"/>
  <c r="G112" i="134"/>
  <c r="H112" i="134"/>
  <c r="I112" i="134"/>
  <c r="J112" i="134"/>
  <c r="K112" i="134"/>
  <c r="L112" i="134"/>
  <c r="M112" i="134"/>
  <c r="N112" i="134"/>
  <c r="O112" i="134"/>
  <c r="P112" i="134"/>
  <c r="Q112" i="134"/>
  <c r="R112" i="134"/>
  <c r="S112" i="134"/>
  <c r="T112" i="134"/>
  <c r="U112" i="134"/>
  <c r="V112" i="134"/>
  <c r="W112" i="134"/>
  <c r="X112" i="134"/>
  <c r="Y112" i="134"/>
  <c r="Z112" i="134"/>
  <c r="AA112" i="134"/>
  <c r="AB112" i="134"/>
  <c r="AC112" i="134"/>
  <c r="AD112" i="134"/>
  <c r="AE112" i="134"/>
  <c r="AF112" i="134"/>
  <c r="AG112" i="134"/>
  <c r="AH112" i="134"/>
  <c r="AI112" i="134"/>
  <c r="AJ112" i="134"/>
  <c r="AK112" i="134"/>
  <c r="AL112" i="134"/>
  <c r="AM112" i="134"/>
  <c r="AN112" i="134"/>
  <c r="AO112" i="134"/>
  <c r="AP112" i="134"/>
  <c r="AQ112" i="134"/>
  <c r="AR112" i="134"/>
  <c r="AS112" i="134"/>
  <c r="AT112" i="134"/>
  <c r="AU112" i="134"/>
  <c r="AV112" i="134"/>
  <c r="AW112" i="134"/>
  <c r="AX112" i="134"/>
  <c r="AY112" i="134"/>
  <c r="AZ112" i="134"/>
  <c r="BA112" i="134"/>
  <c r="BB112" i="134"/>
  <c r="BC112" i="134"/>
  <c r="BD112" i="134"/>
  <c r="BE112" i="134"/>
  <c r="BF112" i="134"/>
  <c r="BG112" i="134"/>
  <c r="BH112" i="134"/>
  <c r="BI112" i="134"/>
  <c r="AV32" i="134"/>
  <c r="AW27" i="134" s="1"/>
  <c r="AV79" i="134"/>
  <c r="AW79" i="134"/>
  <c r="AX79" i="134"/>
  <c r="AY79" i="134"/>
  <c r="AZ79" i="134"/>
  <c r="BA79" i="134"/>
  <c r="BB79" i="134"/>
  <c r="BC79" i="134"/>
  <c r="BD79" i="134"/>
  <c r="BE79" i="134"/>
  <c r="BF79" i="134"/>
  <c r="BG79" i="134"/>
  <c r="BH79" i="134"/>
  <c r="BI79" i="134"/>
  <c r="BJ79" i="134"/>
  <c r="BK56" i="134"/>
  <c r="BK57" i="134"/>
  <c r="BK59" i="134"/>
  <c r="BK58" i="134"/>
  <c r="BK61" i="134"/>
  <c r="BK66" i="134"/>
  <c r="BK55" i="134"/>
  <c r="BK63" i="134"/>
  <c r="BK67" i="134"/>
  <c r="BK62" i="134"/>
  <c r="BK68" i="134"/>
  <c r="BK71" i="134"/>
  <c r="BK60" i="134"/>
  <c r="BK64" i="134"/>
  <c r="BK65" i="134"/>
  <c r="BK72" i="134"/>
  <c r="BK73" i="134"/>
  <c r="BK69" i="134"/>
  <c r="BK70" i="134"/>
  <c r="BK75" i="134"/>
  <c r="BK78" i="134"/>
  <c r="BK76" i="134"/>
  <c r="BK79" i="134"/>
  <c r="BK74" i="134"/>
  <c r="BK77" i="134"/>
  <c r="BK96" i="134"/>
  <c r="BK98" i="134"/>
  <c r="BK97" i="134"/>
  <c r="BK103" i="134"/>
  <c r="BK95" i="134"/>
  <c r="BK104" i="134"/>
  <c r="BK99" i="134"/>
  <c r="BK100" i="134"/>
  <c r="BK101" i="134"/>
  <c r="BK102" i="134"/>
  <c r="BK106" i="134"/>
  <c r="BK109" i="134"/>
  <c r="BK105" i="134"/>
  <c r="BK111" i="134"/>
  <c r="BK112" i="134"/>
  <c r="BK110" i="134"/>
  <c r="BK108" i="134"/>
  <c r="BK107" i="134"/>
  <c r="BK54" i="134"/>
  <c r="BJ112" i="134"/>
  <c r="BJ20" i="134"/>
  <c r="BK28" i="134"/>
  <c r="BK29" i="134" s="1"/>
  <c r="BK53" i="134"/>
  <c r="AV44" i="134"/>
  <c r="AV47" i="134"/>
  <c r="AU46" i="134"/>
  <c r="AU45" i="134"/>
  <c r="AU48" i="134"/>
  <c r="AU49" i="134" s="1"/>
  <c r="BJ38" i="134"/>
  <c r="BJ37" i="134"/>
  <c r="B112" i="134"/>
  <c r="D113" i="134"/>
  <c r="BK113" i="134" s="1"/>
  <c r="BJ40" i="134"/>
  <c r="BJ41" i="134"/>
  <c r="BK52" i="134"/>
  <c r="BK140" i="134" s="1"/>
  <c r="BK36" i="134"/>
  <c r="BK39" i="134"/>
  <c r="BK30" i="134"/>
  <c r="BK15" i="134"/>
  <c r="BL4" i="134"/>
  <c r="BK19" i="134"/>
  <c r="BK14" i="134"/>
  <c r="BK17" i="134"/>
  <c r="BK18" i="134" s="1"/>
  <c r="BJ21" i="134"/>
  <c r="BJ24" i="134" s="1"/>
  <c r="BJ23" i="134" s="1"/>
  <c r="BJ16" i="134"/>
  <c r="BZ133" i="135" l="1"/>
  <c r="BZ48" i="135"/>
  <c r="BZ49" i="135"/>
  <c r="CA31" i="135"/>
  <c r="BZ46" i="135"/>
  <c r="BZ45" i="135"/>
  <c r="BZ128" i="135" s="1"/>
  <c r="BZ154" i="135" s="1"/>
  <c r="CH139" i="134"/>
  <c r="BK16" i="134"/>
  <c r="BL56" i="134"/>
  <c r="BL59" i="134"/>
  <c r="BL62" i="134"/>
  <c r="BL55" i="134"/>
  <c r="BL60" i="134"/>
  <c r="BL57" i="134"/>
  <c r="BL58" i="134"/>
  <c r="BL66" i="134"/>
  <c r="BL61" i="134"/>
  <c r="BL67" i="134"/>
  <c r="BL64" i="134"/>
  <c r="BL69" i="134"/>
  <c r="BL72" i="134"/>
  <c r="BL63" i="134"/>
  <c r="BL65" i="134"/>
  <c r="BL68" i="134"/>
  <c r="BL73" i="134"/>
  <c r="BL70" i="134"/>
  <c r="BL71" i="134"/>
  <c r="BL75" i="134"/>
  <c r="BL78" i="134"/>
  <c r="BL76" i="134"/>
  <c r="BL74" i="134"/>
  <c r="BL77" i="134"/>
  <c r="BL79" i="134"/>
  <c r="BL97" i="134"/>
  <c r="BL98" i="134"/>
  <c r="BL96" i="134"/>
  <c r="BL99" i="134"/>
  <c r="BL102" i="134"/>
  <c r="BL105" i="134"/>
  <c r="BL103" i="134"/>
  <c r="BL104" i="134"/>
  <c r="BL111" i="134"/>
  <c r="BL100" i="134"/>
  <c r="BL101" i="134"/>
  <c r="BL107" i="134"/>
  <c r="BL109" i="134"/>
  <c r="BL54" i="134"/>
  <c r="BL106" i="134"/>
  <c r="BL112" i="134"/>
  <c r="BL110" i="134"/>
  <c r="BL113" i="134"/>
  <c r="BL108" i="134"/>
  <c r="AW31" i="134"/>
  <c r="BL80" i="134" s="1"/>
  <c r="E113" i="134"/>
  <c r="F113" i="134"/>
  <c r="G113" i="134"/>
  <c r="H113" i="134"/>
  <c r="I113" i="134"/>
  <c r="J113" i="134"/>
  <c r="K113" i="134"/>
  <c r="L113" i="134"/>
  <c r="M113" i="134"/>
  <c r="N113" i="134"/>
  <c r="O113" i="134"/>
  <c r="P113" i="134"/>
  <c r="Q113" i="134"/>
  <c r="R113" i="134"/>
  <c r="S113" i="134"/>
  <c r="T113" i="134"/>
  <c r="U113" i="134"/>
  <c r="V113" i="134"/>
  <c r="W113" i="134"/>
  <c r="X113" i="134"/>
  <c r="Y113" i="134"/>
  <c r="Z113" i="134"/>
  <c r="AA113" i="134"/>
  <c r="AB113" i="134"/>
  <c r="AC113" i="134"/>
  <c r="AD113" i="134"/>
  <c r="AE113" i="134"/>
  <c r="AF113" i="134"/>
  <c r="AG113" i="134"/>
  <c r="AH113" i="134"/>
  <c r="AI113" i="134"/>
  <c r="AJ113" i="134"/>
  <c r="AK113" i="134"/>
  <c r="AL113" i="134"/>
  <c r="AM113" i="134"/>
  <c r="AN113" i="134"/>
  <c r="AO113" i="134"/>
  <c r="AP113" i="134"/>
  <c r="AQ113" i="134"/>
  <c r="AR113" i="134"/>
  <c r="AS113" i="134"/>
  <c r="AT113" i="134"/>
  <c r="AU113" i="134"/>
  <c r="AV113" i="134"/>
  <c r="AW113" i="134"/>
  <c r="AX113" i="134"/>
  <c r="AY113" i="134"/>
  <c r="AZ113" i="134"/>
  <c r="BA113" i="134"/>
  <c r="BB113" i="134"/>
  <c r="BC113" i="134"/>
  <c r="BD113" i="134"/>
  <c r="BE113" i="134"/>
  <c r="BF113" i="134"/>
  <c r="BG113" i="134"/>
  <c r="BH113" i="134"/>
  <c r="BI113" i="134"/>
  <c r="BJ113" i="134"/>
  <c r="BK20" i="134"/>
  <c r="AU50" i="134"/>
  <c r="BL28" i="134"/>
  <c r="BL29" i="134" s="1"/>
  <c r="BL53" i="134"/>
  <c r="AV48" i="134"/>
  <c r="AV49" i="134" s="1"/>
  <c r="AV45" i="134"/>
  <c r="AV46" i="134"/>
  <c r="AU137" i="134"/>
  <c r="AU129" i="134"/>
  <c r="AW47" i="134"/>
  <c r="AW44" i="134"/>
  <c r="BK21" i="134"/>
  <c r="BK24" i="134" s="1"/>
  <c r="BK23" i="134" s="1"/>
  <c r="BL39" i="134"/>
  <c r="BL36" i="134"/>
  <c r="BL19" i="134"/>
  <c r="BL52" i="134"/>
  <c r="BL140" i="134" s="1"/>
  <c r="BL30" i="134"/>
  <c r="BL15" i="134"/>
  <c r="BL14" i="134"/>
  <c r="BM4" i="134"/>
  <c r="BL17" i="134"/>
  <c r="BL18" i="134" s="1"/>
  <c r="B113" i="134"/>
  <c r="D114" i="134"/>
  <c r="BL114" i="134" s="1"/>
  <c r="BK40" i="134"/>
  <c r="BK41" i="134"/>
  <c r="BK38" i="134"/>
  <c r="BK37" i="134"/>
  <c r="BZ153" i="135" l="1"/>
  <c r="BZ155" i="135"/>
  <c r="CA44" i="135"/>
  <c r="CA47" i="135"/>
  <c r="CA110" i="135"/>
  <c r="CA124" i="135" s="1"/>
  <c r="CB110" i="135"/>
  <c r="CC110" i="135"/>
  <c r="CD110" i="135"/>
  <c r="CE110" i="135"/>
  <c r="CF110" i="135"/>
  <c r="CG110" i="135"/>
  <c r="CH110" i="135"/>
  <c r="CI110" i="135"/>
  <c r="CJ110" i="135"/>
  <c r="CK110" i="135"/>
  <c r="CL110" i="135"/>
  <c r="CM110" i="135"/>
  <c r="CN110" i="135"/>
  <c r="CO110" i="135"/>
  <c r="CP110" i="135"/>
  <c r="CQ110" i="135"/>
  <c r="CR110" i="135"/>
  <c r="CS110" i="135"/>
  <c r="CT110" i="135"/>
  <c r="CU110" i="135"/>
  <c r="CV110" i="135"/>
  <c r="CW110" i="135"/>
  <c r="CX110" i="135"/>
  <c r="CY110" i="135"/>
  <c r="CZ110" i="135"/>
  <c r="CA32" i="135"/>
  <c r="CB27" i="135" s="1"/>
  <c r="BZ50" i="135"/>
  <c r="BZ136" i="135"/>
  <c r="BZ129" i="135"/>
  <c r="BZ125" i="135" s="1"/>
  <c r="BZ131" i="135" s="1"/>
  <c r="BZ127" i="135"/>
  <c r="BZ142" i="135" s="1"/>
  <c r="CI139" i="134"/>
  <c r="AV50" i="134"/>
  <c r="BL16" i="134"/>
  <c r="BM55" i="134"/>
  <c r="BM56" i="134"/>
  <c r="BM60" i="134"/>
  <c r="BM57" i="134"/>
  <c r="BM62" i="134"/>
  <c r="BM59" i="134"/>
  <c r="BM58" i="134"/>
  <c r="BM61" i="134"/>
  <c r="BM67" i="134"/>
  <c r="BM64" i="134"/>
  <c r="BM66" i="134"/>
  <c r="BM72" i="134"/>
  <c r="BM63" i="134"/>
  <c r="BM65" i="134"/>
  <c r="BM68" i="134"/>
  <c r="BM69" i="134"/>
  <c r="BM70" i="134"/>
  <c r="BM71" i="134"/>
  <c r="BM73" i="134"/>
  <c r="BM76" i="134"/>
  <c r="BM74" i="134"/>
  <c r="BM78" i="134"/>
  <c r="BM79" i="134"/>
  <c r="BM75" i="134"/>
  <c r="BM77" i="134"/>
  <c r="BM80" i="134"/>
  <c r="BM97" i="134"/>
  <c r="BM98" i="134"/>
  <c r="BM100" i="134"/>
  <c r="BM103" i="134"/>
  <c r="BM106" i="134"/>
  <c r="BM99" i="134"/>
  <c r="BM101" i="134"/>
  <c r="BM102" i="134"/>
  <c r="BM107" i="134"/>
  <c r="BM109" i="134"/>
  <c r="BM114" i="134"/>
  <c r="BM105" i="134"/>
  <c r="BM111" i="134"/>
  <c r="BM112" i="134"/>
  <c r="BM104" i="134"/>
  <c r="BM110" i="134"/>
  <c r="BM113" i="134"/>
  <c r="BM54" i="134"/>
  <c r="BM108" i="134"/>
  <c r="E114" i="134"/>
  <c r="F114" i="134"/>
  <c r="G114" i="134"/>
  <c r="H114" i="134"/>
  <c r="I114" i="134"/>
  <c r="J114" i="134"/>
  <c r="K114" i="134"/>
  <c r="L114" i="134"/>
  <c r="M114" i="134"/>
  <c r="N114" i="134"/>
  <c r="O114" i="134"/>
  <c r="P114" i="134"/>
  <c r="Q114" i="134"/>
  <c r="R114" i="134"/>
  <c r="S114" i="134"/>
  <c r="T114" i="134"/>
  <c r="U114" i="134"/>
  <c r="V114" i="134"/>
  <c r="W114" i="134"/>
  <c r="X114" i="134"/>
  <c r="Y114" i="134"/>
  <c r="Z114" i="134"/>
  <c r="AA114" i="134"/>
  <c r="AB114" i="134"/>
  <c r="AC114" i="134"/>
  <c r="AD114" i="134"/>
  <c r="AE114" i="134"/>
  <c r="AF114" i="134"/>
  <c r="AG114" i="134"/>
  <c r="AH114" i="134"/>
  <c r="AI114" i="134"/>
  <c r="AJ114" i="134"/>
  <c r="AK114" i="134"/>
  <c r="AL114" i="134"/>
  <c r="AM114" i="134"/>
  <c r="AN114" i="134"/>
  <c r="AO114" i="134"/>
  <c r="AP114" i="134"/>
  <c r="AQ114" i="134"/>
  <c r="AR114" i="134"/>
  <c r="AS114" i="134"/>
  <c r="AT114" i="134"/>
  <c r="AU114" i="134"/>
  <c r="AV114" i="134"/>
  <c r="AW114" i="134"/>
  <c r="AX114" i="134"/>
  <c r="AY114" i="134"/>
  <c r="AZ114" i="134"/>
  <c r="BA114" i="134"/>
  <c r="BB114" i="134"/>
  <c r="BC114" i="134"/>
  <c r="BD114" i="134"/>
  <c r="BE114" i="134"/>
  <c r="BF114" i="134"/>
  <c r="BG114" i="134"/>
  <c r="BH114" i="134"/>
  <c r="BI114" i="134"/>
  <c r="BJ114" i="134"/>
  <c r="BK114" i="134"/>
  <c r="AW80" i="134"/>
  <c r="AX80" i="134"/>
  <c r="AY80" i="134"/>
  <c r="AZ80" i="134"/>
  <c r="BA80" i="134"/>
  <c r="BB80" i="134"/>
  <c r="BC80" i="134"/>
  <c r="BD80" i="134"/>
  <c r="BE80" i="134"/>
  <c r="BF80" i="134"/>
  <c r="BG80" i="134"/>
  <c r="BH80" i="134"/>
  <c r="BI80" i="134"/>
  <c r="BJ80" i="134"/>
  <c r="BK80" i="134"/>
  <c r="AW32" i="134"/>
  <c r="AX27" i="134" s="1"/>
  <c r="BM28" i="134"/>
  <c r="BM29" i="134" s="1"/>
  <c r="BM53" i="134"/>
  <c r="BL20" i="134"/>
  <c r="AW45" i="134"/>
  <c r="AW46" i="134"/>
  <c r="AW48" i="134"/>
  <c r="AW49" i="134" s="1"/>
  <c r="AV137" i="134"/>
  <c r="AV129" i="134"/>
  <c r="B114" i="134"/>
  <c r="D115" i="134"/>
  <c r="BM115" i="134" s="1"/>
  <c r="BL21" i="134"/>
  <c r="BL24" i="134" s="1"/>
  <c r="BL23" i="134" s="1"/>
  <c r="BL38" i="134"/>
  <c r="BL37" i="134"/>
  <c r="BL41" i="134"/>
  <c r="BL40" i="134"/>
  <c r="BM36" i="134"/>
  <c r="BM52" i="134"/>
  <c r="BM140" i="134" s="1"/>
  <c r="BM39" i="134"/>
  <c r="BM30" i="134"/>
  <c r="BM15" i="134"/>
  <c r="BM14" i="134"/>
  <c r="BM19" i="134"/>
  <c r="BM21" i="134" s="1"/>
  <c r="BM24" i="134" s="1"/>
  <c r="BM17" i="134"/>
  <c r="BM18" i="134" s="1"/>
  <c r="BN4" i="134"/>
  <c r="BZ137" i="135" l="1"/>
  <c r="BZ134" i="135"/>
  <c r="BZ135" i="135" s="1"/>
  <c r="BZ130" i="135"/>
  <c r="CB31" i="135"/>
  <c r="CB32" i="135" s="1"/>
  <c r="CC27" i="135" s="1"/>
  <c r="CA133" i="135"/>
  <c r="CA49" i="135"/>
  <c r="CA48" i="135"/>
  <c r="CA127" i="135" s="1"/>
  <c r="CA142" i="135" s="1"/>
  <c r="CA45" i="135"/>
  <c r="CA128" i="135" s="1"/>
  <c r="CA154" i="135" s="1"/>
  <c r="CA46" i="135"/>
  <c r="CJ139" i="134"/>
  <c r="AX31" i="134"/>
  <c r="AX32" i="134" s="1"/>
  <c r="AY27" i="134" s="1"/>
  <c r="BN55" i="134"/>
  <c r="BN60" i="134"/>
  <c r="BN57" i="134"/>
  <c r="BN59" i="134"/>
  <c r="BN58" i="134"/>
  <c r="BN64" i="134"/>
  <c r="BN56" i="134"/>
  <c r="BN61" i="134"/>
  <c r="BN63" i="134"/>
  <c r="BN65" i="134"/>
  <c r="BN62" i="134"/>
  <c r="BN67" i="134"/>
  <c r="BN70" i="134"/>
  <c r="BN72" i="134"/>
  <c r="BN68" i="134"/>
  <c r="BN73" i="134"/>
  <c r="BN76" i="134"/>
  <c r="BN69" i="134"/>
  <c r="BN66" i="134"/>
  <c r="BN75" i="134"/>
  <c r="BN77" i="134"/>
  <c r="BN71" i="134"/>
  <c r="BN74" i="134"/>
  <c r="BN79" i="134"/>
  <c r="BN80" i="134"/>
  <c r="BN78" i="134"/>
  <c r="BN98" i="134"/>
  <c r="BN99" i="134"/>
  <c r="BN100" i="134"/>
  <c r="BN103" i="134"/>
  <c r="BN106" i="134"/>
  <c r="BN109" i="134"/>
  <c r="BN104" i="134"/>
  <c r="BN101" i="134"/>
  <c r="BN105" i="134"/>
  <c r="BN102" i="134"/>
  <c r="BN108" i="134"/>
  <c r="BN107" i="134"/>
  <c r="BN114" i="134"/>
  <c r="BN111" i="134"/>
  <c r="BN112" i="134"/>
  <c r="BN115" i="134"/>
  <c r="BN54" i="134"/>
  <c r="BN113" i="134"/>
  <c r="BN110" i="134"/>
  <c r="E115" i="134"/>
  <c r="F115" i="134"/>
  <c r="G115" i="134"/>
  <c r="H115" i="134"/>
  <c r="I115" i="134"/>
  <c r="J115" i="134"/>
  <c r="K115" i="134"/>
  <c r="L115" i="134"/>
  <c r="M115" i="134"/>
  <c r="N115" i="134"/>
  <c r="O115" i="134"/>
  <c r="P115" i="134"/>
  <c r="Q115" i="134"/>
  <c r="R115" i="134"/>
  <c r="S115" i="134"/>
  <c r="T115" i="134"/>
  <c r="U115" i="134"/>
  <c r="V115" i="134"/>
  <c r="W115" i="134"/>
  <c r="X115" i="134"/>
  <c r="Y115" i="134"/>
  <c r="Z115" i="134"/>
  <c r="AA115" i="134"/>
  <c r="AB115" i="134"/>
  <c r="AC115" i="134"/>
  <c r="AD115" i="134"/>
  <c r="AE115" i="134"/>
  <c r="AF115" i="134"/>
  <c r="AG115" i="134"/>
  <c r="AH115" i="134"/>
  <c r="AI115" i="134"/>
  <c r="AJ115" i="134"/>
  <c r="AK115" i="134"/>
  <c r="AL115" i="134"/>
  <c r="AM115" i="134"/>
  <c r="AN115" i="134"/>
  <c r="AO115" i="134"/>
  <c r="AP115" i="134"/>
  <c r="AQ115" i="134"/>
  <c r="AR115" i="134"/>
  <c r="AS115" i="134"/>
  <c r="AT115" i="134"/>
  <c r="AU115" i="134"/>
  <c r="AV115" i="134"/>
  <c r="AW115" i="134"/>
  <c r="AX115" i="134"/>
  <c r="AY115" i="134"/>
  <c r="AZ115" i="134"/>
  <c r="BA115" i="134"/>
  <c r="BB115" i="134"/>
  <c r="BC115" i="134"/>
  <c r="BD115" i="134"/>
  <c r="BE115" i="134"/>
  <c r="BF115" i="134"/>
  <c r="BG115" i="134"/>
  <c r="BH115" i="134"/>
  <c r="BI115" i="134"/>
  <c r="BJ115" i="134"/>
  <c r="BK115" i="134"/>
  <c r="BL115" i="134"/>
  <c r="BM16" i="134"/>
  <c r="BN28" i="134"/>
  <c r="BN29" i="134" s="1"/>
  <c r="BN53" i="134"/>
  <c r="AW129" i="134"/>
  <c r="AW137" i="134"/>
  <c r="AW50" i="134"/>
  <c r="BM40" i="134"/>
  <c r="BM41" i="134"/>
  <c r="BN52" i="134"/>
  <c r="BN140" i="134" s="1"/>
  <c r="BN39" i="134"/>
  <c r="BN30" i="134"/>
  <c r="BN14" i="134"/>
  <c r="BN15" i="134"/>
  <c r="BO4" i="134"/>
  <c r="BN19" i="134"/>
  <c r="BN36" i="134"/>
  <c r="BN17" i="134"/>
  <c r="BN18" i="134" s="1"/>
  <c r="D116" i="134"/>
  <c r="BN116" i="134" s="1"/>
  <c r="B115" i="134"/>
  <c r="BM20" i="134"/>
  <c r="BM37" i="134"/>
  <c r="BM38" i="134"/>
  <c r="CA153" i="135" l="1"/>
  <c r="CA155" i="135"/>
  <c r="BN81" i="134"/>
  <c r="CA50" i="135"/>
  <c r="CA136" i="135"/>
  <c r="CA129" i="135"/>
  <c r="CA125" i="135" s="1"/>
  <c r="CA131" i="135" s="1"/>
  <c r="CA137" i="135"/>
  <c r="CA134" i="135"/>
  <c r="CA135" i="135" s="1"/>
  <c r="CC31" i="135"/>
  <c r="CC32" i="135" s="1"/>
  <c r="CD27" i="135" s="1"/>
  <c r="CB47" i="135"/>
  <c r="CB44" i="135"/>
  <c r="CB111" i="135"/>
  <c r="CB124" i="135" s="1"/>
  <c r="CC111" i="135"/>
  <c r="CD111" i="135"/>
  <c r="CE111" i="135"/>
  <c r="CF111" i="135"/>
  <c r="CG111" i="135"/>
  <c r="CH111" i="135"/>
  <c r="CI111" i="135"/>
  <c r="CJ111" i="135"/>
  <c r="CK111" i="135"/>
  <c r="CL111" i="135"/>
  <c r="CM111" i="135"/>
  <c r="CN111" i="135"/>
  <c r="CO111" i="135"/>
  <c r="CP111" i="135"/>
  <c r="CQ111" i="135"/>
  <c r="CR111" i="135"/>
  <c r="CS111" i="135"/>
  <c r="CT111" i="135"/>
  <c r="CU111" i="135"/>
  <c r="CV111" i="135"/>
  <c r="CW111" i="135"/>
  <c r="CX111" i="135"/>
  <c r="CY111" i="135"/>
  <c r="CZ111" i="135"/>
  <c r="CA130" i="135"/>
  <c r="CK139" i="134"/>
  <c r="BN16" i="134"/>
  <c r="BN21" i="134"/>
  <c r="BN24" i="134" s="1"/>
  <c r="E116" i="134"/>
  <c r="F116" i="134"/>
  <c r="G116" i="134"/>
  <c r="H116" i="134"/>
  <c r="I116" i="134"/>
  <c r="J116" i="134"/>
  <c r="K116" i="134"/>
  <c r="L116" i="134"/>
  <c r="M116" i="134"/>
  <c r="N116" i="134"/>
  <c r="O116" i="134"/>
  <c r="P116" i="134"/>
  <c r="Q116" i="134"/>
  <c r="R116" i="134"/>
  <c r="S116" i="134"/>
  <c r="T116" i="134"/>
  <c r="U116" i="134"/>
  <c r="V116" i="134"/>
  <c r="W116" i="134"/>
  <c r="X116" i="134"/>
  <c r="Y116" i="134"/>
  <c r="Z116" i="134"/>
  <c r="AA116" i="134"/>
  <c r="AB116" i="134"/>
  <c r="AC116" i="134"/>
  <c r="AD116" i="134"/>
  <c r="AE116" i="134"/>
  <c r="AF116" i="134"/>
  <c r="AG116" i="134"/>
  <c r="AH116" i="134"/>
  <c r="AI116" i="134"/>
  <c r="AJ116" i="134"/>
  <c r="AK116" i="134"/>
  <c r="AL116" i="134"/>
  <c r="AM116" i="134"/>
  <c r="AN116" i="134"/>
  <c r="AO116" i="134"/>
  <c r="AP116" i="134"/>
  <c r="AQ116" i="134"/>
  <c r="AR116" i="134"/>
  <c r="AS116" i="134"/>
  <c r="AT116" i="134"/>
  <c r="AU116" i="134"/>
  <c r="AV116" i="134"/>
  <c r="AW116" i="134"/>
  <c r="AX116" i="134"/>
  <c r="AY116" i="134"/>
  <c r="AZ116" i="134"/>
  <c r="BA116" i="134"/>
  <c r="BB116" i="134"/>
  <c r="BC116" i="134"/>
  <c r="BD116" i="134"/>
  <c r="BE116" i="134"/>
  <c r="BF116" i="134"/>
  <c r="BG116" i="134"/>
  <c r="BH116" i="134"/>
  <c r="BI116" i="134"/>
  <c r="BJ116" i="134"/>
  <c r="BK116" i="134"/>
  <c r="BL116" i="134"/>
  <c r="BM116" i="134"/>
  <c r="BO55" i="134"/>
  <c r="BO56" i="134"/>
  <c r="BO60" i="134"/>
  <c r="BO57" i="134"/>
  <c r="BO59" i="134"/>
  <c r="BO58" i="134"/>
  <c r="BO65" i="134"/>
  <c r="BO64" i="134"/>
  <c r="BO63" i="134"/>
  <c r="BO61" i="134"/>
  <c r="BO62" i="134"/>
  <c r="BO67" i="134"/>
  <c r="BO70" i="134"/>
  <c r="BO71" i="134"/>
  <c r="BO72" i="134"/>
  <c r="BO68" i="134"/>
  <c r="BO69" i="134"/>
  <c r="BO74" i="134"/>
  <c r="BO77" i="134"/>
  <c r="BO66" i="134"/>
  <c r="BO75" i="134"/>
  <c r="BO73" i="134"/>
  <c r="BO76" i="134"/>
  <c r="BO81" i="134"/>
  <c r="BO79" i="134"/>
  <c r="BO80" i="134"/>
  <c r="BO78" i="134"/>
  <c r="BO99" i="134"/>
  <c r="BO102" i="134"/>
  <c r="BO103" i="134"/>
  <c r="BO107" i="134"/>
  <c r="BO110" i="134"/>
  <c r="BO100" i="134"/>
  <c r="BO104" i="134"/>
  <c r="BO108" i="134"/>
  <c r="BO101" i="134"/>
  <c r="BO105" i="134"/>
  <c r="BO113" i="134"/>
  <c r="BO116" i="134"/>
  <c r="BO109" i="134"/>
  <c r="BO114" i="134"/>
  <c r="BO106" i="134"/>
  <c r="BO111" i="134"/>
  <c r="BO112" i="134"/>
  <c r="BO115" i="134"/>
  <c r="BO54" i="134"/>
  <c r="AY31" i="134"/>
  <c r="AX81" i="134"/>
  <c r="AY81" i="134"/>
  <c r="AZ81" i="134"/>
  <c r="BA81" i="134"/>
  <c r="BB81" i="134"/>
  <c r="BC81" i="134"/>
  <c r="BD81" i="134"/>
  <c r="BE81" i="134"/>
  <c r="BF81" i="134"/>
  <c r="BG81" i="134"/>
  <c r="BH81" i="134"/>
  <c r="BI81" i="134"/>
  <c r="BJ81" i="134"/>
  <c r="BK81" i="134"/>
  <c r="BL81" i="134"/>
  <c r="BM81" i="134"/>
  <c r="AX44" i="134"/>
  <c r="AX47" i="134"/>
  <c r="BO28" i="134"/>
  <c r="BO29" i="134" s="1"/>
  <c r="BO53" i="134"/>
  <c r="D117" i="134"/>
  <c r="BO117" i="134" s="1"/>
  <c r="B116" i="134"/>
  <c r="BN38" i="134"/>
  <c r="BN37" i="134"/>
  <c r="BO52" i="134"/>
  <c r="BO140" i="134" s="1"/>
  <c r="BO39" i="134"/>
  <c r="BO30" i="134"/>
  <c r="BO17" i="134"/>
  <c r="BO18" i="134" s="1"/>
  <c r="BO36" i="134"/>
  <c r="BO15" i="134"/>
  <c r="BO19" i="134"/>
  <c r="BO14" i="134"/>
  <c r="BP4" i="134"/>
  <c r="BN20" i="134"/>
  <c r="BN41" i="134"/>
  <c r="BN40" i="134"/>
  <c r="BO20" i="134" l="1"/>
  <c r="CB133" i="135"/>
  <c r="CB46" i="135"/>
  <c r="CB45" i="135"/>
  <c r="CB128" i="135" s="1"/>
  <c r="CB154" i="135" s="1"/>
  <c r="CB48" i="135"/>
  <c r="CB49" i="135"/>
  <c r="CD31" i="135"/>
  <c r="CD32" i="135" s="1"/>
  <c r="CE27" i="135" s="1"/>
  <c r="CC47" i="135"/>
  <c r="CC44" i="135"/>
  <c r="CC112" i="135"/>
  <c r="CC124" i="135" s="1"/>
  <c r="CD112" i="135"/>
  <c r="CE112" i="135"/>
  <c r="CF112" i="135"/>
  <c r="CG112" i="135"/>
  <c r="CH112" i="135"/>
  <c r="CI112" i="135"/>
  <c r="CJ112" i="135"/>
  <c r="CK112" i="135"/>
  <c r="CL112" i="135"/>
  <c r="CM112" i="135"/>
  <c r="CN112" i="135"/>
  <c r="CO112" i="135"/>
  <c r="CP112" i="135"/>
  <c r="CQ112" i="135"/>
  <c r="CR112" i="135"/>
  <c r="CS112" i="135"/>
  <c r="CT112" i="135"/>
  <c r="CU112" i="135"/>
  <c r="CV112" i="135"/>
  <c r="CW112" i="135"/>
  <c r="CX112" i="135"/>
  <c r="CY112" i="135"/>
  <c r="CZ112" i="135"/>
  <c r="CL139" i="134"/>
  <c r="BP55" i="134"/>
  <c r="BP58" i="134"/>
  <c r="BP61" i="134"/>
  <c r="BP64" i="134"/>
  <c r="BP60" i="134"/>
  <c r="BP57" i="134"/>
  <c r="BP59" i="134"/>
  <c r="BP65" i="134"/>
  <c r="BP66" i="134"/>
  <c r="BP63" i="134"/>
  <c r="BP56" i="134"/>
  <c r="BP62" i="134"/>
  <c r="BP68" i="134"/>
  <c r="BP71" i="134"/>
  <c r="BP67" i="134"/>
  <c r="BP72" i="134"/>
  <c r="BP73" i="134"/>
  <c r="BP69" i="134"/>
  <c r="BP70" i="134"/>
  <c r="BP74" i="134"/>
  <c r="BP77" i="134"/>
  <c r="BP78" i="134"/>
  <c r="BP75" i="134"/>
  <c r="BP76" i="134"/>
  <c r="BP79" i="134"/>
  <c r="BP82" i="134"/>
  <c r="BP80" i="134"/>
  <c r="BP81" i="134"/>
  <c r="BP101" i="134"/>
  <c r="BP104" i="134"/>
  <c r="BP107" i="134"/>
  <c r="BP102" i="134"/>
  <c r="BP103" i="134"/>
  <c r="BP100" i="134"/>
  <c r="BP109" i="134"/>
  <c r="BP108" i="134"/>
  <c r="BP110" i="134"/>
  <c r="BP113" i="134"/>
  <c r="BP116" i="134"/>
  <c r="BP105" i="134"/>
  <c r="BP114" i="134"/>
  <c r="BP106" i="134"/>
  <c r="BP111" i="134"/>
  <c r="BP112" i="134"/>
  <c r="BP115" i="134"/>
  <c r="BP54" i="134"/>
  <c r="BP117" i="134"/>
  <c r="AX48" i="134"/>
  <c r="AX49" i="134" s="1"/>
  <c r="E117" i="134"/>
  <c r="F117" i="134"/>
  <c r="G117" i="134"/>
  <c r="H117" i="134"/>
  <c r="I117" i="134"/>
  <c r="J117" i="134"/>
  <c r="K117" i="134"/>
  <c r="L117" i="134"/>
  <c r="M117" i="134"/>
  <c r="N117" i="134"/>
  <c r="O117" i="134"/>
  <c r="P117" i="134"/>
  <c r="Q117" i="134"/>
  <c r="R117" i="134"/>
  <c r="S117" i="134"/>
  <c r="T117" i="134"/>
  <c r="U117" i="134"/>
  <c r="V117" i="134"/>
  <c r="W117" i="134"/>
  <c r="X117" i="134"/>
  <c r="Y117" i="134"/>
  <c r="Z117" i="134"/>
  <c r="AA117" i="134"/>
  <c r="AB117" i="134"/>
  <c r="AC117" i="134"/>
  <c r="AD117" i="134"/>
  <c r="AE117" i="134"/>
  <c r="AF117" i="134"/>
  <c r="AG117" i="134"/>
  <c r="AH117" i="134"/>
  <c r="AI117" i="134"/>
  <c r="AJ117" i="134"/>
  <c r="AK117" i="134"/>
  <c r="AL117" i="134"/>
  <c r="AM117" i="134"/>
  <c r="AN117" i="134"/>
  <c r="AO117" i="134"/>
  <c r="AP117" i="134"/>
  <c r="AQ117" i="134"/>
  <c r="AR117" i="134"/>
  <c r="AS117" i="134"/>
  <c r="AT117" i="134"/>
  <c r="AU117" i="134"/>
  <c r="AV117" i="134"/>
  <c r="AW117" i="134"/>
  <c r="AX117" i="134"/>
  <c r="AY117" i="134"/>
  <c r="AZ117" i="134"/>
  <c r="BA117" i="134"/>
  <c r="BB117" i="134"/>
  <c r="BC117" i="134"/>
  <c r="BD117" i="134"/>
  <c r="BE117" i="134"/>
  <c r="BF117" i="134"/>
  <c r="BG117" i="134"/>
  <c r="BH117" i="134"/>
  <c r="BI117" i="134"/>
  <c r="BJ117" i="134"/>
  <c r="BK117" i="134"/>
  <c r="BL117" i="134"/>
  <c r="BM117" i="134"/>
  <c r="BN117" i="134"/>
  <c r="AX45" i="134"/>
  <c r="AX46" i="134"/>
  <c r="AY82" i="134"/>
  <c r="AZ82" i="134"/>
  <c r="BA82" i="134"/>
  <c r="BB82" i="134"/>
  <c r="BC82" i="134"/>
  <c r="BD82" i="134"/>
  <c r="BE82" i="134"/>
  <c r="BF82" i="134"/>
  <c r="BG82" i="134"/>
  <c r="BH82" i="134"/>
  <c r="BI82" i="134"/>
  <c r="BJ82" i="134"/>
  <c r="BK82" i="134"/>
  <c r="BL82" i="134"/>
  <c r="BM82" i="134"/>
  <c r="BN82" i="134"/>
  <c r="AY44" i="134"/>
  <c r="AY47" i="134"/>
  <c r="AY48" i="134" s="1"/>
  <c r="BO82" i="134"/>
  <c r="AY32" i="134"/>
  <c r="AZ27" i="134" s="1"/>
  <c r="BP28" i="134"/>
  <c r="BP29" i="134" s="1"/>
  <c r="BP53" i="134"/>
  <c r="BP39" i="134"/>
  <c r="BP30" i="134"/>
  <c r="BP52" i="134"/>
  <c r="BP140" i="134" s="1"/>
  <c r="BP15" i="134"/>
  <c r="BP36" i="134"/>
  <c r="BP19" i="134"/>
  <c r="BP14" i="134"/>
  <c r="BP17" i="134"/>
  <c r="BP18" i="134" s="1"/>
  <c r="BQ4" i="134"/>
  <c r="BO16" i="134"/>
  <c r="BO21" i="134"/>
  <c r="BO24" i="134" s="1"/>
  <c r="BO40" i="134"/>
  <c r="BO41" i="134"/>
  <c r="BO37" i="134"/>
  <c r="BO38" i="134"/>
  <c r="B117" i="134"/>
  <c r="D118" i="134"/>
  <c r="CB153" i="135" l="1"/>
  <c r="CB155" i="135"/>
  <c r="CC46" i="135"/>
  <c r="CC45" i="135"/>
  <c r="CC128" i="135" s="1"/>
  <c r="CC154" i="135" s="1"/>
  <c r="CC49" i="135"/>
  <c r="CC48" i="135"/>
  <c r="CE31" i="135"/>
  <c r="CE32" i="135" s="1"/>
  <c r="CF27" i="135" s="1"/>
  <c r="CD47" i="135"/>
  <c r="CD44" i="135"/>
  <c r="CD113" i="135"/>
  <c r="CD124" i="135" s="1"/>
  <c r="CE113" i="135"/>
  <c r="CF113" i="135"/>
  <c r="CG113" i="135"/>
  <c r="CH113" i="135"/>
  <c r="CI113" i="135"/>
  <c r="CJ113" i="135"/>
  <c r="CK113" i="135"/>
  <c r="CL113" i="135"/>
  <c r="CM113" i="135"/>
  <c r="CN113" i="135"/>
  <c r="CO113" i="135"/>
  <c r="CP113" i="135"/>
  <c r="CQ113" i="135"/>
  <c r="CR113" i="135"/>
  <c r="CS113" i="135"/>
  <c r="CT113" i="135"/>
  <c r="CU113" i="135"/>
  <c r="CV113" i="135"/>
  <c r="CW113" i="135"/>
  <c r="CX113" i="135"/>
  <c r="CY113" i="135"/>
  <c r="CZ113" i="135"/>
  <c r="CB50" i="135"/>
  <c r="CB136" i="135"/>
  <c r="CB129" i="135"/>
  <c r="CB125" i="135" s="1"/>
  <c r="CB131" i="135" s="1"/>
  <c r="CB127" i="135"/>
  <c r="CB142" i="135" s="1"/>
  <c r="CC127" i="135"/>
  <c r="CC142" i="135" s="1"/>
  <c r="CC133" i="135"/>
  <c r="CM139" i="134"/>
  <c r="E118" i="134"/>
  <c r="F118" i="134"/>
  <c r="G118" i="134"/>
  <c r="H118" i="134"/>
  <c r="I118" i="134"/>
  <c r="J118" i="134"/>
  <c r="K118" i="134"/>
  <c r="L118" i="134"/>
  <c r="M118" i="134"/>
  <c r="N118" i="134"/>
  <c r="O118" i="134"/>
  <c r="P118" i="134"/>
  <c r="Q118" i="134"/>
  <c r="R118" i="134"/>
  <c r="S118" i="134"/>
  <c r="T118" i="134"/>
  <c r="U118" i="134"/>
  <c r="V118" i="134"/>
  <c r="W118" i="134"/>
  <c r="X118" i="134"/>
  <c r="Y118" i="134"/>
  <c r="Z118" i="134"/>
  <c r="AA118" i="134"/>
  <c r="AB118" i="134"/>
  <c r="AC118" i="134"/>
  <c r="AD118" i="134"/>
  <c r="AE118" i="134"/>
  <c r="AF118" i="134"/>
  <c r="AG118" i="134"/>
  <c r="AH118" i="134"/>
  <c r="AI118" i="134"/>
  <c r="AJ118" i="134"/>
  <c r="AK118" i="134"/>
  <c r="AL118" i="134"/>
  <c r="AM118" i="134"/>
  <c r="AN118" i="134"/>
  <c r="AO118" i="134"/>
  <c r="AP118" i="134"/>
  <c r="AQ118" i="134"/>
  <c r="AR118" i="134"/>
  <c r="AS118" i="134"/>
  <c r="AT118" i="134"/>
  <c r="AU118" i="134"/>
  <c r="AV118" i="134"/>
  <c r="AW118" i="134"/>
  <c r="AX118" i="134"/>
  <c r="AY118" i="134"/>
  <c r="AZ118" i="134"/>
  <c r="BA118" i="134"/>
  <c r="BB118" i="134"/>
  <c r="BC118" i="134"/>
  <c r="BD118" i="134"/>
  <c r="BE118" i="134"/>
  <c r="BF118" i="134"/>
  <c r="BG118" i="134"/>
  <c r="BH118" i="134"/>
  <c r="BI118" i="134"/>
  <c r="BJ118" i="134"/>
  <c r="BK118" i="134"/>
  <c r="BL118" i="134"/>
  <c r="BM118" i="134"/>
  <c r="BN118" i="134"/>
  <c r="BO118" i="134"/>
  <c r="AZ31" i="134"/>
  <c r="BQ83" i="134" s="1"/>
  <c r="AZ32" i="134"/>
  <c r="BA27" i="134" s="1"/>
  <c r="AX129" i="134"/>
  <c r="AX50" i="134"/>
  <c r="AX137" i="134"/>
  <c r="AY45" i="134"/>
  <c r="AY50" i="134" s="1"/>
  <c r="AY46" i="134"/>
  <c r="AY49" i="134"/>
  <c r="AY137" i="134"/>
  <c r="AY129" i="134"/>
  <c r="BQ55" i="134"/>
  <c r="BQ58" i="134"/>
  <c r="BQ56" i="134"/>
  <c r="BQ61" i="134"/>
  <c r="BQ63" i="134"/>
  <c r="BQ60" i="134"/>
  <c r="BQ57" i="134"/>
  <c r="BQ59" i="134"/>
  <c r="BQ65" i="134"/>
  <c r="BQ66" i="134"/>
  <c r="BQ62" i="134"/>
  <c r="BQ67" i="134"/>
  <c r="BQ64" i="134"/>
  <c r="BQ71" i="134"/>
  <c r="BQ68" i="134"/>
  <c r="BQ72" i="134"/>
  <c r="BQ73" i="134"/>
  <c r="BQ69" i="134"/>
  <c r="BQ70" i="134"/>
  <c r="BQ77" i="134"/>
  <c r="BQ78" i="134"/>
  <c r="BQ80" i="134"/>
  <c r="BQ75" i="134"/>
  <c r="BQ76" i="134"/>
  <c r="BQ82" i="134"/>
  <c r="BQ79" i="134"/>
  <c r="BQ74" i="134"/>
  <c r="BQ81" i="134"/>
  <c r="BQ102" i="134"/>
  <c r="BQ105" i="134"/>
  <c r="BQ108" i="134"/>
  <c r="BQ103" i="134"/>
  <c r="BQ104" i="134"/>
  <c r="BQ109" i="134"/>
  <c r="BQ101" i="134"/>
  <c r="BQ110" i="134"/>
  <c r="BQ113" i="134"/>
  <c r="BQ116" i="134"/>
  <c r="BQ107" i="134"/>
  <c r="BQ114" i="134"/>
  <c r="BQ106" i="134"/>
  <c r="BQ111" i="134"/>
  <c r="BQ54" i="134"/>
  <c r="BQ112" i="134"/>
  <c r="BQ115" i="134"/>
  <c r="BQ117" i="134"/>
  <c r="BQ118" i="134"/>
  <c r="BP118" i="134"/>
  <c r="BP16" i="134"/>
  <c r="BP21" i="134"/>
  <c r="BP24" i="134" s="1"/>
  <c r="BQ28" i="134"/>
  <c r="BQ29" i="134" s="1"/>
  <c r="BQ53" i="134"/>
  <c r="BQ52" i="134"/>
  <c r="BQ140" i="134" s="1"/>
  <c r="BQ39" i="134"/>
  <c r="BQ30" i="134"/>
  <c r="BQ36" i="134"/>
  <c r="BQ17" i="134"/>
  <c r="BQ18" i="134" s="1"/>
  <c r="BR4" i="134"/>
  <c r="BQ19" i="134"/>
  <c r="BQ15" i="134"/>
  <c r="BQ14" i="134"/>
  <c r="BP41" i="134"/>
  <c r="BP40" i="134"/>
  <c r="B118" i="134"/>
  <c r="D119" i="134"/>
  <c r="BQ119" i="134" s="1"/>
  <c r="BP20" i="134"/>
  <c r="BP38" i="134"/>
  <c r="BP37" i="134"/>
  <c r="CC153" i="135" l="1"/>
  <c r="CC155" i="135"/>
  <c r="CC137" i="135"/>
  <c r="CC134" i="135"/>
  <c r="CC135" i="135" s="1"/>
  <c r="CD133" i="135"/>
  <c r="CD46" i="135"/>
  <c r="CD45" i="135"/>
  <c r="CD128" i="135" s="1"/>
  <c r="CD49" i="135"/>
  <c r="CD48" i="135"/>
  <c r="CB134" i="135"/>
  <c r="CB135" i="135" s="1"/>
  <c r="CB137" i="135"/>
  <c r="CB130" i="135"/>
  <c r="CC130" i="135" s="1"/>
  <c r="CE47" i="135"/>
  <c r="CE44" i="135"/>
  <c r="CE114" i="135"/>
  <c r="CE124" i="135" s="1"/>
  <c r="CF114" i="135"/>
  <c r="CG114" i="135"/>
  <c r="CH114" i="135"/>
  <c r="CI114" i="135"/>
  <c r="CJ114" i="135"/>
  <c r="CK114" i="135"/>
  <c r="CL114" i="135"/>
  <c r="CM114" i="135"/>
  <c r="CN114" i="135"/>
  <c r="CO114" i="135"/>
  <c r="CP114" i="135"/>
  <c r="CQ114" i="135"/>
  <c r="CR114" i="135"/>
  <c r="CS114" i="135"/>
  <c r="CT114" i="135"/>
  <c r="CU114" i="135"/>
  <c r="CV114" i="135"/>
  <c r="CW114" i="135"/>
  <c r="CX114" i="135"/>
  <c r="CY114" i="135"/>
  <c r="CZ114" i="135"/>
  <c r="CF31" i="135"/>
  <c r="CF32" i="135" s="1"/>
  <c r="CG27" i="135" s="1"/>
  <c r="CC50" i="135"/>
  <c r="CC136" i="135"/>
  <c r="CC129" i="135"/>
  <c r="CC125" i="135" s="1"/>
  <c r="CC131" i="135" s="1"/>
  <c r="CN139" i="134"/>
  <c r="BA31" i="134"/>
  <c r="BA32" i="134" s="1"/>
  <c r="BB27" i="134" s="1"/>
  <c r="BR56" i="134"/>
  <c r="BR61" i="134"/>
  <c r="BR60" i="134"/>
  <c r="BR57" i="134"/>
  <c r="BR62" i="134"/>
  <c r="BR58" i="134"/>
  <c r="BR59" i="134"/>
  <c r="BR55" i="134"/>
  <c r="BR65" i="134"/>
  <c r="BR66" i="134"/>
  <c r="BR63" i="134"/>
  <c r="BR69" i="134"/>
  <c r="BR72" i="134"/>
  <c r="BR67" i="134"/>
  <c r="BR71" i="134"/>
  <c r="BR75" i="134"/>
  <c r="BR68" i="134"/>
  <c r="BR64" i="134"/>
  <c r="BR74" i="134"/>
  <c r="BR77" i="134"/>
  <c r="BR78" i="134"/>
  <c r="BR73" i="134"/>
  <c r="BR76" i="134"/>
  <c r="BR70" i="134"/>
  <c r="BR82" i="134"/>
  <c r="BR84" i="134"/>
  <c r="BR79" i="134"/>
  <c r="BR83" i="134"/>
  <c r="BR80" i="134"/>
  <c r="BR81" i="134"/>
  <c r="BR102" i="134"/>
  <c r="BR105" i="134"/>
  <c r="BR108" i="134"/>
  <c r="BR103" i="134"/>
  <c r="BR104" i="134"/>
  <c r="BR110" i="134"/>
  <c r="BR113" i="134"/>
  <c r="BR116" i="134"/>
  <c r="BR119" i="134"/>
  <c r="BR107" i="134"/>
  <c r="BR109" i="134"/>
  <c r="BR114" i="134"/>
  <c r="BR106" i="134"/>
  <c r="BR111" i="134"/>
  <c r="BR54" i="134"/>
  <c r="BR117" i="134"/>
  <c r="BR118" i="134"/>
  <c r="BR112" i="134"/>
  <c r="BR115" i="134"/>
  <c r="AZ83" i="134"/>
  <c r="BA83" i="134"/>
  <c r="BB83" i="134"/>
  <c r="BC83" i="134"/>
  <c r="BD83" i="134"/>
  <c r="BE83" i="134"/>
  <c r="BF83" i="134"/>
  <c r="BG83" i="134"/>
  <c r="BH83" i="134"/>
  <c r="BI83" i="134"/>
  <c r="BJ83" i="134"/>
  <c r="BK83" i="134"/>
  <c r="BL83" i="134"/>
  <c r="BM83" i="134"/>
  <c r="AZ44" i="134"/>
  <c r="AZ47" i="134"/>
  <c r="BN83" i="134"/>
  <c r="BO83" i="134"/>
  <c r="BP83" i="134"/>
  <c r="E119" i="134"/>
  <c r="F119" i="134"/>
  <c r="G119" i="134"/>
  <c r="H119" i="134"/>
  <c r="I119" i="134"/>
  <c r="J119" i="134"/>
  <c r="K119" i="134"/>
  <c r="L119" i="134"/>
  <c r="M119" i="134"/>
  <c r="N119" i="134"/>
  <c r="O119" i="134"/>
  <c r="P119" i="134"/>
  <c r="Q119" i="134"/>
  <c r="R119" i="134"/>
  <c r="S119" i="134"/>
  <c r="T119" i="134"/>
  <c r="U119" i="134"/>
  <c r="V119" i="134"/>
  <c r="W119" i="134"/>
  <c r="X119" i="134"/>
  <c r="Y119" i="134"/>
  <c r="Z119" i="134"/>
  <c r="AA119" i="134"/>
  <c r="AB119" i="134"/>
  <c r="AC119" i="134"/>
  <c r="AD119" i="134"/>
  <c r="AE119" i="134"/>
  <c r="AF119" i="134"/>
  <c r="AG119" i="134"/>
  <c r="AH119" i="134"/>
  <c r="AI119" i="134"/>
  <c r="AJ119" i="134"/>
  <c r="AK119" i="134"/>
  <c r="AL119" i="134"/>
  <c r="AM119" i="134"/>
  <c r="AN119" i="134"/>
  <c r="AO119" i="134"/>
  <c r="AP119" i="134"/>
  <c r="AQ119" i="134"/>
  <c r="AR119" i="134"/>
  <c r="AS119" i="134"/>
  <c r="AT119" i="134"/>
  <c r="AU119" i="134"/>
  <c r="AV119" i="134"/>
  <c r="AW119" i="134"/>
  <c r="AX119" i="134"/>
  <c r="AY119" i="134"/>
  <c r="AZ119" i="134"/>
  <c r="BA119" i="134"/>
  <c r="BB119" i="134"/>
  <c r="BC119" i="134"/>
  <c r="BD119" i="134"/>
  <c r="BE119" i="134"/>
  <c r="BF119" i="134"/>
  <c r="BG119" i="134"/>
  <c r="BH119" i="134"/>
  <c r="BI119" i="134"/>
  <c r="BJ119" i="134"/>
  <c r="BK119" i="134"/>
  <c r="BL119" i="134"/>
  <c r="BM119" i="134"/>
  <c r="BN119" i="134"/>
  <c r="BO119" i="134"/>
  <c r="BP119" i="134"/>
  <c r="BQ21" i="134"/>
  <c r="BQ24" i="134" s="1"/>
  <c r="BR28" i="134"/>
  <c r="BR29" i="134" s="1"/>
  <c r="BR53" i="134"/>
  <c r="BQ38" i="134"/>
  <c r="BQ37" i="134"/>
  <c r="B119" i="134"/>
  <c r="D120" i="134"/>
  <c r="BR120" i="134" s="1"/>
  <c r="BQ41" i="134"/>
  <c r="BQ40" i="134"/>
  <c r="BQ20" i="134"/>
  <c r="BQ16" i="134"/>
  <c r="BR52" i="134"/>
  <c r="BR140" i="134" s="1"/>
  <c r="BR39" i="134"/>
  <c r="BR30" i="134"/>
  <c r="BR36" i="134"/>
  <c r="BR17" i="134"/>
  <c r="BR18" i="134" s="1"/>
  <c r="BS4" i="134"/>
  <c r="BR19" i="134"/>
  <c r="BR15" i="134"/>
  <c r="BR14" i="134"/>
  <c r="E145" i="135" l="1"/>
  <c r="E147" i="135" s="1"/>
  <c r="CG31" i="135"/>
  <c r="CD50" i="135"/>
  <c r="CD136" i="135"/>
  <c r="CD129" i="135"/>
  <c r="CD125" i="135" s="1"/>
  <c r="CD131" i="135" s="1"/>
  <c r="CE133" i="135"/>
  <c r="CE45" i="135"/>
  <c r="CE128" i="135" s="1"/>
  <c r="CE46" i="135"/>
  <c r="CD127" i="135"/>
  <c r="CD142" i="135" s="1"/>
  <c r="CF47" i="135"/>
  <c r="CF44" i="135"/>
  <c r="CF115" i="135"/>
  <c r="CF124" i="135" s="1"/>
  <c r="CG115" i="135"/>
  <c r="CH115" i="135"/>
  <c r="CI115" i="135"/>
  <c r="CJ115" i="135"/>
  <c r="CK115" i="135"/>
  <c r="CL115" i="135"/>
  <c r="CM115" i="135"/>
  <c r="CN115" i="135"/>
  <c r="CO115" i="135"/>
  <c r="CP115" i="135"/>
  <c r="CQ115" i="135"/>
  <c r="CR115" i="135"/>
  <c r="CS115" i="135"/>
  <c r="CT115" i="135"/>
  <c r="CU115" i="135"/>
  <c r="CV115" i="135"/>
  <c r="CW115" i="135"/>
  <c r="CX115" i="135"/>
  <c r="CY115" i="135"/>
  <c r="CZ115" i="135"/>
  <c r="CE48" i="135"/>
  <c r="CE127" i="135" s="1"/>
  <c r="CE49" i="135"/>
  <c r="CD130" i="135"/>
  <c r="CO139" i="134"/>
  <c r="E120" i="134"/>
  <c r="F120" i="134"/>
  <c r="G120" i="134"/>
  <c r="H120" i="134"/>
  <c r="I120" i="134"/>
  <c r="J120" i="134"/>
  <c r="K120" i="134"/>
  <c r="L120" i="134"/>
  <c r="M120" i="134"/>
  <c r="N120" i="134"/>
  <c r="O120" i="134"/>
  <c r="P120" i="134"/>
  <c r="Q120" i="134"/>
  <c r="R120" i="134"/>
  <c r="S120" i="134"/>
  <c r="T120" i="134"/>
  <c r="U120" i="134"/>
  <c r="V120" i="134"/>
  <c r="W120" i="134"/>
  <c r="X120" i="134"/>
  <c r="Y120" i="134"/>
  <c r="Z120" i="134"/>
  <c r="AA120" i="134"/>
  <c r="AB120" i="134"/>
  <c r="AC120" i="134"/>
  <c r="AD120" i="134"/>
  <c r="AE120" i="134"/>
  <c r="AF120" i="134"/>
  <c r="AG120" i="134"/>
  <c r="AH120" i="134"/>
  <c r="AI120" i="134"/>
  <c r="AJ120" i="134"/>
  <c r="AK120" i="134"/>
  <c r="AL120" i="134"/>
  <c r="AM120" i="134"/>
  <c r="AN120" i="134"/>
  <c r="AO120" i="134"/>
  <c r="AP120" i="134"/>
  <c r="AQ120" i="134"/>
  <c r="AR120" i="134"/>
  <c r="AS120" i="134"/>
  <c r="AT120" i="134"/>
  <c r="AU120" i="134"/>
  <c r="AV120" i="134"/>
  <c r="AW120" i="134"/>
  <c r="AX120" i="134"/>
  <c r="AY120" i="134"/>
  <c r="AZ120" i="134"/>
  <c r="BA120" i="134"/>
  <c r="BB120" i="134"/>
  <c r="BC120" i="134"/>
  <c r="BD120" i="134"/>
  <c r="BE120" i="134"/>
  <c r="BF120" i="134"/>
  <c r="BG120" i="134"/>
  <c r="BH120" i="134"/>
  <c r="BI120" i="134"/>
  <c r="BJ120" i="134"/>
  <c r="BK120" i="134"/>
  <c r="BL120" i="134"/>
  <c r="BM120" i="134"/>
  <c r="BN120" i="134"/>
  <c r="BO120" i="134"/>
  <c r="BP120" i="134"/>
  <c r="BQ120" i="134"/>
  <c r="AZ48" i="134"/>
  <c r="AZ49" i="134" s="1"/>
  <c r="BS55" i="134"/>
  <c r="BS58" i="134"/>
  <c r="BS56" i="134"/>
  <c r="BS60" i="134"/>
  <c r="BS57" i="134"/>
  <c r="BS62" i="134"/>
  <c r="BS59" i="134"/>
  <c r="BS64" i="134"/>
  <c r="BS61" i="134"/>
  <c r="BS65" i="134"/>
  <c r="BS66" i="134"/>
  <c r="BS63" i="134"/>
  <c r="BS69" i="134"/>
  <c r="BS72" i="134"/>
  <c r="BS70" i="134"/>
  <c r="BS71" i="134"/>
  <c r="BS67" i="134"/>
  <c r="BS68" i="134"/>
  <c r="BS73" i="134"/>
  <c r="BS76" i="134"/>
  <c r="BS74" i="134"/>
  <c r="BS77" i="134"/>
  <c r="BS75" i="134"/>
  <c r="BS80" i="134"/>
  <c r="BS81" i="134"/>
  <c r="BS82" i="134"/>
  <c r="BS84" i="134"/>
  <c r="BS79" i="134"/>
  <c r="BS83" i="134"/>
  <c r="BS78" i="134"/>
  <c r="BS106" i="134"/>
  <c r="BS103" i="134"/>
  <c r="BS104" i="134"/>
  <c r="BS112" i="134"/>
  <c r="BS115" i="134"/>
  <c r="BS108" i="134"/>
  <c r="BS110" i="134"/>
  <c r="BS113" i="134"/>
  <c r="BS105" i="134"/>
  <c r="BS107" i="134"/>
  <c r="BS109" i="134"/>
  <c r="BS114" i="134"/>
  <c r="BS117" i="134"/>
  <c r="BS120" i="134"/>
  <c r="BS111" i="134"/>
  <c r="BS116" i="134"/>
  <c r="BS118" i="134"/>
  <c r="BS119" i="134"/>
  <c r="BS54" i="134"/>
  <c r="BR20" i="134"/>
  <c r="AZ45" i="134"/>
  <c r="AZ46" i="134"/>
  <c r="BB31" i="134"/>
  <c r="BB32" i="134" s="1"/>
  <c r="BC27" i="134" s="1"/>
  <c r="BA84" i="134"/>
  <c r="BB84" i="134"/>
  <c r="BC84" i="134"/>
  <c r="BD84" i="134"/>
  <c r="BE84" i="134"/>
  <c r="BF84" i="134"/>
  <c r="BG84" i="134"/>
  <c r="BH84" i="134"/>
  <c r="BI84" i="134"/>
  <c r="BJ84" i="134"/>
  <c r="BK84" i="134"/>
  <c r="BL84" i="134"/>
  <c r="BM84" i="134"/>
  <c r="BN84" i="134"/>
  <c r="BO84" i="134"/>
  <c r="BA47" i="134"/>
  <c r="BA44" i="134"/>
  <c r="BP84" i="134"/>
  <c r="BQ84" i="134"/>
  <c r="BS28" i="134"/>
  <c r="BS29" i="134" s="1"/>
  <c r="BS53" i="134"/>
  <c r="BR37" i="134"/>
  <c r="BR38" i="134"/>
  <c r="BR41" i="134"/>
  <c r="BR40" i="134"/>
  <c r="D121" i="134"/>
  <c r="BS121" i="134" s="1"/>
  <c r="B120" i="134"/>
  <c r="BS52" i="134"/>
  <c r="BS140" i="134" s="1"/>
  <c r="BS36" i="134"/>
  <c r="BS39" i="134"/>
  <c r="BS30" i="134"/>
  <c r="BS14" i="134"/>
  <c r="BS19" i="134"/>
  <c r="BS17" i="134"/>
  <c r="BS18" i="134" s="1"/>
  <c r="BT4" i="134"/>
  <c r="BS15" i="134"/>
  <c r="BS16" i="134" s="1"/>
  <c r="BR16" i="134"/>
  <c r="BR21" i="134"/>
  <c r="BR24" i="134" s="1"/>
  <c r="CE142" i="135" l="1"/>
  <c r="CE137" i="135"/>
  <c r="CE134" i="135"/>
  <c r="CE135" i="135" s="1"/>
  <c r="CF133" i="135"/>
  <c r="CG47" i="135"/>
  <c r="CG44" i="135"/>
  <c r="CG116" i="135"/>
  <c r="CG124" i="135" s="1"/>
  <c r="CH116" i="135"/>
  <c r="CI116" i="135"/>
  <c r="CJ116" i="135"/>
  <c r="CK116" i="135"/>
  <c r="CL116" i="135"/>
  <c r="CM116" i="135"/>
  <c r="CN116" i="135"/>
  <c r="CO116" i="135"/>
  <c r="CP116" i="135"/>
  <c r="CQ116" i="135"/>
  <c r="CR116" i="135"/>
  <c r="CS116" i="135"/>
  <c r="CT116" i="135"/>
  <c r="CU116" i="135"/>
  <c r="CV116" i="135"/>
  <c r="CW116" i="135"/>
  <c r="CX116" i="135"/>
  <c r="CY116" i="135"/>
  <c r="CZ116" i="135"/>
  <c r="CE130" i="135"/>
  <c r="CF46" i="135"/>
  <c r="CF45" i="135"/>
  <c r="CF128" i="135" s="1"/>
  <c r="CG32" i="135"/>
  <c r="CH27" i="135" s="1"/>
  <c r="CF48" i="135"/>
  <c r="CF49" i="135"/>
  <c r="CE50" i="135"/>
  <c r="CE136" i="135"/>
  <c r="CE129" i="135"/>
  <c r="CE125" i="135" s="1"/>
  <c r="CE131" i="135" s="1"/>
  <c r="CD137" i="135"/>
  <c r="CD134" i="135"/>
  <c r="CD135" i="135" s="1"/>
  <c r="CP139" i="134"/>
  <c r="BA49" i="134"/>
  <c r="BA48" i="134"/>
  <c r="BC31" i="134"/>
  <c r="BC32" i="134" s="1"/>
  <c r="BD27" i="134" s="1"/>
  <c r="BB85" i="134"/>
  <c r="BC85" i="134"/>
  <c r="BD85" i="134"/>
  <c r="BE85" i="134"/>
  <c r="BF85" i="134"/>
  <c r="BG85" i="134"/>
  <c r="BH85" i="134"/>
  <c r="BI85" i="134"/>
  <c r="BJ85" i="134"/>
  <c r="BK85" i="134"/>
  <c r="BL85" i="134"/>
  <c r="BM85" i="134"/>
  <c r="BN85" i="134"/>
  <c r="BO85" i="134"/>
  <c r="BP85" i="134"/>
  <c r="BB44" i="134"/>
  <c r="BB47" i="134"/>
  <c r="BQ85" i="134"/>
  <c r="BR85" i="134"/>
  <c r="AZ50" i="134"/>
  <c r="AZ137" i="134"/>
  <c r="AZ129" i="134"/>
  <c r="E121" i="134"/>
  <c r="F121" i="134"/>
  <c r="G121" i="134"/>
  <c r="H121" i="134"/>
  <c r="I121" i="134"/>
  <c r="J121" i="134"/>
  <c r="K121" i="134"/>
  <c r="L121" i="134"/>
  <c r="M121" i="134"/>
  <c r="N121" i="134"/>
  <c r="O121" i="134"/>
  <c r="P121" i="134"/>
  <c r="Q121" i="134"/>
  <c r="R121" i="134"/>
  <c r="S121" i="134"/>
  <c r="T121" i="134"/>
  <c r="U121" i="134"/>
  <c r="V121" i="134"/>
  <c r="W121" i="134"/>
  <c r="X121" i="134"/>
  <c r="Y121" i="134"/>
  <c r="Z121" i="134"/>
  <c r="AA121" i="134"/>
  <c r="AB121" i="134"/>
  <c r="AC121" i="134"/>
  <c r="AD121" i="134"/>
  <c r="AE121" i="134"/>
  <c r="AF121" i="134"/>
  <c r="AG121" i="134"/>
  <c r="AH121" i="134"/>
  <c r="AI121" i="134"/>
  <c r="AJ121" i="134"/>
  <c r="AK121" i="134"/>
  <c r="AL121" i="134"/>
  <c r="AM121" i="134"/>
  <c r="AN121" i="134"/>
  <c r="AO121" i="134"/>
  <c r="AP121" i="134"/>
  <c r="AQ121" i="134"/>
  <c r="AR121" i="134"/>
  <c r="AS121" i="134"/>
  <c r="AT121" i="134"/>
  <c r="AU121" i="134"/>
  <c r="AV121" i="134"/>
  <c r="AW121" i="134"/>
  <c r="AX121" i="134"/>
  <c r="AY121" i="134"/>
  <c r="AZ121" i="134"/>
  <c r="BA121" i="134"/>
  <c r="BB121" i="134"/>
  <c r="BC121" i="134"/>
  <c r="BD121" i="134"/>
  <c r="BE121" i="134"/>
  <c r="BF121" i="134"/>
  <c r="BG121" i="134"/>
  <c r="BH121" i="134"/>
  <c r="BI121" i="134"/>
  <c r="BJ121" i="134"/>
  <c r="BK121" i="134"/>
  <c r="BL121" i="134"/>
  <c r="BM121" i="134"/>
  <c r="BN121" i="134"/>
  <c r="BO121" i="134"/>
  <c r="BP121" i="134"/>
  <c r="BQ121" i="134"/>
  <c r="BR121" i="134"/>
  <c r="BT57" i="134"/>
  <c r="BT60" i="134"/>
  <c r="BT63" i="134"/>
  <c r="BT55" i="134"/>
  <c r="BT59" i="134"/>
  <c r="BT56" i="134"/>
  <c r="BT64" i="134"/>
  <c r="BT68" i="134"/>
  <c r="BT61" i="134"/>
  <c r="BT65" i="134"/>
  <c r="BT66" i="134"/>
  <c r="BT58" i="134"/>
  <c r="BT62" i="134"/>
  <c r="BT67" i="134"/>
  <c r="BT70" i="134"/>
  <c r="BT71" i="134"/>
  <c r="BT72" i="134"/>
  <c r="BT69" i="134"/>
  <c r="BT73" i="134"/>
  <c r="BT76" i="134"/>
  <c r="BT79" i="134"/>
  <c r="BT74" i="134"/>
  <c r="BT77" i="134"/>
  <c r="BT78" i="134"/>
  <c r="BT75" i="134"/>
  <c r="BT81" i="134"/>
  <c r="BT86" i="134"/>
  <c r="BT82" i="134"/>
  <c r="BT84" i="134"/>
  <c r="BT80" i="134"/>
  <c r="BT83" i="134"/>
  <c r="BT85" i="134"/>
  <c r="BT106" i="134"/>
  <c r="BT105" i="134"/>
  <c r="BT110" i="134"/>
  <c r="BT112" i="134"/>
  <c r="BT115" i="134"/>
  <c r="BT108" i="134"/>
  <c r="BT113" i="134"/>
  <c r="BT116" i="134"/>
  <c r="BT107" i="134"/>
  <c r="BT109" i="134"/>
  <c r="BT114" i="134"/>
  <c r="BT117" i="134"/>
  <c r="BT120" i="134"/>
  <c r="BT104" i="134"/>
  <c r="BT111" i="134"/>
  <c r="BT121" i="134"/>
  <c r="BT118" i="134"/>
  <c r="BT119" i="134"/>
  <c r="BT54" i="134"/>
  <c r="BA45" i="134"/>
  <c r="BA46" i="134"/>
  <c r="BS85" i="134"/>
  <c r="BT28" i="134"/>
  <c r="BT29" i="134" s="1"/>
  <c r="BT53" i="134"/>
  <c r="BS20" i="134"/>
  <c r="BT39" i="134"/>
  <c r="BT36" i="134"/>
  <c r="BT52" i="134"/>
  <c r="BT140" i="134" s="1"/>
  <c r="BT30" i="134"/>
  <c r="BT17" i="134"/>
  <c r="BT18" i="134" s="1"/>
  <c r="BU4" i="134"/>
  <c r="BT15" i="134"/>
  <c r="BT19" i="134"/>
  <c r="BT14" i="134"/>
  <c r="BS38" i="134"/>
  <c r="BS37" i="134"/>
  <c r="BS21" i="134"/>
  <c r="BS24" i="134" s="1"/>
  <c r="B121" i="134"/>
  <c r="D122" i="134"/>
  <c r="BS40" i="134"/>
  <c r="BS41" i="134"/>
  <c r="CG133" i="135" l="1"/>
  <c r="CG45" i="135"/>
  <c r="CG128" i="135" s="1"/>
  <c r="CG46" i="135"/>
  <c r="CG48" i="135"/>
  <c r="CG49" i="135"/>
  <c r="CF50" i="135"/>
  <c r="CF136" i="135"/>
  <c r="CF129" i="135"/>
  <c r="CF125" i="135" s="1"/>
  <c r="CF131" i="135" s="1"/>
  <c r="CH31" i="135"/>
  <c r="CH32" i="135" s="1"/>
  <c r="CI27" i="135" s="1"/>
  <c r="CF127" i="135"/>
  <c r="CQ139" i="134"/>
  <c r="BT16" i="134"/>
  <c r="BT20" i="134"/>
  <c r="BD31" i="134"/>
  <c r="BD32" i="134"/>
  <c r="BE27" i="134" s="1"/>
  <c r="BE31" i="134" s="1"/>
  <c r="BU57" i="134"/>
  <c r="BU58" i="134"/>
  <c r="BU55" i="134"/>
  <c r="BU59" i="134"/>
  <c r="BU56" i="134"/>
  <c r="BU61" i="134"/>
  <c r="BU60" i="134"/>
  <c r="BU64" i="134"/>
  <c r="BU63" i="134"/>
  <c r="BU65" i="134"/>
  <c r="BU66" i="134"/>
  <c r="BU62" i="134"/>
  <c r="BU70" i="134"/>
  <c r="BU67" i="134"/>
  <c r="BU71" i="134"/>
  <c r="BU72" i="134"/>
  <c r="BU68" i="134"/>
  <c r="BU69" i="134"/>
  <c r="BU79" i="134"/>
  <c r="BU82" i="134"/>
  <c r="BU74" i="134"/>
  <c r="BU73" i="134"/>
  <c r="BU77" i="134"/>
  <c r="BU75" i="134"/>
  <c r="BU76" i="134"/>
  <c r="BU81" i="134"/>
  <c r="BU86" i="134"/>
  <c r="BU84" i="134"/>
  <c r="BU87" i="134"/>
  <c r="BU80" i="134"/>
  <c r="BU83" i="134"/>
  <c r="BU88" i="134"/>
  <c r="BU85" i="134"/>
  <c r="BU78" i="134"/>
  <c r="BU107" i="134"/>
  <c r="BU105" i="134"/>
  <c r="BU110" i="134"/>
  <c r="BU111" i="134"/>
  <c r="BU112" i="134"/>
  <c r="BU115" i="134"/>
  <c r="BU108" i="134"/>
  <c r="BU113" i="134"/>
  <c r="BU109" i="134"/>
  <c r="BU106" i="134"/>
  <c r="BU114" i="134"/>
  <c r="BU116" i="134"/>
  <c r="BU117" i="134"/>
  <c r="BU121" i="134"/>
  <c r="BU118" i="134"/>
  <c r="BU122" i="134"/>
  <c r="BU119" i="134"/>
  <c r="BU54" i="134"/>
  <c r="BU120" i="134"/>
  <c r="BB49" i="134"/>
  <c r="BB48" i="134"/>
  <c r="BB45" i="134"/>
  <c r="BB46" i="134"/>
  <c r="E122" i="134"/>
  <c r="F122" i="134"/>
  <c r="G122" i="134"/>
  <c r="H122" i="134"/>
  <c r="I122" i="134"/>
  <c r="J122" i="134"/>
  <c r="K122" i="134"/>
  <c r="L122" i="134"/>
  <c r="M122" i="134"/>
  <c r="N122" i="134"/>
  <c r="O122" i="134"/>
  <c r="P122" i="134"/>
  <c r="Q122" i="134"/>
  <c r="R122" i="134"/>
  <c r="S122" i="134"/>
  <c r="T122" i="134"/>
  <c r="U122" i="134"/>
  <c r="V122" i="134"/>
  <c r="W122" i="134"/>
  <c r="X122" i="134"/>
  <c r="Y122" i="134"/>
  <c r="Z122" i="134"/>
  <c r="AA122" i="134"/>
  <c r="AB122" i="134"/>
  <c r="AC122" i="134"/>
  <c r="AD122" i="134"/>
  <c r="AE122" i="134"/>
  <c r="AF122" i="134"/>
  <c r="AG122" i="134"/>
  <c r="AH122" i="134"/>
  <c r="AI122" i="134"/>
  <c r="AJ122" i="134"/>
  <c r="AK122" i="134"/>
  <c r="AL122" i="134"/>
  <c r="AM122" i="134"/>
  <c r="AN122" i="134"/>
  <c r="AO122" i="134"/>
  <c r="AP122" i="134"/>
  <c r="AQ122" i="134"/>
  <c r="AR122" i="134"/>
  <c r="AS122" i="134"/>
  <c r="AT122" i="134"/>
  <c r="AU122" i="134"/>
  <c r="AV122" i="134"/>
  <c r="AW122" i="134"/>
  <c r="AX122" i="134"/>
  <c r="AY122" i="134"/>
  <c r="AZ122" i="134"/>
  <c r="BA122" i="134"/>
  <c r="BB122" i="134"/>
  <c r="BC122" i="134"/>
  <c r="BD122" i="134"/>
  <c r="BE122" i="134"/>
  <c r="BF122" i="134"/>
  <c r="BG122" i="134"/>
  <c r="BH122" i="134"/>
  <c r="BI122" i="134"/>
  <c r="BJ122" i="134"/>
  <c r="BK122" i="134"/>
  <c r="BL122" i="134"/>
  <c r="BM122" i="134"/>
  <c r="BN122" i="134"/>
  <c r="BO122" i="134"/>
  <c r="BP122" i="134"/>
  <c r="BQ122" i="134"/>
  <c r="BR122" i="134"/>
  <c r="BS122" i="134"/>
  <c r="BT122" i="134"/>
  <c r="BC86" i="134"/>
  <c r="BD86" i="134"/>
  <c r="BE86" i="134"/>
  <c r="BF86" i="134"/>
  <c r="BG86" i="134"/>
  <c r="BH86" i="134"/>
  <c r="BI86" i="134"/>
  <c r="BJ86" i="134"/>
  <c r="BK86" i="134"/>
  <c r="BL86" i="134"/>
  <c r="BM86" i="134"/>
  <c r="BN86" i="134"/>
  <c r="BO86" i="134"/>
  <c r="BP86" i="134"/>
  <c r="BQ86" i="134"/>
  <c r="BR86" i="134"/>
  <c r="BC44" i="134"/>
  <c r="BC47" i="134"/>
  <c r="BS86" i="134"/>
  <c r="BA50" i="134"/>
  <c r="BA137" i="134"/>
  <c r="BA129" i="134"/>
  <c r="BU28" i="134"/>
  <c r="BU53" i="134"/>
  <c r="BE47" i="134"/>
  <c r="BE44" i="134"/>
  <c r="BE32" i="134"/>
  <c r="BF27" i="134" s="1"/>
  <c r="BF31" i="134" s="1"/>
  <c r="BU89" i="134" s="1"/>
  <c r="BT21" i="134"/>
  <c r="BT24" i="134" s="1"/>
  <c r="BT37" i="134"/>
  <c r="BT38" i="134"/>
  <c r="BT40" i="134"/>
  <c r="BT41" i="134"/>
  <c r="BU30" i="134"/>
  <c r="BU52" i="134"/>
  <c r="BU140" i="134" s="1"/>
  <c r="BU39" i="134"/>
  <c r="BU36" i="134"/>
  <c r="BU29" i="134"/>
  <c r="BU17" i="134"/>
  <c r="BU18" i="134" s="1"/>
  <c r="BU15" i="134"/>
  <c r="BU19" i="134"/>
  <c r="BU14" i="134"/>
  <c r="BV4" i="134"/>
  <c r="D123" i="134"/>
  <c r="B122" i="134"/>
  <c r="CI31" i="135" l="1"/>
  <c r="CI32" i="135" s="1"/>
  <c r="CJ27" i="135" s="1"/>
  <c r="CG50" i="135"/>
  <c r="CG136" i="135"/>
  <c r="CG129" i="135"/>
  <c r="CG125" i="135" s="1"/>
  <c r="CG131" i="135" s="1"/>
  <c r="CF142" i="135"/>
  <c r="CF137" i="135"/>
  <c r="CF134" i="135"/>
  <c r="CF135" i="135" s="1"/>
  <c r="CF130" i="135"/>
  <c r="CG127" i="135"/>
  <c r="CH44" i="135"/>
  <c r="CH47" i="135"/>
  <c r="CH117" i="135"/>
  <c r="CH124" i="135" s="1"/>
  <c r="CI117" i="135"/>
  <c r="CJ117" i="135"/>
  <c r="CK117" i="135"/>
  <c r="CL117" i="135"/>
  <c r="CM117" i="135"/>
  <c r="CN117" i="135"/>
  <c r="CO117" i="135"/>
  <c r="CP117" i="135"/>
  <c r="CQ117" i="135"/>
  <c r="CR117" i="135"/>
  <c r="CS117" i="135"/>
  <c r="CT117" i="135"/>
  <c r="CU117" i="135"/>
  <c r="CV117" i="135"/>
  <c r="CW117" i="135"/>
  <c r="CX117" i="135"/>
  <c r="CY117" i="135"/>
  <c r="CZ117" i="135"/>
  <c r="CR139" i="134"/>
  <c r="E123" i="134"/>
  <c r="F123" i="134"/>
  <c r="G123" i="134"/>
  <c r="H123" i="134"/>
  <c r="I123" i="134"/>
  <c r="I124" i="134" s="1"/>
  <c r="J123" i="134"/>
  <c r="K123" i="134"/>
  <c r="L123" i="134"/>
  <c r="M123" i="134"/>
  <c r="M124" i="134" s="1"/>
  <c r="N123" i="134"/>
  <c r="N124" i="134" s="1"/>
  <c r="O123" i="134"/>
  <c r="P123" i="134"/>
  <c r="P124" i="134" s="1"/>
  <c r="Q123" i="134"/>
  <c r="R123" i="134"/>
  <c r="S123" i="134"/>
  <c r="T123" i="134"/>
  <c r="T124" i="134" s="1"/>
  <c r="U123" i="134"/>
  <c r="U124" i="134" s="1"/>
  <c r="V123" i="134"/>
  <c r="V124" i="134" s="1"/>
  <c r="W123" i="134"/>
  <c r="X123" i="134"/>
  <c r="Y123" i="134"/>
  <c r="Z123" i="134"/>
  <c r="Z124" i="134" s="1"/>
  <c r="AA123" i="134"/>
  <c r="AB123" i="134"/>
  <c r="AB124" i="134" s="1"/>
  <c r="AC123" i="134"/>
  <c r="AD123" i="134"/>
  <c r="AE123" i="134"/>
  <c r="AF123" i="134"/>
  <c r="AG123" i="134"/>
  <c r="AG124" i="134" s="1"/>
  <c r="AH123" i="134"/>
  <c r="AH124" i="134" s="1"/>
  <c r="AI123" i="134"/>
  <c r="AJ123" i="134"/>
  <c r="AK123" i="134"/>
  <c r="AL123" i="134"/>
  <c r="AL124" i="134" s="1"/>
  <c r="AM123" i="134"/>
  <c r="AN123" i="134"/>
  <c r="AN124" i="134" s="1"/>
  <c r="AO123" i="134"/>
  <c r="AP123" i="134"/>
  <c r="AQ123" i="134"/>
  <c r="AR123" i="134"/>
  <c r="AR124" i="134" s="1"/>
  <c r="AS123" i="134"/>
  <c r="AS124" i="134" s="1"/>
  <c r="AT123" i="134"/>
  <c r="AT124" i="134" s="1"/>
  <c r="AU123" i="134"/>
  <c r="AV123" i="134"/>
  <c r="AW123" i="134"/>
  <c r="AW124" i="134" s="1"/>
  <c r="AX123" i="134"/>
  <c r="AX124" i="134" s="1"/>
  <c r="AY123" i="134"/>
  <c r="AZ123" i="134"/>
  <c r="AZ124" i="134" s="1"/>
  <c r="BA123" i="134"/>
  <c r="BB123" i="134"/>
  <c r="BC123" i="134"/>
  <c r="BD123" i="134"/>
  <c r="BE123" i="134"/>
  <c r="BE124" i="134" s="1"/>
  <c r="BF123" i="134"/>
  <c r="BG123" i="134"/>
  <c r="BH123" i="134"/>
  <c r="BI123" i="134"/>
  <c r="BJ123" i="134"/>
  <c r="BK123" i="134"/>
  <c r="BL123" i="134"/>
  <c r="BM123" i="134"/>
  <c r="BN123" i="134"/>
  <c r="BO123" i="134"/>
  <c r="BP123" i="134"/>
  <c r="BQ123" i="134"/>
  <c r="BR123" i="134"/>
  <c r="BS123" i="134"/>
  <c r="BT123" i="134"/>
  <c r="BV56" i="134"/>
  <c r="BV58" i="134"/>
  <c r="BV55" i="134"/>
  <c r="BV59" i="134"/>
  <c r="BV64" i="134"/>
  <c r="BV60" i="134"/>
  <c r="BV57" i="134"/>
  <c r="BV68" i="134"/>
  <c r="BV71" i="134"/>
  <c r="BV61" i="134"/>
  <c r="BV63" i="134"/>
  <c r="BV65" i="134"/>
  <c r="BV66" i="134"/>
  <c r="BV62" i="134"/>
  <c r="BV73" i="134"/>
  <c r="BV70" i="134"/>
  <c r="BV74" i="134"/>
  <c r="BV67" i="134"/>
  <c r="BV72" i="134"/>
  <c r="BV69" i="134"/>
  <c r="BV77" i="134"/>
  <c r="BV75" i="134"/>
  <c r="BV76" i="134"/>
  <c r="BV78" i="134"/>
  <c r="BV85" i="134"/>
  <c r="BV88" i="134"/>
  <c r="BV81" i="134"/>
  <c r="BV86" i="134"/>
  <c r="BV89" i="134"/>
  <c r="BV82" i="134"/>
  <c r="BV79" i="134"/>
  <c r="BV84" i="134"/>
  <c r="BV87" i="134"/>
  <c r="BV80" i="134"/>
  <c r="BV107" i="134"/>
  <c r="BV110" i="134"/>
  <c r="BV83" i="134"/>
  <c r="BV111" i="134"/>
  <c r="BV112" i="134"/>
  <c r="BV115" i="134"/>
  <c r="BV118" i="134"/>
  <c r="BV121" i="134"/>
  <c r="BV108" i="134"/>
  <c r="BV113" i="134"/>
  <c r="BV116" i="134"/>
  <c r="BV109" i="134"/>
  <c r="BV106" i="134"/>
  <c r="BV120" i="134"/>
  <c r="BV114" i="134"/>
  <c r="BV117" i="134"/>
  <c r="BV122" i="134"/>
  <c r="BV54" i="134"/>
  <c r="BV123" i="134"/>
  <c r="BV119" i="134"/>
  <c r="BU20" i="134"/>
  <c r="BU123" i="134"/>
  <c r="BF89" i="134"/>
  <c r="BG89" i="134"/>
  <c r="BH89" i="134"/>
  <c r="BI89" i="134"/>
  <c r="BJ89" i="134"/>
  <c r="BK89" i="134"/>
  <c r="BL89" i="134"/>
  <c r="BM89" i="134"/>
  <c r="BN89" i="134"/>
  <c r="BO89" i="134"/>
  <c r="BP89" i="134"/>
  <c r="BQ89" i="134"/>
  <c r="BR89" i="134"/>
  <c r="BS89" i="134"/>
  <c r="BT89" i="134"/>
  <c r="BC49" i="134"/>
  <c r="BC48" i="134"/>
  <c r="BC45" i="134"/>
  <c r="BC46" i="134"/>
  <c r="BB137" i="134"/>
  <c r="BB50" i="134"/>
  <c r="BB129" i="134"/>
  <c r="BE88" i="134"/>
  <c r="BF88" i="134"/>
  <c r="BG88" i="134"/>
  <c r="BH88" i="134"/>
  <c r="BI88" i="134"/>
  <c r="BJ88" i="134"/>
  <c r="BK88" i="134"/>
  <c r="BL88" i="134"/>
  <c r="BM88" i="134"/>
  <c r="BN88" i="134"/>
  <c r="BO88" i="134"/>
  <c r="BP88" i="134"/>
  <c r="BQ88" i="134"/>
  <c r="BR88" i="134"/>
  <c r="BS88" i="134"/>
  <c r="BT88" i="134"/>
  <c r="BD87" i="134"/>
  <c r="BD124" i="134" s="1"/>
  <c r="BE87" i="134"/>
  <c r="BF87" i="134"/>
  <c r="BG87" i="134"/>
  <c r="BH87" i="134"/>
  <c r="BI87" i="134"/>
  <c r="BJ87" i="134"/>
  <c r="BK87" i="134"/>
  <c r="BL87" i="134"/>
  <c r="BM87" i="134"/>
  <c r="BN87" i="134"/>
  <c r="BO87" i="134"/>
  <c r="BP87" i="134"/>
  <c r="BQ87" i="134"/>
  <c r="BR87" i="134"/>
  <c r="BS87" i="134"/>
  <c r="BD44" i="134"/>
  <c r="BD47" i="134"/>
  <c r="BT87" i="134"/>
  <c r="O124" i="134"/>
  <c r="AA124" i="134"/>
  <c r="BV28" i="134"/>
  <c r="BV29" i="134" s="1"/>
  <c r="BV53" i="134"/>
  <c r="BU16" i="134"/>
  <c r="BE49" i="134"/>
  <c r="BE48" i="134"/>
  <c r="BE45" i="134"/>
  <c r="BE46" i="134"/>
  <c r="BF32" i="134"/>
  <c r="BG27" i="134" s="1"/>
  <c r="BG31" i="134" s="1"/>
  <c r="BV90" i="134" s="1"/>
  <c r="BU38" i="134"/>
  <c r="BU37" i="134"/>
  <c r="BU41" i="134"/>
  <c r="BU40" i="134"/>
  <c r="B123" i="134"/>
  <c r="F124" i="134"/>
  <c r="G124" i="134"/>
  <c r="H124" i="134"/>
  <c r="J124" i="134"/>
  <c r="K124" i="134"/>
  <c r="L124" i="134"/>
  <c r="Q124" i="134"/>
  <c r="R124" i="134"/>
  <c r="S124" i="134"/>
  <c r="W124" i="134"/>
  <c r="X124" i="134"/>
  <c r="Y124" i="134"/>
  <c r="AC124" i="134"/>
  <c r="AD124" i="134"/>
  <c r="AE124" i="134"/>
  <c r="AF124" i="134"/>
  <c r="AI124" i="134"/>
  <c r="AJ124" i="134"/>
  <c r="AK124" i="134"/>
  <c r="AM124" i="134"/>
  <c r="AO124" i="134"/>
  <c r="AP124" i="134"/>
  <c r="AQ124" i="134"/>
  <c r="AU124" i="134"/>
  <c r="AV124" i="134"/>
  <c r="AY124" i="134"/>
  <c r="BA124" i="134"/>
  <c r="BB124" i="134"/>
  <c r="BC124" i="134"/>
  <c r="BV52" i="134"/>
  <c r="BV140" i="134" s="1"/>
  <c r="BV39" i="134"/>
  <c r="BV36" i="134"/>
  <c r="BV30" i="134"/>
  <c r="BV17" i="134"/>
  <c r="BV18" i="134" s="1"/>
  <c r="BV15" i="134"/>
  <c r="BV19" i="134"/>
  <c r="BV14" i="134"/>
  <c r="BW4" i="134"/>
  <c r="BU21" i="134"/>
  <c r="BU24" i="134" s="1"/>
  <c r="CH46" i="135" l="1"/>
  <c r="CH45" i="135"/>
  <c r="CH128" i="135" s="1"/>
  <c r="CG142" i="135"/>
  <c r="CG137" i="135"/>
  <c r="CG134" i="135"/>
  <c r="CG135" i="135" s="1"/>
  <c r="CG130" i="135"/>
  <c r="CJ31" i="135"/>
  <c r="CH133" i="135"/>
  <c r="CI44" i="135"/>
  <c r="CI47" i="135"/>
  <c r="CI118" i="135"/>
  <c r="CI124" i="135" s="1"/>
  <c r="CJ118" i="135"/>
  <c r="CK118" i="135"/>
  <c r="CL118" i="135"/>
  <c r="CM118" i="135"/>
  <c r="CN118" i="135"/>
  <c r="CO118" i="135"/>
  <c r="CP118" i="135"/>
  <c r="CQ118" i="135"/>
  <c r="CR118" i="135"/>
  <c r="CS118" i="135"/>
  <c r="CT118" i="135"/>
  <c r="CU118" i="135"/>
  <c r="CV118" i="135"/>
  <c r="CW118" i="135"/>
  <c r="CX118" i="135"/>
  <c r="CY118" i="135"/>
  <c r="CZ118" i="135"/>
  <c r="CH49" i="135"/>
  <c r="CH48" i="135"/>
  <c r="CS139" i="134"/>
  <c r="BW56" i="134"/>
  <c r="BW57" i="134"/>
  <c r="BW58" i="134"/>
  <c r="BW55" i="134"/>
  <c r="BW59" i="134"/>
  <c r="BW63" i="134"/>
  <c r="BW66" i="134"/>
  <c r="BW60" i="134"/>
  <c r="BW67" i="134"/>
  <c r="BW64" i="134"/>
  <c r="BW68" i="134"/>
  <c r="BW71" i="134"/>
  <c r="BW61" i="134"/>
  <c r="BW65" i="134"/>
  <c r="BW62" i="134"/>
  <c r="BW69" i="134"/>
  <c r="BW73" i="134"/>
  <c r="BW70" i="134"/>
  <c r="BW72" i="134"/>
  <c r="BW75" i="134"/>
  <c r="BW78" i="134"/>
  <c r="BW74" i="134"/>
  <c r="BW79" i="134"/>
  <c r="BW77" i="134"/>
  <c r="BW76" i="134"/>
  <c r="BW80" i="134"/>
  <c r="BW83" i="134"/>
  <c r="BW85" i="134"/>
  <c r="BW88" i="134"/>
  <c r="BW81" i="134"/>
  <c r="BW86" i="134"/>
  <c r="BW82" i="134"/>
  <c r="BW84" i="134"/>
  <c r="BW87" i="134"/>
  <c r="BW90" i="134"/>
  <c r="BW89" i="134"/>
  <c r="BW109" i="134"/>
  <c r="BW107" i="134"/>
  <c r="BW114" i="134"/>
  <c r="BW111" i="134"/>
  <c r="BW115" i="134"/>
  <c r="BW110" i="134"/>
  <c r="BW112" i="134"/>
  <c r="BW108" i="134"/>
  <c r="BW113" i="134"/>
  <c r="BW116" i="134"/>
  <c r="BW119" i="134"/>
  <c r="BW122" i="134"/>
  <c r="BW54" i="134"/>
  <c r="BW120" i="134"/>
  <c r="BW121" i="134"/>
  <c r="BW117" i="134"/>
  <c r="BW118" i="134"/>
  <c r="BW123" i="134"/>
  <c r="BG90" i="134"/>
  <c r="BH90" i="134"/>
  <c r="BI90" i="134"/>
  <c r="BJ90" i="134"/>
  <c r="BK90" i="134"/>
  <c r="BL90" i="134"/>
  <c r="BM90" i="134"/>
  <c r="BN90" i="134"/>
  <c r="BO90" i="134"/>
  <c r="BP90" i="134"/>
  <c r="BQ90" i="134"/>
  <c r="BR90" i="134"/>
  <c r="BS90" i="134"/>
  <c r="BT90" i="134"/>
  <c r="BU90" i="134"/>
  <c r="BD48" i="134"/>
  <c r="BD127" i="134" s="1"/>
  <c r="BD132" i="134" s="1"/>
  <c r="BD49" i="134"/>
  <c r="BD46" i="134"/>
  <c r="BD45" i="134"/>
  <c r="BC129" i="134"/>
  <c r="BC125" i="134" s="1"/>
  <c r="BC50" i="134"/>
  <c r="BC137" i="134"/>
  <c r="BW28" i="134"/>
  <c r="BW29" i="134" s="1"/>
  <c r="BW53" i="134"/>
  <c r="BV21" i="134"/>
  <c r="BG32" i="134"/>
  <c r="BH27" i="134" s="1"/>
  <c r="BH31" i="134" s="1"/>
  <c r="BF124" i="134"/>
  <c r="BF134" i="134" s="1"/>
  <c r="BF44" i="134"/>
  <c r="BF47" i="134"/>
  <c r="BE137" i="134"/>
  <c r="BE129" i="134"/>
  <c r="BE125" i="134" s="1"/>
  <c r="BE50" i="134"/>
  <c r="BC127" i="134"/>
  <c r="BC132" i="134" s="1"/>
  <c r="BC134" i="134"/>
  <c r="BC128" i="134"/>
  <c r="AQ127" i="134"/>
  <c r="AQ132" i="134" s="1"/>
  <c r="AQ125" i="134"/>
  <c r="AQ134" i="134"/>
  <c r="AQ128" i="134"/>
  <c r="AE127" i="134"/>
  <c r="AE132" i="134" s="1"/>
  <c r="AE125" i="134"/>
  <c r="AE134" i="134"/>
  <c r="AE128" i="134"/>
  <c r="S127" i="134"/>
  <c r="S132" i="134" s="1"/>
  <c r="S125" i="134"/>
  <c r="S134" i="134"/>
  <c r="S128" i="134"/>
  <c r="G127" i="134"/>
  <c r="G132" i="134" s="1"/>
  <c r="G125" i="134"/>
  <c r="G134" i="134"/>
  <c r="G128" i="134"/>
  <c r="BW39" i="134"/>
  <c r="BW52" i="134"/>
  <c r="BW140" i="134" s="1"/>
  <c r="BW36" i="134"/>
  <c r="BW15" i="134"/>
  <c r="BW30" i="134"/>
  <c r="BW17" i="134"/>
  <c r="BW18" i="134" s="1"/>
  <c r="BW19" i="134"/>
  <c r="BW14" i="134"/>
  <c r="BW20" i="134" s="1"/>
  <c r="BX4" i="134"/>
  <c r="AP127" i="134"/>
  <c r="AP132" i="134" s="1"/>
  <c r="AP125" i="134"/>
  <c r="AP134" i="134"/>
  <c r="AP128" i="134"/>
  <c r="AD127" i="134"/>
  <c r="AD132" i="134" s="1"/>
  <c r="AD125" i="134"/>
  <c r="AD134" i="134"/>
  <c r="AD128" i="134"/>
  <c r="R127" i="134"/>
  <c r="R132" i="134" s="1"/>
  <c r="R125" i="134"/>
  <c r="R134" i="134"/>
  <c r="R128" i="134"/>
  <c r="F127" i="134"/>
  <c r="F125" i="134"/>
  <c r="F134" i="134"/>
  <c r="F128" i="134"/>
  <c r="BV16" i="134"/>
  <c r="BB127" i="134"/>
  <c r="BB132" i="134" s="1"/>
  <c r="BB125" i="134"/>
  <c r="BB134" i="134"/>
  <c r="BB128" i="134"/>
  <c r="BA127" i="134"/>
  <c r="BA132" i="134" s="1"/>
  <c r="BA125" i="134"/>
  <c r="BA134" i="134"/>
  <c r="BA128" i="134"/>
  <c r="AO127" i="134"/>
  <c r="AO132" i="134" s="1"/>
  <c r="AO125" i="134"/>
  <c r="AO134" i="134"/>
  <c r="AO128" i="134"/>
  <c r="AC127" i="134"/>
  <c r="AC132" i="134" s="1"/>
  <c r="AC125" i="134"/>
  <c r="AC134" i="134"/>
  <c r="AC128" i="134"/>
  <c r="Q127" i="134"/>
  <c r="Q132" i="134" s="1"/>
  <c r="Q125" i="134"/>
  <c r="Q134" i="134"/>
  <c r="Q128" i="134"/>
  <c r="E127" i="134"/>
  <c r="E131" i="134"/>
  <c r="E134" i="134"/>
  <c r="E128" i="134"/>
  <c r="AZ127" i="134"/>
  <c r="AZ132" i="134" s="1"/>
  <c r="AZ125" i="134"/>
  <c r="AZ134" i="134"/>
  <c r="AZ128" i="134"/>
  <c r="AN127" i="134"/>
  <c r="AN132" i="134" s="1"/>
  <c r="AN125" i="134"/>
  <c r="AN134" i="134"/>
  <c r="AN128" i="134"/>
  <c r="AB127" i="134"/>
  <c r="AB132" i="134" s="1"/>
  <c r="AB125" i="134"/>
  <c r="AB134" i="134"/>
  <c r="AB128" i="134"/>
  <c r="P127" i="134"/>
  <c r="P132" i="134" s="1"/>
  <c r="P125" i="134"/>
  <c r="P134" i="134"/>
  <c r="P128" i="134"/>
  <c r="AY127" i="134"/>
  <c r="AY132" i="134" s="1"/>
  <c r="AY125" i="134"/>
  <c r="AY134" i="134"/>
  <c r="AY128" i="134"/>
  <c r="AM127" i="134"/>
  <c r="AM132" i="134" s="1"/>
  <c r="AM125" i="134"/>
  <c r="AM134" i="134"/>
  <c r="AM128" i="134"/>
  <c r="AA127" i="134"/>
  <c r="AA132" i="134" s="1"/>
  <c r="AA125" i="134"/>
  <c r="AA134" i="134"/>
  <c r="AA128" i="134"/>
  <c r="O127" i="134"/>
  <c r="O132" i="134" s="1"/>
  <c r="O125" i="134"/>
  <c r="O134" i="134"/>
  <c r="O128" i="134"/>
  <c r="AX127" i="134"/>
  <c r="AX132" i="134" s="1"/>
  <c r="AX125" i="134"/>
  <c r="AX134" i="134"/>
  <c r="AX128" i="134"/>
  <c r="AL127" i="134"/>
  <c r="AL132" i="134" s="1"/>
  <c r="AL125" i="134"/>
  <c r="AL134" i="134"/>
  <c r="AL128" i="134"/>
  <c r="Z127" i="134"/>
  <c r="Z132" i="134" s="1"/>
  <c r="Z125" i="134"/>
  <c r="Z134" i="134"/>
  <c r="Z128" i="134"/>
  <c r="N127" i="134"/>
  <c r="N132" i="134" s="1"/>
  <c r="N125" i="134"/>
  <c r="N134" i="134"/>
  <c r="N128" i="134"/>
  <c r="AW127" i="134"/>
  <c r="AW132" i="134" s="1"/>
  <c r="AW125" i="134"/>
  <c r="AW134" i="134"/>
  <c r="AW128" i="134"/>
  <c r="AK127" i="134"/>
  <c r="AK132" i="134" s="1"/>
  <c r="AK125" i="134"/>
  <c r="AK134" i="134"/>
  <c r="AK128" i="134"/>
  <c r="Y127" i="134"/>
  <c r="Y132" i="134" s="1"/>
  <c r="Y125" i="134"/>
  <c r="Y134" i="134"/>
  <c r="Y128" i="134"/>
  <c r="M127" i="134"/>
  <c r="M132" i="134" s="1"/>
  <c r="M125" i="134"/>
  <c r="M134" i="134"/>
  <c r="M128" i="134"/>
  <c r="BV38" i="134"/>
  <c r="BV37" i="134"/>
  <c r="BV41" i="134"/>
  <c r="BV40" i="134"/>
  <c r="AV127" i="134"/>
  <c r="AV132" i="134" s="1"/>
  <c r="AV125" i="134"/>
  <c r="AV134" i="134"/>
  <c r="AV128" i="134"/>
  <c r="AJ127" i="134"/>
  <c r="AJ132" i="134" s="1"/>
  <c r="AJ125" i="134"/>
  <c r="AJ134" i="134"/>
  <c r="AJ128" i="134"/>
  <c r="X127" i="134"/>
  <c r="X132" i="134" s="1"/>
  <c r="X125" i="134"/>
  <c r="X134" i="134"/>
  <c r="X128" i="134"/>
  <c r="L127" i="134"/>
  <c r="L132" i="134" s="1"/>
  <c r="L125" i="134"/>
  <c r="L134" i="134"/>
  <c r="L128" i="134"/>
  <c r="AU127" i="134"/>
  <c r="AU132" i="134" s="1"/>
  <c r="AU125" i="134"/>
  <c r="AU134" i="134"/>
  <c r="AU128" i="134"/>
  <c r="AI127" i="134"/>
  <c r="AI132" i="134" s="1"/>
  <c r="AI125" i="134"/>
  <c r="AI134" i="134"/>
  <c r="AI128" i="134"/>
  <c r="W127" i="134"/>
  <c r="W132" i="134" s="1"/>
  <c r="W125" i="134"/>
  <c r="W134" i="134"/>
  <c r="W128" i="134"/>
  <c r="K127" i="134"/>
  <c r="K132" i="134" s="1"/>
  <c r="K125" i="134"/>
  <c r="K134" i="134"/>
  <c r="K128" i="134"/>
  <c r="AT127" i="134"/>
  <c r="AT132" i="134" s="1"/>
  <c r="AT125" i="134"/>
  <c r="AT134" i="134"/>
  <c r="AT128" i="134"/>
  <c r="AH127" i="134"/>
  <c r="AH132" i="134" s="1"/>
  <c r="AH125" i="134"/>
  <c r="AH134" i="134"/>
  <c r="AH128" i="134"/>
  <c r="V127" i="134"/>
  <c r="V132" i="134" s="1"/>
  <c r="V125" i="134"/>
  <c r="V134" i="134"/>
  <c r="V128" i="134"/>
  <c r="J127" i="134"/>
  <c r="J125" i="134"/>
  <c r="J134" i="134"/>
  <c r="J128" i="134"/>
  <c r="BV20" i="134"/>
  <c r="BE127" i="134"/>
  <c r="BE132" i="134" s="1"/>
  <c r="BE134" i="134"/>
  <c r="BE128" i="134"/>
  <c r="AS127" i="134"/>
  <c r="AS132" i="134" s="1"/>
  <c r="AS125" i="134"/>
  <c r="AS134" i="134"/>
  <c r="AS128" i="134"/>
  <c r="AG127" i="134"/>
  <c r="AG132" i="134" s="1"/>
  <c r="AG125" i="134"/>
  <c r="AG134" i="134"/>
  <c r="AG128" i="134"/>
  <c r="U127" i="134"/>
  <c r="U132" i="134" s="1"/>
  <c r="U125" i="134"/>
  <c r="U134" i="134"/>
  <c r="U128" i="134"/>
  <c r="I127" i="134"/>
  <c r="I132" i="134" s="1"/>
  <c r="I125" i="134"/>
  <c r="I134" i="134"/>
  <c r="I128" i="134"/>
  <c r="BD134" i="134"/>
  <c r="BD128" i="134"/>
  <c r="AR127" i="134"/>
  <c r="AR132" i="134" s="1"/>
  <c r="AR125" i="134"/>
  <c r="AR134" i="134"/>
  <c r="AR128" i="134"/>
  <c r="AF127" i="134"/>
  <c r="AF132" i="134" s="1"/>
  <c r="AF125" i="134"/>
  <c r="AF134" i="134"/>
  <c r="AF128" i="134"/>
  <c r="T127" i="134"/>
  <c r="T132" i="134" s="1"/>
  <c r="T125" i="134"/>
  <c r="T134" i="134"/>
  <c r="T128" i="134"/>
  <c r="H127" i="134"/>
  <c r="H132" i="134" s="1"/>
  <c r="H125" i="134"/>
  <c r="H134" i="134"/>
  <c r="H128" i="134"/>
  <c r="J141" i="134" l="1"/>
  <c r="J132" i="134"/>
  <c r="F141" i="134"/>
  <c r="F132" i="134"/>
  <c r="CH50" i="135"/>
  <c r="CH136" i="135"/>
  <c r="CH129" i="135"/>
  <c r="CH125" i="135" s="1"/>
  <c r="CH131" i="135" s="1"/>
  <c r="CH127" i="135"/>
  <c r="CH130" i="135" s="1"/>
  <c r="CJ44" i="135"/>
  <c r="CJ47" i="135"/>
  <c r="CJ119" i="135"/>
  <c r="CJ124" i="135" s="1"/>
  <c r="CK119" i="135"/>
  <c r="CL119" i="135"/>
  <c r="CM119" i="135"/>
  <c r="CN119" i="135"/>
  <c r="CO119" i="135"/>
  <c r="CP119" i="135"/>
  <c r="CQ119" i="135"/>
  <c r="CR119" i="135"/>
  <c r="CS119" i="135"/>
  <c r="CT119" i="135"/>
  <c r="CU119" i="135"/>
  <c r="CV119" i="135"/>
  <c r="CW119" i="135"/>
  <c r="CX119" i="135"/>
  <c r="CY119" i="135"/>
  <c r="CZ119" i="135"/>
  <c r="CJ32" i="135"/>
  <c r="CK27" i="135" s="1"/>
  <c r="CI133" i="135"/>
  <c r="CI49" i="135"/>
  <c r="CI48" i="135"/>
  <c r="CI127" i="135" s="1"/>
  <c r="CI45" i="135"/>
  <c r="CI128" i="135" s="1"/>
  <c r="CI46" i="135"/>
  <c r="CT139" i="134"/>
  <c r="BD135" i="134"/>
  <c r="BD136" i="134" s="1"/>
  <c r="BD141" i="134"/>
  <c r="BD138" i="134"/>
  <c r="BE135" i="134"/>
  <c r="BE136" i="134" s="1"/>
  <c r="BE141" i="134"/>
  <c r="BE138" i="134"/>
  <c r="AM135" i="134"/>
  <c r="AM136" i="134" s="1"/>
  <c r="AM141" i="134"/>
  <c r="AM138" i="134"/>
  <c r="AE135" i="134"/>
  <c r="AE136" i="134" s="1"/>
  <c r="AE141" i="134"/>
  <c r="AE138" i="134"/>
  <c r="N135" i="134"/>
  <c r="N136" i="134" s="1"/>
  <c r="N141" i="134"/>
  <c r="N138" i="134"/>
  <c r="F135" i="134"/>
  <c r="F136" i="134" s="1"/>
  <c r="F138" i="134"/>
  <c r="AP135" i="134"/>
  <c r="AP136" i="134" s="1"/>
  <c r="AP138" i="134"/>
  <c r="AP141" i="134"/>
  <c r="W135" i="134"/>
  <c r="W136" i="134" s="1"/>
  <c r="W141" i="134"/>
  <c r="W138" i="134"/>
  <c r="AQ135" i="134"/>
  <c r="AQ136" i="134" s="1"/>
  <c r="AQ141" i="134"/>
  <c r="AQ138" i="134"/>
  <c r="AG135" i="134"/>
  <c r="AG136" i="134" s="1"/>
  <c r="AG138" i="134"/>
  <c r="AG141" i="134"/>
  <c r="AI135" i="134"/>
  <c r="AI136" i="134" s="1"/>
  <c r="AI138" i="134"/>
  <c r="AI141" i="134"/>
  <c r="Z135" i="134"/>
  <c r="Z136" i="134" s="1"/>
  <c r="Z141" i="134"/>
  <c r="Z138" i="134"/>
  <c r="Q135" i="134"/>
  <c r="Q136" i="134" s="1"/>
  <c r="Q138" i="134"/>
  <c r="Q141" i="134"/>
  <c r="BA135" i="134"/>
  <c r="BA136" i="134" s="1"/>
  <c r="BA138" i="134"/>
  <c r="BA141" i="134"/>
  <c r="L135" i="134"/>
  <c r="L136" i="134" s="1"/>
  <c r="L141" i="134"/>
  <c r="L138" i="134"/>
  <c r="Y135" i="134"/>
  <c r="Y136" i="134" s="1"/>
  <c r="Y141" i="134"/>
  <c r="Y138" i="134"/>
  <c r="AR135" i="134"/>
  <c r="AR136" i="134" s="1"/>
  <c r="AR141" i="134"/>
  <c r="AR138" i="134"/>
  <c r="G135" i="134"/>
  <c r="G136" i="134" s="1"/>
  <c r="G141" i="134"/>
  <c r="G138" i="134"/>
  <c r="J135" i="134"/>
  <c r="J136" i="134" s="1"/>
  <c r="J138" i="134"/>
  <c r="AT135" i="134"/>
  <c r="AT136" i="134" s="1"/>
  <c r="AT141" i="134"/>
  <c r="AT138" i="134"/>
  <c r="X135" i="134"/>
  <c r="X136" i="134" s="1"/>
  <c r="X141" i="134"/>
  <c r="X138" i="134"/>
  <c r="AK135" i="134"/>
  <c r="AK136" i="134" s="1"/>
  <c r="AK141" i="134"/>
  <c r="AK138" i="134"/>
  <c r="O135" i="134"/>
  <c r="O136" i="134" s="1"/>
  <c r="O141" i="134"/>
  <c r="O138" i="134"/>
  <c r="AY135" i="134"/>
  <c r="AY136" i="134" s="1"/>
  <c r="AY141" i="134"/>
  <c r="AY138" i="134"/>
  <c r="AN135" i="134"/>
  <c r="AN136" i="134" s="1"/>
  <c r="AN138" i="134"/>
  <c r="AN141" i="134"/>
  <c r="T135" i="134"/>
  <c r="T136" i="134" s="1"/>
  <c r="T141" i="134"/>
  <c r="T138" i="134"/>
  <c r="R135" i="134"/>
  <c r="R136" i="134" s="1"/>
  <c r="R138" i="134"/>
  <c r="R141" i="134"/>
  <c r="AF135" i="134"/>
  <c r="AF136" i="134" s="1"/>
  <c r="AF141" i="134"/>
  <c r="AF138" i="134"/>
  <c r="U135" i="134"/>
  <c r="U136" i="134" s="1"/>
  <c r="U141" i="134"/>
  <c r="U138" i="134"/>
  <c r="AO135" i="134"/>
  <c r="AO136" i="134" s="1"/>
  <c r="AO138" i="134"/>
  <c r="AO141" i="134"/>
  <c r="S135" i="134"/>
  <c r="S136" i="134" s="1"/>
  <c r="S141" i="134"/>
  <c r="S138" i="134"/>
  <c r="AD135" i="134"/>
  <c r="AD136" i="134" s="1"/>
  <c r="AD138" i="134"/>
  <c r="AD141" i="134"/>
  <c r="AH135" i="134"/>
  <c r="AH136" i="134" s="1"/>
  <c r="AH141" i="134"/>
  <c r="AH138" i="134"/>
  <c r="AV135" i="134"/>
  <c r="AV136" i="134" s="1"/>
  <c r="AV141" i="134"/>
  <c r="AV138" i="134"/>
  <c r="AX135" i="134"/>
  <c r="AX136" i="134" s="1"/>
  <c r="AX141" i="134"/>
  <c r="AX138" i="134"/>
  <c r="AB135" i="134"/>
  <c r="AB136" i="134" s="1"/>
  <c r="AB138" i="134"/>
  <c r="AB141" i="134"/>
  <c r="H135" i="134"/>
  <c r="H136" i="134" s="1"/>
  <c r="H141" i="134"/>
  <c r="H138" i="134"/>
  <c r="BC135" i="134"/>
  <c r="BC136" i="134" s="1"/>
  <c r="BC141" i="134"/>
  <c r="BC138" i="134"/>
  <c r="I135" i="134"/>
  <c r="I136" i="134" s="1"/>
  <c r="I141" i="134"/>
  <c r="I138" i="134"/>
  <c r="AS135" i="134"/>
  <c r="AS136" i="134" s="1"/>
  <c r="AS141" i="134"/>
  <c r="AS138" i="134"/>
  <c r="V135" i="134"/>
  <c r="V136" i="134" s="1"/>
  <c r="V138" i="134"/>
  <c r="V141" i="134"/>
  <c r="K135" i="134"/>
  <c r="K136" i="134" s="1"/>
  <c r="K138" i="134"/>
  <c r="K141" i="134"/>
  <c r="AU135" i="134"/>
  <c r="AU136" i="134" s="1"/>
  <c r="AU138" i="134"/>
  <c r="AU141" i="134"/>
  <c r="AJ135" i="134"/>
  <c r="AJ136" i="134" s="1"/>
  <c r="AJ141" i="134"/>
  <c r="AJ138" i="134"/>
  <c r="M135" i="134"/>
  <c r="M136" i="134" s="1"/>
  <c r="M141" i="134"/>
  <c r="M138" i="134"/>
  <c r="AW135" i="134"/>
  <c r="AW136" i="134" s="1"/>
  <c r="AW141" i="134"/>
  <c r="AW138" i="134"/>
  <c r="AL135" i="134"/>
  <c r="AL136" i="134" s="1"/>
  <c r="AL141" i="134"/>
  <c r="AL138" i="134"/>
  <c r="AA135" i="134"/>
  <c r="AA136" i="134" s="1"/>
  <c r="AA141" i="134"/>
  <c r="AA138" i="134"/>
  <c r="P135" i="134"/>
  <c r="P136" i="134" s="1"/>
  <c r="P138" i="134"/>
  <c r="P141" i="134"/>
  <c r="AZ135" i="134"/>
  <c r="AZ136" i="134" s="1"/>
  <c r="AZ138" i="134"/>
  <c r="AZ141" i="134"/>
  <c r="AC135" i="134"/>
  <c r="AC136" i="134" s="1"/>
  <c r="AC138" i="134"/>
  <c r="AC141" i="134"/>
  <c r="BB135" i="134"/>
  <c r="BB136" i="134" s="1"/>
  <c r="BB138" i="134"/>
  <c r="BB141" i="134"/>
  <c r="BH91" i="134"/>
  <c r="BI91" i="134"/>
  <c r="BJ91" i="134"/>
  <c r="BK91" i="134"/>
  <c r="BL91" i="134"/>
  <c r="BM91" i="134"/>
  <c r="BN91" i="134"/>
  <c r="BO91" i="134"/>
  <c r="BP91" i="134"/>
  <c r="BQ91" i="134"/>
  <c r="BR91" i="134"/>
  <c r="BS91" i="134"/>
  <c r="BT91" i="134"/>
  <c r="BU91" i="134"/>
  <c r="BV91" i="134"/>
  <c r="BW91" i="134"/>
  <c r="BX56" i="134"/>
  <c r="BX59" i="134"/>
  <c r="BX62" i="134"/>
  <c r="BX55" i="134"/>
  <c r="BX58" i="134"/>
  <c r="BX61" i="134"/>
  <c r="BX63" i="134"/>
  <c r="BX66" i="134"/>
  <c r="BX67" i="134"/>
  <c r="BX64" i="134"/>
  <c r="BX60" i="134"/>
  <c r="BX65" i="134"/>
  <c r="BX69" i="134"/>
  <c r="BX72" i="134"/>
  <c r="BX57" i="134"/>
  <c r="BX73" i="134"/>
  <c r="BX70" i="134"/>
  <c r="BX71" i="134"/>
  <c r="BX68" i="134"/>
  <c r="BX75" i="134"/>
  <c r="BX78" i="134"/>
  <c r="BX74" i="134"/>
  <c r="BX77" i="134"/>
  <c r="BX80" i="134"/>
  <c r="BX83" i="134"/>
  <c r="BX85" i="134"/>
  <c r="BX88" i="134"/>
  <c r="BX91" i="134"/>
  <c r="BX81" i="134"/>
  <c r="BX86" i="134"/>
  <c r="BX82" i="134"/>
  <c r="BX79" i="134"/>
  <c r="BX76" i="134"/>
  <c r="BX84" i="134"/>
  <c r="BX87" i="134"/>
  <c r="BX89" i="134"/>
  <c r="BX90" i="134"/>
  <c r="BX108" i="134"/>
  <c r="BX111" i="134"/>
  <c r="BX114" i="134"/>
  <c r="BX54" i="134"/>
  <c r="BX110" i="134"/>
  <c r="BX112" i="134"/>
  <c r="BX115" i="134"/>
  <c r="BX109" i="134"/>
  <c r="BX113" i="134"/>
  <c r="BX116" i="134"/>
  <c r="BX119" i="134"/>
  <c r="BX122" i="134"/>
  <c r="BX120" i="134"/>
  <c r="BX117" i="134"/>
  <c r="BX121" i="134"/>
  <c r="BX118" i="134"/>
  <c r="BX123" i="134"/>
  <c r="BD50" i="134"/>
  <c r="BD137" i="134"/>
  <c r="BD129" i="134"/>
  <c r="BD125" i="134" s="1"/>
  <c r="BX28" i="134"/>
  <c r="BX29" i="134" s="1"/>
  <c r="BX53" i="134"/>
  <c r="BF49" i="134"/>
  <c r="BF48" i="134"/>
  <c r="BF45" i="134"/>
  <c r="BF128" i="134" s="1"/>
  <c r="BF46" i="134"/>
  <c r="BG124" i="134"/>
  <c r="BG47" i="134"/>
  <c r="BG44" i="134"/>
  <c r="F131" i="134"/>
  <c r="G131" i="134" s="1"/>
  <c r="H131" i="134" s="1"/>
  <c r="I131" i="134" s="1"/>
  <c r="J131" i="134" s="1"/>
  <c r="K131" i="134" s="1"/>
  <c r="L131" i="134" s="1"/>
  <c r="M131" i="134" s="1"/>
  <c r="N131" i="134" s="1"/>
  <c r="O131" i="134" s="1"/>
  <c r="P131" i="134" s="1"/>
  <c r="Q131" i="134" s="1"/>
  <c r="R131" i="134" s="1"/>
  <c r="S131" i="134" s="1"/>
  <c r="T131" i="134" s="1"/>
  <c r="U131" i="134" s="1"/>
  <c r="V131" i="134" s="1"/>
  <c r="W131" i="134" s="1"/>
  <c r="X131" i="134" s="1"/>
  <c r="Y131" i="134" s="1"/>
  <c r="Z131" i="134" s="1"/>
  <c r="AA131" i="134" s="1"/>
  <c r="AB131" i="134" s="1"/>
  <c r="AC131" i="134" s="1"/>
  <c r="AD131" i="134" s="1"/>
  <c r="AE131" i="134" s="1"/>
  <c r="AF131" i="134" s="1"/>
  <c r="AG131" i="134" s="1"/>
  <c r="AH131" i="134" s="1"/>
  <c r="AI131" i="134" s="1"/>
  <c r="AJ131" i="134" s="1"/>
  <c r="AK131" i="134" s="1"/>
  <c r="AL131" i="134" s="1"/>
  <c r="AM131" i="134" s="1"/>
  <c r="AN131" i="134" s="1"/>
  <c r="AO131" i="134" s="1"/>
  <c r="AP131" i="134" s="1"/>
  <c r="AQ131" i="134" s="1"/>
  <c r="AR131" i="134" s="1"/>
  <c r="AS131" i="134" s="1"/>
  <c r="AT131" i="134" s="1"/>
  <c r="AU131" i="134" s="1"/>
  <c r="AV131" i="134" s="1"/>
  <c r="AW131" i="134" s="1"/>
  <c r="AX131" i="134" s="1"/>
  <c r="AY131" i="134" s="1"/>
  <c r="AZ131" i="134" s="1"/>
  <c r="BA131" i="134" s="1"/>
  <c r="BB131" i="134" s="1"/>
  <c r="BC131" i="134" s="1"/>
  <c r="BW41" i="134"/>
  <c r="BW40" i="134"/>
  <c r="E130" i="134"/>
  <c r="F130" i="134" s="1"/>
  <c r="G130" i="134" s="1"/>
  <c r="H130" i="134" s="1"/>
  <c r="I130" i="134" s="1"/>
  <c r="J130" i="134" s="1"/>
  <c r="K130" i="134" s="1"/>
  <c r="L130" i="134" s="1"/>
  <c r="M130" i="134" s="1"/>
  <c r="N130" i="134" s="1"/>
  <c r="O130" i="134" s="1"/>
  <c r="P130" i="134" s="1"/>
  <c r="Q130" i="134" s="1"/>
  <c r="R130" i="134" s="1"/>
  <c r="S130" i="134" s="1"/>
  <c r="T130" i="134" s="1"/>
  <c r="U130" i="134" s="1"/>
  <c r="V130" i="134" s="1"/>
  <c r="W130" i="134" s="1"/>
  <c r="X130" i="134" s="1"/>
  <c r="Y130" i="134" s="1"/>
  <c r="Z130" i="134" s="1"/>
  <c r="AA130" i="134" s="1"/>
  <c r="AB130" i="134" s="1"/>
  <c r="AC130" i="134" s="1"/>
  <c r="AD130" i="134" s="1"/>
  <c r="AE130" i="134" s="1"/>
  <c r="AF130" i="134" s="1"/>
  <c r="AG130" i="134" s="1"/>
  <c r="AH130" i="134" s="1"/>
  <c r="AI130" i="134" s="1"/>
  <c r="AJ130" i="134" s="1"/>
  <c r="AK130" i="134" s="1"/>
  <c r="AL130" i="134" s="1"/>
  <c r="AM130" i="134" s="1"/>
  <c r="AN130" i="134" s="1"/>
  <c r="AO130" i="134" s="1"/>
  <c r="AP130" i="134" s="1"/>
  <c r="AQ130" i="134" s="1"/>
  <c r="AR130" i="134" s="1"/>
  <c r="AS130" i="134" s="1"/>
  <c r="AT130" i="134" s="1"/>
  <c r="AU130" i="134" s="1"/>
  <c r="AV130" i="134" s="1"/>
  <c r="AW130" i="134" s="1"/>
  <c r="AX130" i="134" s="1"/>
  <c r="AY130" i="134" s="1"/>
  <c r="AZ130" i="134" s="1"/>
  <c r="BA130" i="134" s="1"/>
  <c r="BB130" i="134" s="1"/>
  <c r="BC130" i="134" s="1"/>
  <c r="BD130" i="134" s="1"/>
  <c r="BE130" i="134" s="1"/>
  <c r="E135" i="134"/>
  <c r="E136" i="134" s="1"/>
  <c r="BW21" i="134"/>
  <c r="BW16" i="134"/>
  <c r="BW38" i="134"/>
  <c r="BW37" i="134"/>
  <c r="BX39" i="134"/>
  <c r="BX36" i="134"/>
  <c r="BX52" i="134"/>
  <c r="BX140" i="134" s="1"/>
  <c r="BX19" i="134"/>
  <c r="BX30" i="134"/>
  <c r="BX17" i="134"/>
  <c r="BX18" i="134" s="1"/>
  <c r="BY4" i="134"/>
  <c r="BX15" i="134"/>
  <c r="BX14" i="134"/>
  <c r="CK31" i="135" l="1"/>
  <c r="CJ133" i="135"/>
  <c r="CI50" i="135"/>
  <c r="CI129" i="135"/>
  <c r="CI125" i="135" s="1"/>
  <c r="CI131" i="135" s="1"/>
  <c r="CI136" i="135"/>
  <c r="CJ49" i="135"/>
  <c r="CJ48" i="135"/>
  <c r="CJ46" i="135"/>
  <c r="CJ45" i="135"/>
  <c r="CJ128" i="135" s="1"/>
  <c r="CH142" i="135"/>
  <c r="CH137" i="135"/>
  <c r="CH134" i="135"/>
  <c r="CH135" i="135" s="1"/>
  <c r="CI142" i="135"/>
  <c r="CI137" i="135"/>
  <c r="CI134" i="135"/>
  <c r="CI135" i="135" s="1"/>
  <c r="CI130" i="135"/>
  <c r="CU139" i="134"/>
  <c r="BY55" i="134"/>
  <c r="BY56" i="134"/>
  <c r="BY57" i="134"/>
  <c r="BY60" i="134"/>
  <c r="BY58" i="134"/>
  <c r="BY59" i="134"/>
  <c r="BY67" i="134"/>
  <c r="BY64" i="134"/>
  <c r="BY61" i="134"/>
  <c r="BY63" i="134"/>
  <c r="BY66" i="134"/>
  <c r="BY65" i="134"/>
  <c r="BY69" i="134"/>
  <c r="BY70" i="134"/>
  <c r="BY71" i="134"/>
  <c r="BY62" i="134"/>
  <c r="BY68" i="134"/>
  <c r="BY72" i="134"/>
  <c r="BY76" i="134"/>
  <c r="BY81" i="134"/>
  <c r="BY73" i="134"/>
  <c r="BY74" i="134"/>
  <c r="BY75" i="134"/>
  <c r="BY77" i="134"/>
  <c r="BY78" i="134"/>
  <c r="BY80" i="134"/>
  <c r="BY83" i="134"/>
  <c r="BY85" i="134"/>
  <c r="BY86" i="134"/>
  <c r="BY82" i="134"/>
  <c r="BY79" i="134"/>
  <c r="BY88" i="134"/>
  <c r="BY89" i="134"/>
  <c r="BY84" i="134"/>
  <c r="BY90" i="134"/>
  <c r="BY87" i="134"/>
  <c r="BY91" i="134"/>
  <c r="BY114" i="134"/>
  <c r="BY111" i="134"/>
  <c r="BY110" i="134"/>
  <c r="BY112" i="134"/>
  <c r="BY115" i="134"/>
  <c r="BY116" i="134"/>
  <c r="BY109" i="134"/>
  <c r="BY113" i="134"/>
  <c r="BY123" i="134"/>
  <c r="BY54" i="134"/>
  <c r="BY120" i="134"/>
  <c r="BY117" i="134"/>
  <c r="BY121" i="134"/>
  <c r="BY122" i="134"/>
  <c r="BY118" i="134"/>
  <c r="BY119" i="134"/>
  <c r="BD131" i="134"/>
  <c r="BE131" i="134" s="1"/>
  <c r="BX16" i="134"/>
  <c r="BY28" i="134"/>
  <c r="BY29" i="134" s="1"/>
  <c r="BY53" i="134"/>
  <c r="BX21" i="134"/>
  <c r="BG134" i="134"/>
  <c r="BH124" i="134"/>
  <c r="BH47" i="134"/>
  <c r="BH44" i="134"/>
  <c r="BH32" i="134"/>
  <c r="BI27" i="134" s="1"/>
  <c r="BI31" i="134" s="1"/>
  <c r="BY92" i="134" s="1"/>
  <c r="BG45" i="134"/>
  <c r="BG128" i="134" s="1"/>
  <c r="BG46" i="134"/>
  <c r="BF129" i="134"/>
  <c r="BF125" i="134" s="1"/>
  <c r="BF137" i="134"/>
  <c r="BF50" i="134"/>
  <c r="BF127" i="134"/>
  <c r="BF132" i="134" s="1"/>
  <c r="BG49" i="134"/>
  <c r="BG48" i="134"/>
  <c r="BY52" i="134"/>
  <c r="BY140" i="134" s="1"/>
  <c r="BY39" i="134"/>
  <c r="BY36" i="134"/>
  <c r="BY30" i="134"/>
  <c r="BZ4" i="134"/>
  <c r="BY15" i="134"/>
  <c r="BY14" i="134"/>
  <c r="BY19" i="134"/>
  <c r="BY17" i="134"/>
  <c r="BY18" i="134" s="1"/>
  <c r="BX38" i="134"/>
  <c r="BX37" i="134"/>
  <c r="BX41" i="134"/>
  <c r="BX40" i="134"/>
  <c r="BX20" i="134"/>
  <c r="CJ50" i="135" l="1"/>
  <c r="CJ136" i="135"/>
  <c r="CJ129" i="135"/>
  <c r="CJ125" i="135" s="1"/>
  <c r="CJ131" i="135" s="1"/>
  <c r="CJ127" i="135"/>
  <c r="CJ130" i="135" s="1"/>
  <c r="CK47" i="135"/>
  <c r="CK44" i="135"/>
  <c r="CK120" i="135"/>
  <c r="CK124" i="135" s="1"/>
  <c r="CL120" i="135"/>
  <c r="CM120" i="135"/>
  <c r="CN120" i="135"/>
  <c r="CO120" i="135"/>
  <c r="CP120" i="135"/>
  <c r="CQ120" i="135"/>
  <c r="CR120" i="135"/>
  <c r="CS120" i="135"/>
  <c r="CT120" i="135"/>
  <c r="CU120" i="135"/>
  <c r="CV120" i="135"/>
  <c r="CW120" i="135"/>
  <c r="CX120" i="135"/>
  <c r="CY120" i="135"/>
  <c r="CZ120" i="135"/>
  <c r="CK32" i="135"/>
  <c r="CL27" i="135" s="1"/>
  <c r="CV139" i="134"/>
  <c r="BF135" i="134"/>
  <c r="BF136" i="134" s="1"/>
  <c r="BF141" i="134"/>
  <c r="BF138" i="134"/>
  <c r="BF131" i="134"/>
  <c r="BI92" i="134"/>
  <c r="BJ92" i="134"/>
  <c r="BK92" i="134"/>
  <c r="BL92" i="134"/>
  <c r="BM92" i="134"/>
  <c r="BN92" i="134"/>
  <c r="BO92" i="134"/>
  <c r="BP92" i="134"/>
  <c r="BQ92" i="134"/>
  <c r="BR92" i="134"/>
  <c r="BS92" i="134"/>
  <c r="BT92" i="134"/>
  <c r="BU92" i="134"/>
  <c r="BV92" i="134"/>
  <c r="BW92" i="134"/>
  <c r="BX92" i="134"/>
  <c r="BZ55" i="134"/>
  <c r="BZ57" i="134"/>
  <c r="BZ60" i="134"/>
  <c r="BZ62" i="134"/>
  <c r="BZ56" i="134"/>
  <c r="BZ58" i="134"/>
  <c r="BZ59" i="134"/>
  <c r="BZ61" i="134"/>
  <c r="BZ67" i="134"/>
  <c r="BZ70" i="134"/>
  <c r="BZ64" i="134"/>
  <c r="BZ63" i="134"/>
  <c r="BZ66" i="134"/>
  <c r="BZ65" i="134"/>
  <c r="BZ69" i="134"/>
  <c r="BZ73" i="134"/>
  <c r="BZ76" i="134"/>
  <c r="BZ71" i="134"/>
  <c r="BZ74" i="134"/>
  <c r="BZ68" i="134"/>
  <c r="BZ72" i="134"/>
  <c r="BZ75" i="134"/>
  <c r="BZ84" i="134"/>
  <c r="BZ87" i="134"/>
  <c r="BZ78" i="134"/>
  <c r="BZ80" i="134"/>
  <c r="BZ83" i="134"/>
  <c r="BZ85" i="134"/>
  <c r="BZ88" i="134"/>
  <c r="BZ91" i="134"/>
  <c r="BZ77" i="134"/>
  <c r="BZ81" i="134"/>
  <c r="BZ86" i="134"/>
  <c r="BZ82" i="134"/>
  <c r="BZ92" i="134"/>
  <c r="BZ89" i="134"/>
  <c r="BZ90" i="134"/>
  <c r="BZ79" i="134"/>
  <c r="BZ114" i="134"/>
  <c r="BZ117" i="134"/>
  <c r="BZ120" i="134"/>
  <c r="BZ123" i="134"/>
  <c r="BZ111" i="134"/>
  <c r="BZ110" i="134"/>
  <c r="BZ112" i="134"/>
  <c r="BZ115" i="134"/>
  <c r="BZ119" i="134"/>
  <c r="BZ54" i="134"/>
  <c r="BZ116" i="134"/>
  <c r="BZ113" i="134"/>
  <c r="BZ121" i="134"/>
  <c r="BZ122" i="134"/>
  <c r="BZ118" i="134"/>
  <c r="BY21" i="134"/>
  <c r="BZ28" i="134"/>
  <c r="BZ29" i="134" s="1"/>
  <c r="BZ53" i="134"/>
  <c r="BF130" i="134"/>
  <c r="BG50" i="134"/>
  <c r="BG137" i="134"/>
  <c r="BG129" i="134"/>
  <c r="BG125" i="134" s="1"/>
  <c r="BG131" i="134" s="1"/>
  <c r="BH45" i="134"/>
  <c r="BH128" i="134" s="1"/>
  <c r="BH46" i="134"/>
  <c r="BH49" i="134"/>
  <c r="BH48" i="134"/>
  <c r="BH127" i="134" s="1"/>
  <c r="BH132" i="134" s="1"/>
  <c r="BG127" i="134"/>
  <c r="BG132" i="134" s="1"/>
  <c r="BH134" i="134"/>
  <c r="BY20" i="134"/>
  <c r="BY16" i="134"/>
  <c r="BZ52" i="134"/>
  <c r="BZ140" i="134" s="1"/>
  <c r="BZ39" i="134"/>
  <c r="BZ36" i="134"/>
  <c r="BZ30" i="134"/>
  <c r="BZ14" i="134"/>
  <c r="BZ15" i="134"/>
  <c r="BZ16" i="134" s="1"/>
  <c r="BZ19" i="134"/>
  <c r="BZ21" i="134" s="1"/>
  <c r="BZ17" i="134"/>
  <c r="BZ18" i="134" s="1"/>
  <c r="CA4" i="134"/>
  <c r="BY37" i="134"/>
  <c r="BY38" i="134"/>
  <c r="BY41" i="134"/>
  <c r="BY40" i="134"/>
  <c r="CK133" i="135" l="1"/>
  <c r="CK45" i="135"/>
  <c r="CK128" i="135" s="1"/>
  <c r="CK46" i="135"/>
  <c r="CK48" i="135"/>
  <c r="CK49" i="135"/>
  <c r="CJ142" i="135"/>
  <c r="CJ134" i="135"/>
  <c r="CJ135" i="135" s="1"/>
  <c r="CJ137" i="135"/>
  <c r="CL31" i="135"/>
  <c r="CW139" i="134"/>
  <c r="BH135" i="134"/>
  <c r="BH136" i="134" s="1"/>
  <c r="BH141" i="134"/>
  <c r="BH138" i="134"/>
  <c r="BG135" i="134"/>
  <c r="BG136" i="134" s="1"/>
  <c r="BG138" i="134"/>
  <c r="BG141" i="134"/>
  <c r="CA55" i="134"/>
  <c r="CA56" i="134"/>
  <c r="CA57" i="134"/>
  <c r="CA60" i="134"/>
  <c r="CA58" i="134"/>
  <c r="CA59" i="134"/>
  <c r="CA64" i="134"/>
  <c r="CA65" i="134"/>
  <c r="CA61" i="134"/>
  <c r="CA62" i="134"/>
  <c r="CA67" i="134"/>
  <c r="CA70" i="134"/>
  <c r="CA63" i="134"/>
  <c r="CA66" i="134"/>
  <c r="CA68" i="134"/>
  <c r="CA72" i="134"/>
  <c r="CA69" i="134"/>
  <c r="CA71" i="134"/>
  <c r="CA74" i="134"/>
  <c r="CA77" i="134"/>
  <c r="CA76" i="134"/>
  <c r="CA81" i="134"/>
  <c r="CA73" i="134"/>
  <c r="CA78" i="134"/>
  <c r="CA75" i="134"/>
  <c r="CA79" i="134"/>
  <c r="CA84" i="134"/>
  <c r="CA87" i="134"/>
  <c r="CA80" i="134"/>
  <c r="CA83" i="134"/>
  <c r="CA85" i="134"/>
  <c r="CA86" i="134"/>
  <c r="CA89" i="134"/>
  <c r="CA92" i="134"/>
  <c r="CA82" i="134"/>
  <c r="CA88" i="134"/>
  <c r="CA90" i="134"/>
  <c r="CA91" i="134"/>
  <c r="CA113" i="134"/>
  <c r="CA116" i="134"/>
  <c r="CA114" i="134"/>
  <c r="CA111" i="134"/>
  <c r="CA112" i="134"/>
  <c r="CA115" i="134"/>
  <c r="CA118" i="134"/>
  <c r="CA121" i="134"/>
  <c r="CA119" i="134"/>
  <c r="CA123" i="134"/>
  <c r="CA54" i="134"/>
  <c r="CA120" i="134"/>
  <c r="CA117" i="134"/>
  <c r="CA122" i="134"/>
  <c r="CA28" i="134"/>
  <c r="CA29" i="134" s="1"/>
  <c r="CA53" i="134"/>
  <c r="BH50" i="134"/>
  <c r="BH137" i="134"/>
  <c r="BH129" i="134"/>
  <c r="BH125" i="134" s="1"/>
  <c r="BH131" i="134" s="1"/>
  <c r="BG130" i="134"/>
  <c r="BH130" i="134" s="1"/>
  <c r="BI124" i="134"/>
  <c r="BI47" i="134"/>
  <c r="BI44" i="134"/>
  <c r="BI32" i="134"/>
  <c r="BJ27" i="134" s="1"/>
  <c r="BJ31" i="134" s="1"/>
  <c r="BZ40" i="134"/>
  <c r="BZ41" i="134"/>
  <c r="CA52" i="134"/>
  <c r="CA140" i="134" s="1"/>
  <c r="CA36" i="134"/>
  <c r="CA39" i="134"/>
  <c r="CA30" i="134"/>
  <c r="CA17" i="134"/>
  <c r="CA18" i="134" s="1"/>
  <c r="CB4" i="134"/>
  <c r="CA15" i="134"/>
  <c r="CA19" i="134"/>
  <c r="CA14" i="134"/>
  <c r="BZ20" i="134"/>
  <c r="BZ38" i="134"/>
  <c r="BZ37" i="134"/>
  <c r="CK50" i="135" l="1"/>
  <c r="CK136" i="135"/>
  <c r="CK129" i="135"/>
  <c r="CK125" i="135" s="1"/>
  <c r="CK131" i="135" s="1"/>
  <c r="CL47" i="135"/>
  <c r="CL44" i="135"/>
  <c r="CL121" i="135"/>
  <c r="CL124" i="135" s="1"/>
  <c r="CM121" i="135"/>
  <c r="CN121" i="135"/>
  <c r="CO121" i="135"/>
  <c r="CP121" i="135"/>
  <c r="CQ121" i="135"/>
  <c r="CR121" i="135"/>
  <c r="CS121" i="135"/>
  <c r="CT121" i="135"/>
  <c r="CU121" i="135"/>
  <c r="CV121" i="135"/>
  <c r="CW121" i="135"/>
  <c r="CX121" i="135"/>
  <c r="CY121" i="135"/>
  <c r="CZ121" i="135"/>
  <c r="CK127" i="135"/>
  <c r="CL32" i="135"/>
  <c r="CM27" i="135" s="1"/>
  <c r="CX139" i="134"/>
  <c r="BJ93" i="134"/>
  <c r="BK93" i="134"/>
  <c r="BL93" i="134"/>
  <c r="BM93" i="134"/>
  <c r="BN93" i="134"/>
  <c r="BO93" i="134"/>
  <c r="BP93" i="134"/>
  <c r="BQ93" i="134"/>
  <c r="BR93" i="134"/>
  <c r="BS93" i="134"/>
  <c r="BT93" i="134"/>
  <c r="BU93" i="134"/>
  <c r="BV93" i="134"/>
  <c r="BW93" i="134"/>
  <c r="BX93" i="134"/>
  <c r="BY93" i="134"/>
  <c r="BZ93" i="134"/>
  <c r="CA93" i="134"/>
  <c r="CA16" i="134"/>
  <c r="CB55" i="134"/>
  <c r="CB58" i="134"/>
  <c r="CB61" i="134"/>
  <c r="CB64" i="134"/>
  <c r="CB57" i="134"/>
  <c r="CB60" i="134"/>
  <c r="CB56" i="134"/>
  <c r="CB59" i="134"/>
  <c r="CB65" i="134"/>
  <c r="CB62" i="134"/>
  <c r="CB68" i="134"/>
  <c r="CB71" i="134"/>
  <c r="CB63" i="134"/>
  <c r="CB72" i="134"/>
  <c r="CB69" i="134"/>
  <c r="CB70" i="134"/>
  <c r="CB67" i="134"/>
  <c r="CB74" i="134"/>
  <c r="CB77" i="134"/>
  <c r="CB66" i="134"/>
  <c r="CB76" i="134"/>
  <c r="CB73" i="134"/>
  <c r="CB79" i="134"/>
  <c r="CB82" i="134"/>
  <c r="CB84" i="134"/>
  <c r="CB87" i="134"/>
  <c r="CB90" i="134"/>
  <c r="CB93" i="134"/>
  <c r="CB78" i="134"/>
  <c r="CB75" i="134"/>
  <c r="CB80" i="134"/>
  <c r="CB83" i="134"/>
  <c r="CB81" i="134"/>
  <c r="CB85" i="134"/>
  <c r="CB86" i="134"/>
  <c r="CB91" i="134"/>
  <c r="CB92" i="134"/>
  <c r="CB88" i="134"/>
  <c r="CB89" i="134"/>
  <c r="CB113" i="134"/>
  <c r="CB116" i="134"/>
  <c r="CB114" i="134"/>
  <c r="CB112" i="134"/>
  <c r="CB115" i="134"/>
  <c r="CB118" i="134"/>
  <c r="CB121" i="134"/>
  <c r="CB119" i="134"/>
  <c r="CB123" i="134"/>
  <c r="CB54" i="134"/>
  <c r="CB120" i="134"/>
  <c r="CB117" i="134"/>
  <c r="CB122" i="134"/>
  <c r="CB28" i="134"/>
  <c r="CB29" i="134" s="1"/>
  <c r="CB53" i="134"/>
  <c r="CA21" i="134"/>
  <c r="BI134" i="134"/>
  <c r="BI48" i="134"/>
  <c r="BI49" i="134"/>
  <c r="BJ32" i="134"/>
  <c r="BK27" i="134" s="1"/>
  <c r="BK31" i="134" s="1"/>
  <c r="BI46" i="134"/>
  <c r="BI45" i="134"/>
  <c r="BI128" i="134" s="1"/>
  <c r="CB52" i="134"/>
  <c r="CB140" i="134" s="1"/>
  <c r="CB30" i="134"/>
  <c r="CB36" i="134"/>
  <c r="CB15" i="134"/>
  <c r="CB19" i="134"/>
  <c r="CB14" i="134"/>
  <c r="CB39" i="134"/>
  <c r="CB17" i="134"/>
  <c r="CB18" i="134" s="1"/>
  <c r="CC4" i="134"/>
  <c r="CA40" i="134"/>
  <c r="CA41" i="134"/>
  <c r="CA37" i="134"/>
  <c r="CA38" i="134"/>
  <c r="CA20" i="134"/>
  <c r="CM31" i="135" l="1"/>
  <c r="CK137" i="135"/>
  <c r="CK142" i="135"/>
  <c r="CK134" i="135"/>
  <c r="CK135" i="135" s="1"/>
  <c r="CK130" i="135"/>
  <c r="CL133" i="135"/>
  <c r="CL46" i="135"/>
  <c r="CL45" i="135"/>
  <c r="CL128" i="135" s="1"/>
  <c r="CL49" i="135"/>
  <c r="CL48" i="135"/>
  <c r="CL127" i="135" s="1"/>
  <c r="CY139" i="134"/>
  <c r="CC55" i="134"/>
  <c r="CC58" i="134"/>
  <c r="CC57" i="134"/>
  <c r="CC60" i="134"/>
  <c r="CC56" i="134"/>
  <c r="CC59" i="134"/>
  <c r="CC64" i="134"/>
  <c r="CC62" i="134"/>
  <c r="CC67" i="134"/>
  <c r="CC61" i="134"/>
  <c r="CC66" i="134"/>
  <c r="CC68" i="134"/>
  <c r="CC72" i="134"/>
  <c r="CC63" i="134"/>
  <c r="CC65" i="134"/>
  <c r="CC69" i="134"/>
  <c r="CC70" i="134"/>
  <c r="CC73" i="134"/>
  <c r="CC71" i="134"/>
  <c r="CC75" i="134"/>
  <c r="CC80" i="134"/>
  <c r="CC83" i="134"/>
  <c r="CC76" i="134"/>
  <c r="CC74" i="134"/>
  <c r="CC82" i="134"/>
  <c r="CC79" i="134"/>
  <c r="CC84" i="134"/>
  <c r="CC87" i="134"/>
  <c r="CC78" i="134"/>
  <c r="CC77" i="134"/>
  <c r="CC81" i="134"/>
  <c r="CC85" i="134"/>
  <c r="CC88" i="134"/>
  <c r="CC86" i="134"/>
  <c r="CC91" i="134"/>
  <c r="CC92" i="134"/>
  <c r="CC89" i="134"/>
  <c r="CC93" i="134"/>
  <c r="CC90" i="134"/>
  <c r="CC94" i="134"/>
  <c r="CC113" i="134"/>
  <c r="CC116" i="134"/>
  <c r="CC114" i="134"/>
  <c r="CC54" i="134"/>
  <c r="CC115" i="134"/>
  <c r="CC122" i="134"/>
  <c r="CC119" i="134"/>
  <c r="CC123" i="134"/>
  <c r="CC120" i="134"/>
  <c r="CC121" i="134"/>
  <c r="CC118" i="134"/>
  <c r="CC117" i="134"/>
  <c r="BK94" i="134"/>
  <c r="BL94" i="134"/>
  <c r="BM94" i="134"/>
  <c r="BN94" i="134"/>
  <c r="BO94" i="134"/>
  <c r="BP94" i="134"/>
  <c r="BQ94" i="134"/>
  <c r="BR94" i="134"/>
  <c r="BS94" i="134"/>
  <c r="BT94" i="134"/>
  <c r="BU94" i="134"/>
  <c r="BV94" i="134"/>
  <c r="BW94" i="134"/>
  <c r="BX94" i="134"/>
  <c r="BY94" i="134"/>
  <c r="BZ94" i="134"/>
  <c r="CA94" i="134"/>
  <c r="CB16" i="134"/>
  <c r="CB94" i="134"/>
  <c r="CC28" i="134"/>
  <c r="CC53" i="134"/>
  <c r="CB20" i="134"/>
  <c r="BI50" i="134"/>
  <c r="BI129" i="134"/>
  <c r="BI125" i="134" s="1"/>
  <c r="BI131" i="134" s="1"/>
  <c r="BI137" i="134"/>
  <c r="BJ124" i="134"/>
  <c r="BJ44" i="134"/>
  <c r="BJ47" i="134"/>
  <c r="BI127" i="134"/>
  <c r="BI132" i="134" s="1"/>
  <c r="CC39" i="134"/>
  <c r="CC52" i="134"/>
  <c r="CC140" i="134" s="1"/>
  <c r="CC36" i="134"/>
  <c r="CC29" i="134"/>
  <c r="CC30" i="134"/>
  <c r="CC19" i="134"/>
  <c r="CC15" i="134"/>
  <c r="CC14" i="134"/>
  <c r="CC17" i="134"/>
  <c r="CD4" i="134"/>
  <c r="CB41" i="134"/>
  <c r="CB40" i="134"/>
  <c r="CB21" i="134"/>
  <c r="CB38" i="134"/>
  <c r="CB37" i="134"/>
  <c r="CL142" i="135" l="1"/>
  <c r="CL137" i="135"/>
  <c r="CL134" i="135"/>
  <c r="CL135" i="135" s="1"/>
  <c r="CL130" i="135"/>
  <c r="CM44" i="135"/>
  <c r="CM47" i="135"/>
  <c r="CM122" i="135"/>
  <c r="CM124" i="135" s="1"/>
  <c r="CN122" i="135"/>
  <c r="CO122" i="135"/>
  <c r="CP122" i="135"/>
  <c r="CQ122" i="135"/>
  <c r="CR122" i="135"/>
  <c r="CS122" i="135"/>
  <c r="CT122" i="135"/>
  <c r="CU122" i="135"/>
  <c r="CV122" i="135"/>
  <c r="CW122" i="135"/>
  <c r="CX122" i="135"/>
  <c r="CY122" i="135"/>
  <c r="CZ122" i="135"/>
  <c r="CL50" i="135"/>
  <c r="CL136" i="135"/>
  <c r="CL129" i="135"/>
  <c r="CL125" i="135" s="1"/>
  <c r="CL131" i="135" s="1"/>
  <c r="CM32" i="135"/>
  <c r="CN27" i="135" s="1"/>
  <c r="CZ139" i="134"/>
  <c r="BI141" i="134"/>
  <c r="BI138" i="134"/>
  <c r="CC20" i="134"/>
  <c r="CD61" i="134"/>
  <c r="CD55" i="134"/>
  <c r="CD63" i="134"/>
  <c r="CD57" i="134"/>
  <c r="CD60" i="134"/>
  <c r="CD58" i="134"/>
  <c r="CD56" i="134"/>
  <c r="CD59" i="134"/>
  <c r="CD65" i="134"/>
  <c r="CD66" i="134"/>
  <c r="CD62" i="134"/>
  <c r="CD69" i="134"/>
  <c r="CD72" i="134"/>
  <c r="CD64" i="134"/>
  <c r="CD68" i="134"/>
  <c r="CD75" i="134"/>
  <c r="CD67" i="134"/>
  <c r="CD70" i="134"/>
  <c r="CD77" i="134"/>
  <c r="CD78" i="134"/>
  <c r="CD71" i="134"/>
  <c r="CD76" i="134"/>
  <c r="CD73" i="134"/>
  <c r="CD74" i="134"/>
  <c r="CD86" i="134"/>
  <c r="CD82" i="134"/>
  <c r="CD79" i="134"/>
  <c r="CD84" i="134"/>
  <c r="CD87" i="134"/>
  <c r="CD90" i="134"/>
  <c r="CD93" i="134"/>
  <c r="CD80" i="134"/>
  <c r="CD83" i="134"/>
  <c r="CD81" i="134"/>
  <c r="CD85" i="134"/>
  <c r="CD91" i="134"/>
  <c r="CD92" i="134"/>
  <c r="CD88" i="134"/>
  <c r="CD89" i="134"/>
  <c r="CD94" i="134"/>
  <c r="CD116" i="134"/>
  <c r="CD119" i="134"/>
  <c r="CD122" i="134"/>
  <c r="CD114" i="134"/>
  <c r="CD54" i="134"/>
  <c r="CD118" i="134"/>
  <c r="CD123" i="134"/>
  <c r="CD120" i="134"/>
  <c r="CD115" i="134"/>
  <c r="CD121" i="134"/>
  <c r="CD117" i="134"/>
  <c r="CD28" i="134"/>
  <c r="CD29" i="134" s="1"/>
  <c r="CD53" i="134"/>
  <c r="CC16" i="134"/>
  <c r="BJ134" i="134"/>
  <c r="BJ45" i="134"/>
  <c r="BJ128" i="134" s="1"/>
  <c r="BJ46" i="134"/>
  <c r="BI135" i="134"/>
  <c r="BI136" i="134" s="1"/>
  <c r="BI130" i="134"/>
  <c r="BK124" i="134"/>
  <c r="BK47" i="134"/>
  <c r="BK44" i="134"/>
  <c r="BJ49" i="134"/>
  <c r="BJ48" i="134"/>
  <c r="BJ127" i="134" s="1"/>
  <c r="BJ132" i="134" s="1"/>
  <c r="BK32" i="134"/>
  <c r="BL27" i="134" s="1"/>
  <c r="BL31" i="134" s="1"/>
  <c r="CD95" i="134" s="1"/>
  <c r="CD39" i="134"/>
  <c r="CD36" i="134"/>
  <c r="CD30" i="134"/>
  <c r="CD52" i="134"/>
  <c r="CD140" i="134" s="1"/>
  <c r="CD19" i="134"/>
  <c r="CD15" i="134"/>
  <c r="CD14" i="134"/>
  <c r="CD6" i="134"/>
  <c r="CE4" i="134"/>
  <c r="CD18" i="134"/>
  <c r="CC18" i="134"/>
  <c r="CC40" i="134"/>
  <c r="CC41" i="134"/>
  <c r="CC21" i="134"/>
  <c r="CC38" i="134"/>
  <c r="CC37" i="134"/>
  <c r="CN31" i="135" l="1"/>
  <c r="CN32" i="135" s="1"/>
  <c r="CO27" i="135" s="1"/>
  <c r="CM133" i="135"/>
  <c r="CM48" i="135"/>
  <c r="CM49" i="135"/>
  <c r="CM46" i="135"/>
  <c r="CM45" i="135"/>
  <c r="CM128" i="135" s="1"/>
  <c r="BJ135" i="134"/>
  <c r="BJ136" i="134" s="1"/>
  <c r="BJ141" i="134"/>
  <c r="BJ138" i="134"/>
  <c r="CE55" i="134"/>
  <c r="CE61" i="134"/>
  <c r="CE57" i="134"/>
  <c r="CE60" i="134"/>
  <c r="CE58" i="134"/>
  <c r="CE56" i="134"/>
  <c r="CE62" i="134"/>
  <c r="CE59" i="134"/>
  <c r="CE63" i="134"/>
  <c r="CE65" i="134"/>
  <c r="CE66" i="134"/>
  <c r="CE69" i="134"/>
  <c r="CE72" i="134"/>
  <c r="CE64" i="134"/>
  <c r="CE71" i="134"/>
  <c r="CE68" i="134"/>
  <c r="CE67" i="134"/>
  <c r="CE70" i="134"/>
  <c r="CE73" i="134"/>
  <c r="CE76" i="134"/>
  <c r="CE75" i="134"/>
  <c r="CE77" i="134"/>
  <c r="CE78" i="134"/>
  <c r="CE80" i="134"/>
  <c r="CE74" i="134"/>
  <c r="CE86" i="134"/>
  <c r="CE82" i="134"/>
  <c r="CE79" i="134"/>
  <c r="CE84" i="134"/>
  <c r="CE87" i="134"/>
  <c r="CE83" i="134"/>
  <c r="CE81" i="134"/>
  <c r="CE85" i="134"/>
  <c r="CE88" i="134"/>
  <c r="CE91" i="134"/>
  <c r="CE94" i="134"/>
  <c r="CE95" i="134"/>
  <c r="CE92" i="134"/>
  <c r="CE93" i="134"/>
  <c r="CE89" i="134"/>
  <c r="CE90" i="134"/>
  <c r="CE115" i="134"/>
  <c r="CE117" i="134"/>
  <c r="CE120" i="134"/>
  <c r="CE123" i="134"/>
  <c r="CE118" i="134"/>
  <c r="CE122" i="134"/>
  <c r="CE116" i="134"/>
  <c r="CE119" i="134"/>
  <c r="CE54" i="134"/>
  <c r="CE121" i="134"/>
  <c r="BL95" i="134"/>
  <c r="BM95" i="134"/>
  <c r="BN95" i="134"/>
  <c r="BO95" i="134"/>
  <c r="BP95" i="134"/>
  <c r="BQ95" i="134"/>
  <c r="BR95" i="134"/>
  <c r="BS95" i="134"/>
  <c r="BT95" i="134"/>
  <c r="BU95" i="134"/>
  <c r="BV95" i="134"/>
  <c r="BW95" i="134"/>
  <c r="BX95" i="134"/>
  <c r="BY95" i="134"/>
  <c r="BZ95" i="134"/>
  <c r="CA95" i="134"/>
  <c r="CB95" i="134"/>
  <c r="CC95" i="134"/>
  <c r="CE28" i="134"/>
  <c r="CE29" i="134" s="1"/>
  <c r="CE53" i="134"/>
  <c r="CD20" i="134"/>
  <c r="BK48" i="134"/>
  <c r="BK127" i="134" s="1"/>
  <c r="BK132" i="134" s="1"/>
  <c r="BK49" i="134"/>
  <c r="BK134" i="134"/>
  <c r="BJ137" i="134"/>
  <c r="BJ129" i="134"/>
  <c r="BJ125" i="134" s="1"/>
  <c r="BJ131" i="134" s="1"/>
  <c r="BJ50" i="134"/>
  <c r="BK46" i="134"/>
  <c r="BK45" i="134"/>
  <c r="BK128" i="134" s="1"/>
  <c r="BL32" i="134"/>
  <c r="BM27" i="134" s="1"/>
  <c r="BM31" i="134" s="1"/>
  <c r="CE96" i="134" s="1"/>
  <c r="BJ130" i="134"/>
  <c r="CE52" i="134"/>
  <c r="CE140" i="134" s="1"/>
  <c r="CE36" i="134"/>
  <c r="CE30" i="134"/>
  <c r="CE14" i="134"/>
  <c r="CE19" i="134"/>
  <c r="CE39" i="134"/>
  <c r="CE6" i="134"/>
  <c r="CF4" i="134"/>
  <c r="CE15" i="134"/>
  <c r="CD21" i="134"/>
  <c r="CD37" i="134"/>
  <c r="CD38" i="134"/>
  <c r="CD40" i="134"/>
  <c r="CD41" i="134"/>
  <c r="CM50" i="135" l="1"/>
  <c r="CM136" i="135"/>
  <c r="CM129" i="135"/>
  <c r="CM125" i="135" s="1"/>
  <c r="CM131" i="135" s="1"/>
  <c r="CM127" i="135"/>
  <c r="CO31" i="135"/>
  <c r="CO32" i="135" s="1"/>
  <c r="CP27" i="135" s="1"/>
  <c r="CN44" i="135"/>
  <c r="CN47" i="135"/>
  <c r="CN123" i="135"/>
  <c r="CN124" i="135" s="1"/>
  <c r="CO123" i="135"/>
  <c r="CO124" i="135" s="1"/>
  <c r="CP123" i="135"/>
  <c r="CP124" i="135" s="1"/>
  <c r="CQ123" i="135"/>
  <c r="CQ124" i="135" s="1"/>
  <c r="CR123" i="135"/>
  <c r="CR124" i="135" s="1"/>
  <c r="CS123" i="135"/>
  <c r="CS124" i="135" s="1"/>
  <c r="CT123" i="135"/>
  <c r="CT124" i="135" s="1"/>
  <c r="CU123" i="135"/>
  <c r="CU124" i="135" s="1"/>
  <c r="CV123" i="135"/>
  <c r="CV124" i="135" s="1"/>
  <c r="CW123" i="135"/>
  <c r="CW124" i="135" s="1"/>
  <c r="CX123" i="135"/>
  <c r="CX124" i="135" s="1"/>
  <c r="CY123" i="135"/>
  <c r="CY124" i="135" s="1"/>
  <c r="CZ123" i="135"/>
  <c r="CZ124" i="135" s="1"/>
  <c r="BK135" i="134"/>
  <c r="BK136" i="134" s="1"/>
  <c r="BK141" i="134"/>
  <c r="BK138" i="134"/>
  <c r="CE21" i="134"/>
  <c r="CF57" i="134"/>
  <c r="CF60" i="134"/>
  <c r="CF63" i="134"/>
  <c r="CF55" i="134"/>
  <c r="CF58" i="134"/>
  <c r="CF56" i="134"/>
  <c r="CF62" i="134"/>
  <c r="CF59" i="134"/>
  <c r="CF65" i="134"/>
  <c r="CF66" i="134"/>
  <c r="CF61" i="134"/>
  <c r="CF64" i="134"/>
  <c r="CF67" i="134"/>
  <c r="CF70" i="134"/>
  <c r="CF71" i="134"/>
  <c r="CF72" i="134"/>
  <c r="CF68" i="134"/>
  <c r="CF69" i="134"/>
  <c r="CF73" i="134"/>
  <c r="CF76" i="134"/>
  <c r="CF75" i="134"/>
  <c r="CF77" i="134"/>
  <c r="CF78" i="134"/>
  <c r="CF81" i="134"/>
  <c r="CF86" i="134"/>
  <c r="CF89" i="134"/>
  <c r="CF92" i="134"/>
  <c r="CF95" i="134"/>
  <c r="CF82" i="134"/>
  <c r="CF79" i="134"/>
  <c r="CF80" i="134"/>
  <c r="CF84" i="134"/>
  <c r="CF87" i="134"/>
  <c r="CF83" i="134"/>
  <c r="CF74" i="134"/>
  <c r="CF85" i="134"/>
  <c r="CF90" i="134"/>
  <c r="CF94" i="134"/>
  <c r="CF91" i="134"/>
  <c r="CF88" i="134"/>
  <c r="CF96" i="134"/>
  <c r="CF93" i="134"/>
  <c r="CF116" i="134"/>
  <c r="CF117" i="134"/>
  <c r="CF120" i="134"/>
  <c r="CF123" i="134"/>
  <c r="CF118" i="134"/>
  <c r="CF122" i="134"/>
  <c r="CF54" i="134"/>
  <c r="CF119" i="134"/>
  <c r="CF121" i="134"/>
  <c r="BM96" i="134"/>
  <c r="BN96" i="134"/>
  <c r="BO96" i="134"/>
  <c r="BP96" i="134"/>
  <c r="BQ96" i="134"/>
  <c r="BR96" i="134"/>
  <c r="BS96" i="134"/>
  <c r="BT96" i="134"/>
  <c r="BU96" i="134"/>
  <c r="BV96" i="134"/>
  <c r="BW96" i="134"/>
  <c r="BX96" i="134"/>
  <c r="BY96" i="134"/>
  <c r="BZ96" i="134"/>
  <c r="CA96" i="134"/>
  <c r="CB96" i="134"/>
  <c r="CC96" i="134"/>
  <c r="CD96" i="134"/>
  <c r="CF28" i="134"/>
  <c r="CF29" i="134" s="1"/>
  <c r="CF53" i="134"/>
  <c r="BK137" i="134"/>
  <c r="BK50" i="134"/>
  <c r="BK129" i="134"/>
  <c r="BK125" i="134" s="1"/>
  <c r="BK131" i="134" s="1"/>
  <c r="BK130" i="134"/>
  <c r="BL124" i="134"/>
  <c r="BL47" i="134"/>
  <c r="BL44" i="134"/>
  <c r="CF39" i="134"/>
  <c r="CF36" i="134"/>
  <c r="CF52" i="134"/>
  <c r="CF140" i="134" s="1"/>
  <c r="CF30" i="134"/>
  <c r="CG4" i="134"/>
  <c r="CF19" i="134"/>
  <c r="CF15" i="134"/>
  <c r="CF6" i="134"/>
  <c r="CF14" i="134"/>
  <c r="CE41" i="134"/>
  <c r="CE40" i="134"/>
  <c r="CE20" i="134"/>
  <c r="CE38" i="134"/>
  <c r="CE37" i="134"/>
  <c r="CQ133" i="135" l="1"/>
  <c r="CP133" i="135"/>
  <c r="CO133" i="135"/>
  <c r="CN133" i="135"/>
  <c r="CY133" i="135"/>
  <c r="CN48" i="135"/>
  <c r="CN127" i="135" s="1"/>
  <c r="CN49" i="135"/>
  <c r="CX133" i="135"/>
  <c r="CN45" i="135"/>
  <c r="CN128" i="135" s="1"/>
  <c r="CN46" i="135"/>
  <c r="CZ133" i="135"/>
  <c r="CW133" i="135"/>
  <c r="CO47" i="135"/>
  <c r="CO44" i="135"/>
  <c r="CV133" i="135"/>
  <c r="CP31" i="135"/>
  <c r="CP32" i="135" s="1"/>
  <c r="CQ27" i="135" s="1"/>
  <c r="CU133" i="135"/>
  <c r="CM142" i="135"/>
  <c r="CM137" i="135"/>
  <c r="CM134" i="135"/>
  <c r="CM135" i="135" s="1"/>
  <c r="CM130" i="135"/>
  <c r="CT133" i="135"/>
  <c r="CS133" i="135"/>
  <c r="CR133" i="135"/>
  <c r="CF21" i="134"/>
  <c r="CG57" i="134"/>
  <c r="CG59" i="134"/>
  <c r="CG55" i="134"/>
  <c r="CG60" i="134"/>
  <c r="CG58" i="134"/>
  <c r="CG63" i="134"/>
  <c r="CG65" i="134"/>
  <c r="CG66" i="134"/>
  <c r="CG62" i="134"/>
  <c r="CG56" i="134"/>
  <c r="CG61" i="134"/>
  <c r="CG64" i="134"/>
  <c r="CG71" i="134"/>
  <c r="CG72" i="134"/>
  <c r="CG68" i="134"/>
  <c r="CG69" i="134"/>
  <c r="CG67" i="134"/>
  <c r="CG70" i="134"/>
  <c r="CG74" i="134"/>
  <c r="CG79" i="134"/>
  <c r="CG82" i="134"/>
  <c r="CG75" i="134"/>
  <c r="CG77" i="134"/>
  <c r="CG76" i="134"/>
  <c r="CG73" i="134"/>
  <c r="CG86" i="134"/>
  <c r="CG78" i="134"/>
  <c r="CG80" i="134"/>
  <c r="CG84" i="134"/>
  <c r="CG87" i="134"/>
  <c r="CG83" i="134"/>
  <c r="CG81" i="134"/>
  <c r="CG90" i="134"/>
  <c r="CG94" i="134"/>
  <c r="CG85" i="134"/>
  <c r="CG91" i="134"/>
  <c r="CG95" i="134"/>
  <c r="CG92" i="134"/>
  <c r="CG88" i="134"/>
  <c r="CG96" i="134"/>
  <c r="CG89" i="134"/>
  <c r="CG93" i="134"/>
  <c r="CG121" i="134"/>
  <c r="CG118" i="134"/>
  <c r="CG122" i="134"/>
  <c r="CG123" i="134"/>
  <c r="CG54" i="134"/>
  <c r="CG119" i="134"/>
  <c r="CG120" i="134"/>
  <c r="CG117" i="134"/>
  <c r="CG28" i="134"/>
  <c r="CG29" i="134" s="1"/>
  <c r="CG53" i="134"/>
  <c r="BL134" i="134"/>
  <c r="BL49" i="134"/>
  <c r="BL48" i="134"/>
  <c r="BM124" i="134"/>
  <c r="BM47" i="134"/>
  <c r="BM44" i="134"/>
  <c r="BM32" i="134"/>
  <c r="BN27" i="134" s="1"/>
  <c r="BN31" i="134" s="1"/>
  <c r="CG97" i="134" s="1"/>
  <c r="BL46" i="134"/>
  <c r="BL45" i="134"/>
  <c r="BL128" i="134" s="1"/>
  <c r="CF37" i="134"/>
  <c r="CF38" i="134"/>
  <c r="CF40" i="134"/>
  <c r="CF41" i="134"/>
  <c r="CG30" i="134"/>
  <c r="CG39" i="134"/>
  <c r="CG52" i="134"/>
  <c r="CG140" i="134" s="1"/>
  <c r="CG36" i="134"/>
  <c r="CH4" i="134"/>
  <c r="CG15" i="134"/>
  <c r="CG19" i="134"/>
  <c r="CG14" i="134"/>
  <c r="CG6" i="134"/>
  <c r="CF20" i="134"/>
  <c r="CQ31" i="135" l="1"/>
  <c r="CP44" i="135"/>
  <c r="CP47" i="135"/>
  <c r="CN142" i="135"/>
  <c r="CN137" i="135"/>
  <c r="CN134" i="135"/>
  <c r="CN135" i="135" s="1"/>
  <c r="CN130" i="135"/>
  <c r="CO46" i="135"/>
  <c r="CO45" i="135"/>
  <c r="CO128" i="135" s="1"/>
  <c r="CO49" i="135"/>
  <c r="CO48" i="135"/>
  <c r="CN50" i="135"/>
  <c r="CN136" i="135"/>
  <c r="CN129" i="135"/>
  <c r="CN125" i="135" s="1"/>
  <c r="CN131" i="135" s="1"/>
  <c r="CH56" i="134"/>
  <c r="CH59" i="134"/>
  <c r="CH61" i="134"/>
  <c r="CH55" i="134"/>
  <c r="CH57" i="134"/>
  <c r="CH60" i="134"/>
  <c r="CH63" i="134"/>
  <c r="CH68" i="134"/>
  <c r="CH71" i="134"/>
  <c r="CH65" i="134"/>
  <c r="CH66" i="134"/>
  <c r="CH62" i="134"/>
  <c r="CH58" i="134"/>
  <c r="CH74" i="134"/>
  <c r="CH72" i="134"/>
  <c r="CH69" i="134"/>
  <c r="CH64" i="134"/>
  <c r="CH67" i="134"/>
  <c r="CH75" i="134"/>
  <c r="CH77" i="134"/>
  <c r="CH78" i="134"/>
  <c r="CH76" i="134"/>
  <c r="CH70" i="134"/>
  <c r="CH73" i="134"/>
  <c r="CH85" i="134"/>
  <c r="CH88" i="134"/>
  <c r="CH82" i="134"/>
  <c r="CH86" i="134"/>
  <c r="CH89" i="134"/>
  <c r="CH92" i="134"/>
  <c r="CH95" i="134"/>
  <c r="CH79" i="134"/>
  <c r="CH80" i="134"/>
  <c r="CH84" i="134"/>
  <c r="CH87" i="134"/>
  <c r="CH83" i="134"/>
  <c r="CH90" i="134"/>
  <c r="CH94" i="134"/>
  <c r="CH91" i="134"/>
  <c r="CH97" i="134"/>
  <c r="CH81" i="134"/>
  <c r="CH96" i="134"/>
  <c r="CH93" i="134"/>
  <c r="CH118" i="134"/>
  <c r="CH121" i="134"/>
  <c r="CH122" i="134"/>
  <c r="CH123" i="134"/>
  <c r="CH119" i="134"/>
  <c r="CH54" i="134"/>
  <c r="CH120" i="134"/>
  <c r="BN97" i="134"/>
  <c r="BO97" i="134"/>
  <c r="BP97" i="134"/>
  <c r="BQ97" i="134"/>
  <c r="BR97" i="134"/>
  <c r="BS97" i="134"/>
  <c r="BT97" i="134"/>
  <c r="BU97" i="134"/>
  <c r="BV97" i="134"/>
  <c r="BW97" i="134"/>
  <c r="BX97" i="134"/>
  <c r="BY97" i="134"/>
  <c r="BZ97" i="134"/>
  <c r="CA97" i="134"/>
  <c r="CB97" i="134"/>
  <c r="CC97" i="134"/>
  <c r="CD97" i="134"/>
  <c r="CE97" i="134"/>
  <c r="CF97" i="134"/>
  <c r="CG21" i="134"/>
  <c r="CH28" i="134"/>
  <c r="CH29" i="134" s="1"/>
  <c r="CH53" i="134"/>
  <c r="BL50" i="134"/>
  <c r="BL137" i="134"/>
  <c r="BL129" i="134"/>
  <c r="BL125" i="134" s="1"/>
  <c r="BL131" i="134" s="1"/>
  <c r="BM48" i="134"/>
  <c r="BM127" i="134" s="1"/>
  <c r="BM132" i="134" s="1"/>
  <c r="BM49" i="134"/>
  <c r="BL127" i="134"/>
  <c r="BL132" i="134" s="1"/>
  <c r="BM134" i="134"/>
  <c r="BM45" i="134"/>
  <c r="BM46" i="134"/>
  <c r="CG37" i="134"/>
  <c r="CG38" i="134"/>
  <c r="CG41" i="134"/>
  <c r="CG40" i="134"/>
  <c r="CG20" i="134"/>
  <c r="CH36" i="134"/>
  <c r="CH52" i="134"/>
  <c r="CH140" i="134" s="1"/>
  <c r="CH30" i="134"/>
  <c r="CH6" i="134"/>
  <c r="CH39" i="134"/>
  <c r="CH15" i="134"/>
  <c r="CH14" i="134"/>
  <c r="CH19" i="134"/>
  <c r="CI4" i="134"/>
  <c r="CO50" i="135" l="1"/>
  <c r="CO129" i="135"/>
  <c r="CO125" i="135" s="1"/>
  <c r="CO131" i="135" s="1"/>
  <c r="CO136" i="135"/>
  <c r="CO127" i="135"/>
  <c r="CO130" i="135" s="1"/>
  <c r="CP48" i="135"/>
  <c r="CP49" i="135"/>
  <c r="CP46" i="135"/>
  <c r="CP45" i="135"/>
  <c r="CP128" i="135" s="1"/>
  <c r="CQ47" i="135"/>
  <c r="CQ44" i="135"/>
  <c r="CQ32" i="135"/>
  <c r="CR27" i="135" s="1"/>
  <c r="BL138" i="134"/>
  <c r="BL141" i="134"/>
  <c r="BM135" i="134"/>
  <c r="BM136" i="134" s="1"/>
  <c r="BM138" i="134"/>
  <c r="BM141" i="134"/>
  <c r="CI56" i="134"/>
  <c r="CI57" i="134"/>
  <c r="CI58" i="134"/>
  <c r="CI59" i="134"/>
  <c r="CI64" i="134"/>
  <c r="CI55" i="134"/>
  <c r="CI60" i="134"/>
  <c r="CI66" i="134"/>
  <c r="CI67" i="134"/>
  <c r="CI63" i="134"/>
  <c r="CI68" i="134"/>
  <c r="CI71" i="134"/>
  <c r="CI65" i="134"/>
  <c r="CI62" i="134"/>
  <c r="CI70" i="134"/>
  <c r="CI73" i="134"/>
  <c r="CI61" i="134"/>
  <c r="CI72" i="134"/>
  <c r="CI69" i="134"/>
  <c r="CI75" i="134"/>
  <c r="CI78" i="134"/>
  <c r="CI74" i="134"/>
  <c r="CI79" i="134"/>
  <c r="CI77" i="134"/>
  <c r="CI76" i="134"/>
  <c r="CI81" i="134"/>
  <c r="CI85" i="134"/>
  <c r="CI88" i="134"/>
  <c r="CI82" i="134"/>
  <c r="CI86" i="134"/>
  <c r="CI80" i="134"/>
  <c r="CI84" i="134"/>
  <c r="CI87" i="134"/>
  <c r="CI90" i="134"/>
  <c r="CI93" i="134"/>
  <c r="CI96" i="134"/>
  <c r="CI83" i="134"/>
  <c r="CI94" i="134"/>
  <c r="CI95" i="134"/>
  <c r="CI91" i="134"/>
  <c r="CI92" i="134"/>
  <c r="CI97" i="134"/>
  <c r="CI89" i="134"/>
  <c r="CI119" i="134"/>
  <c r="CI122" i="134"/>
  <c r="CI121" i="134"/>
  <c r="CI123" i="134"/>
  <c r="CI120" i="134"/>
  <c r="CI54" i="134"/>
  <c r="CH20" i="134"/>
  <c r="CI28" i="134"/>
  <c r="CI29" i="134" s="1"/>
  <c r="CI53" i="134"/>
  <c r="BM129" i="134"/>
  <c r="BM125" i="134" s="1"/>
  <c r="BM131" i="134" s="1"/>
  <c r="BM137" i="134"/>
  <c r="BN124" i="134"/>
  <c r="BN44" i="134"/>
  <c r="BN47" i="134"/>
  <c r="BL135" i="134"/>
  <c r="BL136" i="134" s="1"/>
  <c r="BL130" i="134"/>
  <c r="BM130" i="134" s="1"/>
  <c r="BN32" i="134"/>
  <c r="BO27" i="134" s="1"/>
  <c r="BO31" i="134" s="1"/>
  <c r="CI98" i="134" s="1"/>
  <c r="BM50" i="134"/>
  <c r="BM128" i="134"/>
  <c r="CI52" i="134"/>
  <c r="CI140" i="134" s="1"/>
  <c r="CI30" i="134"/>
  <c r="CI39" i="134"/>
  <c r="CI15" i="134"/>
  <c r="CI36" i="134"/>
  <c r="CI6" i="134"/>
  <c r="CI19" i="134"/>
  <c r="CI14" i="134"/>
  <c r="CJ4" i="134"/>
  <c r="CH21" i="134"/>
  <c r="CH41" i="134"/>
  <c r="CH40" i="134"/>
  <c r="CH38" i="134"/>
  <c r="CH37" i="134"/>
  <c r="CQ45" i="135" l="1"/>
  <c r="CQ128" i="135" s="1"/>
  <c r="CQ46" i="135"/>
  <c r="CP50" i="135"/>
  <c r="CP136" i="135"/>
  <c r="CP129" i="135"/>
  <c r="CP125" i="135" s="1"/>
  <c r="CP131" i="135" s="1"/>
  <c r="CP127" i="135"/>
  <c r="CQ48" i="135"/>
  <c r="CQ49" i="135"/>
  <c r="CP130" i="135"/>
  <c r="CO134" i="135"/>
  <c r="CO135" i="135" s="1"/>
  <c r="CO142" i="135"/>
  <c r="CO137" i="135"/>
  <c r="CR31" i="135"/>
  <c r="CR32" i="135" s="1"/>
  <c r="CS27" i="135" s="1"/>
  <c r="CJ56" i="134"/>
  <c r="CJ59" i="134"/>
  <c r="CJ62" i="134"/>
  <c r="CJ58" i="134"/>
  <c r="CJ57" i="134"/>
  <c r="CJ55" i="134"/>
  <c r="CJ63" i="134"/>
  <c r="CJ60" i="134"/>
  <c r="CJ66" i="134"/>
  <c r="CJ61" i="134"/>
  <c r="CJ64" i="134"/>
  <c r="CJ67" i="134"/>
  <c r="CJ65" i="134"/>
  <c r="CJ69" i="134"/>
  <c r="CJ72" i="134"/>
  <c r="CJ70" i="134"/>
  <c r="CJ71" i="134"/>
  <c r="CJ68" i="134"/>
  <c r="CJ75" i="134"/>
  <c r="CJ78" i="134"/>
  <c r="CJ74" i="134"/>
  <c r="CJ77" i="134"/>
  <c r="CJ76" i="134"/>
  <c r="CJ80" i="134"/>
  <c r="CJ83" i="134"/>
  <c r="CJ81" i="134"/>
  <c r="CJ85" i="134"/>
  <c r="CJ88" i="134"/>
  <c r="CJ91" i="134"/>
  <c r="CJ94" i="134"/>
  <c r="CJ97" i="134"/>
  <c r="CJ73" i="134"/>
  <c r="CJ79" i="134"/>
  <c r="CJ82" i="134"/>
  <c r="CJ86" i="134"/>
  <c r="CJ84" i="134"/>
  <c r="CJ87" i="134"/>
  <c r="CJ89" i="134"/>
  <c r="CJ93" i="134"/>
  <c r="CJ90" i="134"/>
  <c r="CJ95" i="134"/>
  <c r="CJ92" i="134"/>
  <c r="CJ98" i="134"/>
  <c r="CJ96" i="134"/>
  <c r="CJ54" i="134"/>
  <c r="CJ122" i="134"/>
  <c r="CJ121" i="134"/>
  <c r="CJ123" i="134"/>
  <c r="CJ120" i="134"/>
  <c r="BO98" i="134"/>
  <c r="BP98" i="134"/>
  <c r="BQ98" i="134"/>
  <c r="BR98" i="134"/>
  <c r="BS98" i="134"/>
  <c r="BT98" i="134"/>
  <c r="BU98" i="134"/>
  <c r="BV98" i="134"/>
  <c r="BW98" i="134"/>
  <c r="BX98" i="134"/>
  <c r="BY98" i="134"/>
  <c r="BZ98" i="134"/>
  <c r="CA98" i="134"/>
  <c r="CB98" i="134"/>
  <c r="CC98" i="134"/>
  <c r="CD98" i="134"/>
  <c r="CE98" i="134"/>
  <c r="CF98" i="134"/>
  <c r="CG98" i="134"/>
  <c r="CH98" i="134"/>
  <c r="CJ28" i="134"/>
  <c r="CJ29" i="134" s="1"/>
  <c r="CJ53" i="134"/>
  <c r="CI21" i="134"/>
  <c r="BN49" i="134"/>
  <c r="BN48" i="134"/>
  <c r="BN127" i="134" s="1"/>
  <c r="BN132" i="134" s="1"/>
  <c r="BN134" i="134"/>
  <c r="BN46" i="134"/>
  <c r="BN45" i="134"/>
  <c r="BN128" i="134" s="1"/>
  <c r="CI20" i="134"/>
  <c r="CI38" i="134"/>
  <c r="CI37" i="134"/>
  <c r="CI40" i="134"/>
  <c r="CI41" i="134"/>
  <c r="CJ39" i="134"/>
  <c r="CJ36" i="134"/>
  <c r="CJ52" i="134"/>
  <c r="CJ140" i="134" s="1"/>
  <c r="CJ19" i="134"/>
  <c r="CJ6" i="134"/>
  <c r="CJ15" i="134"/>
  <c r="CJ14" i="134"/>
  <c r="CJ30" i="134"/>
  <c r="CK4" i="134"/>
  <c r="CQ50" i="135" l="1"/>
  <c r="CQ136" i="135"/>
  <c r="CQ129" i="135"/>
  <c r="CQ125" i="135" s="1"/>
  <c r="CQ131" i="135" s="1"/>
  <c r="CQ127" i="135"/>
  <c r="CQ130" i="135" s="1"/>
  <c r="CP142" i="135"/>
  <c r="CP137" i="135"/>
  <c r="CP134" i="135"/>
  <c r="CP135" i="135" s="1"/>
  <c r="CS31" i="135"/>
  <c r="CS32" i="135" s="1"/>
  <c r="CT27" i="135" s="1"/>
  <c r="CR47" i="135"/>
  <c r="CR44" i="135"/>
  <c r="BN135" i="134"/>
  <c r="BN136" i="134" s="1"/>
  <c r="BN138" i="134"/>
  <c r="BN141" i="134"/>
  <c r="CK55" i="134"/>
  <c r="CK56" i="134"/>
  <c r="CK58" i="134"/>
  <c r="CK59" i="134"/>
  <c r="CK61" i="134"/>
  <c r="CK57" i="134"/>
  <c r="CK63" i="134"/>
  <c r="CK64" i="134"/>
  <c r="CK67" i="134"/>
  <c r="CK66" i="134"/>
  <c r="CK62" i="134"/>
  <c r="CK65" i="134"/>
  <c r="CK60" i="134"/>
  <c r="CK70" i="134"/>
  <c r="CK71" i="134"/>
  <c r="CK68" i="134"/>
  <c r="CK72" i="134"/>
  <c r="CK69" i="134"/>
  <c r="CK73" i="134"/>
  <c r="CK81" i="134"/>
  <c r="CK74" i="134"/>
  <c r="CK75" i="134"/>
  <c r="CK77" i="134"/>
  <c r="CK76" i="134"/>
  <c r="CK83" i="134"/>
  <c r="CK85" i="134"/>
  <c r="CK78" i="134"/>
  <c r="CK79" i="134"/>
  <c r="CK82" i="134"/>
  <c r="CK86" i="134"/>
  <c r="CK80" i="134"/>
  <c r="CK96" i="134"/>
  <c r="CK89" i="134"/>
  <c r="CK93" i="134"/>
  <c r="CK90" i="134"/>
  <c r="CK94" i="134"/>
  <c r="CK91" i="134"/>
  <c r="CK95" i="134"/>
  <c r="CK84" i="134"/>
  <c r="CK87" i="134"/>
  <c r="CK88" i="134"/>
  <c r="CK92" i="134"/>
  <c r="CK97" i="134"/>
  <c r="CK98" i="134"/>
  <c r="CK121" i="134"/>
  <c r="CK122" i="134"/>
  <c r="CK123" i="134"/>
  <c r="CK54" i="134"/>
  <c r="CK28" i="134"/>
  <c r="CK29" i="134" s="1"/>
  <c r="CK53" i="134"/>
  <c r="CJ21" i="134"/>
  <c r="BN130" i="134"/>
  <c r="BO124" i="134"/>
  <c r="BO47" i="134"/>
  <c r="BO44" i="134"/>
  <c r="BN50" i="134"/>
  <c r="BN129" i="134"/>
  <c r="BN125" i="134" s="1"/>
  <c r="BN131" i="134" s="1"/>
  <c r="BN137" i="134"/>
  <c r="BO32" i="134"/>
  <c r="BP27" i="134" s="1"/>
  <c r="BP31" i="134" s="1"/>
  <c r="CK99" i="134" s="1"/>
  <c r="CK39" i="134"/>
  <c r="CK52" i="134"/>
  <c r="CK140" i="134" s="1"/>
  <c r="CK36" i="134"/>
  <c r="CK30" i="134"/>
  <c r="CK6" i="134"/>
  <c r="CL4" i="134"/>
  <c r="CK15" i="134"/>
  <c r="CK14" i="134"/>
  <c r="CK19" i="134"/>
  <c r="CJ41" i="134"/>
  <c r="CJ40" i="134"/>
  <c r="CJ20" i="134"/>
  <c r="CJ38" i="134"/>
  <c r="CJ37" i="134"/>
  <c r="CK21" i="134" l="1"/>
  <c r="CR49" i="135"/>
  <c r="CR48" i="135"/>
  <c r="CS44" i="135"/>
  <c r="CS47" i="135"/>
  <c r="CT31" i="135"/>
  <c r="CT32" i="135" s="1"/>
  <c r="CU27" i="135" s="1"/>
  <c r="CQ142" i="135"/>
  <c r="CQ137" i="135"/>
  <c r="CQ134" i="135"/>
  <c r="CQ135" i="135" s="1"/>
  <c r="CR45" i="135"/>
  <c r="CR128" i="135" s="1"/>
  <c r="CR46" i="135"/>
  <c r="BP99" i="134"/>
  <c r="BQ99" i="134"/>
  <c r="BR99" i="134"/>
  <c r="BS99" i="134"/>
  <c r="BT99" i="134"/>
  <c r="BU99" i="134"/>
  <c r="BV99" i="134"/>
  <c r="BW99" i="134"/>
  <c r="BX99" i="134"/>
  <c r="BY99" i="134"/>
  <c r="BZ99" i="134"/>
  <c r="CA99" i="134"/>
  <c r="CB99" i="134"/>
  <c r="CC99" i="134"/>
  <c r="CD99" i="134"/>
  <c r="CE99" i="134"/>
  <c r="CF99" i="134"/>
  <c r="CG99" i="134"/>
  <c r="CH99" i="134"/>
  <c r="CI99" i="134"/>
  <c r="CJ99" i="134"/>
  <c r="CL55" i="134"/>
  <c r="CL56" i="134"/>
  <c r="CL60" i="134"/>
  <c r="CL58" i="134"/>
  <c r="CL59" i="134"/>
  <c r="CL57" i="134"/>
  <c r="CL61" i="134"/>
  <c r="CL64" i="134"/>
  <c r="CL67" i="134"/>
  <c r="CL70" i="134"/>
  <c r="CL63" i="134"/>
  <c r="CL66" i="134"/>
  <c r="CL62" i="134"/>
  <c r="CL65" i="134"/>
  <c r="CL73" i="134"/>
  <c r="CL76" i="134"/>
  <c r="CL71" i="134"/>
  <c r="CL68" i="134"/>
  <c r="CL72" i="134"/>
  <c r="CL69" i="134"/>
  <c r="CL74" i="134"/>
  <c r="CL75" i="134"/>
  <c r="CL77" i="134"/>
  <c r="CL84" i="134"/>
  <c r="CL87" i="134"/>
  <c r="CL81" i="134"/>
  <c r="CL83" i="134"/>
  <c r="CL85" i="134"/>
  <c r="CL88" i="134"/>
  <c r="CL91" i="134"/>
  <c r="CL94" i="134"/>
  <c r="CL78" i="134"/>
  <c r="CL79" i="134"/>
  <c r="CL82" i="134"/>
  <c r="CL86" i="134"/>
  <c r="CL97" i="134"/>
  <c r="CL98" i="134"/>
  <c r="CL96" i="134"/>
  <c r="CL89" i="134"/>
  <c r="CL93" i="134"/>
  <c r="CL80" i="134"/>
  <c r="CL90" i="134"/>
  <c r="CL99" i="134"/>
  <c r="CL95" i="134"/>
  <c r="CL92" i="134"/>
  <c r="CL123" i="134"/>
  <c r="CL122" i="134"/>
  <c r="CL54" i="134"/>
  <c r="CL28" i="134"/>
  <c r="CL29" i="134" s="1"/>
  <c r="CL53" i="134"/>
  <c r="BO134" i="134"/>
  <c r="BO46" i="134"/>
  <c r="BO45" i="134"/>
  <c r="BO128" i="134" s="1"/>
  <c r="BO48" i="134"/>
  <c r="BO49" i="134"/>
  <c r="CK20" i="134"/>
  <c r="CK40" i="134"/>
  <c r="CK41" i="134"/>
  <c r="CL52" i="134"/>
  <c r="CL140" i="134" s="1"/>
  <c r="CL39" i="134"/>
  <c r="CL36" i="134"/>
  <c r="CL14" i="134"/>
  <c r="CL30" i="134"/>
  <c r="CM4" i="134"/>
  <c r="CL15" i="134"/>
  <c r="CL19" i="134"/>
  <c r="CL6" i="134"/>
  <c r="CK38" i="134"/>
  <c r="CK37" i="134"/>
  <c r="CT47" i="135" l="1"/>
  <c r="CT44" i="135"/>
  <c r="CU31" i="135"/>
  <c r="CU32" i="135" s="1"/>
  <c r="CV27" i="135" s="1"/>
  <c r="CS48" i="135"/>
  <c r="CS49" i="135"/>
  <c r="CS45" i="135"/>
  <c r="CS128" i="135" s="1"/>
  <c r="CS46" i="135"/>
  <c r="CR50" i="135"/>
  <c r="CR136" i="135"/>
  <c r="CR129" i="135"/>
  <c r="CR125" i="135" s="1"/>
  <c r="CR131" i="135" s="1"/>
  <c r="CR127" i="135"/>
  <c r="CL20" i="134"/>
  <c r="CM55" i="134"/>
  <c r="CM56" i="134"/>
  <c r="CM60" i="134"/>
  <c r="CM58" i="134"/>
  <c r="CM62" i="134"/>
  <c r="CM59" i="134"/>
  <c r="CM61" i="134"/>
  <c r="CM65" i="134"/>
  <c r="CM57" i="134"/>
  <c r="CM64" i="134"/>
  <c r="CM67" i="134"/>
  <c r="CM70" i="134"/>
  <c r="CM63" i="134"/>
  <c r="CM66" i="134"/>
  <c r="CM69" i="134"/>
  <c r="CM71" i="134"/>
  <c r="CM68" i="134"/>
  <c r="CM72" i="134"/>
  <c r="CM74" i="134"/>
  <c r="CM77" i="134"/>
  <c r="CM73" i="134"/>
  <c r="CM81" i="134"/>
  <c r="CM75" i="134"/>
  <c r="CM76" i="134"/>
  <c r="CM80" i="134"/>
  <c r="CM84" i="134"/>
  <c r="CM87" i="134"/>
  <c r="CM83" i="134"/>
  <c r="CM85" i="134"/>
  <c r="CM78" i="134"/>
  <c r="CM79" i="134"/>
  <c r="CM82" i="134"/>
  <c r="CM86" i="134"/>
  <c r="CM89" i="134"/>
  <c r="CM92" i="134"/>
  <c r="CM95" i="134"/>
  <c r="CM98" i="134"/>
  <c r="CM97" i="134"/>
  <c r="CM96" i="134"/>
  <c r="CM93" i="134"/>
  <c r="CM94" i="134"/>
  <c r="CM90" i="134"/>
  <c r="CM99" i="134"/>
  <c r="CM91" i="134"/>
  <c r="CM88" i="134"/>
  <c r="CM54" i="134"/>
  <c r="CM123" i="134"/>
  <c r="CM28" i="134"/>
  <c r="CM29" i="134" s="1"/>
  <c r="CM53" i="134"/>
  <c r="BO50" i="134"/>
  <c r="BO129" i="134"/>
  <c r="BO125" i="134" s="1"/>
  <c r="BO131" i="134" s="1"/>
  <c r="BO137" i="134"/>
  <c r="BO127" i="134"/>
  <c r="BO132" i="134" s="1"/>
  <c r="BP124" i="134"/>
  <c r="BP44" i="134"/>
  <c r="BP47" i="134"/>
  <c r="BP32" i="134"/>
  <c r="BQ27" i="134" s="1"/>
  <c r="BQ31" i="134" s="1"/>
  <c r="CL38" i="134"/>
  <c r="CL37" i="134"/>
  <c r="CL41" i="134"/>
  <c r="CL40" i="134"/>
  <c r="CL21" i="134"/>
  <c r="CM52" i="134"/>
  <c r="CM140" i="134" s="1"/>
  <c r="CM36" i="134"/>
  <c r="CM39" i="134"/>
  <c r="CM30" i="134"/>
  <c r="CM6" i="134"/>
  <c r="CM15" i="134"/>
  <c r="CM19" i="134"/>
  <c r="CM14" i="134"/>
  <c r="CN4" i="134"/>
  <c r="CR142" i="135" l="1"/>
  <c r="CR137" i="135"/>
  <c r="CR134" i="135"/>
  <c r="CR135" i="135" s="1"/>
  <c r="CR130" i="135"/>
  <c r="CS50" i="135"/>
  <c r="CS136" i="135"/>
  <c r="CS129" i="135"/>
  <c r="CS125" i="135" s="1"/>
  <c r="CS131" i="135" s="1"/>
  <c r="CS127" i="135"/>
  <c r="CV31" i="135"/>
  <c r="CV32" i="135" s="1"/>
  <c r="CW27" i="135" s="1"/>
  <c r="CU47" i="135"/>
  <c r="CU44" i="135"/>
  <c r="CT45" i="135"/>
  <c r="CT128" i="135" s="1"/>
  <c r="CT46" i="135"/>
  <c r="CT49" i="135"/>
  <c r="CT48" i="135"/>
  <c r="BO141" i="134"/>
  <c r="BO138" i="134"/>
  <c r="CN55" i="134"/>
  <c r="CN58" i="134"/>
  <c r="CN61" i="134"/>
  <c r="CN64" i="134"/>
  <c r="CN57" i="134"/>
  <c r="CN56" i="134"/>
  <c r="CN60" i="134"/>
  <c r="CN59" i="134"/>
  <c r="CN65" i="134"/>
  <c r="CN63" i="134"/>
  <c r="CN66" i="134"/>
  <c r="CN62" i="134"/>
  <c r="CN68" i="134"/>
  <c r="CN71" i="134"/>
  <c r="CN67" i="134"/>
  <c r="CN69" i="134"/>
  <c r="CN70" i="134"/>
  <c r="CN72" i="134"/>
  <c r="CN74" i="134"/>
  <c r="CN77" i="134"/>
  <c r="CN73" i="134"/>
  <c r="CN75" i="134"/>
  <c r="CN79" i="134"/>
  <c r="CN82" i="134"/>
  <c r="CN80" i="134"/>
  <c r="CN84" i="134"/>
  <c r="CN87" i="134"/>
  <c r="CN90" i="134"/>
  <c r="CN93" i="134"/>
  <c r="CN96" i="134"/>
  <c r="CN81" i="134"/>
  <c r="CN83" i="134"/>
  <c r="CN85" i="134"/>
  <c r="CN78" i="134"/>
  <c r="CN86" i="134"/>
  <c r="CN92" i="134"/>
  <c r="CN76" i="134"/>
  <c r="CN98" i="134"/>
  <c r="CN97" i="134"/>
  <c r="CN89" i="134"/>
  <c r="CN94" i="134"/>
  <c r="CN91" i="134"/>
  <c r="CN95" i="134"/>
  <c r="CN99" i="134"/>
  <c r="CN100" i="134"/>
  <c r="CN88" i="134"/>
  <c r="CN54" i="134"/>
  <c r="BQ100" i="134"/>
  <c r="BR100" i="134"/>
  <c r="BS100" i="134"/>
  <c r="BT100" i="134"/>
  <c r="BU100" i="134"/>
  <c r="BV100" i="134"/>
  <c r="BW100" i="134"/>
  <c r="BX100" i="134"/>
  <c r="BY100" i="134"/>
  <c r="BZ100" i="134"/>
  <c r="CA100" i="134"/>
  <c r="CB100" i="134"/>
  <c r="CC100" i="134"/>
  <c r="CD100" i="134"/>
  <c r="CE100" i="134"/>
  <c r="CF100" i="134"/>
  <c r="CG100" i="134"/>
  <c r="CH100" i="134"/>
  <c r="CI100" i="134"/>
  <c r="CJ100" i="134"/>
  <c r="CK100" i="134"/>
  <c r="CL100" i="134"/>
  <c r="CM100" i="134"/>
  <c r="CN28" i="134"/>
  <c r="CN29" i="134" s="1"/>
  <c r="CN53" i="134"/>
  <c r="CM20" i="134"/>
  <c r="BP45" i="134"/>
  <c r="BP128" i="134" s="1"/>
  <c r="BP46" i="134"/>
  <c r="BP49" i="134"/>
  <c r="BP48" i="134"/>
  <c r="BP127" i="134" s="1"/>
  <c r="BP132" i="134" s="1"/>
  <c r="BP134" i="134"/>
  <c r="BO135" i="134"/>
  <c r="BO136" i="134" s="1"/>
  <c r="BO130" i="134"/>
  <c r="BQ32" i="134"/>
  <c r="BR27" i="134" s="1"/>
  <c r="BR31" i="134" s="1"/>
  <c r="CN101" i="134" s="1"/>
  <c r="CN39" i="134"/>
  <c r="CN52" i="134"/>
  <c r="CN140" i="134" s="1"/>
  <c r="CN30" i="134"/>
  <c r="CN36" i="134"/>
  <c r="CN6" i="134"/>
  <c r="CO4" i="134"/>
  <c r="CM21" i="134"/>
  <c r="CM40" i="134"/>
  <c r="CM41" i="134"/>
  <c r="CM38" i="134"/>
  <c r="CM37" i="134"/>
  <c r="CU48" i="135" l="1"/>
  <c r="CU49" i="135"/>
  <c r="CV47" i="135"/>
  <c r="CV44" i="135"/>
  <c r="CS142" i="135"/>
  <c r="CS137" i="135"/>
  <c r="CS134" i="135"/>
  <c r="CS135" i="135" s="1"/>
  <c r="CW31" i="135"/>
  <c r="CT50" i="135"/>
  <c r="CT136" i="135"/>
  <c r="CT129" i="135"/>
  <c r="CT125" i="135" s="1"/>
  <c r="CT131" i="135" s="1"/>
  <c r="CT127" i="135"/>
  <c r="CS130" i="135"/>
  <c r="CU46" i="135"/>
  <c r="CU45" i="135"/>
  <c r="CU128" i="135" s="1"/>
  <c r="BP135" i="134"/>
  <c r="BP136" i="134" s="1"/>
  <c r="BP141" i="134"/>
  <c r="BP138" i="134"/>
  <c r="CO55" i="134"/>
  <c r="CO58" i="134"/>
  <c r="CO57" i="134"/>
  <c r="CO56" i="134"/>
  <c r="CO60" i="134"/>
  <c r="CO59" i="134"/>
  <c r="CO64" i="134"/>
  <c r="CO61" i="134"/>
  <c r="CO63" i="134"/>
  <c r="CO65" i="134"/>
  <c r="CO66" i="134"/>
  <c r="CO62" i="134"/>
  <c r="CO67" i="134"/>
  <c r="CO69" i="134"/>
  <c r="CO70" i="134"/>
  <c r="CO71" i="134"/>
  <c r="CO68" i="134"/>
  <c r="CO76" i="134"/>
  <c r="CO80" i="134"/>
  <c r="CO83" i="134"/>
  <c r="CO73" i="134"/>
  <c r="CO74" i="134"/>
  <c r="CO75" i="134"/>
  <c r="CO77" i="134"/>
  <c r="CO78" i="134"/>
  <c r="CO72" i="134"/>
  <c r="CO84" i="134"/>
  <c r="CO81" i="134"/>
  <c r="CO85" i="134"/>
  <c r="CO88" i="134"/>
  <c r="CO79" i="134"/>
  <c r="CO82" i="134"/>
  <c r="CO86" i="134"/>
  <c r="CO92" i="134"/>
  <c r="CO98" i="134"/>
  <c r="CO96" i="134"/>
  <c r="CO97" i="134"/>
  <c r="CO89" i="134"/>
  <c r="CO93" i="134"/>
  <c r="CO90" i="134"/>
  <c r="CO94" i="134"/>
  <c r="CO99" i="134"/>
  <c r="CO87" i="134"/>
  <c r="CO91" i="134"/>
  <c r="CO95" i="134"/>
  <c r="CO100" i="134"/>
  <c r="CO101" i="134"/>
  <c r="CO54" i="134"/>
  <c r="BR101" i="134"/>
  <c r="BS101" i="134"/>
  <c r="BT101" i="134"/>
  <c r="BU101" i="134"/>
  <c r="BV101" i="134"/>
  <c r="BW101" i="134"/>
  <c r="BX101" i="134"/>
  <c r="BY101" i="134"/>
  <c r="BZ101" i="134"/>
  <c r="CA101" i="134"/>
  <c r="CB101" i="134"/>
  <c r="CC101" i="134"/>
  <c r="CD101" i="134"/>
  <c r="CE101" i="134"/>
  <c r="CF101" i="134"/>
  <c r="CG101" i="134"/>
  <c r="CH101" i="134"/>
  <c r="CI101" i="134"/>
  <c r="CJ101" i="134"/>
  <c r="CK101" i="134"/>
  <c r="CL101" i="134"/>
  <c r="CM101" i="134"/>
  <c r="CO28" i="134"/>
  <c r="CO29" i="134" s="1"/>
  <c r="CO53" i="134"/>
  <c r="BP130" i="134"/>
  <c r="BR32" i="134"/>
  <c r="BS27" i="134" s="1"/>
  <c r="BS31" i="134" s="1"/>
  <c r="BP50" i="134"/>
  <c r="BP129" i="134"/>
  <c r="BP125" i="134" s="1"/>
  <c r="BP131" i="134" s="1"/>
  <c r="BP137" i="134"/>
  <c r="BQ124" i="134"/>
  <c r="BQ44" i="134"/>
  <c r="BQ47" i="134"/>
  <c r="CN38" i="134"/>
  <c r="CN37" i="134"/>
  <c r="CO36" i="134"/>
  <c r="CO52" i="134"/>
  <c r="CO140" i="134" s="1"/>
  <c r="CO39" i="134"/>
  <c r="CO30" i="134"/>
  <c r="CO6" i="134"/>
  <c r="CP4" i="134"/>
  <c r="CN41" i="134"/>
  <c r="CN40" i="134"/>
  <c r="CT130" i="135" l="1"/>
  <c r="CW47" i="135"/>
  <c r="CW44" i="135"/>
  <c r="CW32" i="135"/>
  <c r="CX27" i="135" s="1"/>
  <c r="CV46" i="135"/>
  <c r="CV45" i="135"/>
  <c r="CV128" i="135" s="1"/>
  <c r="CV49" i="135"/>
  <c r="CV48" i="135"/>
  <c r="CT142" i="135"/>
  <c r="CT137" i="135"/>
  <c r="CT134" i="135"/>
  <c r="CT135" i="135" s="1"/>
  <c r="CU50" i="135"/>
  <c r="CU136" i="135"/>
  <c r="CU129" i="135"/>
  <c r="CU125" i="135" s="1"/>
  <c r="CU131" i="135" s="1"/>
  <c r="CU127" i="135"/>
  <c r="BS102" i="134"/>
  <c r="BT102" i="134"/>
  <c r="BU102" i="134"/>
  <c r="BV102" i="134"/>
  <c r="BW102" i="134"/>
  <c r="BX102" i="134"/>
  <c r="BY102" i="134"/>
  <c r="BZ102" i="134"/>
  <c r="CA102" i="134"/>
  <c r="CB102" i="134"/>
  <c r="CC102" i="134"/>
  <c r="CD102" i="134"/>
  <c r="CE102" i="134"/>
  <c r="CF102" i="134"/>
  <c r="CG102" i="134"/>
  <c r="CH102" i="134"/>
  <c r="CI102" i="134"/>
  <c r="CJ102" i="134"/>
  <c r="CK102" i="134"/>
  <c r="CL102" i="134"/>
  <c r="CM102" i="134"/>
  <c r="CN102" i="134"/>
  <c r="CO102" i="134"/>
  <c r="CP57" i="134"/>
  <c r="CP56" i="134"/>
  <c r="CP60" i="134"/>
  <c r="CP58" i="134"/>
  <c r="CP59" i="134"/>
  <c r="CP55" i="134"/>
  <c r="CP64" i="134"/>
  <c r="CP61" i="134"/>
  <c r="CP69" i="134"/>
  <c r="CP72" i="134"/>
  <c r="CP63" i="134"/>
  <c r="CP65" i="134"/>
  <c r="CP66" i="134"/>
  <c r="CP67" i="134"/>
  <c r="CP75" i="134"/>
  <c r="CP70" i="134"/>
  <c r="CP71" i="134"/>
  <c r="CP62" i="134"/>
  <c r="CP76" i="134"/>
  <c r="CP73" i="134"/>
  <c r="CP74" i="134"/>
  <c r="CP68" i="134"/>
  <c r="CP86" i="134"/>
  <c r="CP80" i="134"/>
  <c r="CP84" i="134"/>
  <c r="CP87" i="134"/>
  <c r="CP90" i="134"/>
  <c r="CP93" i="134"/>
  <c r="CP81" i="134"/>
  <c r="CP83" i="134"/>
  <c r="CP77" i="134"/>
  <c r="CP85" i="134"/>
  <c r="CP78" i="134"/>
  <c r="CP88" i="134"/>
  <c r="CP92" i="134"/>
  <c r="CP96" i="134"/>
  <c r="CP97" i="134"/>
  <c r="CP82" i="134"/>
  <c r="CP89" i="134"/>
  <c r="CP94" i="134"/>
  <c r="CP79" i="134"/>
  <c r="CP99" i="134"/>
  <c r="CP102" i="134"/>
  <c r="CP98" i="134"/>
  <c r="CP91" i="134"/>
  <c r="CP100" i="134"/>
  <c r="CP95" i="134"/>
  <c r="CP101" i="134"/>
  <c r="CP54" i="134"/>
  <c r="CP28" i="134"/>
  <c r="CP29" i="134" s="1"/>
  <c r="CP53" i="134"/>
  <c r="BQ134" i="134"/>
  <c r="BQ46" i="134"/>
  <c r="BQ45" i="134"/>
  <c r="BQ128" i="134" s="1"/>
  <c r="BS32" i="134"/>
  <c r="BT27" i="134" s="1"/>
  <c r="BT31" i="134" s="1"/>
  <c r="CP103" i="134" s="1"/>
  <c r="BQ48" i="134"/>
  <c r="BQ127" i="134" s="1"/>
  <c r="BQ132" i="134" s="1"/>
  <c r="BQ49" i="134"/>
  <c r="BR124" i="134"/>
  <c r="BR44" i="134"/>
  <c r="BR47" i="134"/>
  <c r="CO38" i="134"/>
  <c r="CO37" i="134"/>
  <c r="CP39" i="134"/>
  <c r="CP52" i="134"/>
  <c r="CP140" i="134" s="1"/>
  <c r="CP36" i="134"/>
  <c r="CP30" i="134"/>
  <c r="CQ4" i="134"/>
  <c r="CP6" i="134"/>
  <c r="CO40" i="134"/>
  <c r="CO41" i="134"/>
  <c r="CU130" i="135" l="1"/>
  <c r="CV50" i="135"/>
  <c r="CV129" i="135"/>
  <c r="CV125" i="135" s="1"/>
  <c r="CV131" i="135" s="1"/>
  <c r="CV136" i="135"/>
  <c r="CV127" i="135"/>
  <c r="CU142" i="135"/>
  <c r="CU137" i="135"/>
  <c r="CU134" i="135"/>
  <c r="CU135" i="135" s="1"/>
  <c r="CX31" i="135"/>
  <c r="CW46" i="135"/>
  <c r="CW45" i="135"/>
  <c r="CW128" i="135" s="1"/>
  <c r="CW48" i="135"/>
  <c r="CW49" i="135"/>
  <c r="BQ141" i="134"/>
  <c r="BQ138" i="134"/>
  <c r="CQ55" i="134"/>
  <c r="CQ57" i="134"/>
  <c r="CQ56" i="134"/>
  <c r="CQ63" i="134"/>
  <c r="CQ60" i="134"/>
  <c r="CQ58" i="134"/>
  <c r="CQ59" i="134"/>
  <c r="CQ62" i="134"/>
  <c r="CQ61" i="134"/>
  <c r="CQ64" i="134"/>
  <c r="CQ69" i="134"/>
  <c r="CQ68" i="134"/>
  <c r="CQ72" i="134"/>
  <c r="CQ66" i="134"/>
  <c r="CQ67" i="134"/>
  <c r="CQ65" i="134"/>
  <c r="CQ70" i="134"/>
  <c r="CQ71" i="134"/>
  <c r="CQ73" i="134"/>
  <c r="CQ76" i="134"/>
  <c r="CQ80" i="134"/>
  <c r="CQ74" i="134"/>
  <c r="CQ75" i="134"/>
  <c r="CQ79" i="134"/>
  <c r="CQ82" i="134"/>
  <c r="CQ86" i="134"/>
  <c r="CQ84" i="134"/>
  <c r="CQ87" i="134"/>
  <c r="CQ81" i="134"/>
  <c r="CQ83" i="134"/>
  <c r="CQ77" i="134"/>
  <c r="CQ85" i="134"/>
  <c r="CQ88" i="134"/>
  <c r="CQ91" i="134"/>
  <c r="CQ94" i="134"/>
  <c r="CQ97" i="134"/>
  <c r="CQ95" i="134"/>
  <c r="CQ92" i="134"/>
  <c r="CQ98" i="134"/>
  <c r="CQ78" i="134"/>
  <c r="CQ93" i="134"/>
  <c r="CQ96" i="134"/>
  <c r="CQ89" i="134"/>
  <c r="CQ90" i="134"/>
  <c r="CQ103" i="134"/>
  <c r="CQ99" i="134"/>
  <c r="CQ100" i="134"/>
  <c r="CQ104" i="134"/>
  <c r="CQ101" i="134"/>
  <c r="CQ102" i="134"/>
  <c r="CQ54" i="134"/>
  <c r="BT103" i="134"/>
  <c r="BU103" i="134"/>
  <c r="BV103" i="134"/>
  <c r="BW103" i="134"/>
  <c r="BX103" i="134"/>
  <c r="BY103" i="134"/>
  <c r="BZ103" i="134"/>
  <c r="CA103" i="134"/>
  <c r="CB103" i="134"/>
  <c r="CC103" i="134"/>
  <c r="CD103" i="134"/>
  <c r="CE103" i="134"/>
  <c r="CF103" i="134"/>
  <c r="CG103" i="134"/>
  <c r="CH103" i="134"/>
  <c r="CI103" i="134"/>
  <c r="CJ103" i="134"/>
  <c r="CK103" i="134"/>
  <c r="CL103" i="134"/>
  <c r="CM103" i="134"/>
  <c r="CN103" i="134"/>
  <c r="CO103" i="134"/>
  <c r="CQ28" i="134"/>
  <c r="CQ29" i="134" s="1"/>
  <c r="CQ53" i="134"/>
  <c r="BT32" i="134"/>
  <c r="BU27" i="134" s="1"/>
  <c r="BU31" i="134" s="1"/>
  <c r="BR48" i="134"/>
  <c r="BR127" i="134" s="1"/>
  <c r="BR132" i="134" s="1"/>
  <c r="BR49" i="134"/>
  <c r="BS124" i="134"/>
  <c r="BS47" i="134"/>
  <c r="BS44" i="134"/>
  <c r="BR46" i="134"/>
  <c r="BR45" i="134"/>
  <c r="BR128" i="134" s="1"/>
  <c r="BR134" i="134"/>
  <c r="BQ135" i="134"/>
  <c r="BQ136" i="134" s="1"/>
  <c r="BQ130" i="134"/>
  <c r="BQ50" i="134"/>
  <c r="BQ129" i="134"/>
  <c r="BQ125" i="134" s="1"/>
  <c r="BQ131" i="134" s="1"/>
  <c r="BQ137" i="134"/>
  <c r="CP41" i="134"/>
  <c r="CP40" i="134"/>
  <c r="CQ52" i="134"/>
  <c r="CQ140" i="134" s="1"/>
  <c r="CQ39" i="134"/>
  <c r="CQ36" i="134"/>
  <c r="CQ30" i="134"/>
  <c r="CR4" i="134"/>
  <c r="CQ6" i="134"/>
  <c r="CP37" i="134"/>
  <c r="CP38" i="134"/>
  <c r="CX47" i="135" l="1"/>
  <c r="CX44" i="135"/>
  <c r="CX32" i="135"/>
  <c r="CY27" i="135" s="1"/>
  <c r="CV142" i="135"/>
  <c r="CV134" i="135"/>
  <c r="CV135" i="135" s="1"/>
  <c r="CV137" i="135"/>
  <c r="CW50" i="135"/>
  <c r="CW136" i="135"/>
  <c r="CW129" i="135"/>
  <c r="CW125" i="135" s="1"/>
  <c r="CW131" i="135" s="1"/>
  <c r="CW127" i="135"/>
  <c r="CV130" i="135"/>
  <c r="BR135" i="134"/>
  <c r="BR136" i="134" s="1"/>
  <c r="BR138" i="134"/>
  <c r="BR141" i="134"/>
  <c r="BU104" i="134"/>
  <c r="BV104" i="134"/>
  <c r="BW104" i="134"/>
  <c r="BX104" i="134"/>
  <c r="BY104" i="134"/>
  <c r="BZ104" i="134"/>
  <c r="CA104" i="134"/>
  <c r="CB104" i="134"/>
  <c r="CC104" i="134"/>
  <c r="CD104" i="134"/>
  <c r="CE104" i="134"/>
  <c r="CF104" i="134"/>
  <c r="CG104" i="134"/>
  <c r="CH104" i="134"/>
  <c r="CI104" i="134"/>
  <c r="CJ104" i="134"/>
  <c r="CK104" i="134"/>
  <c r="CL104" i="134"/>
  <c r="CM104" i="134"/>
  <c r="CN104" i="134"/>
  <c r="CO104" i="134"/>
  <c r="CP104" i="134"/>
  <c r="CR57" i="134"/>
  <c r="CR60" i="134"/>
  <c r="CR63" i="134"/>
  <c r="CR61" i="134"/>
  <c r="CR56" i="134"/>
  <c r="CR58" i="134"/>
  <c r="CR62" i="134"/>
  <c r="CR59" i="134"/>
  <c r="CR65" i="134"/>
  <c r="CR66" i="134"/>
  <c r="CR55" i="134"/>
  <c r="CR64" i="134"/>
  <c r="CR67" i="134"/>
  <c r="CR70" i="134"/>
  <c r="CR68" i="134"/>
  <c r="CR72" i="134"/>
  <c r="CR69" i="134"/>
  <c r="CR71" i="134"/>
  <c r="CR73" i="134"/>
  <c r="CR76" i="134"/>
  <c r="CR77" i="134"/>
  <c r="CR78" i="134"/>
  <c r="CR74" i="134"/>
  <c r="CR81" i="134"/>
  <c r="CR79" i="134"/>
  <c r="CR82" i="134"/>
  <c r="CR86" i="134"/>
  <c r="CR89" i="134"/>
  <c r="CR92" i="134"/>
  <c r="CR95" i="134"/>
  <c r="CR98" i="134"/>
  <c r="CR80" i="134"/>
  <c r="CR75" i="134"/>
  <c r="CR84" i="134"/>
  <c r="CR87" i="134"/>
  <c r="CR83" i="134"/>
  <c r="CR85" i="134"/>
  <c r="CR91" i="134"/>
  <c r="CR88" i="134"/>
  <c r="CR100" i="134"/>
  <c r="CR103" i="134"/>
  <c r="CR97" i="134"/>
  <c r="CR93" i="134"/>
  <c r="CR96" i="134"/>
  <c r="CR90" i="134"/>
  <c r="CR94" i="134"/>
  <c r="CR99" i="134"/>
  <c r="CR101" i="134"/>
  <c r="CR102" i="134"/>
  <c r="CR104" i="134"/>
  <c r="CR54" i="134"/>
  <c r="BR130" i="134"/>
  <c r="CR28" i="134"/>
  <c r="CR53" i="134"/>
  <c r="BR50" i="134"/>
  <c r="BR137" i="134"/>
  <c r="BR129" i="134"/>
  <c r="BR125" i="134" s="1"/>
  <c r="BR131" i="134" s="1"/>
  <c r="BU32" i="134"/>
  <c r="BV27" i="134" s="1"/>
  <c r="BV31" i="134" s="1"/>
  <c r="BS134" i="134"/>
  <c r="BT124" i="134"/>
  <c r="BT44" i="134"/>
  <c r="BT47" i="134"/>
  <c r="BS46" i="134"/>
  <c r="BS45" i="134"/>
  <c r="BS128" i="134" s="1"/>
  <c r="BS49" i="134"/>
  <c r="BS48" i="134"/>
  <c r="CQ38" i="134"/>
  <c r="CQ37" i="134"/>
  <c r="CR39" i="134"/>
  <c r="CR36" i="134"/>
  <c r="CR52" i="134"/>
  <c r="CR140" i="134" s="1"/>
  <c r="CR29" i="134"/>
  <c r="CR30" i="134"/>
  <c r="CS4" i="134"/>
  <c r="CR6" i="134"/>
  <c r="CQ40" i="134"/>
  <c r="CQ41" i="134"/>
  <c r="CW130" i="135" l="1"/>
  <c r="CW137" i="135"/>
  <c r="CW142" i="135"/>
  <c r="CW134" i="135"/>
  <c r="CW135" i="135" s="1"/>
  <c r="CY31" i="135"/>
  <c r="CX45" i="135"/>
  <c r="CX128" i="135" s="1"/>
  <c r="CX46" i="135"/>
  <c r="CX49" i="135"/>
  <c r="CX48" i="135"/>
  <c r="CS57" i="134"/>
  <c r="CS55" i="134"/>
  <c r="CS56" i="134"/>
  <c r="CS60" i="134"/>
  <c r="CS58" i="134"/>
  <c r="CS62" i="134"/>
  <c r="CS65" i="134"/>
  <c r="CS66" i="134"/>
  <c r="CS59" i="134"/>
  <c r="CS61" i="134"/>
  <c r="CS64" i="134"/>
  <c r="CS63" i="134"/>
  <c r="CS68" i="134"/>
  <c r="CS72" i="134"/>
  <c r="CS67" i="134"/>
  <c r="CS69" i="134"/>
  <c r="CS70" i="134"/>
  <c r="CS75" i="134"/>
  <c r="CS77" i="134"/>
  <c r="CS78" i="134"/>
  <c r="CS76" i="134"/>
  <c r="CS79" i="134"/>
  <c r="CS82" i="134"/>
  <c r="CS71" i="134"/>
  <c r="CS73" i="134"/>
  <c r="CS74" i="134"/>
  <c r="CS86" i="134"/>
  <c r="CS80" i="134"/>
  <c r="CS81" i="134"/>
  <c r="CS84" i="134"/>
  <c r="CS87" i="134"/>
  <c r="CS83" i="134"/>
  <c r="CS91" i="134"/>
  <c r="CS95" i="134"/>
  <c r="CS99" i="134"/>
  <c r="CS88" i="134"/>
  <c r="CS92" i="134"/>
  <c r="CS85" i="134"/>
  <c r="CS97" i="134"/>
  <c r="CS89" i="134"/>
  <c r="CS93" i="134"/>
  <c r="CS96" i="134"/>
  <c r="CS101" i="134"/>
  <c r="CS104" i="134"/>
  <c r="CS90" i="134"/>
  <c r="CS94" i="134"/>
  <c r="CS98" i="134"/>
  <c r="CS103" i="134"/>
  <c r="CS100" i="134"/>
  <c r="CS102" i="134"/>
  <c r="CS105" i="134"/>
  <c r="CS54" i="134"/>
  <c r="BV105" i="134"/>
  <c r="BW105" i="134"/>
  <c r="BX105" i="134"/>
  <c r="BY105" i="134"/>
  <c r="BZ105" i="134"/>
  <c r="CA105" i="134"/>
  <c r="CB105" i="134"/>
  <c r="CC105" i="134"/>
  <c r="CD105" i="134"/>
  <c r="CE105" i="134"/>
  <c r="CF105" i="134"/>
  <c r="CG105" i="134"/>
  <c r="CH105" i="134"/>
  <c r="CI105" i="134"/>
  <c r="CJ105" i="134"/>
  <c r="CK105" i="134"/>
  <c r="CL105" i="134"/>
  <c r="CM105" i="134"/>
  <c r="CN105" i="134"/>
  <c r="CO105" i="134"/>
  <c r="CP105" i="134"/>
  <c r="CQ105" i="134"/>
  <c r="CR105" i="134"/>
  <c r="CS28" i="134"/>
  <c r="CS29" i="134" s="1"/>
  <c r="CS53" i="134"/>
  <c r="BS50" i="134"/>
  <c r="BS129" i="134"/>
  <c r="BS125" i="134" s="1"/>
  <c r="BS131" i="134" s="1"/>
  <c r="BS137" i="134"/>
  <c r="BS127" i="134"/>
  <c r="BS132" i="134" s="1"/>
  <c r="BV32" i="134"/>
  <c r="BW27" i="134" s="1"/>
  <c r="BW31" i="134" s="1"/>
  <c r="CS106" i="134" s="1"/>
  <c r="BU124" i="134"/>
  <c r="BU47" i="134"/>
  <c r="BU44" i="134"/>
  <c r="BT134" i="134"/>
  <c r="BT46" i="134"/>
  <c r="BT45" i="134"/>
  <c r="BT128" i="134" s="1"/>
  <c r="BT48" i="134"/>
  <c r="BT127" i="134" s="1"/>
  <c r="BT132" i="134" s="1"/>
  <c r="BT49" i="134"/>
  <c r="CR37" i="134"/>
  <c r="CR38" i="134"/>
  <c r="CR40" i="134"/>
  <c r="CR41" i="134"/>
  <c r="CS39" i="134"/>
  <c r="CS52" i="134"/>
  <c r="CS140" i="134" s="1"/>
  <c r="CS30" i="134"/>
  <c r="CS36" i="134"/>
  <c r="CS6" i="134"/>
  <c r="CT4" i="134"/>
  <c r="CY44" i="135" l="1"/>
  <c r="CY47" i="135"/>
  <c r="CY32" i="135"/>
  <c r="CZ27" i="135" s="1"/>
  <c r="CX50" i="135"/>
  <c r="CX136" i="135"/>
  <c r="CX129" i="135"/>
  <c r="CX125" i="135" s="1"/>
  <c r="CX131" i="135" s="1"/>
  <c r="CX127" i="135"/>
  <c r="BS141" i="134"/>
  <c r="BS138" i="134"/>
  <c r="BT135" i="134"/>
  <c r="BT136" i="134" s="1"/>
  <c r="BT141" i="134"/>
  <c r="BT138" i="134"/>
  <c r="CT56" i="134"/>
  <c r="CT59" i="134"/>
  <c r="CT55" i="134"/>
  <c r="CT57" i="134"/>
  <c r="CT60" i="134"/>
  <c r="CT58" i="134"/>
  <c r="CT62" i="134"/>
  <c r="CT65" i="134"/>
  <c r="CT66" i="134"/>
  <c r="CT68" i="134"/>
  <c r="CT71" i="134"/>
  <c r="CT61" i="134"/>
  <c r="CT64" i="134"/>
  <c r="CT63" i="134"/>
  <c r="CT72" i="134"/>
  <c r="CT74" i="134"/>
  <c r="CT67" i="134"/>
  <c r="CT69" i="134"/>
  <c r="CT70" i="134"/>
  <c r="CT75" i="134"/>
  <c r="CT77" i="134"/>
  <c r="CT78" i="134"/>
  <c r="CT76" i="134"/>
  <c r="CT73" i="134"/>
  <c r="CT85" i="134"/>
  <c r="CT88" i="134"/>
  <c r="CT79" i="134"/>
  <c r="CT82" i="134"/>
  <c r="CT86" i="134"/>
  <c r="CT89" i="134"/>
  <c r="CT92" i="134"/>
  <c r="CT95" i="134"/>
  <c r="CT80" i="134"/>
  <c r="CT81" i="134"/>
  <c r="CT84" i="134"/>
  <c r="CT87" i="134"/>
  <c r="CT83" i="134"/>
  <c r="CT91" i="134"/>
  <c r="CT98" i="134"/>
  <c r="CT97" i="134"/>
  <c r="CT93" i="134"/>
  <c r="CT96" i="134"/>
  <c r="CT101" i="134"/>
  <c r="CT104" i="134"/>
  <c r="CT103" i="134"/>
  <c r="CT99" i="134"/>
  <c r="CT100" i="134"/>
  <c r="CT90" i="134"/>
  <c r="CT105" i="134"/>
  <c r="CT94" i="134"/>
  <c r="CT102" i="134"/>
  <c r="CT54" i="134"/>
  <c r="CT106" i="134"/>
  <c r="BW106" i="134"/>
  <c r="BX106" i="134"/>
  <c r="BY106" i="134"/>
  <c r="BZ106" i="134"/>
  <c r="CA106" i="134"/>
  <c r="CB106" i="134"/>
  <c r="CC106" i="134"/>
  <c r="CD106" i="134"/>
  <c r="CE106" i="134"/>
  <c r="CF106" i="134"/>
  <c r="CG106" i="134"/>
  <c r="CH106" i="134"/>
  <c r="CI106" i="134"/>
  <c r="CJ106" i="134"/>
  <c r="CK106" i="134"/>
  <c r="CL106" i="134"/>
  <c r="CM106" i="134"/>
  <c r="CN106" i="134"/>
  <c r="CO106" i="134"/>
  <c r="CP106" i="134"/>
  <c r="CQ106" i="134"/>
  <c r="CR106" i="134"/>
  <c r="CT28" i="134"/>
  <c r="CT29" i="134" s="1"/>
  <c r="CT53" i="134"/>
  <c r="BW32" i="134"/>
  <c r="BX27" i="134" s="1"/>
  <c r="BX31" i="134" s="1"/>
  <c r="CT107" i="134" s="1"/>
  <c r="BV124" i="134"/>
  <c r="BV44" i="134"/>
  <c r="BV47" i="134"/>
  <c r="BS135" i="134"/>
  <c r="BS136" i="134" s="1"/>
  <c r="BS130" i="134"/>
  <c r="BT130" i="134" s="1"/>
  <c r="BU45" i="134"/>
  <c r="BU128" i="134" s="1"/>
  <c r="BU46" i="134"/>
  <c r="BU49" i="134"/>
  <c r="BU48" i="134"/>
  <c r="BU127" i="134" s="1"/>
  <c r="BU132" i="134" s="1"/>
  <c r="BT50" i="134"/>
  <c r="BT137" i="134"/>
  <c r="BT129" i="134"/>
  <c r="BT125" i="134" s="1"/>
  <c r="BT131" i="134" s="1"/>
  <c r="BU134" i="134"/>
  <c r="CS38" i="134"/>
  <c r="CS37" i="134"/>
  <c r="CS41" i="134"/>
  <c r="CS40" i="134"/>
  <c r="CT52" i="134"/>
  <c r="CT140" i="134" s="1"/>
  <c r="CT36" i="134"/>
  <c r="CT30" i="134"/>
  <c r="CT6" i="134"/>
  <c r="CT39" i="134"/>
  <c r="CU4" i="134"/>
  <c r="CX137" i="135" l="1"/>
  <c r="CX142" i="135"/>
  <c r="CX134" i="135"/>
  <c r="CX135" i="135" s="1"/>
  <c r="CX130" i="135"/>
  <c r="CZ31" i="135"/>
  <c r="CY48" i="135"/>
  <c r="CY49" i="135"/>
  <c r="CY45" i="135"/>
  <c r="CY128" i="135" s="1"/>
  <c r="CY46" i="135"/>
  <c r="BU135" i="134"/>
  <c r="BU136" i="134" s="1"/>
  <c r="BU141" i="134"/>
  <c r="BU138" i="134"/>
  <c r="CU56" i="134"/>
  <c r="CU57" i="134"/>
  <c r="CU59" i="134"/>
  <c r="CU55" i="134"/>
  <c r="CU61" i="134"/>
  <c r="CU60" i="134"/>
  <c r="CU66" i="134"/>
  <c r="CU58" i="134"/>
  <c r="CU67" i="134"/>
  <c r="CU62" i="134"/>
  <c r="CU65" i="134"/>
  <c r="CU68" i="134"/>
  <c r="CU71" i="134"/>
  <c r="CU64" i="134"/>
  <c r="CU63" i="134"/>
  <c r="CU72" i="134"/>
  <c r="CU69" i="134"/>
  <c r="CU70" i="134"/>
  <c r="CU75" i="134"/>
  <c r="CU78" i="134"/>
  <c r="CU77" i="134"/>
  <c r="CU76" i="134"/>
  <c r="CU79" i="134"/>
  <c r="CU73" i="134"/>
  <c r="CU74" i="134"/>
  <c r="CU85" i="134"/>
  <c r="CU88" i="134"/>
  <c r="CU82" i="134"/>
  <c r="CU86" i="134"/>
  <c r="CU80" i="134"/>
  <c r="CU81" i="134"/>
  <c r="CU84" i="134"/>
  <c r="CU87" i="134"/>
  <c r="CU90" i="134"/>
  <c r="CU93" i="134"/>
  <c r="CU96" i="134"/>
  <c r="CU83" i="134"/>
  <c r="CU94" i="134"/>
  <c r="CU95" i="134"/>
  <c r="CU91" i="134"/>
  <c r="CU92" i="134"/>
  <c r="CU98" i="134"/>
  <c r="CU89" i="134"/>
  <c r="CU97" i="134"/>
  <c r="CU102" i="134"/>
  <c r="CU103" i="134"/>
  <c r="CU99" i="134"/>
  <c r="CU104" i="134"/>
  <c r="CU100" i="134"/>
  <c r="CU101" i="134"/>
  <c r="CU105" i="134"/>
  <c r="CU106" i="134"/>
  <c r="CU107" i="134"/>
  <c r="CU54" i="134"/>
  <c r="BX107" i="134"/>
  <c r="BY107" i="134"/>
  <c r="BZ107" i="134"/>
  <c r="CA107" i="134"/>
  <c r="CB107" i="134"/>
  <c r="CC107" i="134"/>
  <c r="CD107" i="134"/>
  <c r="CE107" i="134"/>
  <c r="CF107" i="134"/>
  <c r="CG107" i="134"/>
  <c r="CH107" i="134"/>
  <c r="CI107" i="134"/>
  <c r="CJ107" i="134"/>
  <c r="CK107" i="134"/>
  <c r="CL107" i="134"/>
  <c r="CM107" i="134"/>
  <c r="CN107" i="134"/>
  <c r="CO107" i="134"/>
  <c r="CP107" i="134"/>
  <c r="CQ107" i="134"/>
  <c r="CR107" i="134"/>
  <c r="CS107" i="134"/>
  <c r="CU28" i="134"/>
  <c r="CU29" i="134" s="1"/>
  <c r="CU53" i="134"/>
  <c r="BV45" i="134"/>
  <c r="BV128" i="134" s="1"/>
  <c r="BV46" i="134"/>
  <c r="BV48" i="134"/>
  <c r="BV127" i="134" s="1"/>
  <c r="BV132" i="134" s="1"/>
  <c r="BV49" i="134"/>
  <c r="BV134" i="134"/>
  <c r="BX32" i="134"/>
  <c r="BY27" i="134" s="1"/>
  <c r="BY31" i="134" s="1"/>
  <c r="CU108" i="134" s="1"/>
  <c r="BW124" i="134"/>
  <c r="BW44" i="134"/>
  <c r="BW47" i="134"/>
  <c r="BU50" i="134"/>
  <c r="BU137" i="134"/>
  <c r="BU129" i="134"/>
  <c r="BU125" i="134" s="1"/>
  <c r="BU131" i="134" s="1"/>
  <c r="BU130" i="134"/>
  <c r="CT40" i="134"/>
  <c r="CT41" i="134"/>
  <c r="CT38" i="134"/>
  <c r="CT37" i="134"/>
  <c r="CU39" i="134"/>
  <c r="CU30" i="134"/>
  <c r="CU36" i="134"/>
  <c r="CU52" i="134"/>
  <c r="CU140" i="134" s="1"/>
  <c r="CU6" i="134"/>
  <c r="CV4" i="134"/>
  <c r="CZ44" i="135" l="1"/>
  <c r="CZ47" i="135"/>
  <c r="CY50" i="135"/>
  <c r="CY136" i="135"/>
  <c r="CY129" i="135"/>
  <c r="CY125" i="135" s="1"/>
  <c r="CY131" i="135" s="1"/>
  <c r="CY127" i="135"/>
  <c r="CY130" i="135" s="1"/>
  <c r="CZ32" i="135"/>
  <c r="BV135" i="134"/>
  <c r="BV136" i="134" s="1"/>
  <c r="BV141" i="134"/>
  <c r="BV138" i="134"/>
  <c r="CV56" i="134"/>
  <c r="CV59" i="134"/>
  <c r="CV62" i="134"/>
  <c r="CV55" i="134"/>
  <c r="CV64" i="134"/>
  <c r="CV57" i="134"/>
  <c r="CV60" i="134"/>
  <c r="CV66" i="134"/>
  <c r="CV63" i="134"/>
  <c r="CV67" i="134"/>
  <c r="CV65" i="134"/>
  <c r="CV61" i="134"/>
  <c r="CV58" i="134"/>
  <c r="CV69" i="134"/>
  <c r="CV72" i="134"/>
  <c r="CV71" i="134"/>
  <c r="CV68" i="134"/>
  <c r="CV70" i="134"/>
  <c r="CV75" i="134"/>
  <c r="CV78" i="134"/>
  <c r="CV77" i="134"/>
  <c r="CV76" i="134"/>
  <c r="CV73" i="134"/>
  <c r="CV80" i="134"/>
  <c r="CV85" i="134"/>
  <c r="CV88" i="134"/>
  <c r="CV91" i="134"/>
  <c r="CV94" i="134"/>
  <c r="CV97" i="134"/>
  <c r="CV79" i="134"/>
  <c r="CV82" i="134"/>
  <c r="CV86" i="134"/>
  <c r="CV81" i="134"/>
  <c r="CV84" i="134"/>
  <c r="CV87" i="134"/>
  <c r="CV74" i="134"/>
  <c r="CV90" i="134"/>
  <c r="CV83" i="134"/>
  <c r="CV95" i="134"/>
  <c r="CV99" i="134"/>
  <c r="CV102" i="134"/>
  <c r="CV105" i="134"/>
  <c r="CV92" i="134"/>
  <c r="CV98" i="134"/>
  <c r="CV89" i="134"/>
  <c r="CV93" i="134"/>
  <c r="CV96" i="134"/>
  <c r="CV107" i="134"/>
  <c r="CV103" i="134"/>
  <c r="CV100" i="134"/>
  <c r="CV101" i="134"/>
  <c r="CV106" i="134"/>
  <c r="CV54" i="134"/>
  <c r="CV104" i="134"/>
  <c r="CV108" i="134"/>
  <c r="BY108" i="134"/>
  <c r="BZ108" i="134"/>
  <c r="CA108" i="134"/>
  <c r="CB108" i="134"/>
  <c r="CC108" i="134"/>
  <c r="CD108" i="134"/>
  <c r="CE108" i="134"/>
  <c r="CF108" i="134"/>
  <c r="CG108" i="134"/>
  <c r="CH108" i="134"/>
  <c r="CI108" i="134"/>
  <c r="CJ108" i="134"/>
  <c r="CK108" i="134"/>
  <c r="CL108" i="134"/>
  <c r="CM108" i="134"/>
  <c r="CN108" i="134"/>
  <c r="CO108" i="134"/>
  <c r="CP108" i="134"/>
  <c r="CQ108" i="134"/>
  <c r="CR108" i="134"/>
  <c r="CS108" i="134"/>
  <c r="CT108" i="134"/>
  <c r="BV130" i="134"/>
  <c r="CV28" i="134"/>
  <c r="CV29" i="134" s="1"/>
  <c r="CV53" i="134"/>
  <c r="BY32" i="134"/>
  <c r="BZ27" i="134" s="1"/>
  <c r="BZ31" i="134" s="1"/>
  <c r="BX124" i="134"/>
  <c r="BX47" i="134"/>
  <c r="BX44" i="134"/>
  <c r="BW134" i="134"/>
  <c r="BW49" i="134"/>
  <c r="BW48" i="134"/>
  <c r="BW46" i="134"/>
  <c r="BW45" i="134"/>
  <c r="BW128" i="134" s="1"/>
  <c r="BV50" i="134"/>
  <c r="BV137" i="134"/>
  <c r="BV129" i="134"/>
  <c r="BV125" i="134" s="1"/>
  <c r="BV131" i="134" s="1"/>
  <c r="CU40" i="134"/>
  <c r="CU41" i="134"/>
  <c r="CV39" i="134"/>
  <c r="CV36" i="134"/>
  <c r="CV52" i="134"/>
  <c r="CV140" i="134" s="1"/>
  <c r="CV30" i="134"/>
  <c r="CV6" i="134"/>
  <c r="CW4" i="134"/>
  <c r="CU37" i="134"/>
  <c r="CU38" i="134"/>
  <c r="CY137" i="135" l="1"/>
  <c r="CY142" i="135"/>
  <c r="CY134" i="135"/>
  <c r="CY135" i="135" s="1"/>
  <c r="CZ48" i="135"/>
  <c r="CZ49" i="135"/>
  <c r="CZ46" i="135"/>
  <c r="CZ45" i="135"/>
  <c r="CZ128" i="135" s="1"/>
  <c r="BZ109" i="134"/>
  <c r="CA109" i="134"/>
  <c r="CB109" i="134"/>
  <c r="CC109" i="134"/>
  <c r="CD109" i="134"/>
  <c r="CE109" i="134"/>
  <c r="CF109" i="134"/>
  <c r="CG109" i="134"/>
  <c r="CH109" i="134"/>
  <c r="CI109" i="134"/>
  <c r="CJ109" i="134"/>
  <c r="CK109" i="134"/>
  <c r="CL109" i="134"/>
  <c r="CM109" i="134"/>
  <c r="CN109" i="134"/>
  <c r="CO109" i="134"/>
  <c r="CP109" i="134"/>
  <c r="CQ109" i="134"/>
  <c r="CR109" i="134"/>
  <c r="CS109" i="134"/>
  <c r="CT109" i="134"/>
  <c r="CU109" i="134"/>
  <c r="CW55" i="134"/>
  <c r="CW56" i="134"/>
  <c r="CW58" i="134"/>
  <c r="CW59" i="134"/>
  <c r="CW57" i="134"/>
  <c r="CW63" i="134"/>
  <c r="CW60" i="134"/>
  <c r="CW67" i="134"/>
  <c r="CW62" i="134"/>
  <c r="CW66" i="134"/>
  <c r="CW65" i="134"/>
  <c r="CW61" i="134"/>
  <c r="CW64" i="134"/>
  <c r="CW71" i="134"/>
  <c r="CW68" i="134"/>
  <c r="CW72" i="134"/>
  <c r="CW69" i="134"/>
  <c r="CW74" i="134"/>
  <c r="CW75" i="134"/>
  <c r="CW81" i="134"/>
  <c r="CW77" i="134"/>
  <c r="CW76" i="134"/>
  <c r="CW73" i="134"/>
  <c r="CW70" i="134"/>
  <c r="CW78" i="134"/>
  <c r="CW83" i="134"/>
  <c r="CW85" i="134"/>
  <c r="CW79" i="134"/>
  <c r="CW82" i="134"/>
  <c r="CW80" i="134"/>
  <c r="CW86" i="134"/>
  <c r="CW90" i="134"/>
  <c r="CW94" i="134"/>
  <c r="CW88" i="134"/>
  <c r="CW91" i="134"/>
  <c r="CW95" i="134"/>
  <c r="CW92" i="134"/>
  <c r="CW84" i="134"/>
  <c r="CW97" i="134"/>
  <c r="CW98" i="134"/>
  <c r="CW100" i="134"/>
  <c r="CW103" i="134"/>
  <c r="CW106" i="134"/>
  <c r="CW89" i="134"/>
  <c r="CW93" i="134"/>
  <c r="CW96" i="134"/>
  <c r="CW102" i="134"/>
  <c r="CW109" i="134"/>
  <c r="CW87" i="134"/>
  <c r="CW99" i="134"/>
  <c r="CW101" i="134"/>
  <c r="CW105" i="134"/>
  <c r="CW104" i="134"/>
  <c r="CW107" i="134"/>
  <c r="CW108" i="134"/>
  <c r="CW54" i="134"/>
  <c r="CV109" i="134"/>
  <c r="CW28" i="134"/>
  <c r="CW29" i="134" s="1"/>
  <c r="CW53" i="134"/>
  <c r="BX48" i="134"/>
  <c r="BX127" i="134" s="1"/>
  <c r="BX132" i="134" s="1"/>
  <c r="BX49" i="134"/>
  <c r="BX46" i="134"/>
  <c r="BX45" i="134"/>
  <c r="BX128" i="134" s="1"/>
  <c r="BX134" i="134"/>
  <c r="BZ32" i="134"/>
  <c r="CA27" i="134" s="1"/>
  <c r="CA31" i="134" s="1"/>
  <c r="CW110" i="134" s="1"/>
  <c r="BY124" i="134"/>
  <c r="BY44" i="134"/>
  <c r="BY47" i="134"/>
  <c r="BW50" i="134"/>
  <c r="BW137" i="134"/>
  <c r="BW129" i="134"/>
  <c r="BW125" i="134" s="1"/>
  <c r="BW131" i="134" s="1"/>
  <c r="BW127" i="134"/>
  <c r="BW132" i="134" s="1"/>
  <c r="CV38" i="134"/>
  <c r="CV37" i="134"/>
  <c r="CV41" i="134"/>
  <c r="CV40" i="134"/>
  <c r="CW36" i="134"/>
  <c r="CW52" i="134"/>
  <c r="CW140" i="134" s="1"/>
  <c r="CW30" i="134"/>
  <c r="CW39" i="134"/>
  <c r="CW6" i="134"/>
  <c r="CX4" i="134"/>
  <c r="CZ50" i="135" l="1"/>
  <c r="CZ136" i="135"/>
  <c r="CZ129" i="135"/>
  <c r="CZ125" i="135" s="1"/>
  <c r="CZ131" i="135" s="1"/>
  <c r="CZ127" i="135"/>
  <c r="BX135" i="134"/>
  <c r="BX136" i="134" s="1"/>
  <c r="BX138" i="134"/>
  <c r="BX141" i="134"/>
  <c r="BW141" i="134"/>
  <c r="BW138" i="134"/>
  <c r="CX55" i="134"/>
  <c r="CX58" i="134"/>
  <c r="CX59" i="134"/>
  <c r="CX56" i="134"/>
  <c r="CX57" i="134"/>
  <c r="CX63" i="134"/>
  <c r="CX67" i="134"/>
  <c r="CX70" i="134"/>
  <c r="CX62" i="134"/>
  <c r="CX66" i="134"/>
  <c r="CX65" i="134"/>
  <c r="CX61" i="134"/>
  <c r="CX60" i="134"/>
  <c r="CX64" i="134"/>
  <c r="CX71" i="134"/>
  <c r="CX73" i="134"/>
  <c r="CX76" i="134"/>
  <c r="CX68" i="134"/>
  <c r="CX72" i="134"/>
  <c r="CX69" i="134"/>
  <c r="CX74" i="134"/>
  <c r="CX75" i="134"/>
  <c r="CX78" i="134"/>
  <c r="CX77" i="134"/>
  <c r="CX84" i="134"/>
  <c r="CX87" i="134"/>
  <c r="CX83" i="134"/>
  <c r="CX85" i="134"/>
  <c r="CX88" i="134"/>
  <c r="CX91" i="134"/>
  <c r="CX94" i="134"/>
  <c r="CX79" i="134"/>
  <c r="CX82" i="134"/>
  <c r="CX80" i="134"/>
  <c r="CX86" i="134"/>
  <c r="CX90" i="134"/>
  <c r="CX95" i="134"/>
  <c r="CX92" i="134"/>
  <c r="CX97" i="134"/>
  <c r="CX98" i="134"/>
  <c r="CX100" i="134"/>
  <c r="CX103" i="134"/>
  <c r="CX106" i="134"/>
  <c r="CX109" i="134"/>
  <c r="CX81" i="134"/>
  <c r="CX89" i="134"/>
  <c r="CX102" i="134"/>
  <c r="CX93" i="134"/>
  <c r="CX99" i="134"/>
  <c r="CX104" i="134"/>
  <c r="CX96" i="134"/>
  <c r="CX110" i="134"/>
  <c r="CX105" i="134"/>
  <c r="CX101" i="134"/>
  <c r="CX107" i="134"/>
  <c r="CX108" i="134"/>
  <c r="CX54" i="134"/>
  <c r="CA110" i="134"/>
  <c r="CB110" i="134"/>
  <c r="CC110" i="134"/>
  <c r="CD110" i="134"/>
  <c r="CE110" i="134"/>
  <c r="CF110" i="134"/>
  <c r="CG110" i="134"/>
  <c r="CH110" i="134"/>
  <c r="CI110" i="134"/>
  <c r="CJ110" i="134"/>
  <c r="CK110" i="134"/>
  <c r="CL110" i="134"/>
  <c r="CM110" i="134"/>
  <c r="CN110" i="134"/>
  <c r="CO110" i="134"/>
  <c r="CP110" i="134"/>
  <c r="CQ110" i="134"/>
  <c r="CR110" i="134"/>
  <c r="CS110" i="134"/>
  <c r="CT110" i="134"/>
  <c r="CU110" i="134"/>
  <c r="CV110" i="134"/>
  <c r="CX28" i="134"/>
  <c r="CX29" i="134" s="1"/>
  <c r="CX53" i="134"/>
  <c r="BZ124" i="134"/>
  <c r="BZ47" i="134"/>
  <c r="BZ44" i="134"/>
  <c r="BW135" i="134"/>
  <c r="BW136" i="134" s="1"/>
  <c r="BW130" i="134"/>
  <c r="BX130" i="134" s="1"/>
  <c r="BY134" i="134"/>
  <c r="BX50" i="134"/>
  <c r="BX137" i="134"/>
  <c r="BX129" i="134"/>
  <c r="BX125" i="134" s="1"/>
  <c r="BX131" i="134" s="1"/>
  <c r="CA32" i="134"/>
  <c r="CB27" i="134" s="1"/>
  <c r="CB31" i="134" s="1"/>
  <c r="CX111" i="134" s="1"/>
  <c r="BY49" i="134"/>
  <c r="BY48" i="134"/>
  <c r="BY127" i="134" s="1"/>
  <c r="BY132" i="134" s="1"/>
  <c r="BY46" i="134"/>
  <c r="BY45" i="134"/>
  <c r="BY128" i="134" s="1"/>
  <c r="CW37" i="134"/>
  <c r="CW38" i="134"/>
  <c r="CW41" i="134"/>
  <c r="CW40" i="134"/>
  <c r="CX52" i="134"/>
  <c r="CX140" i="134" s="1"/>
  <c r="CX39" i="134"/>
  <c r="CX36" i="134"/>
  <c r="CX6" i="134"/>
  <c r="CY4" i="134"/>
  <c r="CX30" i="134"/>
  <c r="CZ137" i="135" l="1"/>
  <c r="CZ142" i="135"/>
  <c r="CZ134" i="135"/>
  <c r="CZ135" i="135" s="1"/>
  <c r="CZ130" i="135"/>
  <c r="BY135" i="134"/>
  <c r="BY136" i="134" s="1"/>
  <c r="BY138" i="134"/>
  <c r="BY141" i="134"/>
  <c r="CY55" i="134"/>
  <c r="CY56" i="134"/>
  <c r="CY60" i="134"/>
  <c r="CY58" i="134"/>
  <c r="CY59" i="134"/>
  <c r="CY57" i="134"/>
  <c r="CY65" i="134"/>
  <c r="CY63" i="134"/>
  <c r="CY67" i="134"/>
  <c r="CY70" i="134"/>
  <c r="CY62" i="134"/>
  <c r="CY66" i="134"/>
  <c r="CY61" i="134"/>
  <c r="CY71" i="134"/>
  <c r="CY68" i="134"/>
  <c r="CY72" i="134"/>
  <c r="CY69" i="134"/>
  <c r="CY74" i="134"/>
  <c r="CY77" i="134"/>
  <c r="CY64" i="134"/>
  <c r="CY75" i="134"/>
  <c r="CY81" i="134"/>
  <c r="CY76" i="134"/>
  <c r="CY73" i="134"/>
  <c r="CY78" i="134"/>
  <c r="CY84" i="134"/>
  <c r="CY87" i="134"/>
  <c r="CY83" i="134"/>
  <c r="CY85" i="134"/>
  <c r="CY79" i="134"/>
  <c r="CY82" i="134"/>
  <c r="CY80" i="134"/>
  <c r="CY86" i="134"/>
  <c r="CY89" i="134"/>
  <c r="CY92" i="134"/>
  <c r="CY95" i="134"/>
  <c r="CY98" i="134"/>
  <c r="CY93" i="134"/>
  <c r="CY96" i="134"/>
  <c r="CY94" i="134"/>
  <c r="CY90" i="134"/>
  <c r="CY88" i="134"/>
  <c r="CY91" i="134"/>
  <c r="CY99" i="134"/>
  <c r="CY101" i="134"/>
  <c r="CY102" i="134"/>
  <c r="CY97" i="134"/>
  <c r="CY103" i="134"/>
  <c r="CY100" i="134"/>
  <c r="CY104" i="134"/>
  <c r="CY106" i="134"/>
  <c r="CY110" i="134"/>
  <c r="CY109" i="134"/>
  <c r="CY111" i="134"/>
  <c r="CY105" i="134"/>
  <c r="CY107" i="134"/>
  <c r="CY54" i="134"/>
  <c r="CY108" i="134"/>
  <c r="CB111" i="134"/>
  <c r="CC111" i="134"/>
  <c r="CD111" i="134"/>
  <c r="CE111" i="134"/>
  <c r="CF111" i="134"/>
  <c r="CG111" i="134"/>
  <c r="CH111" i="134"/>
  <c r="CI111" i="134"/>
  <c r="CJ111" i="134"/>
  <c r="CK111" i="134"/>
  <c r="CL111" i="134"/>
  <c r="CM111" i="134"/>
  <c r="CN111" i="134"/>
  <c r="CO111" i="134"/>
  <c r="CP111" i="134"/>
  <c r="CQ111" i="134"/>
  <c r="CR111" i="134"/>
  <c r="CS111" i="134"/>
  <c r="CT111" i="134"/>
  <c r="CU111" i="134"/>
  <c r="CV111" i="134"/>
  <c r="CW111" i="134"/>
  <c r="CY28" i="134"/>
  <c r="CY29" i="134" s="1"/>
  <c r="CY53" i="134"/>
  <c r="BZ134" i="134"/>
  <c r="BY130" i="134"/>
  <c r="BZ46" i="134"/>
  <c r="BZ45" i="134"/>
  <c r="BZ48" i="134"/>
  <c r="BZ49" i="134"/>
  <c r="CA124" i="134"/>
  <c r="CA47" i="134"/>
  <c r="CA44" i="134"/>
  <c r="BY50" i="134"/>
  <c r="BY137" i="134"/>
  <c r="BY129" i="134"/>
  <c r="BY125" i="134" s="1"/>
  <c r="BY131" i="134" s="1"/>
  <c r="CX41" i="134"/>
  <c r="CX40" i="134"/>
  <c r="CX38" i="134"/>
  <c r="CX37" i="134"/>
  <c r="CY52" i="134"/>
  <c r="CY140" i="134" s="1"/>
  <c r="CY39" i="134"/>
  <c r="CY36" i="134"/>
  <c r="CY30" i="134"/>
  <c r="CY6" i="134"/>
  <c r="CZ4" i="134"/>
  <c r="CZ55" i="134" l="1"/>
  <c r="CZ58" i="134"/>
  <c r="CZ61" i="134"/>
  <c r="CZ64" i="134"/>
  <c r="CZ60" i="134"/>
  <c r="CZ62" i="134"/>
  <c r="CZ59" i="134"/>
  <c r="CZ56" i="134"/>
  <c r="CZ57" i="134"/>
  <c r="CZ65" i="134"/>
  <c r="CZ63" i="134"/>
  <c r="CZ66" i="134"/>
  <c r="CZ68" i="134"/>
  <c r="CZ71" i="134"/>
  <c r="CZ70" i="134"/>
  <c r="CZ67" i="134"/>
  <c r="CZ72" i="134"/>
  <c r="CZ69" i="134"/>
  <c r="CZ74" i="134"/>
  <c r="CZ77" i="134"/>
  <c r="CZ75" i="134"/>
  <c r="CZ76" i="134"/>
  <c r="CZ79" i="134"/>
  <c r="CZ82" i="134"/>
  <c r="CZ81" i="134"/>
  <c r="CZ78" i="134"/>
  <c r="CZ84" i="134"/>
  <c r="CZ87" i="134"/>
  <c r="CZ90" i="134"/>
  <c r="CZ93" i="134"/>
  <c r="CZ96" i="134"/>
  <c r="CZ83" i="134"/>
  <c r="CZ73" i="134"/>
  <c r="CZ85" i="134"/>
  <c r="CZ80" i="134"/>
  <c r="CZ86" i="134"/>
  <c r="CZ89" i="134"/>
  <c r="CZ97" i="134"/>
  <c r="CZ94" i="134"/>
  <c r="CZ101" i="134"/>
  <c r="CZ104" i="134"/>
  <c r="CZ107" i="134"/>
  <c r="CZ88" i="134"/>
  <c r="CZ91" i="134"/>
  <c r="CZ95" i="134"/>
  <c r="CZ92" i="134"/>
  <c r="CZ98" i="134"/>
  <c r="CZ106" i="134"/>
  <c r="CZ108" i="134"/>
  <c r="CZ110" i="134"/>
  <c r="CZ102" i="134"/>
  <c r="CZ103" i="134"/>
  <c r="CZ99" i="134"/>
  <c r="CZ100" i="134"/>
  <c r="CZ109" i="134"/>
  <c r="CZ111" i="134"/>
  <c r="CZ105" i="134"/>
  <c r="CZ54" i="134"/>
  <c r="CZ28" i="134"/>
  <c r="CZ29" i="134" s="1"/>
  <c r="CZ53" i="134"/>
  <c r="BZ137" i="134"/>
  <c r="BZ129" i="134"/>
  <c r="BZ125" i="134" s="1"/>
  <c r="BZ131" i="134" s="1"/>
  <c r="BZ50" i="134"/>
  <c r="BZ128" i="134"/>
  <c r="CA46" i="134"/>
  <c r="CA45" i="134"/>
  <c r="CA128" i="134" s="1"/>
  <c r="BZ127" i="134"/>
  <c r="BZ132" i="134" s="1"/>
  <c r="CA134" i="134"/>
  <c r="CB124" i="134"/>
  <c r="CB47" i="134"/>
  <c r="CB44" i="134"/>
  <c r="CA48" i="134"/>
  <c r="CA49" i="134"/>
  <c r="CB32" i="134"/>
  <c r="CC27" i="134" s="1"/>
  <c r="CC31" i="134" s="1"/>
  <c r="CZ112" i="134" s="1"/>
  <c r="CY40" i="134"/>
  <c r="CY41" i="134"/>
  <c r="CZ52" i="134"/>
  <c r="CZ140" i="134" s="1"/>
  <c r="E145" i="134" s="1"/>
  <c r="CZ30" i="134"/>
  <c r="CZ36" i="134"/>
  <c r="CZ39" i="134"/>
  <c r="CZ6" i="134"/>
  <c r="CY38" i="134"/>
  <c r="CY37" i="134"/>
  <c r="BZ135" i="134" l="1"/>
  <c r="BZ136" i="134" s="1"/>
  <c r="BZ138" i="134"/>
  <c r="BZ141" i="134"/>
  <c r="CC112" i="134"/>
  <c r="CD112" i="134"/>
  <c r="CE112" i="134"/>
  <c r="CF112" i="134"/>
  <c r="CG112" i="134"/>
  <c r="CH112" i="134"/>
  <c r="CI112" i="134"/>
  <c r="CJ112" i="134"/>
  <c r="CK112" i="134"/>
  <c r="CL112" i="134"/>
  <c r="CM112" i="134"/>
  <c r="CN112" i="134"/>
  <c r="CO112" i="134"/>
  <c r="CP112" i="134"/>
  <c r="CQ112" i="134"/>
  <c r="CR112" i="134"/>
  <c r="CS112" i="134"/>
  <c r="CT112" i="134"/>
  <c r="CU112" i="134"/>
  <c r="CV112" i="134"/>
  <c r="CW112" i="134"/>
  <c r="CX112" i="134"/>
  <c r="CY112" i="134"/>
  <c r="BZ130" i="134"/>
  <c r="CA50" i="134"/>
  <c r="CA129" i="134"/>
  <c r="CA125" i="134" s="1"/>
  <c r="CA131" i="134" s="1"/>
  <c r="CA137" i="134"/>
  <c r="CB49" i="134"/>
  <c r="CB48" i="134"/>
  <c r="CB134" i="134"/>
  <c r="CB45" i="134"/>
  <c r="CB128" i="134" s="1"/>
  <c r="CB46" i="134"/>
  <c r="CA127" i="134"/>
  <c r="CA132" i="134" s="1"/>
  <c r="CZ38" i="134"/>
  <c r="CZ37" i="134"/>
  <c r="CZ41" i="134"/>
  <c r="CZ40" i="134"/>
  <c r="CA135" i="134" l="1"/>
  <c r="CA136" i="134" s="1"/>
  <c r="CA141" i="134"/>
  <c r="CA138" i="134"/>
  <c r="CC124" i="134"/>
  <c r="CC44" i="134"/>
  <c r="CC47" i="134"/>
  <c r="CA130" i="134"/>
  <c r="CB50" i="134"/>
  <c r="CB129" i="134"/>
  <c r="CB125" i="134" s="1"/>
  <c r="CB131" i="134" s="1"/>
  <c r="CB137" i="134"/>
  <c r="CC32" i="134"/>
  <c r="CD27" i="134" s="1"/>
  <c r="CD31" i="134" s="1"/>
  <c r="CB127" i="134"/>
  <c r="CB132" i="134" s="1"/>
  <c r="CB135" i="134" l="1"/>
  <c r="CB136" i="134" s="1"/>
  <c r="CB141" i="134"/>
  <c r="CB138" i="134"/>
  <c r="CD113" i="134"/>
  <c r="CE113" i="134"/>
  <c r="CF113" i="134"/>
  <c r="CG113" i="134"/>
  <c r="CH113" i="134"/>
  <c r="CI113" i="134"/>
  <c r="CJ113" i="134"/>
  <c r="CK113" i="134"/>
  <c r="CL113" i="134"/>
  <c r="CM113" i="134"/>
  <c r="CN113" i="134"/>
  <c r="CO113" i="134"/>
  <c r="CP113" i="134"/>
  <c r="CQ113" i="134"/>
  <c r="CR113" i="134"/>
  <c r="CS113" i="134"/>
  <c r="CT113" i="134"/>
  <c r="CU113" i="134"/>
  <c r="CV113" i="134"/>
  <c r="CW113" i="134"/>
  <c r="CX113" i="134"/>
  <c r="CY113" i="134"/>
  <c r="CZ113" i="134"/>
  <c r="CC134" i="134"/>
  <c r="CD32" i="134"/>
  <c r="CE27" i="134" s="1"/>
  <c r="CE31" i="134" s="1"/>
  <c r="CC49" i="134"/>
  <c r="CC48" i="134"/>
  <c r="CB130" i="134"/>
  <c r="CC46" i="134"/>
  <c r="CC45" i="134"/>
  <c r="CC128" i="134" s="1"/>
  <c r="CE114" i="134" l="1"/>
  <c r="CF114" i="134"/>
  <c r="CG114" i="134"/>
  <c r="CH114" i="134"/>
  <c r="CI114" i="134"/>
  <c r="CJ114" i="134"/>
  <c r="CK114" i="134"/>
  <c r="CL114" i="134"/>
  <c r="CM114" i="134"/>
  <c r="CN114" i="134"/>
  <c r="CO114" i="134"/>
  <c r="CP114" i="134"/>
  <c r="CQ114" i="134"/>
  <c r="CR114" i="134"/>
  <c r="CS114" i="134"/>
  <c r="CT114" i="134"/>
  <c r="CU114" i="134"/>
  <c r="CV114" i="134"/>
  <c r="CW114" i="134"/>
  <c r="CX114" i="134"/>
  <c r="CY114" i="134"/>
  <c r="CZ114" i="134"/>
  <c r="CE32" i="134"/>
  <c r="CF27" i="134" s="1"/>
  <c r="CF31" i="134" s="1"/>
  <c r="CC50" i="134"/>
  <c r="CC129" i="134"/>
  <c r="CC125" i="134" s="1"/>
  <c r="CC131" i="134" s="1"/>
  <c r="E144" i="134" s="1"/>
  <c r="E146" i="134" s="1"/>
  <c r="CC137" i="134"/>
  <c r="CD124" i="134"/>
  <c r="CD44" i="134"/>
  <c r="CD47" i="134"/>
  <c r="CC127" i="134"/>
  <c r="CC132" i="134" s="1"/>
  <c r="BS7" i="87"/>
  <c r="BT7" i="87"/>
  <c r="BU7" i="87"/>
  <c r="BV7" i="87"/>
  <c r="BW7" i="87"/>
  <c r="BX7" i="87"/>
  <c r="BY7" i="87"/>
  <c r="BZ7" i="87"/>
  <c r="CA7" i="87"/>
  <c r="CB7" i="87"/>
  <c r="BR7" i="87"/>
  <c r="BZ5" i="87"/>
  <c r="CA5" i="87"/>
  <c r="CB5" i="87"/>
  <c r="BR5" i="87"/>
  <c r="BS5" i="87"/>
  <c r="BT5" i="87"/>
  <c r="BU5" i="87"/>
  <c r="BV5" i="87"/>
  <c r="BW5" i="87"/>
  <c r="BX5" i="87"/>
  <c r="BY5" i="87"/>
  <c r="CC135" i="134" l="1"/>
  <c r="CC136" i="134" s="1"/>
  <c r="CC141" i="134"/>
  <c r="CC138" i="134"/>
  <c r="CF115" i="134"/>
  <c r="CG115" i="134"/>
  <c r="CH115" i="134"/>
  <c r="CI115" i="134"/>
  <c r="CJ115" i="134"/>
  <c r="CK115" i="134"/>
  <c r="CL115" i="134"/>
  <c r="CM115" i="134"/>
  <c r="CN115" i="134"/>
  <c r="CO115" i="134"/>
  <c r="CP115" i="134"/>
  <c r="CQ115" i="134"/>
  <c r="CR115" i="134"/>
  <c r="CS115" i="134"/>
  <c r="CT115" i="134"/>
  <c r="CU115" i="134"/>
  <c r="CV115" i="134"/>
  <c r="CW115" i="134"/>
  <c r="CX115" i="134"/>
  <c r="CY115" i="134"/>
  <c r="CZ115" i="134"/>
  <c r="CD46" i="134"/>
  <c r="CD45" i="134"/>
  <c r="CD128" i="134" s="1"/>
  <c r="CC130" i="134"/>
  <c r="CD48" i="134"/>
  <c r="CD127" i="134" s="1"/>
  <c r="CD132" i="134" s="1"/>
  <c r="CD49" i="134"/>
  <c r="CD134" i="134"/>
  <c r="CE124" i="134"/>
  <c r="CE44" i="134"/>
  <c r="CE47" i="134"/>
  <c r="G23" i="96"/>
  <c r="H23" i="96"/>
  <c r="I23" i="96"/>
  <c r="J23" i="96"/>
  <c r="K23" i="96"/>
  <c r="L23" i="96"/>
  <c r="M23" i="96"/>
  <c r="N23" i="96"/>
  <c r="O23" i="96"/>
  <c r="P23" i="96"/>
  <c r="Q23" i="96"/>
  <c r="R23" i="96"/>
  <c r="S23" i="96"/>
  <c r="T23" i="96"/>
  <c r="U23" i="96"/>
  <c r="V23" i="96"/>
  <c r="W23" i="96"/>
  <c r="X23" i="96"/>
  <c r="Y23" i="96"/>
  <c r="Z23" i="96"/>
  <c r="AA23" i="96"/>
  <c r="AB23" i="96"/>
  <c r="AC23" i="96"/>
  <c r="AD23" i="96"/>
  <c r="AE23" i="96"/>
  <c r="AF23" i="96"/>
  <c r="AG23" i="96"/>
  <c r="AH23" i="96"/>
  <c r="AI23" i="96"/>
  <c r="AJ23" i="96"/>
  <c r="AK23" i="96"/>
  <c r="AL23" i="96"/>
  <c r="AM23" i="96"/>
  <c r="AN23" i="96"/>
  <c r="AO23" i="96"/>
  <c r="AP23" i="96"/>
  <c r="AQ23" i="96"/>
  <c r="AR23" i="96"/>
  <c r="AS23" i="96"/>
  <c r="AT23" i="96"/>
  <c r="AU23" i="96"/>
  <c r="AV23" i="96"/>
  <c r="AW23" i="96"/>
  <c r="AX23" i="96"/>
  <c r="AY23" i="96"/>
  <c r="AZ23" i="96"/>
  <c r="BA23" i="96"/>
  <c r="BB23" i="96"/>
  <c r="BC23" i="96"/>
  <c r="BD23" i="96"/>
  <c r="BE23" i="96"/>
  <c r="BF23" i="96"/>
  <c r="BG23" i="96"/>
  <c r="BH23" i="96"/>
  <c r="BI23" i="96"/>
  <c r="BJ23" i="96"/>
  <c r="BK23" i="96"/>
  <c r="BL23" i="96"/>
  <c r="F23" i="96"/>
  <c r="CD135" i="134" l="1"/>
  <c r="CD136" i="134" s="1"/>
  <c r="CD141" i="134"/>
  <c r="CD138" i="134"/>
  <c r="CF124" i="134"/>
  <c r="CF44" i="134"/>
  <c r="CF47" i="134"/>
  <c r="CF32" i="134"/>
  <c r="CG27" i="134" s="1"/>
  <c r="CG31" i="134" s="1"/>
  <c r="CD50" i="134"/>
  <c r="CD137" i="134"/>
  <c r="CD129" i="134"/>
  <c r="CD125" i="134" s="1"/>
  <c r="CD131" i="134" s="1"/>
  <c r="CE48" i="134"/>
  <c r="CE127" i="134" s="1"/>
  <c r="CE132" i="134" s="1"/>
  <c r="CE49" i="134"/>
  <c r="CD130" i="134"/>
  <c r="CE134" i="134"/>
  <c r="CE46" i="134"/>
  <c r="CE45" i="134"/>
  <c r="CE128" i="134" s="1"/>
  <c r="E54" i="96"/>
  <c r="E55" i="96"/>
  <c r="F55" i="96"/>
  <c r="G55" i="96"/>
  <c r="H55" i="96"/>
  <c r="I55" i="96"/>
  <c r="J55" i="96"/>
  <c r="K55" i="96"/>
  <c r="L55" i="96"/>
  <c r="M55" i="96"/>
  <c r="N55" i="96"/>
  <c r="O55" i="96"/>
  <c r="P55" i="96"/>
  <c r="Q55" i="96"/>
  <c r="R55" i="96"/>
  <c r="S55" i="96"/>
  <c r="T55" i="96"/>
  <c r="U55" i="96"/>
  <c r="V55" i="96"/>
  <c r="W55" i="96"/>
  <c r="BB55" i="96"/>
  <c r="BC55" i="96"/>
  <c r="BD55" i="96"/>
  <c r="BE55" i="96"/>
  <c r="BF55" i="96"/>
  <c r="BG55" i="96"/>
  <c r="BH55" i="96"/>
  <c r="BI55" i="96"/>
  <c r="BJ55" i="96"/>
  <c r="BK55" i="96"/>
  <c r="BL55" i="96"/>
  <c r="BM55" i="96"/>
  <c r="BN55" i="96"/>
  <c r="BO55" i="96"/>
  <c r="BP55" i="96"/>
  <c r="BQ55" i="96"/>
  <c r="BR55" i="96"/>
  <c r="BS55" i="96"/>
  <c r="BT55" i="96"/>
  <c r="BU55" i="96"/>
  <c r="BV55" i="96"/>
  <c r="BW55" i="96"/>
  <c r="BX55" i="96"/>
  <c r="BY55" i="96"/>
  <c r="BZ55" i="96"/>
  <c r="CA55" i="96"/>
  <c r="CB55" i="96"/>
  <c r="CC55" i="96"/>
  <c r="CD55" i="96"/>
  <c r="CE55" i="96"/>
  <c r="CF55" i="96"/>
  <c r="CG55" i="96"/>
  <c r="CH55" i="96"/>
  <c r="CI55" i="96"/>
  <c r="CJ55" i="96"/>
  <c r="CK55" i="96"/>
  <c r="CL55" i="96"/>
  <c r="CM55" i="96"/>
  <c r="CN55" i="96"/>
  <c r="CO55" i="96"/>
  <c r="CP55" i="96"/>
  <c r="CQ55" i="96"/>
  <c r="CR55" i="96"/>
  <c r="CS55" i="96"/>
  <c r="CT55" i="96"/>
  <c r="CU55" i="96"/>
  <c r="CV55" i="96"/>
  <c r="CW55" i="96"/>
  <c r="CX55" i="96"/>
  <c r="CY55" i="96"/>
  <c r="CZ55" i="96"/>
  <c r="E56" i="96"/>
  <c r="F56" i="96"/>
  <c r="G56" i="96"/>
  <c r="H56" i="96"/>
  <c r="I56" i="96"/>
  <c r="J56" i="96"/>
  <c r="K56" i="96"/>
  <c r="L56" i="96"/>
  <c r="M56" i="96"/>
  <c r="N56" i="96"/>
  <c r="O56" i="96"/>
  <c r="P56" i="96"/>
  <c r="Q56" i="96"/>
  <c r="R56" i="96"/>
  <c r="S56" i="96"/>
  <c r="T56" i="96"/>
  <c r="U56" i="96"/>
  <c r="V56" i="96"/>
  <c r="W56" i="96"/>
  <c r="X56" i="96"/>
  <c r="BC56" i="96"/>
  <c r="BD56" i="96"/>
  <c r="BE56" i="96"/>
  <c r="BF56" i="96"/>
  <c r="BG56" i="96"/>
  <c r="BH56" i="96"/>
  <c r="BI56" i="96"/>
  <c r="BJ56" i="96"/>
  <c r="BK56" i="96"/>
  <c r="BL56" i="96"/>
  <c r="BM56" i="96"/>
  <c r="BN56" i="96"/>
  <c r="BO56" i="96"/>
  <c r="BP56" i="96"/>
  <c r="BQ56" i="96"/>
  <c r="BR56" i="96"/>
  <c r="BS56" i="96"/>
  <c r="BT56" i="96"/>
  <c r="BU56" i="96"/>
  <c r="BV56" i="96"/>
  <c r="BW56" i="96"/>
  <c r="BX56" i="96"/>
  <c r="BY56" i="96"/>
  <c r="BZ56" i="96"/>
  <c r="CA56" i="96"/>
  <c r="CB56" i="96"/>
  <c r="CC56" i="96"/>
  <c r="CD56" i="96"/>
  <c r="CE56" i="96"/>
  <c r="CF56" i="96"/>
  <c r="CG56" i="96"/>
  <c r="CH56" i="96"/>
  <c r="CI56" i="96"/>
  <c r="CJ56" i="96"/>
  <c r="CK56" i="96"/>
  <c r="CL56" i="96"/>
  <c r="CM56" i="96"/>
  <c r="CN56" i="96"/>
  <c r="CO56" i="96"/>
  <c r="CP56" i="96"/>
  <c r="CQ56" i="96"/>
  <c r="CR56" i="96"/>
  <c r="CS56" i="96"/>
  <c r="CT56" i="96"/>
  <c r="CU56" i="96"/>
  <c r="CV56" i="96"/>
  <c r="CW56" i="96"/>
  <c r="CX56" i="96"/>
  <c r="CY56" i="96"/>
  <c r="CZ56" i="96"/>
  <c r="E57" i="96"/>
  <c r="F57" i="96"/>
  <c r="G57" i="96"/>
  <c r="H57" i="96"/>
  <c r="I57" i="96"/>
  <c r="J57" i="96"/>
  <c r="K57" i="96"/>
  <c r="L57" i="96"/>
  <c r="M57" i="96"/>
  <c r="N57" i="96"/>
  <c r="O57" i="96"/>
  <c r="P57" i="96"/>
  <c r="Q57" i="96"/>
  <c r="R57" i="96"/>
  <c r="S57" i="96"/>
  <c r="T57" i="96"/>
  <c r="U57" i="96"/>
  <c r="V57" i="96"/>
  <c r="W57" i="96"/>
  <c r="X57" i="96"/>
  <c r="Y57" i="96"/>
  <c r="BD57" i="96"/>
  <c r="BE57" i="96"/>
  <c r="BF57" i="96"/>
  <c r="BG57" i="96"/>
  <c r="BH57" i="96"/>
  <c r="BI57" i="96"/>
  <c r="BJ57" i="96"/>
  <c r="BK57" i="96"/>
  <c r="BL57" i="96"/>
  <c r="BM57" i="96"/>
  <c r="BN57" i="96"/>
  <c r="BO57" i="96"/>
  <c r="BP57" i="96"/>
  <c r="BQ57" i="96"/>
  <c r="BR57" i="96"/>
  <c r="BS57" i="96"/>
  <c r="BT57" i="96"/>
  <c r="BU57" i="96"/>
  <c r="BV57" i="96"/>
  <c r="BW57" i="96"/>
  <c r="BX57" i="96"/>
  <c r="BY57" i="96"/>
  <c r="BZ57" i="96"/>
  <c r="CA57" i="96"/>
  <c r="CB57" i="96"/>
  <c r="CC57" i="96"/>
  <c r="CD57" i="96"/>
  <c r="CE57" i="96"/>
  <c r="CF57" i="96"/>
  <c r="CG57" i="96"/>
  <c r="CH57" i="96"/>
  <c r="CI57" i="96"/>
  <c r="CJ57" i="96"/>
  <c r="CK57" i="96"/>
  <c r="CL57" i="96"/>
  <c r="CM57" i="96"/>
  <c r="CN57" i="96"/>
  <c r="CO57" i="96"/>
  <c r="CP57" i="96"/>
  <c r="CQ57" i="96"/>
  <c r="CR57" i="96"/>
  <c r="CS57" i="96"/>
  <c r="CT57" i="96"/>
  <c r="CU57" i="96"/>
  <c r="CV57" i="96"/>
  <c r="CW57" i="96"/>
  <c r="CX57" i="96"/>
  <c r="CY57" i="96"/>
  <c r="CZ57" i="96"/>
  <c r="E58" i="96"/>
  <c r="F58" i="96"/>
  <c r="G58" i="96"/>
  <c r="H58" i="96"/>
  <c r="I58" i="96"/>
  <c r="J58" i="96"/>
  <c r="K58" i="96"/>
  <c r="L58" i="96"/>
  <c r="M58" i="96"/>
  <c r="N58" i="96"/>
  <c r="O58" i="96"/>
  <c r="P58" i="96"/>
  <c r="Q58" i="96"/>
  <c r="R58" i="96"/>
  <c r="S58" i="96"/>
  <c r="T58" i="96"/>
  <c r="U58" i="96"/>
  <c r="V58" i="96"/>
  <c r="W58" i="96"/>
  <c r="X58" i="96"/>
  <c r="Y58" i="96"/>
  <c r="Z58" i="96"/>
  <c r="BE58" i="96"/>
  <c r="BF58" i="96"/>
  <c r="BG58" i="96"/>
  <c r="BH58" i="96"/>
  <c r="BI58" i="96"/>
  <c r="BJ58" i="96"/>
  <c r="BK58" i="96"/>
  <c r="BL58" i="96"/>
  <c r="BM58" i="96"/>
  <c r="BN58" i="96"/>
  <c r="BO58" i="96"/>
  <c r="BP58" i="96"/>
  <c r="BQ58" i="96"/>
  <c r="BR58" i="96"/>
  <c r="BS58" i="96"/>
  <c r="BT58" i="96"/>
  <c r="BU58" i="96"/>
  <c r="BV58" i="96"/>
  <c r="BW58" i="96"/>
  <c r="BX58" i="96"/>
  <c r="BY58" i="96"/>
  <c r="BZ58" i="96"/>
  <c r="CA58" i="96"/>
  <c r="CB58" i="96"/>
  <c r="CC58" i="96"/>
  <c r="CD58" i="96"/>
  <c r="CE58" i="96"/>
  <c r="CF58" i="96"/>
  <c r="CG58" i="96"/>
  <c r="CH58" i="96"/>
  <c r="CI58" i="96"/>
  <c r="CJ58" i="96"/>
  <c r="CK58" i="96"/>
  <c r="CL58" i="96"/>
  <c r="CM58" i="96"/>
  <c r="CN58" i="96"/>
  <c r="CO58" i="96"/>
  <c r="CP58" i="96"/>
  <c r="CQ58" i="96"/>
  <c r="CR58" i="96"/>
  <c r="CS58" i="96"/>
  <c r="CT58" i="96"/>
  <c r="CU58" i="96"/>
  <c r="CV58" i="96"/>
  <c r="CW58" i="96"/>
  <c r="CX58" i="96"/>
  <c r="CY58" i="96"/>
  <c r="CZ58" i="96"/>
  <c r="E59" i="96"/>
  <c r="F59" i="96"/>
  <c r="G59" i="96"/>
  <c r="H59" i="96"/>
  <c r="I59" i="96"/>
  <c r="J59" i="96"/>
  <c r="K59" i="96"/>
  <c r="L59" i="96"/>
  <c r="M59" i="96"/>
  <c r="N59" i="96"/>
  <c r="O59" i="96"/>
  <c r="P59" i="96"/>
  <c r="Q59" i="96"/>
  <c r="R59" i="96"/>
  <c r="S59" i="96"/>
  <c r="T59" i="96"/>
  <c r="U59" i="96"/>
  <c r="V59" i="96"/>
  <c r="W59" i="96"/>
  <c r="X59" i="96"/>
  <c r="Y59" i="96"/>
  <c r="Z59" i="96"/>
  <c r="AA59" i="96"/>
  <c r="BF59" i="96"/>
  <c r="BG59" i="96"/>
  <c r="BH59" i="96"/>
  <c r="BI59" i="96"/>
  <c r="BJ59" i="96"/>
  <c r="BK59" i="96"/>
  <c r="BL59" i="96"/>
  <c r="BM59" i="96"/>
  <c r="BN59" i="96"/>
  <c r="BO59" i="96"/>
  <c r="BP59" i="96"/>
  <c r="BQ59" i="96"/>
  <c r="BR59" i="96"/>
  <c r="BS59" i="96"/>
  <c r="BT59" i="96"/>
  <c r="BU59" i="96"/>
  <c r="BV59" i="96"/>
  <c r="BW59" i="96"/>
  <c r="BX59" i="96"/>
  <c r="BY59" i="96"/>
  <c r="BZ59" i="96"/>
  <c r="CA59" i="96"/>
  <c r="CB59" i="96"/>
  <c r="CC59" i="96"/>
  <c r="CD59" i="96"/>
  <c r="CE59" i="96"/>
  <c r="CF59" i="96"/>
  <c r="CG59" i="96"/>
  <c r="CH59" i="96"/>
  <c r="CI59" i="96"/>
  <c r="CJ59" i="96"/>
  <c r="CK59" i="96"/>
  <c r="CL59" i="96"/>
  <c r="CM59" i="96"/>
  <c r="CN59" i="96"/>
  <c r="CO59" i="96"/>
  <c r="CP59" i="96"/>
  <c r="CQ59" i="96"/>
  <c r="CR59" i="96"/>
  <c r="CS59" i="96"/>
  <c r="CT59" i="96"/>
  <c r="CU59" i="96"/>
  <c r="CV59" i="96"/>
  <c r="CW59" i="96"/>
  <c r="CX59" i="96"/>
  <c r="CY59" i="96"/>
  <c r="CZ59" i="96"/>
  <c r="E60" i="96"/>
  <c r="F60" i="96"/>
  <c r="G60" i="96"/>
  <c r="H60" i="96"/>
  <c r="I60" i="96"/>
  <c r="J60" i="96"/>
  <c r="K60" i="96"/>
  <c r="L60" i="96"/>
  <c r="M60" i="96"/>
  <c r="N60" i="96"/>
  <c r="O60" i="96"/>
  <c r="P60" i="96"/>
  <c r="Q60" i="96"/>
  <c r="R60" i="96"/>
  <c r="S60" i="96"/>
  <c r="T60" i="96"/>
  <c r="U60" i="96"/>
  <c r="V60" i="96"/>
  <c r="W60" i="96"/>
  <c r="X60" i="96"/>
  <c r="Y60" i="96"/>
  <c r="Z60" i="96"/>
  <c r="AA60" i="96"/>
  <c r="AB60" i="96"/>
  <c r="BG60" i="96"/>
  <c r="BH60" i="96"/>
  <c r="BI60" i="96"/>
  <c r="BJ60" i="96"/>
  <c r="BK60" i="96"/>
  <c r="BL60" i="96"/>
  <c r="BM60" i="96"/>
  <c r="BN60" i="96"/>
  <c r="BO60" i="96"/>
  <c r="BP60" i="96"/>
  <c r="BQ60" i="96"/>
  <c r="BR60" i="96"/>
  <c r="BS60" i="96"/>
  <c r="BT60" i="96"/>
  <c r="BU60" i="96"/>
  <c r="BV60" i="96"/>
  <c r="BW60" i="96"/>
  <c r="BX60" i="96"/>
  <c r="BY60" i="96"/>
  <c r="BZ60" i="96"/>
  <c r="CA60" i="96"/>
  <c r="CB60" i="96"/>
  <c r="CC60" i="96"/>
  <c r="CD60" i="96"/>
  <c r="CE60" i="96"/>
  <c r="CF60" i="96"/>
  <c r="CG60" i="96"/>
  <c r="CH60" i="96"/>
  <c r="CI60" i="96"/>
  <c r="CJ60" i="96"/>
  <c r="CK60" i="96"/>
  <c r="CL60" i="96"/>
  <c r="CM60" i="96"/>
  <c r="CN60" i="96"/>
  <c r="CO60" i="96"/>
  <c r="CP60" i="96"/>
  <c r="CQ60" i="96"/>
  <c r="CR60" i="96"/>
  <c r="CS60" i="96"/>
  <c r="CT60" i="96"/>
  <c r="CU60" i="96"/>
  <c r="CV60" i="96"/>
  <c r="CW60" i="96"/>
  <c r="CX60" i="96"/>
  <c r="CY60" i="96"/>
  <c r="CZ60" i="96"/>
  <c r="E61" i="96"/>
  <c r="F61" i="96"/>
  <c r="G61" i="96"/>
  <c r="H61" i="96"/>
  <c r="I61" i="96"/>
  <c r="J61" i="96"/>
  <c r="K61" i="96"/>
  <c r="L61" i="96"/>
  <c r="M61" i="96"/>
  <c r="N61" i="96"/>
  <c r="O61" i="96"/>
  <c r="P61" i="96"/>
  <c r="Q61" i="96"/>
  <c r="R61" i="96"/>
  <c r="S61" i="96"/>
  <c r="T61" i="96"/>
  <c r="U61" i="96"/>
  <c r="V61" i="96"/>
  <c r="W61" i="96"/>
  <c r="X61" i="96"/>
  <c r="Y61" i="96"/>
  <c r="Z61" i="96"/>
  <c r="AA61" i="96"/>
  <c r="AB61" i="96"/>
  <c r="AC61" i="96"/>
  <c r="BH61" i="96"/>
  <c r="BI61" i="96"/>
  <c r="BJ61" i="96"/>
  <c r="BK61" i="96"/>
  <c r="BL61" i="96"/>
  <c r="BM61" i="96"/>
  <c r="BN61" i="96"/>
  <c r="BO61" i="96"/>
  <c r="BP61" i="96"/>
  <c r="BQ61" i="96"/>
  <c r="BR61" i="96"/>
  <c r="BS61" i="96"/>
  <c r="BT61" i="96"/>
  <c r="BU61" i="96"/>
  <c r="BV61" i="96"/>
  <c r="BW61" i="96"/>
  <c r="BX61" i="96"/>
  <c r="BY61" i="96"/>
  <c r="BZ61" i="96"/>
  <c r="CA61" i="96"/>
  <c r="CB61" i="96"/>
  <c r="CC61" i="96"/>
  <c r="CD61" i="96"/>
  <c r="CE61" i="96"/>
  <c r="CF61" i="96"/>
  <c r="CG61" i="96"/>
  <c r="CH61" i="96"/>
  <c r="CI61" i="96"/>
  <c r="CJ61" i="96"/>
  <c r="CK61" i="96"/>
  <c r="CL61" i="96"/>
  <c r="CM61" i="96"/>
  <c r="CN61" i="96"/>
  <c r="CO61" i="96"/>
  <c r="CP61" i="96"/>
  <c r="CQ61" i="96"/>
  <c r="CR61" i="96"/>
  <c r="CS61" i="96"/>
  <c r="CT61" i="96"/>
  <c r="CU61" i="96"/>
  <c r="CV61" i="96"/>
  <c r="CW61" i="96"/>
  <c r="CX61" i="96"/>
  <c r="CY61" i="96"/>
  <c r="CZ61" i="96"/>
  <c r="E62" i="96"/>
  <c r="F62" i="96"/>
  <c r="G62" i="96"/>
  <c r="H62" i="96"/>
  <c r="I62" i="96"/>
  <c r="J62" i="96"/>
  <c r="K62" i="96"/>
  <c r="L62" i="96"/>
  <c r="M62" i="96"/>
  <c r="N62" i="96"/>
  <c r="O62" i="96"/>
  <c r="P62" i="96"/>
  <c r="Q62" i="96"/>
  <c r="R62" i="96"/>
  <c r="S62" i="96"/>
  <c r="T62" i="96"/>
  <c r="U62" i="96"/>
  <c r="V62" i="96"/>
  <c r="W62" i="96"/>
  <c r="X62" i="96"/>
  <c r="Y62" i="96"/>
  <c r="Z62" i="96"/>
  <c r="AA62" i="96"/>
  <c r="AB62" i="96"/>
  <c r="AC62" i="96"/>
  <c r="AD62" i="96"/>
  <c r="BI62" i="96"/>
  <c r="BJ62" i="96"/>
  <c r="BK62" i="96"/>
  <c r="BL62" i="96"/>
  <c r="BM62" i="96"/>
  <c r="BN62" i="96"/>
  <c r="BO62" i="96"/>
  <c r="BP62" i="96"/>
  <c r="BQ62" i="96"/>
  <c r="BR62" i="96"/>
  <c r="BS62" i="96"/>
  <c r="BT62" i="96"/>
  <c r="BU62" i="96"/>
  <c r="BV62" i="96"/>
  <c r="BW62" i="96"/>
  <c r="BX62" i="96"/>
  <c r="BY62" i="96"/>
  <c r="BZ62" i="96"/>
  <c r="CA62" i="96"/>
  <c r="CB62" i="96"/>
  <c r="CC62" i="96"/>
  <c r="CD62" i="96"/>
  <c r="CE62" i="96"/>
  <c r="CF62" i="96"/>
  <c r="CG62" i="96"/>
  <c r="CH62" i="96"/>
  <c r="CI62" i="96"/>
  <c r="CJ62" i="96"/>
  <c r="CK62" i="96"/>
  <c r="CL62" i="96"/>
  <c r="CM62" i="96"/>
  <c r="CN62" i="96"/>
  <c r="CO62" i="96"/>
  <c r="CP62" i="96"/>
  <c r="CQ62" i="96"/>
  <c r="CR62" i="96"/>
  <c r="CS62" i="96"/>
  <c r="CT62" i="96"/>
  <c r="CU62" i="96"/>
  <c r="CV62" i="96"/>
  <c r="CW62" i="96"/>
  <c r="CX62" i="96"/>
  <c r="CY62" i="96"/>
  <c r="CZ62" i="96"/>
  <c r="E63" i="96"/>
  <c r="F63" i="96"/>
  <c r="G63" i="96"/>
  <c r="H63" i="96"/>
  <c r="I63" i="96"/>
  <c r="J63" i="96"/>
  <c r="K63" i="96"/>
  <c r="L63" i="96"/>
  <c r="M63" i="96"/>
  <c r="N63" i="96"/>
  <c r="O63" i="96"/>
  <c r="P63" i="96"/>
  <c r="Q63" i="96"/>
  <c r="R63" i="96"/>
  <c r="S63" i="96"/>
  <c r="T63" i="96"/>
  <c r="U63" i="96"/>
  <c r="V63" i="96"/>
  <c r="W63" i="96"/>
  <c r="X63" i="96"/>
  <c r="Y63" i="96"/>
  <c r="Z63" i="96"/>
  <c r="AA63" i="96"/>
  <c r="AB63" i="96"/>
  <c r="AC63" i="96"/>
  <c r="AD63" i="96"/>
  <c r="AE63" i="96"/>
  <c r="BJ63" i="96"/>
  <c r="BK63" i="96"/>
  <c r="BL63" i="96"/>
  <c r="BM63" i="96"/>
  <c r="BN63" i="96"/>
  <c r="BO63" i="96"/>
  <c r="BP63" i="96"/>
  <c r="BQ63" i="96"/>
  <c r="BR63" i="96"/>
  <c r="BS63" i="96"/>
  <c r="BT63" i="96"/>
  <c r="BU63" i="96"/>
  <c r="BV63" i="96"/>
  <c r="BW63" i="96"/>
  <c r="BX63" i="96"/>
  <c r="BY63" i="96"/>
  <c r="BZ63" i="96"/>
  <c r="CA63" i="96"/>
  <c r="CB63" i="96"/>
  <c r="CC63" i="96"/>
  <c r="CD63" i="96"/>
  <c r="CE63" i="96"/>
  <c r="CF63" i="96"/>
  <c r="CG63" i="96"/>
  <c r="CH63" i="96"/>
  <c r="CI63" i="96"/>
  <c r="CJ63" i="96"/>
  <c r="CK63" i="96"/>
  <c r="CL63" i="96"/>
  <c r="CM63" i="96"/>
  <c r="CN63" i="96"/>
  <c r="CO63" i="96"/>
  <c r="CP63" i="96"/>
  <c r="CQ63" i="96"/>
  <c r="CR63" i="96"/>
  <c r="CS63" i="96"/>
  <c r="CT63" i="96"/>
  <c r="CU63" i="96"/>
  <c r="CV63" i="96"/>
  <c r="CW63" i="96"/>
  <c r="CX63" i="96"/>
  <c r="CY63" i="96"/>
  <c r="CZ63" i="96"/>
  <c r="E64" i="96"/>
  <c r="F64" i="96"/>
  <c r="G64" i="96"/>
  <c r="H64" i="96"/>
  <c r="I64" i="96"/>
  <c r="J64" i="96"/>
  <c r="K64" i="96"/>
  <c r="L64" i="96"/>
  <c r="M64" i="96"/>
  <c r="N64" i="96"/>
  <c r="O64" i="96"/>
  <c r="P64" i="96"/>
  <c r="Q64" i="96"/>
  <c r="R64" i="96"/>
  <c r="S64" i="96"/>
  <c r="T64" i="96"/>
  <c r="U64" i="96"/>
  <c r="V64" i="96"/>
  <c r="W64" i="96"/>
  <c r="X64" i="96"/>
  <c r="Y64" i="96"/>
  <c r="Z64" i="96"/>
  <c r="AA64" i="96"/>
  <c r="AB64" i="96"/>
  <c r="AC64" i="96"/>
  <c r="AD64" i="96"/>
  <c r="AE64" i="96"/>
  <c r="AF64" i="96"/>
  <c r="BK64" i="96"/>
  <c r="BL64" i="96"/>
  <c r="BM64" i="96"/>
  <c r="BN64" i="96"/>
  <c r="BO64" i="96"/>
  <c r="BP64" i="96"/>
  <c r="BQ64" i="96"/>
  <c r="BR64" i="96"/>
  <c r="BS64" i="96"/>
  <c r="BT64" i="96"/>
  <c r="BU64" i="96"/>
  <c r="BV64" i="96"/>
  <c r="BW64" i="96"/>
  <c r="BX64" i="96"/>
  <c r="BY64" i="96"/>
  <c r="BZ64" i="96"/>
  <c r="CA64" i="96"/>
  <c r="CB64" i="96"/>
  <c r="CC64" i="96"/>
  <c r="CD64" i="96"/>
  <c r="CE64" i="96"/>
  <c r="CF64" i="96"/>
  <c r="CG64" i="96"/>
  <c r="CH64" i="96"/>
  <c r="CI64" i="96"/>
  <c r="CJ64" i="96"/>
  <c r="CK64" i="96"/>
  <c r="CL64" i="96"/>
  <c r="CM64" i="96"/>
  <c r="CN64" i="96"/>
  <c r="CO64" i="96"/>
  <c r="CP64" i="96"/>
  <c r="CQ64" i="96"/>
  <c r="CR64" i="96"/>
  <c r="CS64" i="96"/>
  <c r="CT64" i="96"/>
  <c r="CU64" i="96"/>
  <c r="CV64" i="96"/>
  <c r="CW64" i="96"/>
  <c r="CX64" i="96"/>
  <c r="CY64" i="96"/>
  <c r="CZ64" i="96"/>
  <c r="E65" i="96"/>
  <c r="F65" i="96"/>
  <c r="G65" i="96"/>
  <c r="H65" i="96"/>
  <c r="I65" i="96"/>
  <c r="J65" i="96"/>
  <c r="K65" i="96"/>
  <c r="L65" i="96"/>
  <c r="M65" i="96"/>
  <c r="N65" i="96"/>
  <c r="O65" i="96"/>
  <c r="P65" i="96"/>
  <c r="Q65" i="96"/>
  <c r="R65" i="96"/>
  <c r="S65" i="96"/>
  <c r="T65" i="96"/>
  <c r="U65" i="96"/>
  <c r="V65" i="96"/>
  <c r="W65" i="96"/>
  <c r="X65" i="96"/>
  <c r="Y65" i="96"/>
  <c r="Z65" i="96"/>
  <c r="AA65" i="96"/>
  <c r="AB65" i="96"/>
  <c r="AC65" i="96"/>
  <c r="AD65" i="96"/>
  <c r="AE65" i="96"/>
  <c r="AF65" i="96"/>
  <c r="AG65" i="96"/>
  <c r="BL65" i="96"/>
  <c r="BM65" i="96"/>
  <c r="BN65" i="96"/>
  <c r="BO65" i="96"/>
  <c r="BP65" i="96"/>
  <c r="BQ65" i="96"/>
  <c r="BR65" i="96"/>
  <c r="BS65" i="96"/>
  <c r="BT65" i="96"/>
  <c r="BU65" i="96"/>
  <c r="BV65" i="96"/>
  <c r="BW65" i="96"/>
  <c r="BX65" i="96"/>
  <c r="BY65" i="96"/>
  <c r="BZ65" i="96"/>
  <c r="CA65" i="96"/>
  <c r="CB65" i="96"/>
  <c r="CC65" i="96"/>
  <c r="CD65" i="96"/>
  <c r="CE65" i="96"/>
  <c r="CF65" i="96"/>
  <c r="CG65" i="96"/>
  <c r="CH65" i="96"/>
  <c r="CI65" i="96"/>
  <c r="CJ65" i="96"/>
  <c r="CK65" i="96"/>
  <c r="CL65" i="96"/>
  <c r="CM65" i="96"/>
  <c r="CN65" i="96"/>
  <c r="CO65" i="96"/>
  <c r="CP65" i="96"/>
  <c r="CQ65" i="96"/>
  <c r="CR65" i="96"/>
  <c r="CS65" i="96"/>
  <c r="CT65" i="96"/>
  <c r="CU65" i="96"/>
  <c r="CV65" i="96"/>
  <c r="CW65" i="96"/>
  <c r="CX65" i="96"/>
  <c r="CY65" i="96"/>
  <c r="CZ65" i="96"/>
  <c r="E66" i="96"/>
  <c r="F66" i="96"/>
  <c r="G66" i="96"/>
  <c r="H66" i="96"/>
  <c r="I66" i="96"/>
  <c r="J66" i="96"/>
  <c r="K66" i="96"/>
  <c r="L66" i="96"/>
  <c r="M66" i="96"/>
  <c r="N66" i="96"/>
  <c r="O66" i="96"/>
  <c r="P66" i="96"/>
  <c r="Q66" i="96"/>
  <c r="R66" i="96"/>
  <c r="S66" i="96"/>
  <c r="T66" i="96"/>
  <c r="U66" i="96"/>
  <c r="V66" i="96"/>
  <c r="W66" i="96"/>
  <c r="X66" i="96"/>
  <c r="Y66" i="96"/>
  <c r="Z66" i="96"/>
  <c r="AA66" i="96"/>
  <c r="AB66" i="96"/>
  <c r="AC66" i="96"/>
  <c r="AD66" i="96"/>
  <c r="AE66" i="96"/>
  <c r="AF66" i="96"/>
  <c r="AG66" i="96"/>
  <c r="AH66" i="96"/>
  <c r="BM66" i="96"/>
  <c r="BN66" i="96"/>
  <c r="BO66" i="96"/>
  <c r="BP66" i="96"/>
  <c r="BQ66" i="96"/>
  <c r="BR66" i="96"/>
  <c r="BS66" i="96"/>
  <c r="BT66" i="96"/>
  <c r="BU66" i="96"/>
  <c r="BV66" i="96"/>
  <c r="BW66" i="96"/>
  <c r="BX66" i="96"/>
  <c r="BY66" i="96"/>
  <c r="BZ66" i="96"/>
  <c r="CA66" i="96"/>
  <c r="CB66" i="96"/>
  <c r="CC66" i="96"/>
  <c r="CD66" i="96"/>
  <c r="CE66" i="96"/>
  <c r="CF66" i="96"/>
  <c r="CG66" i="96"/>
  <c r="CH66" i="96"/>
  <c r="CI66" i="96"/>
  <c r="CJ66" i="96"/>
  <c r="CK66" i="96"/>
  <c r="CL66" i="96"/>
  <c r="CM66" i="96"/>
  <c r="CN66" i="96"/>
  <c r="CO66" i="96"/>
  <c r="CP66" i="96"/>
  <c r="CQ66" i="96"/>
  <c r="CR66" i="96"/>
  <c r="CS66" i="96"/>
  <c r="CT66" i="96"/>
  <c r="CU66" i="96"/>
  <c r="CV66" i="96"/>
  <c r="CW66" i="96"/>
  <c r="CX66" i="96"/>
  <c r="CY66" i="96"/>
  <c r="CZ66" i="96"/>
  <c r="E67" i="96"/>
  <c r="F67" i="96"/>
  <c r="G67" i="96"/>
  <c r="H67" i="96"/>
  <c r="I67" i="96"/>
  <c r="J67" i="96"/>
  <c r="K67" i="96"/>
  <c r="L67" i="96"/>
  <c r="M67" i="96"/>
  <c r="N67" i="96"/>
  <c r="O67" i="96"/>
  <c r="P67" i="96"/>
  <c r="Q67" i="96"/>
  <c r="R67" i="96"/>
  <c r="S67" i="96"/>
  <c r="T67" i="96"/>
  <c r="U67" i="96"/>
  <c r="V67" i="96"/>
  <c r="W67" i="96"/>
  <c r="X67" i="96"/>
  <c r="Y67" i="96"/>
  <c r="Z67" i="96"/>
  <c r="AA67" i="96"/>
  <c r="AB67" i="96"/>
  <c r="AC67" i="96"/>
  <c r="AD67" i="96"/>
  <c r="AE67" i="96"/>
  <c r="AF67" i="96"/>
  <c r="AG67" i="96"/>
  <c r="AH67" i="96"/>
  <c r="AI67" i="96"/>
  <c r="BN67" i="96"/>
  <c r="BO67" i="96"/>
  <c r="BP67" i="96"/>
  <c r="BQ67" i="96"/>
  <c r="BR67" i="96"/>
  <c r="BS67" i="96"/>
  <c r="BT67" i="96"/>
  <c r="BU67" i="96"/>
  <c r="BV67" i="96"/>
  <c r="BW67" i="96"/>
  <c r="BX67" i="96"/>
  <c r="BY67" i="96"/>
  <c r="BZ67" i="96"/>
  <c r="CA67" i="96"/>
  <c r="CB67" i="96"/>
  <c r="CC67" i="96"/>
  <c r="CD67" i="96"/>
  <c r="CE67" i="96"/>
  <c r="CF67" i="96"/>
  <c r="CG67" i="96"/>
  <c r="CH67" i="96"/>
  <c r="CI67" i="96"/>
  <c r="CJ67" i="96"/>
  <c r="CK67" i="96"/>
  <c r="CL67" i="96"/>
  <c r="CM67" i="96"/>
  <c r="CN67" i="96"/>
  <c r="CO67" i="96"/>
  <c r="CP67" i="96"/>
  <c r="CQ67" i="96"/>
  <c r="CR67" i="96"/>
  <c r="CS67" i="96"/>
  <c r="CT67" i="96"/>
  <c r="CU67" i="96"/>
  <c r="CV67" i="96"/>
  <c r="CW67" i="96"/>
  <c r="CX67" i="96"/>
  <c r="CY67" i="96"/>
  <c r="CZ67" i="96"/>
  <c r="E68" i="96"/>
  <c r="F68" i="96"/>
  <c r="G68" i="96"/>
  <c r="H68" i="96"/>
  <c r="I68" i="96"/>
  <c r="J68" i="96"/>
  <c r="K68" i="96"/>
  <c r="L68" i="96"/>
  <c r="M68" i="96"/>
  <c r="N68" i="96"/>
  <c r="O68" i="96"/>
  <c r="P68" i="96"/>
  <c r="Q68" i="96"/>
  <c r="R68" i="96"/>
  <c r="S68" i="96"/>
  <c r="T68" i="96"/>
  <c r="U68" i="96"/>
  <c r="V68" i="96"/>
  <c r="W68" i="96"/>
  <c r="X68" i="96"/>
  <c r="Y68" i="96"/>
  <c r="Z68" i="96"/>
  <c r="AA68" i="96"/>
  <c r="AB68" i="96"/>
  <c r="AC68" i="96"/>
  <c r="AD68" i="96"/>
  <c r="AE68" i="96"/>
  <c r="AF68" i="96"/>
  <c r="AG68" i="96"/>
  <c r="AH68" i="96"/>
  <c r="AI68" i="96"/>
  <c r="AJ68" i="96"/>
  <c r="BO68" i="96"/>
  <c r="BP68" i="96"/>
  <c r="BQ68" i="96"/>
  <c r="BR68" i="96"/>
  <c r="BS68" i="96"/>
  <c r="BT68" i="96"/>
  <c r="BU68" i="96"/>
  <c r="BV68" i="96"/>
  <c r="BW68" i="96"/>
  <c r="BX68" i="96"/>
  <c r="BY68" i="96"/>
  <c r="BZ68" i="96"/>
  <c r="CA68" i="96"/>
  <c r="CB68" i="96"/>
  <c r="CC68" i="96"/>
  <c r="CD68" i="96"/>
  <c r="CE68" i="96"/>
  <c r="CF68" i="96"/>
  <c r="CG68" i="96"/>
  <c r="CH68" i="96"/>
  <c r="CI68" i="96"/>
  <c r="CJ68" i="96"/>
  <c r="CK68" i="96"/>
  <c r="CL68" i="96"/>
  <c r="CM68" i="96"/>
  <c r="CN68" i="96"/>
  <c r="CO68" i="96"/>
  <c r="CP68" i="96"/>
  <c r="CQ68" i="96"/>
  <c r="CR68" i="96"/>
  <c r="CS68" i="96"/>
  <c r="CT68" i="96"/>
  <c r="CU68" i="96"/>
  <c r="CV68" i="96"/>
  <c r="CW68" i="96"/>
  <c r="CX68" i="96"/>
  <c r="CY68" i="96"/>
  <c r="CZ68" i="96"/>
  <c r="E69" i="96"/>
  <c r="F69" i="96"/>
  <c r="G69" i="96"/>
  <c r="H69" i="96"/>
  <c r="I69" i="96"/>
  <c r="J69" i="96"/>
  <c r="K69" i="96"/>
  <c r="L69" i="96"/>
  <c r="M69" i="96"/>
  <c r="N69" i="96"/>
  <c r="O69" i="96"/>
  <c r="P69" i="96"/>
  <c r="Q69" i="96"/>
  <c r="R69" i="96"/>
  <c r="S69" i="96"/>
  <c r="T69" i="96"/>
  <c r="U69" i="96"/>
  <c r="V69" i="96"/>
  <c r="W69" i="96"/>
  <c r="X69" i="96"/>
  <c r="Y69" i="96"/>
  <c r="Z69" i="96"/>
  <c r="AA69" i="96"/>
  <c r="AB69" i="96"/>
  <c r="AC69" i="96"/>
  <c r="AD69" i="96"/>
  <c r="AE69" i="96"/>
  <c r="AF69" i="96"/>
  <c r="AG69" i="96"/>
  <c r="AH69" i="96"/>
  <c r="AI69" i="96"/>
  <c r="AJ69" i="96"/>
  <c r="AK69" i="96"/>
  <c r="BP69" i="96"/>
  <c r="BQ69" i="96"/>
  <c r="BR69" i="96"/>
  <c r="BS69" i="96"/>
  <c r="BT69" i="96"/>
  <c r="BU69" i="96"/>
  <c r="BV69" i="96"/>
  <c r="BW69" i="96"/>
  <c r="BX69" i="96"/>
  <c r="BY69" i="96"/>
  <c r="BZ69" i="96"/>
  <c r="CA69" i="96"/>
  <c r="CB69" i="96"/>
  <c r="CC69" i="96"/>
  <c r="CD69" i="96"/>
  <c r="CE69" i="96"/>
  <c r="CF69" i="96"/>
  <c r="CG69" i="96"/>
  <c r="CH69" i="96"/>
  <c r="CI69" i="96"/>
  <c r="CJ69" i="96"/>
  <c r="CK69" i="96"/>
  <c r="CL69" i="96"/>
  <c r="CM69" i="96"/>
  <c r="CN69" i="96"/>
  <c r="CO69" i="96"/>
  <c r="CP69" i="96"/>
  <c r="CQ69" i="96"/>
  <c r="CR69" i="96"/>
  <c r="CS69" i="96"/>
  <c r="CT69" i="96"/>
  <c r="CU69" i="96"/>
  <c r="CV69" i="96"/>
  <c r="CW69" i="96"/>
  <c r="CX69" i="96"/>
  <c r="CY69" i="96"/>
  <c r="CZ69" i="96"/>
  <c r="E70" i="96"/>
  <c r="F70" i="96"/>
  <c r="G70" i="96"/>
  <c r="H70" i="96"/>
  <c r="I70" i="96"/>
  <c r="J70" i="96"/>
  <c r="K70" i="96"/>
  <c r="L70" i="96"/>
  <c r="M70" i="96"/>
  <c r="N70" i="96"/>
  <c r="O70" i="96"/>
  <c r="P70" i="96"/>
  <c r="Q70" i="96"/>
  <c r="R70" i="96"/>
  <c r="S70" i="96"/>
  <c r="T70" i="96"/>
  <c r="U70" i="96"/>
  <c r="V70" i="96"/>
  <c r="W70" i="96"/>
  <c r="X70" i="96"/>
  <c r="Y70" i="96"/>
  <c r="Z70" i="96"/>
  <c r="AA70" i="96"/>
  <c r="AB70" i="96"/>
  <c r="AC70" i="96"/>
  <c r="AD70" i="96"/>
  <c r="AE70" i="96"/>
  <c r="AF70" i="96"/>
  <c r="AG70" i="96"/>
  <c r="AH70" i="96"/>
  <c r="AI70" i="96"/>
  <c r="AJ70" i="96"/>
  <c r="AK70" i="96"/>
  <c r="AL70" i="96"/>
  <c r="BQ70" i="96"/>
  <c r="BR70" i="96"/>
  <c r="BS70" i="96"/>
  <c r="BT70" i="96"/>
  <c r="BU70" i="96"/>
  <c r="BV70" i="96"/>
  <c r="BW70" i="96"/>
  <c r="BX70" i="96"/>
  <c r="BY70" i="96"/>
  <c r="BZ70" i="96"/>
  <c r="CA70" i="96"/>
  <c r="CB70" i="96"/>
  <c r="CC70" i="96"/>
  <c r="CD70" i="96"/>
  <c r="CE70" i="96"/>
  <c r="CF70" i="96"/>
  <c r="CG70" i="96"/>
  <c r="CH70" i="96"/>
  <c r="CI70" i="96"/>
  <c r="CJ70" i="96"/>
  <c r="CK70" i="96"/>
  <c r="CL70" i="96"/>
  <c r="CM70" i="96"/>
  <c r="CN70" i="96"/>
  <c r="CO70" i="96"/>
  <c r="CP70" i="96"/>
  <c r="CQ70" i="96"/>
  <c r="CR70" i="96"/>
  <c r="CS70" i="96"/>
  <c r="CT70" i="96"/>
  <c r="CU70" i="96"/>
  <c r="CV70" i="96"/>
  <c r="CW70" i="96"/>
  <c r="CX70" i="96"/>
  <c r="CY70" i="96"/>
  <c r="CZ70" i="96"/>
  <c r="E71" i="96"/>
  <c r="F71" i="96"/>
  <c r="G71" i="96"/>
  <c r="H71" i="96"/>
  <c r="I71" i="96"/>
  <c r="J71" i="96"/>
  <c r="K71" i="96"/>
  <c r="L71" i="96"/>
  <c r="M71" i="96"/>
  <c r="N71" i="96"/>
  <c r="O71" i="96"/>
  <c r="P71" i="96"/>
  <c r="Q71" i="96"/>
  <c r="R71" i="96"/>
  <c r="S71" i="96"/>
  <c r="T71" i="96"/>
  <c r="U71" i="96"/>
  <c r="V71" i="96"/>
  <c r="W71" i="96"/>
  <c r="X71" i="96"/>
  <c r="Y71" i="96"/>
  <c r="Z71" i="96"/>
  <c r="AA71" i="96"/>
  <c r="AB71" i="96"/>
  <c r="AC71" i="96"/>
  <c r="AD71" i="96"/>
  <c r="AE71" i="96"/>
  <c r="AF71" i="96"/>
  <c r="AG71" i="96"/>
  <c r="AH71" i="96"/>
  <c r="AI71" i="96"/>
  <c r="AJ71" i="96"/>
  <c r="AK71" i="96"/>
  <c r="AL71" i="96"/>
  <c r="AM71" i="96"/>
  <c r="BR71" i="96"/>
  <c r="BS71" i="96"/>
  <c r="BT71" i="96"/>
  <c r="BU71" i="96"/>
  <c r="BV71" i="96"/>
  <c r="BW71" i="96"/>
  <c r="BX71" i="96"/>
  <c r="BY71" i="96"/>
  <c r="BZ71" i="96"/>
  <c r="CA71" i="96"/>
  <c r="CB71" i="96"/>
  <c r="CC71" i="96"/>
  <c r="CD71" i="96"/>
  <c r="CE71" i="96"/>
  <c r="CF71" i="96"/>
  <c r="CG71" i="96"/>
  <c r="CH71" i="96"/>
  <c r="CI71" i="96"/>
  <c r="CJ71" i="96"/>
  <c r="CK71" i="96"/>
  <c r="CL71" i="96"/>
  <c r="CM71" i="96"/>
  <c r="CN71" i="96"/>
  <c r="CO71" i="96"/>
  <c r="CP71" i="96"/>
  <c r="CQ71" i="96"/>
  <c r="CR71" i="96"/>
  <c r="CS71" i="96"/>
  <c r="CT71" i="96"/>
  <c r="CU71" i="96"/>
  <c r="CV71" i="96"/>
  <c r="CW71" i="96"/>
  <c r="CX71" i="96"/>
  <c r="CY71" i="96"/>
  <c r="CZ71" i="96"/>
  <c r="E72" i="96"/>
  <c r="F72" i="96"/>
  <c r="G72" i="96"/>
  <c r="H72" i="96"/>
  <c r="I72" i="96"/>
  <c r="J72" i="96"/>
  <c r="K72" i="96"/>
  <c r="L72" i="96"/>
  <c r="M72" i="96"/>
  <c r="N72" i="96"/>
  <c r="O72" i="96"/>
  <c r="P72" i="96"/>
  <c r="Q72" i="96"/>
  <c r="R72" i="96"/>
  <c r="S72" i="96"/>
  <c r="T72" i="96"/>
  <c r="U72" i="96"/>
  <c r="V72" i="96"/>
  <c r="W72" i="96"/>
  <c r="X72" i="96"/>
  <c r="Y72" i="96"/>
  <c r="Z72" i="96"/>
  <c r="AA72" i="96"/>
  <c r="AB72" i="96"/>
  <c r="AC72" i="96"/>
  <c r="AD72" i="96"/>
  <c r="AE72" i="96"/>
  <c r="AF72" i="96"/>
  <c r="AG72" i="96"/>
  <c r="AH72" i="96"/>
  <c r="AI72" i="96"/>
  <c r="AJ72" i="96"/>
  <c r="AK72" i="96"/>
  <c r="AL72" i="96"/>
  <c r="AM72" i="96"/>
  <c r="AN72" i="96"/>
  <c r="BS72" i="96"/>
  <c r="BT72" i="96"/>
  <c r="BU72" i="96"/>
  <c r="BV72" i="96"/>
  <c r="BW72" i="96"/>
  <c r="BX72" i="96"/>
  <c r="BY72" i="96"/>
  <c r="BZ72" i="96"/>
  <c r="CA72" i="96"/>
  <c r="CB72" i="96"/>
  <c r="CC72" i="96"/>
  <c r="CD72" i="96"/>
  <c r="CE72" i="96"/>
  <c r="CF72" i="96"/>
  <c r="CG72" i="96"/>
  <c r="CH72" i="96"/>
  <c r="CI72" i="96"/>
  <c r="CJ72" i="96"/>
  <c r="CK72" i="96"/>
  <c r="CL72" i="96"/>
  <c r="CM72" i="96"/>
  <c r="CN72" i="96"/>
  <c r="CO72" i="96"/>
  <c r="CP72" i="96"/>
  <c r="CQ72" i="96"/>
  <c r="CR72" i="96"/>
  <c r="CS72" i="96"/>
  <c r="CT72" i="96"/>
  <c r="CU72" i="96"/>
  <c r="CV72" i="96"/>
  <c r="CW72" i="96"/>
  <c r="CX72" i="96"/>
  <c r="CY72" i="96"/>
  <c r="CZ72" i="96"/>
  <c r="E73" i="96"/>
  <c r="F73" i="96"/>
  <c r="G73" i="96"/>
  <c r="H73" i="96"/>
  <c r="I73" i="96"/>
  <c r="J73" i="96"/>
  <c r="K73" i="96"/>
  <c r="L73" i="96"/>
  <c r="M73" i="96"/>
  <c r="N73" i="96"/>
  <c r="O73" i="96"/>
  <c r="P73" i="96"/>
  <c r="Q73" i="96"/>
  <c r="R73" i="96"/>
  <c r="S73" i="96"/>
  <c r="T73" i="96"/>
  <c r="U73" i="96"/>
  <c r="V73" i="96"/>
  <c r="W73" i="96"/>
  <c r="X73" i="96"/>
  <c r="Y73" i="96"/>
  <c r="Z73" i="96"/>
  <c r="AA73" i="96"/>
  <c r="AB73" i="96"/>
  <c r="AC73" i="96"/>
  <c r="AD73" i="96"/>
  <c r="AE73" i="96"/>
  <c r="AF73" i="96"/>
  <c r="AG73" i="96"/>
  <c r="AH73" i="96"/>
  <c r="AI73" i="96"/>
  <c r="AJ73" i="96"/>
  <c r="AK73" i="96"/>
  <c r="AL73" i="96"/>
  <c r="AM73" i="96"/>
  <c r="AN73" i="96"/>
  <c r="AO73" i="96"/>
  <c r="BT73" i="96"/>
  <c r="BU73" i="96"/>
  <c r="BV73" i="96"/>
  <c r="BW73" i="96"/>
  <c r="BX73" i="96"/>
  <c r="BY73" i="96"/>
  <c r="BZ73" i="96"/>
  <c r="CA73" i="96"/>
  <c r="CB73" i="96"/>
  <c r="CC73" i="96"/>
  <c r="CD73" i="96"/>
  <c r="CE73" i="96"/>
  <c r="CF73" i="96"/>
  <c r="CG73" i="96"/>
  <c r="CH73" i="96"/>
  <c r="CI73" i="96"/>
  <c r="CJ73" i="96"/>
  <c r="CK73" i="96"/>
  <c r="CL73" i="96"/>
  <c r="CM73" i="96"/>
  <c r="CN73" i="96"/>
  <c r="CO73" i="96"/>
  <c r="CP73" i="96"/>
  <c r="CQ73" i="96"/>
  <c r="CR73" i="96"/>
  <c r="CS73" i="96"/>
  <c r="CT73" i="96"/>
  <c r="CU73" i="96"/>
  <c r="CV73" i="96"/>
  <c r="CW73" i="96"/>
  <c r="CX73" i="96"/>
  <c r="CY73" i="96"/>
  <c r="CZ73" i="96"/>
  <c r="E74" i="96"/>
  <c r="F74" i="96"/>
  <c r="G74" i="96"/>
  <c r="H74" i="96"/>
  <c r="I74" i="96"/>
  <c r="J74" i="96"/>
  <c r="K74" i="96"/>
  <c r="L74" i="96"/>
  <c r="M74" i="96"/>
  <c r="N74" i="96"/>
  <c r="O74" i="96"/>
  <c r="P74" i="96"/>
  <c r="Q74" i="96"/>
  <c r="R74" i="96"/>
  <c r="S74" i="96"/>
  <c r="T74" i="96"/>
  <c r="U74" i="96"/>
  <c r="V74" i="96"/>
  <c r="W74" i="96"/>
  <c r="X74" i="96"/>
  <c r="Y74" i="96"/>
  <c r="Z74" i="96"/>
  <c r="AA74" i="96"/>
  <c r="AB74" i="96"/>
  <c r="AC74" i="96"/>
  <c r="AD74" i="96"/>
  <c r="AE74" i="96"/>
  <c r="AF74" i="96"/>
  <c r="AG74" i="96"/>
  <c r="AH74" i="96"/>
  <c r="AI74" i="96"/>
  <c r="AJ74" i="96"/>
  <c r="AK74" i="96"/>
  <c r="AL74" i="96"/>
  <c r="AM74" i="96"/>
  <c r="AN74" i="96"/>
  <c r="AO74" i="96"/>
  <c r="AP74" i="96"/>
  <c r="BU74" i="96"/>
  <c r="BV74" i="96"/>
  <c r="BW74" i="96"/>
  <c r="BX74" i="96"/>
  <c r="BY74" i="96"/>
  <c r="BZ74" i="96"/>
  <c r="CA74" i="96"/>
  <c r="CB74" i="96"/>
  <c r="CC74" i="96"/>
  <c r="CD74" i="96"/>
  <c r="CE74" i="96"/>
  <c r="CF74" i="96"/>
  <c r="CG74" i="96"/>
  <c r="CH74" i="96"/>
  <c r="CI74" i="96"/>
  <c r="CJ74" i="96"/>
  <c r="CK74" i="96"/>
  <c r="CL74" i="96"/>
  <c r="CM74" i="96"/>
  <c r="CN74" i="96"/>
  <c r="CO74" i="96"/>
  <c r="CP74" i="96"/>
  <c r="CQ74" i="96"/>
  <c r="CR74" i="96"/>
  <c r="CS74" i="96"/>
  <c r="CT74" i="96"/>
  <c r="CU74" i="96"/>
  <c r="CV74" i="96"/>
  <c r="CW74" i="96"/>
  <c r="CX74" i="96"/>
  <c r="CY74" i="96"/>
  <c r="CZ74" i="96"/>
  <c r="E75" i="96"/>
  <c r="F75" i="96"/>
  <c r="G75" i="96"/>
  <c r="H75" i="96"/>
  <c r="I75" i="96"/>
  <c r="J75" i="96"/>
  <c r="K75" i="96"/>
  <c r="L75" i="96"/>
  <c r="M75" i="96"/>
  <c r="N75" i="96"/>
  <c r="O75" i="96"/>
  <c r="P75" i="96"/>
  <c r="Q75" i="96"/>
  <c r="R75" i="96"/>
  <c r="S75" i="96"/>
  <c r="T75" i="96"/>
  <c r="U75" i="96"/>
  <c r="V75" i="96"/>
  <c r="W75" i="96"/>
  <c r="X75" i="96"/>
  <c r="Y75" i="96"/>
  <c r="Z75" i="96"/>
  <c r="AA75" i="96"/>
  <c r="AB75" i="96"/>
  <c r="AC75" i="96"/>
  <c r="AD75" i="96"/>
  <c r="AE75" i="96"/>
  <c r="AF75" i="96"/>
  <c r="AG75" i="96"/>
  <c r="AH75" i="96"/>
  <c r="AI75" i="96"/>
  <c r="AJ75" i="96"/>
  <c r="AK75" i="96"/>
  <c r="AL75" i="96"/>
  <c r="AM75" i="96"/>
  <c r="AN75" i="96"/>
  <c r="AO75" i="96"/>
  <c r="AP75" i="96"/>
  <c r="AQ75" i="96"/>
  <c r="BV75" i="96"/>
  <c r="BW75" i="96"/>
  <c r="BX75" i="96"/>
  <c r="BY75" i="96"/>
  <c r="BZ75" i="96"/>
  <c r="CA75" i="96"/>
  <c r="CB75" i="96"/>
  <c r="CC75" i="96"/>
  <c r="CD75" i="96"/>
  <c r="CE75" i="96"/>
  <c r="CF75" i="96"/>
  <c r="CG75" i="96"/>
  <c r="CH75" i="96"/>
  <c r="CI75" i="96"/>
  <c r="CJ75" i="96"/>
  <c r="CK75" i="96"/>
  <c r="CL75" i="96"/>
  <c r="CM75" i="96"/>
  <c r="CN75" i="96"/>
  <c r="CO75" i="96"/>
  <c r="CP75" i="96"/>
  <c r="CQ75" i="96"/>
  <c r="CR75" i="96"/>
  <c r="CS75" i="96"/>
  <c r="CT75" i="96"/>
  <c r="CU75" i="96"/>
  <c r="CV75" i="96"/>
  <c r="CW75" i="96"/>
  <c r="CX75" i="96"/>
  <c r="CY75" i="96"/>
  <c r="CZ75" i="96"/>
  <c r="E76" i="96"/>
  <c r="F76" i="96"/>
  <c r="G76" i="96"/>
  <c r="H76" i="96"/>
  <c r="I76" i="96"/>
  <c r="J76" i="96"/>
  <c r="K76" i="96"/>
  <c r="L76" i="96"/>
  <c r="M76" i="96"/>
  <c r="N76" i="96"/>
  <c r="O76" i="96"/>
  <c r="P76" i="96"/>
  <c r="Q76" i="96"/>
  <c r="R76" i="96"/>
  <c r="S76" i="96"/>
  <c r="T76" i="96"/>
  <c r="U76" i="96"/>
  <c r="V76" i="96"/>
  <c r="W76" i="96"/>
  <c r="X76" i="96"/>
  <c r="Y76" i="96"/>
  <c r="Z76" i="96"/>
  <c r="AA76" i="96"/>
  <c r="AB76" i="96"/>
  <c r="AC76" i="96"/>
  <c r="AD76" i="96"/>
  <c r="AE76" i="96"/>
  <c r="AF76" i="96"/>
  <c r="AG76" i="96"/>
  <c r="AH76" i="96"/>
  <c r="AI76" i="96"/>
  <c r="AJ76" i="96"/>
  <c r="AK76" i="96"/>
  <c r="AL76" i="96"/>
  <c r="AM76" i="96"/>
  <c r="AN76" i="96"/>
  <c r="AO76" i="96"/>
  <c r="AP76" i="96"/>
  <c r="AQ76" i="96"/>
  <c r="AR76" i="96"/>
  <c r="BW76" i="96"/>
  <c r="BX76" i="96"/>
  <c r="BY76" i="96"/>
  <c r="BZ76" i="96"/>
  <c r="CA76" i="96"/>
  <c r="CB76" i="96"/>
  <c r="CC76" i="96"/>
  <c r="CD76" i="96"/>
  <c r="CE76" i="96"/>
  <c r="CF76" i="96"/>
  <c r="CG76" i="96"/>
  <c r="CH76" i="96"/>
  <c r="CI76" i="96"/>
  <c r="CJ76" i="96"/>
  <c r="CK76" i="96"/>
  <c r="CL76" i="96"/>
  <c r="CM76" i="96"/>
  <c r="CN76" i="96"/>
  <c r="CO76" i="96"/>
  <c r="CP76" i="96"/>
  <c r="CQ76" i="96"/>
  <c r="CR76" i="96"/>
  <c r="CS76" i="96"/>
  <c r="CT76" i="96"/>
  <c r="CU76" i="96"/>
  <c r="CV76" i="96"/>
  <c r="CW76" i="96"/>
  <c r="CX76" i="96"/>
  <c r="CY76" i="96"/>
  <c r="CZ76" i="96"/>
  <c r="E77" i="96"/>
  <c r="F77" i="96"/>
  <c r="G77" i="96"/>
  <c r="H77" i="96"/>
  <c r="I77" i="96"/>
  <c r="J77" i="96"/>
  <c r="K77" i="96"/>
  <c r="L77" i="96"/>
  <c r="M77" i="96"/>
  <c r="N77" i="96"/>
  <c r="O77" i="96"/>
  <c r="P77" i="96"/>
  <c r="Q77" i="96"/>
  <c r="R77" i="96"/>
  <c r="S77" i="96"/>
  <c r="T77" i="96"/>
  <c r="U77" i="96"/>
  <c r="V77" i="96"/>
  <c r="W77" i="96"/>
  <c r="X77" i="96"/>
  <c r="Y77" i="96"/>
  <c r="Z77" i="96"/>
  <c r="AA77" i="96"/>
  <c r="AB77" i="96"/>
  <c r="AC77" i="96"/>
  <c r="AD77" i="96"/>
  <c r="AE77" i="96"/>
  <c r="AF77" i="96"/>
  <c r="AG77" i="96"/>
  <c r="AH77" i="96"/>
  <c r="AI77" i="96"/>
  <c r="AJ77" i="96"/>
  <c r="AK77" i="96"/>
  <c r="AL77" i="96"/>
  <c r="AM77" i="96"/>
  <c r="AN77" i="96"/>
  <c r="AO77" i="96"/>
  <c r="AP77" i="96"/>
  <c r="AQ77" i="96"/>
  <c r="AR77" i="96"/>
  <c r="AS77" i="96"/>
  <c r="BX77" i="96"/>
  <c r="BY77" i="96"/>
  <c r="BZ77" i="96"/>
  <c r="CA77" i="96"/>
  <c r="CB77" i="96"/>
  <c r="CC77" i="96"/>
  <c r="CD77" i="96"/>
  <c r="CE77" i="96"/>
  <c r="CF77" i="96"/>
  <c r="CG77" i="96"/>
  <c r="CH77" i="96"/>
  <c r="CI77" i="96"/>
  <c r="CJ77" i="96"/>
  <c r="CK77" i="96"/>
  <c r="CL77" i="96"/>
  <c r="CM77" i="96"/>
  <c r="CN77" i="96"/>
  <c r="CO77" i="96"/>
  <c r="CP77" i="96"/>
  <c r="CQ77" i="96"/>
  <c r="CR77" i="96"/>
  <c r="CS77" i="96"/>
  <c r="CT77" i="96"/>
  <c r="CU77" i="96"/>
  <c r="CV77" i="96"/>
  <c r="CW77" i="96"/>
  <c r="CX77" i="96"/>
  <c r="CY77" i="96"/>
  <c r="CZ77" i="96"/>
  <c r="E78" i="96"/>
  <c r="F78" i="96"/>
  <c r="G78" i="96"/>
  <c r="H78" i="96"/>
  <c r="I78" i="96"/>
  <c r="J78" i="96"/>
  <c r="K78" i="96"/>
  <c r="L78" i="96"/>
  <c r="M78" i="96"/>
  <c r="N78" i="96"/>
  <c r="O78" i="96"/>
  <c r="P78" i="96"/>
  <c r="Q78" i="96"/>
  <c r="R78" i="96"/>
  <c r="S78" i="96"/>
  <c r="T78" i="96"/>
  <c r="U78" i="96"/>
  <c r="V78" i="96"/>
  <c r="W78" i="96"/>
  <c r="X78" i="96"/>
  <c r="Y78" i="96"/>
  <c r="Z78" i="96"/>
  <c r="AA78" i="96"/>
  <c r="AB78" i="96"/>
  <c r="AC78" i="96"/>
  <c r="AD78" i="96"/>
  <c r="AE78" i="96"/>
  <c r="AF78" i="96"/>
  <c r="AG78" i="96"/>
  <c r="AH78" i="96"/>
  <c r="AI78" i="96"/>
  <c r="AJ78" i="96"/>
  <c r="AK78" i="96"/>
  <c r="AL78" i="96"/>
  <c r="AM78" i="96"/>
  <c r="AN78" i="96"/>
  <c r="AO78" i="96"/>
  <c r="AP78" i="96"/>
  <c r="AQ78" i="96"/>
  <c r="AR78" i="96"/>
  <c r="AS78" i="96"/>
  <c r="AT78" i="96"/>
  <c r="BY78" i="96"/>
  <c r="BZ78" i="96"/>
  <c r="CA78" i="96"/>
  <c r="CB78" i="96"/>
  <c r="CC78" i="96"/>
  <c r="CD78" i="96"/>
  <c r="CE78" i="96"/>
  <c r="CF78" i="96"/>
  <c r="CG78" i="96"/>
  <c r="CH78" i="96"/>
  <c r="CI78" i="96"/>
  <c r="CJ78" i="96"/>
  <c r="CK78" i="96"/>
  <c r="CL78" i="96"/>
  <c r="CM78" i="96"/>
  <c r="CN78" i="96"/>
  <c r="CO78" i="96"/>
  <c r="CP78" i="96"/>
  <c r="CQ78" i="96"/>
  <c r="CR78" i="96"/>
  <c r="CS78" i="96"/>
  <c r="CT78" i="96"/>
  <c r="CU78" i="96"/>
  <c r="CV78" i="96"/>
  <c r="CW78" i="96"/>
  <c r="CX78" i="96"/>
  <c r="CY78" i="96"/>
  <c r="CZ78" i="96"/>
  <c r="E79" i="96"/>
  <c r="F79" i="96"/>
  <c r="G79" i="96"/>
  <c r="H79" i="96"/>
  <c r="I79" i="96"/>
  <c r="J79" i="96"/>
  <c r="K79" i="96"/>
  <c r="L79" i="96"/>
  <c r="M79" i="96"/>
  <c r="N79" i="96"/>
  <c r="O79" i="96"/>
  <c r="P79" i="96"/>
  <c r="Q79" i="96"/>
  <c r="R79" i="96"/>
  <c r="S79" i="96"/>
  <c r="T79" i="96"/>
  <c r="U79" i="96"/>
  <c r="V79" i="96"/>
  <c r="W79" i="96"/>
  <c r="X79" i="96"/>
  <c r="Y79" i="96"/>
  <c r="Z79" i="96"/>
  <c r="AA79" i="96"/>
  <c r="AB79" i="96"/>
  <c r="AC79" i="96"/>
  <c r="AD79" i="96"/>
  <c r="AE79" i="96"/>
  <c r="AF79" i="96"/>
  <c r="AG79" i="96"/>
  <c r="AH79" i="96"/>
  <c r="AI79" i="96"/>
  <c r="AJ79" i="96"/>
  <c r="AK79" i="96"/>
  <c r="AL79" i="96"/>
  <c r="AM79" i="96"/>
  <c r="AN79" i="96"/>
  <c r="AO79" i="96"/>
  <c r="AP79" i="96"/>
  <c r="AQ79" i="96"/>
  <c r="AR79" i="96"/>
  <c r="AS79" i="96"/>
  <c r="AT79" i="96"/>
  <c r="AU79" i="96"/>
  <c r="BZ79" i="96"/>
  <c r="CA79" i="96"/>
  <c r="CB79" i="96"/>
  <c r="CC79" i="96"/>
  <c r="CD79" i="96"/>
  <c r="CE79" i="96"/>
  <c r="CF79" i="96"/>
  <c r="CG79" i="96"/>
  <c r="CH79" i="96"/>
  <c r="CI79" i="96"/>
  <c r="CJ79" i="96"/>
  <c r="CK79" i="96"/>
  <c r="CL79" i="96"/>
  <c r="CM79" i="96"/>
  <c r="CN79" i="96"/>
  <c r="CO79" i="96"/>
  <c r="CP79" i="96"/>
  <c r="CQ79" i="96"/>
  <c r="CR79" i="96"/>
  <c r="CS79" i="96"/>
  <c r="CT79" i="96"/>
  <c r="CU79" i="96"/>
  <c r="CV79" i="96"/>
  <c r="CW79" i="96"/>
  <c r="CX79" i="96"/>
  <c r="CY79" i="96"/>
  <c r="CZ79" i="96"/>
  <c r="E80" i="96"/>
  <c r="F80" i="96"/>
  <c r="G80" i="96"/>
  <c r="H80" i="96"/>
  <c r="I80" i="96"/>
  <c r="J80" i="96"/>
  <c r="K80" i="96"/>
  <c r="L80" i="96"/>
  <c r="M80" i="96"/>
  <c r="N80" i="96"/>
  <c r="O80" i="96"/>
  <c r="P80" i="96"/>
  <c r="Q80" i="96"/>
  <c r="R80" i="96"/>
  <c r="S80" i="96"/>
  <c r="T80" i="96"/>
  <c r="U80" i="96"/>
  <c r="V80" i="96"/>
  <c r="W80" i="96"/>
  <c r="X80" i="96"/>
  <c r="Y80" i="96"/>
  <c r="Z80" i="96"/>
  <c r="AA80" i="96"/>
  <c r="AB80" i="96"/>
  <c r="AC80" i="96"/>
  <c r="AD80" i="96"/>
  <c r="AE80" i="96"/>
  <c r="AF80" i="96"/>
  <c r="AG80" i="96"/>
  <c r="AH80" i="96"/>
  <c r="AI80" i="96"/>
  <c r="AJ80" i="96"/>
  <c r="AK80" i="96"/>
  <c r="AL80" i="96"/>
  <c r="AM80" i="96"/>
  <c r="AN80" i="96"/>
  <c r="AO80" i="96"/>
  <c r="AP80" i="96"/>
  <c r="AQ80" i="96"/>
  <c r="AR80" i="96"/>
  <c r="AS80" i="96"/>
  <c r="AT80" i="96"/>
  <c r="AU80" i="96"/>
  <c r="AV80" i="96"/>
  <c r="CA80" i="96"/>
  <c r="CB80" i="96"/>
  <c r="CC80" i="96"/>
  <c r="CD80" i="96"/>
  <c r="CE80" i="96"/>
  <c r="CF80" i="96"/>
  <c r="CG80" i="96"/>
  <c r="CH80" i="96"/>
  <c r="CI80" i="96"/>
  <c r="CJ80" i="96"/>
  <c r="CK80" i="96"/>
  <c r="CL80" i="96"/>
  <c r="CM80" i="96"/>
  <c r="CN80" i="96"/>
  <c r="CO80" i="96"/>
  <c r="CP80" i="96"/>
  <c r="CQ80" i="96"/>
  <c r="CR80" i="96"/>
  <c r="CS80" i="96"/>
  <c r="CT80" i="96"/>
  <c r="CU80" i="96"/>
  <c r="CV80" i="96"/>
  <c r="CW80" i="96"/>
  <c r="CX80" i="96"/>
  <c r="CY80" i="96"/>
  <c r="CZ80" i="96"/>
  <c r="E81" i="96"/>
  <c r="F81" i="96"/>
  <c r="G81" i="96"/>
  <c r="H81" i="96"/>
  <c r="I81" i="96"/>
  <c r="J81" i="96"/>
  <c r="K81" i="96"/>
  <c r="L81" i="96"/>
  <c r="M81" i="96"/>
  <c r="N81" i="96"/>
  <c r="O81" i="96"/>
  <c r="P81" i="96"/>
  <c r="Q81" i="96"/>
  <c r="R81" i="96"/>
  <c r="S81" i="96"/>
  <c r="T81" i="96"/>
  <c r="U81" i="96"/>
  <c r="V81" i="96"/>
  <c r="W81" i="96"/>
  <c r="X81" i="96"/>
  <c r="Y81" i="96"/>
  <c r="Z81" i="96"/>
  <c r="AA81" i="96"/>
  <c r="AB81" i="96"/>
  <c r="AC81" i="96"/>
  <c r="AD81" i="96"/>
  <c r="AE81" i="96"/>
  <c r="AF81" i="96"/>
  <c r="AG81" i="96"/>
  <c r="AH81" i="96"/>
  <c r="AI81" i="96"/>
  <c r="AJ81" i="96"/>
  <c r="AK81" i="96"/>
  <c r="AL81" i="96"/>
  <c r="AM81" i="96"/>
  <c r="AN81" i="96"/>
  <c r="AO81" i="96"/>
  <c r="AP81" i="96"/>
  <c r="AQ81" i="96"/>
  <c r="AR81" i="96"/>
  <c r="AS81" i="96"/>
  <c r="AT81" i="96"/>
  <c r="AU81" i="96"/>
  <c r="AV81" i="96"/>
  <c r="AW81" i="96"/>
  <c r="CB81" i="96"/>
  <c r="CC81" i="96"/>
  <c r="CD81" i="96"/>
  <c r="CE81" i="96"/>
  <c r="CF81" i="96"/>
  <c r="CG81" i="96"/>
  <c r="CH81" i="96"/>
  <c r="CI81" i="96"/>
  <c r="CJ81" i="96"/>
  <c r="CK81" i="96"/>
  <c r="CL81" i="96"/>
  <c r="CM81" i="96"/>
  <c r="CN81" i="96"/>
  <c r="CO81" i="96"/>
  <c r="CP81" i="96"/>
  <c r="CQ81" i="96"/>
  <c r="CR81" i="96"/>
  <c r="CS81" i="96"/>
  <c r="CT81" i="96"/>
  <c r="CU81" i="96"/>
  <c r="CV81" i="96"/>
  <c r="CW81" i="96"/>
  <c r="CX81" i="96"/>
  <c r="CY81" i="96"/>
  <c r="CZ81" i="96"/>
  <c r="E82" i="96"/>
  <c r="F82" i="96"/>
  <c r="G82" i="96"/>
  <c r="H82" i="96"/>
  <c r="I82" i="96"/>
  <c r="J82" i="96"/>
  <c r="K82" i="96"/>
  <c r="L82" i="96"/>
  <c r="M82" i="96"/>
  <c r="N82" i="96"/>
  <c r="O82" i="96"/>
  <c r="P82" i="96"/>
  <c r="Q82" i="96"/>
  <c r="R82" i="96"/>
  <c r="S82" i="96"/>
  <c r="T82" i="96"/>
  <c r="U82" i="96"/>
  <c r="V82" i="96"/>
  <c r="W82" i="96"/>
  <c r="X82" i="96"/>
  <c r="Y82" i="96"/>
  <c r="Z82" i="96"/>
  <c r="AA82" i="96"/>
  <c r="AB82" i="96"/>
  <c r="AC82" i="96"/>
  <c r="AD82" i="96"/>
  <c r="AE82" i="96"/>
  <c r="AF82" i="96"/>
  <c r="AG82" i="96"/>
  <c r="AH82" i="96"/>
  <c r="AI82" i="96"/>
  <c r="AJ82" i="96"/>
  <c r="AK82" i="96"/>
  <c r="AL82" i="96"/>
  <c r="AM82" i="96"/>
  <c r="AN82" i="96"/>
  <c r="AO82" i="96"/>
  <c r="AP82" i="96"/>
  <c r="AQ82" i="96"/>
  <c r="AR82" i="96"/>
  <c r="AS82" i="96"/>
  <c r="AT82" i="96"/>
  <c r="AU82" i="96"/>
  <c r="AV82" i="96"/>
  <c r="AW82" i="96"/>
  <c r="AX82" i="96"/>
  <c r="CC82" i="96"/>
  <c r="CD82" i="96"/>
  <c r="CE82" i="96"/>
  <c r="CF82" i="96"/>
  <c r="CG82" i="96"/>
  <c r="CH82" i="96"/>
  <c r="CI82" i="96"/>
  <c r="CJ82" i="96"/>
  <c r="CK82" i="96"/>
  <c r="CL82" i="96"/>
  <c r="CM82" i="96"/>
  <c r="CN82" i="96"/>
  <c r="CO82" i="96"/>
  <c r="CP82" i="96"/>
  <c r="CQ82" i="96"/>
  <c r="CR82" i="96"/>
  <c r="CS82" i="96"/>
  <c r="CT82" i="96"/>
  <c r="CU82" i="96"/>
  <c r="CV82" i="96"/>
  <c r="CW82" i="96"/>
  <c r="CX82" i="96"/>
  <c r="CY82" i="96"/>
  <c r="CZ82" i="96"/>
  <c r="E83" i="96"/>
  <c r="F83" i="96"/>
  <c r="G83" i="96"/>
  <c r="H83" i="96"/>
  <c r="I83" i="96"/>
  <c r="J83" i="96"/>
  <c r="K83" i="96"/>
  <c r="L83" i="96"/>
  <c r="M83" i="96"/>
  <c r="N83" i="96"/>
  <c r="O83" i="96"/>
  <c r="P83" i="96"/>
  <c r="Q83" i="96"/>
  <c r="R83" i="96"/>
  <c r="S83" i="96"/>
  <c r="T83" i="96"/>
  <c r="U83" i="96"/>
  <c r="V83" i="96"/>
  <c r="W83" i="96"/>
  <c r="X83" i="96"/>
  <c r="Y83" i="96"/>
  <c r="Z83" i="96"/>
  <c r="AA83" i="96"/>
  <c r="AB83" i="96"/>
  <c r="AC83" i="96"/>
  <c r="AD83" i="96"/>
  <c r="AE83" i="96"/>
  <c r="AF83" i="96"/>
  <c r="AG83" i="96"/>
  <c r="AH83" i="96"/>
  <c r="AI83" i="96"/>
  <c r="AJ83" i="96"/>
  <c r="AK83" i="96"/>
  <c r="AL83" i="96"/>
  <c r="AM83" i="96"/>
  <c r="AN83" i="96"/>
  <c r="AO83" i="96"/>
  <c r="AP83" i="96"/>
  <c r="AQ83" i="96"/>
  <c r="AR83" i="96"/>
  <c r="AS83" i="96"/>
  <c r="AT83" i="96"/>
  <c r="AU83" i="96"/>
  <c r="AV83" i="96"/>
  <c r="AW83" i="96"/>
  <c r="AX83" i="96"/>
  <c r="AY83" i="96"/>
  <c r="CD83" i="96"/>
  <c r="CE83" i="96"/>
  <c r="CF83" i="96"/>
  <c r="CG83" i="96"/>
  <c r="CH83" i="96"/>
  <c r="CI83" i="96"/>
  <c r="CJ83" i="96"/>
  <c r="CK83" i="96"/>
  <c r="CL83" i="96"/>
  <c r="CM83" i="96"/>
  <c r="CN83" i="96"/>
  <c r="CO83" i="96"/>
  <c r="CP83" i="96"/>
  <c r="CQ83" i="96"/>
  <c r="CR83" i="96"/>
  <c r="CS83" i="96"/>
  <c r="CT83" i="96"/>
  <c r="CU83" i="96"/>
  <c r="CV83" i="96"/>
  <c r="CW83" i="96"/>
  <c r="CX83" i="96"/>
  <c r="CY83" i="96"/>
  <c r="CZ83" i="96"/>
  <c r="E84" i="96"/>
  <c r="F84" i="96"/>
  <c r="G84" i="96"/>
  <c r="H84" i="96"/>
  <c r="I84" i="96"/>
  <c r="J84" i="96"/>
  <c r="K84" i="96"/>
  <c r="L84" i="96"/>
  <c r="M84" i="96"/>
  <c r="N84" i="96"/>
  <c r="O84" i="96"/>
  <c r="P84" i="96"/>
  <c r="Q84" i="96"/>
  <c r="R84" i="96"/>
  <c r="S84" i="96"/>
  <c r="T84" i="96"/>
  <c r="U84" i="96"/>
  <c r="V84" i="96"/>
  <c r="W84" i="96"/>
  <c r="X84" i="96"/>
  <c r="Y84" i="96"/>
  <c r="Z84" i="96"/>
  <c r="AA84" i="96"/>
  <c r="AB84" i="96"/>
  <c r="AC84" i="96"/>
  <c r="AD84" i="96"/>
  <c r="AE84" i="96"/>
  <c r="AF84" i="96"/>
  <c r="AG84" i="96"/>
  <c r="AH84" i="96"/>
  <c r="AI84" i="96"/>
  <c r="AJ84" i="96"/>
  <c r="AK84" i="96"/>
  <c r="AL84" i="96"/>
  <c r="AM84" i="96"/>
  <c r="AN84" i="96"/>
  <c r="AO84" i="96"/>
  <c r="AP84" i="96"/>
  <c r="AQ84" i="96"/>
  <c r="AR84" i="96"/>
  <c r="AS84" i="96"/>
  <c r="AT84" i="96"/>
  <c r="AU84" i="96"/>
  <c r="AV84" i="96"/>
  <c r="AW84" i="96"/>
  <c r="AX84" i="96"/>
  <c r="AY84" i="96"/>
  <c r="AZ84" i="96"/>
  <c r="CE84" i="96"/>
  <c r="CF84" i="96"/>
  <c r="CG84" i="96"/>
  <c r="CH84" i="96"/>
  <c r="CI84" i="96"/>
  <c r="CJ84" i="96"/>
  <c r="CK84" i="96"/>
  <c r="CL84" i="96"/>
  <c r="CM84" i="96"/>
  <c r="CN84" i="96"/>
  <c r="CO84" i="96"/>
  <c r="CP84" i="96"/>
  <c r="CQ84" i="96"/>
  <c r="CR84" i="96"/>
  <c r="CS84" i="96"/>
  <c r="CT84" i="96"/>
  <c r="CU84" i="96"/>
  <c r="CV84" i="96"/>
  <c r="CW84" i="96"/>
  <c r="CX84" i="96"/>
  <c r="CY84" i="96"/>
  <c r="CZ84" i="96"/>
  <c r="E85" i="96"/>
  <c r="F85" i="96"/>
  <c r="G85" i="96"/>
  <c r="H85" i="96"/>
  <c r="I85" i="96"/>
  <c r="J85" i="96"/>
  <c r="K85" i="96"/>
  <c r="L85" i="96"/>
  <c r="M85" i="96"/>
  <c r="N85" i="96"/>
  <c r="O85" i="96"/>
  <c r="P85" i="96"/>
  <c r="Q85" i="96"/>
  <c r="R85" i="96"/>
  <c r="S85" i="96"/>
  <c r="T85" i="96"/>
  <c r="U85" i="96"/>
  <c r="V85" i="96"/>
  <c r="W85" i="96"/>
  <c r="X85" i="96"/>
  <c r="Y85" i="96"/>
  <c r="Z85" i="96"/>
  <c r="AA85" i="96"/>
  <c r="AB85" i="96"/>
  <c r="AC85" i="96"/>
  <c r="AD85" i="96"/>
  <c r="AE85" i="96"/>
  <c r="AF85" i="96"/>
  <c r="AG85" i="96"/>
  <c r="AH85" i="96"/>
  <c r="AI85" i="96"/>
  <c r="AJ85" i="96"/>
  <c r="AK85" i="96"/>
  <c r="AL85" i="96"/>
  <c r="AM85" i="96"/>
  <c r="AN85" i="96"/>
  <c r="AO85" i="96"/>
  <c r="AP85" i="96"/>
  <c r="AQ85" i="96"/>
  <c r="AR85" i="96"/>
  <c r="AS85" i="96"/>
  <c r="AT85" i="96"/>
  <c r="AU85" i="96"/>
  <c r="AV85" i="96"/>
  <c r="AW85" i="96"/>
  <c r="AX85" i="96"/>
  <c r="AY85" i="96"/>
  <c r="AZ85" i="96"/>
  <c r="BA85" i="96"/>
  <c r="CF85" i="96"/>
  <c r="CG85" i="96"/>
  <c r="CH85" i="96"/>
  <c r="CI85" i="96"/>
  <c r="CJ85" i="96"/>
  <c r="CK85" i="96"/>
  <c r="CL85" i="96"/>
  <c r="CM85" i="96"/>
  <c r="CN85" i="96"/>
  <c r="CO85" i="96"/>
  <c r="CP85" i="96"/>
  <c r="CQ85" i="96"/>
  <c r="CR85" i="96"/>
  <c r="CS85" i="96"/>
  <c r="CT85" i="96"/>
  <c r="CU85" i="96"/>
  <c r="CV85" i="96"/>
  <c r="CW85" i="96"/>
  <c r="CX85" i="96"/>
  <c r="CY85" i="96"/>
  <c r="CZ85" i="96"/>
  <c r="E86" i="96"/>
  <c r="F86" i="96"/>
  <c r="G86" i="96"/>
  <c r="H86" i="96"/>
  <c r="I86" i="96"/>
  <c r="J86" i="96"/>
  <c r="K86" i="96"/>
  <c r="L86" i="96"/>
  <c r="M86" i="96"/>
  <c r="N86" i="96"/>
  <c r="O86" i="96"/>
  <c r="P86" i="96"/>
  <c r="Q86" i="96"/>
  <c r="R86" i="96"/>
  <c r="S86" i="96"/>
  <c r="T86" i="96"/>
  <c r="U86" i="96"/>
  <c r="V86" i="96"/>
  <c r="W86" i="96"/>
  <c r="X86" i="96"/>
  <c r="Y86" i="96"/>
  <c r="Z86" i="96"/>
  <c r="AA86" i="96"/>
  <c r="AB86" i="96"/>
  <c r="AC86" i="96"/>
  <c r="AD86" i="96"/>
  <c r="AE86" i="96"/>
  <c r="AF86" i="96"/>
  <c r="AG86" i="96"/>
  <c r="AH86" i="96"/>
  <c r="AI86" i="96"/>
  <c r="AJ86" i="96"/>
  <c r="AK86" i="96"/>
  <c r="AL86" i="96"/>
  <c r="AM86" i="96"/>
  <c r="AN86" i="96"/>
  <c r="AO86" i="96"/>
  <c r="AP86" i="96"/>
  <c r="AQ86" i="96"/>
  <c r="AR86" i="96"/>
  <c r="AS86" i="96"/>
  <c r="AT86" i="96"/>
  <c r="AU86" i="96"/>
  <c r="AV86" i="96"/>
  <c r="AW86" i="96"/>
  <c r="AX86" i="96"/>
  <c r="AY86" i="96"/>
  <c r="AZ86" i="96"/>
  <c r="BA86" i="96"/>
  <c r="BB86" i="96"/>
  <c r="CG86" i="96"/>
  <c r="CH86" i="96"/>
  <c r="CI86" i="96"/>
  <c r="CJ86" i="96"/>
  <c r="CK86" i="96"/>
  <c r="CL86" i="96"/>
  <c r="CM86" i="96"/>
  <c r="CN86" i="96"/>
  <c r="CO86" i="96"/>
  <c r="CP86" i="96"/>
  <c r="CQ86" i="96"/>
  <c r="CR86" i="96"/>
  <c r="CS86" i="96"/>
  <c r="CT86" i="96"/>
  <c r="CU86" i="96"/>
  <c r="CV86" i="96"/>
  <c r="CW86" i="96"/>
  <c r="CX86" i="96"/>
  <c r="CY86" i="96"/>
  <c r="CZ86" i="96"/>
  <c r="E87" i="96"/>
  <c r="F87" i="96"/>
  <c r="G87" i="96"/>
  <c r="H87" i="96"/>
  <c r="I87" i="96"/>
  <c r="J87" i="96"/>
  <c r="K87" i="96"/>
  <c r="L87" i="96"/>
  <c r="M87" i="96"/>
  <c r="N87" i="96"/>
  <c r="O87" i="96"/>
  <c r="P87" i="96"/>
  <c r="Q87" i="96"/>
  <c r="R87" i="96"/>
  <c r="S87" i="96"/>
  <c r="T87" i="96"/>
  <c r="U87" i="96"/>
  <c r="V87" i="96"/>
  <c r="W87" i="96"/>
  <c r="X87" i="96"/>
  <c r="Y87" i="96"/>
  <c r="Z87" i="96"/>
  <c r="AA87" i="96"/>
  <c r="AB87" i="96"/>
  <c r="AC87" i="96"/>
  <c r="AD87" i="96"/>
  <c r="AE87" i="96"/>
  <c r="AF87" i="96"/>
  <c r="AG87" i="96"/>
  <c r="AH87" i="96"/>
  <c r="AI87" i="96"/>
  <c r="AJ87" i="96"/>
  <c r="AK87" i="96"/>
  <c r="AL87" i="96"/>
  <c r="AM87" i="96"/>
  <c r="AN87" i="96"/>
  <c r="AO87" i="96"/>
  <c r="AP87" i="96"/>
  <c r="AQ87" i="96"/>
  <c r="AR87" i="96"/>
  <c r="AS87" i="96"/>
  <c r="AT87" i="96"/>
  <c r="AU87" i="96"/>
  <c r="AV87" i="96"/>
  <c r="AW87" i="96"/>
  <c r="AX87" i="96"/>
  <c r="AY87" i="96"/>
  <c r="AZ87" i="96"/>
  <c r="BA87" i="96"/>
  <c r="BB87" i="96"/>
  <c r="BC87" i="96"/>
  <c r="CH87" i="96"/>
  <c r="CI87" i="96"/>
  <c r="CJ87" i="96"/>
  <c r="CK87" i="96"/>
  <c r="CL87" i="96"/>
  <c r="CM87" i="96"/>
  <c r="CN87" i="96"/>
  <c r="CO87" i="96"/>
  <c r="CP87" i="96"/>
  <c r="CQ87" i="96"/>
  <c r="CR87" i="96"/>
  <c r="CS87" i="96"/>
  <c r="CT87" i="96"/>
  <c r="CU87" i="96"/>
  <c r="CV87" i="96"/>
  <c r="CW87" i="96"/>
  <c r="CX87" i="96"/>
  <c r="CY87" i="96"/>
  <c r="CZ87" i="96"/>
  <c r="E88" i="96"/>
  <c r="F88" i="96"/>
  <c r="G88" i="96"/>
  <c r="H88" i="96"/>
  <c r="I88" i="96"/>
  <c r="J88" i="96"/>
  <c r="K88" i="96"/>
  <c r="L88" i="96"/>
  <c r="M88" i="96"/>
  <c r="N88" i="96"/>
  <c r="O88" i="96"/>
  <c r="P88" i="96"/>
  <c r="Q88" i="96"/>
  <c r="R88" i="96"/>
  <c r="S88" i="96"/>
  <c r="T88" i="96"/>
  <c r="U88" i="96"/>
  <c r="V88" i="96"/>
  <c r="W88" i="96"/>
  <c r="X88" i="96"/>
  <c r="Y88" i="96"/>
  <c r="Z88" i="96"/>
  <c r="AA88" i="96"/>
  <c r="AB88" i="96"/>
  <c r="AC88" i="96"/>
  <c r="AD88" i="96"/>
  <c r="AE88" i="96"/>
  <c r="AF88" i="96"/>
  <c r="AG88" i="96"/>
  <c r="AH88" i="96"/>
  <c r="AI88" i="96"/>
  <c r="AJ88" i="96"/>
  <c r="AK88" i="96"/>
  <c r="AL88" i="96"/>
  <c r="AM88" i="96"/>
  <c r="AN88" i="96"/>
  <c r="AO88" i="96"/>
  <c r="AP88" i="96"/>
  <c r="AQ88" i="96"/>
  <c r="AR88" i="96"/>
  <c r="AS88" i="96"/>
  <c r="AT88" i="96"/>
  <c r="AU88" i="96"/>
  <c r="AV88" i="96"/>
  <c r="AW88" i="96"/>
  <c r="AX88" i="96"/>
  <c r="AY88" i="96"/>
  <c r="AZ88" i="96"/>
  <c r="BA88" i="96"/>
  <c r="BB88" i="96"/>
  <c r="BC88" i="96"/>
  <c r="BD88" i="96"/>
  <c r="CI88" i="96"/>
  <c r="CJ88" i="96"/>
  <c r="CK88" i="96"/>
  <c r="CL88" i="96"/>
  <c r="CM88" i="96"/>
  <c r="CN88" i="96"/>
  <c r="CO88" i="96"/>
  <c r="CP88" i="96"/>
  <c r="CQ88" i="96"/>
  <c r="CR88" i="96"/>
  <c r="CS88" i="96"/>
  <c r="CT88" i="96"/>
  <c r="CU88" i="96"/>
  <c r="CV88" i="96"/>
  <c r="CW88" i="96"/>
  <c r="CX88" i="96"/>
  <c r="CY88" i="96"/>
  <c r="CZ88" i="96"/>
  <c r="E89" i="96"/>
  <c r="F89" i="96"/>
  <c r="G89" i="96"/>
  <c r="H89" i="96"/>
  <c r="I89" i="96"/>
  <c r="J89" i="96"/>
  <c r="K89" i="96"/>
  <c r="L89" i="96"/>
  <c r="M89" i="96"/>
  <c r="N89" i="96"/>
  <c r="O89" i="96"/>
  <c r="P89" i="96"/>
  <c r="Q89" i="96"/>
  <c r="R89" i="96"/>
  <c r="S89" i="96"/>
  <c r="T89" i="96"/>
  <c r="U89" i="96"/>
  <c r="V89" i="96"/>
  <c r="W89" i="96"/>
  <c r="X89" i="96"/>
  <c r="Y89" i="96"/>
  <c r="Z89" i="96"/>
  <c r="AA89" i="96"/>
  <c r="AB89" i="96"/>
  <c r="AC89" i="96"/>
  <c r="AD89" i="96"/>
  <c r="AE89" i="96"/>
  <c r="AF89" i="96"/>
  <c r="AG89" i="96"/>
  <c r="AH89" i="96"/>
  <c r="AI89" i="96"/>
  <c r="AJ89" i="96"/>
  <c r="AK89" i="96"/>
  <c r="AL89" i="96"/>
  <c r="AM89" i="96"/>
  <c r="AN89" i="96"/>
  <c r="AO89" i="96"/>
  <c r="AP89" i="96"/>
  <c r="AQ89" i="96"/>
  <c r="AR89" i="96"/>
  <c r="AS89" i="96"/>
  <c r="AT89" i="96"/>
  <c r="AU89" i="96"/>
  <c r="AV89" i="96"/>
  <c r="AW89" i="96"/>
  <c r="AX89" i="96"/>
  <c r="AY89" i="96"/>
  <c r="AZ89" i="96"/>
  <c r="BA89" i="96"/>
  <c r="BB89" i="96"/>
  <c r="BC89" i="96"/>
  <c r="BD89" i="96"/>
  <c r="BE89" i="96"/>
  <c r="CJ89" i="96"/>
  <c r="CK89" i="96"/>
  <c r="CL89" i="96"/>
  <c r="CM89" i="96"/>
  <c r="CN89" i="96"/>
  <c r="CO89" i="96"/>
  <c r="CP89" i="96"/>
  <c r="CQ89" i="96"/>
  <c r="CR89" i="96"/>
  <c r="CS89" i="96"/>
  <c r="CT89" i="96"/>
  <c r="CU89" i="96"/>
  <c r="CV89" i="96"/>
  <c r="CW89" i="96"/>
  <c r="CX89" i="96"/>
  <c r="CY89" i="96"/>
  <c r="CZ89" i="96"/>
  <c r="E90" i="96"/>
  <c r="F90" i="96"/>
  <c r="G90" i="96"/>
  <c r="H90" i="96"/>
  <c r="I90" i="96"/>
  <c r="J90" i="96"/>
  <c r="K90" i="96"/>
  <c r="L90" i="96"/>
  <c r="M90" i="96"/>
  <c r="N90" i="96"/>
  <c r="O90" i="96"/>
  <c r="P90" i="96"/>
  <c r="Q90" i="96"/>
  <c r="R90" i="96"/>
  <c r="S90" i="96"/>
  <c r="T90" i="96"/>
  <c r="U90" i="96"/>
  <c r="V90" i="96"/>
  <c r="W90" i="96"/>
  <c r="X90" i="96"/>
  <c r="Y90" i="96"/>
  <c r="Z90" i="96"/>
  <c r="AA90" i="96"/>
  <c r="AB90" i="96"/>
  <c r="AC90" i="96"/>
  <c r="AD90" i="96"/>
  <c r="AE90" i="96"/>
  <c r="AF90" i="96"/>
  <c r="AG90" i="96"/>
  <c r="AH90" i="96"/>
  <c r="AI90" i="96"/>
  <c r="AJ90" i="96"/>
  <c r="AK90" i="96"/>
  <c r="AL90" i="96"/>
  <c r="AM90" i="96"/>
  <c r="AN90" i="96"/>
  <c r="AO90" i="96"/>
  <c r="AP90" i="96"/>
  <c r="AQ90" i="96"/>
  <c r="AR90" i="96"/>
  <c r="AS90" i="96"/>
  <c r="AT90" i="96"/>
  <c r="AU90" i="96"/>
  <c r="AV90" i="96"/>
  <c r="AW90" i="96"/>
  <c r="AX90" i="96"/>
  <c r="AY90" i="96"/>
  <c r="AZ90" i="96"/>
  <c r="BA90" i="96"/>
  <c r="BB90" i="96"/>
  <c r="BC90" i="96"/>
  <c r="BD90" i="96"/>
  <c r="BE90" i="96"/>
  <c r="BF90" i="96"/>
  <c r="CK90" i="96"/>
  <c r="CL90" i="96"/>
  <c r="CM90" i="96"/>
  <c r="CN90" i="96"/>
  <c r="CO90" i="96"/>
  <c r="CP90" i="96"/>
  <c r="CQ90" i="96"/>
  <c r="CR90" i="96"/>
  <c r="CS90" i="96"/>
  <c r="CT90" i="96"/>
  <c r="CU90" i="96"/>
  <c r="CV90" i="96"/>
  <c r="CW90" i="96"/>
  <c r="CX90" i="96"/>
  <c r="CY90" i="96"/>
  <c r="CZ90" i="96"/>
  <c r="E91" i="96"/>
  <c r="F91" i="96"/>
  <c r="G91" i="96"/>
  <c r="H91" i="96"/>
  <c r="I91" i="96"/>
  <c r="J91" i="96"/>
  <c r="K91" i="96"/>
  <c r="L91" i="96"/>
  <c r="M91" i="96"/>
  <c r="N91" i="96"/>
  <c r="O91" i="96"/>
  <c r="P91" i="96"/>
  <c r="Q91" i="96"/>
  <c r="R91" i="96"/>
  <c r="S91" i="96"/>
  <c r="T91" i="96"/>
  <c r="U91" i="96"/>
  <c r="V91" i="96"/>
  <c r="W91" i="96"/>
  <c r="X91" i="96"/>
  <c r="Y91" i="96"/>
  <c r="Z91" i="96"/>
  <c r="AA91" i="96"/>
  <c r="AB91" i="96"/>
  <c r="AC91" i="96"/>
  <c r="AD91" i="96"/>
  <c r="AE91" i="96"/>
  <c r="AF91" i="96"/>
  <c r="AG91" i="96"/>
  <c r="AH91" i="96"/>
  <c r="AI91" i="96"/>
  <c r="AJ91" i="96"/>
  <c r="AK91" i="96"/>
  <c r="AL91" i="96"/>
  <c r="AM91" i="96"/>
  <c r="AN91" i="96"/>
  <c r="AO91" i="96"/>
  <c r="AP91" i="96"/>
  <c r="AQ91" i="96"/>
  <c r="AR91" i="96"/>
  <c r="AS91" i="96"/>
  <c r="AT91" i="96"/>
  <c r="AU91" i="96"/>
  <c r="AV91" i="96"/>
  <c r="AW91" i="96"/>
  <c r="AX91" i="96"/>
  <c r="AY91" i="96"/>
  <c r="AZ91" i="96"/>
  <c r="BA91" i="96"/>
  <c r="BB91" i="96"/>
  <c r="BC91" i="96"/>
  <c r="BD91" i="96"/>
  <c r="BE91" i="96"/>
  <c r="BF91" i="96"/>
  <c r="BG91" i="96"/>
  <c r="CL91" i="96"/>
  <c r="CM91" i="96"/>
  <c r="CN91" i="96"/>
  <c r="CO91" i="96"/>
  <c r="CP91" i="96"/>
  <c r="CQ91" i="96"/>
  <c r="CR91" i="96"/>
  <c r="CS91" i="96"/>
  <c r="CT91" i="96"/>
  <c r="CU91" i="96"/>
  <c r="CV91" i="96"/>
  <c r="CW91" i="96"/>
  <c r="CX91" i="96"/>
  <c r="CY91" i="96"/>
  <c r="CZ91" i="96"/>
  <c r="E92" i="96"/>
  <c r="F92" i="96"/>
  <c r="G92" i="96"/>
  <c r="H92" i="96"/>
  <c r="I92" i="96"/>
  <c r="J92" i="96"/>
  <c r="K92" i="96"/>
  <c r="L92" i="96"/>
  <c r="M92" i="96"/>
  <c r="N92" i="96"/>
  <c r="O92" i="96"/>
  <c r="P92" i="96"/>
  <c r="Q92" i="96"/>
  <c r="R92" i="96"/>
  <c r="S92" i="96"/>
  <c r="T92" i="96"/>
  <c r="U92" i="96"/>
  <c r="V92" i="96"/>
  <c r="W92" i="96"/>
  <c r="X92" i="96"/>
  <c r="Y92" i="96"/>
  <c r="Z92" i="96"/>
  <c r="AA92" i="96"/>
  <c r="AB92" i="96"/>
  <c r="AC92" i="96"/>
  <c r="AD92" i="96"/>
  <c r="AE92" i="96"/>
  <c r="AF92" i="96"/>
  <c r="AG92" i="96"/>
  <c r="AH92" i="96"/>
  <c r="AI92" i="96"/>
  <c r="AJ92" i="96"/>
  <c r="AK92" i="96"/>
  <c r="AL92" i="96"/>
  <c r="AM92" i="96"/>
  <c r="AN92" i="96"/>
  <c r="AO92" i="96"/>
  <c r="AP92" i="96"/>
  <c r="AQ92" i="96"/>
  <c r="AR92" i="96"/>
  <c r="AS92" i="96"/>
  <c r="AT92" i="96"/>
  <c r="AU92" i="96"/>
  <c r="AV92" i="96"/>
  <c r="AW92" i="96"/>
  <c r="AX92" i="96"/>
  <c r="AY92" i="96"/>
  <c r="AZ92" i="96"/>
  <c r="BA92" i="96"/>
  <c r="BB92" i="96"/>
  <c r="BC92" i="96"/>
  <c r="BD92" i="96"/>
  <c r="BE92" i="96"/>
  <c r="BF92" i="96"/>
  <c r="BG92" i="96"/>
  <c r="BH92" i="96"/>
  <c r="CM92" i="96"/>
  <c r="CN92" i="96"/>
  <c r="CO92" i="96"/>
  <c r="CP92" i="96"/>
  <c r="CQ92" i="96"/>
  <c r="CR92" i="96"/>
  <c r="CS92" i="96"/>
  <c r="CT92" i="96"/>
  <c r="CU92" i="96"/>
  <c r="CV92" i="96"/>
  <c r="CW92" i="96"/>
  <c r="CX92" i="96"/>
  <c r="CY92" i="96"/>
  <c r="CZ92" i="96"/>
  <c r="E93" i="96"/>
  <c r="F93" i="96"/>
  <c r="G93" i="96"/>
  <c r="H93" i="96"/>
  <c r="I93" i="96"/>
  <c r="J93" i="96"/>
  <c r="K93" i="96"/>
  <c r="L93" i="96"/>
  <c r="M93" i="96"/>
  <c r="N93" i="96"/>
  <c r="O93" i="96"/>
  <c r="P93" i="96"/>
  <c r="Q93" i="96"/>
  <c r="R93" i="96"/>
  <c r="S93" i="96"/>
  <c r="T93" i="96"/>
  <c r="U93" i="96"/>
  <c r="V93" i="96"/>
  <c r="W93" i="96"/>
  <c r="X93" i="96"/>
  <c r="Y93" i="96"/>
  <c r="Z93" i="96"/>
  <c r="AA93" i="96"/>
  <c r="AB93" i="96"/>
  <c r="AC93" i="96"/>
  <c r="AD93" i="96"/>
  <c r="AE93" i="96"/>
  <c r="AF93" i="96"/>
  <c r="AG93" i="96"/>
  <c r="AH93" i="96"/>
  <c r="AI93" i="96"/>
  <c r="AJ93" i="96"/>
  <c r="AK93" i="96"/>
  <c r="AL93" i="96"/>
  <c r="AM93" i="96"/>
  <c r="AN93" i="96"/>
  <c r="AO93" i="96"/>
  <c r="AP93" i="96"/>
  <c r="AQ93" i="96"/>
  <c r="AR93" i="96"/>
  <c r="AS93" i="96"/>
  <c r="AT93" i="96"/>
  <c r="AU93" i="96"/>
  <c r="AV93" i="96"/>
  <c r="AW93" i="96"/>
  <c r="AX93" i="96"/>
  <c r="AY93" i="96"/>
  <c r="AZ93" i="96"/>
  <c r="BA93" i="96"/>
  <c r="BB93" i="96"/>
  <c r="BC93" i="96"/>
  <c r="BD93" i="96"/>
  <c r="BE93" i="96"/>
  <c r="BF93" i="96"/>
  <c r="BG93" i="96"/>
  <c r="BH93" i="96"/>
  <c r="BI93" i="96"/>
  <c r="CN93" i="96"/>
  <c r="CO93" i="96"/>
  <c r="CP93" i="96"/>
  <c r="CQ93" i="96"/>
  <c r="CR93" i="96"/>
  <c r="CS93" i="96"/>
  <c r="CT93" i="96"/>
  <c r="CU93" i="96"/>
  <c r="CV93" i="96"/>
  <c r="CW93" i="96"/>
  <c r="CX93" i="96"/>
  <c r="CY93" i="96"/>
  <c r="CZ93" i="96"/>
  <c r="E94" i="96"/>
  <c r="F94" i="96"/>
  <c r="G94" i="96"/>
  <c r="H94" i="96"/>
  <c r="I94" i="96"/>
  <c r="J94" i="96"/>
  <c r="K94" i="96"/>
  <c r="L94" i="96"/>
  <c r="M94" i="96"/>
  <c r="N94" i="96"/>
  <c r="O94" i="96"/>
  <c r="P94" i="96"/>
  <c r="Q94" i="96"/>
  <c r="R94" i="96"/>
  <c r="S94" i="96"/>
  <c r="T94" i="96"/>
  <c r="U94" i="96"/>
  <c r="V94" i="96"/>
  <c r="W94" i="96"/>
  <c r="X94" i="96"/>
  <c r="Y94" i="96"/>
  <c r="Z94" i="96"/>
  <c r="AA94" i="96"/>
  <c r="AB94" i="96"/>
  <c r="AC94" i="96"/>
  <c r="AD94" i="96"/>
  <c r="AE94" i="96"/>
  <c r="AF94" i="96"/>
  <c r="AG94" i="96"/>
  <c r="AH94" i="96"/>
  <c r="AI94" i="96"/>
  <c r="AJ94" i="96"/>
  <c r="AK94" i="96"/>
  <c r="AL94" i="96"/>
  <c r="AM94" i="96"/>
  <c r="AN94" i="96"/>
  <c r="AO94" i="96"/>
  <c r="AP94" i="96"/>
  <c r="AQ94" i="96"/>
  <c r="AR94" i="96"/>
  <c r="AS94" i="96"/>
  <c r="AT94" i="96"/>
  <c r="AU94" i="96"/>
  <c r="AV94" i="96"/>
  <c r="AW94" i="96"/>
  <c r="AX94" i="96"/>
  <c r="AY94" i="96"/>
  <c r="AZ94" i="96"/>
  <c r="BA94" i="96"/>
  <c r="BB94" i="96"/>
  <c r="BC94" i="96"/>
  <c r="BD94" i="96"/>
  <c r="BE94" i="96"/>
  <c r="BF94" i="96"/>
  <c r="BG94" i="96"/>
  <c r="BH94" i="96"/>
  <c r="BI94" i="96"/>
  <c r="BJ94" i="96"/>
  <c r="CO94" i="96"/>
  <c r="CP94" i="96"/>
  <c r="CQ94" i="96"/>
  <c r="CR94" i="96"/>
  <c r="CS94" i="96"/>
  <c r="CT94" i="96"/>
  <c r="CU94" i="96"/>
  <c r="CV94" i="96"/>
  <c r="CW94" i="96"/>
  <c r="CX94" i="96"/>
  <c r="CY94" i="96"/>
  <c r="CZ94" i="96"/>
  <c r="E95" i="96"/>
  <c r="F95" i="96"/>
  <c r="G95" i="96"/>
  <c r="H95" i="96"/>
  <c r="I95" i="96"/>
  <c r="J95" i="96"/>
  <c r="K95" i="96"/>
  <c r="L95" i="96"/>
  <c r="M95" i="96"/>
  <c r="N95" i="96"/>
  <c r="O95" i="96"/>
  <c r="P95" i="96"/>
  <c r="Q95" i="96"/>
  <c r="R95" i="96"/>
  <c r="S95" i="96"/>
  <c r="T95" i="96"/>
  <c r="U95" i="96"/>
  <c r="V95" i="96"/>
  <c r="W95" i="96"/>
  <c r="X95" i="96"/>
  <c r="Y95" i="96"/>
  <c r="Z95" i="96"/>
  <c r="AA95" i="96"/>
  <c r="AB95" i="96"/>
  <c r="AC95" i="96"/>
  <c r="AD95" i="96"/>
  <c r="AE95" i="96"/>
  <c r="AF95" i="96"/>
  <c r="AG95" i="96"/>
  <c r="AH95" i="96"/>
  <c r="AI95" i="96"/>
  <c r="AJ95" i="96"/>
  <c r="AK95" i="96"/>
  <c r="AL95" i="96"/>
  <c r="AM95" i="96"/>
  <c r="AN95" i="96"/>
  <c r="AO95" i="96"/>
  <c r="AP95" i="96"/>
  <c r="AQ95" i="96"/>
  <c r="AR95" i="96"/>
  <c r="AS95" i="96"/>
  <c r="AT95" i="96"/>
  <c r="AU95" i="96"/>
  <c r="AV95" i="96"/>
  <c r="AW95" i="96"/>
  <c r="AX95" i="96"/>
  <c r="AY95" i="96"/>
  <c r="AZ95" i="96"/>
  <c r="BA95" i="96"/>
  <c r="BB95" i="96"/>
  <c r="BC95" i="96"/>
  <c r="BD95" i="96"/>
  <c r="BE95" i="96"/>
  <c r="BF95" i="96"/>
  <c r="BG95" i="96"/>
  <c r="BH95" i="96"/>
  <c r="BI95" i="96"/>
  <c r="BJ95" i="96"/>
  <c r="BK95" i="96"/>
  <c r="CP95" i="96"/>
  <c r="CQ95" i="96"/>
  <c r="CR95" i="96"/>
  <c r="CS95" i="96"/>
  <c r="CT95" i="96"/>
  <c r="CU95" i="96"/>
  <c r="CV95" i="96"/>
  <c r="CW95" i="96"/>
  <c r="CX95" i="96"/>
  <c r="CY95" i="96"/>
  <c r="CZ95" i="96"/>
  <c r="E96" i="96"/>
  <c r="F96" i="96"/>
  <c r="G96" i="96"/>
  <c r="H96" i="96"/>
  <c r="I96" i="96"/>
  <c r="J96" i="96"/>
  <c r="K96" i="96"/>
  <c r="L96" i="96"/>
  <c r="M96" i="96"/>
  <c r="N96" i="96"/>
  <c r="O96" i="96"/>
  <c r="P96" i="96"/>
  <c r="Q96" i="96"/>
  <c r="R96" i="96"/>
  <c r="S96" i="96"/>
  <c r="T96" i="96"/>
  <c r="U96" i="96"/>
  <c r="V96" i="96"/>
  <c r="W96" i="96"/>
  <c r="X96" i="96"/>
  <c r="Y96" i="96"/>
  <c r="Z96" i="96"/>
  <c r="AA96" i="96"/>
  <c r="AB96" i="96"/>
  <c r="AC96" i="96"/>
  <c r="AD96" i="96"/>
  <c r="AE96" i="96"/>
  <c r="AF96" i="96"/>
  <c r="AG96" i="96"/>
  <c r="AH96" i="96"/>
  <c r="AI96" i="96"/>
  <c r="AJ96" i="96"/>
  <c r="AK96" i="96"/>
  <c r="AL96" i="96"/>
  <c r="AM96" i="96"/>
  <c r="AN96" i="96"/>
  <c r="AO96" i="96"/>
  <c r="AP96" i="96"/>
  <c r="AQ96" i="96"/>
  <c r="AR96" i="96"/>
  <c r="AS96" i="96"/>
  <c r="AT96" i="96"/>
  <c r="AU96" i="96"/>
  <c r="AV96" i="96"/>
  <c r="AW96" i="96"/>
  <c r="AX96" i="96"/>
  <c r="AY96" i="96"/>
  <c r="AZ96" i="96"/>
  <c r="BA96" i="96"/>
  <c r="BB96" i="96"/>
  <c r="BC96" i="96"/>
  <c r="BD96" i="96"/>
  <c r="BE96" i="96"/>
  <c r="BF96" i="96"/>
  <c r="BG96" i="96"/>
  <c r="BH96" i="96"/>
  <c r="BI96" i="96"/>
  <c r="BJ96" i="96"/>
  <c r="BK96" i="96"/>
  <c r="BL96" i="96"/>
  <c r="BM96" i="96"/>
  <c r="BN96" i="96"/>
  <c r="BO96" i="96"/>
  <c r="BP96" i="96"/>
  <c r="BQ96" i="96"/>
  <c r="BR96" i="96"/>
  <c r="BS96" i="96"/>
  <c r="BT96" i="96"/>
  <c r="BU96" i="96"/>
  <c r="BV96" i="96"/>
  <c r="BW96" i="96"/>
  <c r="BX96" i="96"/>
  <c r="BY96" i="96"/>
  <c r="BZ96" i="96"/>
  <c r="CA96" i="96"/>
  <c r="CB96" i="96"/>
  <c r="CC96" i="96"/>
  <c r="CD96" i="96"/>
  <c r="CE96" i="96"/>
  <c r="CF96" i="96"/>
  <c r="CG96" i="96"/>
  <c r="CH96" i="96"/>
  <c r="CI96" i="96"/>
  <c r="CJ96" i="96"/>
  <c r="CK96" i="96"/>
  <c r="CL96" i="96"/>
  <c r="CM96" i="96"/>
  <c r="CN96" i="96"/>
  <c r="CO96" i="96"/>
  <c r="CP96" i="96"/>
  <c r="CQ96" i="96"/>
  <c r="CR96" i="96"/>
  <c r="CS96" i="96"/>
  <c r="CT96" i="96"/>
  <c r="CU96" i="96"/>
  <c r="CV96" i="96"/>
  <c r="CW96" i="96"/>
  <c r="CX96" i="96"/>
  <c r="CY96" i="96"/>
  <c r="CZ96" i="96"/>
  <c r="E97" i="96"/>
  <c r="F97" i="96"/>
  <c r="G97" i="96"/>
  <c r="H97" i="96"/>
  <c r="I97" i="96"/>
  <c r="J97" i="96"/>
  <c r="K97" i="96"/>
  <c r="L97" i="96"/>
  <c r="M97" i="96"/>
  <c r="N97" i="96"/>
  <c r="O97" i="96"/>
  <c r="P97" i="96"/>
  <c r="Q97" i="96"/>
  <c r="R97" i="96"/>
  <c r="S97" i="96"/>
  <c r="T97" i="96"/>
  <c r="U97" i="96"/>
  <c r="V97" i="96"/>
  <c r="W97" i="96"/>
  <c r="X97" i="96"/>
  <c r="Y97" i="96"/>
  <c r="Z97" i="96"/>
  <c r="AA97" i="96"/>
  <c r="AB97" i="96"/>
  <c r="AC97" i="96"/>
  <c r="AD97" i="96"/>
  <c r="AE97" i="96"/>
  <c r="AF97" i="96"/>
  <c r="AG97" i="96"/>
  <c r="AH97" i="96"/>
  <c r="AI97" i="96"/>
  <c r="AJ97" i="96"/>
  <c r="AK97" i="96"/>
  <c r="AL97" i="96"/>
  <c r="AM97" i="96"/>
  <c r="AN97" i="96"/>
  <c r="AO97" i="96"/>
  <c r="AP97" i="96"/>
  <c r="AQ97" i="96"/>
  <c r="AR97" i="96"/>
  <c r="AS97" i="96"/>
  <c r="AT97" i="96"/>
  <c r="AU97" i="96"/>
  <c r="AV97" i="96"/>
  <c r="AW97" i="96"/>
  <c r="AX97" i="96"/>
  <c r="AY97" i="96"/>
  <c r="AZ97" i="96"/>
  <c r="BA97" i="96"/>
  <c r="BB97" i="96"/>
  <c r="BC97" i="96"/>
  <c r="BD97" i="96"/>
  <c r="BE97" i="96"/>
  <c r="BF97" i="96"/>
  <c r="BG97" i="96"/>
  <c r="BH97" i="96"/>
  <c r="BI97" i="96"/>
  <c r="BJ97" i="96"/>
  <c r="BK97" i="96"/>
  <c r="BL97" i="96"/>
  <c r="BM97" i="96"/>
  <c r="BN97" i="96"/>
  <c r="BO97" i="96"/>
  <c r="BP97" i="96"/>
  <c r="BQ97" i="96"/>
  <c r="BR97" i="96"/>
  <c r="BS97" i="96"/>
  <c r="BT97" i="96"/>
  <c r="BU97" i="96"/>
  <c r="BV97" i="96"/>
  <c r="BW97" i="96"/>
  <c r="BX97" i="96"/>
  <c r="BY97" i="96"/>
  <c r="BZ97" i="96"/>
  <c r="CA97" i="96"/>
  <c r="CB97" i="96"/>
  <c r="CC97" i="96"/>
  <c r="CD97" i="96"/>
  <c r="CE97" i="96"/>
  <c r="CF97" i="96"/>
  <c r="CG97" i="96"/>
  <c r="CH97" i="96"/>
  <c r="CI97" i="96"/>
  <c r="CJ97" i="96"/>
  <c r="CK97" i="96"/>
  <c r="CL97" i="96"/>
  <c r="CM97" i="96"/>
  <c r="CN97" i="96"/>
  <c r="CO97" i="96"/>
  <c r="CP97" i="96"/>
  <c r="CQ97" i="96"/>
  <c r="CR97" i="96"/>
  <c r="CS97" i="96"/>
  <c r="CT97" i="96"/>
  <c r="CU97" i="96"/>
  <c r="CV97" i="96"/>
  <c r="CW97" i="96"/>
  <c r="CX97" i="96"/>
  <c r="CY97" i="96"/>
  <c r="CZ97" i="96"/>
  <c r="E98" i="96"/>
  <c r="F98" i="96"/>
  <c r="G98" i="96"/>
  <c r="H98" i="96"/>
  <c r="I98" i="96"/>
  <c r="J98" i="96"/>
  <c r="K98" i="96"/>
  <c r="L98" i="96"/>
  <c r="M98" i="96"/>
  <c r="N98" i="96"/>
  <c r="O98" i="96"/>
  <c r="P98" i="96"/>
  <c r="Q98" i="96"/>
  <c r="R98" i="96"/>
  <c r="S98" i="96"/>
  <c r="T98" i="96"/>
  <c r="U98" i="96"/>
  <c r="V98" i="96"/>
  <c r="W98" i="96"/>
  <c r="X98" i="96"/>
  <c r="Y98" i="96"/>
  <c r="Z98" i="96"/>
  <c r="AA98" i="96"/>
  <c r="AB98" i="96"/>
  <c r="AC98" i="96"/>
  <c r="AD98" i="96"/>
  <c r="AE98" i="96"/>
  <c r="AF98" i="96"/>
  <c r="AG98" i="96"/>
  <c r="AH98" i="96"/>
  <c r="AI98" i="96"/>
  <c r="AJ98" i="96"/>
  <c r="AK98" i="96"/>
  <c r="AL98" i="96"/>
  <c r="AM98" i="96"/>
  <c r="AN98" i="96"/>
  <c r="AO98" i="96"/>
  <c r="AP98" i="96"/>
  <c r="AQ98" i="96"/>
  <c r="AR98" i="96"/>
  <c r="AS98" i="96"/>
  <c r="AT98" i="96"/>
  <c r="AU98" i="96"/>
  <c r="AV98" i="96"/>
  <c r="AW98" i="96"/>
  <c r="AX98" i="96"/>
  <c r="AY98" i="96"/>
  <c r="AZ98" i="96"/>
  <c r="BA98" i="96"/>
  <c r="BB98" i="96"/>
  <c r="BC98" i="96"/>
  <c r="BD98" i="96"/>
  <c r="BE98" i="96"/>
  <c r="BF98" i="96"/>
  <c r="BG98" i="96"/>
  <c r="BH98" i="96"/>
  <c r="BI98" i="96"/>
  <c r="BJ98" i="96"/>
  <c r="BK98" i="96"/>
  <c r="BL98" i="96"/>
  <c r="BM98" i="96"/>
  <c r="BN98" i="96"/>
  <c r="BO98" i="96"/>
  <c r="BP98" i="96"/>
  <c r="BQ98" i="96"/>
  <c r="BR98" i="96"/>
  <c r="BS98" i="96"/>
  <c r="BT98" i="96"/>
  <c r="BU98" i="96"/>
  <c r="BV98" i="96"/>
  <c r="BW98" i="96"/>
  <c r="BX98" i="96"/>
  <c r="BY98" i="96"/>
  <c r="BZ98" i="96"/>
  <c r="CA98" i="96"/>
  <c r="CB98" i="96"/>
  <c r="CC98" i="96"/>
  <c r="CD98" i="96"/>
  <c r="CE98" i="96"/>
  <c r="CF98" i="96"/>
  <c r="CG98" i="96"/>
  <c r="CH98" i="96"/>
  <c r="CI98" i="96"/>
  <c r="CJ98" i="96"/>
  <c r="CK98" i="96"/>
  <c r="CL98" i="96"/>
  <c r="CM98" i="96"/>
  <c r="CN98" i="96"/>
  <c r="CO98" i="96"/>
  <c r="CP98" i="96"/>
  <c r="CQ98" i="96"/>
  <c r="CR98" i="96"/>
  <c r="CS98" i="96"/>
  <c r="CT98" i="96"/>
  <c r="CU98" i="96"/>
  <c r="CV98" i="96"/>
  <c r="CW98" i="96"/>
  <c r="CX98" i="96"/>
  <c r="CY98" i="96"/>
  <c r="CZ98" i="96"/>
  <c r="E99" i="96"/>
  <c r="F99" i="96"/>
  <c r="G99" i="96"/>
  <c r="H99" i="96"/>
  <c r="I99" i="96"/>
  <c r="J99" i="96"/>
  <c r="K99" i="96"/>
  <c r="L99" i="96"/>
  <c r="M99" i="96"/>
  <c r="N99" i="96"/>
  <c r="O99" i="96"/>
  <c r="P99" i="96"/>
  <c r="Q99" i="96"/>
  <c r="R99" i="96"/>
  <c r="S99" i="96"/>
  <c r="T99" i="96"/>
  <c r="U99" i="96"/>
  <c r="V99" i="96"/>
  <c r="W99" i="96"/>
  <c r="X99" i="96"/>
  <c r="Y99" i="96"/>
  <c r="Z99" i="96"/>
  <c r="AA99" i="96"/>
  <c r="AB99" i="96"/>
  <c r="AC99" i="96"/>
  <c r="AD99" i="96"/>
  <c r="AE99" i="96"/>
  <c r="AF99" i="96"/>
  <c r="AG99" i="96"/>
  <c r="AH99" i="96"/>
  <c r="AI99" i="96"/>
  <c r="AJ99" i="96"/>
  <c r="AK99" i="96"/>
  <c r="AL99" i="96"/>
  <c r="AM99" i="96"/>
  <c r="AN99" i="96"/>
  <c r="AO99" i="96"/>
  <c r="AP99" i="96"/>
  <c r="AQ99" i="96"/>
  <c r="AR99" i="96"/>
  <c r="AS99" i="96"/>
  <c r="AT99" i="96"/>
  <c r="AU99" i="96"/>
  <c r="AV99" i="96"/>
  <c r="AW99" i="96"/>
  <c r="AX99" i="96"/>
  <c r="AY99" i="96"/>
  <c r="AZ99" i="96"/>
  <c r="BA99" i="96"/>
  <c r="BB99" i="96"/>
  <c r="BC99" i="96"/>
  <c r="BD99" i="96"/>
  <c r="BE99" i="96"/>
  <c r="BF99" i="96"/>
  <c r="BG99" i="96"/>
  <c r="BH99" i="96"/>
  <c r="BI99" i="96"/>
  <c r="BJ99" i="96"/>
  <c r="BK99" i="96"/>
  <c r="BL99" i="96"/>
  <c r="BM99" i="96"/>
  <c r="BN99" i="96"/>
  <c r="BO99" i="96"/>
  <c r="BP99" i="96"/>
  <c r="BQ99" i="96"/>
  <c r="BR99" i="96"/>
  <c r="BS99" i="96"/>
  <c r="BT99" i="96"/>
  <c r="BU99" i="96"/>
  <c r="BV99" i="96"/>
  <c r="BW99" i="96"/>
  <c r="BX99" i="96"/>
  <c r="BY99" i="96"/>
  <c r="BZ99" i="96"/>
  <c r="CA99" i="96"/>
  <c r="CB99" i="96"/>
  <c r="CC99" i="96"/>
  <c r="CD99" i="96"/>
  <c r="CE99" i="96"/>
  <c r="CF99" i="96"/>
  <c r="CG99" i="96"/>
  <c r="CH99" i="96"/>
  <c r="CI99" i="96"/>
  <c r="CJ99" i="96"/>
  <c r="CK99" i="96"/>
  <c r="CL99" i="96"/>
  <c r="CM99" i="96"/>
  <c r="CN99" i="96"/>
  <c r="CO99" i="96"/>
  <c r="CP99" i="96"/>
  <c r="CQ99" i="96"/>
  <c r="CR99" i="96"/>
  <c r="CS99" i="96"/>
  <c r="CT99" i="96"/>
  <c r="CU99" i="96"/>
  <c r="CV99" i="96"/>
  <c r="CW99" i="96"/>
  <c r="CX99" i="96"/>
  <c r="CY99" i="96"/>
  <c r="CZ99" i="96"/>
  <c r="E100" i="96"/>
  <c r="F100" i="96"/>
  <c r="G100" i="96"/>
  <c r="H100" i="96"/>
  <c r="I100" i="96"/>
  <c r="J100" i="96"/>
  <c r="K100" i="96"/>
  <c r="L100" i="96"/>
  <c r="M100" i="96"/>
  <c r="N100" i="96"/>
  <c r="O100" i="96"/>
  <c r="P100" i="96"/>
  <c r="Q100" i="96"/>
  <c r="R100" i="96"/>
  <c r="S100" i="96"/>
  <c r="T100" i="96"/>
  <c r="U100" i="96"/>
  <c r="V100" i="96"/>
  <c r="W100" i="96"/>
  <c r="X100" i="96"/>
  <c r="Y100" i="96"/>
  <c r="Z100" i="96"/>
  <c r="AA100" i="96"/>
  <c r="AB100" i="96"/>
  <c r="AC100" i="96"/>
  <c r="AD100" i="96"/>
  <c r="AE100" i="96"/>
  <c r="AF100" i="96"/>
  <c r="AG100" i="96"/>
  <c r="AH100" i="96"/>
  <c r="AI100" i="96"/>
  <c r="AJ100" i="96"/>
  <c r="AK100" i="96"/>
  <c r="AL100" i="96"/>
  <c r="AM100" i="96"/>
  <c r="AN100" i="96"/>
  <c r="AO100" i="96"/>
  <c r="AP100" i="96"/>
  <c r="AQ100" i="96"/>
  <c r="AR100" i="96"/>
  <c r="AS100" i="96"/>
  <c r="AT100" i="96"/>
  <c r="AU100" i="96"/>
  <c r="AV100" i="96"/>
  <c r="AW100" i="96"/>
  <c r="AX100" i="96"/>
  <c r="AY100" i="96"/>
  <c r="AZ100" i="96"/>
  <c r="BA100" i="96"/>
  <c r="BB100" i="96"/>
  <c r="BC100" i="96"/>
  <c r="BD100" i="96"/>
  <c r="BE100" i="96"/>
  <c r="BF100" i="96"/>
  <c r="BG100" i="96"/>
  <c r="BH100" i="96"/>
  <c r="BI100" i="96"/>
  <c r="BJ100" i="96"/>
  <c r="BK100" i="96"/>
  <c r="BL100" i="96"/>
  <c r="BM100" i="96"/>
  <c r="BN100" i="96"/>
  <c r="BO100" i="96"/>
  <c r="BP100" i="96"/>
  <c r="BQ100" i="96"/>
  <c r="BR100" i="96"/>
  <c r="BS100" i="96"/>
  <c r="BT100" i="96"/>
  <c r="BU100" i="96"/>
  <c r="BV100" i="96"/>
  <c r="BW100" i="96"/>
  <c r="BX100" i="96"/>
  <c r="BY100" i="96"/>
  <c r="BZ100" i="96"/>
  <c r="CA100" i="96"/>
  <c r="CB100" i="96"/>
  <c r="CC100" i="96"/>
  <c r="CD100" i="96"/>
  <c r="CE100" i="96"/>
  <c r="CF100" i="96"/>
  <c r="CG100" i="96"/>
  <c r="CH100" i="96"/>
  <c r="CI100" i="96"/>
  <c r="CJ100" i="96"/>
  <c r="CK100" i="96"/>
  <c r="CL100" i="96"/>
  <c r="CM100" i="96"/>
  <c r="CN100" i="96"/>
  <c r="CO100" i="96"/>
  <c r="CP100" i="96"/>
  <c r="CQ100" i="96"/>
  <c r="CR100" i="96"/>
  <c r="CS100" i="96"/>
  <c r="CT100" i="96"/>
  <c r="CU100" i="96"/>
  <c r="CV100" i="96"/>
  <c r="CW100" i="96"/>
  <c r="CX100" i="96"/>
  <c r="CY100" i="96"/>
  <c r="CZ100" i="96"/>
  <c r="E101" i="96"/>
  <c r="F101" i="96"/>
  <c r="G101" i="96"/>
  <c r="H101" i="96"/>
  <c r="I101" i="96"/>
  <c r="J101" i="96"/>
  <c r="K101" i="96"/>
  <c r="L101" i="96"/>
  <c r="M101" i="96"/>
  <c r="N101" i="96"/>
  <c r="O101" i="96"/>
  <c r="P101" i="96"/>
  <c r="Q101" i="96"/>
  <c r="R101" i="96"/>
  <c r="S101" i="96"/>
  <c r="T101" i="96"/>
  <c r="U101" i="96"/>
  <c r="V101" i="96"/>
  <c r="W101" i="96"/>
  <c r="X101" i="96"/>
  <c r="Y101" i="96"/>
  <c r="Z101" i="96"/>
  <c r="AA101" i="96"/>
  <c r="AB101" i="96"/>
  <c r="AC101" i="96"/>
  <c r="AD101" i="96"/>
  <c r="AE101" i="96"/>
  <c r="AF101" i="96"/>
  <c r="AG101" i="96"/>
  <c r="AH101" i="96"/>
  <c r="AI101" i="96"/>
  <c r="AJ101" i="96"/>
  <c r="AK101" i="96"/>
  <c r="AL101" i="96"/>
  <c r="AM101" i="96"/>
  <c r="AN101" i="96"/>
  <c r="AO101" i="96"/>
  <c r="AP101" i="96"/>
  <c r="AQ101" i="96"/>
  <c r="AR101" i="96"/>
  <c r="AS101" i="96"/>
  <c r="AT101" i="96"/>
  <c r="AU101" i="96"/>
  <c r="AV101" i="96"/>
  <c r="AW101" i="96"/>
  <c r="AX101" i="96"/>
  <c r="AY101" i="96"/>
  <c r="AZ101" i="96"/>
  <c r="BA101" i="96"/>
  <c r="BB101" i="96"/>
  <c r="BC101" i="96"/>
  <c r="BD101" i="96"/>
  <c r="BE101" i="96"/>
  <c r="BF101" i="96"/>
  <c r="BG101" i="96"/>
  <c r="BH101" i="96"/>
  <c r="BI101" i="96"/>
  <c r="BJ101" i="96"/>
  <c r="BK101" i="96"/>
  <c r="BL101" i="96"/>
  <c r="BM101" i="96"/>
  <c r="BN101" i="96"/>
  <c r="BO101" i="96"/>
  <c r="BP101" i="96"/>
  <c r="BQ101" i="96"/>
  <c r="BR101" i="96"/>
  <c r="BS101" i="96"/>
  <c r="BT101" i="96"/>
  <c r="BU101" i="96"/>
  <c r="BV101" i="96"/>
  <c r="BW101" i="96"/>
  <c r="BX101" i="96"/>
  <c r="BY101" i="96"/>
  <c r="BZ101" i="96"/>
  <c r="CA101" i="96"/>
  <c r="CB101" i="96"/>
  <c r="CC101" i="96"/>
  <c r="CD101" i="96"/>
  <c r="CE101" i="96"/>
  <c r="CF101" i="96"/>
  <c r="CG101" i="96"/>
  <c r="CH101" i="96"/>
  <c r="CI101" i="96"/>
  <c r="CJ101" i="96"/>
  <c r="CK101" i="96"/>
  <c r="CL101" i="96"/>
  <c r="CM101" i="96"/>
  <c r="CN101" i="96"/>
  <c r="CO101" i="96"/>
  <c r="CP101" i="96"/>
  <c r="CQ101" i="96"/>
  <c r="CR101" i="96"/>
  <c r="CS101" i="96"/>
  <c r="CT101" i="96"/>
  <c r="CU101" i="96"/>
  <c r="CV101" i="96"/>
  <c r="CW101" i="96"/>
  <c r="CX101" i="96"/>
  <c r="CY101" i="96"/>
  <c r="CZ101" i="96"/>
  <c r="E102" i="96"/>
  <c r="F102" i="96"/>
  <c r="G102" i="96"/>
  <c r="H102" i="96"/>
  <c r="I102" i="96"/>
  <c r="J102" i="96"/>
  <c r="K102" i="96"/>
  <c r="L102" i="96"/>
  <c r="M102" i="96"/>
  <c r="N102" i="96"/>
  <c r="O102" i="96"/>
  <c r="P102" i="96"/>
  <c r="Q102" i="96"/>
  <c r="R102" i="96"/>
  <c r="S102" i="96"/>
  <c r="T102" i="96"/>
  <c r="U102" i="96"/>
  <c r="V102" i="96"/>
  <c r="W102" i="96"/>
  <c r="X102" i="96"/>
  <c r="Y102" i="96"/>
  <c r="Z102" i="96"/>
  <c r="AA102" i="96"/>
  <c r="AB102" i="96"/>
  <c r="AC102" i="96"/>
  <c r="AD102" i="96"/>
  <c r="AE102" i="96"/>
  <c r="AF102" i="96"/>
  <c r="AG102" i="96"/>
  <c r="AH102" i="96"/>
  <c r="AI102" i="96"/>
  <c r="AJ102" i="96"/>
  <c r="AK102" i="96"/>
  <c r="AL102" i="96"/>
  <c r="AM102" i="96"/>
  <c r="AN102" i="96"/>
  <c r="AO102" i="96"/>
  <c r="AP102" i="96"/>
  <c r="AQ102" i="96"/>
  <c r="AR102" i="96"/>
  <c r="AS102" i="96"/>
  <c r="AT102" i="96"/>
  <c r="AU102" i="96"/>
  <c r="AV102" i="96"/>
  <c r="AW102" i="96"/>
  <c r="AX102" i="96"/>
  <c r="AY102" i="96"/>
  <c r="AZ102" i="96"/>
  <c r="BA102" i="96"/>
  <c r="BB102" i="96"/>
  <c r="BC102" i="96"/>
  <c r="BD102" i="96"/>
  <c r="BE102" i="96"/>
  <c r="BF102" i="96"/>
  <c r="BG102" i="96"/>
  <c r="BH102" i="96"/>
  <c r="BI102" i="96"/>
  <c r="BJ102" i="96"/>
  <c r="BK102" i="96"/>
  <c r="BL102" i="96"/>
  <c r="BM102" i="96"/>
  <c r="BN102" i="96"/>
  <c r="BO102" i="96"/>
  <c r="BP102" i="96"/>
  <c r="BQ102" i="96"/>
  <c r="BR102" i="96"/>
  <c r="BS102" i="96"/>
  <c r="BT102" i="96"/>
  <c r="BU102" i="96"/>
  <c r="BV102" i="96"/>
  <c r="BW102" i="96"/>
  <c r="BX102" i="96"/>
  <c r="BY102" i="96"/>
  <c r="BZ102" i="96"/>
  <c r="CA102" i="96"/>
  <c r="CB102" i="96"/>
  <c r="CC102" i="96"/>
  <c r="CD102" i="96"/>
  <c r="CE102" i="96"/>
  <c r="CF102" i="96"/>
  <c r="CG102" i="96"/>
  <c r="CH102" i="96"/>
  <c r="CI102" i="96"/>
  <c r="CJ102" i="96"/>
  <c r="CK102" i="96"/>
  <c r="CL102" i="96"/>
  <c r="CM102" i="96"/>
  <c r="CN102" i="96"/>
  <c r="CO102" i="96"/>
  <c r="CP102" i="96"/>
  <c r="CQ102" i="96"/>
  <c r="CR102" i="96"/>
  <c r="CS102" i="96"/>
  <c r="CT102" i="96"/>
  <c r="CU102" i="96"/>
  <c r="CV102" i="96"/>
  <c r="CW102" i="96"/>
  <c r="CX102" i="96"/>
  <c r="CY102" i="96"/>
  <c r="CZ102" i="96"/>
  <c r="E103" i="96"/>
  <c r="F103" i="96"/>
  <c r="G103" i="96"/>
  <c r="H103" i="96"/>
  <c r="I103" i="96"/>
  <c r="J103" i="96"/>
  <c r="K103" i="96"/>
  <c r="L103" i="96"/>
  <c r="M103" i="96"/>
  <c r="N103" i="96"/>
  <c r="O103" i="96"/>
  <c r="P103" i="96"/>
  <c r="Q103" i="96"/>
  <c r="R103" i="96"/>
  <c r="S103" i="96"/>
  <c r="T103" i="96"/>
  <c r="U103" i="96"/>
  <c r="V103" i="96"/>
  <c r="W103" i="96"/>
  <c r="X103" i="96"/>
  <c r="Y103" i="96"/>
  <c r="Z103" i="96"/>
  <c r="AA103" i="96"/>
  <c r="AB103" i="96"/>
  <c r="AC103" i="96"/>
  <c r="AD103" i="96"/>
  <c r="AE103" i="96"/>
  <c r="AF103" i="96"/>
  <c r="AG103" i="96"/>
  <c r="AH103" i="96"/>
  <c r="AI103" i="96"/>
  <c r="AJ103" i="96"/>
  <c r="AK103" i="96"/>
  <c r="AL103" i="96"/>
  <c r="AM103" i="96"/>
  <c r="AN103" i="96"/>
  <c r="AO103" i="96"/>
  <c r="AP103" i="96"/>
  <c r="AQ103" i="96"/>
  <c r="AR103" i="96"/>
  <c r="AS103" i="96"/>
  <c r="AT103" i="96"/>
  <c r="AU103" i="96"/>
  <c r="AV103" i="96"/>
  <c r="AW103" i="96"/>
  <c r="AX103" i="96"/>
  <c r="AY103" i="96"/>
  <c r="AZ103" i="96"/>
  <c r="BA103" i="96"/>
  <c r="BB103" i="96"/>
  <c r="BC103" i="96"/>
  <c r="BD103" i="96"/>
  <c r="BE103" i="96"/>
  <c r="BF103" i="96"/>
  <c r="BG103" i="96"/>
  <c r="BH103" i="96"/>
  <c r="BI103" i="96"/>
  <c r="BJ103" i="96"/>
  <c r="BK103" i="96"/>
  <c r="BL103" i="96"/>
  <c r="BM103" i="96"/>
  <c r="BN103" i="96"/>
  <c r="BO103" i="96"/>
  <c r="BP103" i="96"/>
  <c r="BQ103" i="96"/>
  <c r="BR103" i="96"/>
  <c r="BS103" i="96"/>
  <c r="BT103" i="96"/>
  <c r="BU103" i="96"/>
  <c r="BV103" i="96"/>
  <c r="BW103" i="96"/>
  <c r="BX103" i="96"/>
  <c r="BY103" i="96"/>
  <c r="BZ103" i="96"/>
  <c r="CA103" i="96"/>
  <c r="CB103" i="96"/>
  <c r="CC103" i="96"/>
  <c r="CD103" i="96"/>
  <c r="CE103" i="96"/>
  <c r="CF103" i="96"/>
  <c r="CG103" i="96"/>
  <c r="CH103" i="96"/>
  <c r="CI103" i="96"/>
  <c r="CJ103" i="96"/>
  <c r="CK103" i="96"/>
  <c r="CL103" i="96"/>
  <c r="CM103" i="96"/>
  <c r="CN103" i="96"/>
  <c r="CO103" i="96"/>
  <c r="CP103" i="96"/>
  <c r="CQ103" i="96"/>
  <c r="CR103" i="96"/>
  <c r="CS103" i="96"/>
  <c r="CT103" i="96"/>
  <c r="CU103" i="96"/>
  <c r="CV103" i="96"/>
  <c r="CW103" i="96"/>
  <c r="CX103" i="96"/>
  <c r="CY103" i="96"/>
  <c r="CZ103" i="96"/>
  <c r="E104" i="96"/>
  <c r="F104" i="96"/>
  <c r="G104" i="96"/>
  <c r="H104" i="96"/>
  <c r="I104" i="96"/>
  <c r="J104" i="96"/>
  <c r="K104" i="96"/>
  <c r="L104" i="96"/>
  <c r="M104" i="96"/>
  <c r="N104" i="96"/>
  <c r="O104" i="96"/>
  <c r="P104" i="96"/>
  <c r="Q104" i="96"/>
  <c r="R104" i="96"/>
  <c r="S104" i="96"/>
  <c r="T104" i="96"/>
  <c r="U104" i="96"/>
  <c r="V104" i="96"/>
  <c r="W104" i="96"/>
  <c r="X104" i="96"/>
  <c r="Y104" i="96"/>
  <c r="Z104" i="96"/>
  <c r="AA104" i="96"/>
  <c r="AB104" i="96"/>
  <c r="AC104" i="96"/>
  <c r="AD104" i="96"/>
  <c r="AE104" i="96"/>
  <c r="AF104" i="96"/>
  <c r="AG104" i="96"/>
  <c r="AH104" i="96"/>
  <c r="AI104" i="96"/>
  <c r="AJ104" i="96"/>
  <c r="AK104" i="96"/>
  <c r="AL104" i="96"/>
  <c r="AM104" i="96"/>
  <c r="AN104" i="96"/>
  <c r="AO104" i="96"/>
  <c r="AP104" i="96"/>
  <c r="AQ104" i="96"/>
  <c r="AR104" i="96"/>
  <c r="AS104" i="96"/>
  <c r="AT104" i="96"/>
  <c r="AU104" i="96"/>
  <c r="AV104" i="96"/>
  <c r="AW104" i="96"/>
  <c r="AX104" i="96"/>
  <c r="AY104" i="96"/>
  <c r="AZ104" i="96"/>
  <c r="BA104" i="96"/>
  <c r="BB104" i="96"/>
  <c r="BC104" i="96"/>
  <c r="BD104" i="96"/>
  <c r="BE104" i="96"/>
  <c r="BF104" i="96"/>
  <c r="BG104" i="96"/>
  <c r="BH104" i="96"/>
  <c r="BI104" i="96"/>
  <c r="BJ104" i="96"/>
  <c r="BK104" i="96"/>
  <c r="BL104" i="96"/>
  <c r="BM104" i="96"/>
  <c r="BN104" i="96"/>
  <c r="BO104" i="96"/>
  <c r="BP104" i="96"/>
  <c r="BQ104" i="96"/>
  <c r="BR104" i="96"/>
  <c r="BS104" i="96"/>
  <c r="BT104" i="96"/>
  <c r="BU104" i="96"/>
  <c r="BV104" i="96"/>
  <c r="BW104" i="96"/>
  <c r="BX104" i="96"/>
  <c r="BY104" i="96"/>
  <c r="BZ104" i="96"/>
  <c r="CA104" i="96"/>
  <c r="CB104" i="96"/>
  <c r="CC104" i="96"/>
  <c r="CD104" i="96"/>
  <c r="CE104" i="96"/>
  <c r="CF104" i="96"/>
  <c r="CG104" i="96"/>
  <c r="CH104" i="96"/>
  <c r="CI104" i="96"/>
  <c r="CJ104" i="96"/>
  <c r="CK104" i="96"/>
  <c r="CL104" i="96"/>
  <c r="CM104" i="96"/>
  <c r="CN104" i="96"/>
  <c r="CO104" i="96"/>
  <c r="CP104" i="96"/>
  <c r="CQ104" i="96"/>
  <c r="CR104" i="96"/>
  <c r="CS104" i="96"/>
  <c r="CT104" i="96"/>
  <c r="CU104" i="96"/>
  <c r="CV104" i="96"/>
  <c r="CW104" i="96"/>
  <c r="CX104" i="96"/>
  <c r="CY104" i="96"/>
  <c r="CZ104" i="96"/>
  <c r="E105" i="96"/>
  <c r="F105" i="96"/>
  <c r="G105" i="96"/>
  <c r="H105" i="96"/>
  <c r="I105" i="96"/>
  <c r="J105" i="96"/>
  <c r="K105" i="96"/>
  <c r="L105" i="96"/>
  <c r="M105" i="96"/>
  <c r="N105" i="96"/>
  <c r="O105" i="96"/>
  <c r="P105" i="96"/>
  <c r="Q105" i="96"/>
  <c r="R105" i="96"/>
  <c r="S105" i="96"/>
  <c r="T105" i="96"/>
  <c r="U105" i="96"/>
  <c r="V105" i="96"/>
  <c r="W105" i="96"/>
  <c r="X105" i="96"/>
  <c r="Y105" i="96"/>
  <c r="Z105" i="96"/>
  <c r="AA105" i="96"/>
  <c r="AB105" i="96"/>
  <c r="AC105" i="96"/>
  <c r="AD105" i="96"/>
  <c r="AE105" i="96"/>
  <c r="AF105" i="96"/>
  <c r="AG105" i="96"/>
  <c r="AH105" i="96"/>
  <c r="AI105" i="96"/>
  <c r="AJ105" i="96"/>
  <c r="AK105" i="96"/>
  <c r="AL105" i="96"/>
  <c r="AM105" i="96"/>
  <c r="AN105" i="96"/>
  <c r="AO105" i="96"/>
  <c r="AP105" i="96"/>
  <c r="AQ105" i="96"/>
  <c r="AR105" i="96"/>
  <c r="AS105" i="96"/>
  <c r="AT105" i="96"/>
  <c r="AU105" i="96"/>
  <c r="AV105" i="96"/>
  <c r="AW105" i="96"/>
  <c r="AX105" i="96"/>
  <c r="AY105" i="96"/>
  <c r="AZ105" i="96"/>
  <c r="BA105" i="96"/>
  <c r="BB105" i="96"/>
  <c r="BC105" i="96"/>
  <c r="BD105" i="96"/>
  <c r="BE105" i="96"/>
  <c r="BF105" i="96"/>
  <c r="BG105" i="96"/>
  <c r="BH105" i="96"/>
  <c r="BI105" i="96"/>
  <c r="BJ105" i="96"/>
  <c r="BK105" i="96"/>
  <c r="BL105" i="96"/>
  <c r="BM105" i="96"/>
  <c r="BN105" i="96"/>
  <c r="BO105" i="96"/>
  <c r="BP105" i="96"/>
  <c r="BQ105" i="96"/>
  <c r="BR105" i="96"/>
  <c r="BS105" i="96"/>
  <c r="BT105" i="96"/>
  <c r="BU105" i="96"/>
  <c r="BV105" i="96"/>
  <c r="BW105" i="96"/>
  <c r="BX105" i="96"/>
  <c r="BY105" i="96"/>
  <c r="BZ105" i="96"/>
  <c r="CA105" i="96"/>
  <c r="CB105" i="96"/>
  <c r="CC105" i="96"/>
  <c r="CD105" i="96"/>
  <c r="CE105" i="96"/>
  <c r="CF105" i="96"/>
  <c r="CG105" i="96"/>
  <c r="CH105" i="96"/>
  <c r="CI105" i="96"/>
  <c r="CJ105" i="96"/>
  <c r="CK105" i="96"/>
  <c r="CL105" i="96"/>
  <c r="CM105" i="96"/>
  <c r="CN105" i="96"/>
  <c r="CO105" i="96"/>
  <c r="CP105" i="96"/>
  <c r="CQ105" i="96"/>
  <c r="CR105" i="96"/>
  <c r="CS105" i="96"/>
  <c r="CT105" i="96"/>
  <c r="CU105" i="96"/>
  <c r="CV105" i="96"/>
  <c r="CW105" i="96"/>
  <c r="CX105" i="96"/>
  <c r="CY105" i="96"/>
  <c r="CZ105" i="96"/>
  <c r="E106" i="96"/>
  <c r="F106" i="96"/>
  <c r="G106" i="96"/>
  <c r="H106" i="96"/>
  <c r="I106" i="96"/>
  <c r="J106" i="96"/>
  <c r="K106" i="96"/>
  <c r="L106" i="96"/>
  <c r="M106" i="96"/>
  <c r="N106" i="96"/>
  <c r="O106" i="96"/>
  <c r="P106" i="96"/>
  <c r="Q106" i="96"/>
  <c r="R106" i="96"/>
  <c r="S106" i="96"/>
  <c r="T106" i="96"/>
  <c r="U106" i="96"/>
  <c r="V106" i="96"/>
  <c r="W106" i="96"/>
  <c r="X106" i="96"/>
  <c r="Y106" i="96"/>
  <c r="Z106" i="96"/>
  <c r="AA106" i="96"/>
  <c r="AB106" i="96"/>
  <c r="AC106" i="96"/>
  <c r="AD106" i="96"/>
  <c r="AE106" i="96"/>
  <c r="AF106" i="96"/>
  <c r="AG106" i="96"/>
  <c r="AH106" i="96"/>
  <c r="AI106" i="96"/>
  <c r="AJ106" i="96"/>
  <c r="AK106" i="96"/>
  <c r="AL106" i="96"/>
  <c r="AM106" i="96"/>
  <c r="AN106" i="96"/>
  <c r="AO106" i="96"/>
  <c r="AP106" i="96"/>
  <c r="AQ106" i="96"/>
  <c r="AR106" i="96"/>
  <c r="AS106" i="96"/>
  <c r="AT106" i="96"/>
  <c r="AU106" i="96"/>
  <c r="AV106" i="96"/>
  <c r="AW106" i="96"/>
  <c r="AX106" i="96"/>
  <c r="AY106" i="96"/>
  <c r="AZ106" i="96"/>
  <c r="BA106" i="96"/>
  <c r="BB106" i="96"/>
  <c r="BC106" i="96"/>
  <c r="BD106" i="96"/>
  <c r="BE106" i="96"/>
  <c r="BF106" i="96"/>
  <c r="BG106" i="96"/>
  <c r="BH106" i="96"/>
  <c r="BI106" i="96"/>
  <c r="BJ106" i="96"/>
  <c r="BK106" i="96"/>
  <c r="BL106" i="96"/>
  <c r="BM106" i="96"/>
  <c r="BN106" i="96"/>
  <c r="BO106" i="96"/>
  <c r="BP106" i="96"/>
  <c r="BQ106" i="96"/>
  <c r="BR106" i="96"/>
  <c r="BS106" i="96"/>
  <c r="BT106" i="96"/>
  <c r="BU106" i="96"/>
  <c r="BV106" i="96"/>
  <c r="BW106" i="96"/>
  <c r="BX106" i="96"/>
  <c r="BY106" i="96"/>
  <c r="BZ106" i="96"/>
  <c r="CA106" i="96"/>
  <c r="CB106" i="96"/>
  <c r="CC106" i="96"/>
  <c r="CD106" i="96"/>
  <c r="CE106" i="96"/>
  <c r="CF106" i="96"/>
  <c r="CG106" i="96"/>
  <c r="CH106" i="96"/>
  <c r="CI106" i="96"/>
  <c r="CJ106" i="96"/>
  <c r="CK106" i="96"/>
  <c r="CL106" i="96"/>
  <c r="CM106" i="96"/>
  <c r="CN106" i="96"/>
  <c r="CO106" i="96"/>
  <c r="CP106" i="96"/>
  <c r="CQ106" i="96"/>
  <c r="CR106" i="96"/>
  <c r="CS106" i="96"/>
  <c r="CT106" i="96"/>
  <c r="CU106" i="96"/>
  <c r="CV106" i="96"/>
  <c r="CW106" i="96"/>
  <c r="CX106" i="96"/>
  <c r="CY106" i="96"/>
  <c r="CZ106" i="96"/>
  <c r="E107" i="96"/>
  <c r="F107" i="96"/>
  <c r="G107" i="96"/>
  <c r="H107" i="96"/>
  <c r="I107" i="96"/>
  <c r="J107" i="96"/>
  <c r="K107" i="96"/>
  <c r="L107" i="96"/>
  <c r="M107" i="96"/>
  <c r="N107" i="96"/>
  <c r="O107" i="96"/>
  <c r="P107" i="96"/>
  <c r="Q107" i="96"/>
  <c r="R107" i="96"/>
  <c r="S107" i="96"/>
  <c r="T107" i="96"/>
  <c r="U107" i="96"/>
  <c r="V107" i="96"/>
  <c r="W107" i="96"/>
  <c r="X107" i="96"/>
  <c r="Y107" i="96"/>
  <c r="Z107" i="96"/>
  <c r="AA107" i="96"/>
  <c r="AB107" i="96"/>
  <c r="AC107" i="96"/>
  <c r="AD107" i="96"/>
  <c r="AE107" i="96"/>
  <c r="AF107" i="96"/>
  <c r="AG107" i="96"/>
  <c r="AH107" i="96"/>
  <c r="AI107" i="96"/>
  <c r="AJ107" i="96"/>
  <c r="AK107" i="96"/>
  <c r="AL107" i="96"/>
  <c r="AM107" i="96"/>
  <c r="AN107" i="96"/>
  <c r="AO107" i="96"/>
  <c r="AP107" i="96"/>
  <c r="AQ107" i="96"/>
  <c r="AR107" i="96"/>
  <c r="AS107" i="96"/>
  <c r="AT107" i="96"/>
  <c r="AU107" i="96"/>
  <c r="AV107" i="96"/>
  <c r="AW107" i="96"/>
  <c r="AX107" i="96"/>
  <c r="AY107" i="96"/>
  <c r="AZ107" i="96"/>
  <c r="BA107" i="96"/>
  <c r="BB107" i="96"/>
  <c r="BC107" i="96"/>
  <c r="BD107" i="96"/>
  <c r="BE107" i="96"/>
  <c r="BF107" i="96"/>
  <c r="BG107" i="96"/>
  <c r="BH107" i="96"/>
  <c r="BI107" i="96"/>
  <c r="BJ107" i="96"/>
  <c r="BK107" i="96"/>
  <c r="BL107" i="96"/>
  <c r="BM107" i="96"/>
  <c r="BN107" i="96"/>
  <c r="BO107" i="96"/>
  <c r="BP107" i="96"/>
  <c r="BQ107" i="96"/>
  <c r="BR107" i="96"/>
  <c r="BS107" i="96"/>
  <c r="BT107" i="96"/>
  <c r="BU107" i="96"/>
  <c r="BV107" i="96"/>
  <c r="BW107" i="96"/>
  <c r="BX107" i="96"/>
  <c r="BY107" i="96"/>
  <c r="BZ107" i="96"/>
  <c r="CA107" i="96"/>
  <c r="CB107" i="96"/>
  <c r="CC107" i="96"/>
  <c r="CD107" i="96"/>
  <c r="CE107" i="96"/>
  <c r="CF107" i="96"/>
  <c r="CG107" i="96"/>
  <c r="CH107" i="96"/>
  <c r="CI107" i="96"/>
  <c r="CJ107" i="96"/>
  <c r="CK107" i="96"/>
  <c r="CL107" i="96"/>
  <c r="CM107" i="96"/>
  <c r="CN107" i="96"/>
  <c r="CO107" i="96"/>
  <c r="CP107" i="96"/>
  <c r="CQ107" i="96"/>
  <c r="CR107" i="96"/>
  <c r="CS107" i="96"/>
  <c r="CT107" i="96"/>
  <c r="CU107" i="96"/>
  <c r="CV107" i="96"/>
  <c r="CW107" i="96"/>
  <c r="CX107" i="96"/>
  <c r="CY107" i="96"/>
  <c r="CZ107" i="96"/>
  <c r="E108" i="96"/>
  <c r="F108" i="96"/>
  <c r="G108" i="96"/>
  <c r="H108" i="96"/>
  <c r="I108" i="96"/>
  <c r="J108" i="96"/>
  <c r="K108" i="96"/>
  <c r="L108" i="96"/>
  <c r="M108" i="96"/>
  <c r="N108" i="96"/>
  <c r="O108" i="96"/>
  <c r="P108" i="96"/>
  <c r="Q108" i="96"/>
  <c r="R108" i="96"/>
  <c r="S108" i="96"/>
  <c r="T108" i="96"/>
  <c r="U108" i="96"/>
  <c r="V108" i="96"/>
  <c r="W108" i="96"/>
  <c r="X108" i="96"/>
  <c r="Y108" i="96"/>
  <c r="Z108" i="96"/>
  <c r="AA108" i="96"/>
  <c r="AB108" i="96"/>
  <c r="AC108" i="96"/>
  <c r="AD108" i="96"/>
  <c r="AE108" i="96"/>
  <c r="AF108" i="96"/>
  <c r="AG108" i="96"/>
  <c r="AH108" i="96"/>
  <c r="AI108" i="96"/>
  <c r="AJ108" i="96"/>
  <c r="AK108" i="96"/>
  <c r="AL108" i="96"/>
  <c r="AM108" i="96"/>
  <c r="AN108" i="96"/>
  <c r="AO108" i="96"/>
  <c r="AP108" i="96"/>
  <c r="AQ108" i="96"/>
  <c r="AR108" i="96"/>
  <c r="AS108" i="96"/>
  <c r="AT108" i="96"/>
  <c r="AU108" i="96"/>
  <c r="AV108" i="96"/>
  <c r="AW108" i="96"/>
  <c r="AX108" i="96"/>
  <c r="AY108" i="96"/>
  <c r="AZ108" i="96"/>
  <c r="BA108" i="96"/>
  <c r="BB108" i="96"/>
  <c r="BC108" i="96"/>
  <c r="BD108" i="96"/>
  <c r="BE108" i="96"/>
  <c r="BF108" i="96"/>
  <c r="BG108" i="96"/>
  <c r="BH108" i="96"/>
  <c r="BI108" i="96"/>
  <c r="BJ108" i="96"/>
  <c r="BK108" i="96"/>
  <c r="BL108" i="96"/>
  <c r="BM108" i="96"/>
  <c r="BN108" i="96"/>
  <c r="BO108" i="96"/>
  <c r="BP108" i="96"/>
  <c r="BQ108" i="96"/>
  <c r="BR108" i="96"/>
  <c r="BS108" i="96"/>
  <c r="BT108" i="96"/>
  <c r="BU108" i="96"/>
  <c r="BV108" i="96"/>
  <c r="BW108" i="96"/>
  <c r="BX108" i="96"/>
  <c r="BY108" i="96"/>
  <c r="BZ108" i="96"/>
  <c r="CA108" i="96"/>
  <c r="CB108" i="96"/>
  <c r="CC108" i="96"/>
  <c r="CD108" i="96"/>
  <c r="CE108" i="96"/>
  <c r="CF108" i="96"/>
  <c r="CG108" i="96"/>
  <c r="CH108" i="96"/>
  <c r="CI108" i="96"/>
  <c r="CJ108" i="96"/>
  <c r="CK108" i="96"/>
  <c r="CL108" i="96"/>
  <c r="CM108" i="96"/>
  <c r="CN108" i="96"/>
  <c r="CO108" i="96"/>
  <c r="CP108" i="96"/>
  <c r="CQ108" i="96"/>
  <c r="CR108" i="96"/>
  <c r="CS108" i="96"/>
  <c r="CT108" i="96"/>
  <c r="CU108" i="96"/>
  <c r="CV108" i="96"/>
  <c r="CW108" i="96"/>
  <c r="CX108" i="96"/>
  <c r="CY108" i="96"/>
  <c r="CZ108" i="96"/>
  <c r="E109" i="96"/>
  <c r="F109" i="96"/>
  <c r="G109" i="96"/>
  <c r="H109" i="96"/>
  <c r="I109" i="96"/>
  <c r="J109" i="96"/>
  <c r="K109" i="96"/>
  <c r="L109" i="96"/>
  <c r="M109" i="96"/>
  <c r="N109" i="96"/>
  <c r="O109" i="96"/>
  <c r="P109" i="96"/>
  <c r="Q109" i="96"/>
  <c r="R109" i="96"/>
  <c r="S109" i="96"/>
  <c r="T109" i="96"/>
  <c r="U109" i="96"/>
  <c r="V109" i="96"/>
  <c r="W109" i="96"/>
  <c r="X109" i="96"/>
  <c r="Y109" i="96"/>
  <c r="Z109" i="96"/>
  <c r="AA109" i="96"/>
  <c r="AB109" i="96"/>
  <c r="AC109" i="96"/>
  <c r="AD109" i="96"/>
  <c r="AE109" i="96"/>
  <c r="AF109" i="96"/>
  <c r="AG109" i="96"/>
  <c r="AH109" i="96"/>
  <c r="AI109" i="96"/>
  <c r="AJ109" i="96"/>
  <c r="AK109" i="96"/>
  <c r="AL109" i="96"/>
  <c r="AM109" i="96"/>
  <c r="AN109" i="96"/>
  <c r="AO109" i="96"/>
  <c r="AP109" i="96"/>
  <c r="AQ109" i="96"/>
  <c r="AR109" i="96"/>
  <c r="AS109" i="96"/>
  <c r="AT109" i="96"/>
  <c r="AU109" i="96"/>
  <c r="AV109" i="96"/>
  <c r="AW109" i="96"/>
  <c r="AX109" i="96"/>
  <c r="AY109" i="96"/>
  <c r="AZ109" i="96"/>
  <c r="BA109" i="96"/>
  <c r="BB109" i="96"/>
  <c r="BC109" i="96"/>
  <c r="BD109" i="96"/>
  <c r="BE109" i="96"/>
  <c r="BF109" i="96"/>
  <c r="BG109" i="96"/>
  <c r="BH109" i="96"/>
  <c r="BI109" i="96"/>
  <c r="BJ109" i="96"/>
  <c r="BK109" i="96"/>
  <c r="BL109" i="96"/>
  <c r="BM109" i="96"/>
  <c r="BN109" i="96"/>
  <c r="BO109" i="96"/>
  <c r="BP109" i="96"/>
  <c r="BQ109" i="96"/>
  <c r="BR109" i="96"/>
  <c r="BS109" i="96"/>
  <c r="BT109" i="96"/>
  <c r="BU109" i="96"/>
  <c r="BV109" i="96"/>
  <c r="BW109" i="96"/>
  <c r="BX109" i="96"/>
  <c r="BY109" i="96"/>
  <c r="BZ109" i="96"/>
  <c r="CA109" i="96"/>
  <c r="CB109" i="96"/>
  <c r="CC109" i="96"/>
  <c r="CD109" i="96"/>
  <c r="CE109" i="96"/>
  <c r="CF109" i="96"/>
  <c r="CG109" i="96"/>
  <c r="CH109" i="96"/>
  <c r="CI109" i="96"/>
  <c r="CJ109" i="96"/>
  <c r="CK109" i="96"/>
  <c r="CL109" i="96"/>
  <c r="CM109" i="96"/>
  <c r="CN109" i="96"/>
  <c r="CO109" i="96"/>
  <c r="CP109" i="96"/>
  <c r="CQ109" i="96"/>
  <c r="CR109" i="96"/>
  <c r="CS109" i="96"/>
  <c r="CT109" i="96"/>
  <c r="CU109" i="96"/>
  <c r="CV109" i="96"/>
  <c r="CW109" i="96"/>
  <c r="CX109" i="96"/>
  <c r="CY109" i="96"/>
  <c r="CZ109" i="96"/>
  <c r="E110" i="96"/>
  <c r="F110" i="96"/>
  <c r="G110" i="96"/>
  <c r="H110" i="96"/>
  <c r="I110" i="96"/>
  <c r="J110" i="96"/>
  <c r="K110" i="96"/>
  <c r="L110" i="96"/>
  <c r="M110" i="96"/>
  <c r="N110" i="96"/>
  <c r="O110" i="96"/>
  <c r="P110" i="96"/>
  <c r="Q110" i="96"/>
  <c r="R110" i="96"/>
  <c r="S110" i="96"/>
  <c r="T110" i="96"/>
  <c r="U110" i="96"/>
  <c r="V110" i="96"/>
  <c r="W110" i="96"/>
  <c r="X110" i="96"/>
  <c r="Y110" i="96"/>
  <c r="Z110" i="96"/>
  <c r="AA110" i="96"/>
  <c r="AB110" i="96"/>
  <c r="AC110" i="96"/>
  <c r="AD110" i="96"/>
  <c r="AE110" i="96"/>
  <c r="AF110" i="96"/>
  <c r="AG110" i="96"/>
  <c r="AH110" i="96"/>
  <c r="AI110" i="96"/>
  <c r="AJ110" i="96"/>
  <c r="AK110" i="96"/>
  <c r="AL110" i="96"/>
  <c r="AM110" i="96"/>
  <c r="AN110" i="96"/>
  <c r="AO110" i="96"/>
  <c r="AP110" i="96"/>
  <c r="AQ110" i="96"/>
  <c r="AR110" i="96"/>
  <c r="AS110" i="96"/>
  <c r="AT110" i="96"/>
  <c r="AU110" i="96"/>
  <c r="AV110" i="96"/>
  <c r="AW110" i="96"/>
  <c r="AX110" i="96"/>
  <c r="AY110" i="96"/>
  <c r="AZ110" i="96"/>
  <c r="BA110" i="96"/>
  <c r="BB110" i="96"/>
  <c r="BC110" i="96"/>
  <c r="BD110" i="96"/>
  <c r="BE110" i="96"/>
  <c r="BF110" i="96"/>
  <c r="BG110" i="96"/>
  <c r="BH110" i="96"/>
  <c r="BI110" i="96"/>
  <c r="BJ110" i="96"/>
  <c r="BK110" i="96"/>
  <c r="BL110" i="96"/>
  <c r="BM110" i="96"/>
  <c r="BN110" i="96"/>
  <c r="BO110" i="96"/>
  <c r="BP110" i="96"/>
  <c r="BQ110" i="96"/>
  <c r="BR110" i="96"/>
  <c r="BS110" i="96"/>
  <c r="BT110" i="96"/>
  <c r="BU110" i="96"/>
  <c r="BV110" i="96"/>
  <c r="BW110" i="96"/>
  <c r="BX110" i="96"/>
  <c r="BY110" i="96"/>
  <c r="BZ110" i="96"/>
  <c r="CA110" i="96"/>
  <c r="CB110" i="96"/>
  <c r="CC110" i="96"/>
  <c r="CD110" i="96"/>
  <c r="CE110" i="96"/>
  <c r="CF110" i="96"/>
  <c r="CG110" i="96"/>
  <c r="CH110" i="96"/>
  <c r="CI110" i="96"/>
  <c r="CJ110" i="96"/>
  <c r="CK110" i="96"/>
  <c r="CL110" i="96"/>
  <c r="CM110" i="96"/>
  <c r="CN110" i="96"/>
  <c r="CO110" i="96"/>
  <c r="CP110" i="96"/>
  <c r="CQ110" i="96"/>
  <c r="CR110" i="96"/>
  <c r="CS110" i="96"/>
  <c r="CT110" i="96"/>
  <c r="CU110" i="96"/>
  <c r="CV110" i="96"/>
  <c r="CW110" i="96"/>
  <c r="CX110" i="96"/>
  <c r="CY110" i="96"/>
  <c r="CZ110" i="96"/>
  <c r="E111" i="96"/>
  <c r="F111" i="96"/>
  <c r="G111" i="96"/>
  <c r="H111" i="96"/>
  <c r="I111" i="96"/>
  <c r="J111" i="96"/>
  <c r="K111" i="96"/>
  <c r="L111" i="96"/>
  <c r="M111" i="96"/>
  <c r="N111" i="96"/>
  <c r="O111" i="96"/>
  <c r="P111" i="96"/>
  <c r="Q111" i="96"/>
  <c r="R111" i="96"/>
  <c r="S111" i="96"/>
  <c r="T111" i="96"/>
  <c r="U111" i="96"/>
  <c r="V111" i="96"/>
  <c r="W111" i="96"/>
  <c r="X111" i="96"/>
  <c r="Y111" i="96"/>
  <c r="Z111" i="96"/>
  <c r="AA111" i="96"/>
  <c r="AB111" i="96"/>
  <c r="AC111" i="96"/>
  <c r="AD111" i="96"/>
  <c r="AE111" i="96"/>
  <c r="AF111" i="96"/>
  <c r="AG111" i="96"/>
  <c r="AH111" i="96"/>
  <c r="AI111" i="96"/>
  <c r="AJ111" i="96"/>
  <c r="AK111" i="96"/>
  <c r="AL111" i="96"/>
  <c r="AM111" i="96"/>
  <c r="AN111" i="96"/>
  <c r="AO111" i="96"/>
  <c r="AP111" i="96"/>
  <c r="AQ111" i="96"/>
  <c r="AR111" i="96"/>
  <c r="AS111" i="96"/>
  <c r="AT111" i="96"/>
  <c r="AU111" i="96"/>
  <c r="AV111" i="96"/>
  <c r="AW111" i="96"/>
  <c r="AX111" i="96"/>
  <c r="AY111" i="96"/>
  <c r="AZ111" i="96"/>
  <c r="BA111" i="96"/>
  <c r="BB111" i="96"/>
  <c r="BC111" i="96"/>
  <c r="BD111" i="96"/>
  <c r="BE111" i="96"/>
  <c r="BF111" i="96"/>
  <c r="BG111" i="96"/>
  <c r="BH111" i="96"/>
  <c r="BI111" i="96"/>
  <c r="BJ111" i="96"/>
  <c r="BK111" i="96"/>
  <c r="BL111" i="96"/>
  <c r="BM111" i="96"/>
  <c r="BN111" i="96"/>
  <c r="BO111" i="96"/>
  <c r="BP111" i="96"/>
  <c r="BQ111" i="96"/>
  <c r="BR111" i="96"/>
  <c r="BS111" i="96"/>
  <c r="BT111" i="96"/>
  <c r="BU111" i="96"/>
  <c r="BV111" i="96"/>
  <c r="BW111" i="96"/>
  <c r="BX111" i="96"/>
  <c r="BY111" i="96"/>
  <c r="BZ111" i="96"/>
  <c r="CA111" i="96"/>
  <c r="CB111" i="96"/>
  <c r="CC111" i="96"/>
  <c r="CD111" i="96"/>
  <c r="CE111" i="96"/>
  <c r="CF111" i="96"/>
  <c r="CG111" i="96"/>
  <c r="CH111" i="96"/>
  <c r="CI111" i="96"/>
  <c r="CJ111" i="96"/>
  <c r="CK111" i="96"/>
  <c r="CL111" i="96"/>
  <c r="CM111" i="96"/>
  <c r="CN111" i="96"/>
  <c r="CO111" i="96"/>
  <c r="CP111" i="96"/>
  <c r="CQ111" i="96"/>
  <c r="CR111" i="96"/>
  <c r="CS111" i="96"/>
  <c r="CT111" i="96"/>
  <c r="CU111" i="96"/>
  <c r="CV111" i="96"/>
  <c r="CW111" i="96"/>
  <c r="CX111" i="96"/>
  <c r="CY111" i="96"/>
  <c r="CZ111" i="96"/>
  <c r="E112" i="96"/>
  <c r="F112" i="96"/>
  <c r="G112" i="96"/>
  <c r="H112" i="96"/>
  <c r="I112" i="96"/>
  <c r="J112" i="96"/>
  <c r="K112" i="96"/>
  <c r="L112" i="96"/>
  <c r="M112" i="96"/>
  <c r="N112" i="96"/>
  <c r="O112" i="96"/>
  <c r="P112" i="96"/>
  <c r="Q112" i="96"/>
  <c r="R112" i="96"/>
  <c r="S112" i="96"/>
  <c r="T112" i="96"/>
  <c r="U112" i="96"/>
  <c r="V112" i="96"/>
  <c r="W112" i="96"/>
  <c r="X112" i="96"/>
  <c r="Y112" i="96"/>
  <c r="Z112" i="96"/>
  <c r="AA112" i="96"/>
  <c r="AB112" i="96"/>
  <c r="AC112" i="96"/>
  <c r="AD112" i="96"/>
  <c r="AE112" i="96"/>
  <c r="AF112" i="96"/>
  <c r="AG112" i="96"/>
  <c r="AH112" i="96"/>
  <c r="AI112" i="96"/>
  <c r="AJ112" i="96"/>
  <c r="AK112" i="96"/>
  <c r="AL112" i="96"/>
  <c r="AM112" i="96"/>
  <c r="AN112" i="96"/>
  <c r="AO112" i="96"/>
  <c r="AP112" i="96"/>
  <c r="AQ112" i="96"/>
  <c r="AR112" i="96"/>
  <c r="AS112" i="96"/>
  <c r="AT112" i="96"/>
  <c r="AU112" i="96"/>
  <c r="AV112" i="96"/>
  <c r="AW112" i="96"/>
  <c r="AX112" i="96"/>
  <c r="AY112" i="96"/>
  <c r="AZ112" i="96"/>
  <c r="BA112" i="96"/>
  <c r="BB112" i="96"/>
  <c r="BC112" i="96"/>
  <c r="BD112" i="96"/>
  <c r="BE112" i="96"/>
  <c r="BF112" i="96"/>
  <c r="BG112" i="96"/>
  <c r="BH112" i="96"/>
  <c r="BI112" i="96"/>
  <c r="BJ112" i="96"/>
  <c r="BK112" i="96"/>
  <c r="BL112" i="96"/>
  <c r="BM112" i="96"/>
  <c r="BN112" i="96"/>
  <c r="BO112" i="96"/>
  <c r="BP112" i="96"/>
  <c r="BQ112" i="96"/>
  <c r="BR112" i="96"/>
  <c r="BS112" i="96"/>
  <c r="BT112" i="96"/>
  <c r="BU112" i="96"/>
  <c r="BV112" i="96"/>
  <c r="BW112" i="96"/>
  <c r="BX112" i="96"/>
  <c r="BY112" i="96"/>
  <c r="BZ112" i="96"/>
  <c r="CA112" i="96"/>
  <c r="CB112" i="96"/>
  <c r="CC112" i="96"/>
  <c r="CD112" i="96"/>
  <c r="CE112" i="96"/>
  <c r="CF112" i="96"/>
  <c r="CG112" i="96"/>
  <c r="CH112" i="96"/>
  <c r="CI112" i="96"/>
  <c r="CJ112" i="96"/>
  <c r="CK112" i="96"/>
  <c r="CL112" i="96"/>
  <c r="CM112" i="96"/>
  <c r="CN112" i="96"/>
  <c r="CO112" i="96"/>
  <c r="CP112" i="96"/>
  <c r="CQ112" i="96"/>
  <c r="CR112" i="96"/>
  <c r="CS112" i="96"/>
  <c r="CT112" i="96"/>
  <c r="CU112" i="96"/>
  <c r="CV112" i="96"/>
  <c r="CW112" i="96"/>
  <c r="CX112" i="96"/>
  <c r="CY112" i="96"/>
  <c r="CZ112" i="96"/>
  <c r="E113" i="96"/>
  <c r="F113" i="96"/>
  <c r="G113" i="96"/>
  <c r="H113" i="96"/>
  <c r="I113" i="96"/>
  <c r="J113" i="96"/>
  <c r="K113" i="96"/>
  <c r="L113" i="96"/>
  <c r="M113" i="96"/>
  <c r="N113" i="96"/>
  <c r="O113" i="96"/>
  <c r="P113" i="96"/>
  <c r="Q113" i="96"/>
  <c r="R113" i="96"/>
  <c r="S113" i="96"/>
  <c r="T113" i="96"/>
  <c r="U113" i="96"/>
  <c r="V113" i="96"/>
  <c r="W113" i="96"/>
  <c r="X113" i="96"/>
  <c r="Y113" i="96"/>
  <c r="Z113" i="96"/>
  <c r="AA113" i="96"/>
  <c r="AB113" i="96"/>
  <c r="AC113" i="96"/>
  <c r="AD113" i="96"/>
  <c r="AE113" i="96"/>
  <c r="AF113" i="96"/>
  <c r="AG113" i="96"/>
  <c r="AH113" i="96"/>
  <c r="AI113" i="96"/>
  <c r="AJ113" i="96"/>
  <c r="AK113" i="96"/>
  <c r="AL113" i="96"/>
  <c r="AM113" i="96"/>
  <c r="AN113" i="96"/>
  <c r="AO113" i="96"/>
  <c r="AP113" i="96"/>
  <c r="AQ113" i="96"/>
  <c r="AR113" i="96"/>
  <c r="AS113" i="96"/>
  <c r="AT113" i="96"/>
  <c r="AU113" i="96"/>
  <c r="AV113" i="96"/>
  <c r="AW113" i="96"/>
  <c r="AX113" i="96"/>
  <c r="AY113" i="96"/>
  <c r="AZ113" i="96"/>
  <c r="BA113" i="96"/>
  <c r="BB113" i="96"/>
  <c r="BC113" i="96"/>
  <c r="BD113" i="96"/>
  <c r="BE113" i="96"/>
  <c r="BF113" i="96"/>
  <c r="BG113" i="96"/>
  <c r="BH113" i="96"/>
  <c r="BI113" i="96"/>
  <c r="BJ113" i="96"/>
  <c r="BK113" i="96"/>
  <c r="BL113" i="96"/>
  <c r="BM113" i="96"/>
  <c r="BN113" i="96"/>
  <c r="BO113" i="96"/>
  <c r="BP113" i="96"/>
  <c r="BQ113" i="96"/>
  <c r="BR113" i="96"/>
  <c r="BS113" i="96"/>
  <c r="BT113" i="96"/>
  <c r="BU113" i="96"/>
  <c r="BV113" i="96"/>
  <c r="BW113" i="96"/>
  <c r="BX113" i="96"/>
  <c r="BY113" i="96"/>
  <c r="BZ113" i="96"/>
  <c r="CA113" i="96"/>
  <c r="CB113" i="96"/>
  <c r="CC113" i="96"/>
  <c r="CD113" i="96"/>
  <c r="CE113" i="96"/>
  <c r="CF113" i="96"/>
  <c r="CG113" i="96"/>
  <c r="CH113" i="96"/>
  <c r="CI113" i="96"/>
  <c r="CJ113" i="96"/>
  <c r="CK113" i="96"/>
  <c r="CL113" i="96"/>
  <c r="CM113" i="96"/>
  <c r="CN113" i="96"/>
  <c r="CO113" i="96"/>
  <c r="CP113" i="96"/>
  <c r="CQ113" i="96"/>
  <c r="CR113" i="96"/>
  <c r="CS113" i="96"/>
  <c r="CT113" i="96"/>
  <c r="CU113" i="96"/>
  <c r="CV113" i="96"/>
  <c r="CW113" i="96"/>
  <c r="CX113" i="96"/>
  <c r="CY113" i="96"/>
  <c r="CZ113" i="96"/>
  <c r="E114" i="96"/>
  <c r="F114" i="96"/>
  <c r="G114" i="96"/>
  <c r="H114" i="96"/>
  <c r="I114" i="96"/>
  <c r="J114" i="96"/>
  <c r="K114" i="96"/>
  <c r="L114" i="96"/>
  <c r="M114" i="96"/>
  <c r="N114" i="96"/>
  <c r="O114" i="96"/>
  <c r="P114" i="96"/>
  <c r="Q114" i="96"/>
  <c r="R114" i="96"/>
  <c r="S114" i="96"/>
  <c r="T114" i="96"/>
  <c r="U114" i="96"/>
  <c r="V114" i="96"/>
  <c r="W114" i="96"/>
  <c r="X114" i="96"/>
  <c r="Y114" i="96"/>
  <c r="Z114" i="96"/>
  <c r="AA114" i="96"/>
  <c r="AB114" i="96"/>
  <c r="AC114" i="96"/>
  <c r="AD114" i="96"/>
  <c r="AE114" i="96"/>
  <c r="AF114" i="96"/>
  <c r="AG114" i="96"/>
  <c r="AH114" i="96"/>
  <c r="AI114" i="96"/>
  <c r="AJ114" i="96"/>
  <c r="AK114" i="96"/>
  <c r="AL114" i="96"/>
  <c r="AM114" i="96"/>
  <c r="AN114" i="96"/>
  <c r="AO114" i="96"/>
  <c r="AP114" i="96"/>
  <c r="AQ114" i="96"/>
  <c r="AR114" i="96"/>
  <c r="AS114" i="96"/>
  <c r="AT114" i="96"/>
  <c r="AU114" i="96"/>
  <c r="AV114" i="96"/>
  <c r="AW114" i="96"/>
  <c r="AX114" i="96"/>
  <c r="AY114" i="96"/>
  <c r="AZ114" i="96"/>
  <c r="BA114" i="96"/>
  <c r="BB114" i="96"/>
  <c r="BC114" i="96"/>
  <c r="BD114" i="96"/>
  <c r="BE114" i="96"/>
  <c r="BF114" i="96"/>
  <c r="BG114" i="96"/>
  <c r="BH114" i="96"/>
  <c r="BI114" i="96"/>
  <c r="BJ114" i="96"/>
  <c r="BK114" i="96"/>
  <c r="BL114" i="96"/>
  <c r="BM114" i="96"/>
  <c r="BN114" i="96"/>
  <c r="BO114" i="96"/>
  <c r="BP114" i="96"/>
  <c r="BQ114" i="96"/>
  <c r="BR114" i="96"/>
  <c r="BS114" i="96"/>
  <c r="BT114" i="96"/>
  <c r="BU114" i="96"/>
  <c r="BV114" i="96"/>
  <c r="BW114" i="96"/>
  <c r="BX114" i="96"/>
  <c r="BY114" i="96"/>
  <c r="BZ114" i="96"/>
  <c r="CA114" i="96"/>
  <c r="CB114" i="96"/>
  <c r="CC114" i="96"/>
  <c r="CD114" i="96"/>
  <c r="CE114" i="96"/>
  <c r="CF114" i="96"/>
  <c r="CG114" i="96"/>
  <c r="CH114" i="96"/>
  <c r="CI114" i="96"/>
  <c r="CJ114" i="96"/>
  <c r="CK114" i="96"/>
  <c r="CL114" i="96"/>
  <c r="CM114" i="96"/>
  <c r="CN114" i="96"/>
  <c r="CO114" i="96"/>
  <c r="CP114" i="96"/>
  <c r="CQ114" i="96"/>
  <c r="CR114" i="96"/>
  <c r="CS114" i="96"/>
  <c r="CT114" i="96"/>
  <c r="CU114" i="96"/>
  <c r="CV114" i="96"/>
  <c r="CW114" i="96"/>
  <c r="CX114" i="96"/>
  <c r="CY114" i="96"/>
  <c r="CZ114" i="96"/>
  <c r="E115" i="96"/>
  <c r="F115" i="96"/>
  <c r="G115" i="96"/>
  <c r="H115" i="96"/>
  <c r="I115" i="96"/>
  <c r="J115" i="96"/>
  <c r="K115" i="96"/>
  <c r="L115" i="96"/>
  <c r="M115" i="96"/>
  <c r="N115" i="96"/>
  <c r="O115" i="96"/>
  <c r="P115" i="96"/>
  <c r="Q115" i="96"/>
  <c r="R115" i="96"/>
  <c r="S115" i="96"/>
  <c r="T115" i="96"/>
  <c r="U115" i="96"/>
  <c r="V115" i="96"/>
  <c r="W115" i="96"/>
  <c r="X115" i="96"/>
  <c r="Y115" i="96"/>
  <c r="Z115" i="96"/>
  <c r="AA115" i="96"/>
  <c r="AB115" i="96"/>
  <c r="AC115" i="96"/>
  <c r="AD115" i="96"/>
  <c r="AE115" i="96"/>
  <c r="AF115" i="96"/>
  <c r="AG115" i="96"/>
  <c r="AH115" i="96"/>
  <c r="AI115" i="96"/>
  <c r="AJ115" i="96"/>
  <c r="AK115" i="96"/>
  <c r="AL115" i="96"/>
  <c r="AM115" i="96"/>
  <c r="AN115" i="96"/>
  <c r="AO115" i="96"/>
  <c r="AP115" i="96"/>
  <c r="AQ115" i="96"/>
  <c r="AR115" i="96"/>
  <c r="AS115" i="96"/>
  <c r="AT115" i="96"/>
  <c r="AU115" i="96"/>
  <c r="AV115" i="96"/>
  <c r="AW115" i="96"/>
  <c r="AX115" i="96"/>
  <c r="AY115" i="96"/>
  <c r="AZ115" i="96"/>
  <c r="BA115" i="96"/>
  <c r="BB115" i="96"/>
  <c r="BC115" i="96"/>
  <c r="BD115" i="96"/>
  <c r="BE115" i="96"/>
  <c r="BF115" i="96"/>
  <c r="BG115" i="96"/>
  <c r="BH115" i="96"/>
  <c r="BI115" i="96"/>
  <c r="BJ115" i="96"/>
  <c r="BK115" i="96"/>
  <c r="BL115" i="96"/>
  <c r="BM115" i="96"/>
  <c r="BN115" i="96"/>
  <c r="BO115" i="96"/>
  <c r="BP115" i="96"/>
  <c r="BQ115" i="96"/>
  <c r="BR115" i="96"/>
  <c r="BS115" i="96"/>
  <c r="BT115" i="96"/>
  <c r="BU115" i="96"/>
  <c r="BV115" i="96"/>
  <c r="BW115" i="96"/>
  <c r="BX115" i="96"/>
  <c r="BY115" i="96"/>
  <c r="BZ115" i="96"/>
  <c r="CA115" i="96"/>
  <c r="CB115" i="96"/>
  <c r="CC115" i="96"/>
  <c r="CD115" i="96"/>
  <c r="CE115" i="96"/>
  <c r="CF115" i="96"/>
  <c r="CG115" i="96"/>
  <c r="CH115" i="96"/>
  <c r="CI115" i="96"/>
  <c r="CJ115" i="96"/>
  <c r="CK115" i="96"/>
  <c r="CL115" i="96"/>
  <c r="CM115" i="96"/>
  <c r="CN115" i="96"/>
  <c r="CO115" i="96"/>
  <c r="CP115" i="96"/>
  <c r="CQ115" i="96"/>
  <c r="CR115" i="96"/>
  <c r="CS115" i="96"/>
  <c r="CT115" i="96"/>
  <c r="CU115" i="96"/>
  <c r="CV115" i="96"/>
  <c r="CW115" i="96"/>
  <c r="CX115" i="96"/>
  <c r="CY115" i="96"/>
  <c r="CZ115" i="96"/>
  <c r="E116" i="96"/>
  <c r="F116" i="96"/>
  <c r="G116" i="96"/>
  <c r="H116" i="96"/>
  <c r="I116" i="96"/>
  <c r="J116" i="96"/>
  <c r="K116" i="96"/>
  <c r="L116" i="96"/>
  <c r="M116" i="96"/>
  <c r="N116" i="96"/>
  <c r="O116" i="96"/>
  <c r="P116" i="96"/>
  <c r="Q116" i="96"/>
  <c r="R116" i="96"/>
  <c r="S116" i="96"/>
  <c r="T116" i="96"/>
  <c r="U116" i="96"/>
  <c r="V116" i="96"/>
  <c r="W116" i="96"/>
  <c r="X116" i="96"/>
  <c r="Y116" i="96"/>
  <c r="Z116" i="96"/>
  <c r="AA116" i="96"/>
  <c r="AB116" i="96"/>
  <c r="AC116" i="96"/>
  <c r="AD116" i="96"/>
  <c r="AE116" i="96"/>
  <c r="AF116" i="96"/>
  <c r="AG116" i="96"/>
  <c r="AH116" i="96"/>
  <c r="AI116" i="96"/>
  <c r="AJ116" i="96"/>
  <c r="AK116" i="96"/>
  <c r="AL116" i="96"/>
  <c r="AM116" i="96"/>
  <c r="AN116" i="96"/>
  <c r="AO116" i="96"/>
  <c r="AP116" i="96"/>
  <c r="AQ116" i="96"/>
  <c r="AR116" i="96"/>
  <c r="AS116" i="96"/>
  <c r="AT116" i="96"/>
  <c r="AU116" i="96"/>
  <c r="AV116" i="96"/>
  <c r="AW116" i="96"/>
  <c r="AX116" i="96"/>
  <c r="AY116" i="96"/>
  <c r="AZ116" i="96"/>
  <c r="BA116" i="96"/>
  <c r="BB116" i="96"/>
  <c r="BC116" i="96"/>
  <c r="BD116" i="96"/>
  <c r="BE116" i="96"/>
  <c r="BF116" i="96"/>
  <c r="BG116" i="96"/>
  <c r="BH116" i="96"/>
  <c r="BI116" i="96"/>
  <c r="BJ116" i="96"/>
  <c r="BK116" i="96"/>
  <c r="BL116" i="96"/>
  <c r="BM116" i="96"/>
  <c r="BN116" i="96"/>
  <c r="BO116" i="96"/>
  <c r="BP116" i="96"/>
  <c r="BQ116" i="96"/>
  <c r="BR116" i="96"/>
  <c r="BS116" i="96"/>
  <c r="BT116" i="96"/>
  <c r="BU116" i="96"/>
  <c r="BV116" i="96"/>
  <c r="BW116" i="96"/>
  <c r="BX116" i="96"/>
  <c r="BY116" i="96"/>
  <c r="BZ116" i="96"/>
  <c r="CA116" i="96"/>
  <c r="CB116" i="96"/>
  <c r="CC116" i="96"/>
  <c r="CD116" i="96"/>
  <c r="CE116" i="96"/>
  <c r="CF116" i="96"/>
  <c r="CG116" i="96"/>
  <c r="CH116" i="96"/>
  <c r="CI116" i="96"/>
  <c r="CJ116" i="96"/>
  <c r="CK116" i="96"/>
  <c r="CL116" i="96"/>
  <c r="CM116" i="96"/>
  <c r="CN116" i="96"/>
  <c r="CO116" i="96"/>
  <c r="CP116" i="96"/>
  <c r="CQ116" i="96"/>
  <c r="CR116" i="96"/>
  <c r="CS116" i="96"/>
  <c r="CT116" i="96"/>
  <c r="CU116" i="96"/>
  <c r="CV116" i="96"/>
  <c r="CW116" i="96"/>
  <c r="CX116" i="96"/>
  <c r="CY116" i="96"/>
  <c r="CZ116" i="96"/>
  <c r="E117" i="96"/>
  <c r="F117" i="96"/>
  <c r="G117" i="96"/>
  <c r="H117" i="96"/>
  <c r="I117" i="96"/>
  <c r="J117" i="96"/>
  <c r="K117" i="96"/>
  <c r="L117" i="96"/>
  <c r="M117" i="96"/>
  <c r="N117" i="96"/>
  <c r="O117" i="96"/>
  <c r="P117" i="96"/>
  <c r="Q117" i="96"/>
  <c r="R117" i="96"/>
  <c r="S117" i="96"/>
  <c r="T117" i="96"/>
  <c r="U117" i="96"/>
  <c r="V117" i="96"/>
  <c r="W117" i="96"/>
  <c r="X117" i="96"/>
  <c r="Y117" i="96"/>
  <c r="Z117" i="96"/>
  <c r="AA117" i="96"/>
  <c r="AB117" i="96"/>
  <c r="AC117" i="96"/>
  <c r="AD117" i="96"/>
  <c r="AE117" i="96"/>
  <c r="AF117" i="96"/>
  <c r="AG117" i="96"/>
  <c r="AH117" i="96"/>
  <c r="AI117" i="96"/>
  <c r="AJ117" i="96"/>
  <c r="AK117" i="96"/>
  <c r="AL117" i="96"/>
  <c r="AM117" i="96"/>
  <c r="AN117" i="96"/>
  <c r="AO117" i="96"/>
  <c r="AP117" i="96"/>
  <c r="AQ117" i="96"/>
  <c r="AR117" i="96"/>
  <c r="AS117" i="96"/>
  <c r="AT117" i="96"/>
  <c r="AU117" i="96"/>
  <c r="AV117" i="96"/>
  <c r="AW117" i="96"/>
  <c r="AX117" i="96"/>
  <c r="AY117" i="96"/>
  <c r="AZ117" i="96"/>
  <c r="BA117" i="96"/>
  <c r="BB117" i="96"/>
  <c r="BC117" i="96"/>
  <c r="BD117" i="96"/>
  <c r="BE117" i="96"/>
  <c r="BF117" i="96"/>
  <c r="BG117" i="96"/>
  <c r="BH117" i="96"/>
  <c r="BI117" i="96"/>
  <c r="BJ117" i="96"/>
  <c r="BK117" i="96"/>
  <c r="BL117" i="96"/>
  <c r="BM117" i="96"/>
  <c r="BN117" i="96"/>
  <c r="BO117" i="96"/>
  <c r="BP117" i="96"/>
  <c r="BQ117" i="96"/>
  <c r="BR117" i="96"/>
  <c r="BS117" i="96"/>
  <c r="BT117" i="96"/>
  <c r="BU117" i="96"/>
  <c r="BV117" i="96"/>
  <c r="BW117" i="96"/>
  <c r="BX117" i="96"/>
  <c r="BY117" i="96"/>
  <c r="BZ117" i="96"/>
  <c r="CA117" i="96"/>
  <c r="CB117" i="96"/>
  <c r="CC117" i="96"/>
  <c r="CD117" i="96"/>
  <c r="CE117" i="96"/>
  <c r="CF117" i="96"/>
  <c r="CG117" i="96"/>
  <c r="CH117" i="96"/>
  <c r="CI117" i="96"/>
  <c r="CJ117" i="96"/>
  <c r="CK117" i="96"/>
  <c r="CL117" i="96"/>
  <c r="CM117" i="96"/>
  <c r="CN117" i="96"/>
  <c r="CO117" i="96"/>
  <c r="CP117" i="96"/>
  <c r="CQ117" i="96"/>
  <c r="CR117" i="96"/>
  <c r="CS117" i="96"/>
  <c r="CT117" i="96"/>
  <c r="CU117" i="96"/>
  <c r="CV117" i="96"/>
  <c r="CW117" i="96"/>
  <c r="CX117" i="96"/>
  <c r="CY117" i="96"/>
  <c r="CZ117" i="96"/>
  <c r="E118" i="96"/>
  <c r="F118" i="96"/>
  <c r="G118" i="96"/>
  <c r="H118" i="96"/>
  <c r="I118" i="96"/>
  <c r="J118" i="96"/>
  <c r="K118" i="96"/>
  <c r="L118" i="96"/>
  <c r="M118" i="96"/>
  <c r="N118" i="96"/>
  <c r="O118" i="96"/>
  <c r="P118" i="96"/>
  <c r="Q118" i="96"/>
  <c r="R118" i="96"/>
  <c r="S118" i="96"/>
  <c r="T118" i="96"/>
  <c r="U118" i="96"/>
  <c r="V118" i="96"/>
  <c r="W118" i="96"/>
  <c r="X118" i="96"/>
  <c r="Y118" i="96"/>
  <c r="Z118" i="96"/>
  <c r="AA118" i="96"/>
  <c r="AB118" i="96"/>
  <c r="AC118" i="96"/>
  <c r="AD118" i="96"/>
  <c r="AE118" i="96"/>
  <c r="AF118" i="96"/>
  <c r="AG118" i="96"/>
  <c r="AH118" i="96"/>
  <c r="AI118" i="96"/>
  <c r="AJ118" i="96"/>
  <c r="AK118" i="96"/>
  <c r="AL118" i="96"/>
  <c r="AM118" i="96"/>
  <c r="AN118" i="96"/>
  <c r="AO118" i="96"/>
  <c r="AP118" i="96"/>
  <c r="AQ118" i="96"/>
  <c r="AR118" i="96"/>
  <c r="AS118" i="96"/>
  <c r="AT118" i="96"/>
  <c r="AU118" i="96"/>
  <c r="AV118" i="96"/>
  <c r="AW118" i="96"/>
  <c r="AX118" i="96"/>
  <c r="AY118" i="96"/>
  <c r="AZ118" i="96"/>
  <c r="BA118" i="96"/>
  <c r="BB118" i="96"/>
  <c r="BC118" i="96"/>
  <c r="BD118" i="96"/>
  <c r="BE118" i="96"/>
  <c r="BF118" i="96"/>
  <c r="BG118" i="96"/>
  <c r="BH118" i="96"/>
  <c r="BI118" i="96"/>
  <c r="BJ118" i="96"/>
  <c r="BK118" i="96"/>
  <c r="BL118" i="96"/>
  <c r="BM118" i="96"/>
  <c r="BN118" i="96"/>
  <c r="BO118" i="96"/>
  <c r="BP118" i="96"/>
  <c r="BQ118" i="96"/>
  <c r="BR118" i="96"/>
  <c r="BS118" i="96"/>
  <c r="BT118" i="96"/>
  <c r="BU118" i="96"/>
  <c r="BV118" i="96"/>
  <c r="BW118" i="96"/>
  <c r="BX118" i="96"/>
  <c r="BY118" i="96"/>
  <c r="BZ118" i="96"/>
  <c r="CA118" i="96"/>
  <c r="CB118" i="96"/>
  <c r="CC118" i="96"/>
  <c r="CD118" i="96"/>
  <c r="CE118" i="96"/>
  <c r="CF118" i="96"/>
  <c r="CG118" i="96"/>
  <c r="CH118" i="96"/>
  <c r="CI118" i="96"/>
  <c r="CJ118" i="96"/>
  <c r="CK118" i="96"/>
  <c r="CL118" i="96"/>
  <c r="CM118" i="96"/>
  <c r="CN118" i="96"/>
  <c r="CO118" i="96"/>
  <c r="CP118" i="96"/>
  <c r="CQ118" i="96"/>
  <c r="CR118" i="96"/>
  <c r="CS118" i="96"/>
  <c r="CT118" i="96"/>
  <c r="CU118" i="96"/>
  <c r="CV118" i="96"/>
  <c r="CW118" i="96"/>
  <c r="CX118" i="96"/>
  <c r="CY118" i="96"/>
  <c r="CZ118" i="96"/>
  <c r="E119" i="96"/>
  <c r="F119" i="96"/>
  <c r="G119" i="96"/>
  <c r="H119" i="96"/>
  <c r="I119" i="96"/>
  <c r="J119" i="96"/>
  <c r="K119" i="96"/>
  <c r="L119" i="96"/>
  <c r="M119" i="96"/>
  <c r="N119" i="96"/>
  <c r="O119" i="96"/>
  <c r="P119" i="96"/>
  <c r="Q119" i="96"/>
  <c r="R119" i="96"/>
  <c r="S119" i="96"/>
  <c r="T119" i="96"/>
  <c r="U119" i="96"/>
  <c r="V119" i="96"/>
  <c r="W119" i="96"/>
  <c r="X119" i="96"/>
  <c r="Y119" i="96"/>
  <c r="Z119" i="96"/>
  <c r="AA119" i="96"/>
  <c r="AB119" i="96"/>
  <c r="AC119" i="96"/>
  <c r="AD119" i="96"/>
  <c r="AE119" i="96"/>
  <c r="AF119" i="96"/>
  <c r="AG119" i="96"/>
  <c r="AH119" i="96"/>
  <c r="AI119" i="96"/>
  <c r="AJ119" i="96"/>
  <c r="AK119" i="96"/>
  <c r="AL119" i="96"/>
  <c r="AM119" i="96"/>
  <c r="AN119" i="96"/>
  <c r="AO119" i="96"/>
  <c r="AP119" i="96"/>
  <c r="AQ119" i="96"/>
  <c r="AR119" i="96"/>
  <c r="AS119" i="96"/>
  <c r="AT119" i="96"/>
  <c r="AU119" i="96"/>
  <c r="AV119" i="96"/>
  <c r="AW119" i="96"/>
  <c r="AX119" i="96"/>
  <c r="AY119" i="96"/>
  <c r="AZ119" i="96"/>
  <c r="BA119" i="96"/>
  <c r="BB119" i="96"/>
  <c r="BC119" i="96"/>
  <c r="BD119" i="96"/>
  <c r="BE119" i="96"/>
  <c r="BF119" i="96"/>
  <c r="BG119" i="96"/>
  <c r="BH119" i="96"/>
  <c r="BI119" i="96"/>
  <c r="BJ119" i="96"/>
  <c r="BK119" i="96"/>
  <c r="BL119" i="96"/>
  <c r="BM119" i="96"/>
  <c r="BN119" i="96"/>
  <c r="BO119" i="96"/>
  <c r="BP119" i="96"/>
  <c r="BQ119" i="96"/>
  <c r="BR119" i="96"/>
  <c r="BS119" i="96"/>
  <c r="BT119" i="96"/>
  <c r="BU119" i="96"/>
  <c r="BV119" i="96"/>
  <c r="BW119" i="96"/>
  <c r="BX119" i="96"/>
  <c r="BY119" i="96"/>
  <c r="BZ119" i="96"/>
  <c r="CA119" i="96"/>
  <c r="CB119" i="96"/>
  <c r="CC119" i="96"/>
  <c r="CD119" i="96"/>
  <c r="CE119" i="96"/>
  <c r="CF119" i="96"/>
  <c r="CG119" i="96"/>
  <c r="CH119" i="96"/>
  <c r="CI119" i="96"/>
  <c r="CJ119" i="96"/>
  <c r="CK119" i="96"/>
  <c r="CL119" i="96"/>
  <c r="CM119" i="96"/>
  <c r="CN119" i="96"/>
  <c r="CO119" i="96"/>
  <c r="CP119" i="96"/>
  <c r="CQ119" i="96"/>
  <c r="CR119" i="96"/>
  <c r="CS119" i="96"/>
  <c r="CT119" i="96"/>
  <c r="CU119" i="96"/>
  <c r="CV119" i="96"/>
  <c r="CW119" i="96"/>
  <c r="CX119" i="96"/>
  <c r="CY119" i="96"/>
  <c r="CZ119" i="96"/>
  <c r="E120" i="96"/>
  <c r="F120" i="96"/>
  <c r="G120" i="96"/>
  <c r="H120" i="96"/>
  <c r="I120" i="96"/>
  <c r="J120" i="96"/>
  <c r="K120" i="96"/>
  <c r="L120" i="96"/>
  <c r="M120" i="96"/>
  <c r="N120" i="96"/>
  <c r="O120" i="96"/>
  <c r="P120" i="96"/>
  <c r="Q120" i="96"/>
  <c r="R120" i="96"/>
  <c r="S120" i="96"/>
  <c r="T120" i="96"/>
  <c r="U120" i="96"/>
  <c r="V120" i="96"/>
  <c r="W120" i="96"/>
  <c r="X120" i="96"/>
  <c r="Y120" i="96"/>
  <c r="Z120" i="96"/>
  <c r="AA120" i="96"/>
  <c r="AB120" i="96"/>
  <c r="AC120" i="96"/>
  <c r="AD120" i="96"/>
  <c r="AE120" i="96"/>
  <c r="AF120" i="96"/>
  <c r="AG120" i="96"/>
  <c r="AH120" i="96"/>
  <c r="AI120" i="96"/>
  <c r="AJ120" i="96"/>
  <c r="AK120" i="96"/>
  <c r="AL120" i="96"/>
  <c r="AM120" i="96"/>
  <c r="AN120" i="96"/>
  <c r="AO120" i="96"/>
  <c r="AP120" i="96"/>
  <c r="AQ120" i="96"/>
  <c r="AR120" i="96"/>
  <c r="AS120" i="96"/>
  <c r="AT120" i="96"/>
  <c r="AU120" i="96"/>
  <c r="AV120" i="96"/>
  <c r="AW120" i="96"/>
  <c r="AX120" i="96"/>
  <c r="AY120" i="96"/>
  <c r="AZ120" i="96"/>
  <c r="BA120" i="96"/>
  <c r="BB120" i="96"/>
  <c r="BC120" i="96"/>
  <c r="BD120" i="96"/>
  <c r="BE120" i="96"/>
  <c r="BF120" i="96"/>
  <c r="BG120" i="96"/>
  <c r="BH120" i="96"/>
  <c r="BI120" i="96"/>
  <c r="BJ120" i="96"/>
  <c r="BK120" i="96"/>
  <c r="BL120" i="96"/>
  <c r="BM120" i="96"/>
  <c r="BN120" i="96"/>
  <c r="BO120" i="96"/>
  <c r="BP120" i="96"/>
  <c r="BQ120" i="96"/>
  <c r="BR120" i="96"/>
  <c r="BS120" i="96"/>
  <c r="BT120" i="96"/>
  <c r="BU120" i="96"/>
  <c r="BV120" i="96"/>
  <c r="BW120" i="96"/>
  <c r="BX120" i="96"/>
  <c r="BY120" i="96"/>
  <c r="BZ120" i="96"/>
  <c r="CA120" i="96"/>
  <c r="CB120" i="96"/>
  <c r="CC120" i="96"/>
  <c r="CD120" i="96"/>
  <c r="CE120" i="96"/>
  <c r="CF120" i="96"/>
  <c r="CG120" i="96"/>
  <c r="CH120" i="96"/>
  <c r="CI120" i="96"/>
  <c r="CJ120" i="96"/>
  <c r="CK120" i="96"/>
  <c r="CL120" i="96"/>
  <c r="CM120" i="96"/>
  <c r="CN120" i="96"/>
  <c r="CO120" i="96"/>
  <c r="CP120" i="96"/>
  <c r="CQ120" i="96"/>
  <c r="CR120" i="96"/>
  <c r="CS120" i="96"/>
  <c r="CT120" i="96"/>
  <c r="CU120" i="96"/>
  <c r="CV120" i="96"/>
  <c r="CW120" i="96"/>
  <c r="CX120" i="96"/>
  <c r="CY120" i="96"/>
  <c r="CZ120" i="96"/>
  <c r="E121" i="96"/>
  <c r="F121" i="96"/>
  <c r="G121" i="96"/>
  <c r="H121" i="96"/>
  <c r="I121" i="96"/>
  <c r="J121" i="96"/>
  <c r="K121" i="96"/>
  <c r="L121" i="96"/>
  <c r="M121" i="96"/>
  <c r="N121" i="96"/>
  <c r="O121" i="96"/>
  <c r="P121" i="96"/>
  <c r="Q121" i="96"/>
  <c r="R121" i="96"/>
  <c r="S121" i="96"/>
  <c r="T121" i="96"/>
  <c r="U121" i="96"/>
  <c r="V121" i="96"/>
  <c r="W121" i="96"/>
  <c r="X121" i="96"/>
  <c r="Y121" i="96"/>
  <c r="Z121" i="96"/>
  <c r="AA121" i="96"/>
  <c r="AB121" i="96"/>
  <c r="AC121" i="96"/>
  <c r="AD121" i="96"/>
  <c r="AE121" i="96"/>
  <c r="AF121" i="96"/>
  <c r="AG121" i="96"/>
  <c r="AH121" i="96"/>
  <c r="AI121" i="96"/>
  <c r="AJ121" i="96"/>
  <c r="AK121" i="96"/>
  <c r="AL121" i="96"/>
  <c r="AM121" i="96"/>
  <c r="AN121" i="96"/>
  <c r="AO121" i="96"/>
  <c r="AP121" i="96"/>
  <c r="AQ121" i="96"/>
  <c r="AR121" i="96"/>
  <c r="AS121" i="96"/>
  <c r="AT121" i="96"/>
  <c r="AU121" i="96"/>
  <c r="AV121" i="96"/>
  <c r="AW121" i="96"/>
  <c r="AX121" i="96"/>
  <c r="AY121" i="96"/>
  <c r="AZ121" i="96"/>
  <c r="BA121" i="96"/>
  <c r="BB121" i="96"/>
  <c r="BC121" i="96"/>
  <c r="BD121" i="96"/>
  <c r="BE121" i="96"/>
  <c r="BF121" i="96"/>
  <c r="BG121" i="96"/>
  <c r="BH121" i="96"/>
  <c r="BI121" i="96"/>
  <c r="BJ121" i="96"/>
  <c r="BK121" i="96"/>
  <c r="BL121" i="96"/>
  <c r="BM121" i="96"/>
  <c r="BN121" i="96"/>
  <c r="BO121" i="96"/>
  <c r="BP121" i="96"/>
  <c r="BQ121" i="96"/>
  <c r="BR121" i="96"/>
  <c r="BS121" i="96"/>
  <c r="BT121" i="96"/>
  <c r="BU121" i="96"/>
  <c r="BV121" i="96"/>
  <c r="BW121" i="96"/>
  <c r="BX121" i="96"/>
  <c r="BY121" i="96"/>
  <c r="BZ121" i="96"/>
  <c r="CA121" i="96"/>
  <c r="CB121" i="96"/>
  <c r="CC121" i="96"/>
  <c r="CD121" i="96"/>
  <c r="CE121" i="96"/>
  <c r="CF121" i="96"/>
  <c r="CG121" i="96"/>
  <c r="CH121" i="96"/>
  <c r="CI121" i="96"/>
  <c r="CJ121" i="96"/>
  <c r="CK121" i="96"/>
  <c r="CL121" i="96"/>
  <c r="CM121" i="96"/>
  <c r="CN121" i="96"/>
  <c r="CO121" i="96"/>
  <c r="CP121" i="96"/>
  <c r="CQ121" i="96"/>
  <c r="CR121" i="96"/>
  <c r="CS121" i="96"/>
  <c r="CT121" i="96"/>
  <c r="CU121" i="96"/>
  <c r="CV121" i="96"/>
  <c r="CW121" i="96"/>
  <c r="CX121" i="96"/>
  <c r="CY121" i="96"/>
  <c r="CZ121" i="96"/>
  <c r="E122" i="96"/>
  <c r="F122" i="96"/>
  <c r="G122" i="96"/>
  <c r="H122" i="96"/>
  <c r="I122" i="96"/>
  <c r="J122" i="96"/>
  <c r="K122" i="96"/>
  <c r="L122" i="96"/>
  <c r="M122" i="96"/>
  <c r="N122" i="96"/>
  <c r="O122" i="96"/>
  <c r="P122" i="96"/>
  <c r="Q122" i="96"/>
  <c r="R122" i="96"/>
  <c r="S122" i="96"/>
  <c r="T122" i="96"/>
  <c r="U122" i="96"/>
  <c r="V122" i="96"/>
  <c r="W122" i="96"/>
  <c r="X122" i="96"/>
  <c r="Y122" i="96"/>
  <c r="Z122" i="96"/>
  <c r="AA122" i="96"/>
  <c r="AB122" i="96"/>
  <c r="AC122" i="96"/>
  <c r="AD122" i="96"/>
  <c r="AE122" i="96"/>
  <c r="AF122" i="96"/>
  <c r="AG122" i="96"/>
  <c r="AH122" i="96"/>
  <c r="AI122" i="96"/>
  <c r="AJ122" i="96"/>
  <c r="AK122" i="96"/>
  <c r="AL122" i="96"/>
  <c r="AM122" i="96"/>
  <c r="AN122" i="96"/>
  <c r="AO122" i="96"/>
  <c r="AP122" i="96"/>
  <c r="AQ122" i="96"/>
  <c r="AR122" i="96"/>
  <c r="AS122" i="96"/>
  <c r="AT122" i="96"/>
  <c r="AU122" i="96"/>
  <c r="AV122" i="96"/>
  <c r="AW122" i="96"/>
  <c r="AX122" i="96"/>
  <c r="AY122" i="96"/>
  <c r="AZ122" i="96"/>
  <c r="BA122" i="96"/>
  <c r="BB122" i="96"/>
  <c r="BC122" i="96"/>
  <c r="BD122" i="96"/>
  <c r="BE122" i="96"/>
  <c r="BF122" i="96"/>
  <c r="BG122" i="96"/>
  <c r="BH122" i="96"/>
  <c r="BI122" i="96"/>
  <c r="BJ122" i="96"/>
  <c r="BK122" i="96"/>
  <c r="BL122" i="96"/>
  <c r="BM122" i="96"/>
  <c r="BN122" i="96"/>
  <c r="BO122" i="96"/>
  <c r="BP122" i="96"/>
  <c r="BQ122" i="96"/>
  <c r="BR122" i="96"/>
  <c r="BS122" i="96"/>
  <c r="BT122" i="96"/>
  <c r="BU122" i="96"/>
  <c r="BV122" i="96"/>
  <c r="BW122" i="96"/>
  <c r="BX122" i="96"/>
  <c r="BY122" i="96"/>
  <c r="BZ122" i="96"/>
  <c r="CA122" i="96"/>
  <c r="CB122" i="96"/>
  <c r="CC122" i="96"/>
  <c r="CD122" i="96"/>
  <c r="CE122" i="96"/>
  <c r="CF122" i="96"/>
  <c r="CG122" i="96"/>
  <c r="CH122" i="96"/>
  <c r="CI122" i="96"/>
  <c r="CJ122" i="96"/>
  <c r="CK122" i="96"/>
  <c r="CL122" i="96"/>
  <c r="CM122" i="96"/>
  <c r="CN122" i="96"/>
  <c r="CO122" i="96"/>
  <c r="CP122" i="96"/>
  <c r="CQ122" i="96"/>
  <c r="CR122" i="96"/>
  <c r="CS122" i="96"/>
  <c r="CT122" i="96"/>
  <c r="CU122" i="96"/>
  <c r="CV122" i="96"/>
  <c r="CW122" i="96"/>
  <c r="CX122" i="96"/>
  <c r="CY122" i="96"/>
  <c r="CZ122" i="96"/>
  <c r="E123" i="96"/>
  <c r="F123" i="96"/>
  <c r="G123" i="96"/>
  <c r="H123" i="96"/>
  <c r="I123" i="96"/>
  <c r="J123" i="96"/>
  <c r="K123" i="96"/>
  <c r="L123" i="96"/>
  <c r="M123" i="96"/>
  <c r="N123" i="96"/>
  <c r="O123" i="96"/>
  <c r="P123" i="96"/>
  <c r="Q123" i="96"/>
  <c r="R123" i="96"/>
  <c r="S123" i="96"/>
  <c r="T123" i="96"/>
  <c r="U123" i="96"/>
  <c r="V123" i="96"/>
  <c r="W123" i="96"/>
  <c r="X123" i="96"/>
  <c r="Y123" i="96"/>
  <c r="Z123" i="96"/>
  <c r="AA123" i="96"/>
  <c r="AB123" i="96"/>
  <c r="AC123" i="96"/>
  <c r="AD123" i="96"/>
  <c r="AE123" i="96"/>
  <c r="AF123" i="96"/>
  <c r="AG123" i="96"/>
  <c r="AH123" i="96"/>
  <c r="AI123" i="96"/>
  <c r="AJ123" i="96"/>
  <c r="AK123" i="96"/>
  <c r="AL123" i="96"/>
  <c r="AM123" i="96"/>
  <c r="AN123" i="96"/>
  <c r="AO123" i="96"/>
  <c r="AP123" i="96"/>
  <c r="AQ123" i="96"/>
  <c r="AR123" i="96"/>
  <c r="AS123" i="96"/>
  <c r="AT123" i="96"/>
  <c r="AU123" i="96"/>
  <c r="AV123" i="96"/>
  <c r="AW123" i="96"/>
  <c r="AX123" i="96"/>
  <c r="AY123" i="96"/>
  <c r="AZ123" i="96"/>
  <c r="BA123" i="96"/>
  <c r="BB123" i="96"/>
  <c r="BC123" i="96"/>
  <c r="BD123" i="96"/>
  <c r="BE123" i="96"/>
  <c r="BF123" i="96"/>
  <c r="BG123" i="96"/>
  <c r="BH123" i="96"/>
  <c r="BI123" i="96"/>
  <c r="BJ123" i="96"/>
  <c r="BK123" i="96"/>
  <c r="BL123" i="96"/>
  <c r="BM123" i="96"/>
  <c r="BN123" i="96"/>
  <c r="BO123" i="96"/>
  <c r="BP123" i="96"/>
  <c r="BQ123" i="96"/>
  <c r="BR123" i="96"/>
  <c r="BS123" i="96"/>
  <c r="BT123" i="96"/>
  <c r="BU123" i="96"/>
  <c r="BV123" i="96"/>
  <c r="BW123" i="96"/>
  <c r="BX123" i="96"/>
  <c r="BY123" i="96"/>
  <c r="BZ123" i="96"/>
  <c r="CA123" i="96"/>
  <c r="CB123" i="96"/>
  <c r="CC123" i="96"/>
  <c r="CD123" i="96"/>
  <c r="CE123" i="96"/>
  <c r="CF123" i="96"/>
  <c r="CG123" i="96"/>
  <c r="CH123" i="96"/>
  <c r="CI123" i="96"/>
  <c r="CJ123" i="96"/>
  <c r="CK123" i="96"/>
  <c r="CL123" i="96"/>
  <c r="CM123" i="96"/>
  <c r="CN123" i="96"/>
  <c r="CO123" i="96"/>
  <c r="CP123" i="96"/>
  <c r="CQ123" i="96"/>
  <c r="CR123" i="96"/>
  <c r="CS123" i="96"/>
  <c r="CT123" i="96"/>
  <c r="CU123" i="96"/>
  <c r="CV123" i="96"/>
  <c r="CW123" i="96"/>
  <c r="CX123" i="96"/>
  <c r="CY123" i="96"/>
  <c r="CZ123" i="96"/>
  <c r="F54" i="96"/>
  <c r="G54" i="96"/>
  <c r="H54" i="96"/>
  <c r="I54" i="96"/>
  <c r="J54" i="96"/>
  <c r="K54" i="96"/>
  <c r="L54" i="96"/>
  <c r="M54" i="96"/>
  <c r="N54" i="96"/>
  <c r="O54" i="96"/>
  <c r="P54" i="96"/>
  <c r="Q54" i="96"/>
  <c r="R54" i="96"/>
  <c r="S54" i="96"/>
  <c r="T54" i="96"/>
  <c r="U54" i="96"/>
  <c r="V54" i="96"/>
  <c r="BA54" i="96"/>
  <c r="BB54" i="96"/>
  <c r="BC54" i="96"/>
  <c r="BD54" i="96"/>
  <c r="BE54" i="96"/>
  <c r="BF54" i="96"/>
  <c r="BG54" i="96"/>
  <c r="BH54" i="96"/>
  <c r="BI54" i="96"/>
  <c r="BJ54" i="96"/>
  <c r="BK54" i="96"/>
  <c r="BL54" i="96"/>
  <c r="BM54" i="96"/>
  <c r="BN54" i="96"/>
  <c r="BO54" i="96"/>
  <c r="BP54" i="96"/>
  <c r="BQ54" i="96"/>
  <c r="BR54" i="96"/>
  <c r="BS54" i="96"/>
  <c r="BT54" i="96"/>
  <c r="BU54" i="96"/>
  <c r="BV54" i="96"/>
  <c r="BW54" i="96"/>
  <c r="BX54" i="96"/>
  <c r="BY54" i="96"/>
  <c r="BZ54" i="96"/>
  <c r="CA54" i="96"/>
  <c r="CB54" i="96"/>
  <c r="CC54" i="96"/>
  <c r="CD54" i="96"/>
  <c r="CE54" i="96"/>
  <c r="CF54" i="96"/>
  <c r="CG54" i="96"/>
  <c r="CH54" i="96"/>
  <c r="CI54" i="96"/>
  <c r="CJ54" i="96"/>
  <c r="CK54" i="96"/>
  <c r="CL54" i="96"/>
  <c r="CM54" i="96"/>
  <c r="CN54" i="96"/>
  <c r="CO54" i="96"/>
  <c r="CP54" i="96"/>
  <c r="CQ54" i="96"/>
  <c r="CR54" i="96"/>
  <c r="CS54" i="96"/>
  <c r="CT54" i="96"/>
  <c r="CU54" i="96"/>
  <c r="CV54" i="96"/>
  <c r="CW54" i="96"/>
  <c r="CX54" i="96"/>
  <c r="CY54" i="96"/>
  <c r="CZ54" i="96"/>
  <c r="E143" i="96"/>
  <c r="E141" i="96"/>
  <c r="CE135" i="134" l="1"/>
  <c r="CE136" i="134" s="1"/>
  <c r="CE138" i="134"/>
  <c r="CE141" i="134"/>
  <c r="CG116" i="134"/>
  <c r="CH116" i="134"/>
  <c r="CI116" i="134"/>
  <c r="CJ116" i="134"/>
  <c r="CK116" i="134"/>
  <c r="CL116" i="134"/>
  <c r="CM116" i="134"/>
  <c r="CN116" i="134"/>
  <c r="CO116" i="134"/>
  <c r="CP116" i="134"/>
  <c r="CQ116" i="134"/>
  <c r="CR116" i="134"/>
  <c r="CS116" i="134"/>
  <c r="CT116" i="134"/>
  <c r="CU116" i="134"/>
  <c r="CV116" i="134"/>
  <c r="CW116" i="134"/>
  <c r="CX116" i="134"/>
  <c r="CY116" i="134"/>
  <c r="CZ116" i="134"/>
  <c r="CF46" i="134"/>
  <c r="CF45" i="134"/>
  <c r="CF128" i="134" s="1"/>
  <c r="CF49" i="134"/>
  <c r="CF48" i="134"/>
  <c r="CF127" i="134" s="1"/>
  <c r="CF132" i="134" s="1"/>
  <c r="CE130" i="134"/>
  <c r="CE50" i="134"/>
  <c r="CE129" i="134"/>
  <c r="CE125" i="134" s="1"/>
  <c r="CE131" i="134" s="1"/>
  <c r="CE137" i="134"/>
  <c r="CF134" i="134"/>
  <c r="CG32" i="134"/>
  <c r="CH27" i="134" s="1"/>
  <c r="CH31" i="134" s="1"/>
  <c r="CN52" i="96"/>
  <c r="CO52" i="96"/>
  <c r="CP52" i="96"/>
  <c r="CQ52" i="96"/>
  <c r="CR52" i="96"/>
  <c r="CS52" i="96"/>
  <c r="CT52" i="96"/>
  <c r="CU52" i="96"/>
  <c r="CV52" i="96"/>
  <c r="CW52" i="96"/>
  <c r="CX52" i="96"/>
  <c r="CY52" i="96"/>
  <c r="CZ52" i="96"/>
  <c r="CA52" i="96"/>
  <c r="CB52" i="96"/>
  <c r="CC52" i="96"/>
  <c r="CD52" i="96"/>
  <c r="CE52" i="96"/>
  <c r="CF52" i="96"/>
  <c r="CG52" i="96"/>
  <c r="CH52" i="96"/>
  <c r="CI52" i="96"/>
  <c r="CJ52" i="96"/>
  <c r="CK52" i="96"/>
  <c r="CL52" i="96"/>
  <c r="CM52" i="96"/>
  <c r="BJ52" i="96"/>
  <c r="BK52" i="96"/>
  <c r="BL52" i="96"/>
  <c r="BM52" i="96"/>
  <c r="BN52" i="96"/>
  <c r="BO52" i="96"/>
  <c r="BP52" i="96"/>
  <c r="BQ52" i="96"/>
  <c r="BR52" i="96"/>
  <c r="BS52" i="96"/>
  <c r="BT52" i="96"/>
  <c r="BU52" i="96"/>
  <c r="BV52" i="96"/>
  <c r="BW52" i="96"/>
  <c r="BX52" i="96"/>
  <c r="BY52" i="96"/>
  <c r="BZ52" i="96"/>
  <c r="AQ52" i="96"/>
  <c r="AR52" i="96"/>
  <c r="AS52" i="96"/>
  <c r="AT52" i="96"/>
  <c r="AU52" i="96"/>
  <c r="AV52" i="96"/>
  <c r="AW52" i="96"/>
  <c r="AX52" i="96"/>
  <c r="AY52" i="96"/>
  <c r="AZ52" i="96"/>
  <c r="BA52" i="96"/>
  <c r="BB52" i="96"/>
  <c r="BC52" i="96"/>
  <c r="BD52" i="96"/>
  <c r="BE52" i="96"/>
  <c r="BF52" i="96"/>
  <c r="BG52" i="96"/>
  <c r="BH52" i="96"/>
  <c r="BI52" i="96"/>
  <c r="Y52" i="96"/>
  <c r="Z52" i="96"/>
  <c r="AA52" i="96"/>
  <c r="AB52" i="96"/>
  <c r="AC52" i="96"/>
  <c r="AD52" i="96"/>
  <c r="AE52" i="96"/>
  <c r="AF52" i="96"/>
  <c r="AG52" i="96"/>
  <c r="AH52" i="96"/>
  <c r="AI52" i="96"/>
  <c r="AJ52" i="96"/>
  <c r="AK52" i="96"/>
  <c r="AL52" i="96"/>
  <c r="AM52" i="96"/>
  <c r="AN52" i="96"/>
  <c r="AO52" i="96"/>
  <c r="AP52" i="96"/>
  <c r="M52" i="96"/>
  <c r="N52" i="96"/>
  <c r="O52" i="96"/>
  <c r="P52" i="96"/>
  <c r="Q52" i="96"/>
  <c r="R52" i="96"/>
  <c r="S52" i="96"/>
  <c r="T52" i="96"/>
  <c r="U52" i="96"/>
  <c r="V52" i="96"/>
  <c r="W52" i="96"/>
  <c r="X52" i="96"/>
  <c r="F52" i="96"/>
  <c r="G52" i="96"/>
  <c r="H52" i="96"/>
  <c r="I52" i="96"/>
  <c r="J52" i="96"/>
  <c r="K52" i="96"/>
  <c r="L52" i="96"/>
  <c r="E52" i="96"/>
  <c r="CF135" i="134" l="1"/>
  <c r="CF136" i="134" s="1"/>
  <c r="CF141" i="134"/>
  <c r="CF138" i="134"/>
  <c r="CH117" i="134"/>
  <c r="CI117" i="134"/>
  <c r="CJ117" i="134"/>
  <c r="CK117" i="134"/>
  <c r="CL117" i="134"/>
  <c r="CM117" i="134"/>
  <c r="CN117" i="134"/>
  <c r="CO117" i="134"/>
  <c r="CP117" i="134"/>
  <c r="CQ117" i="134"/>
  <c r="CR117" i="134"/>
  <c r="CS117" i="134"/>
  <c r="CT117" i="134"/>
  <c r="CU117" i="134"/>
  <c r="CV117" i="134"/>
  <c r="CW117" i="134"/>
  <c r="CX117" i="134"/>
  <c r="CY117" i="134"/>
  <c r="CZ117" i="134"/>
  <c r="CF130" i="134"/>
  <c r="CF50" i="134"/>
  <c r="CF129" i="134"/>
  <c r="CF125" i="134" s="1"/>
  <c r="CF131" i="134" s="1"/>
  <c r="CF137" i="134"/>
  <c r="CH32" i="134"/>
  <c r="CI27" i="134" s="1"/>
  <c r="CI31" i="134" s="1"/>
  <c r="CG124" i="134"/>
  <c r="CG44" i="134"/>
  <c r="CG47" i="134"/>
  <c r="F20" i="3"/>
  <c r="E17" i="3"/>
  <c r="F17" i="3" s="1"/>
  <c r="E19" i="3"/>
  <c r="F19" i="3" s="1"/>
  <c r="F18" i="3"/>
  <c r="F16" i="3"/>
  <c r="CI118" i="134" l="1"/>
  <c r="CJ118" i="134"/>
  <c r="CK118" i="134"/>
  <c r="CL118" i="134"/>
  <c r="CM118" i="134"/>
  <c r="CN118" i="134"/>
  <c r="CO118" i="134"/>
  <c r="CP118" i="134"/>
  <c r="CQ118" i="134"/>
  <c r="CR118" i="134"/>
  <c r="CS118" i="134"/>
  <c r="CT118" i="134"/>
  <c r="CU118" i="134"/>
  <c r="CV118" i="134"/>
  <c r="CW118" i="134"/>
  <c r="CX118" i="134"/>
  <c r="CY118" i="134"/>
  <c r="CZ118" i="134"/>
  <c r="CI32" i="134"/>
  <c r="CJ27" i="134" s="1"/>
  <c r="CJ31" i="134" s="1"/>
  <c r="CH124" i="134"/>
  <c r="CH47" i="134"/>
  <c r="CH44" i="134"/>
  <c r="CG49" i="134"/>
  <c r="CG48" i="134"/>
  <c r="CG127" i="134" s="1"/>
  <c r="CG132" i="134" s="1"/>
  <c r="CG134" i="134"/>
  <c r="CG46" i="134"/>
  <c r="CG45" i="134"/>
  <c r="CG128" i="134" s="1"/>
  <c r="I21" i="117"/>
  <c r="L14" i="132"/>
  <c r="K14" i="132"/>
  <c r="L12" i="132"/>
  <c r="K12" i="132"/>
  <c r="L10" i="132"/>
  <c r="K10" i="132"/>
  <c r="L8" i="132"/>
  <c r="K8" i="132"/>
  <c r="I14" i="132"/>
  <c r="G14" i="132"/>
  <c r="I12" i="132"/>
  <c r="G12" i="132"/>
  <c r="I10" i="132"/>
  <c r="I8" i="132"/>
  <c r="G10" i="132"/>
  <c r="G8" i="132"/>
  <c r="E14" i="132"/>
  <c r="B14" i="132"/>
  <c r="E12" i="132"/>
  <c r="B12" i="132"/>
  <c r="E10" i="132"/>
  <c r="B10" i="132"/>
  <c r="E8" i="132"/>
  <c r="B8" i="132"/>
  <c r="I4" i="132"/>
  <c r="E6" i="131"/>
  <c r="B23" i="87"/>
  <c r="B21" i="87"/>
  <c r="B22" i="87"/>
  <c r="I19" i="95"/>
  <c r="B34" i="87"/>
  <c r="CG141" i="134" l="1"/>
  <c r="CG138" i="134"/>
  <c r="CJ119" i="134"/>
  <c r="CK119" i="134"/>
  <c r="CL119" i="134"/>
  <c r="CM119" i="134"/>
  <c r="CN119" i="134"/>
  <c r="CO119" i="134"/>
  <c r="CP119" i="134"/>
  <c r="CQ119" i="134"/>
  <c r="CR119" i="134"/>
  <c r="CS119" i="134"/>
  <c r="CT119" i="134"/>
  <c r="CU119" i="134"/>
  <c r="CV119" i="134"/>
  <c r="CW119" i="134"/>
  <c r="CX119" i="134"/>
  <c r="CY119" i="134"/>
  <c r="CZ119" i="134"/>
  <c r="CG135" i="134"/>
  <c r="CG136" i="134" s="1"/>
  <c r="CG130" i="134"/>
  <c r="CH134" i="134"/>
  <c r="CH45" i="134"/>
  <c r="CH128" i="134" s="1"/>
  <c r="CH46" i="134"/>
  <c r="CJ32" i="134"/>
  <c r="CK27" i="134" s="1"/>
  <c r="CK31" i="134" s="1"/>
  <c r="CH48" i="134"/>
  <c r="CH49" i="134"/>
  <c r="CG50" i="134"/>
  <c r="CG137" i="134"/>
  <c r="CG129" i="134"/>
  <c r="CG125" i="134" s="1"/>
  <c r="CG131" i="134" s="1"/>
  <c r="CI124" i="134"/>
  <c r="CI47" i="134"/>
  <c r="CI44" i="134"/>
  <c r="E6" i="92"/>
  <c r="B47" i="90"/>
  <c r="CK120" i="134" l="1"/>
  <c r="CL120" i="134"/>
  <c r="CM120" i="134"/>
  <c r="CN120" i="134"/>
  <c r="CO120" i="134"/>
  <c r="CP120" i="134"/>
  <c r="CQ120" i="134"/>
  <c r="CR120" i="134"/>
  <c r="CS120" i="134"/>
  <c r="CT120" i="134"/>
  <c r="CU120" i="134"/>
  <c r="CV120" i="134"/>
  <c r="CW120" i="134"/>
  <c r="CX120" i="134"/>
  <c r="CY120" i="134"/>
  <c r="CZ120" i="134"/>
  <c r="CH50" i="134"/>
  <c r="CH129" i="134"/>
  <c r="CH125" i="134" s="1"/>
  <c r="CH131" i="134" s="1"/>
  <c r="CH137" i="134"/>
  <c r="CK32" i="134"/>
  <c r="CL27" i="134" s="1"/>
  <c r="CL31" i="134" s="1"/>
  <c r="CJ124" i="134"/>
  <c r="CJ47" i="134"/>
  <c r="CJ44" i="134"/>
  <c r="CI45" i="134"/>
  <c r="CI128" i="134" s="1"/>
  <c r="CI46" i="134"/>
  <c r="CI134" i="134"/>
  <c r="CI49" i="134"/>
  <c r="CI48" i="134"/>
  <c r="CI127" i="134" s="1"/>
  <c r="CI132" i="134" s="1"/>
  <c r="CH127" i="134"/>
  <c r="CH132" i="134" s="1"/>
  <c r="E30" i="96"/>
  <c r="CY34" i="90"/>
  <c r="CX34" i="90"/>
  <c r="CW34" i="90"/>
  <c r="CV34" i="90"/>
  <c r="CU34" i="90"/>
  <c r="CT34" i="90"/>
  <c r="CS34" i="90"/>
  <c r="CR34" i="90"/>
  <c r="CQ34" i="90"/>
  <c r="CP34" i="90"/>
  <c r="CO34" i="90"/>
  <c r="CN34" i="90"/>
  <c r="CM34" i="90"/>
  <c r="CL34" i="90"/>
  <c r="CK34" i="90"/>
  <c r="CJ34" i="90"/>
  <c r="CI34" i="90"/>
  <c r="CH34" i="90"/>
  <c r="CG34" i="90"/>
  <c r="CF34" i="90"/>
  <c r="CE34" i="90"/>
  <c r="CD34" i="90"/>
  <c r="CC34" i="90"/>
  <c r="CB34" i="90"/>
  <c r="CA34" i="90"/>
  <c r="BZ34" i="90"/>
  <c r="BY34" i="90"/>
  <c r="BX34" i="90"/>
  <c r="BW34" i="90"/>
  <c r="BV34" i="90"/>
  <c r="BU34" i="90"/>
  <c r="BT34" i="90"/>
  <c r="BS34" i="90"/>
  <c r="BR34" i="90"/>
  <c r="BQ34" i="90"/>
  <c r="BP34" i="90"/>
  <c r="BO34" i="90"/>
  <c r="BN34" i="90"/>
  <c r="BM34" i="90"/>
  <c r="BL34" i="90"/>
  <c r="BK34" i="90"/>
  <c r="BJ34" i="90"/>
  <c r="BI34" i="90"/>
  <c r="I34" i="90"/>
  <c r="H34" i="90"/>
  <c r="G34" i="90"/>
  <c r="F34" i="90"/>
  <c r="E34" i="90"/>
  <c r="CH141" i="134" l="1"/>
  <c r="CH138" i="134"/>
  <c r="CI135" i="134"/>
  <c r="CI136" i="134" s="1"/>
  <c r="CI141" i="134"/>
  <c r="CI138" i="134"/>
  <c r="CL121" i="134"/>
  <c r="CM121" i="134"/>
  <c r="CN121" i="134"/>
  <c r="CO121" i="134"/>
  <c r="CP121" i="134"/>
  <c r="CQ121" i="134"/>
  <c r="CR121" i="134"/>
  <c r="CS121" i="134"/>
  <c r="CT121" i="134"/>
  <c r="CU121" i="134"/>
  <c r="CV121" i="134"/>
  <c r="CW121" i="134"/>
  <c r="CX121" i="134"/>
  <c r="CY121" i="134"/>
  <c r="CZ121" i="134"/>
  <c r="CJ45" i="134"/>
  <c r="CJ128" i="134" s="1"/>
  <c r="CJ46" i="134"/>
  <c r="CJ48" i="134"/>
  <c r="CJ127" i="134" s="1"/>
  <c r="CJ132" i="134" s="1"/>
  <c r="CJ49" i="134"/>
  <c r="CJ134" i="134"/>
  <c r="CK124" i="134"/>
  <c r="CK44" i="134"/>
  <c r="CK47" i="134"/>
  <c r="CI50" i="134"/>
  <c r="CI129" i="134"/>
  <c r="CI125" i="134" s="1"/>
  <c r="CI131" i="134" s="1"/>
  <c r="CI137" i="134"/>
  <c r="CH135" i="134"/>
  <c r="CH136" i="134" s="1"/>
  <c r="CH130" i="134"/>
  <c r="CI130" i="134" s="1"/>
  <c r="CN21" i="96"/>
  <c r="CO21" i="96"/>
  <c r="CP21" i="96"/>
  <c r="CE18" i="96"/>
  <c r="CF18" i="96"/>
  <c r="CG18" i="96"/>
  <c r="CH18" i="96"/>
  <c r="CI18" i="96"/>
  <c r="CJ18" i="96"/>
  <c r="CK18" i="96"/>
  <c r="CL18" i="96"/>
  <c r="CM18" i="96"/>
  <c r="CJ135" i="134" l="1"/>
  <c r="CJ136" i="134" s="1"/>
  <c r="CJ141" i="134"/>
  <c r="CJ138" i="134"/>
  <c r="CJ130" i="134"/>
  <c r="CL124" i="134"/>
  <c r="CL44" i="134"/>
  <c r="CL47" i="134"/>
  <c r="CL32" i="134"/>
  <c r="CM27" i="134" s="1"/>
  <c r="CM31" i="134" s="1"/>
  <c r="CK134" i="134"/>
  <c r="CJ50" i="134"/>
  <c r="CJ129" i="134"/>
  <c r="CJ125" i="134" s="1"/>
  <c r="CJ131" i="134" s="1"/>
  <c r="CJ137" i="134"/>
  <c r="CK49" i="134"/>
  <c r="CK48" i="134"/>
  <c r="CK127" i="134" s="1"/>
  <c r="CK132" i="134" s="1"/>
  <c r="CK45" i="134"/>
  <c r="CK128" i="134" s="1"/>
  <c r="CK46" i="134"/>
  <c r="H24" i="42"/>
  <c r="H20" i="42"/>
  <c r="D39" i="1"/>
  <c r="Z94" i="6" s="1"/>
  <c r="D79" i="1"/>
  <c r="E66" i="43" s="1"/>
  <c r="D69" i="1"/>
  <c r="D59" i="1"/>
  <c r="D49" i="1"/>
  <c r="D50" i="1" s="1"/>
  <c r="D51" i="1" s="1"/>
  <c r="D52" i="1" s="1"/>
  <c r="D53" i="1" s="1"/>
  <c r="D54" i="1" s="1"/>
  <c r="D55" i="1" s="1"/>
  <c r="D56" i="1" s="1"/>
  <c r="D57" i="1" s="1"/>
  <c r="D58" i="1" s="1"/>
  <c r="CK138" i="134" l="1"/>
  <c r="CK141" i="134"/>
  <c r="CM122" i="134"/>
  <c r="CN122" i="134"/>
  <c r="CO122" i="134"/>
  <c r="CP122" i="134"/>
  <c r="CQ122" i="134"/>
  <c r="CR122" i="134"/>
  <c r="CS122" i="134"/>
  <c r="CT122" i="134"/>
  <c r="CU122" i="134"/>
  <c r="CV122" i="134"/>
  <c r="CW122" i="134"/>
  <c r="CX122" i="134"/>
  <c r="CY122" i="134"/>
  <c r="CZ122" i="134"/>
  <c r="CK135" i="134"/>
  <c r="CK136" i="134" s="1"/>
  <c r="CK130" i="134"/>
  <c r="CL134" i="134"/>
  <c r="CM32" i="134"/>
  <c r="CN27" i="134" s="1"/>
  <c r="CN31" i="134" s="1"/>
  <c r="CL49" i="134"/>
  <c r="CL48" i="134"/>
  <c r="CL45" i="134"/>
  <c r="CL128" i="134" s="1"/>
  <c r="CL46" i="134"/>
  <c r="CK50" i="134"/>
  <c r="CK137" i="134"/>
  <c r="CK129" i="134"/>
  <c r="CK125" i="134" s="1"/>
  <c r="CK131" i="134" s="1"/>
  <c r="BN31" i="96"/>
  <c r="CW31" i="96"/>
  <c r="CS31" i="96"/>
  <c r="CO31" i="96"/>
  <c r="CK31" i="96"/>
  <c r="CG31" i="96"/>
  <c r="CC31" i="96"/>
  <c r="BU31" i="96"/>
  <c r="BM31" i="96"/>
  <c r="CV31" i="96"/>
  <c r="CN31" i="96"/>
  <c r="CF31" i="96"/>
  <c r="BX31" i="96"/>
  <c r="BP31" i="96"/>
  <c r="CY31" i="96"/>
  <c r="CU31" i="96"/>
  <c r="CQ31" i="96"/>
  <c r="CM31" i="96"/>
  <c r="CI31" i="96"/>
  <c r="CE31" i="96"/>
  <c r="CA31" i="96"/>
  <c r="BW31" i="96"/>
  <c r="BS31" i="96"/>
  <c r="BO31" i="96"/>
  <c r="CX31" i="96"/>
  <c r="CT31" i="96"/>
  <c r="CP31" i="96"/>
  <c r="CL31" i="96"/>
  <c r="CH31" i="96"/>
  <c r="CD31" i="96"/>
  <c r="BZ31" i="96"/>
  <c r="BV31" i="96"/>
  <c r="BR31" i="96"/>
  <c r="BY31" i="96"/>
  <c r="BQ31" i="96"/>
  <c r="CZ31" i="96"/>
  <c r="CR31" i="96"/>
  <c r="CJ31" i="96"/>
  <c r="CB31" i="96"/>
  <c r="BT31" i="96"/>
  <c r="S94" i="6"/>
  <c r="E94" i="6"/>
  <c r="L94" i="6"/>
  <c r="G39" i="1"/>
  <c r="B58" i="87"/>
  <c r="B50" i="87"/>
  <c r="B42" i="87"/>
  <c r="B19" i="87"/>
  <c r="E8" i="3"/>
  <c r="E12" i="3"/>
  <c r="N35" i="13"/>
  <c r="N36" i="13"/>
  <c r="N37" i="13"/>
  <c r="N38" i="13"/>
  <c r="N39" i="13"/>
  <c r="M35" i="13"/>
  <c r="M36" i="13"/>
  <c r="M37" i="13"/>
  <c r="M38" i="13"/>
  <c r="M39" i="13"/>
  <c r="L35" i="13"/>
  <c r="L36" i="13"/>
  <c r="L37" i="13"/>
  <c r="L38" i="13"/>
  <c r="L39" i="13"/>
  <c r="K35" i="13"/>
  <c r="K36" i="13"/>
  <c r="K37" i="13"/>
  <c r="K38" i="13"/>
  <c r="K39" i="13"/>
  <c r="E6" i="3"/>
  <c r="Q93" i="6" s="1"/>
  <c r="I39" i="15" s="1"/>
  <c r="I40" i="15" s="1"/>
  <c r="I41" i="15" s="1"/>
  <c r="I42" i="15" s="1"/>
  <c r="I43" i="15" s="1"/>
  <c r="I44" i="15" s="1"/>
  <c r="I45" i="15" s="1"/>
  <c r="K41" i="13"/>
  <c r="L41" i="13"/>
  <c r="M41" i="13"/>
  <c r="N41" i="13"/>
  <c r="K42" i="13"/>
  <c r="L42" i="13"/>
  <c r="M42" i="13"/>
  <c r="N42" i="13"/>
  <c r="K43" i="13"/>
  <c r="L43" i="13"/>
  <c r="M43" i="13"/>
  <c r="N43" i="13"/>
  <c r="K44" i="13"/>
  <c r="L44" i="13"/>
  <c r="M44" i="13"/>
  <c r="N44" i="13"/>
  <c r="K45" i="13"/>
  <c r="L45" i="13"/>
  <c r="M45" i="13"/>
  <c r="N45" i="13"/>
  <c r="N40" i="13"/>
  <c r="M40" i="13"/>
  <c r="L40" i="13"/>
  <c r="K40" i="13"/>
  <c r="E5" i="3"/>
  <c r="C36" i="2" s="1"/>
  <c r="C39" i="13" s="1"/>
  <c r="E13" i="3"/>
  <c r="CN123" i="134" l="1"/>
  <c r="CO123" i="134"/>
  <c r="CP123" i="134"/>
  <c r="CQ123" i="134"/>
  <c r="CR123" i="134"/>
  <c r="CS123" i="134"/>
  <c r="CT123" i="134"/>
  <c r="CU123" i="134"/>
  <c r="CV123" i="134"/>
  <c r="CW123" i="134"/>
  <c r="CX123" i="134"/>
  <c r="CY123" i="134"/>
  <c r="CZ123" i="134"/>
  <c r="CL50" i="134"/>
  <c r="CL129" i="134"/>
  <c r="CL125" i="134" s="1"/>
  <c r="CL131" i="134" s="1"/>
  <c r="CL137" i="134"/>
  <c r="CM124" i="134"/>
  <c r="CM44" i="134"/>
  <c r="CM47" i="134"/>
  <c r="CL127" i="134"/>
  <c r="CL132" i="134" s="1"/>
  <c r="BT47" i="96"/>
  <c r="BT49" i="96" s="1"/>
  <c r="BT44" i="96"/>
  <c r="BT46" i="96" s="1"/>
  <c r="CZ47" i="96"/>
  <c r="CZ44" i="96"/>
  <c r="BV44" i="96"/>
  <c r="BV46" i="96" s="1"/>
  <c r="BV47" i="96"/>
  <c r="BV49" i="96" s="1"/>
  <c r="CL47" i="96"/>
  <c r="CL44" i="96"/>
  <c r="BO47" i="96"/>
  <c r="BO49" i="96" s="1"/>
  <c r="BO44" i="96"/>
  <c r="BO46" i="96" s="1"/>
  <c r="CE47" i="96"/>
  <c r="CE44" i="96"/>
  <c r="CU44" i="96"/>
  <c r="CU47" i="96"/>
  <c r="CF47" i="96"/>
  <c r="CF44" i="96"/>
  <c r="BU47" i="96"/>
  <c r="BU49" i="96" s="1"/>
  <c r="BU44" i="96"/>
  <c r="BU46" i="96" s="1"/>
  <c r="CO44" i="96"/>
  <c r="CO47" i="96"/>
  <c r="CB47" i="96"/>
  <c r="CB49" i="96" s="1"/>
  <c r="CB44" i="96"/>
  <c r="CB46" i="96" s="1"/>
  <c r="BQ44" i="96"/>
  <c r="BQ46" i="96" s="1"/>
  <c r="BQ47" i="96"/>
  <c r="BQ49" i="96" s="1"/>
  <c r="BZ44" i="96"/>
  <c r="BZ46" i="96" s="1"/>
  <c r="BZ47" i="96"/>
  <c r="BZ49" i="96" s="1"/>
  <c r="CP44" i="96"/>
  <c r="CP47" i="96"/>
  <c r="BS47" i="96"/>
  <c r="BS49" i="96" s="1"/>
  <c r="BS44" i="96"/>
  <c r="BS46" i="96" s="1"/>
  <c r="CI47" i="96"/>
  <c r="CI44" i="96"/>
  <c r="CY47" i="96"/>
  <c r="CY44" i="96"/>
  <c r="CN47" i="96"/>
  <c r="CN44" i="96"/>
  <c r="CC44" i="96"/>
  <c r="CC46" i="96" s="1"/>
  <c r="CC47" i="96"/>
  <c r="CC49" i="96" s="1"/>
  <c r="CS47" i="96"/>
  <c r="CS44" i="96"/>
  <c r="CJ47" i="96"/>
  <c r="CJ44" i="96"/>
  <c r="BY44" i="96"/>
  <c r="BY46" i="96" s="1"/>
  <c r="BY47" i="96"/>
  <c r="BY49" i="96" s="1"/>
  <c r="CD47" i="96"/>
  <c r="CD44" i="96"/>
  <c r="CT47" i="96"/>
  <c r="CT44" i="96"/>
  <c r="BW44" i="96"/>
  <c r="BW46" i="96" s="1"/>
  <c r="BW47" i="96"/>
  <c r="BW49" i="96" s="1"/>
  <c r="CM44" i="96"/>
  <c r="CM47" i="96"/>
  <c r="BP47" i="96"/>
  <c r="BP49" i="96" s="1"/>
  <c r="BP44" i="96"/>
  <c r="BP46" i="96" s="1"/>
  <c r="CV47" i="96"/>
  <c r="CV44" i="96"/>
  <c r="CG47" i="96"/>
  <c r="CG44" i="96"/>
  <c r="CW47" i="96"/>
  <c r="CW44" i="96"/>
  <c r="CR47" i="96"/>
  <c r="CR44" i="96"/>
  <c r="BR47" i="96"/>
  <c r="BR49" i="96" s="1"/>
  <c r="BR44" i="96"/>
  <c r="BR46" i="96" s="1"/>
  <c r="CH47" i="96"/>
  <c r="CH44" i="96"/>
  <c r="CX47" i="96"/>
  <c r="CX44" i="96"/>
  <c r="CA47" i="96"/>
  <c r="CA49" i="96" s="1"/>
  <c r="CA44" i="96"/>
  <c r="CA46" i="96" s="1"/>
  <c r="CQ44" i="96"/>
  <c r="CQ47" i="96"/>
  <c r="BX47" i="96"/>
  <c r="BX49" i="96" s="1"/>
  <c r="BX44" i="96"/>
  <c r="BX46" i="96" s="1"/>
  <c r="BM47" i="96"/>
  <c r="BM49" i="96" s="1"/>
  <c r="BM44" i="96"/>
  <c r="BM46" i="96" s="1"/>
  <c r="CK47" i="96"/>
  <c r="CK44" i="96"/>
  <c r="BN44" i="96"/>
  <c r="BN46" i="96" s="1"/>
  <c r="BN47" i="96"/>
  <c r="BN49" i="96" s="1"/>
  <c r="D15" i="87"/>
  <c r="J93" i="6"/>
  <c r="H39" i="15" s="1"/>
  <c r="H40" i="15" s="1"/>
  <c r="H41" i="15" s="1"/>
  <c r="H42" i="15" s="1"/>
  <c r="H43" i="15" s="1"/>
  <c r="H44" i="15" s="1"/>
  <c r="H45" i="15" s="1"/>
  <c r="C93" i="6"/>
  <c r="X93" i="6"/>
  <c r="J39" i="15" s="1"/>
  <c r="J40" i="15" s="1"/>
  <c r="J41" i="15" s="1"/>
  <c r="J42" i="15" s="1"/>
  <c r="J43" i="15" s="1"/>
  <c r="J44" i="15" s="1"/>
  <c r="J45" i="15" s="1"/>
  <c r="D16" i="90"/>
  <c r="D47" i="90" s="1"/>
  <c r="D15" i="90"/>
  <c r="CL138" i="134" l="1"/>
  <c r="CL141" i="134"/>
  <c r="CL135" i="134"/>
  <c r="CL136" i="134" s="1"/>
  <c r="CL130" i="134"/>
  <c r="CM49" i="134"/>
  <c r="CM48" i="134"/>
  <c r="CM127" i="134" s="1"/>
  <c r="CM132" i="134" s="1"/>
  <c r="CM134" i="134"/>
  <c r="CM45" i="134"/>
  <c r="CM128" i="134" s="1"/>
  <c r="CM46" i="134"/>
  <c r="CU124" i="134"/>
  <c r="CY124" i="134"/>
  <c r="CV124" i="134"/>
  <c r="CW124" i="134"/>
  <c r="CX124" i="134"/>
  <c r="CN124" i="134"/>
  <c r="CZ124" i="134"/>
  <c r="CQ124" i="134"/>
  <c r="CO124" i="134"/>
  <c r="CP124" i="134"/>
  <c r="CS124" i="134"/>
  <c r="CT124" i="134"/>
  <c r="CR124" i="134"/>
  <c r="CN47" i="134"/>
  <c r="CN44" i="134"/>
  <c r="CN32" i="134"/>
  <c r="CO27" i="134" s="1"/>
  <c r="CO31" i="134" s="1"/>
  <c r="AZ34" i="87"/>
  <c r="E34" i="87"/>
  <c r="I34" i="87"/>
  <c r="M34" i="87"/>
  <c r="Q34" i="87"/>
  <c r="U34" i="87"/>
  <c r="Y34" i="87"/>
  <c r="AC34" i="87"/>
  <c r="AG34" i="87"/>
  <c r="AK34" i="87"/>
  <c r="AO34" i="87"/>
  <c r="AS34" i="87"/>
  <c r="AW34" i="87"/>
  <c r="BA34" i="87"/>
  <c r="F34" i="87"/>
  <c r="J34" i="87"/>
  <c r="N34" i="87"/>
  <c r="R34" i="87"/>
  <c r="V34" i="87"/>
  <c r="Z34" i="87"/>
  <c r="AD34" i="87"/>
  <c r="AH34" i="87"/>
  <c r="AL34" i="87"/>
  <c r="AP34" i="87"/>
  <c r="AT34" i="87"/>
  <c r="AX34" i="87"/>
  <c r="G34" i="87"/>
  <c r="K34" i="87"/>
  <c r="O34" i="87"/>
  <c r="S34" i="87"/>
  <c r="W34" i="87"/>
  <c r="AA34" i="87"/>
  <c r="AE34" i="87"/>
  <c r="AI34" i="87"/>
  <c r="AM34" i="87"/>
  <c r="AQ34" i="87"/>
  <c r="AU34" i="87"/>
  <c r="AY34" i="87"/>
  <c r="D34" i="87"/>
  <c r="H34" i="87"/>
  <c r="L34" i="87"/>
  <c r="P34" i="87"/>
  <c r="T34" i="87"/>
  <c r="X34" i="87"/>
  <c r="AB34" i="87"/>
  <c r="AF34" i="87"/>
  <c r="AJ34" i="87"/>
  <c r="AN34" i="87"/>
  <c r="AR34" i="87"/>
  <c r="AV34" i="87"/>
  <c r="CQ45" i="96"/>
  <c r="CQ46" i="96"/>
  <c r="CV48" i="96"/>
  <c r="CV49" i="96"/>
  <c r="CT48" i="96"/>
  <c r="CT49" i="96"/>
  <c r="CS48" i="96"/>
  <c r="CS49" i="96"/>
  <c r="CI48" i="96"/>
  <c r="CI49" i="96"/>
  <c r="CF48" i="96"/>
  <c r="CF49" i="96"/>
  <c r="CE48" i="96"/>
  <c r="CE49" i="96"/>
  <c r="CZ48" i="96"/>
  <c r="CZ49" i="96"/>
  <c r="CR49" i="96"/>
  <c r="CR48" i="96"/>
  <c r="CD48" i="96"/>
  <c r="CD49" i="96"/>
  <c r="CQ49" i="96"/>
  <c r="CQ48" i="96"/>
  <c r="CX45" i="96"/>
  <c r="CX46" i="96"/>
  <c r="CW46" i="96"/>
  <c r="CW45" i="96"/>
  <c r="CV46" i="96"/>
  <c r="CV45" i="96"/>
  <c r="CM49" i="96"/>
  <c r="CM48" i="96"/>
  <c r="CT46" i="96"/>
  <c r="CT45" i="96"/>
  <c r="CS46" i="96"/>
  <c r="CS45" i="96"/>
  <c r="CN45" i="96"/>
  <c r="CN46" i="96"/>
  <c r="CI46" i="96"/>
  <c r="CI45" i="96"/>
  <c r="CP48" i="96"/>
  <c r="CP49" i="96"/>
  <c r="CO48" i="96"/>
  <c r="CO49" i="96"/>
  <c r="CF45" i="96"/>
  <c r="CF50" i="96" s="1"/>
  <c r="CF46" i="96"/>
  <c r="CE45" i="96"/>
  <c r="CE46" i="96"/>
  <c r="CL46" i="96"/>
  <c r="CL45" i="96"/>
  <c r="CZ45" i="96"/>
  <c r="CZ46" i="96"/>
  <c r="CX48" i="96"/>
  <c r="CX49" i="96"/>
  <c r="CW49" i="96"/>
  <c r="CW48" i="96"/>
  <c r="CM46" i="96"/>
  <c r="CM45" i="96"/>
  <c r="CN48" i="96"/>
  <c r="CN49" i="96"/>
  <c r="CP45" i="96"/>
  <c r="CP46" i="96"/>
  <c r="CO46" i="96"/>
  <c r="CO45" i="96"/>
  <c r="CL48" i="96"/>
  <c r="CL49" i="96"/>
  <c r="CK46" i="96"/>
  <c r="CK45" i="96"/>
  <c r="CH45" i="96"/>
  <c r="CH46" i="96"/>
  <c r="CR45" i="96"/>
  <c r="CR46" i="96"/>
  <c r="CG45" i="96"/>
  <c r="CG46" i="96"/>
  <c r="CD46" i="96"/>
  <c r="CD45" i="96"/>
  <c r="CJ45" i="96"/>
  <c r="CJ46" i="96"/>
  <c r="CY45" i="96"/>
  <c r="CY46" i="96"/>
  <c r="CU49" i="96"/>
  <c r="CU48" i="96"/>
  <c r="CK49" i="96"/>
  <c r="CK48" i="96"/>
  <c r="CH48" i="96"/>
  <c r="CH49" i="96"/>
  <c r="CG48" i="96"/>
  <c r="CG49" i="96"/>
  <c r="CJ49" i="96"/>
  <c r="CJ48" i="96"/>
  <c r="CY48" i="96"/>
  <c r="CY49" i="96"/>
  <c r="CU46" i="96"/>
  <c r="CU45" i="96"/>
  <c r="G42" i="87"/>
  <c r="K42" i="87"/>
  <c r="O42" i="87"/>
  <c r="S42" i="87"/>
  <c r="W42" i="87"/>
  <c r="AA42" i="87"/>
  <c r="AE42" i="87"/>
  <c r="AI42" i="87"/>
  <c r="AM42" i="87"/>
  <c r="AQ42" i="87"/>
  <c r="AU42" i="87"/>
  <c r="AY42" i="87"/>
  <c r="G50" i="87"/>
  <c r="K50" i="87"/>
  <c r="O50" i="87"/>
  <c r="S50" i="87"/>
  <c r="W50" i="87"/>
  <c r="AA50" i="87"/>
  <c r="AE50" i="87"/>
  <c r="AI50" i="87"/>
  <c r="AM50" i="87"/>
  <c r="AQ50" i="87"/>
  <c r="AU50" i="87"/>
  <c r="AY50" i="87"/>
  <c r="G58" i="87"/>
  <c r="K58" i="87"/>
  <c r="O58" i="87"/>
  <c r="S58" i="87"/>
  <c r="W58" i="87"/>
  <c r="AA58" i="87"/>
  <c r="AE58" i="87"/>
  <c r="AI58" i="87"/>
  <c r="AM58" i="87"/>
  <c r="AQ58" i="87"/>
  <c r="AU58" i="87"/>
  <c r="AY58" i="87"/>
  <c r="I42" i="87"/>
  <c r="N42" i="87"/>
  <c r="T42" i="87"/>
  <c r="Y42" i="87"/>
  <c r="AD42" i="87"/>
  <c r="AJ42" i="87"/>
  <c r="AO42" i="87"/>
  <c r="AT42" i="87"/>
  <c r="AZ42" i="87"/>
  <c r="H50" i="87"/>
  <c r="M50" i="87"/>
  <c r="R50" i="87"/>
  <c r="X50" i="87"/>
  <c r="AC50" i="87"/>
  <c r="AH50" i="87"/>
  <c r="AN50" i="87"/>
  <c r="AS50" i="87"/>
  <c r="AX50" i="87"/>
  <c r="F58" i="87"/>
  <c r="L58" i="87"/>
  <c r="Q58" i="87"/>
  <c r="V58" i="87"/>
  <c r="AB58" i="87"/>
  <c r="AG58" i="87"/>
  <c r="AL58" i="87"/>
  <c r="AR58" i="87"/>
  <c r="AW58" i="87"/>
  <c r="D42" i="87"/>
  <c r="H42" i="87"/>
  <c r="M42" i="87"/>
  <c r="R42" i="87"/>
  <c r="X42" i="87"/>
  <c r="AC42" i="87"/>
  <c r="AH42" i="87"/>
  <c r="AN42" i="87"/>
  <c r="AS42" i="87"/>
  <c r="AX42" i="87"/>
  <c r="F50" i="87"/>
  <c r="L50" i="87"/>
  <c r="Q50" i="87"/>
  <c r="V50" i="87"/>
  <c r="AB50" i="87"/>
  <c r="AG50" i="87"/>
  <c r="AL50" i="87"/>
  <c r="AR50" i="87"/>
  <c r="AW50" i="87"/>
  <c r="E58" i="87"/>
  <c r="J58" i="87"/>
  <c r="P58" i="87"/>
  <c r="U58" i="87"/>
  <c r="Z58" i="87"/>
  <c r="AF58" i="87"/>
  <c r="AK58" i="87"/>
  <c r="AP58" i="87"/>
  <c r="AV58" i="87"/>
  <c r="BA58" i="87"/>
  <c r="D50" i="87"/>
  <c r="L42" i="87"/>
  <c r="V42" i="87"/>
  <c r="AG42" i="87"/>
  <c r="AR42" i="87"/>
  <c r="J50" i="87"/>
  <c r="U50" i="87"/>
  <c r="AF50" i="87"/>
  <c r="AP50" i="87"/>
  <c r="BA50" i="87"/>
  <c r="I58" i="87"/>
  <c r="T58" i="87"/>
  <c r="AD58" i="87"/>
  <c r="AO58" i="87"/>
  <c r="AZ58" i="87"/>
  <c r="D58" i="87"/>
  <c r="E42" i="87"/>
  <c r="P42" i="87"/>
  <c r="Z42" i="87"/>
  <c r="AK42" i="87"/>
  <c r="AV42" i="87"/>
  <c r="N50" i="87"/>
  <c r="Y50" i="87"/>
  <c r="AJ50" i="87"/>
  <c r="AT50" i="87"/>
  <c r="M58" i="87"/>
  <c r="X58" i="87"/>
  <c r="AH58" i="87"/>
  <c r="AS58" i="87"/>
  <c r="F42" i="87"/>
  <c r="Q42" i="87"/>
  <c r="AB42" i="87"/>
  <c r="AL42" i="87"/>
  <c r="AW42" i="87"/>
  <c r="J42" i="87"/>
  <c r="BA42" i="87"/>
  <c r="T50" i="87"/>
  <c r="AO50" i="87"/>
  <c r="H58" i="87"/>
  <c r="AC58" i="87"/>
  <c r="AX58" i="87"/>
  <c r="U42" i="87"/>
  <c r="E50" i="87"/>
  <c r="Z50" i="87"/>
  <c r="AV50" i="87"/>
  <c r="N58" i="87"/>
  <c r="AJ58" i="87"/>
  <c r="AF42" i="87"/>
  <c r="I50" i="87"/>
  <c r="AD50" i="87"/>
  <c r="AZ50" i="87"/>
  <c r="R58" i="87"/>
  <c r="AN58" i="87"/>
  <c r="AP42" i="87"/>
  <c r="P50" i="87"/>
  <c r="AK50" i="87"/>
  <c r="Y58" i="87"/>
  <c r="AT58" i="87"/>
  <c r="P19" i="87"/>
  <c r="T19" i="87"/>
  <c r="X19" i="87"/>
  <c r="AB19" i="87"/>
  <c r="AF19" i="87"/>
  <c r="AJ19" i="87"/>
  <c r="AN19" i="87"/>
  <c r="AR19" i="87"/>
  <c r="AV19" i="87"/>
  <c r="AZ19" i="87"/>
  <c r="H19" i="87"/>
  <c r="L19" i="87"/>
  <c r="D19" i="87"/>
  <c r="Q19" i="87"/>
  <c r="U19" i="87"/>
  <c r="Y19" i="87"/>
  <c r="AC19" i="87"/>
  <c r="AG19" i="87"/>
  <c r="AK19" i="87"/>
  <c r="AO19" i="87"/>
  <c r="AS19" i="87"/>
  <c r="AW19" i="87"/>
  <c r="BA19" i="87"/>
  <c r="E19" i="87"/>
  <c r="I19" i="87"/>
  <c r="M19" i="87"/>
  <c r="R19" i="87"/>
  <c r="Z19" i="87"/>
  <c r="AH19" i="87"/>
  <c r="AP19" i="87"/>
  <c r="AX19" i="87"/>
  <c r="F19" i="87"/>
  <c r="N19" i="87"/>
  <c r="W19" i="87"/>
  <c r="AE19" i="87"/>
  <c r="AM19" i="87"/>
  <c r="AU19" i="87"/>
  <c r="K19" i="87"/>
  <c r="S19" i="87"/>
  <c r="AI19" i="87"/>
  <c r="AY19" i="87"/>
  <c r="G19" i="87"/>
  <c r="V19" i="87"/>
  <c r="AL19" i="87"/>
  <c r="J19" i="87"/>
  <c r="AA19" i="87"/>
  <c r="O19" i="87"/>
  <c r="AD19" i="87"/>
  <c r="AQ19" i="87"/>
  <c r="AT19" i="87"/>
  <c r="G39" i="15"/>
  <c r="G40" i="15" s="1"/>
  <c r="G41" i="15" s="1"/>
  <c r="G42" i="15" s="1"/>
  <c r="G43" i="15" s="1"/>
  <c r="G44" i="15" s="1"/>
  <c r="G45" i="15" s="1"/>
  <c r="G15" i="43"/>
  <c r="G16" i="43"/>
  <c r="G17" i="43"/>
  <c r="G18" i="43"/>
  <c r="G14" i="43"/>
  <c r="CM135" i="134" l="1"/>
  <c r="CM136" i="134" s="1"/>
  <c r="CM141" i="134"/>
  <c r="CM138" i="134"/>
  <c r="CV134" i="134"/>
  <c r="CN48" i="134"/>
  <c r="CN49" i="134"/>
  <c r="CY134" i="134"/>
  <c r="CR134" i="134"/>
  <c r="CU134" i="134"/>
  <c r="CT134" i="134"/>
  <c r="CS134" i="134"/>
  <c r="CP134" i="134"/>
  <c r="CO134" i="134"/>
  <c r="CQ134" i="134"/>
  <c r="CZ134" i="134"/>
  <c r="CM50" i="134"/>
  <c r="CM129" i="134"/>
  <c r="CM125" i="134" s="1"/>
  <c r="CM131" i="134" s="1"/>
  <c r="CM137" i="134"/>
  <c r="CN127" i="134"/>
  <c r="CN132" i="134" s="1"/>
  <c r="CN134" i="134"/>
  <c r="CX134" i="134"/>
  <c r="CM130" i="134"/>
  <c r="CN46" i="134"/>
  <c r="CN45" i="134"/>
  <c r="CO32" i="134"/>
  <c r="CP27" i="134" s="1"/>
  <c r="CP31" i="134" s="1"/>
  <c r="CW134" i="134"/>
  <c r="CY50" i="96"/>
  <c r="CQ50" i="96"/>
  <c r="CR50" i="96"/>
  <c r="CM50" i="96"/>
  <c r="CT50" i="96"/>
  <c r="CJ50" i="96"/>
  <c r="CK50" i="96"/>
  <c r="CG50" i="96"/>
  <c r="CN50" i="96"/>
  <c r="CZ50" i="96"/>
  <c r="CS50" i="96"/>
  <c r="CH50" i="96"/>
  <c r="CP50" i="96"/>
  <c r="CU50" i="96"/>
  <c r="CL50" i="96"/>
  <c r="CV50" i="96"/>
  <c r="CX50" i="96"/>
  <c r="CD50" i="96"/>
  <c r="CW50" i="96"/>
  <c r="CO50" i="96"/>
  <c r="CE50" i="96"/>
  <c r="CI50" i="96"/>
  <c r="T112" i="1"/>
  <c r="T113" i="1"/>
  <c r="T114" i="1"/>
  <c r="T115" i="1"/>
  <c r="T116" i="1"/>
  <c r="T117" i="1"/>
  <c r="T118" i="1"/>
  <c r="T119" i="1"/>
  <c r="T120" i="1"/>
  <c r="T121" i="1"/>
  <c r="T122" i="1"/>
  <c r="T123" i="1"/>
  <c r="T124" i="1"/>
  <c r="R111" i="1"/>
  <c r="V111" i="1" s="1"/>
  <c r="CN135" i="134" l="1"/>
  <c r="CN136" i="134" s="1"/>
  <c r="CN141" i="134"/>
  <c r="CN138" i="134"/>
  <c r="CN130" i="134"/>
  <c r="CP32" i="134"/>
  <c r="CQ27" i="134" s="1"/>
  <c r="CQ31" i="134" s="1"/>
  <c r="CO47" i="134"/>
  <c r="CO44" i="134"/>
  <c r="CN129" i="134"/>
  <c r="CN125" i="134" s="1"/>
  <c r="CN131" i="134" s="1"/>
  <c r="CN137" i="134"/>
  <c r="CN50" i="134"/>
  <c r="CN128" i="134"/>
  <c r="T111" i="1"/>
  <c r="D25" i="1"/>
  <c r="D26" i="1"/>
  <c r="D27" i="1"/>
  <c r="D28" i="1"/>
  <c r="D29" i="1"/>
  <c r="D30" i="1"/>
  <c r="D31" i="1"/>
  <c r="D24" i="1"/>
  <c r="CO46" i="134" l="1"/>
  <c r="CO45" i="134"/>
  <c r="CQ32" i="134"/>
  <c r="CR27" i="134" s="1"/>
  <c r="CR31" i="134" s="1"/>
  <c r="CO48" i="134"/>
  <c r="CO49" i="134"/>
  <c r="CP47" i="134"/>
  <c r="CP44" i="134"/>
  <c r="U26" i="1"/>
  <c r="G26" i="1"/>
  <c r="S26" i="1" s="1"/>
  <c r="U27" i="1"/>
  <c r="J14" i="43" s="1"/>
  <c r="C14" i="43"/>
  <c r="G27" i="1"/>
  <c r="S27" i="1" s="1"/>
  <c r="U30" i="1"/>
  <c r="J17" i="43" s="1"/>
  <c r="C17" i="43"/>
  <c r="G30" i="1"/>
  <c r="S30" i="1" s="1"/>
  <c r="U29" i="1"/>
  <c r="J16" i="43" s="1"/>
  <c r="C16" i="43"/>
  <c r="G29" i="1"/>
  <c r="S29" i="1" s="1"/>
  <c r="U25" i="1"/>
  <c r="G25" i="1"/>
  <c r="S25" i="1" s="1"/>
  <c r="Q24" i="1"/>
  <c r="G24" i="1"/>
  <c r="S24" i="1" s="1"/>
  <c r="U28" i="1"/>
  <c r="J15" i="43" s="1"/>
  <c r="C15" i="43"/>
  <c r="G28" i="1"/>
  <c r="S28" i="1" s="1"/>
  <c r="U31" i="1"/>
  <c r="J18" i="43" s="1"/>
  <c r="C18" i="43"/>
  <c r="G31" i="1"/>
  <c r="S31" i="1" s="1"/>
  <c r="P15" i="43"/>
  <c r="Q15" i="43"/>
  <c r="P16" i="43"/>
  <c r="Q16" i="43"/>
  <c r="P17" i="43"/>
  <c r="Q17" i="43"/>
  <c r="P18" i="43"/>
  <c r="Q18" i="43"/>
  <c r="P19" i="43"/>
  <c r="Q19" i="43"/>
  <c r="P20" i="43"/>
  <c r="Q20" i="43"/>
  <c r="Q21" i="43"/>
  <c r="Q22" i="43"/>
  <c r="Q23" i="43"/>
  <c r="Q24" i="43"/>
  <c r="P14" i="43"/>
  <c r="Q14" i="43"/>
  <c r="P25" i="1"/>
  <c r="P26" i="1"/>
  <c r="O14" i="43"/>
  <c r="O15" i="43"/>
  <c r="P30" i="1"/>
  <c r="O18" i="43"/>
  <c r="O19" i="43"/>
  <c r="O21" i="43"/>
  <c r="O22" i="43"/>
  <c r="O23" i="43"/>
  <c r="O25" i="43"/>
  <c r="O26" i="43"/>
  <c r="O27" i="43"/>
  <c r="O29" i="43"/>
  <c r="O30" i="43"/>
  <c r="O31" i="43"/>
  <c r="O33" i="43"/>
  <c r="O34" i="43"/>
  <c r="O35" i="43"/>
  <c r="O37" i="43"/>
  <c r="O38" i="43"/>
  <c r="O39" i="43"/>
  <c r="O41" i="43"/>
  <c r="O42" i="43"/>
  <c r="O43" i="43"/>
  <c r="O45" i="43"/>
  <c r="O46" i="43"/>
  <c r="O47" i="43"/>
  <c r="O49" i="43"/>
  <c r="O50" i="43"/>
  <c r="O51" i="43"/>
  <c r="O53" i="43"/>
  <c r="O54" i="43"/>
  <c r="O55" i="43"/>
  <c r="O57" i="43"/>
  <c r="O58" i="43"/>
  <c r="O59" i="43"/>
  <c r="O61" i="43"/>
  <c r="O62" i="43"/>
  <c r="O63" i="43"/>
  <c r="O65" i="43"/>
  <c r="O66" i="43"/>
  <c r="O67" i="43"/>
  <c r="O69" i="43"/>
  <c r="O70" i="43"/>
  <c r="O71" i="43"/>
  <c r="O73" i="43"/>
  <c r="O74" i="43"/>
  <c r="O75" i="43"/>
  <c r="O77" i="43"/>
  <c r="O78" i="43"/>
  <c r="O79" i="43"/>
  <c r="O81" i="43"/>
  <c r="O82" i="43"/>
  <c r="O83" i="43"/>
  <c r="O85" i="43"/>
  <c r="O86" i="43"/>
  <c r="O87" i="43"/>
  <c r="O89" i="43"/>
  <c r="O90" i="43"/>
  <c r="O91" i="43"/>
  <c r="O93" i="43"/>
  <c r="O94" i="43"/>
  <c r="O95" i="43"/>
  <c r="O97" i="43"/>
  <c r="L112" i="1"/>
  <c r="P24" i="1"/>
  <c r="G2" i="25"/>
  <c r="N38" i="1"/>
  <c r="Q25" i="43" s="1"/>
  <c r="F17" i="43"/>
  <c r="F16" i="43"/>
  <c r="Q13" i="43"/>
  <c r="P13" i="43"/>
  <c r="M34" i="1"/>
  <c r="P21" i="43" s="1"/>
  <c r="CP45" i="134" l="1"/>
  <c r="CP46" i="134"/>
  <c r="CP49" i="134"/>
  <c r="CP48" i="134"/>
  <c r="CO129" i="134"/>
  <c r="CO125" i="134" s="1"/>
  <c r="CO131" i="134" s="1"/>
  <c r="CO137" i="134"/>
  <c r="CO127" i="134"/>
  <c r="CO132" i="134" s="1"/>
  <c r="CR32" i="134"/>
  <c r="CS27" i="134" s="1"/>
  <c r="CS31" i="134" s="1"/>
  <c r="CQ47" i="134"/>
  <c r="CQ44" i="134"/>
  <c r="CO50" i="134"/>
  <c r="CO128" i="134"/>
  <c r="P31" i="1"/>
  <c r="F15" i="43"/>
  <c r="O17" i="43"/>
  <c r="K17" i="43"/>
  <c r="K16" i="43"/>
  <c r="H15" i="43"/>
  <c r="K15" i="43"/>
  <c r="U15" i="43" s="1"/>
  <c r="F18" i="43"/>
  <c r="H18" i="43" s="1"/>
  <c r="P27" i="1"/>
  <c r="F14" i="43"/>
  <c r="H14" i="43" s="1"/>
  <c r="D14" i="43"/>
  <c r="K14" i="43"/>
  <c r="U14" i="43" s="1"/>
  <c r="K18" i="43"/>
  <c r="U18" i="43" s="1"/>
  <c r="M35" i="1"/>
  <c r="G69" i="1"/>
  <c r="R69" i="1" s="1"/>
  <c r="D60" i="1"/>
  <c r="G60" i="1" s="1"/>
  <c r="R60" i="1" s="1"/>
  <c r="G79" i="1"/>
  <c r="R79" i="1" s="1"/>
  <c r="D70" i="1"/>
  <c r="G70" i="1" s="1"/>
  <c r="R70" i="1" s="1"/>
  <c r="G49" i="1"/>
  <c r="R49" i="1" s="1"/>
  <c r="G59" i="1"/>
  <c r="R59" i="1" s="1"/>
  <c r="G50" i="1"/>
  <c r="R50" i="1" s="1"/>
  <c r="O96" i="43"/>
  <c r="O92" i="43"/>
  <c r="O88" i="43"/>
  <c r="O84" i="43"/>
  <c r="O80" i="43"/>
  <c r="O76" i="43"/>
  <c r="O72" i="43"/>
  <c r="O68" i="43"/>
  <c r="O64" i="43"/>
  <c r="O60" i="43"/>
  <c r="O56" i="43"/>
  <c r="O52" i="43"/>
  <c r="O48" i="43"/>
  <c r="O44" i="43"/>
  <c r="O40" i="43"/>
  <c r="O36" i="43"/>
  <c r="O32" i="43"/>
  <c r="O28" i="43"/>
  <c r="O24" i="43"/>
  <c r="P33" i="1"/>
  <c r="O20" i="43"/>
  <c r="P29" i="1"/>
  <c r="O16" i="43"/>
  <c r="P34" i="1"/>
  <c r="P32" i="1"/>
  <c r="P28" i="1"/>
  <c r="N39" i="1"/>
  <c r="Q26" i="43" s="1"/>
  <c r="CO141" i="134" l="1"/>
  <c r="CO138" i="134"/>
  <c r="CQ48" i="134"/>
  <c r="CQ49" i="134"/>
  <c r="CS32" i="134"/>
  <c r="CT27" i="134" s="1"/>
  <c r="CT31" i="134" s="1"/>
  <c r="CO135" i="134"/>
  <c r="CO136" i="134" s="1"/>
  <c r="CO130" i="134"/>
  <c r="CP137" i="134"/>
  <c r="CP129" i="134"/>
  <c r="CP125" i="134" s="1"/>
  <c r="CP131" i="134" s="1"/>
  <c r="CP127" i="134"/>
  <c r="CP132" i="134" s="1"/>
  <c r="CR44" i="134"/>
  <c r="CR47" i="134"/>
  <c r="CQ46" i="134"/>
  <c r="CQ45" i="134"/>
  <c r="CQ128" i="134" s="1"/>
  <c r="CP50" i="134"/>
  <c r="CP128" i="134"/>
  <c r="U16" i="43"/>
  <c r="U17" i="43"/>
  <c r="H17" i="43"/>
  <c r="T17" i="43"/>
  <c r="AA17" i="43" s="1"/>
  <c r="T15" i="43"/>
  <c r="AA15" i="43" s="1"/>
  <c r="T18" i="43"/>
  <c r="AA18" i="43" s="1"/>
  <c r="H16" i="43"/>
  <c r="T16" i="43"/>
  <c r="AA16" i="43" s="1"/>
  <c r="M14" i="43"/>
  <c r="N14" i="43" s="1"/>
  <c r="T14" i="43"/>
  <c r="AA14" i="43" s="1"/>
  <c r="D61" i="1"/>
  <c r="G61" i="1" s="1"/>
  <c r="R61" i="1" s="1"/>
  <c r="V61" i="1" s="1"/>
  <c r="D71" i="1"/>
  <c r="V60" i="1"/>
  <c r="T60" i="1"/>
  <c r="V79" i="1"/>
  <c r="T79" i="1"/>
  <c r="M36" i="1"/>
  <c r="P22" i="43"/>
  <c r="P35" i="1"/>
  <c r="V59" i="1"/>
  <c r="T59" i="1"/>
  <c r="V70" i="1"/>
  <c r="T70" i="1"/>
  <c r="V50" i="1"/>
  <c r="T50" i="1"/>
  <c r="V49" i="1"/>
  <c r="T49" i="1"/>
  <c r="V69" i="1"/>
  <c r="T69" i="1"/>
  <c r="N40" i="1"/>
  <c r="Q27" i="43" s="1"/>
  <c r="B53" i="96"/>
  <c r="I26" i="99"/>
  <c r="F14" i="94"/>
  <c r="F4" i="96"/>
  <c r="F23" i="90"/>
  <c r="J32" i="90"/>
  <c r="J34" i="90" s="1"/>
  <c r="V32" i="90"/>
  <c r="V34" i="90" s="1"/>
  <c r="U32" i="90"/>
  <c r="U34" i="90" s="1"/>
  <c r="T32" i="90"/>
  <c r="T34" i="90" s="1"/>
  <c r="S32" i="90"/>
  <c r="S34" i="90" s="1"/>
  <c r="R32" i="90"/>
  <c r="R34" i="90" s="1"/>
  <c r="Q32" i="90"/>
  <c r="Q34" i="90" s="1"/>
  <c r="P32" i="90"/>
  <c r="P34" i="90" s="1"/>
  <c r="O32" i="90"/>
  <c r="O34" i="90" s="1"/>
  <c r="N32" i="90"/>
  <c r="N34" i="90" s="1"/>
  <c r="M32" i="90"/>
  <c r="M34" i="90" s="1"/>
  <c r="L32" i="90"/>
  <c r="L34" i="90" s="1"/>
  <c r="K32" i="90"/>
  <c r="K34" i="90" s="1"/>
  <c r="D31" i="90"/>
  <c r="D33" i="90" s="1"/>
  <c r="BG24" i="90"/>
  <c r="H24" i="90"/>
  <c r="BE23" i="90"/>
  <c r="CP135" i="134" l="1"/>
  <c r="CP136" i="134" s="1"/>
  <c r="CP138" i="134"/>
  <c r="CP141" i="134"/>
  <c r="CR45" i="134"/>
  <c r="CR128" i="134" s="1"/>
  <c r="CR46" i="134"/>
  <c r="CP130" i="134"/>
  <c r="CR48" i="134"/>
  <c r="CR49" i="134"/>
  <c r="CT32" i="134"/>
  <c r="CU27" i="134" s="1"/>
  <c r="CU31" i="134" s="1"/>
  <c r="CS44" i="134"/>
  <c r="CS47" i="134"/>
  <c r="CQ50" i="134"/>
  <c r="CQ129" i="134"/>
  <c r="CQ125" i="134" s="1"/>
  <c r="CQ131" i="134" s="1"/>
  <c r="CQ137" i="134"/>
  <c r="CQ127" i="134"/>
  <c r="CQ132" i="134" s="1"/>
  <c r="F30" i="96"/>
  <c r="M15" i="43"/>
  <c r="N15" i="43" s="1"/>
  <c r="D34" i="90"/>
  <c r="D35" i="90"/>
  <c r="E31" i="90" s="1"/>
  <c r="E33" i="90" s="1"/>
  <c r="E47" i="90" s="1"/>
  <c r="D62" i="1"/>
  <c r="G62" i="1" s="1"/>
  <c r="R62" i="1" s="1"/>
  <c r="T61" i="1"/>
  <c r="G51" i="1"/>
  <c r="R51" i="1" s="1"/>
  <c r="P23" i="43"/>
  <c r="M37" i="1"/>
  <c r="P36" i="1"/>
  <c r="G71" i="1"/>
  <c r="R71" i="1" s="1"/>
  <c r="D72" i="1"/>
  <c r="N41" i="1"/>
  <c r="Q28" i="43" s="1"/>
  <c r="I28" i="95"/>
  <c r="G4" i="96"/>
  <c r="CQ135" i="134" l="1"/>
  <c r="CQ136" i="134" s="1"/>
  <c r="CQ141" i="134"/>
  <c r="CQ138" i="134"/>
  <c r="CQ130" i="134"/>
  <c r="CR50" i="134"/>
  <c r="CR137" i="134"/>
  <c r="CR129" i="134"/>
  <c r="CR125" i="134" s="1"/>
  <c r="CR131" i="134" s="1"/>
  <c r="CR127" i="134"/>
  <c r="CR132" i="134" s="1"/>
  <c r="CS48" i="134"/>
  <c r="CS49" i="134"/>
  <c r="CR130" i="134"/>
  <c r="CU32" i="134"/>
  <c r="CV27" i="134" s="1"/>
  <c r="CV31" i="134" s="1"/>
  <c r="CS45" i="134"/>
  <c r="CS128" i="134" s="1"/>
  <c r="CS46" i="134"/>
  <c r="CT44" i="134"/>
  <c r="CT47" i="134"/>
  <c r="G30" i="96"/>
  <c r="M16" i="43"/>
  <c r="N16" i="43" s="1"/>
  <c r="D63" i="1"/>
  <c r="D64" i="1" s="1"/>
  <c r="V51" i="1"/>
  <c r="T51" i="1"/>
  <c r="G72" i="1"/>
  <c r="R72" i="1" s="1"/>
  <c r="D73" i="1"/>
  <c r="V71" i="1"/>
  <c r="T71" i="1"/>
  <c r="G52" i="1"/>
  <c r="R52" i="1" s="1"/>
  <c r="P24" i="43"/>
  <c r="P37" i="1"/>
  <c r="M38" i="1"/>
  <c r="V62" i="1"/>
  <c r="T62" i="1"/>
  <c r="N42" i="1"/>
  <c r="Q29" i="43" s="1"/>
  <c r="H4" i="96"/>
  <c r="E35" i="90"/>
  <c r="F31" i="90" s="1"/>
  <c r="CR135" i="134" l="1"/>
  <c r="CR136" i="134" s="1"/>
  <c r="CR141" i="134"/>
  <c r="CR138" i="134"/>
  <c r="CS50" i="134"/>
  <c r="CS137" i="134"/>
  <c r="CS129" i="134"/>
  <c r="CS125" i="134" s="1"/>
  <c r="CS131" i="134" s="1"/>
  <c r="CS127" i="134"/>
  <c r="CS132" i="134" s="1"/>
  <c r="CT45" i="134"/>
  <c r="CT128" i="134" s="1"/>
  <c r="CT46" i="134"/>
  <c r="CU47" i="134"/>
  <c r="CU44" i="134"/>
  <c r="CV32" i="134"/>
  <c r="CW27" i="134" s="1"/>
  <c r="CW31" i="134" s="1"/>
  <c r="CT48" i="134"/>
  <c r="CT49" i="134"/>
  <c r="M17" i="43"/>
  <c r="H30" i="96"/>
  <c r="G63" i="1"/>
  <c r="R63" i="1" s="1"/>
  <c r="V63" i="1" s="1"/>
  <c r="V72" i="1"/>
  <c r="T72" i="1"/>
  <c r="D65" i="1"/>
  <c r="G64" i="1"/>
  <c r="R64" i="1" s="1"/>
  <c r="G53" i="1"/>
  <c r="R53" i="1" s="1"/>
  <c r="P25" i="43"/>
  <c r="P38" i="1"/>
  <c r="M39" i="1"/>
  <c r="V52" i="1"/>
  <c r="T52" i="1"/>
  <c r="D74" i="1"/>
  <c r="G73" i="1"/>
  <c r="R73" i="1" s="1"/>
  <c r="N43" i="1"/>
  <c r="Q30" i="43" s="1"/>
  <c r="I4" i="96"/>
  <c r="F33" i="90"/>
  <c r="F47" i="90" s="1"/>
  <c r="CS135" i="134" l="1"/>
  <c r="CS136" i="134" s="1"/>
  <c r="CS141" i="134"/>
  <c r="CS138" i="134"/>
  <c r="CS130" i="134"/>
  <c r="CW32" i="134"/>
  <c r="CX27" i="134" s="1"/>
  <c r="CX31" i="134" s="1"/>
  <c r="CV47" i="134"/>
  <c r="CV44" i="134"/>
  <c r="CU48" i="134"/>
  <c r="CU49" i="134"/>
  <c r="CU46" i="134"/>
  <c r="CU45" i="134"/>
  <c r="CT50" i="134"/>
  <c r="CT129" i="134"/>
  <c r="CT125" i="134" s="1"/>
  <c r="CT131" i="134" s="1"/>
  <c r="CT137" i="134"/>
  <c r="CT127" i="134"/>
  <c r="CT132" i="134" s="1"/>
  <c r="M18" i="43"/>
  <c r="N17" i="43"/>
  <c r="I30" i="96"/>
  <c r="T63" i="1"/>
  <c r="D66" i="1"/>
  <c r="G65" i="1"/>
  <c r="R65" i="1" s="1"/>
  <c r="V64" i="1"/>
  <c r="T64" i="1"/>
  <c r="V73" i="1"/>
  <c r="T73" i="1"/>
  <c r="V53" i="1"/>
  <c r="T53" i="1"/>
  <c r="D75" i="1"/>
  <c r="G74" i="1"/>
  <c r="R74" i="1" s="1"/>
  <c r="P26" i="43"/>
  <c r="P39" i="1"/>
  <c r="M40" i="1"/>
  <c r="G54" i="1"/>
  <c r="R54" i="1" s="1"/>
  <c r="N44" i="1"/>
  <c r="Q31" i="43" s="1"/>
  <c r="J4" i="96"/>
  <c r="F35" i="90"/>
  <c r="G31" i="90" s="1"/>
  <c r="CT135" i="134" l="1"/>
  <c r="CT136" i="134" s="1"/>
  <c r="CT141" i="134"/>
  <c r="CT138" i="134"/>
  <c r="CV45" i="134"/>
  <c r="CV128" i="134" s="1"/>
  <c r="CV46" i="134"/>
  <c r="CV48" i="134"/>
  <c r="CV49" i="134"/>
  <c r="CU50" i="134"/>
  <c r="CU128" i="134"/>
  <c r="CX32" i="134"/>
  <c r="CY27" i="134" s="1"/>
  <c r="CY31" i="134" s="1"/>
  <c r="CU129" i="134"/>
  <c r="CU125" i="134" s="1"/>
  <c r="CU131" i="134" s="1"/>
  <c r="CU137" i="134"/>
  <c r="CU127" i="134"/>
  <c r="CU132" i="134" s="1"/>
  <c r="CT130" i="134"/>
  <c r="CW47" i="134"/>
  <c r="CW44" i="134"/>
  <c r="N18" i="43"/>
  <c r="J30" i="96"/>
  <c r="P27" i="43"/>
  <c r="P40" i="1"/>
  <c r="M41" i="1"/>
  <c r="V54" i="1"/>
  <c r="T54" i="1"/>
  <c r="V65" i="1"/>
  <c r="T65" i="1"/>
  <c r="D76" i="1"/>
  <c r="G75" i="1"/>
  <c r="R75" i="1" s="1"/>
  <c r="G55" i="1"/>
  <c r="R55" i="1" s="1"/>
  <c r="V74" i="1"/>
  <c r="T74" i="1"/>
  <c r="D67" i="1"/>
  <c r="G66" i="1"/>
  <c r="R66" i="1" s="1"/>
  <c r="N45" i="1"/>
  <c r="Q32" i="43" s="1"/>
  <c r="K4" i="96"/>
  <c r="G33" i="90"/>
  <c r="G47" i="90" s="1"/>
  <c r="CU135" i="134" l="1"/>
  <c r="CU136" i="134" s="1"/>
  <c r="CU138" i="134"/>
  <c r="CU141" i="134"/>
  <c r="CU130" i="134"/>
  <c r="CY32" i="134"/>
  <c r="CZ27" i="134" s="1"/>
  <c r="CZ31" i="134" s="1"/>
  <c r="CX47" i="134"/>
  <c r="CX44" i="134"/>
  <c r="CV50" i="134"/>
  <c r="CV129" i="134"/>
  <c r="CV125" i="134" s="1"/>
  <c r="CV131" i="134" s="1"/>
  <c r="CV137" i="134"/>
  <c r="CV127" i="134"/>
  <c r="CV132" i="134" s="1"/>
  <c r="CW46" i="134"/>
  <c r="CW45" i="134"/>
  <c r="CW128" i="134" s="1"/>
  <c r="CW48" i="134"/>
  <c r="CW49" i="134"/>
  <c r="K30" i="96"/>
  <c r="P28" i="43"/>
  <c r="P41" i="1"/>
  <c r="M42" i="1"/>
  <c r="G56" i="1"/>
  <c r="R56" i="1" s="1"/>
  <c r="V66" i="1"/>
  <c r="T66" i="1"/>
  <c r="D77" i="1"/>
  <c r="G76" i="1"/>
  <c r="R76" i="1" s="1"/>
  <c r="V75" i="1"/>
  <c r="T75" i="1"/>
  <c r="D68" i="1"/>
  <c r="G68" i="1" s="1"/>
  <c r="R68" i="1" s="1"/>
  <c r="G67" i="1"/>
  <c r="R67" i="1" s="1"/>
  <c r="V55" i="1"/>
  <c r="T55" i="1"/>
  <c r="N46" i="1"/>
  <c r="Q33" i="43" s="1"/>
  <c r="L4" i="96"/>
  <c r="G35" i="90"/>
  <c r="H31" i="90" s="1"/>
  <c r="H33" i="90" s="1"/>
  <c r="H47" i="90" s="1"/>
  <c r="CV135" i="134" l="1"/>
  <c r="CV136" i="134" s="1"/>
  <c r="CV138" i="134"/>
  <c r="CV141" i="134"/>
  <c r="CW50" i="134"/>
  <c r="CW137" i="134"/>
  <c r="CW129" i="134"/>
  <c r="CW125" i="134" s="1"/>
  <c r="CW131" i="134" s="1"/>
  <c r="CW127" i="134"/>
  <c r="CW132" i="134" s="1"/>
  <c r="CZ32" i="134"/>
  <c r="CX45" i="134"/>
  <c r="CX128" i="134" s="1"/>
  <c r="CX46" i="134"/>
  <c r="CY44" i="134"/>
  <c r="CY47" i="134"/>
  <c r="CX49" i="134"/>
  <c r="CX48" i="134"/>
  <c r="CV130" i="134"/>
  <c r="L30" i="96"/>
  <c r="G58" i="1"/>
  <c r="R58" i="1" s="1"/>
  <c r="G57" i="1"/>
  <c r="R57" i="1" s="1"/>
  <c r="V67" i="1"/>
  <c r="T67" i="1"/>
  <c r="P29" i="43"/>
  <c r="P42" i="1"/>
  <c r="M43" i="1"/>
  <c r="V68" i="1"/>
  <c r="T68" i="1"/>
  <c r="V76" i="1"/>
  <c r="T76" i="1"/>
  <c r="D78" i="1"/>
  <c r="G78" i="1" s="1"/>
  <c r="R78" i="1" s="1"/>
  <c r="G77" i="1"/>
  <c r="R77" i="1" s="1"/>
  <c r="V56" i="1"/>
  <c r="T56" i="1"/>
  <c r="N47" i="1"/>
  <c r="Q34" i="43" s="1"/>
  <c r="M4" i="96"/>
  <c r="H35" i="90"/>
  <c r="I31" i="90" s="1"/>
  <c r="I33" i="90" s="1"/>
  <c r="I47" i="90" s="1"/>
  <c r="CW135" i="134" l="1"/>
  <c r="CW136" i="134" s="1"/>
  <c r="CW138" i="134"/>
  <c r="CW141" i="134"/>
  <c r="CX50" i="134"/>
  <c r="CX137" i="134"/>
  <c r="CX129" i="134"/>
  <c r="CX125" i="134" s="1"/>
  <c r="CX131" i="134" s="1"/>
  <c r="CX127" i="134"/>
  <c r="CX132" i="134" s="1"/>
  <c r="CY49" i="134"/>
  <c r="CY48" i="134"/>
  <c r="CY45" i="134"/>
  <c r="CY128" i="134" s="1"/>
  <c r="CY46" i="134"/>
  <c r="CZ47" i="134"/>
  <c r="CZ44" i="134"/>
  <c r="CW130" i="134"/>
  <c r="M30" i="96"/>
  <c r="V77" i="1"/>
  <c r="T77" i="1"/>
  <c r="P30" i="43"/>
  <c r="P43" i="1"/>
  <c r="M44" i="1"/>
  <c r="V78" i="1"/>
  <c r="T78" i="1"/>
  <c r="V57" i="1"/>
  <c r="T57" i="1"/>
  <c r="V58" i="1"/>
  <c r="T58" i="1"/>
  <c r="N48" i="1"/>
  <c r="Q35" i="43" s="1"/>
  <c r="N4" i="96"/>
  <c r="I35" i="90"/>
  <c r="J31" i="90" s="1"/>
  <c r="J33" i="90" s="1"/>
  <c r="CX135" i="134" l="1"/>
  <c r="CX136" i="134" s="1"/>
  <c r="CX138" i="134"/>
  <c r="CX141" i="134"/>
  <c r="CX130" i="134"/>
  <c r="CZ49" i="134"/>
  <c r="CZ48" i="134"/>
  <c r="CZ46" i="134"/>
  <c r="CZ45" i="134"/>
  <c r="CZ128" i="134" s="1"/>
  <c r="CY50" i="134"/>
  <c r="CY137" i="134"/>
  <c r="CY129" i="134"/>
  <c r="CY125" i="134" s="1"/>
  <c r="CY131" i="134" s="1"/>
  <c r="CY127" i="134"/>
  <c r="CY132" i="134" s="1"/>
  <c r="N30" i="96"/>
  <c r="P31" i="43"/>
  <c r="P44" i="1"/>
  <c r="M45" i="1"/>
  <c r="N49" i="1"/>
  <c r="Q36" i="43" s="1"/>
  <c r="O4" i="96"/>
  <c r="J47" i="90"/>
  <c r="J35" i="90"/>
  <c r="K31" i="90" s="1"/>
  <c r="K33" i="90" s="1"/>
  <c r="CY135" i="134" l="1"/>
  <c r="CY136" i="134" s="1"/>
  <c r="CY141" i="134"/>
  <c r="CY138" i="134"/>
  <c r="CZ50" i="134"/>
  <c r="CZ137" i="134"/>
  <c r="CZ129" i="134"/>
  <c r="CZ125" i="134" s="1"/>
  <c r="CZ131" i="134" s="1"/>
  <c r="CZ127" i="134"/>
  <c r="CZ132" i="134" s="1"/>
  <c r="CY130" i="134"/>
  <c r="O30" i="96"/>
  <c r="K47" i="90"/>
  <c r="P32" i="43"/>
  <c r="P45" i="1"/>
  <c r="M46" i="1"/>
  <c r="N50" i="1"/>
  <c r="Q37" i="43" s="1"/>
  <c r="P4" i="96"/>
  <c r="K35" i="90"/>
  <c r="L31" i="90" s="1"/>
  <c r="CZ135" i="134" l="1"/>
  <c r="CZ136" i="134" s="1"/>
  <c r="CZ141" i="134"/>
  <c r="CZ138" i="134"/>
  <c r="CZ130" i="134"/>
  <c r="P30" i="96"/>
  <c r="P33" i="43"/>
  <c r="P46" i="1"/>
  <c r="M47" i="1"/>
  <c r="N51" i="1"/>
  <c r="Q38" i="43" s="1"/>
  <c r="Q4" i="96"/>
  <c r="L33" i="90"/>
  <c r="L47" i="90" s="1"/>
  <c r="Q30" i="96" l="1"/>
  <c r="P47" i="1"/>
  <c r="P34" i="43"/>
  <c r="M48" i="1"/>
  <c r="N52" i="1"/>
  <c r="Q39" i="43" s="1"/>
  <c r="R4" i="96"/>
  <c r="L35" i="90"/>
  <c r="M31" i="90" s="1"/>
  <c r="M33" i="90" s="1"/>
  <c r="M47" i="90" s="1"/>
  <c r="R30" i="96" l="1"/>
  <c r="P35" i="43"/>
  <c r="P48" i="1"/>
  <c r="M49" i="1"/>
  <c r="N53" i="1"/>
  <c r="Q40" i="43" s="1"/>
  <c r="S4" i="96"/>
  <c r="M35" i="90"/>
  <c r="N31" i="90" s="1"/>
  <c r="N33" i="90" s="1"/>
  <c r="N47" i="90" s="1"/>
  <c r="S30" i="96" l="1"/>
  <c r="P36" i="43"/>
  <c r="P49" i="1"/>
  <c r="M50" i="1"/>
  <c r="N54" i="1"/>
  <c r="Q41" i="43" s="1"/>
  <c r="N35" i="90"/>
  <c r="O31" i="90" s="1"/>
  <c r="O33" i="90" s="1"/>
  <c r="O47" i="90" s="1"/>
  <c r="T4" i="96"/>
  <c r="T30" i="96" l="1"/>
  <c r="P37" i="43"/>
  <c r="P50" i="1"/>
  <c r="M51" i="1"/>
  <c r="N55" i="1"/>
  <c r="Q42" i="43" s="1"/>
  <c r="O35" i="90"/>
  <c r="P31" i="90" s="1"/>
  <c r="P33" i="90" s="1"/>
  <c r="P47" i="90" s="1"/>
  <c r="U4" i="96"/>
  <c r="U30" i="96" l="1"/>
  <c r="P38" i="43"/>
  <c r="P51" i="1"/>
  <c r="M52" i="1"/>
  <c r="N56" i="1"/>
  <c r="Q43" i="43" s="1"/>
  <c r="V4" i="96"/>
  <c r="P35" i="90"/>
  <c r="Q31" i="90" s="1"/>
  <c r="Q33" i="90" s="1"/>
  <c r="Q47" i="90" s="1"/>
  <c r="V30" i="96" l="1"/>
  <c r="P39" i="43"/>
  <c r="P52" i="1"/>
  <c r="M53" i="1"/>
  <c r="N57" i="1"/>
  <c r="Q44" i="43" s="1"/>
  <c r="W4" i="96"/>
  <c r="Q35" i="90"/>
  <c r="R31" i="90" s="1"/>
  <c r="W30" i="96" l="1"/>
  <c r="P40" i="43"/>
  <c r="P53" i="1"/>
  <c r="M54" i="1"/>
  <c r="N58" i="1"/>
  <c r="Q45" i="43" s="1"/>
  <c r="X4" i="96"/>
  <c r="R33" i="90"/>
  <c r="R47" i="90" s="1"/>
  <c r="X30" i="96" l="1"/>
  <c r="P41" i="43"/>
  <c r="P54" i="1"/>
  <c r="M55" i="1"/>
  <c r="N59" i="1"/>
  <c r="Q46" i="43" s="1"/>
  <c r="Y4" i="96"/>
  <c r="R35" i="90"/>
  <c r="S31" i="90" s="1"/>
  <c r="Y30" i="96" l="1"/>
  <c r="P42" i="43"/>
  <c r="P55" i="1"/>
  <c r="M56" i="1"/>
  <c r="N60" i="1"/>
  <c r="Q47" i="43" s="1"/>
  <c r="Z4" i="96"/>
  <c r="S33" i="90"/>
  <c r="S47" i="90" s="1"/>
  <c r="Z30" i="96" l="1"/>
  <c r="P43" i="43"/>
  <c r="P56" i="1"/>
  <c r="M57" i="1"/>
  <c r="N61" i="1"/>
  <c r="Q48" i="43" s="1"/>
  <c r="S35" i="90"/>
  <c r="T31" i="90" s="1"/>
  <c r="T33" i="90" s="1"/>
  <c r="T47" i="90" s="1"/>
  <c r="AA4" i="96"/>
  <c r="AA30" i="96" l="1"/>
  <c r="P44" i="43"/>
  <c r="P57" i="1"/>
  <c r="M58" i="1"/>
  <c r="N62" i="1"/>
  <c r="Q49" i="43" s="1"/>
  <c r="T35" i="90"/>
  <c r="U31" i="90" s="1"/>
  <c r="U33" i="90" s="1"/>
  <c r="U47" i="90" s="1"/>
  <c r="AB4" i="96"/>
  <c r="AB30" i="96" l="1"/>
  <c r="P45" i="43"/>
  <c r="P58" i="1"/>
  <c r="M59" i="1"/>
  <c r="N63" i="1"/>
  <c r="Q50" i="43" s="1"/>
  <c r="U35" i="90"/>
  <c r="V31" i="90" s="1"/>
  <c r="V33" i="90" s="1"/>
  <c r="V47" i="90" s="1"/>
  <c r="AC4" i="96"/>
  <c r="AC30" i="96" l="1"/>
  <c r="P46" i="43"/>
  <c r="P59" i="1"/>
  <c r="M60" i="1"/>
  <c r="N64" i="1"/>
  <c r="Q51" i="43" s="1"/>
  <c r="V35" i="90"/>
  <c r="AD4" i="96"/>
  <c r="AD30" i="96" l="1"/>
  <c r="P47" i="43"/>
  <c r="P60" i="1"/>
  <c r="M61" i="1"/>
  <c r="N65" i="1"/>
  <c r="Q52" i="43" s="1"/>
  <c r="AE4" i="96"/>
  <c r="AE30" i="96" l="1"/>
  <c r="P48" i="43"/>
  <c r="P61" i="1"/>
  <c r="M62" i="1"/>
  <c r="N66" i="1"/>
  <c r="Q53" i="43" s="1"/>
  <c r="AF4" i="96"/>
  <c r="AF30" i="96" l="1"/>
  <c r="P49" i="43"/>
  <c r="P62" i="1"/>
  <c r="M63" i="1"/>
  <c r="N67" i="1"/>
  <c r="Q54" i="43" s="1"/>
  <c r="AG4" i="96"/>
  <c r="AG30" i="96" l="1"/>
  <c r="P50" i="43"/>
  <c r="P63" i="1"/>
  <c r="M64" i="1"/>
  <c r="N68" i="1"/>
  <c r="Q55" i="43" s="1"/>
  <c r="AH4" i="96"/>
  <c r="AH30" i="96" l="1"/>
  <c r="P51" i="43"/>
  <c r="P64" i="1"/>
  <c r="M65" i="1"/>
  <c r="N69" i="1"/>
  <c r="Q56" i="43" s="1"/>
  <c r="AI4" i="96"/>
  <c r="AI30" i="96" l="1"/>
  <c r="P52" i="43"/>
  <c r="P65" i="1"/>
  <c r="M66" i="1"/>
  <c r="N70" i="1"/>
  <c r="Q57" i="43" s="1"/>
  <c r="AJ4" i="96"/>
  <c r="AJ30" i="96" l="1"/>
  <c r="P53" i="43"/>
  <c r="P66" i="1"/>
  <c r="M67" i="1"/>
  <c r="N71" i="1"/>
  <c r="Q58" i="43" s="1"/>
  <c r="AK4" i="96"/>
  <c r="AK30" i="96" l="1"/>
  <c r="P54" i="43"/>
  <c r="P67" i="1"/>
  <c r="M68" i="1"/>
  <c r="N72" i="1"/>
  <c r="Q59" i="43" s="1"/>
  <c r="AL4" i="96"/>
  <c r="AL30" i="96" l="1"/>
  <c r="P55" i="43"/>
  <c r="P68" i="1"/>
  <c r="M69" i="1"/>
  <c r="N73" i="1"/>
  <c r="Q60" i="43" s="1"/>
  <c r="AM4" i="96"/>
  <c r="AM30" i="96" l="1"/>
  <c r="P56" i="43"/>
  <c r="P69" i="1"/>
  <c r="M70" i="1"/>
  <c r="N74" i="1"/>
  <c r="Q61" i="43" s="1"/>
  <c r="AN4" i="96"/>
  <c r="AN30" i="96" l="1"/>
  <c r="P57" i="43"/>
  <c r="P70" i="1"/>
  <c r="M71" i="1"/>
  <c r="N75" i="1"/>
  <c r="Q62" i="43" s="1"/>
  <c r="AO4" i="96"/>
  <c r="AO30" i="96" l="1"/>
  <c r="P58" i="43"/>
  <c r="P71" i="1"/>
  <c r="M72" i="1"/>
  <c r="N76" i="1"/>
  <c r="Q63" i="43" s="1"/>
  <c r="AP4" i="96"/>
  <c r="AP30" i="96" l="1"/>
  <c r="P59" i="43"/>
  <c r="P72" i="1"/>
  <c r="M73" i="1"/>
  <c r="N77" i="1"/>
  <c r="Q64" i="43" s="1"/>
  <c r="AQ4" i="96"/>
  <c r="AQ30" i="96" l="1"/>
  <c r="P60" i="43"/>
  <c r="P73" i="1"/>
  <c r="M74" i="1"/>
  <c r="N78" i="1"/>
  <c r="Q65" i="43" s="1"/>
  <c r="AR4" i="96"/>
  <c r="AR30" i="96" l="1"/>
  <c r="P61" i="43"/>
  <c r="P74" i="1"/>
  <c r="M75" i="1"/>
  <c r="N79" i="1"/>
  <c r="Q66" i="43" s="1"/>
  <c r="AS4" i="96"/>
  <c r="AS30" i="96" l="1"/>
  <c r="P62" i="43"/>
  <c r="P75" i="1"/>
  <c r="M76" i="1"/>
  <c r="N80" i="1"/>
  <c r="Q67" i="43" s="1"/>
  <c r="AT4" i="96"/>
  <c r="AT30" i="96" l="1"/>
  <c r="P63" i="43"/>
  <c r="P76" i="1"/>
  <c r="M77" i="1"/>
  <c r="N81" i="1"/>
  <c r="Q68" i="43" s="1"/>
  <c r="AU4" i="96"/>
  <c r="AU30" i="96" l="1"/>
  <c r="P64" i="43"/>
  <c r="P77" i="1"/>
  <c r="M78" i="1"/>
  <c r="N82" i="1"/>
  <c r="Q69" i="43" s="1"/>
  <c r="AV4" i="96"/>
  <c r="AV30" i="96" l="1"/>
  <c r="P65" i="43"/>
  <c r="P78" i="1"/>
  <c r="M79" i="1"/>
  <c r="N83" i="1"/>
  <c r="Q70" i="43" s="1"/>
  <c r="AW4" i="96"/>
  <c r="AW30" i="96" l="1"/>
  <c r="P66" i="43"/>
  <c r="P79" i="1"/>
  <c r="M80" i="1"/>
  <c r="N84" i="1"/>
  <c r="Q71" i="43" s="1"/>
  <c r="AX4" i="96"/>
  <c r="AX30" i="96" l="1"/>
  <c r="P67" i="43"/>
  <c r="P80" i="1"/>
  <c r="M81" i="1"/>
  <c r="N85" i="1"/>
  <c r="Q72" i="43" s="1"/>
  <c r="AY4" i="96"/>
  <c r="AY30" i="96" l="1"/>
  <c r="P68" i="43"/>
  <c r="P81" i="1"/>
  <c r="M82" i="1"/>
  <c r="N86" i="1"/>
  <c r="Q73" i="43" s="1"/>
  <c r="AZ4" i="96"/>
  <c r="AZ30" i="96" l="1"/>
  <c r="P69" i="43"/>
  <c r="P82" i="1"/>
  <c r="M83" i="1"/>
  <c r="N87" i="1"/>
  <c r="Q74" i="43" s="1"/>
  <c r="BA4" i="96"/>
  <c r="BA30" i="96" l="1"/>
  <c r="P70" i="43"/>
  <c r="P83" i="1"/>
  <c r="M84" i="1"/>
  <c r="N88" i="1"/>
  <c r="Q75" i="43" s="1"/>
  <c r="BB4" i="96"/>
  <c r="BB30" i="96" l="1"/>
  <c r="P71" i="43"/>
  <c r="P84" i="1"/>
  <c r="M85" i="1"/>
  <c r="N89" i="1"/>
  <c r="Q76" i="43" s="1"/>
  <c r="BC4" i="96"/>
  <c r="CY35" i="90"/>
  <c r="CX35" i="90"/>
  <c r="CW35" i="90"/>
  <c r="CV35" i="90"/>
  <c r="CU35" i="90"/>
  <c r="CT35" i="90"/>
  <c r="CS35" i="90"/>
  <c r="CR35" i="90"/>
  <c r="CQ35" i="90"/>
  <c r="CP35" i="90"/>
  <c r="CO35" i="90"/>
  <c r="CN35" i="90"/>
  <c r="CM35" i="90"/>
  <c r="CL35" i="90"/>
  <c r="CK35" i="90"/>
  <c r="CJ35" i="90"/>
  <c r="CI35" i="90"/>
  <c r="CH35" i="90"/>
  <c r="CG35" i="90"/>
  <c r="CF35" i="90"/>
  <c r="CE35" i="90"/>
  <c r="CD35" i="90"/>
  <c r="CC35" i="90"/>
  <c r="CB35" i="90"/>
  <c r="CA35" i="90"/>
  <c r="BZ35" i="90"/>
  <c r="BY35" i="90"/>
  <c r="BX35" i="90"/>
  <c r="BW35" i="90"/>
  <c r="BV35" i="90"/>
  <c r="BU35" i="90"/>
  <c r="BT35" i="90"/>
  <c r="BS35" i="90"/>
  <c r="BR35" i="90"/>
  <c r="BQ35" i="90"/>
  <c r="BP35" i="90"/>
  <c r="BO35" i="90"/>
  <c r="BN35" i="90"/>
  <c r="BM35" i="90"/>
  <c r="BL35" i="90"/>
  <c r="BK35" i="90"/>
  <c r="BJ35" i="90"/>
  <c r="CY25" i="90"/>
  <c r="CX25" i="90"/>
  <c r="CW25" i="90"/>
  <c r="CV25" i="90"/>
  <c r="CU25" i="90"/>
  <c r="CT25" i="90"/>
  <c r="CS25" i="90"/>
  <c r="CR25" i="90"/>
  <c r="CQ25" i="90"/>
  <c r="CP25" i="90"/>
  <c r="CO25" i="90"/>
  <c r="CN25" i="90"/>
  <c r="CM25" i="90"/>
  <c r="CL25" i="90"/>
  <c r="CK25" i="90"/>
  <c r="CJ25" i="90"/>
  <c r="CI25" i="90"/>
  <c r="CH25" i="90"/>
  <c r="CG25" i="90"/>
  <c r="CF25" i="90"/>
  <c r="CE25" i="90"/>
  <c r="CD25" i="90"/>
  <c r="CC25" i="90"/>
  <c r="CB25" i="90"/>
  <c r="CA25" i="90"/>
  <c r="BZ25" i="90"/>
  <c r="BY25" i="90"/>
  <c r="BX25" i="90"/>
  <c r="BW25" i="90"/>
  <c r="BV25" i="90"/>
  <c r="BU25" i="90"/>
  <c r="BT25" i="90"/>
  <c r="BS25" i="90"/>
  <c r="BR25" i="90"/>
  <c r="BQ25" i="90"/>
  <c r="BP25" i="90"/>
  <c r="BO25" i="90"/>
  <c r="BN25" i="90"/>
  <c r="BM25" i="90"/>
  <c r="BL25" i="90"/>
  <c r="BK25" i="90"/>
  <c r="BJ25" i="90"/>
  <c r="BI25" i="90"/>
  <c r="BH25" i="90"/>
  <c r="BG25" i="90"/>
  <c r="BC22" i="90"/>
  <c r="B21" i="90"/>
  <c r="E5" i="90"/>
  <c r="B22" i="90" s="1"/>
  <c r="E5" i="87"/>
  <c r="BC30" i="96" l="1"/>
  <c r="F5" i="87"/>
  <c r="G5" i="87" s="1"/>
  <c r="P72" i="43"/>
  <c r="P85" i="1"/>
  <c r="M86" i="1"/>
  <c r="N90" i="1"/>
  <c r="Q77" i="43" s="1"/>
  <c r="BD4" i="96"/>
  <c r="D18" i="90"/>
  <c r="E18" i="90" s="1"/>
  <c r="F18" i="90" s="1"/>
  <c r="G18" i="90" s="1"/>
  <c r="H18" i="90" s="1"/>
  <c r="I18" i="90" s="1"/>
  <c r="J18" i="90" s="1"/>
  <c r="K18" i="90" s="1"/>
  <c r="L18" i="90" s="1"/>
  <c r="M18" i="90" s="1"/>
  <c r="N18" i="90" s="1"/>
  <c r="O18" i="90" s="1"/>
  <c r="P18" i="90" s="1"/>
  <c r="Q18" i="90" s="1"/>
  <c r="R18" i="90" s="1"/>
  <c r="S18" i="90" s="1"/>
  <c r="T18" i="90" s="1"/>
  <c r="U18" i="90" s="1"/>
  <c r="V18" i="90" s="1"/>
  <c r="W18" i="90" s="1"/>
  <c r="X18" i="90" s="1"/>
  <c r="Y18" i="90" s="1"/>
  <c r="Z18" i="90" s="1"/>
  <c r="AA18" i="90" s="1"/>
  <c r="AB18" i="90" s="1"/>
  <c r="AC18" i="90" s="1"/>
  <c r="AD18" i="90" s="1"/>
  <c r="AE18" i="90" s="1"/>
  <c r="AF18" i="90" s="1"/>
  <c r="AG18" i="90" s="1"/>
  <c r="AH18" i="90" s="1"/>
  <c r="AI18" i="90" s="1"/>
  <c r="AJ18" i="90" s="1"/>
  <c r="AK18" i="90" s="1"/>
  <c r="AL18" i="90" s="1"/>
  <c r="AM18" i="90" s="1"/>
  <c r="AN18" i="90" s="1"/>
  <c r="AO18" i="90" s="1"/>
  <c r="AP18" i="90" s="1"/>
  <c r="AQ18" i="90" s="1"/>
  <c r="AR18" i="90" s="1"/>
  <c r="AS18" i="90" s="1"/>
  <c r="AT18" i="90" s="1"/>
  <c r="AU18" i="90" s="1"/>
  <c r="AV18" i="90" s="1"/>
  <c r="AW18" i="90" s="1"/>
  <c r="AX18" i="90" s="1"/>
  <c r="AY18" i="90" s="1"/>
  <c r="AZ18" i="90" s="1"/>
  <c r="BA18" i="90" s="1"/>
  <c r="BB18" i="90" s="1"/>
  <c r="BC18" i="90" s="1"/>
  <c r="BD18" i="90" s="1"/>
  <c r="BE18" i="90" s="1"/>
  <c r="BF18" i="90" s="1"/>
  <c r="BG18" i="90" s="1"/>
  <c r="BH18" i="90" s="1"/>
  <c r="BI18" i="90" s="1"/>
  <c r="BJ18" i="90" s="1"/>
  <c r="BK18" i="90" s="1"/>
  <c r="BL18" i="90" s="1"/>
  <c r="BM18" i="90" s="1"/>
  <c r="BN18" i="90" s="1"/>
  <c r="BO18" i="90" s="1"/>
  <c r="BP18" i="90" s="1"/>
  <c r="BQ18" i="90" s="1"/>
  <c r="BR18" i="90" s="1"/>
  <c r="BS18" i="90" s="1"/>
  <c r="BT18" i="90" s="1"/>
  <c r="BU18" i="90" s="1"/>
  <c r="BV18" i="90" s="1"/>
  <c r="BW18" i="90" s="1"/>
  <c r="BX18" i="90" s="1"/>
  <c r="BY18" i="90" s="1"/>
  <c r="BZ18" i="90" s="1"/>
  <c r="CA18" i="90" s="1"/>
  <c r="CB18" i="90" s="1"/>
  <c r="CC18" i="90" s="1"/>
  <c r="CD18" i="90" s="1"/>
  <c r="CE18" i="90" s="1"/>
  <c r="CF18" i="90" s="1"/>
  <c r="CG18" i="90" s="1"/>
  <c r="CH18" i="90" s="1"/>
  <c r="CI18" i="90" s="1"/>
  <c r="CJ18" i="90" s="1"/>
  <c r="CK18" i="90" s="1"/>
  <c r="CL18" i="90" s="1"/>
  <c r="CM18" i="90" s="1"/>
  <c r="CN18" i="90" s="1"/>
  <c r="CO18" i="90" s="1"/>
  <c r="CP18" i="90" s="1"/>
  <c r="CQ18" i="90" s="1"/>
  <c r="CR18" i="90" s="1"/>
  <c r="CS18" i="90" s="1"/>
  <c r="CT18" i="90" s="1"/>
  <c r="CU18" i="90" s="1"/>
  <c r="CV18" i="90" s="1"/>
  <c r="CW18" i="90" s="1"/>
  <c r="CX18" i="90" s="1"/>
  <c r="CY18" i="90" s="1"/>
  <c r="F5" i="90"/>
  <c r="BD30" i="96" l="1"/>
  <c r="P73" i="43"/>
  <c r="P86" i="1"/>
  <c r="M87" i="1"/>
  <c r="N91" i="1"/>
  <c r="Q78" i="43" s="1"/>
  <c r="BE4" i="96"/>
  <c r="G5" i="90"/>
  <c r="B23" i="90" s="1"/>
  <c r="H5" i="87"/>
  <c r="BE30" i="96" l="1"/>
  <c r="P74" i="43"/>
  <c r="P87" i="1"/>
  <c r="M88" i="1"/>
  <c r="N92" i="1"/>
  <c r="Q79" i="43" s="1"/>
  <c r="BF4" i="96"/>
  <c r="H5" i="90"/>
  <c r="I5" i="87"/>
  <c r="BF30" i="96" l="1"/>
  <c r="P75" i="43"/>
  <c r="P88" i="1"/>
  <c r="M89" i="1"/>
  <c r="N93" i="1"/>
  <c r="Q80" i="43" s="1"/>
  <c r="BG4" i="96"/>
  <c r="I5" i="90"/>
  <c r="B24" i="90" s="1"/>
  <c r="J5" i="87"/>
  <c r="BG30" i="96" l="1"/>
  <c r="P76" i="43"/>
  <c r="P89" i="1"/>
  <c r="M90" i="1"/>
  <c r="N94" i="1"/>
  <c r="Q81" i="43" s="1"/>
  <c r="BH4" i="96"/>
  <c r="J5" i="90"/>
  <c r="K5" i="87"/>
  <c r="BH30" i="96" l="1"/>
  <c r="P77" i="43"/>
  <c r="P90" i="1"/>
  <c r="M91" i="1"/>
  <c r="N95" i="1"/>
  <c r="Q82" i="43" s="1"/>
  <c r="BI4" i="96"/>
  <c r="K5" i="90"/>
  <c r="L5" i="87"/>
  <c r="BI30" i="96" l="1"/>
  <c r="P78" i="43"/>
  <c r="P91" i="1"/>
  <c r="M92" i="1"/>
  <c r="N96" i="1"/>
  <c r="Q83" i="43" s="1"/>
  <c r="BJ4" i="96"/>
  <c r="L5" i="90"/>
  <c r="M5" i="87"/>
  <c r="BJ30" i="96" l="1"/>
  <c r="P79" i="43"/>
  <c r="P92" i="1"/>
  <c r="M93" i="1"/>
  <c r="N97" i="1"/>
  <c r="Q84" i="43" s="1"/>
  <c r="BK4" i="96"/>
  <c r="M5" i="90"/>
  <c r="N5" i="87"/>
  <c r="BK30" i="96" l="1"/>
  <c r="P80" i="43"/>
  <c r="P93" i="1"/>
  <c r="M94" i="1"/>
  <c r="N98" i="1"/>
  <c r="Q85" i="43" s="1"/>
  <c r="BL4" i="96"/>
  <c r="N5" i="90"/>
  <c r="O5" i="87"/>
  <c r="BL30" i="96" l="1"/>
  <c r="P81" i="43"/>
  <c r="P94" i="1"/>
  <c r="M95" i="1"/>
  <c r="N99" i="1"/>
  <c r="Q86" i="43" s="1"/>
  <c r="BM4" i="96"/>
  <c r="O5" i="90"/>
  <c r="P5" i="87"/>
  <c r="BM30" i="96" l="1"/>
  <c r="P82" i="43"/>
  <c r="P95" i="1"/>
  <c r="M96" i="1"/>
  <c r="N100" i="1"/>
  <c r="Q87" i="43" s="1"/>
  <c r="BN4" i="96"/>
  <c r="P5" i="90"/>
  <c r="Q5" i="87"/>
  <c r="BN30" i="96" l="1"/>
  <c r="P83" i="43"/>
  <c r="P96" i="1"/>
  <c r="M97" i="1"/>
  <c r="N101" i="1"/>
  <c r="Q88" i="43" s="1"/>
  <c r="BO4" i="96"/>
  <c r="Q5" i="90"/>
  <c r="R5" i="87"/>
  <c r="BO30" i="96" l="1"/>
  <c r="P84" i="43"/>
  <c r="P97" i="1"/>
  <c r="M98" i="1"/>
  <c r="N102" i="1"/>
  <c r="Q89" i="43" s="1"/>
  <c r="BP4" i="96"/>
  <c r="R5" i="90"/>
  <c r="S5" i="87"/>
  <c r="BP30" i="96" l="1"/>
  <c r="P85" i="43"/>
  <c r="P98" i="1"/>
  <c r="M99" i="1"/>
  <c r="N103" i="1"/>
  <c r="Q90" i="43" s="1"/>
  <c r="BQ4" i="96"/>
  <c r="S5" i="90"/>
  <c r="T5" i="87"/>
  <c r="BQ30" i="96" l="1"/>
  <c r="P86" i="43"/>
  <c r="P99" i="1"/>
  <c r="M100" i="1"/>
  <c r="N104" i="1"/>
  <c r="Q91" i="43" s="1"/>
  <c r="BR4" i="96"/>
  <c r="T5" i="90"/>
  <c r="U5" i="87"/>
  <c r="BR30" i="96" l="1"/>
  <c r="P87" i="43"/>
  <c r="P100" i="1"/>
  <c r="M101" i="1"/>
  <c r="N105" i="1"/>
  <c r="Q92" i="43" s="1"/>
  <c r="BS4" i="96"/>
  <c r="U5" i="90"/>
  <c r="V5" i="87"/>
  <c r="BS30" i="96" l="1"/>
  <c r="P88" i="43"/>
  <c r="P101" i="1"/>
  <c r="M102" i="1"/>
  <c r="N106" i="1"/>
  <c r="Q93" i="43" s="1"/>
  <c r="BT4" i="96"/>
  <c r="V5" i="90"/>
  <c r="W5" i="87"/>
  <c r="BT30" i="96" l="1"/>
  <c r="P89" i="43"/>
  <c r="P102" i="1"/>
  <c r="M103" i="1"/>
  <c r="N107" i="1"/>
  <c r="Q94" i="43" s="1"/>
  <c r="BU4" i="96"/>
  <c r="W5" i="90"/>
  <c r="X5" i="87"/>
  <c r="BU30" i="96" l="1"/>
  <c r="P103" i="1"/>
  <c r="P90" i="43"/>
  <c r="M104" i="1"/>
  <c r="N108" i="1"/>
  <c r="Q95" i="43" s="1"/>
  <c r="BV4" i="96"/>
  <c r="W31" i="90"/>
  <c r="X5" i="90"/>
  <c r="Y5" i="87"/>
  <c r="BV30" i="96" l="1"/>
  <c r="P91" i="43"/>
  <c r="P104" i="1"/>
  <c r="M105" i="1"/>
  <c r="N109" i="1"/>
  <c r="Q96" i="43" s="1"/>
  <c r="BW4" i="96"/>
  <c r="BH33" i="90"/>
  <c r="AZ33" i="90"/>
  <c r="AR33" i="90"/>
  <c r="AJ33" i="90"/>
  <c r="BH32" i="90"/>
  <c r="AZ32" i="90"/>
  <c r="AR32" i="90"/>
  <c r="AJ32" i="90"/>
  <c r="Z32" i="90"/>
  <c r="W32" i="90"/>
  <c r="AV33" i="90"/>
  <c r="AA33" i="90"/>
  <c r="AU33" i="90"/>
  <c r="AU32" i="90"/>
  <c r="AA32" i="90"/>
  <c r="BG33" i="90"/>
  <c r="AY33" i="90"/>
  <c r="AQ33" i="90"/>
  <c r="AI33" i="90"/>
  <c r="BG32" i="90"/>
  <c r="AY32" i="90"/>
  <c r="AQ32" i="90"/>
  <c r="AI32" i="90"/>
  <c r="AB33" i="90"/>
  <c r="W33" i="90"/>
  <c r="AE33" i="90"/>
  <c r="BF33" i="90"/>
  <c r="AX33" i="90"/>
  <c r="AP33" i="90"/>
  <c r="AH33" i="90"/>
  <c r="BF32" i="90"/>
  <c r="AX32" i="90"/>
  <c r="AP32" i="90"/>
  <c r="AH32" i="90"/>
  <c r="AB32" i="90"/>
  <c r="Y33" i="90"/>
  <c r="BE33" i="90"/>
  <c r="AW33" i="90"/>
  <c r="AO33" i="90"/>
  <c r="AG33" i="90"/>
  <c r="BE32" i="90"/>
  <c r="AW32" i="90"/>
  <c r="AO32" i="90"/>
  <c r="AG32" i="90"/>
  <c r="Y32" i="90"/>
  <c r="BD33" i="90"/>
  <c r="AF33" i="90"/>
  <c r="BD32" i="90"/>
  <c r="AV32" i="90"/>
  <c r="AF32" i="90"/>
  <c r="AM33" i="90"/>
  <c r="AE32" i="90"/>
  <c r="BB33" i="90"/>
  <c r="AT33" i="90"/>
  <c r="AL33" i="90"/>
  <c r="AD33" i="90"/>
  <c r="BB32" i="90"/>
  <c r="AT32" i="90"/>
  <c r="AL32" i="90"/>
  <c r="AD32" i="90"/>
  <c r="X32" i="90"/>
  <c r="BA33" i="90"/>
  <c r="AS33" i="90"/>
  <c r="AK33" i="90"/>
  <c r="AC33" i="90"/>
  <c r="BA32" i="90"/>
  <c r="AS32" i="90"/>
  <c r="AK32" i="90"/>
  <c r="AC32" i="90"/>
  <c r="Z33" i="90"/>
  <c r="AN33" i="90"/>
  <c r="AN32" i="90"/>
  <c r="BC33" i="90"/>
  <c r="BC32" i="90"/>
  <c r="AM32" i="90"/>
  <c r="X33" i="90"/>
  <c r="Y5" i="90"/>
  <c r="Z5" i="87"/>
  <c r="AB34" i="90" l="1"/>
  <c r="AA34" i="90"/>
  <c r="BC34" i="90"/>
  <c r="W34" i="90"/>
  <c r="W47" i="90" s="1"/>
  <c r="AU34" i="90"/>
  <c r="AF34" i="90"/>
  <c r="AC34" i="90"/>
  <c r="BB34" i="90"/>
  <c r="BE34" i="90"/>
  <c r="AP34" i="90"/>
  <c r="AY34" i="90"/>
  <c r="BH34" i="90"/>
  <c r="X34" i="90"/>
  <c r="AK34" i="90"/>
  <c r="AD34" i="90"/>
  <c r="AG34" i="90"/>
  <c r="Y34" i="90"/>
  <c r="AX34" i="90"/>
  <c r="BG34" i="90"/>
  <c r="AJ34" i="90"/>
  <c r="AN34" i="90"/>
  <c r="AS34" i="90"/>
  <c r="AL34" i="90"/>
  <c r="AM34" i="90"/>
  <c r="AO34" i="90"/>
  <c r="BF34" i="90"/>
  <c r="AI34" i="90"/>
  <c r="AV34" i="90"/>
  <c r="AR34" i="90"/>
  <c r="Z34" i="90"/>
  <c r="BA34" i="90"/>
  <c r="AT34" i="90"/>
  <c r="BD34" i="90"/>
  <c r="AW34" i="90"/>
  <c r="AH34" i="90"/>
  <c r="AE34" i="90"/>
  <c r="AQ34" i="90"/>
  <c r="AZ34" i="90"/>
  <c r="BW30" i="96"/>
  <c r="P92" i="43"/>
  <c r="P105" i="1"/>
  <c r="M106" i="1"/>
  <c r="N110" i="1"/>
  <c r="Q97" i="43" s="1"/>
  <c r="BX4" i="96"/>
  <c r="W35" i="90"/>
  <c r="X31" i="90" s="1"/>
  <c r="X35" i="90" s="1"/>
  <c r="Y31" i="90" s="1"/>
  <c r="Y35" i="90" s="1"/>
  <c r="Z31" i="90" s="1"/>
  <c r="Z35" i="90" s="1"/>
  <c r="AA31" i="90" s="1"/>
  <c r="AA35" i="90" s="1"/>
  <c r="AB31" i="90" s="1"/>
  <c r="AB35" i="90" s="1"/>
  <c r="AC31" i="90" s="1"/>
  <c r="AC35" i="90" s="1"/>
  <c r="AD31" i="90" s="1"/>
  <c r="AD35" i="90" s="1"/>
  <c r="AE31" i="90" s="1"/>
  <c r="AE35" i="90" s="1"/>
  <c r="AF31" i="90" s="1"/>
  <c r="AF35" i="90" s="1"/>
  <c r="AG31" i="90" s="1"/>
  <c r="AG35" i="90" s="1"/>
  <c r="AH31" i="90" s="1"/>
  <c r="AH35" i="90" s="1"/>
  <c r="AI31" i="90" s="1"/>
  <c r="AI35" i="90" s="1"/>
  <c r="AJ31" i="90" s="1"/>
  <c r="AJ35" i="90" s="1"/>
  <c r="AK31" i="90" s="1"/>
  <c r="AK35" i="90" s="1"/>
  <c r="AL31" i="90" s="1"/>
  <c r="AL35" i="90" s="1"/>
  <c r="AM31" i="90" s="1"/>
  <c r="AM35" i="90" s="1"/>
  <c r="AN31" i="90" s="1"/>
  <c r="AN35" i="90" s="1"/>
  <c r="AO31" i="90" s="1"/>
  <c r="AO35" i="90" s="1"/>
  <c r="AP31" i="90" s="1"/>
  <c r="AP35" i="90" s="1"/>
  <c r="AQ31" i="90" s="1"/>
  <c r="AQ35" i="90" s="1"/>
  <c r="AR31" i="90" s="1"/>
  <c r="AR35" i="90" s="1"/>
  <c r="AS31" i="90" s="1"/>
  <c r="AS35" i="90" s="1"/>
  <c r="AT31" i="90" s="1"/>
  <c r="AT35" i="90" s="1"/>
  <c r="AU31" i="90" s="1"/>
  <c r="AU35" i="90" s="1"/>
  <c r="AV31" i="90" s="1"/>
  <c r="AV35" i="90" s="1"/>
  <c r="AW31" i="90" s="1"/>
  <c r="AW35" i="90" s="1"/>
  <c r="AX31" i="90" s="1"/>
  <c r="AX35" i="90" s="1"/>
  <c r="AY31" i="90" s="1"/>
  <c r="AY35" i="90" s="1"/>
  <c r="AZ31" i="90" s="1"/>
  <c r="AZ35" i="90" s="1"/>
  <c r="BA31" i="90" s="1"/>
  <c r="BA35" i="90" s="1"/>
  <c r="BB31" i="90" s="1"/>
  <c r="BB35" i="90" s="1"/>
  <c r="BC31" i="90" s="1"/>
  <c r="BC35" i="90" s="1"/>
  <c r="BD31" i="90" s="1"/>
  <c r="BD35" i="90" s="1"/>
  <c r="BE31" i="90" s="1"/>
  <c r="BE35" i="90" s="1"/>
  <c r="BF31" i="90" s="1"/>
  <c r="BF35" i="90" s="1"/>
  <c r="BG31" i="90" s="1"/>
  <c r="BG35" i="90" s="1"/>
  <c r="BH31" i="90" s="1"/>
  <c r="BH35" i="90" s="1"/>
  <c r="Z5" i="90"/>
  <c r="AA5" i="87"/>
  <c r="BX30" i="96" l="1"/>
  <c r="X47" i="90"/>
  <c r="Y47" i="90" s="1"/>
  <c r="Z47" i="90" s="1"/>
  <c r="AA47" i="90" s="1"/>
  <c r="AB47" i="90" s="1"/>
  <c r="AC47" i="90" s="1"/>
  <c r="AD47" i="90" s="1"/>
  <c r="AE47" i="90" s="1"/>
  <c r="AF47" i="90" s="1"/>
  <c r="AG47" i="90" s="1"/>
  <c r="AH47" i="90" s="1"/>
  <c r="AI47" i="90" s="1"/>
  <c r="AJ47" i="90" s="1"/>
  <c r="AK47" i="90" s="1"/>
  <c r="AL47" i="90" s="1"/>
  <c r="AM47" i="90" s="1"/>
  <c r="AN47" i="90" s="1"/>
  <c r="AO47" i="90" s="1"/>
  <c r="AP47" i="90" s="1"/>
  <c r="AQ47" i="90" s="1"/>
  <c r="AR47" i="90" s="1"/>
  <c r="AS47" i="90" s="1"/>
  <c r="AT47" i="90" s="1"/>
  <c r="AU47" i="90" s="1"/>
  <c r="AV47" i="90" s="1"/>
  <c r="AW47" i="90" s="1"/>
  <c r="AX47" i="90" s="1"/>
  <c r="AY47" i="90" s="1"/>
  <c r="AZ47" i="90" s="1"/>
  <c r="BA47" i="90" s="1"/>
  <c r="BB47" i="90" s="1"/>
  <c r="BC47" i="90" s="1"/>
  <c r="BD47" i="90" s="1"/>
  <c r="BE47" i="90" s="1"/>
  <c r="BF47" i="90" s="1"/>
  <c r="BG47" i="90" s="1"/>
  <c r="BH47" i="90" s="1"/>
  <c r="P93" i="43"/>
  <c r="P106" i="1"/>
  <c r="M107" i="1"/>
  <c r="N111" i="1"/>
  <c r="BY4" i="96"/>
  <c r="AA5" i="90"/>
  <c r="AB5" i="87"/>
  <c r="BY30" i="96" l="1"/>
  <c r="P94" i="43"/>
  <c r="P107" i="1"/>
  <c r="M108" i="1"/>
  <c r="N112" i="1"/>
  <c r="BZ4" i="96"/>
  <c r="AB5" i="90"/>
  <c r="AC5" i="87"/>
  <c r="BZ30" i="96" l="1"/>
  <c r="P95" i="43"/>
  <c r="P108" i="1"/>
  <c r="M109" i="1"/>
  <c r="N113" i="1"/>
  <c r="CA4" i="96"/>
  <c r="AC5" i="90"/>
  <c r="AD5" i="87"/>
  <c r="CA30" i="96" l="1"/>
  <c r="P96" i="43"/>
  <c r="P109" i="1"/>
  <c r="M110" i="1"/>
  <c r="N114" i="1"/>
  <c r="CB4" i="96"/>
  <c r="AD5" i="90"/>
  <c r="AE5" i="87"/>
  <c r="CB30" i="96" l="1"/>
  <c r="P97" i="43"/>
  <c r="P110" i="1"/>
  <c r="M111" i="1"/>
  <c r="N115" i="1"/>
  <c r="CC4" i="96"/>
  <c r="AE5" i="90"/>
  <c r="AF5" i="87"/>
  <c r="CC30" i="96" l="1"/>
  <c r="P111" i="1"/>
  <c r="M112" i="1"/>
  <c r="N116" i="1"/>
  <c r="N117" i="1" s="1"/>
  <c r="N118" i="1" s="1"/>
  <c r="N119" i="1" s="1"/>
  <c r="N120" i="1" s="1"/>
  <c r="N121" i="1" s="1"/>
  <c r="N122" i="1" s="1"/>
  <c r="N123" i="1" s="1"/>
  <c r="N124" i="1" s="1"/>
  <c r="CD4" i="96"/>
  <c r="AF5" i="90"/>
  <c r="AG5" i="87"/>
  <c r="CD30" i="96" l="1"/>
  <c r="P112" i="1"/>
  <c r="M113" i="1"/>
  <c r="M114" i="1" s="1"/>
  <c r="M115" i="1" s="1"/>
  <c r="CE4" i="96"/>
  <c r="AG5" i="90"/>
  <c r="AH5" i="87"/>
  <c r="CE30" i="96" l="1"/>
  <c r="M116" i="1"/>
  <c r="M117" i="1" s="1"/>
  <c r="M118" i="1" s="1"/>
  <c r="M119" i="1" s="1"/>
  <c r="M120" i="1" s="1"/>
  <c r="M121" i="1" s="1"/>
  <c r="M122" i="1" s="1"/>
  <c r="M123" i="1" s="1"/>
  <c r="M124" i="1" s="1"/>
  <c r="CF4" i="96"/>
  <c r="AH5" i="90"/>
  <c r="AI5" i="87"/>
  <c r="CF30" i="96" l="1"/>
  <c r="CG4" i="96"/>
  <c r="AI5" i="90"/>
  <c r="AJ5" i="87"/>
  <c r="CG30" i="96" l="1"/>
  <c r="CH4" i="96"/>
  <c r="AJ5" i="90"/>
  <c r="AK5" i="87"/>
  <c r="CH30" i="96" l="1"/>
  <c r="CI4" i="96"/>
  <c r="AK5" i="90"/>
  <c r="AL5" i="87"/>
  <c r="CI30" i="96" l="1"/>
  <c r="CJ4" i="96"/>
  <c r="AL5" i="90"/>
  <c r="AM5" i="87"/>
  <c r="CJ30" i="96" l="1"/>
  <c r="CK4" i="96"/>
  <c r="AM5" i="90"/>
  <c r="AN5" i="87"/>
  <c r="CK30" i="96" l="1"/>
  <c r="CL4" i="96"/>
  <c r="AN5" i="90"/>
  <c r="AO5" i="87"/>
  <c r="CL30" i="96" l="1"/>
  <c r="CM4" i="96"/>
  <c r="AO5" i="90"/>
  <c r="AP5" i="87"/>
  <c r="CM30" i="96" l="1"/>
  <c r="CN4" i="96"/>
  <c r="AP5" i="90"/>
  <c r="AQ5" i="87"/>
  <c r="CN30" i="96" l="1"/>
  <c r="CO4" i="96"/>
  <c r="AQ5" i="90"/>
  <c r="AR5" i="87"/>
  <c r="CO30" i="96" l="1"/>
  <c r="CP4" i="96"/>
  <c r="AR5" i="90"/>
  <c r="AS5" i="87"/>
  <c r="CP30" i="96" l="1"/>
  <c r="CQ4" i="96"/>
  <c r="AS5" i="90"/>
  <c r="AT5" i="87"/>
  <c r="CQ30" i="96" l="1"/>
  <c r="CR4" i="96"/>
  <c r="AT5" i="90"/>
  <c r="AU5" i="87"/>
  <c r="CR30" i="96" l="1"/>
  <c r="CS4" i="96"/>
  <c r="AU5" i="90"/>
  <c r="AV5" i="87"/>
  <c r="CS30" i="96" l="1"/>
  <c r="CT4" i="96"/>
  <c r="AV5" i="90"/>
  <c r="AW5" i="87"/>
  <c r="CT30" i="96" l="1"/>
  <c r="CU4" i="96"/>
  <c r="AW5" i="90"/>
  <c r="AX5" i="87"/>
  <c r="CU30" i="96" l="1"/>
  <c r="CV4" i="96"/>
  <c r="AX5" i="90"/>
  <c r="AY5" i="87"/>
  <c r="CV30" i="96" l="1"/>
  <c r="CW4" i="96"/>
  <c r="AY5" i="90"/>
  <c r="AZ5" i="87"/>
  <c r="CW30" i="96" l="1"/>
  <c r="CX4" i="96"/>
  <c r="AZ5" i="90"/>
  <c r="BA5" i="87"/>
  <c r="BB5" i="87" s="1"/>
  <c r="BC5" i="87" l="1"/>
  <c r="CX30" i="96"/>
  <c r="CY4" i="96"/>
  <c r="BA5" i="90"/>
  <c r="BD5" i="87" l="1"/>
  <c r="CY30" i="96"/>
  <c r="CZ4" i="96"/>
  <c r="BB5" i="90"/>
  <c r="BC5" i="90" s="1"/>
  <c r="BD5" i="90" s="1"/>
  <c r="BE5" i="90" s="1"/>
  <c r="BF5" i="90" s="1"/>
  <c r="BG5" i="90" s="1"/>
  <c r="BH5" i="90" s="1"/>
  <c r="BI5" i="90" s="1"/>
  <c r="BJ5" i="90" s="1"/>
  <c r="BK5" i="90" s="1"/>
  <c r="BL5" i="90" s="1"/>
  <c r="BM5" i="90" s="1"/>
  <c r="BN5" i="90" s="1"/>
  <c r="BO5" i="90" s="1"/>
  <c r="BP5" i="90" s="1"/>
  <c r="BQ5" i="90" s="1"/>
  <c r="BR5" i="90" s="1"/>
  <c r="BS5" i="90" s="1"/>
  <c r="BT5" i="90" s="1"/>
  <c r="BU5" i="90" s="1"/>
  <c r="BV5" i="90" s="1"/>
  <c r="BW5" i="90" s="1"/>
  <c r="BX5" i="90" s="1"/>
  <c r="BY5" i="90" s="1"/>
  <c r="BZ5" i="90" s="1"/>
  <c r="CA5" i="90" s="1"/>
  <c r="CB5" i="90" s="1"/>
  <c r="CC5" i="90" s="1"/>
  <c r="CD5" i="90" s="1"/>
  <c r="CE5" i="90" s="1"/>
  <c r="CF5" i="90" s="1"/>
  <c r="CG5" i="90" s="1"/>
  <c r="CH5" i="90" s="1"/>
  <c r="CI5" i="90" s="1"/>
  <c r="CJ5" i="90" s="1"/>
  <c r="CK5" i="90" s="1"/>
  <c r="CL5" i="90" s="1"/>
  <c r="CM5" i="90" s="1"/>
  <c r="CN5" i="90" s="1"/>
  <c r="CO5" i="90" s="1"/>
  <c r="CP5" i="90" s="1"/>
  <c r="CQ5" i="90" s="1"/>
  <c r="CR5" i="90" s="1"/>
  <c r="CS5" i="90" s="1"/>
  <c r="CT5" i="90" s="1"/>
  <c r="CU5" i="90" s="1"/>
  <c r="CV5" i="90" s="1"/>
  <c r="CW5" i="90" s="1"/>
  <c r="CX5" i="90" s="1"/>
  <c r="CY5" i="90" s="1"/>
  <c r="BE5" i="87" l="1"/>
  <c r="CZ30" i="96"/>
  <c r="BF5" i="87" l="1"/>
  <c r="BI33" i="90"/>
  <c r="BG5" i="87" l="1"/>
  <c r="BI35" i="90"/>
  <c r="BH5" i="87" l="1"/>
  <c r="F46" i="43"/>
  <c r="BI5" i="87" l="1"/>
  <c r="AH9" i="17"/>
  <c r="AG9" i="17"/>
  <c r="AF9" i="17"/>
  <c r="Z10" i="17" a="1"/>
  <c r="Z11" i="17" s="1"/>
  <c r="BJ5" i="87" l="1"/>
  <c r="F25" i="1"/>
  <c r="F30" i="1"/>
  <c r="F26" i="1"/>
  <c r="F28" i="1"/>
  <c r="F31" i="1"/>
  <c r="F27" i="1"/>
  <c r="F29" i="1"/>
  <c r="Z54" i="17"/>
  <c r="Z50" i="17"/>
  <c r="Z46" i="17"/>
  <c r="Z42" i="17"/>
  <c r="Z38" i="17"/>
  <c r="Z34" i="17"/>
  <c r="Z30" i="17"/>
  <c r="Z26" i="17"/>
  <c r="Z22" i="17"/>
  <c r="Z18" i="17"/>
  <c r="Z14" i="17"/>
  <c r="Z10" i="17"/>
  <c r="Z57" i="17"/>
  <c r="Z53" i="17"/>
  <c r="Z49" i="17"/>
  <c r="Z45" i="17"/>
  <c r="Z41" i="17"/>
  <c r="Z37" i="17"/>
  <c r="Z33" i="17"/>
  <c r="Z29" i="17"/>
  <c r="Z25" i="17"/>
  <c r="Z21" i="17"/>
  <c r="Z17" i="17"/>
  <c r="Z13" i="17"/>
  <c r="Z56" i="17"/>
  <c r="Z52" i="17"/>
  <c r="Z48" i="17"/>
  <c r="Z44" i="17"/>
  <c r="Z40" i="17"/>
  <c r="Z36" i="17"/>
  <c r="Z32" i="17"/>
  <c r="Z28" i="17"/>
  <c r="Z24" i="17"/>
  <c r="Z20" i="17"/>
  <c r="Z16" i="17"/>
  <c r="Z12" i="17"/>
  <c r="Z55" i="17"/>
  <c r="Z51" i="17"/>
  <c r="Z47" i="17"/>
  <c r="Z43" i="17"/>
  <c r="Z39" i="17"/>
  <c r="Z35" i="17"/>
  <c r="Z31" i="17"/>
  <c r="Z27" i="17"/>
  <c r="Z23" i="17"/>
  <c r="Z19" i="17"/>
  <c r="Z15" i="17"/>
  <c r="BK5" i="87" l="1"/>
  <c r="G5" i="25"/>
  <c r="A66" i="43"/>
  <c r="A16" i="43"/>
  <c r="A15" i="43"/>
  <c r="A14" i="43"/>
  <c r="Y79" i="1"/>
  <c r="F36" i="43"/>
  <c r="F37" i="43"/>
  <c r="F38" i="43"/>
  <c r="F39" i="43"/>
  <c r="F40" i="43"/>
  <c r="F41" i="43"/>
  <c r="F42" i="43"/>
  <c r="F43" i="43"/>
  <c r="F44" i="43"/>
  <c r="F45" i="43"/>
  <c r="F47" i="43"/>
  <c r="F48" i="43"/>
  <c r="F49" i="43"/>
  <c r="F50" i="43"/>
  <c r="F51" i="43"/>
  <c r="F52" i="43"/>
  <c r="F53" i="43"/>
  <c r="F54" i="43"/>
  <c r="F55" i="43"/>
  <c r="F56" i="43"/>
  <c r="F57" i="43"/>
  <c r="F58" i="43"/>
  <c r="F59" i="43"/>
  <c r="F60" i="43"/>
  <c r="F61" i="43"/>
  <c r="F62" i="43"/>
  <c r="F63" i="43"/>
  <c r="F64" i="43"/>
  <c r="F65" i="43"/>
  <c r="F66" i="43"/>
  <c r="G4" i="25"/>
  <c r="G3" i="25"/>
  <c r="O7" i="43" s="1"/>
  <c r="BL5" i="87" l="1"/>
  <c r="C24" i="90"/>
  <c r="C22" i="90"/>
  <c r="C21" i="90"/>
  <c r="C23" i="90"/>
  <c r="R14" i="43"/>
  <c r="S14" i="43" s="1"/>
  <c r="H11" i="43"/>
  <c r="H79" i="1"/>
  <c r="H71" i="1"/>
  <c r="H63" i="1"/>
  <c r="H55" i="1"/>
  <c r="H78" i="1"/>
  <c r="H70" i="1"/>
  <c r="H62" i="1"/>
  <c r="H54" i="1"/>
  <c r="H77" i="1"/>
  <c r="H73" i="1"/>
  <c r="H69" i="1"/>
  <c r="H65" i="1"/>
  <c r="H61" i="1"/>
  <c r="H57" i="1"/>
  <c r="H53" i="1"/>
  <c r="H75" i="1"/>
  <c r="H67" i="1"/>
  <c r="H59" i="1"/>
  <c r="H51" i="1"/>
  <c r="H74" i="1"/>
  <c r="H66" i="1"/>
  <c r="H58" i="1"/>
  <c r="H50" i="1"/>
  <c r="H76" i="1"/>
  <c r="H72" i="1"/>
  <c r="H68" i="1"/>
  <c r="H64" i="1"/>
  <c r="H60" i="1"/>
  <c r="H56" i="1"/>
  <c r="H52" i="1"/>
  <c r="V114" i="1"/>
  <c r="Y74" i="1"/>
  <c r="Z74" i="1" s="1"/>
  <c r="O6" i="43"/>
  <c r="Y75" i="1"/>
  <c r="Z79" i="1"/>
  <c r="Y78" i="1"/>
  <c r="Y44" i="1"/>
  <c r="Y77" i="1"/>
  <c r="Y76" i="1"/>
  <c r="O8" i="43"/>
  <c r="Z66" i="43"/>
  <c r="A67" i="43"/>
  <c r="BM5" i="87" l="1"/>
  <c r="BC23" i="90"/>
  <c r="Q23" i="90"/>
  <c r="U23" i="90"/>
  <c r="Y23" i="90"/>
  <c r="AC23" i="90"/>
  <c r="AG23" i="90"/>
  <c r="AK23" i="90"/>
  <c r="AO23" i="90"/>
  <c r="AS23" i="90"/>
  <c r="AW23" i="90"/>
  <c r="BA23" i="90"/>
  <c r="K23" i="90"/>
  <c r="O23" i="90"/>
  <c r="G23" i="90"/>
  <c r="W23" i="90"/>
  <c r="AE23" i="90"/>
  <c r="AM23" i="90"/>
  <c r="AU23" i="90"/>
  <c r="H23" i="90"/>
  <c r="T23" i="90"/>
  <c r="AB23" i="90"/>
  <c r="AJ23" i="90"/>
  <c r="BD23" i="90"/>
  <c r="R23" i="90"/>
  <c r="V23" i="90"/>
  <c r="Z23" i="90"/>
  <c r="AD23" i="90"/>
  <c r="AH23" i="90"/>
  <c r="AL23" i="90"/>
  <c r="AP23" i="90"/>
  <c r="AT23" i="90"/>
  <c r="AX23" i="90"/>
  <c r="BB23" i="90"/>
  <c r="L23" i="90"/>
  <c r="P23" i="90"/>
  <c r="S23" i="90"/>
  <c r="AA23" i="90"/>
  <c r="AI23" i="90"/>
  <c r="AQ23" i="90"/>
  <c r="AY23" i="90"/>
  <c r="M23" i="90"/>
  <c r="X23" i="90"/>
  <c r="AF23" i="90"/>
  <c r="AN23" i="90"/>
  <c r="AR23" i="90"/>
  <c r="J23" i="90"/>
  <c r="AV23" i="90"/>
  <c r="N23" i="90"/>
  <c r="AZ23" i="90"/>
  <c r="I23" i="90"/>
  <c r="S22" i="90"/>
  <c r="W22" i="90"/>
  <c r="AA22" i="90"/>
  <c r="AE22" i="90"/>
  <c r="AI22" i="90"/>
  <c r="AM22" i="90"/>
  <c r="AQ22" i="90"/>
  <c r="AU22" i="90"/>
  <c r="AY22" i="90"/>
  <c r="J22" i="90"/>
  <c r="N22" i="90"/>
  <c r="I22" i="90"/>
  <c r="Q22" i="90"/>
  <c r="Y22" i="90"/>
  <c r="AC22" i="90"/>
  <c r="AK22" i="90"/>
  <c r="AS22" i="90"/>
  <c r="BA22" i="90"/>
  <c r="L22" i="90"/>
  <c r="R22" i="90"/>
  <c r="Z22" i="90"/>
  <c r="AH22" i="90"/>
  <c r="AP22" i="90"/>
  <c r="AX22" i="90"/>
  <c r="T22" i="90"/>
  <c r="X22" i="90"/>
  <c r="AB22" i="90"/>
  <c r="AF22" i="90"/>
  <c r="AJ22" i="90"/>
  <c r="AN22" i="90"/>
  <c r="AR22" i="90"/>
  <c r="AV22" i="90"/>
  <c r="AZ22" i="90"/>
  <c r="K22" i="90"/>
  <c r="O22" i="90"/>
  <c r="F22" i="90"/>
  <c r="E22" i="90"/>
  <c r="U22" i="90"/>
  <c r="AG22" i="90"/>
  <c r="AO22" i="90"/>
  <c r="AW22" i="90"/>
  <c r="P22" i="90"/>
  <c r="G22" i="90"/>
  <c r="V22" i="90"/>
  <c r="AD22" i="90"/>
  <c r="AL22" i="90"/>
  <c r="AT22" i="90"/>
  <c r="BB22" i="90"/>
  <c r="M22" i="90"/>
  <c r="H22" i="90"/>
  <c r="J21" i="90"/>
  <c r="N21" i="90"/>
  <c r="R21" i="90"/>
  <c r="V21" i="90"/>
  <c r="Z21" i="90"/>
  <c r="AD21" i="90"/>
  <c r="AH21" i="90"/>
  <c r="AL21" i="90"/>
  <c r="AP21" i="90"/>
  <c r="AT21" i="90"/>
  <c r="AX21" i="90"/>
  <c r="G21" i="90"/>
  <c r="P21" i="90"/>
  <c r="X21" i="90"/>
  <c r="AF21" i="90"/>
  <c r="AN21" i="90"/>
  <c r="AV21" i="90"/>
  <c r="E21" i="90"/>
  <c r="K21" i="90"/>
  <c r="O21" i="90"/>
  <c r="S21" i="90"/>
  <c r="W21" i="90"/>
  <c r="AA21" i="90"/>
  <c r="AE21" i="90"/>
  <c r="AI21" i="90"/>
  <c r="AM21" i="90"/>
  <c r="AQ21" i="90"/>
  <c r="AU21" i="90"/>
  <c r="AY21" i="90"/>
  <c r="H21" i="90"/>
  <c r="L21" i="90"/>
  <c r="T21" i="90"/>
  <c r="AB21" i="90"/>
  <c r="AJ21" i="90"/>
  <c r="AR21" i="90"/>
  <c r="AZ21" i="90"/>
  <c r="I21" i="90"/>
  <c r="M21" i="90"/>
  <c r="AC21" i="90"/>
  <c r="AS21" i="90"/>
  <c r="F21" i="90"/>
  <c r="Q21" i="90"/>
  <c r="AG21" i="90"/>
  <c r="AW21" i="90"/>
  <c r="D21" i="90"/>
  <c r="D25" i="90" s="1"/>
  <c r="U21" i="90"/>
  <c r="AK21" i="90"/>
  <c r="BA21" i="90"/>
  <c r="Y21" i="90"/>
  <c r="AO21" i="90"/>
  <c r="L24" i="90"/>
  <c r="P24" i="90"/>
  <c r="T24" i="90"/>
  <c r="X24" i="90"/>
  <c r="AB24" i="90"/>
  <c r="AF24" i="90"/>
  <c r="AJ24" i="90"/>
  <c r="AN24" i="90"/>
  <c r="AR24" i="90"/>
  <c r="AV24" i="90"/>
  <c r="AZ24" i="90"/>
  <c r="BD24" i="90"/>
  <c r="J24" i="90"/>
  <c r="R24" i="90"/>
  <c r="Z24" i="90"/>
  <c r="AH24" i="90"/>
  <c r="AP24" i="90"/>
  <c r="AX24" i="90"/>
  <c r="BF24" i="90"/>
  <c r="BF25" i="90" s="1"/>
  <c r="M24" i="90"/>
  <c r="Q24" i="90"/>
  <c r="U24" i="90"/>
  <c r="Y24" i="90"/>
  <c r="AC24" i="90"/>
  <c r="AG24" i="90"/>
  <c r="AK24" i="90"/>
  <c r="AO24" i="90"/>
  <c r="AS24" i="90"/>
  <c r="AW24" i="90"/>
  <c r="BA24" i="90"/>
  <c r="BE24" i="90"/>
  <c r="BE25" i="90" s="1"/>
  <c r="N24" i="90"/>
  <c r="V24" i="90"/>
  <c r="AD24" i="90"/>
  <c r="AL24" i="90"/>
  <c r="AT24" i="90"/>
  <c r="BB24" i="90"/>
  <c r="O24" i="90"/>
  <c r="AE24" i="90"/>
  <c r="AU24" i="90"/>
  <c r="S24" i="90"/>
  <c r="AI24" i="90"/>
  <c r="AY24" i="90"/>
  <c r="W24" i="90"/>
  <c r="AM24" i="90"/>
  <c r="BC24" i="90"/>
  <c r="K24" i="90"/>
  <c r="AA24" i="90"/>
  <c r="AQ24" i="90"/>
  <c r="I24" i="90"/>
  <c r="R15" i="43"/>
  <c r="S15" i="43" s="1"/>
  <c r="Z77" i="1"/>
  <c r="Z75" i="1"/>
  <c r="Z78" i="1"/>
  <c r="Z76" i="1"/>
  <c r="A68" i="43"/>
  <c r="Z67" i="43"/>
  <c r="BN5" i="87" l="1"/>
  <c r="X14" i="43"/>
  <c r="AC25" i="90"/>
  <c r="AA25" i="90"/>
  <c r="BD25" i="90"/>
  <c r="AW25" i="90"/>
  <c r="AS25" i="90"/>
  <c r="AZ25" i="90"/>
  <c r="T25" i="90"/>
  <c r="AU25" i="90"/>
  <c r="AE25" i="90"/>
  <c r="AN25" i="90"/>
  <c r="G25" i="90"/>
  <c r="AL25" i="90"/>
  <c r="V25" i="90"/>
  <c r="F25" i="90"/>
  <c r="O25" i="90"/>
  <c r="AG25" i="90"/>
  <c r="AR25" i="90"/>
  <c r="AQ25" i="90"/>
  <c r="K25" i="90"/>
  <c r="AX25" i="90"/>
  <c r="AH25" i="90"/>
  <c r="AO25" i="90"/>
  <c r="U25" i="90"/>
  <c r="Q25" i="90"/>
  <c r="M25" i="90"/>
  <c r="AJ25" i="90"/>
  <c r="H25" i="90"/>
  <c r="AM25" i="90"/>
  <c r="W25" i="90"/>
  <c r="E25" i="90"/>
  <c r="X25" i="90"/>
  <c r="AT25" i="90"/>
  <c r="AD25" i="90"/>
  <c r="N25" i="90"/>
  <c r="BB25" i="90"/>
  <c r="BA25" i="90"/>
  <c r="AK25" i="90"/>
  <c r="L25" i="90"/>
  <c r="AF25" i="90"/>
  <c r="R25" i="90"/>
  <c r="Y25" i="90"/>
  <c r="I25" i="90"/>
  <c r="AB25" i="90"/>
  <c r="AY25" i="90"/>
  <c r="AI25" i="90"/>
  <c r="S25" i="90"/>
  <c r="AV25" i="90"/>
  <c r="P25" i="90"/>
  <c r="AP25" i="90"/>
  <c r="Z25" i="90"/>
  <c r="J25" i="90"/>
  <c r="BC25" i="90"/>
  <c r="R16" i="43"/>
  <c r="S16" i="43" s="1"/>
  <c r="A69" i="43"/>
  <c r="Z68" i="43"/>
  <c r="BO5" i="87" l="1"/>
  <c r="X15" i="43"/>
  <c r="A70" i="43"/>
  <c r="Z69" i="43"/>
  <c r="BP5" i="87" l="1"/>
  <c r="X16" i="43"/>
  <c r="A71" i="43"/>
  <c r="Z70" i="43"/>
  <c r="BQ5" i="87" l="1"/>
  <c r="A72" i="43"/>
  <c r="Z71" i="43"/>
  <c r="A73" i="43" l="1"/>
  <c r="Z72" i="43"/>
  <c r="A74" i="43" l="1"/>
  <c r="Z73" i="43"/>
  <c r="A75" i="43" l="1"/>
  <c r="Z74" i="43"/>
  <c r="A76" i="43" l="1"/>
  <c r="Z75" i="43"/>
  <c r="A77" i="43" l="1"/>
  <c r="Z76" i="43"/>
  <c r="A78" i="43" l="1"/>
  <c r="Z77" i="43"/>
  <c r="A79" i="43" l="1"/>
  <c r="Z78" i="43"/>
  <c r="A80" i="43" l="1"/>
  <c r="Z79" i="43"/>
  <c r="A81" i="43" l="1"/>
  <c r="Z80" i="43"/>
  <c r="A82" i="43" l="1"/>
  <c r="Z81" i="43"/>
  <c r="A83" i="43" l="1"/>
  <c r="Z82" i="43"/>
  <c r="A84" i="43" l="1"/>
  <c r="Z83" i="43"/>
  <c r="A85" i="43" l="1"/>
  <c r="Z84" i="43"/>
  <c r="A86" i="43" l="1"/>
  <c r="Z85" i="43"/>
  <c r="A87" i="43" l="1"/>
  <c r="Z86" i="43"/>
  <c r="A88" i="43" l="1"/>
  <c r="Z87" i="43"/>
  <c r="F7" i="35"/>
  <c r="F19" i="35" s="1"/>
  <c r="F51" i="35" s="1"/>
  <c r="D7" i="35"/>
  <c r="D19" i="35" s="1"/>
  <c r="D51" i="35" s="1"/>
  <c r="E7" i="35"/>
  <c r="E19" i="35" s="1"/>
  <c r="E51" i="35" s="1"/>
  <c r="I7" i="35" l="1"/>
  <c r="I19" i="35" s="1"/>
  <c r="I51" i="35" s="1"/>
  <c r="Q7" i="35"/>
  <c r="Q19" i="35" s="1"/>
  <c r="Q51" i="35" s="1"/>
  <c r="Y7" i="35"/>
  <c r="Y19" i="35" s="1"/>
  <c r="Y51" i="35" s="1"/>
  <c r="AG7" i="35"/>
  <c r="AG19" i="35" s="1"/>
  <c r="AG51" i="35" s="1"/>
  <c r="AO7" i="35"/>
  <c r="AO19" i="35" s="1"/>
  <c r="AO51" i="35" s="1"/>
  <c r="AW7" i="35"/>
  <c r="AW19" i="35" s="1"/>
  <c r="AW51" i="35" s="1"/>
  <c r="BE7" i="35"/>
  <c r="BE19" i="35" s="1"/>
  <c r="BE51" i="35" s="1"/>
  <c r="BM7" i="35"/>
  <c r="BM19" i="35" s="1"/>
  <c r="BM51" i="35" s="1"/>
  <c r="BU7" i="35"/>
  <c r="BU19" i="35" s="1"/>
  <c r="BU51" i="35" s="1"/>
  <c r="CC7" i="35"/>
  <c r="CC19" i="35" s="1"/>
  <c r="CC51" i="35" s="1"/>
  <c r="N7" i="35"/>
  <c r="N19" i="35" s="1"/>
  <c r="N51" i="35" s="1"/>
  <c r="V7" i="35"/>
  <c r="V19" i="35" s="1"/>
  <c r="V51" i="35" s="1"/>
  <c r="AD7" i="35"/>
  <c r="AD19" i="35" s="1"/>
  <c r="AD51" i="35" s="1"/>
  <c r="AL7" i="35"/>
  <c r="AL19" i="35" s="1"/>
  <c r="AL51" i="35" s="1"/>
  <c r="AT7" i="35"/>
  <c r="AT19" i="35" s="1"/>
  <c r="AT51" i="35" s="1"/>
  <c r="BB7" i="35"/>
  <c r="BB19" i="35" s="1"/>
  <c r="BB51" i="35" s="1"/>
  <c r="BJ7" i="35"/>
  <c r="BJ19" i="35" s="1"/>
  <c r="BJ51" i="35" s="1"/>
  <c r="BR7" i="35"/>
  <c r="BR19" i="35" s="1"/>
  <c r="BR51" i="35" s="1"/>
  <c r="BZ7" i="35"/>
  <c r="BZ19" i="35" s="1"/>
  <c r="BZ51" i="35" s="1"/>
  <c r="CH7" i="35"/>
  <c r="CH19" i="35" s="1"/>
  <c r="CH51" i="35" s="1"/>
  <c r="K7" i="35"/>
  <c r="K19" i="35" s="1"/>
  <c r="K51" i="35" s="1"/>
  <c r="S7" i="35"/>
  <c r="S19" i="35" s="1"/>
  <c r="S51" i="35" s="1"/>
  <c r="AA7" i="35"/>
  <c r="AA19" i="35" s="1"/>
  <c r="AA51" i="35" s="1"/>
  <c r="AI7" i="35"/>
  <c r="AI19" i="35" s="1"/>
  <c r="AI51" i="35" s="1"/>
  <c r="AQ7" i="35"/>
  <c r="AQ19" i="35" s="1"/>
  <c r="AQ51" i="35" s="1"/>
  <c r="AY7" i="35"/>
  <c r="AY19" i="35" s="1"/>
  <c r="AY51" i="35" s="1"/>
  <c r="BG7" i="35"/>
  <c r="BG19" i="35" s="1"/>
  <c r="BG51" i="35" s="1"/>
  <c r="BO7" i="35"/>
  <c r="BO19" i="35" s="1"/>
  <c r="BO51" i="35" s="1"/>
  <c r="BW7" i="35"/>
  <c r="BW19" i="35" s="1"/>
  <c r="BW51" i="35" s="1"/>
  <c r="CE7" i="35"/>
  <c r="CE19" i="35" s="1"/>
  <c r="CE51" i="35" s="1"/>
  <c r="H7" i="35"/>
  <c r="H19" i="35" s="1"/>
  <c r="P7" i="35"/>
  <c r="P19" i="35" s="1"/>
  <c r="P51" i="35" s="1"/>
  <c r="X7" i="35"/>
  <c r="X19" i="35" s="1"/>
  <c r="X51" i="35" s="1"/>
  <c r="AF7" i="35"/>
  <c r="AF19" i="35" s="1"/>
  <c r="AF51" i="35" s="1"/>
  <c r="AN7" i="35"/>
  <c r="AN19" i="35" s="1"/>
  <c r="AN51" i="35" s="1"/>
  <c r="AV7" i="35"/>
  <c r="AV19" i="35" s="1"/>
  <c r="AV51" i="35" s="1"/>
  <c r="BD7" i="35"/>
  <c r="BD19" i="35" s="1"/>
  <c r="BD51" i="35" s="1"/>
  <c r="BL7" i="35"/>
  <c r="BL19" i="35" s="1"/>
  <c r="BL51" i="35" s="1"/>
  <c r="BT7" i="35"/>
  <c r="BT19" i="35" s="1"/>
  <c r="BT51" i="35" s="1"/>
  <c r="CB7" i="35"/>
  <c r="CB19" i="35" s="1"/>
  <c r="CB51" i="35" s="1"/>
  <c r="G7" i="35"/>
  <c r="G19" i="35" s="1"/>
  <c r="G51" i="35" s="1"/>
  <c r="O7" i="35"/>
  <c r="O19" i="35" s="1"/>
  <c r="O51" i="35" s="1"/>
  <c r="W7" i="35"/>
  <c r="W19" i="35" s="1"/>
  <c r="W51" i="35" s="1"/>
  <c r="AE7" i="35"/>
  <c r="AE19" i="35" s="1"/>
  <c r="AE51" i="35" s="1"/>
  <c r="AM7" i="35"/>
  <c r="AM19" i="35" s="1"/>
  <c r="AM51" i="35" s="1"/>
  <c r="AU7" i="35"/>
  <c r="AU19" i="35" s="1"/>
  <c r="AU51" i="35" s="1"/>
  <c r="BC7" i="35"/>
  <c r="BC19" i="35" s="1"/>
  <c r="BC51" i="35" s="1"/>
  <c r="BK7" i="35"/>
  <c r="BK19" i="35" s="1"/>
  <c r="BK51" i="35" s="1"/>
  <c r="BS7" i="35"/>
  <c r="BS19" i="35" s="1"/>
  <c r="BS51" i="35" s="1"/>
  <c r="CA7" i="35"/>
  <c r="CA19" i="35" s="1"/>
  <c r="CA51" i="35" s="1"/>
  <c r="L7" i="35"/>
  <c r="L19" i="35" s="1"/>
  <c r="L51" i="35" s="1"/>
  <c r="T7" i="35"/>
  <c r="T19" i="35" s="1"/>
  <c r="T51" i="35" s="1"/>
  <c r="AB7" i="35"/>
  <c r="AB19" i="35" s="1"/>
  <c r="AB51" i="35" s="1"/>
  <c r="AJ7" i="35"/>
  <c r="AJ19" i="35" s="1"/>
  <c r="AJ51" i="35" s="1"/>
  <c r="AR7" i="35"/>
  <c r="AR19" i="35" s="1"/>
  <c r="AR51" i="35" s="1"/>
  <c r="AZ7" i="35"/>
  <c r="AZ19" i="35" s="1"/>
  <c r="AZ51" i="35" s="1"/>
  <c r="BH7" i="35"/>
  <c r="BH19" i="35" s="1"/>
  <c r="BH51" i="35" s="1"/>
  <c r="BP7" i="35"/>
  <c r="BP19" i="35" s="1"/>
  <c r="BP51" i="35" s="1"/>
  <c r="BX7" i="35"/>
  <c r="BX19" i="35" s="1"/>
  <c r="BX51" i="35" s="1"/>
  <c r="CF7" i="35"/>
  <c r="CF19" i="35" s="1"/>
  <c r="CF51" i="35" s="1"/>
  <c r="M7" i="35"/>
  <c r="M19" i="35" s="1"/>
  <c r="M51" i="35" s="1"/>
  <c r="U7" i="35"/>
  <c r="U19" i="35" s="1"/>
  <c r="U51" i="35" s="1"/>
  <c r="AC7" i="35"/>
  <c r="AC19" i="35" s="1"/>
  <c r="AC51" i="35" s="1"/>
  <c r="AK7" i="35"/>
  <c r="AK19" i="35" s="1"/>
  <c r="AK51" i="35" s="1"/>
  <c r="AS7" i="35"/>
  <c r="AS19" i="35" s="1"/>
  <c r="AS51" i="35" s="1"/>
  <c r="BA7" i="35"/>
  <c r="BA19" i="35" s="1"/>
  <c r="BA51" i="35" s="1"/>
  <c r="BI7" i="35"/>
  <c r="BI19" i="35" s="1"/>
  <c r="BI51" i="35" s="1"/>
  <c r="BQ7" i="35"/>
  <c r="BQ19" i="35" s="1"/>
  <c r="BQ51" i="35" s="1"/>
  <c r="BY7" i="35"/>
  <c r="BY19" i="35" s="1"/>
  <c r="BY51" i="35" s="1"/>
  <c r="CG7" i="35"/>
  <c r="CG19" i="35" s="1"/>
  <c r="CG51" i="35" s="1"/>
  <c r="J7" i="35"/>
  <c r="J19" i="35" s="1"/>
  <c r="J51" i="35" s="1"/>
  <c r="R7" i="35"/>
  <c r="R19" i="35" s="1"/>
  <c r="R51" i="35" s="1"/>
  <c r="Z7" i="35"/>
  <c r="Z19" i="35" s="1"/>
  <c r="Z51" i="35" s="1"/>
  <c r="AH7" i="35"/>
  <c r="AH19" i="35" s="1"/>
  <c r="AH51" i="35" s="1"/>
  <c r="AP7" i="35"/>
  <c r="AP19" i="35" s="1"/>
  <c r="AP51" i="35" s="1"/>
  <c r="AX7" i="35"/>
  <c r="AX19" i="35" s="1"/>
  <c r="AX51" i="35" s="1"/>
  <c r="BF7" i="35"/>
  <c r="BF19" i="35" s="1"/>
  <c r="BF51" i="35" s="1"/>
  <c r="BN7" i="35"/>
  <c r="BN19" i="35" s="1"/>
  <c r="BN51" i="35" s="1"/>
  <c r="BV7" i="35"/>
  <c r="BV19" i="35" s="1"/>
  <c r="BV51" i="35" s="1"/>
  <c r="CD7" i="35"/>
  <c r="CD19" i="35" s="1"/>
  <c r="CD51" i="35" s="1"/>
  <c r="A89" i="43"/>
  <c r="Z88" i="43"/>
  <c r="X10" i="17" l="1" a="1"/>
  <c r="AJ10" i="17" a="1"/>
  <c r="Y10" i="17" a="1"/>
  <c r="AE10" i="17" a="1"/>
  <c r="H51" i="35"/>
  <c r="AB10" i="17" a="1"/>
  <c r="A90" i="43"/>
  <c r="Z89" i="43"/>
  <c r="AJ13" i="17" l="1"/>
  <c r="AJ52" i="17"/>
  <c r="AJ36" i="17"/>
  <c r="AJ20" i="17"/>
  <c r="AJ51" i="17"/>
  <c r="AJ35" i="17"/>
  <c r="AJ19" i="17"/>
  <c r="AJ50" i="17"/>
  <c r="AJ34" i="17"/>
  <c r="AJ18" i="17"/>
  <c r="AJ53" i="17"/>
  <c r="AJ37" i="17"/>
  <c r="AJ21" i="17"/>
  <c r="AJ48" i="17"/>
  <c r="AJ28" i="17"/>
  <c r="AJ55" i="17"/>
  <c r="AJ31" i="17"/>
  <c r="AJ11" i="17"/>
  <c r="AJ38" i="17"/>
  <c r="AJ14" i="17"/>
  <c r="AJ45" i="17"/>
  <c r="AJ25" i="17"/>
  <c r="AJ44" i="17"/>
  <c r="AJ24" i="17"/>
  <c r="AJ47" i="17"/>
  <c r="AJ27" i="17"/>
  <c r="AJ54" i="17"/>
  <c r="AJ30" i="17"/>
  <c r="AJ10" i="17"/>
  <c r="AJ41" i="17"/>
  <c r="AJ17" i="17"/>
  <c r="AJ16" i="17"/>
  <c r="AJ23" i="17"/>
  <c r="AJ26" i="17"/>
  <c r="AJ33" i="17"/>
  <c r="AJ56" i="17"/>
  <c r="AJ12" i="17"/>
  <c r="AJ15" i="17"/>
  <c r="AJ22" i="17"/>
  <c r="AJ29" i="17"/>
  <c r="AJ40" i="17"/>
  <c r="AJ43" i="17"/>
  <c r="AJ46" i="17"/>
  <c r="AJ57" i="17"/>
  <c r="AJ32" i="17"/>
  <c r="AJ39" i="17"/>
  <c r="AJ42" i="17"/>
  <c r="AJ49" i="17"/>
  <c r="AE10" i="17"/>
  <c r="AE49" i="17"/>
  <c r="AE33" i="17"/>
  <c r="AE17" i="17"/>
  <c r="AE48" i="17"/>
  <c r="AE32" i="17"/>
  <c r="AE16" i="17"/>
  <c r="AE47" i="17"/>
  <c r="AE31" i="17"/>
  <c r="AE15" i="17"/>
  <c r="AE46" i="17"/>
  <c r="AE30" i="17"/>
  <c r="AE14" i="17"/>
  <c r="AE53" i="17"/>
  <c r="AE29" i="17"/>
  <c r="AE56" i="17"/>
  <c r="AE36" i="17"/>
  <c r="AE12" i="17"/>
  <c r="AE39" i="17"/>
  <c r="AE19" i="17"/>
  <c r="AE42" i="17"/>
  <c r="AE22" i="17"/>
  <c r="AE45" i="17"/>
  <c r="AE25" i="17"/>
  <c r="AE52" i="17"/>
  <c r="AE21" i="17"/>
  <c r="AE28" i="17"/>
  <c r="AE51" i="17"/>
  <c r="AE23" i="17"/>
  <c r="AE38" i="17"/>
  <c r="AE57" i="17"/>
  <c r="AE13" i="17"/>
  <c r="AE24" i="17"/>
  <c r="AE43" i="17"/>
  <c r="AE11" i="17"/>
  <c r="AE34" i="17"/>
  <c r="AE41" i="17"/>
  <c r="AE44" i="17"/>
  <c r="AE20" i="17"/>
  <c r="AE35" i="17"/>
  <c r="AE54" i="17"/>
  <c r="AE26" i="17"/>
  <c r="AE37" i="17"/>
  <c r="AE40" i="17"/>
  <c r="AE55" i="17"/>
  <c r="AE27" i="17"/>
  <c r="AE50" i="17"/>
  <c r="AE18" i="17"/>
  <c r="Y10" i="17"/>
  <c r="Y45" i="17"/>
  <c r="Y29" i="17"/>
  <c r="Y13" i="17"/>
  <c r="Y44" i="17"/>
  <c r="Y28" i="17"/>
  <c r="Y12" i="17"/>
  <c r="Y43" i="17"/>
  <c r="Y27" i="17"/>
  <c r="Y11" i="17"/>
  <c r="Y42" i="17"/>
  <c r="Y26" i="17"/>
  <c r="Y57" i="17"/>
  <c r="Y37" i="17"/>
  <c r="Y17" i="17"/>
  <c r="Y40" i="17"/>
  <c r="Y20" i="17"/>
  <c r="Y47" i="17"/>
  <c r="Y23" i="17"/>
  <c r="Y50" i="17"/>
  <c r="Y30" i="17"/>
  <c r="Y53" i="17"/>
  <c r="Y33" i="17"/>
  <c r="Y56" i="17"/>
  <c r="Y36" i="17"/>
  <c r="Y16" i="17"/>
  <c r="Y39" i="17"/>
  <c r="Y19" i="17"/>
  <c r="Y46" i="17"/>
  <c r="Y22" i="17"/>
  <c r="Y49" i="17"/>
  <c r="Y25" i="17"/>
  <c r="Y52" i="17"/>
  <c r="Y32" i="17"/>
  <c r="Y55" i="17"/>
  <c r="Y35" i="17"/>
  <c r="Y15" i="17"/>
  <c r="Y38" i="17"/>
  <c r="Y18" i="17"/>
  <c r="Y41" i="17"/>
  <c r="Y21" i="17"/>
  <c r="Y48" i="17"/>
  <c r="Y24" i="17"/>
  <c r="Y51" i="17"/>
  <c r="Y31" i="17"/>
  <c r="Y54" i="17"/>
  <c r="Y34" i="17"/>
  <c r="Y14" i="17"/>
  <c r="AB13" i="17"/>
  <c r="AB56" i="17"/>
  <c r="AB40" i="17"/>
  <c r="AB24" i="17"/>
  <c r="AB55" i="17"/>
  <c r="AB39" i="17"/>
  <c r="AB23" i="17"/>
  <c r="AB54" i="17"/>
  <c r="AB38" i="17"/>
  <c r="AB22" i="17"/>
  <c r="AB57" i="17"/>
  <c r="AB41" i="17"/>
  <c r="AB25" i="17"/>
  <c r="AB52" i="17"/>
  <c r="AB32" i="17"/>
  <c r="AB12" i="17"/>
  <c r="AB35" i="17"/>
  <c r="AB15" i="17"/>
  <c r="AB42" i="17"/>
  <c r="AB18" i="17"/>
  <c r="AB49" i="17"/>
  <c r="AB29" i="17"/>
  <c r="AB48" i="17"/>
  <c r="AB28" i="17"/>
  <c r="AB51" i="17"/>
  <c r="AB31" i="17"/>
  <c r="AB11" i="17"/>
  <c r="AB34" i="17"/>
  <c r="AB14" i="17"/>
  <c r="AB45" i="17"/>
  <c r="AB21" i="17"/>
  <c r="AB44" i="17"/>
  <c r="AB47" i="17"/>
  <c r="AB50" i="17"/>
  <c r="AB10" i="17"/>
  <c r="AB17" i="17"/>
  <c r="AB36" i="17"/>
  <c r="AB43" i="17"/>
  <c r="AB46" i="17"/>
  <c r="AB53" i="17"/>
  <c r="AB20" i="17"/>
  <c r="AB27" i="17"/>
  <c r="AB30" i="17"/>
  <c r="AB37" i="17"/>
  <c r="AB16" i="17"/>
  <c r="AB19" i="17"/>
  <c r="AB26" i="17"/>
  <c r="AB33" i="17"/>
  <c r="X11" i="17"/>
  <c r="X14" i="17"/>
  <c r="X22" i="17"/>
  <c r="X30" i="17"/>
  <c r="X38" i="17"/>
  <c r="X46" i="17"/>
  <c r="X54" i="17"/>
  <c r="X13" i="17"/>
  <c r="X29" i="17"/>
  <c r="X45" i="17"/>
  <c r="X17" i="17"/>
  <c r="X25" i="17"/>
  <c r="X33" i="17"/>
  <c r="X41" i="17"/>
  <c r="X49" i="17"/>
  <c r="X57" i="17"/>
  <c r="X10" i="17"/>
  <c r="X18" i="17"/>
  <c r="X26" i="17"/>
  <c r="X34" i="17"/>
  <c r="X42" i="17"/>
  <c r="X50" i="17"/>
  <c r="X21" i="17"/>
  <c r="X37" i="17"/>
  <c r="X53" i="17"/>
  <c r="X56" i="17"/>
  <c r="X40" i="17"/>
  <c r="X24" i="17"/>
  <c r="X55" i="17"/>
  <c r="X39" i="17"/>
  <c r="X23" i="17"/>
  <c r="X52" i="17"/>
  <c r="X32" i="17"/>
  <c r="X12" i="17"/>
  <c r="X35" i="17"/>
  <c r="X15" i="17"/>
  <c r="X48" i="17"/>
  <c r="X28" i="17"/>
  <c r="X51" i="17"/>
  <c r="X31" i="17"/>
  <c r="X44" i="17"/>
  <c r="X20" i="17"/>
  <c r="X47" i="17"/>
  <c r="X27" i="17"/>
  <c r="X36" i="17"/>
  <c r="X16" i="17"/>
  <c r="X43" i="17"/>
  <c r="X19" i="17"/>
  <c r="A91" i="43"/>
  <c r="Z90" i="43"/>
  <c r="A92" i="43" l="1"/>
  <c r="Z91" i="43"/>
  <c r="A93" i="43" l="1"/>
  <c r="Z92" i="43"/>
  <c r="A94" i="43" l="1"/>
  <c r="Z93" i="43"/>
  <c r="A95" i="43" l="1"/>
  <c r="Z94" i="43"/>
  <c r="A96" i="43" l="1"/>
  <c r="Z95" i="43"/>
  <c r="A97" i="43" l="1"/>
  <c r="Z96" i="43"/>
  <c r="Z97" i="43" l="1"/>
  <c r="AC10" i="17" a="1"/>
  <c r="AC10" i="17" l="1"/>
  <c r="AC53" i="17"/>
  <c r="AC37" i="17"/>
  <c r="AC21" i="17"/>
  <c r="AC40" i="17"/>
  <c r="AC48" i="17"/>
  <c r="AC24" i="17"/>
  <c r="AC51" i="17"/>
  <c r="AC35" i="17"/>
  <c r="AC19" i="17"/>
  <c r="AC50" i="17"/>
  <c r="AC34" i="17"/>
  <c r="AC18" i="17"/>
  <c r="AC45" i="17"/>
  <c r="AC25" i="17"/>
  <c r="AC28" i="17"/>
  <c r="AC36" i="17"/>
  <c r="AC55" i="17"/>
  <c r="AC31" i="17"/>
  <c r="AC11" i="17"/>
  <c r="AC38" i="17"/>
  <c r="AC14" i="17"/>
  <c r="AC41" i="17"/>
  <c r="AC17" i="17"/>
  <c r="AC12" i="17"/>
  <c r="AC32" i="17"/>
  <c r="AC47" i="17"/>
  <c r="AC27" i="17"/>
  <c r="AC54" i="17"/>
  <c r="AC30" i="17"/>
  <c r="AC57" i="17"/>
  <c r="AC33" i="17"/>
  <c r="AC13" i="17"/>
  <c r="AC56" i="17"/>
  <c r="AC20" i="17"/>
  <c r="AC43" i="17"/>
  <c r="AC23" i="17"/>
  <c r="AC46" i="17"/>
  <c r="AC26" i="17"/>
  <c r="AC49" i="17"/>
  <c r="AC29" i="17"/>
  <c r="AC52" i="17"/>
  <c r="AC44" i="17"/>
  <c r="AC16" i="17"/>
  <c r="AC39" i="17"/>
  <c r="AC15" i="17"/>
  <c r="AC42" i="17"/>
  <c r="AC22" i="17"/>
  <c r="AA10" i="17" l="1" a="1"/>
  <c r="AA11" i="17" l="1"/>
  <c r="AA15" i="17"/>
  <c r="AA19" i="17"/>
  <c r="AA23" i="17"/>
  <c r="AA27" i="17"/>
  <c r="AA31" i="17"/>
  <c r="AA35" i="17"/>
  <c r="AA39" i="17"/>
  <c r="AA43" i="17"/>
  <c r="AA47" i="17"/>
  <c r="AA51" i="17"/>
  <c r="AA55" i="17"/>
  <c r="AA10" i="17"/>
  <c r="AA14" i="17"/>
  <c r="AA18" i="17"/>
  <c r="AA26" i="17"/>
  <c r="AA34" i="17"/>
  <c r="AA38" i="17"/>
  <c r="AA46" i="17"/>
  <c r="AA54" i="17"/>
  <c r="AA12" i="17"/>
  <c r="AA16" i="17"/>
  <c r="AA20" i="17"/>
  <c r="AA24" i="17"/>
  <c r="AA28" i="17"/>
  <c r="AA32" i="17"/>
  <c r="AA36" i="17"/>
  <c r="AA40" i="17"/>
  <c r="AA44" i="17"/>
  <c r="AA48" i="17"/>
  <c r="AA52" i="17"/>
  <c r="AA56" i="17"/>
  <c r="AA13" i="17"/>
  <c r="AA17" i="17"/>
  <c r="AA21" i="17"/>
  <c r="AA25" i="17"/>
  <c r="AA29" i="17"/>
  <c r="AA33" i="17"/>
  <c r="AA37" i="17"/>
  <c r="AA41" i="17"/>
  <c r="AA45" i="17"/>
  <c r="AA49" i="17"/>
  <c r="AA53" i="17"/>
  <c r="AA57" i="17"/>
  <c r="AA22" i="17"/>
  <c r="AA30" i="17"/>
  <c r="AA42" i="17"/>
  <c r="AA50" i="17"/>
  <c r="AD9" i="17"/>
  <c r="AD10" i="17" l="1" a="1"/>
  <c r="AD11" i="17" l="1"/>
  <c r="AD42" i="17"/>
  <c r="AD26" i="17"/>
  <c r="AD46" i="17"/>
  <c r="AD22" i="17"/>
  <c r="AD57" i="17"/>
  <c r="AD41" i="17"/>
  <c r="AD25" i="17"/>
  <c r="AD56" i="17"/>
  <c r="AD40" i="17"/>
  <c r="AD24" i="17"/>
  <c r="AD55" i="17"/>
  <c r="AD39" i="17"/>
  <c r="AD23" i="17"/>
  <c r="AD54" i="17"/>
  <c r="AD30" i="17"/>
  <c r="AD53" i="17"/>
  <c r="AD33" i="17"/>
  <c r="AD13" i="17"/>
  <c r="AD36" i="17"/>
  <c r="AD16" i="17"/>
  <c r="AD43" i="17"/>
  <c r="AD19" i="17"/>
  <c r="AD50" i="17"/>
  <c r="AD18" i="17"/>
  <c r="AD49" i="17"/>
  <c r="AD29" i="17"/>
  <c r="AD52" i="17"/>
  <c r="AD32" i="17"/>
  <c r="AD12" i="17"/>
  <c r="AD35" i="17"/>
  <c r="AD15" i="17"/>
  <c r="AD38" i="17"/>
  <c r="AD14" i="17"/>
  <c r="AD45" i="17"/>
  <c r="AD21" i="17"/>
  <c r="AD48" i="17"/>
  <c r="AD28" i="17"/>
  <c r="AD51" i="17"/>
  <c r="AD31" i="17"/>
  <c r="AD34" i="17"/>
  <c r="AD10" i="17"/>
  <c r="AD37" i="17"/>
  <c r="AD17" i="17"/>
  <c r="AD44" i="17"/>
  <c r="AD20" i="17"/>
  <c r="AD47" i="17"/>
  <c r="AD27" i="17"/>
  <c r="AF10" i="17" l="1" a="1"/>
  <c r="AF57" i="17" l="1"/>
  <c r="AF18" i="17"/>
  <c r="AF34" i="17"/>
  <c r="AF50" i="17"/>
  <c r="AF19" i="17"/>
  <c r="AF35" i="17"/>
  <c r="AF51" i="17"/>
  <c r="AF20" i="17"/>
  <c r="AF36" i="17"/>
  <c r="AF52" i="17"/>
  <c r="AF17" i="17"/>
  <c r="AF33" i="17"/>
  <c r="AF49" i="17"/>
  <c r="AF14" i="17"/>
  <c r="AF38" i="17"/>
  <c r="AF11" i="17"/>
  <c r="AF31" i="17"/>
  <c r="AF55" i="17"/>
  <c r="AF28" i="17"/>
  <c r="AF48" i="17"/>
  <c r="AF21" i="17"/>
  <c r="AF41" i="17"/>
  <c r="AF22" i="17"/>
  <c r="AF42" i="17"/>
  <c r="AF15" i="17"/>
  <c r="AF39" i="17"/>
  <c r="AF12" i="17"/>
  <c r="AF32" i="17"/>
  <c r="AF56" i="17"/>
  <c r="AF25" i="17"/>
  <c r="AF45" i="17"/>
  <c r="AF26" i="17"/>
  <c r="AF23" i="17"/>
  <c r="AF16" i="17"/>
  <c r="AF10" i="17"/>
  <c r="AF53" i="17"/>
  <c r="AF30" i="17"/>
  <c r="AF27" i="17"/>
  <c r="AF24" i="17"/>
  <c r="AF13" i="17"/>
  <c r="AF46" i="17"/>
  <c r="AF43" i="17"/>
  <c r="AF40" i="17"/>
  <c r="AF29" i="17"/>
  <c r="AF54" i="17"/>
  <c r="AF47" i="17"/>
  <c r="AF44" i="17"/>
  <c r="AF37" i="17"/>
  <c r="AG10" i="17" l="1" a="1"/>
  <c r="AG13" i="17" s="1"/>
  <c r="AG17" i="17" l="1"/>
  <c r="AG44" i="17"/>
  <c r="AG51" i="17"/>
  <c r="AG27" i="17"/>
  <c r="AG31" i="17"/>
  <c r="AG18" i="17"/>
  <c r="AG12" i="17"/>
  <c r="AG53" i="17"/>
  <c r="AG43" i="17"/>
  <c r="AG41" i="17"/>
  <c r="AG54" i="17"/>
  <c r="AG24" i="17"/>
  <c r="AG10" i="17"/>
  <c r="AG21" i="17"/>
  <c r="AG48" i="17"/>
  <c r="AG20" i="17"/>
  <c r="AG28" i="17"/>
  <c r="AG42" i="17"/>
  <c r="AG32" i="17"/>
  <c r="AG26" i="17"/>
  <c r="AG16" i="17"/>
  <c r="AG57" i="17"/>
  <c r="AG23" i="17"/>
  <c r="AG40" i="17"/>
  <c r="AG50" i="17"/>
  <c r="AG14" i="17"/>
  <c r="AG37" i="17"/>
  <c r="AG45" i="17"/>
  <c r="AG29" i="17"/>
  <c r="AG15" i="17"/>
  <c r="AG52" i="17"/>
  <c r="AG46" i="17"/>
  <c r="AG36" i="17"/>
  <c r="AG22" i="17"/>
  <c r="AG39" i="17"/>
  <c r="AG56" i="17"/>
  <c r="AG47" i="17"/>
  <c r="AG11" i="17"/>
  <c r="AG30" i="17"/>
  <c r="AG34" i="17"/>
  <c r="AG49" i="17"/>
  <c r="AG35" i="17"/>
  <c r="AG33" i="17"/>
  <c r="AG19" i="17"/>
  <c r="AG25" i="17"/>
  <c r="AG38" i="17"/>
  <c r="AG55" i="17"/>
  <c r="AH10" i="17" l="1" a="1"/>
  <c r="AI10" i="17" a="1"/>
  <c r="AI13" i="17" l="1"/>
  <c r="AI48" i="17"/>
  <c r="AI32" i="17"/>
  <c r="AI16" i="17"/>
  <c r="AI47" i="17"/>
  <c r="AI31" i="17"/>
  <c r="AI15" i="17"/>
  <c r="AI46" i="17"/>
  <c r="AI30" i="17"/>
  <c r="AI14" i="17"/>
  <c r="AI49" i="17"/>
  <c r="AI33" i="17"/>
  <c r="AI17" i="17"/>
  <c r="AI44" i="17"/>
  <c r="AI24" i="17"/>
  <c r="AI51" i="17"/>
  <c r="AI27" i="17"/>
  <c r="AI54" i="17"/>
  <c r="AI34" i="17"/>
  <c r="AI10" i="17"/>
  <c r="AI41" i="17"/>
  <c r="AI21" i="17"/>
  <c r="AI40" i="17"/>
  <c r="AI20" i="17"/>
  <c r="AI43" i="17"/>
  <c r="AI23" i="17"/>
  <c r="AI50" i="17"/>
  <c r="AI26" i="17"/>
  <c r="AI57" i="17"/>
  <c r="AI37" i="17"/>
  <c r="AI36" i="17"/>
  <c r="AI39" i="17"/>
  <c r="AI42" i="17"/>
  <c r="AI53" i="17"/>
  <c r="AI28" i="17"/>
  <c r="AI35" i="17"/>
  <c r="AI38" i="17"/>
  <c r="AI45" i="17"/>
  <c r="AI56" i="17"/>
  <c r="AI12" i="17"/>
  <c r="AI19" i="17"/>
  <c r="AI22" i="17"/>
  <c r="AI29" i="17"/>
  <c r="AI52" i="17"/>
  <c r="AI55" i="17"/>
  <c r="AI11" i="17"/>
  <c r="AI18" i="17"/>
  <c r="AI25" i="17"/>
  <c r="AH13" i="17"/>
  <c r="AH44" i="17"/>
  <c r="AH28" i="17"/>
  <c r="AH12" i="17"/>
  <c r="AH43" i="17"/>
  <c r="AH27" i="17"/>
  <c r="AH11" i="17"/>
  <c r="AH42" i="17"/>
  <c r="AH26" i="17"/>
  <c r="AH10" i="17"/>
  <c r="AH45" i="17"/>
  <c r="AH29" i="17"/>
  <c r="AH40" i="17"/>
  <c r="AH20" i="17"/>
  <c r="AH47" i="17"/>
  <c r="AH23" i="17"/>
  <c r="AH50" i="17"/>
  <c r="AH30" i="17"/>
  <c r="AH57" i="17"/>
  <c r="AH37" i="17"/>
  <c r="AH17" i="17"/>
  <c r="AH56" i="17"/>
  <c r="AH36" i="17"/>
  <c r="AH16" i="17"/>
  <c r="AH39" i="17"/>
  <c r="AH19" i="17"/>
  <c r="AH46" i="17"/>
  <c r="AH22" i="17"/>
  <c r="AH53" i="17"/>
  <c r="AH33" i="17"/>
  <c r="AH52" i="17"/>
  <c r="AH55" i="17"/>
  <c r="AH15" i="17"/>
  <c r="AH18" i="17"/>
  <c r="AH25" i="17"/>
  <c r="AH48" i="17"/>
  <c r="AH51" i="17"/>
  <c r="AH54" i="17"/>
  <c r="AH14" i="17"/>
  <c r="AH21" i="17"/>
  <c r="AH32" i="17"/>
  <c r="AH35" i="17"/>
  <c r="AH38" i="17"/>
  <c r="AH49" i="17"/>
  <c r="AH24" i="17"/>
  <c r="AH31" i="17"/>
  <c r="AH34" i="17"/>
  <c r="AH41" i="17"/>
  <c r="CH47" i="35"/>
  <c r="CH48" i="35" s="1"/>
  <c r="CD47" i="35"/>
  <c r="CD48" i="35" s="1"/>
  <c r="BZ47" i="35"/>
  <c r="BZ48" i="35" s="1"/>
  <c r="BV47" i="35"/>
  <c r="BV48" i="35" s="1"/>
  <c r="BR47" i="35"/>
  <c r="BR48" i="35" s="1"/>
  <c r="BN47" i="35"/>
  <c r="BN48" i="35" s="1"/>
  <c r="BJ47" i="35"/>
  <c r="BJ48" i="35" s="1"/>
  <c r="BF47" i="35"/>
  <c r="BF48" i="35" s="1"/>
  <c r="BB47" i="35"/>
  <c r="BB48" i="35" s="1"/>
  <c r="AX47" i="35"/>
  <c r="AX48" i="35" s="1"/>
  <c r="AT47" i="35"/>
  <c r="AT48" i="35" s="1"/>
  <c r="AP47" i="35"/>
  <c r="AP48" i="35" s="1"/>
  <c r="AL47" i="35"/>
  <c r="AL48" i="35" s="1"/>
  <c r="AH47" i="35"/>
  <c r="AH48" i="35" s="1"/>
  <c r="AD47" i="35"/>
  <c r="AD48" i="35" s="1"/>
  <c r="Z47" i="35"/>
  <c r="Z48" i="35" s="1"/>
  <c r="V47" i="35"/>
  <c r="V48" i="35" s="1"/>
  <c r="R47" i="35"/>
  <c r="R48" i="35" s="1"/>
  <c r="N47" i="35"/>
  <c r="N48" i="35" s="1"/>
  <c r="J47" i="35"/>
  <c r="J48" i="35" s="1"/>
  <c r="F47" i="35"/>
  <c r="CE47" i="35"/>
  <c r="CE48" i="35" s="1"/>
  <c r="CA47" i="35"/>
  <c r="CA48" i="35" s="1"/>
  <c r="BW47" i="35"/>
  <c r="BW48" i="35" s="1"/>
  <c r="BS47" i="35"/>
  <c r="BS48" i="35" s="1"/>
  <c r="BO47" i="35"/>
  <c r="BO48" i="35" s="1"/>
  <c r="BK47" i="35"/>
  <c r="BK48" i="35" s="1"/>
  <c r="BG47" i="35"/>
  <c r="BG48" i="35" s="1"/>
  <c r="BC47" i="35"/>
  <c r="BC48" i="35" s="1"/>
  <c r="AY47" i="35"/>
  <c r="AY48" i="35" s="1"/>
  <c r="AU47" i="35"/>
  <c r="AU48" i="35" s="1"/>
  <c r="AQ47" i="35"/>
  <c r="AQ48" i="35" s="1"/>
  <c r="AM47" i="35"/>
  <c r="AM48" i="35" s="1"/>
  <c r="AI47" i="35"/>
  <c r="AI48" i="35" s="1"/>
  <c r="AE47" i="35"/>
  <c r="AE48" i="35" s="1"/>
  <c r="AA47" i="35"/>
  <c r="AA48" i="35" s="1"/>
  <c r="W47" i="35"/>
  <c r="W48" i="35" s="1"/>
  <c r="S47" i="35"/>
  <c r="S48" i="35" s="1"/>
  <c r="O47" i="35"/>
  <c r="O48" i="35" s="1"/>
  <c r="K47" i="35"/>
  <c r="K48" i="35" s="1"/>
  <c r="G47" i="35"/>
  <c r="G48" i="35" s="1"/>
  <c r="G49" i="35" s="1"/>
  <c r="C47" i="35"/>
  <c r="CF47" i="35"/>
  <c r="CF48" i="35" s="1"/>
  <c r="CB47" i="35"/>
  <c r="CB48" i="35" s="1"/>
  <c r="BX47" i="35"/>
  <c r="BX48" i="35" s="1"/>
  <c r="BT47" i="35"/>
  <c r="BT48" i="35" s="1"/>
  <c r="BP47" i="35"/>
  <c r="BP48" i="35" s="1"/>
  <c r="BL47" i="35"/>
  <c r="BL48" i="35" s="1"/>
  <c r="BH47" i="35"/>
  <c r="BH48" i="35" s="1"/>
  <c r="BD47" i="35"/>
  <c r="BD48" i="35" s="1"/>
  <c r="AZ47" i="35"/>
  <c r="AZ48" i="35" s="1"/>
  <c r="AV47" i="35"/>
  <c r="AV48" i="35" s="1"/>
  <c r="AR47" i="35"/>
  <c r="AR48" i="35" s="1"/>
  <c r="AN47" i="35"/>
  <c r="AN48" i="35" s="1"/>
  <c r="AJ47" i="35"/>
  <c r="AJ48" i="35" s="1"/>
  <c r="AF47" i="35"/>
  <c r="AF48" i="35" s="1"/>
  <c r="AB47" i="35"/>
  <c r="AB48" i="35" s="1"/>
  <c r="X47" i="35"/>
  <c r="X48" i="35" s="1"/>
  <c r="T47" i="35"/>
  <c r="T48" i="35" s="1"/>
  <c r="P47" i="35"/>
  <c r="P48" i="35" s="1"/>
  <c r="L47" i="35"/>
  <c r="L48" i="35" s="1"/>
  <c r="H47" i="35"/>
  <c r="H48" i="35" s="1"/>
  <c r="H49" i="35" s="1"/>
  <c r="D47" i="35"/>
  <c r="CG47" i="35"/>
  <c r="CG48" i="35" s="1"/>
  <c r="CC47" i="35"/>
  <c r="CC48" i="35" s="1"/>
  <c r="BY47" i="35"/>
  <c r="BY48" i="35" s="1"/>
  <c r="BU47" i="35"/>
  <c r="BU48" i="35" s="1"/>
  <c r="BQ47" i="35"/>
  <c r="BQ48" i="35" s="1"/>
  <c r="BM47" i="35"/>
  <c r="BM48" i="35" s="1"/>
  <c r="BI47" i="35"/>
  <c r="BI48" i="35" s="1"/>
  <c r="BE47" i="35"/>
  <c r="BE48" i="35" s="1"/>
  <c r="BA47" i="35"/>
  <c r="BA48" i="35" s="1"/>
  <c r="AW47" i="35"/>
  <c r="AW48" i="35" s="1"/>
  <c r="AS47" i="35"/>
  <c r="AS48" i="35" s="1"/>
  <c r="AO47" i="35"/>
  <c r="AO48" i="35" s="1"/>
  <c r="AK47" i="35"/>
  <c r="AK48" i="35" s="1"/>
  <c r="AG47" i="35"/>
  <c r="AG48" i="35" s="1"/>
  <c r="AC47" i="35"/>
  <c r="AC48" i="35" s="1"/>
  <c r="Y47" i="35"/>
  <c r="Y48" i="35" s="1"/>
  <c r="U47" i="35"/>
  <c r="U48" i="35" s="1"/>
  <c r="Q47" i="35"/>
  <c r="Q48" i="35" s="1"/>
  <c r="M47" i="35"/>
  <c r="M48" i="35" s="1"/>
  <c r="I47" i="35"/>
  <c r="I48" i="35" s="1"/>
  <c r="E47" i="35"/>
  <c r="I49" i="35" l="1"/>
  <c r="J49" i="35" s="1"/>
  <c r="K49" i="35" s="1"/>
  <c r="L49" i="35" s="1"/>
  <c r="M49" i="35" s="1"/>
  <c r="N49" i="35" s="1"/>
  <c r="O49" i="35" s="1"/>
  <c r="P49" i="35" s="1"/>
  <c r="Q49" i="35" s="1"/>
  <c r="R49" i="35" s="1"/>
  <c r="S49" i="35" s="1"/>
  <c r="T49" i="35" s="1"/>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O49" i="35" s="1"/>
  <c r="AP49" i="35" s="1"/>
  <c r="AQ49" i="35" s="1"/>
  <c r="AR49" i="35" s="1"/>
  <c r="AS49" i="35" s="1"/>
  <c r="AT49" i="35" s="1"/>
  <c r="AU49" i="35" s="1"/>
  <c r="AV49" i="35" s="1"/>
  <c r="AW49" i="35" s="1"/>
  <c r="AX49" i="35" s="1"/>
  <c r="AY49" i="35" s="1"/>
  <c r="AZ49" i="35" s="1"/>
  <c r="BA49" i="35" s="1"/>
  <c r="BB49" i="35" s="1"/>
  <c r="BC49" i="35" s="1"/>
  <c r="BD49" i="35" s="1"/>
  <c r="BE49" i="35" s="1"/>
  <c r="BF49" i="35" s="1"/>
  <c r="BG49" i="35" s="1"/>
  <c r="BH49" i="35" s="1"/>
  <c r="BI49" i="35" s="1"/>
  <c r="BJ49" i="35" s="1"/>
  <c r="BK49" i="35" s="1"/>
  <c r="BL49" i="35" s="1"/>
  <c r="BM49" i="35" s="1"/>
  <c r="BN49" i="35" s="1"/>
  <c r="BO49" i="35" s="1"/>
  <c r="BP49" i="35" s="1"/>
  <c r="BQ49" i="35" s="1"/>
  <c r="BR49" i="35" s="1"/>
  <c r="BS49" i="35" s="1"/>
  <c r="BT49" i="35" s="1"/>
  <c r="BU49" i="35" s="1"/>
  <c r="BV49" i="35" s="1"/>
  <c r="BW49" i="35" s="1"/>
  <c r="BX49" i="35" s="1"/>
  <c r="BY49" i="35" s="1"/>
  <c r="BZ49" i="35" s="1"/>
  <c r="CA49" i="35" s="1"/>
  <c r="CB49" i="35" s="1"/>
  <c r="CC49" i="35" s="1"/>
  <c r="CD49" i="35" s="1"/>
  <c r="CE49" i="35" s="1"/>
  <c r="CF49" i="35" s="1"/>
  <c r="CG49" i="35" s="1"/>
  <c r="CH49" i="35" s="1"/>
  <c r="W10" i="17" a="1"/>
  <c r="C16" i="35"/>
  <c r="W13" i="17" l="1"/>
  <c r="W52" i="17"/>
  <c r="W36" i="17"/>
  <c r="W20" i="17"/>
  <c r="W51" i="17"/>
  <c r="W35" i="17"/>
  <c r="W19" i="17"/>
  <c r="W50" i="17"/>
  <c r="W34" i="17"/>
  <c r="W18" i="17"/>
  <c r="W53" i="17"/>
  <c r="W37" i="17"/>
  <c r="W21" i="17"/>
  <c r="W40" i="17"/>
  <c r="W16" i="17"/>
  <c r="W43" i="17"/>
  <c r="W23" i="17"/>
  <c r="W46" i="17"/>
  <c r="W26" i="17"/>
  <c r="W57" i="17"/>
  <c r="W33" i="17"/>
  <c r="W56" i="17"/>
  <c r="W32" i="17"/>
  <c r="W12" i="17"/>
  <c r="W39" i="17"/>
  <c r="W15" i="17"/>
  <c r="W42" i="17"/>
  <c r="W22" i="17"/>
  <c r="W49" i="17"/>
  <c r="W29" i="17"/>
  <c r="W48" i="17"/>
  <c r="W28" i="17"/>
  <c r="W55" i="17"/>
  <c r="W31" i="17"/>
  <c r="W11" i="17"/>
  <c r="W38" i="17"/>
  <c r="W14" i="17"/>
  <c r="W45" i="17"/>
  <c r="W25" i="17"/>
  <c r="W44" i="17"/>
  <c r="W24" i="17"/>
  <c r="W47" i="17"/>
  <c r="W27" i="17"/>
  <c r="W54" i="17"/>
  <c r="W30" i="17"/>
  <c r="W10" i="17"/>
  <c r="W41" i="17"/>
  <c r="W17" i="17"/>
  <c r="CH6" i="36"/>
  <c r="CG6" i="36"/>
  <c r="CF6" i="36"/>
  <c r="CE6" i="36"/>
  <c r="CD6" i="36"/>
  <c r="CC6" i="36"/>
  <c r="CB6" i="36"/>
  <c r="CA6" i="36"/>
  <c r="BZ6" i="36"/>
  <c r="BY6" i="36"/>
  <c r="BX6" i="36"/>
  <c r="BW6" i="36"/>
  <c r="BV6" i="36"/>
  <c r="BU6" i="36"/>
  <c r="BT6" i="36"/>
  <c r="BS6" i="36"/>
  <c r="BR6" i="36"/>
  <c r="BQ6" i="36"/>
  <c r="BP6" i="36"/>
  <c r="BO6" i="36"/>
  <c r="BN6" i="36"/>
  <c r="BM6" i="36"/>
  <c r="BL6" i="36"/>
  <c r="BK6" i="36"/>
  <c r="BJ6" i="36"/>
  <c r="BI6" i="36"/>
  <c r="BH6" i="36"/>
  <c r="BG6" i="36"/>
  <c r="BF6" i="36"/>
  <c r="BE6" i="36"/>
  <c r="BD6" i="36"/>
  <c r="BC6" i="36"/>
  <c r="BB6" i="36"/>
  <c r="BA6" i="36"/>
  <c r="AZ6" i="36"/>
  <c r="AY6" i="36"/>
  <c r="AX6" i="36"/>
  <c r="AW6" i="36"/>
  <c r="AV6" i="36"/>
  <c r="AU6" i="36"/>
  <c r="AT6" i="36"/>
  <c r="AS6" i="36"/>
  <c r="AR6" i="36"/>
  <c r="AQ6" i="36"/>
  <c r="AP6" i="36"/>
  <c r="AO6" i="36"/>
  <c r="AN6" i="36"/>
  <c r="AM6" i="36"/>
  <c r="AL6" i="36"/>
  <c r="AK6" i="36"/>
  <c r="AJ6" i="36"/>
  <c r="AI6" i="36"/>
  <c r="AH6" i="36"/>
  <c r="AG6" i="36"/>
  <c r="AF6" i="36"/>
  <c r="AE6" i="36"/>
  <c r="AD6" i="36"/>
  <c r="AC6" i="36"/>
  <c r="AB6" i="36"/>
  <c r="AA6" i="36"/>
  <c r="Z6" i="36"/>
  <c r="Y6" i="36"/>
  <c r="X6" i="36"/>
  <c r="W6" i="36"/>
  <c r="V6" i="36"/>
  <c r="U6" i="36"/>
  <c r="T6" i="36"/>
  <c r="S6" i="36"/>
  <c r="R6" i="36"/>
  <c r="Q6" i="36"/>
  <c r="P6" i="36"/>
  <c r="O6" i="36"/>
  <c r="N6" i="36"/>
  <c r="M6" i="36"/>
  <c r="L6" i="36"/>
  <c r="K6" i="36"/>
  <c r="J6" i="36"/>
  <c r="I6" i="36"/>
  <c r="H6" i="36"/>
  <c r="G6" i="36"/>
  <c r="F6" i="36"/>
  <c r="E6" i="36"/>
  <c r="D6" i="36"/>
  <c r="C6" i="36"/>
  <c r="B6" i="36"/>
  <c r="C7" i="35" l="1"/>
  <c r="C19" i="35" s="1"/>
  <c r="C51" i="35" s="1"/>
  <c r="G16" i="35" l="1"/>
  <c r="K16" i="35"/>
  <c r="O16" i="35"/>
  <c r="O52" i="35" s="1"/>
  <c r="S16" i="35"/>
  <c r="S52" i="35" s="1"/>
  <c r="W16" i="35"/>
  <c r="AA16" i="35"/>
  <c r="AA52" i="35" s="1"/>
  <c r="AE16" i="35"/>
  <c r="AE52" i="35" s="1"/>
  <c r="AI16" i="35"/>
  <c r="AI52" i="35" s="1"/>
  <c r="AM16" i="35"/>
  <c r="AM52" i="35" s="1"/>
  <c r="AQ16" i="35"/>
  <c r="AQ52" i="35" s="1"/>
  <c r="AU16" i="35"/>
  <c r="AU52" i="35" s="1"/>
  <c r="AY16" i="35"/>
  <c r="AY52" i="35" s="1"/>
  <c r="BC16" i="35"/>
  <c r="BC52" i="35" s="1"/>
  <c r="BG16" i="35"/>
  <c r="BG52" i="35" s="1"/>
  <c r="BK16" i="35"/>
  <c r="BK52" i="35" s="1"/>
  <c r="BO16" i="35"/>
  <c r="BO52" i="35" s="1"/>
  <c r="BS16" i="35"/>
  <c r="BS52" i="35" s="1"/>
  <c r="BW16" i="35"/>
  <c r="BW52" i="35" s="1"/>
  <c r="CA16" i="35"/>
  <c r="CA52" i="35" s="1"/>
  <c r="CE16" i="35"/>
  <c r="CE52" i="35" s="1"/>
  <c r="F16" i="35"/>
  <c r="N16" i="35"/>
  <c r="N52" i="35" s="1"/>
  <c r="V16" i="35"/>
  <c r="AD16" i="35"/>
  <c r="AD52" i="35" s="1"/>
  <c r="AL16" i="35"/>
  <c r="AL52" i="35" s="1"/>
  <c r="AT16" i="35"/>
  <c r="AT52" i="35" s="1"/>
  <c r="BB16" i="35"/>
  <c r="BB52" i="35" s="1"/>
  <c r="BJ16" i="35"/>
  <c r="BJ52" i="35" s="1"/>
  <c r="BR16" i="35"/>
  <c r="BR52" i="35" s="1"/>
  <c r="BZ16" i="35"/>
  <c r="BZ52" i="35" s="1"/>
  <c r="CH16" i="35"/>
  <c r="CH52" i="35" s="1"/>
  <c r="L16" i="35"/>
  <c r="L52" i="35" s="1"/>
  <c r="AB16" i="35"/>
  <c r="AB52" i="35" s="1"/>
  <c r="AR16" i="35"/>
  <c r="AR52" i="35" s="1"/>
  <c r="BH16" i="35"/>
  <c r="BH52" i="35" s="1"/>
  <c r="BX16" i="35"/>
  <c r="BX52" i="35" s="1"/>
  <c r="P16" i="35"/>
  <c r="P52" i="35" s="1"/>
  <c r="AF16" i="35"/>
  <c r="AF52" i="35" s="1"/>
  <c r="AV16" i="35"/>
  <c r="AV52" i="35" s="1"/>
  <c r="BL16" i="35"/>
  <c r="BL52" i="35" s="1"/>
  <c r="CB16" i="35"/>
  <c r="CB52" i="35" s="1"/>
  <c r="E16" i="35"/>
  <c r="I16" i="35"/>
  <c r="M16" i="35"/>
  <c r="M52" i="35" s="1"/>
  <c r="Q16" i="35"/>
  <c r="Q52" i="35" s="1"/>
  <c r="U16" i="35"/>
  <c r="Y16" i="35"/>
  <c r="Y52" i="35" s="1"/>
  <c r="AC16" i="35"/>
  <c r="AC52" i="35" s="1"/>
  <c r="AG16" i="35"/>
  <c r="AG52" i="35" s="1"/>
  <c r="AK16" i="35"/>
  <c r="AK52" i="35" s="1"/>
  <c r="AO16" i="35"/>
  <c r="AO52" i="35" s="1"/>
  <c r="AS16" i="35"/>
  <c r="AS52" i="35" s="1"/>
  <c r="AW16" i="35"/>
  <c r="AW52" i="35" s="1"/>
  <c r="BA16" i="35"/>
  <c r="BA52" i="35" s="1"/>
  <c r="BE16" i="35"/>
  <c r="BE52" i="35" s="1"/>
  <c r="BI16" i="35"/>
  <c r="BI52" i="35" s="1"/>
  <c r="BM16" i="35"/>
  <c r="BM52" i="35" s="1"/>
  <c r="BQ16" i="35"/>
  <c r="BQ52" i="35" s="1"/>
  <c r="BU16" i="35"/>
  <c r="BU52" i="35" s="1"/>
  <c r="BY16" i="35"/>
  <c r="BY52" i="35" s="1"/>
  <c r="CC16" i="35"/>
  <c r="CC52" i="35" s="1"/>
  <c r="CG16" i="35"/>
  <c r="CG52" i="35" s="1"/>
  <c r="J16" i="35"/>
  <c r="R16" i="35"/>
  <c r="R52" i="35" s="1"/>
  <c r="Z16" i="35"/>
  <c r="Z52" i="35" s="1"/>
  <c r="AH16" i="35"/>
  <c r="AH52" i="35" s="1"/>
  <c r="AP16" i="35"/>
  <c r="AP52" i="35" s="1"/>
  <c r="AX16" i="35"/>
  <c r="AX52" i="35" s="1"/>
  <c r="BF16" i="35"/>
  <c r="BF52" i="35" s="1"/>
  <c r="BN16" i="35"/>
  <c r="BN52" i="35" s="1"/>
  <c r="BV16" i="35"/>
  <c r="BV52" i="35" s="1"/>
  <c r="CD16" i="35"/>
  <c r="CD52" i="35" s="1"/>
  <c r="D16" i="35"/>
  <c r="T16" i="35"/>
  <c r="T52" i="35" s="1"/>
  <c r="AJ16" i="35"/>
  <c r="AJ52" i="35" s="1"/>
  <c r="AZ16" i="35"/>
  <c r="AZ52" i="35" s="1"/>
  <c r="BP16" i="35"/>
  <c r="BP52" i="35" s="1"/>
  <c r="CF16" i="35"/>
  <c r="CF52" i="35" s="1"/>
  <c r="H16" i="35"/>
  <c r="X16" i="35"/>
  <c r="X52" i="35" s="1"/>
  <c r="AN16" i="35"/>
  <c r="AN52" i="35" s="1"/>
  <c r="BD16" i="35"/>
  <c r="BD52" i="35" s="1"/>
  <c r="BT16" i="35"/>
  <c r="BT52" i="35" s="1"/>
  <c r="G52" i="35" l="1"/>
  <c r="G17" i="35"/>
  <c r="H17" i="35" s="1"/>
  <c r="I17" i="35" s="1"/>
  <c r="J17" i="35" s="1"/>
  <c r="K17" i="35" s="1"/>
  <c r="L17" i="35" s="1"/>
  <c r="M17" i="35" s="1"/>
  <c r="N17" i="35" s="1"/>
  <c r="O17" i="35" s="1"/>
  <c r="P17" i="35" s="1"/>
  <c r="Q17" i="35" s="1"/>
  <c r="R17" i="35" s="1"/>
  <c r="S17" i="35" s="1"/>
  <c r="T17" i="35" s="1"/>
  <c r="U17" i="35" s="1"/>
  <c r="V17" i="35" s="1"/>
  <c r="W17" i="35" s="1"/>
  <c r="X17" i="35" s="1"/>
  <c r="Y17" i="35" s="1"/>
  <c r="Z17" i="35" s="1"/>
  <c r="AA17" i="35" s="1"/>
  <c r="AB17" i="35" s="1"/>
  <c r="AC17" i="35" s="1"/>
  <c r="AD17" i="35" s="1"/>
  <c r="AE17" i="35" s="1"/>
  <c r="AF17" i="35" s="1"/>
  <c r="AG17" i="35" s="1"/>
  <c r="AH17" i="35" s="1"/>
  <c r="AI17" i="35" s="1"/>
  <c r="AJ17" i="35" s="1"/>
  <c r="AK17" i="35" s="1"/>
  <c r="AL17" i="35" s="1"/>
  <c r="AM17" i="35" s="1"/>
  <c r="AN17" i="35" s="1"/>
  <c r="AO17" i="35" s="1"/>
  <c r="AP17" i="35" s="1"/>
  <c r="AQ17" i="35" s="1"/>
  <c r="AR17" i="35" s="1"/>
  <c r="AS17" i="35" s="1"/>
  <c r="AT17" i="35" s="1"/>
  <c r="AU17" i="35" s="1"/>
  <c r="AV17" i="35" s="1"/>
  <c r="AW17" i="35" s="1"/>
  <c r="AX17" i="35" s="1"/>
  <c r="AY17" i="35" s="1"/>
  <c r="AZ17" i="35" s="1"/>
  <c r="BA17" i="35" s="1"/>
  <c r="BB17" i="35" s="1"/>
  <c r="BC17" i="35" s="1"/>
  <c r="BD17" i="35" s="1"/>
  <c r="BE17" i="35" s="1"/>
  <c r="BF17" i="35" s="1"/>
  <c r="BG17" i="35" s="1"/>
  <c r="BH17" i="35" s="1"/>
  <c r="BI17" i="35" s="1"/>
  <c r="BJ17" i="35" s="1"/>
  <c r="BK17" i="35" s="1"/>
  <c r="BL17" i="35" s="1"/>
  <c r="BM17" i="35" s="1"/>
  <c r="BN17" i="35" s="1"/>
  <c r="BO17" i="35" s="1"/>
  <c r="BP17" i="35" s="1"/>
  <c r="BQ17" i="35" s="1"/>
  <c r="BR17" i="35" s="1"/>
  <c r="BS17" i="35" s="1"/>
  <c r="BT17" i="35" s="1"/>
  <c r="BU17" i="35" s="1"/>
  <c r="BV17" i="35" s="1"/>
  <c r="BW17" i="35" s="1"/>
  <c r="BX17" i="35" s="1"/>
  <c r="BY17" i="35" s="1"/>
  <c r="BZ17" i="35" s="1"/>
  <c r="CA17" i="35" s="1"/>
  <c r="CB17" i="35" s="1"/>
  <c r="CC17" i="35" s="1"/>
  <c r="CD17" i="35" s="1"/>
  <c r="CE17" i="35" s="1"/>
  <c r="CF17" i="35" s="1"/>
  <c r="CG17" i="35" s="1"/>
  <c r="CH17" i="35" s="1"/>
  <c r="I52" i="35"/>
  <c r="V52" i="35"/>
  <c r="U52" i="35"/>
  <c r="K52" i="35"/>
  <c r="W52" i="35"/>
  <c r="H52" i="35"/>
  <c r="H55" i="35"/>
  <c r="I55" i="35" s="1"/>
  <c r="J55" i="35" s="1"/>
  <c r="K55" i="35" s="1"/>
  <c r="L55" i="35" s="1"/>
  <c r="M55" i="35" s="1"/>
  <c r="N55" i="35" s="1"/>
  <c r="O55" i="35" s="1"/>
  <c r="P55" i="35" s="1"/>
  <c r="Q55" i="35" s="1"/>
  <c r="R55" i="35" s="1"/>
  <c r="S55" i="35" s="1"/>
  <c r="T55" i="35" s="1"/>
  <c r="U55" i="35" s="1"/>
  <c r="V55" i="35" s="1"/>
  <c r="W55" i="35" s="1"/>
  <c r="X55" i="35" s="1"/>
  <c r="Y55" i="35" s="1"/>
  <c r="Z55" i="35" s="1"/>
  <c r="AA55" i="35" s="1"/>
  <c r="AB55" i="35" s="1"/>
  <c r="AC55" i="35" s="1"/>
  <c r="AD55" i="35" s="1"/>
  <c r="AE55" i="35" s="1"/>
  <c r="AF55" i="35" s="1"/>
  <c r="AG55" i="35" s="1"/>
  <c r="AH55" i="35" s="1"/>
  <c r="AI55" i="35" s="1"/>
  <c r="AJ55" i="35" s="1"/>
  <c r="AK55" i="35" s="1"/>
  <c r="AL55" i="35" s="1"/>
  <c r="AM55" i="35" s="1"/>
  <c r="AN55" i="35" s="1"/>
  <c r="AO55" i="35" s="1"/>
  <c r="AP55" i="35" s="1"/>
  <c r="AQ55" i="35" s="1"/>
  <c r="AR55" i="35" s="1"/>
  <c r="AS55" i="35" s="1"/>
  <c r="AT55" i="35" s="1"/>
  <c r="AU55" i="35" s="1"/>
  <c r="AV55" i="35" s="1"/>
  <c r="AW55" i="35" s="1"/>
  <c r="AX55" i="35" s="1"/>
  <c r="AY55" i="35" s="1"/>
  <c r="AZ55" i="35" s="1"/>
  <c r="BA55" i="35" s="1"/>
  <c r="BB55" i="35" s="1"/>
  <c r="BC55" i="35" s="1"/>
  <c r="BD55" i="35" s="1"/>
  <c r="BE55" i="35" s="1"/>
  <c r="BF55" i="35" s="1"/>
  <c r="BG55" i="35" s="1"/>
  <c r="BH55" i="35" s="1"/>
  <c r="BI55" i="35" s="1"/>
  <c r="BJ55" i="35" s="1"/>
  <c r="BK55" i="35" s="1"/>
  <c r="BL55" i="35" s="1"/>
  <c r="BM55" i="35" s="1"/>
  <c r="BN55" i="35" s="1"/>
  <c r="BO55" i="35" s="1"/>
  <c r="BP55" i="35" s="1"/>
  <c r="BQ55" i="35" s="1"/>
  <c r="BR55" i="35" s="1"/>
  <c r="BS55" i="35" s="1"/>
  <c r="BT55" i="35" s="1"/>
  <c r="BU55" i="35" s="1"/>
  <c r="BV55" i="35" s="1"/>
  <c r="BW55" i="35" s="1"/>
  <c r="BX55" i="35" s="1"/>
  <c r="BY55" i="35" s="1"/>
  <c r="BZ55" i="35" s="1"/>
  <c r="CA55" i="35" s="1"/>
  <c r="CB55" i="35" s="1"/>
  <c r="CC55" i="35" s="1"/>
  <c r="CD55" i="35" s="1"/>
  <c r="CE55" i="35" s="1"/>
  <c r="CF55" i="35" s="1"/>
  <c r="CG55" i="35" s="1"/>
  <c r="CH55" i="35" s="1"/>
  <c r="J52" i="35"/>
  <c r="B34" i="3" l="1"/>
  <c r="B35" i="3" s="1"/>
  <c r="D33" i="3"/>
  <c r="E7" i="3"/>
  <c r="D35" i="3" l="1"/>
  <c r="B36" i="3"/>
  <c r="Y71" i="1"/>
  <c r="Y55" i="1"/>
  <c r="Y66" i="1"/>
  <c r="Y54" i="1"/>
  <c r="Y69" i="1"/>
  <c r="Y53" i="1"/>
  <c r="Y72" i="1"/>
  <c r="Y56" i="1"/>
  <c r="Y46" i="1"/>
  <c r="Y67" i="1"/>
  <c r="Y51" i="1"/>
  <c r="Y58" i="1"/>
  <c r="Y45" i="1"/>
  <c r="Y65" i="1"/>
  <c r="Y49" i="1"/>
  <c r="Y68" i="1"/>
  <c r="Y52" i="1"/>
  <c r="Y70" i="1"/>
  <c r="Y62" i="1"/>
  <c r="Y57" i="1"/>
  <c r="Y63" i="1"/>
  <c r="Y50" i="1"/>
  <c r="Y61" i="1"/>
  <c r="Y47" i="1"/>
  <c r="Y64" i="1"/>
  <c r="Y48" i="1"/>
  <c r="Y59" i="1"/>
  <c r="Y73" i="1"/>
  <c r="Y60" i="1"/>
  <c r="Z70" i="1" l="1"/>
  <c r="Z67" i="1"/>
  <c r="Z53" i="1"/>
  <c r="Z55" i="1"/>
  <c r="Z60" i="1"/>
  <c r="Z64" i="1"/>
  <c r="Z63" i="1"/>
  <c r="Z52" i="1"/>
  <c r="Z69" i="1"/>
  <c r="Z71" i="1"/>
  <c r="Z50" i="1"/>
  <c r="Z65" i="1"/>
  <c r="Z73" i="1"/>
  <c r="Z57" i="1"/>
  <c r="Z68" i="1"/>
  <c r="Z58" i="1"/>
  <c r="Z56" i="1"/>
  <c r="Z54" i="1"/>
  <c r="Z59" i="1"/>
  <c r="Z61" i="1"/>
  <c r="Z62" i="1"/>
  <c r="Z51" i="1"/>
  <c r="Z72" i="1"/>
  <c r="Z66" i="1"/>
  <c r="D36" i="3"/>
  <c r="B37" i="3"/>
  <c r="B38" i="3" l="1"/>
  <c r="D37" i="3"/>
  <c r="AD93" i="6"/>
  <c r="W93" i="6"/>
  <c r="P93" i="6"/>
  <c r="I93" i="6"/>
  <c r="U80" i="2"/>
  <c r="O80" i="2"/>
  <c r="I80" i="2"/>
  <c r="C80" i="2"/>
  <c r="U79" i="2"/>
  <c r="O79" i="2"/>
  <c r="I79" i="2"/>
  <c r="C79" i="2"/>
  <c r="U78" i="2"/>
  <c r="O78" i="2"/>
  <c r="I78" i="2"/>
  <c r="C78" i="2"/>
  <c r="U77" i="2"/>
  <c r="O77" i="2"/>
  <c r="I77" i="2"/>
  <c r="C77" i="2"/>
  <c r="U76" i="2"/>
  <c r="O76" i="2"/>
  <c r="I76" i="2"/>
  <c r="C76" i="2"/>
  <c r="U75" i="2"/>
  <c r="O75" i="2"/>
  <c r="I75" i="2"/>
  <c r="C75" i="2"/>
  <c r="U74" i="2"/>
  <c r="O74" i="2"/>
  <c r="I74" i="2"/>
  <c r="C74" i="2"/>
  <c r="U73" i="2"/>
  <c r="O73" i="2"/>
  <c r="I73" i="2"/>
  <c r="C73" i="2"/>
  <c r="U72" i="2"/>
  <c r="O72" i="2"/>
  <c r="I72" i="2"/>
  <c r="C72" i="2"/>
  <c r="U71" i="2"/>
  <c r="I80" i="13" s="1"/>
  <c r="O71" i="2"/>
  <c r="G80" i="13" s="1"/>
  <c r="I71" i="2"/>
  <c r="E80" i="13" s="1"/>
  <c r="C71" i="2"/>
  <c r="C80" i="13" s="1"/>
  <c r="U70" i="2"/>
  <c r="I79" i="13" s="1"/>
  <c r="O70" i="2"/>
  <c r="G79" i="13" s="1"/>
  <c r="I70" i="2"/>
  <c r="E79" i="13" s="1"/>
  <c r="C70" i="2"/>
  <c r="C79" i="13" s="1"/>
  <c r="U69" i="2"/>
  <c r="I78" i="13" s="1"/>
  <c r="O69" i="2"/>
  <c r="G78" i="13" s="1"/>
  <c r="I69" i="2"/>
  <c r="E78" i="13" s="1"/>
  <c r="C69" i="2"/>
  <c r="C78" i="13" s="1"/>
  <c r="U68" i="2"/>
  <c r="I77" i="13" s="1"/>
  <c r="O68" i="2"/>
  <c r="G77" i="13" s="1"/>
  <c r="I68" i="2"/>
  <c r="E77" i="13" s="1"/>
  <c r="C68" i="2"/>
  <c r="C77" i="13" s="1"/>
  <c r="U67" i="2"/>
  <c r="I76" i="13" s="1"/>
  <c r="O67" i="2"/>
  <c r="G76" i="13" s="1"/>
  <c r="I67" i="2"/>
  <c r="E76" i="13" s="1"/>
  <c r="C67" i="2"/>
  <c r="C76" i="13" s="1"/>
  <c r="U66" i="2"/>
  <c r="I75" i="13" s="1"/>
  <c r="O66" i="2"/>
  <c r="G75" i="13" s="1"/>
  <c r="I66" i="2"/>
  <c r="E75" i="13" s="1"/>
  <c r="C66" i="2"/>
  <c r="C75" i="13" s="1"/>
  <c r="U65" i="2"/>
  <c r="I74" i="13" s="1"/>
  <c r="O65" i="2"/>
  <c r="G74" i="13" s="1"/>
  <c r="I65" i="2"/>
  <c r="E74" i="13" s="1"/>
  <c r="C65" i="2"/>
  <c r="C74" i="13" s="1"/>
  <c r="U64" i="2"/>
  <c r="I73" i="13" s="1"/>
  <c r="O64" i="2"/>
  <c r="G73" i="13" s="1"/>
  <c r="I64" i="2"/>
  <c r="E73" i="13" s="1"/>
  <c r="C64" i="2"/>
  <c r="C73" i="13" s="1"/>
  <c r="U63" i="2"/>
  <c r="I72" i="13" s="1"/>
  <c r="O63" i="2"/>
  <c r="G72" i="13" s="1"/>
  <c r="I63" i="2"/>
  <c r="E72" i="13" s="1"/>
  <c r="C63" i="2"/>
  <c r="C72" i="13" s="1"/>
  <c r="U62" i="2"/>
  <c r="I71" i="13" s="1"/>
  <c r="O62" i="2"/>
  <c r="G71" i="13" s="1"/>
  <c r="I62" i="2"/>
  <c r="E71" i="13" s="1"/>
  <c r="C62" i="2"/>
  <c r="C71" i="13" s="1"/>
  <c r="U61" i="2"/>
  <c r="I70" i="13" s="1"/>
  <c r="O61" i="2"/>
  <c r="G70" i="13" s="1"/>
  <c r="I61" i="2"/>
  <c r="E70" i="13" s="1"/>
  <c r="C61" i="2"/>
  <c r="C70" i="13" s="1"/>
  <c r="U60" i="2"/>
  <c r="I69" i="13" s="1"/>
  <c r="O60" i="2"/>
  <c r="G69" i="13" s="1"/>
  <c r="I60" i="2"/>
  <c r="E69" i="13" s="1"/>
  <c r="C60" i="2"/>
  <c r="C69" i="13" s="1"/>
  <c r="U59" i="2"/>
  <c r="I68" i="13" s="1"/>
  <c r="O59" i="2"/>
  <c r="G68" i="13" s="1"/>
  <c r="I59" i="2"/>
  <c r="E68" i="13" s="1"/>
  <c r="C59" i="2"/>
  <c r="C68" i="13" s="1"/>
  <c r="U58" i="2"/>
  <c r="I67" i="13" s="1"/>
  <c r="O58" i="2"/>
  <c r="G67" i="13" s="1"/>
  <c r="I58" i="2"/>
  <c r="E67" i="13" s="1"/>
  <c r="C58" i="2"/>
  <c r="C67" i="13" s="1"/>
  <c r="U57" i="2"/>
  <c r="I66" i="13" s="1"/>
  <c r="O57" i="2"/>
  <c r="G66" i="13" s="1"/>
  <c r="I57" i="2"/>
  <c r="E66" i="13" s="1"/>
  <c r="C57" i="2"/>
  <c r="C66" i="13" s="1"/>
  <c r="U56" i="2"/>
  <c r="I65" i="13" s="1"/>
  <c r="O56" i="2"/>
  <c r="G65" i="13" s="1"/>
  <c r="I56" i="2"/>
  <c r="E65" i="13" s="1"/>
  <c r="C56" i="2"/>
  <c r="C65" i="13" s="1"/>
  <c r="U55" i="2"/>
  <c r="I64" i="13" s="1"/>
  <c r="O55" i="2"/>
  <c r="G64" i="13" s="1"/>
  <c r="I55" i="2"/>
  <c r="E64" i="13" s="1"/>
  <c r="C55" i="2"/>
  <c r="C64" i="13" s="1"/>
  <c r="U54" i="2"/>
  <c r="I63" i="13" s="1"/>
  <c r="O54" i="2"/>
  <c r="G63" i="13" s="1"/>
  <c r="I54" i="2"/>
  <c r="E63" i="13" s="1"/>
  <c r="C54" i="2"/>
  <c r="C63" i="13" s="1"/>
  <c r="U53" i="2"/>
  <c r="I62" i="13" s="1"/>
  <c r="O53" i="2"/>
  <c r="G62" i="13" s="1"/>
  <c r="I53" i="2"/>
  <c r="E62" i="13" s="1"/>
  <c r="C53" i="2"/>
  <c r="C62" i="13" s="1"/>
  <c r="U52" i="2"/>
  <c r="I61" i="13" s="1"/>
  <c r="O52" i="2"/>
  <c r="G61" i="13" s="1"/>
  <c r="I52" i="2"/>
  <c r="E61" i="13" s="1"/>
  <c r="C52" i="2"/>
  <c r="C61" i="13" s="1"/>
  <c r="U51" i="2"/>
  <c r="I60" i="13" s="1"/>
  <c r="O51" i="2"/>
  <c r="G60" i="13" s="1"/>
  <c r="I51" i="2"/>
  <c r="E60" i="13" s="1"/>
  <c r="C51" i="2"/>
  <c r="C60" i="13" s="1"/>
  <c r="U50" i="2"/>
  <c r="I59" i="13" s="1"/>
  <c r="O50" i="2"/>
  <c r="G59" i="13" s="1"/>
  <c r="I50" i="2"/>
  <c r="E59" i="13" s="1"/>
  <c r="C50" i="2"/>
  <c r="C59" i="13" s="1"/>
  <c r="U49" i="2"/>
  <c r="I58" i="13" s="1"/>
  <c r="O49" i="2"/>
  <c r="G58" i="13" s="1"/>
  <c r="I49" i="2"/>
  <c r="E58" i="13" s="1"/>
  <c r="C49" i="2"/>
  <c r="C58" i="13" s="1"/>
  <c r="U48" i="2"/>
  <c r="I57" i="13" s="1"/>
  <c r="O48" i="2"/>
  <c r="G57" i="13" s="1"/>
  <c r="I48" i="2"/>
  <c r="E57" i="13" s="1"/>
  <c r="C48" i="2"/>
  <c r="C57" i="13" s="1"/>
  <c r="U47" i="2"/>
  <c r="I56" i="13" s="1"/>
  <c r="O47" i="2"/>
  <c r="G56" i="13" s="1"/>
  <c r="I47" i="2"/>
  <c r="E56" i="13" s="1"/>
  <c r="C47" i="2"/>
  <c r="C56" i="13" s="1"/>
  <c r="U46" i="2"/>
  <c r="I55" i="13" s="1"/>
  <c r="O46" i="2"/>
  <c r="G55" i="13" s="1"/>
  <c r="I46" i="2"/>
  <c r="E55" i="13" s="1"/>
  <c r="C46" i="2"/>
  <c r="C55" i="13" s="1"/>
  <c r="U45" i="2"/>
  <c r="I54" i="13" s="1"/>
  <c r="O45" i="2"/>
  <c r="G54" i="13" s="1"/>
  <c r="I45" i="2"/>
  <c r="E54" i="13" s="1"/>
  <c r="C45" i="2"/>
  <c r="C54" i="13" s="1"/>
  <c r="U44" i="2"/>
  <c r="I53" i="13" s="1"/>
  <c r="O44" i="2"/>
  <c r="G53" i="13" s="1"/>
  <c r="I44" i="2"/>
  <c r="E53" i="13" s="1"/>
  <c r="C44" i="2"/>
  <c r="C53" i="13" s="1"/>
  <c r="U43" i="2"/>
  <c r="I52" i="13" s="1"/>
  <c r="O43" i="2"/>
  <c r="G52" i="13" s="1"/>
  <c r="I43" i="2"/>
  <c r="E52" i="13" s="1"/>
  <c r="C43" i="2"/>
  <c r="C52" i="13" s="1"/>
  <c r="U42" i="2"/>
  <c r="I51" i="13" s="1"/>
  <c r="O42" i="2"/>
  <c r="G51" i="13" s="1"/>
  <c r="I42" i="2"/>
  <c r="E51" i="13" s="1"/>
  <c r="C42" i="2"/>
  <c r="C51" i="13" s="1"/>
  <c r="U41" i="2"/>
  <c r="I50" i="13" s="1"/>
  <c r="O41" i="2"/>
  <c r="G50" i="13" s="1"/>
  <c r="I41" i="2"/>
  <c r="E50" i="13" s="1"/>
  <c r="C41" i="2"/>
  <c r="C50" i="13" s="1"/>
  <c r="U40" i="2"/>
  <c r="I49" i="13" s="1"/>
  <c r="O40" i="2"/>
  <c r="G49" i="13" s="1"/>
  <c r="I40" i="2"/>
  <c r="E49" i="13" s="1"/>
  <c r="C40" i="2"/>
  <c r="C49" i="13" s="1"/>
  <c r="U39" i="2"/>
  <c r="I48" i="13" s="1"/>
  <c r="O39" i="2"/>
  <c r="G48" i="13" s="1"/>
  <c r="I39" i="2"/>
  <c r="E48" i="13" s="1"/>
  <c r="C39" i="2"/>
  <c r="C48" i="13" s="1"/>
  <c r="U38" i="2"/>
  <c r="I47" i="13" s="1"/>
  <c r="O38" i="2"/>
  <c r="G47" i="13" s="1"/>
  <c r="I38" i="2"/>
  <c r="C38" i="2"/>
  <c r="C47" i="13" s="1"/>
  <c r="U37" i="2"/>
  <c r="O37" i="2"/>
  <c r="I37" i="2"/>
  <c r="C37" i="2"/>
  <c r="U36" i="2"/>
  <c r="O36" i="2"/>
  <c r="I36" i="2"/>
  <c r="C45" i="13"/>
  <c r="U35" i="2"/>
  <c r="O35" i="2"/>
  <c r="I35" i="2"/>
  <c r="C35" i="2"/>
  <c r="U34" i="2"/>
  <c r="O34" i="2"/>
  <c r="I34" i="2"/>
  <c r="C34" i="2"/>
  <c r="U33" i="2"/>
  <c r="O33" i="2"/>
  <c r="I33" i="2"/>
  <c r="C33" i="2"/>
  <c r="U32" i="2"/>
  <c r="O32" i="2"/>
  <c r="I32" i="2"/>
  <c r="C32" i="2"/>
  <c r="U31" i="2"/>
  <c r="O31" i="2"/>
  <c r="I31" i="2"/>
  <c r="C31" i="2"/>
  <c r="Z30" i="2"/>
  <c r="T30" i="2"/>
  <c r="N30" i="2"/>
  <c r="H30" i="2"/>
  <c r="C34" i="13" l="1"/>
  <c r="D34" i="13" s="1"/>
  <c r="D31" i="2"/>
  <c r="H31" i="2"/>
  <c r="E34" i="13"/>
  <c r="F34" i="13" s="1"/>
  <c r="J31" i="2"/>
  <c r="E47" i="13"/>
  <c r="C42" i="13"/>
  <c r="C36" i="13"/>
  <c r="E41" i="13"/>
  <c r="E35" i="13"/>
  <c r="E43" i="13"/>
  <c r="E37" i="13"/>
  <c r="E45" i="13"/>
  <c r="E39" i="13"/>
  <c r="G34" i="13"/>
  <c r="H34" i="13" s="1"/>
  <c r="G41" i="13"/>
  <c r="G35" i="13"/>
  <c r="G42" i="13"/>
  <c r="G36" i="13"/>
  <c r="G43" i="13"/>
  <c r="G37" i="13"/>
  <c r="G44" i="13"/>
  <c r="G38" i="13"/>
  <c r="G45" i="13"/>
  <c r="G39" i="13"/>
  <c r="G46" i="13"/>
  <c r="G40" i="13"/>
  <c r="C41" i="13"/>
  <c r="C35" i="13"/>
  <c r="D35" i="13" s="1"/>
  <c r="C43" i="13"/>
  <c r="C37" i="13"/>
  <c r="C44" i="13"/>
  <c r="C38" i="13"/>
  <c r="C46" i="13"/>
  <c r="C40" i="13"/>
  <c r="E42" i="13"/>
  <c r="E36" i="13"/>
  <c r="E44" i="13"/>
  <c r="E38" i="13"/>
  <c r="E46" i="13"/>
  <c r="E40" i="13"/>
  <c r="I34" i="13"/>
  <c r="J34" i="13" s="1"/>
  <c r="I41" i="13"/>
  <c r="I35" i="13"/>
  <c r="I42" i="13"/>
  <c r="I36" i="13"/>
  <c r="I43" i="13"/>
  <c r="I37" i="13"/>
  <c r="I44" i="13"/>
  <c r="I38" i="13"/>
  <c r="I45" i="13"/>
  <c r="I39" i="13"/>
  <c r="I46" i="13"/>
  <c r="I40" i="13"/>
  <c r="N31" i="2"/>
  <c r="N32" i="2" s="1"/>
  <c r="N33" i="2" s="1"/>
  <c r="N34" i="2" s="1"/>
  <c r="N35" i="2" s="1"/>
  <c r="N36" i="2" s="1"/>
  <c r="N37" i="2" s="1"/>
  <c r="N38" i="2" s="1"/>
  <c r="N39" i="2" s="1"/>
  <c r="N40" i="2" s="1"/>
  <c r="N41" i="2" s="1"/>
  <c r="N42" i="2" s="1"/>
  <c r="N43" i="2" s="1"/>
  <c r="N44" i="2" s="1"/>
  <c r="N45" i="2" s="1"/>
  <c r="N46" i="2" s="1"/>
  <c r="N47" i="2" s="1"/>
  <c r="N48" i="2" s="1"/>
  <c r="N49" i="2" s="1"/>
  <c r="N50" i="2" s="1"/>
  <c r="N51" i="2" s="1"/>
  <c r="N52" i="2" s="1"/>
  <c r="N53" i="2" s="1"/>
  <c r="N54" i="2" s="1"/>
  <c r="N55" i="2" s="1"/>
  <c r="N56" i="2" s="1"/>
  <c r="N57" i="2" s="1"/>
  <c r="N58" i="2" s="1"/>
  <c r="N59" i="2" s="1"/>
  <c r="N60" i="2" s="1"/>
  <c r="N61" i="2" s="1"/>
  <c r="N62" i="2" s="1"/>
  <c r="N63" i="2" s="1"/>
  <c r="N64" i="2" s="1"/>
  <c r="N65" i="2" s="1"/>
  <c r="N66" i="2" s="1"/>
  <c r="N67" i="2" s="1"/>
  <c r="N68" i="2" s="1"/>
  <c r="N69" i="2" s="1"/>
  <c r="N70" i="2" s="1"/>
  <c r="N71" i="2" s="1"/>
  <c r="N72" i="2" s="1"/>
  <c r="N73" i="2" s="1"/>
  <c r="N74" i="2" s="1"/>
  <c r="N75" i="2" s="1"/>
  <c r="N76" i="2" s="1"/>
  <c r="N77" i="2" s="1"/>
  <c r="N78" i="2" s="1"/>
  <c r="N79" i="2" s="1"/>
  <c r="N80" i="2" s="1"/>
  <c r="Z31" i="2"/>
  <c r="Z32" i="2" s="1"/>
  <c r="Z33" i="2" s="1"/>
  <c r="Z34" i="2" s="1"/>
  <c r="Z35" i="2" s="1"/>
  <c r="Z36" i="2" s="1"/>
  <c r="Z37" i="2" s="1"/>
  <c r="Z38" i="2" s="1"/>
  <c r="Z39" i="2" s="1"/>
  <c r="Z40" i="2" s="1"/>
  <c r="Z41" i="2" s="1"/>
  <c r="Z42" i="2" s="1"/>
  <c r="Z43" i="2" s="1"/>
  <c r="Z44" i="2" s="1"/>
  <c r="Z45" i="2" s="1"/>
  <c r="Z46" i="2" s="1"/>
  <c r="Z47" i="2" s="1"/>
  <c r="Z48" i="2" s="1"/>
  <c r="Z49" i="2" s="1"/>
  <c r="Z50" i="2" s="1"/>
  <c r="Z51" i="2" s="1"/>
  <c r="Z52" i="2" s="1"/>
  <c r="Z53" i="2" s="1"/>
  <c r="Z54" i="2" s="1"/>
  <c r="Z55" i="2" s="1"/>
  <c r="Z56" i="2" s="1"/>
  <c r="Z57" i="2" s="1"/>
  <c r="Z58" i="2" s="1"/>
  <c r="Z59" i="2" s="1"/>
  <c r="Z60" i="2" s="1"/>
  <c r="Z61" i="2" s="1"/>
  <c r="Z62" i="2" s="1"/>
  <c r="Z63" i="2" s="1"/>
  <c r="Z64" i="2" s="1"/>
  <c r="Z65" i="2" s="1"/>
  <c r="Z66" i="2" s="1"/>
  <c r="Z67" i="2" s="1"/>
  <c r="Z68" i="2" s="1"/>
  <c r="Z69" i="2" s="1"/>
  <c r="Z70" i="2" s="1"/>
  <c r="Z71" i="2" s="1"/>
  <c r="Z72" i="2" s="1"/>
  <c r="Z73" i="2" s="1"/>
  <c r="Z74" i="2" s="1"/>
  <c r="Z75" i="2" s="1"/>
  <c r="Z76" i="2" s="1"/>
  <c r="Z77" i="2" s="1"/>
  <c r="Z78" i="2" s="1"/>
  <c r="Z79" i="2" s="1"/>
  <c r="Z80" i="2" s="1"/>
  <c r="D38" i="3"/>
  <c r="B39" i="3"/>
  <c r="T31" i="2"/>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H32" i="2"/>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H67" i="2" s="1"/>
  <c r="H68" i="2" s="1"/>
  <c r="H69" i="2" s="1"/>
  <c r="H70" i="2" s="1"/>
  <c r="H71" i="2" s="1"/>
  <c r="H72" i="2" s="1"/>
  <c r="H73" i="2" s="1"/>
  <c r="H74" i="2" s="1"/>
  <c r="H75" i="2" s="1"/>
  <c r="H76" i="2" s="1"/>
  <c r="H77" i="2" s="1"/>
  <c r="H78" i="2" s="1"/>
  <c r="H79" i="2" s="1"/>
  <c r="H80" i="2" s="1"/>
  <c r="F35" i="13" l="1"/>
  <c r="F36" i="13" s="1"/>
  <c r="F37" i="13" s="1"/>
  <c r="F38" i="13" s="1"/>
  <c r="F39" i="13" s="1"/>
  <c r="F40" i="13" s="1"/>
  <c r="F41" i="13" s="1"/>
  <c r="F42" i="13" s="1"/>
  <c r="F43" i="13" s="1"/>
  <c r="F44" i="13" s="1"/>
  <c r="F45" i="13" s="1"/>
  <c r="F46" i="13" s="1"/>
  <c r="F47" i="13" s="1"/>
  <c r="F48" i="13" s="1"/>
  <c r="F49" i="13" s="1"/>
  <c r="F50" i="13" s="1"/>
  <c r="F51" i="13" s="1"/>
  <c r="F52" i="13" s="1"/>
  <c r="F53" i="13" s="1"/>
  <c r="F54" i="13" s="1"/>
  <c r="F55" i="13" s="1"/>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D36" i="13"/>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 r="D67" i="13" s="1"/>
  <c r="D68" i="13" s="1"/>
  <c r="D69" i="13" s="1"/>
  <c r="D70" i="13" s="1"/>
  <c r="D71" i="13" s="1"/>
  <c r="D72" i="13" s="1"/>
  <c r="D73" i="13" s="1"/>
  <c r="D74" i="13" s="1"/>
  <c r="D75" i="13" s="1"/>
  <c r="D76" i="13" s="1"/>
  <c r="D77" i="13" s="1"/>
  <c r="D78" i="13" s="1"/>
  <c r="D79" i="13" s="1"/>
  <c r="D80" i="13" s="1"/>
  <c r="H35" i="13"/>
  <c r="H36" i="13" s="1"/>
  <c r="H37" i="13" s="1"/>
  <c r="H38" i="13" s="1"/>
  <c r="H39" i="13" s="1"/>
  <c r="H40" i="13" s="1"/>
  <c r="H41" i="13" s="1"/>
  <c r="H42" i="13" s="1"/>
  <c r="H43" i="13" s="1"/>
  <c r="H44" i="13" s="1"/>
  <c r="H45" i="13" s="1"/>
  <c r="H46" i="13" s="1"/>
  <c r="H47" i="13" s="1"/>
  <c r="H48" i="13" s="1"/>
  <c r="H49" i="13" s="1"/>
  <c r="H50" i="13" s="1"/>
  <c r="H51" i="13" s="1"/>
  <c r="H52" i="13" s="1"/>
  <c r="H53" i="13" s="1"/>
  <c r="H54" i="13" s="1"/>
  <c r="H55" i="13" s="1"/>
  <c r="H56" i="13" s="1"/>
  <c r="H57" i="13" s="1"/>
  <c r="H58" i="13" s="1"/>
  <c r="H59" i="13" s="1"/>
  <c r="H60" i="13" s="1"/>
  <c r="H61" i="13" s="1"/>
  <c r="H62" i="13" s="1"/>
  <c r="H63" i="13" s="1"/>
  <c r="H64" i="13" s="1"/>
  <c r="H65" i="13" s="1"/>
  <c r="H66" i="13" s="1"/>
  <c r="H67" i="13" s="1"/>
  <c r="H68" i="13" s="1"/>
  <c r="H69" i="13" s="1"/>
  <c r="H70" i="13" s="1"/>
  <c r="H71" i="13" s="1"/>
  <c r="H72" i="13" s="1"/>
  <c r="H73" i="13" s="1"/>
  <c r="H74" i="13" s="1"/>
  <c r="H75" i="13" s="1"/>
  <c r="H76" i="13" s="1"/>
  <c r="H77" i="13" s="1"/>
  <c r="H78" i="13" s="1"/>
  <c r="H79" i="13" s="1"/>
  <c r="H80" i="13" s="1"/>
  <c r="J35" i="13"/>
  <c r="J36" i="13" s="1"/>
  <c r="J37" i="13" s="1"/>
  <c r="J38" i="13" s="1"/>
  <c r="J39" i="13" s="1"/>
  <c r="J40" i="13" s="1"/>
  <c r="J41" i="13" s="1"/>
  <c r="J42" i="13" s="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J69" i="13" s="1"/>
  <c r="J70" i="13" s="1"/>
  <c r="J71" i="13" s="1"/>
  <c r="J72" i="13" s="1"/>
  <c r="J73" i="13" s="1"/>
  <c r="J74" i="13" s="1"/>
  <c r="J75" i="13" s="1"/>
  <c r="J76" i="13" s="1"/>
  <c r="J77" i="13" s="1"/>
  <c r="J78" i="13" s="1"/>
  <c r="J79" i="13" s="1"/>
  <c r="J80" i="13" s="1"/>
  <c r="D39" i="3"/>
  <c r="B40" i="3"/>
  <c r="K71" i="2"/>
  <c r="W71" i="2"/>
  <c r="P71" i="2"/>
  <c r="V71" i="2"/>
  <c r="Q71" i="2"/>
  <c r="D71" i="2"/>
  <c r="J71" i="2"/>
  <c r="E71" i="2"/>
  <c r="W79" i="1"/>
  <c r="Y71" i="2"/>
  <c r="R71" i="2"/>
  <c r="D40" i="3" l="1"/>
  <c r="E40" i="3" s="1"/>
  <c r="B41" i="3"/>
  <c r="F76" i="1"/>
  <c r="X66" i="2"/>
  <c r="J66" i="2"/>
  <c r="D66" i="2"/>
  <c r="R66" i="2"/>
  <c r="L66" i="2"/>
  <c r="V66" i="2"/>
  <c r="F66" i="2"/>
  <c r="P66" i="2"/>
  <c r="W68" i="2"/>
  <c r="Q68" i="2"/>
  <c r="K68" i="2"/>
  <c r="G68" i="2"/>
  <c r="E68" i="2"/>
  <c r="S68" i="2"/>
  <c r="Y68" i="2"/>
  <c r="M68" i="2"/>
  <c r="V65" i="2"/>
  <c r="J65" i="2"/>
  <c r="D65" i="2"/>
  <c r="P65" i="2"/>
  <c r="Q65" i="2"/>
  <c r="K65" i="2"/>
  <c r="E65" i="2"/>
  <c r="W65" i="2"/>
  <c r="V67" i="2"/>
  <c r="X67" i="2"/>
  <c r="D67" i="2"/>
  <c r="C70" i="22" s="1"/>
  <c r="R67" i="2"/>
  <c r="L67" i="2"/>
  <c r="J67" i="2"/>
  <c r="F67" i="2"/>
  <c r="P67" i="2"/>
  <c r="Q67" i="2"/>
  <c r="K67" i="2"/>
  <c r="E67" i="2"/>
  <c r="M67" i="2"/>
  <c r="W67" i="2"/>
  <c r="G67" i="2"/>
  <c r="S67" i="2"/>
  <c r="Y67" i="2"/>
  <c r="V69" i="2"/>
  <c r="X69" i="2"/>
  <c r="J69" i="2"/>
  <c r="D69" i="2"/>
  <c r="R69" i="2"/>
  <c r="L69" i="2"/>
  <c r="F69" i="2"/>
  <c r="P69" i="2"/>
  <c r="Q69" i="2"/>
  <c r="K69" i="2"/>
  <c r="E69" i="2"/>
  <c r="M69" i="2"/>
  <c r="W69" i="2"/>
  <c r="G69" i="2"/>
  <c r="S69" i="2"/>
  <c r="Y69" i="2"/>
  <c r="F75" i="1"/>
  <c r="F74" i="1"/>
  <c r="F78" i="1"/>
  <c r="L71" i="2"/>
  <c r="M71" i="2"/>
  <c r="X71" i="2"/>
  <c r="G71" i="2"/>
  <c r="W66" i="2"/>
  <c r="Q66" i="2"/>
  <c r="K66" i="2"/>
  <c r="G66" i="2"/>
  <c r="E66" i="2"/>
  <c r="S66" i="2"/>
  <c r="Y66" i="2"/>
  <c r="M66" i="2"/>
  <c r="L68" i="2"/>
  <c r="J68" i="2"/>
  <c r="D68" i="2"/>
  <c r="R68" i="2"/>
  <c r="X68" i="2"/>
  <c r="V68" i="2"/>
  <c r="F68" i="2"/>
  <c r="P68" i="2"/>
  <c r="X70" i="2"/>
  <c r="J70" i="2"/>
  <c r="D70" i="2"/>
  <c r="R70" i="2"/>
  <c r="L70" i="2"/>
  <c r="V70" i="2"/>
  <c r="F70" i="2"/>
  <c r="P70" i="2"/>
  <c r="K70" i="2"/>
  <c r="W70" i="2"/>
  <c r="G70" i="2"/>
  <c r="E70" i="2"/>
  <c r="Q70" i="2"/>
  <c r="S70" i="2"/>
  <c r="Y70" i="2"/>
  <c r="M70" i="2"/>
  <c r="F77" i="1"/>
  <c r="S71" i="2"/>
  <c r="F71" i="2"/>
  <c r="F79" i="1"/>
  <c r="W73" i="1"/>
  <c r="W75" i="1"/>
  <c r="W77" i="1"/>
  <c r="AA79" i="1"/>
  <c r="W74" i="1"/>
  <c r="W76" i="1"/>
  <c r="W78" i="1"/>
  <c r="F63" i="1"/>
  <c r="F61" i="1"/>
  <c r="F55" i="1"/>
  <c r="F54" i="1"/>
  <c r="F53" i="1"/>
  <c r="F80" i="1" l="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D80" i="1"/>
  <c r="B42" i="3"/>
  <c r="D41" i="3"/>
  <c r="E41" i="3" s="1"/>
  <c r="F62" i="1"/>
  <c r="Z104" i="6"/>
  <c r="S104" i="6"/>
  <c r="L104" i="6"/>
  <c r="E104" i="6"/>
  <c r="J41" i="2"/>
  <c r="D41" i="2"/>
  <c r="P41" i="2"/>
  <c r="V41" i="2"/>
  <c r="AA104" i="6"/>
  <c r="T104" i="6"/>
  <c r="M104" i="6"/>
  <c r="F104" i="6"/>
  <c r="W41" i="2"/>
  <c r="K41" i="2"/>
  <c r="E41" i="2"/>
  <c r="Q41" i="2"/>
  <c r="AB105" i="6"/>
  <c r="Z105" i="6"/>
  <c r="U105" i="6"/>
  <c r="S105" i="6"/>
  <c r="N105" i="6"/>
  <c r="L105" i="6"/>
  <c r="G105" i="6"/>
  <c r="E105" i="6"/>
  <c r="J42" i="2"/>
  <c r="D42" i="2"/>
  <c r="P42" i="2"/>
  <c r="X42" i="2"/>
  <c r="L42" i="2"/>
  <c r="V42" i="2"/>
  <c r="F42" i="2"/>
  <c r="R42" i="2"/>
  <c r="AC105" i="6"/>
  <c r="AA105" i="6"/>
  <c r="V105" i="6"/>
  <c r="T105" i="6"/>
  <c r="O105" i="6"/>
  <c r="M105" i="6"/>
  <c r="H105" i="6"/>
  <c r="F105" i="6"/>
  <c r="W42" i="2"/>
  <c r="K42" i="2"/>
  <c r="E42" i="2"/>
  <c r="G42" i="2"/>
  <c r="Q42" i="2"/>
  <c r="S42" i="2"/>
  <c r="M42" i="2"/>
  <c r="Y42" i="2"/>
  <c r="X43" i="2"/>
  <c r="L43" i="2"/>
  <c r="J43" i="2"/>
  <c r="D43" i="2"/>
  <c r="P43" i="2"/>
  <c r="V43" i="2"/>
  <c r="F43" i="2"/>
  <c r="R43" i="2"/>
  <c r="W43" i="2"/>
  <c r="K43" i="2"/>
  <c r="E43" i="2"/>
  <c r="Q43" i="2"/>
  <c r="G43" i="2"/>
  <c r="S43" i="2"/>
  <c r="M43" i="2"/>
  <c r="Y43" i="2"/>
  <c r="J48" i="2"/>
  <c r="D48" i="2"/>
  <c r="P48" i="2"/>
  <c r="L48" i="2"/>
  <c r="X48" i="2"/>
  <c r="V48" i="2"/>
  <c r="F48" i="2"/>
  <c r="R48" i="2"/>
  <c r="E48" i="2"/>
  <c r="W48" i="2"/>
  <c r="K48" i="2"/>
  <c r="G48" i="2"/>
  <c r="Q48" i="2"/>
  <c r="S48" i="2"/>
  <c r="M48" i="2"/>
  <c r="Y48" i="2"/>
  <c r="L49" i="2"/>
  <c r="X49" i="2"/>
  <c r="J49" i="2"/>
  <c r="D49" i="2"/>
  <c r="P49" i="2"/>
  <c r="V49" i="2"/>
  <c r="F49" i="2"/>
  <c r="R49" i="2"/>
  <c r="W49" i="2"/>
  <c r="E49" i="2"/>
  <c r="K49" i="2"/>
  <c r="Q49" i="2"/>
  <c r="G49" i="2"/>
  <c r="S49" i="2"/>
  <c r="M49" i="2"/>
  <c r="Y49" i="2"/>
  <c r="X50" i="2"/>
  <c r="J50" i="2"/>
  <c r="D50" i="2"/>
  <c r="P50" i="2"/>
  <c r="L50" i="2"/>
  <c r="V50" i="2"/>
  <c r="F50" i="2"/>
  <c r="R50" i="2"/>
  <c r="W50" i="2"/>
  <c r="K50" i="2"/>
  <c r="E50" i="2"/>
  <c r="G50" i="2"/>
  <c r="Q50" i="2"/>
  <c r="S50" i="2"/>
  <c r="M50" i="2"/>
  <c r="Y50" i="2"/>
  <c r="J51" i="2"/>
  <c r="D51" i="2"/>
  <c r="P51" i="2"/>
  <c r="X51" i="2"/>
  <c r="L51" i="2"/>
  <c r="V51" i="2"/>
  <c r="F51" i="2"/>
  <c r="R51" i="2"/>
  <c r="K51" i="2"/>
  <c r="E51" i="2"/>
  <c r="W51" i="2"/>
  <c r="Q51" i="2"/>
  <c r="G51" i="2"/>
  <c r="S51" i="2"/>
  <c r="M51" i="2"/>
  <c r="Y51" i="2"/>
  <c r="L56" i="2"/>
  <c r="X56" i="2"/>
  <c r="J56" i="2"/>
  <c r="D56" i="2"/>
  <c r="P56" i="2"/>
  <c r="V56" i="2"/>
  <c r="F56" i="2"/>
  <c r="R56" i="2"/>
  <c r="W56" i="2"/>
  <c r="K56" i="2"/>
  <c r="E56" i="2"/>
  <c r="G56" i="2"/>
  <c r="Q56" i="2"/>
  <c r="S56" i="2"/>
  <c r="M56" i="2"/>
  <c r="Y56" i="2"/>
  <c r="J57" i="2"/>
  <c r="D57" i="2"/>
  <c r="P57" i="2"/>
  <c r="L57" i="2"/>
  <c r="X57" i="2"/>
  <c r="V57" i="2"/>
  <c r="F57" i="2"/>
  <c r="R57" i="2"/>
  <c r="W57" i="2"/>
  <c r="K57" i="2"/>
  <c r="E57" i="2"/>
  <c r="Q57" i="2"/>
  <c r="G57" i="2"/>
  <c r="S57" i="2"/>
  <c r="M57" i="2"/>
  <c r="Y57" i="2"/>
  <c r="L58" i="2"/>
  <c r="J58" i="2"/>
  <c r="D58" i="2"/>
  <c r="P58" i="2"/>
  <c r="X58" i="2"/>
  <c r="V58" i="2"/>
  <c r="F58" i="2"/>
  <c r="R58" i="2"/>
  <c r="W58" i="2"/>
  <c r="K58" i="2"/>
  <c r="E58" i="2"/>
  <c r="G58" i="2"/>
  <c r="Q58" i="2"/>
  <c r="S58" i="2"/>
  <c r="M58" i="2"/>
  <c r="Y58" i="2"/>
  <c r="L59" i="2"/>
  <c r="X59" i="2"/>
  <c r="J59" i="2"/>
  <c r="D59" i="2"/>
  <c r="P59" i="2"/>
  <c r="V59" i="2"/>
  <c r="F59" i="2"/>
  <c r="R59" i="2"/>
  <c r="W59" i="2"/>
  <c r="K59" i="2"/>
  <c r="E59" i="2"/>
  <c r="Q59" i="2"/>
  <c r="G59" i="2"/>
  <c r="S59" i="2"/>
  <c r="M59" i="2"/>
  <c r="Y59" i="2"/>
  <c r="X60" i="2"/>
  <c r="J60" i="2"/>
  <c r="D60" i="2"/>
  <c r="P60" i="2"/>
  <c r="L60" i="2"/>
  <c r="V60" i="2"/>
  <c r="F60" i="2"/>
  <c r="R60" i="2"/>
  <c r="W60" i="2"/>
  <c r="K60" i="2"/>
  <c r="Q60" i="2"/>
  <c r="E60" i="2"/>
  <c r="G60" i="2"/>
  <c r="S60" i="2"/>
  <c r="M60" i="2"/>
  <c r="Y60" i="2"/>
  <c r="V61" i="2"/>
  <c r="X61" i="2"/>
  <c r="J61" i="2"/>
  <c r="D61" i="2"/>
  <c r="L61" i="2"/>
  <c r="F61" i="2"/>
  <c r="R61" i="2"/>
  <c r="P61" i="2"/>
  <c r="Q61" i="2"/>
  <c r="E61" i="2"/>
  <c r="K61" i="2"/>
  <c r="G61" i="2"/>
  <c r="W61" i="2"/>
  <c r="S61" i="2"/>
  <c r="M61" i="2"/>
  <c r="Y61" i="2"/>
  <c r="X62" i="2"/>
  <c r="J62" i="2"/>
  <c r="D62" i="2"/>
  <c r="R62" i="2"/>
  <c r="L62" i="2"/>
  <c r="V62" i="2"/>
  <c r="F62" i="2"/>
  <c r="P62" i="2"/>
  <c r="W62" i="2"/>
  <c r="Q62" i="2"/>
  <c r="K62" i="2"/>
  <c r="G62" i="2"/>
  <c r="E62" i="2"/>
  <c r="S62" i="2"/>
  <c r="Y62" i="2"/>
  <c r="M62" i="2"/>
  <c r="V63" i="2"/>
  <c r="X63" i="2"/>
  <c r="D63" i="2"/>
  <c r="R63" i="2"/>
  <c r="L63" i="2"/>
  <c r="J63" i="2"/>
  <c r="F63" i="2"/>
  <c r="P63" i="2"/>
  <c r="Q63" i="2"/>
  <c r="K63" i="2"/>
  <c r="E63" i="2"/>
  <c r="M63" i="2"/>
  <c r="W63" i="2"/>
  <c r="G63" i="2"/>
  <c r="S63" i="2"/>
  <c r="Y63" i="2"/>
  <c r="L64" i="2"/>
  <c r="J64" i="2"/>
  <c r="D64" i="2"/>
  <c r="R64" i="2"/>
  <c r="X64" i="2"/>
  <c r="V64" i="2"/>
  <c r="F64" i="2"/>
  <c r="P64" i="2"/>
  <c r="F73" i="1"/>
  <c r="W64" i="2"/>
  <c r="Q64" i="2"/>
  <c r="K64" i="2"/>
  <c r="G64" i="2"/>
  <c r="E64" i="2"/>
  <c r="S64" i="2"/>
  <c r="Y64" i="2"/>
  <c r="M64" i="2"/>
  <c r="F52" i="1"/>
  <c r="F60" i="1"/>
  <c r="S65" i="2"/>
  <c r="F65" i="2"/>
  <c r="R65" i="2"/>
  <c r="J44" i="2"/>
  <c r="D44" i="2"/>
  <c r="P44" i="2"/>
  <c r="L44" i="2"/>
  <c r="X44" i="2"/>
  <c r="V44" i="2"/>
  <c r="F44" i="2"/>
  <c r="R44" i="2"/>
  <c r="E44" i="2"/>
  <c r="W44" i="2"/>
  <c r="K44" i="2"/>
  <c r="G44" i="2"/>
  <c r="Q44" i="2"/>
  <c r="S44" i="2"/>
  <c r="M44" i="2"/>
  <c r="Y44" i="2"/>
  <c r="L45" i="2"/>
  <c r="X45" i="2"/>
  <c r="J45" i="2"/>
  <c r="D45" i="2"/>
  <c r="P45" i="2"/>
  <c r="V45" i="2"/>
  <c r="F45" i="2"/>
  <c r="R45" i="2"/>
  <c r="W45" i="2"/>
  <c r="E45" i="2"/>
  <c r="K45" i="2"/>
  <c r="Q45" i="2"/>
  <c r="G45" i="2"/>
  <c r="S45" i="2"/>
  <c r="M45" i="2"/>
  <c r="Y45" i="2"/>
  <c r="J46" i="2"/>
  <c r="D46" i="2"/>
  <c r="P46" i="2"/>
  <c r="L46" i="2"/>
  <c r="X46" i="2"/>
  <c r="V46" i="2"/>
  <c r="F46" i="2"/>
  <c r="R46" i="2"/>
  <c r="W46" i="2"/>
  <c r="K46" i="2"/>
  <c r="E46" i="2"/>
  <c r="G46" i="2"/>
  <c r="Q46" i="2"/>
  <c r="S46" i="2"/>
  <c r="M46" i="2"/>
  <c r="Y46" i="2"/>
  <c r="L47" i="2"/>
  <c r="X47" i="2"/>
  <c r="J47" i="2"/>
  <c r="D47" i="2"/>
  <c r="P47" i="2"/>
  <c r="V47" i="2"/>
  <c r="F47" i="2"/>
  <c r="R47" i="2"/>
  <c r="E47" i="2"/>
  <c r="W47" i="2"/>
  <c r="K47" i="2"/>
  <c r="Q47" i="2"/>
  <c r="G47" i="2"/>
  <c r="S47" i="2"/>
  <c r="M47" i="2"/>
  <c r="Y47" i="2"/>
  <c r="X52" i="2"/>
  <c r="L52" i="2"/>
  <c r="J52" i="2"/>
  <c r="D52" i="2"/>
  <c r="P52" i="2"/>
  <c r="V52" i="2"/>
  <c r="F52" i="2"/>
  <c r="R52" i="2"/>
  <c r="W52" i="2"/>
  <c r="K52" i="2"/>
  <c r="E52" i="2"/>
  <c r="G52" i="2"/>
  <c r="Q52" i="2"/>
  <c r="S52" i="2"/>
  <c r="M52" i="2"/>
  <c r="Y52" i="2"/>
  <c r="J53" i="2"/>
  <c r="D53" i="2"/>
  <c r="P53" i="2"/>
  <c r="X53" i="2"/>
  <c r="L53" i="2"/>
  <c r="V53" i="2"/>
  <c r="F53" i="2"/>
  <c r="R53" i="2"/>
  <c r="W53" i="2"/>
  <c r="E53" i="2"/>
  <c r="K53" i="2"/>
  <c r="Q53" i="2"/>
  <c r="G53" i="2"/>
  <c r="S53" i="2"/>
  <c r="M53" i="2"/>
  <c r="Y53" i="2"/>
  <c r="X54" i="2"/>
  <c r="L54" i="2"/>
  <c r="J54" i="2"/>
  <c r="D54" i="2"/>
  <c r="P54" i="2"/>
  <c r="V54" i="2"/>
  <c r="F54" i="2"/>
  <c r="R54" i="2"/>
  <c r="W54" i="2"/>
  <c r="K54" i="2"/>
  <c r="E54" i="2"/>
  <c r="G54" i="2"/>
  <c r="Q54" i="2"/>
  <c r="S54" i="2"/>
  <c r="M54" i="2"/>
  <c r="Y54" i="2"/>
  <c r="J55" i="2"/>
  <c r="D55" i="2"/>
  <c r="P55" i="2"/>
  <c r="L55" i="2"/>
  <c r="X55" i="2"/>
  <c r="V55" i="2"/>
  <c r="F55" i="2"/>
  <c r="R55" i="2"/>
  <c r="W55" i="2"/>
  <c r="K55" i="2"/>
  <c r="E55" i="2"/>
  <c r="Q55" i="2"/>
  <c r="G55" i="2"/>
  <c r="S55" i="2"/>
  <c r="M55" i="2"/>
  <c r="Y55" i="2"/>
  <c r="F50" i="1"/>
  <c r="F51" i="1"/>
  <c r="F56" i="1"/>
  <c r="F57" i="1"/>
  <c r="F58" i="1"/>
  <c r="F59" i="1"/>
  <c r="F64" i="1"/>
  <c r="F65" i="1"/>
  <c r="F66" i="1"/>
  <c r="F67" i="1"/>
  <c r="F68" i="1"/>
  <c r="F69" i="1"/>
  <c r="F70" i="1"/>
  <c r="F71" i="1"/>
  <c r="F72" i="1"/>
  <c r="Y65" i="2"/>
  <c r="G65" i="2"/>
  <c r="M65" i="2"/>
  <c r="L65" i="2"/>
  <c r="X65" i="2"/>
  <c r="AA65" i="1"/>
  <c r="AA66" i="1"/>
  <c r="AA67" i="1"/>
  <c r="AA69" i="1"/>
  <c r="AA72" i="1"/>
  <c r="W50" i="1"/>
  <c r="W52" i="1"/>
  <c r="W54" i="1"/>
  <c r="W56" i="1"/>
  <c r="W58" i="1"/>
  <c r="W60" i="1"/>
  <c r="W62" i="1"/>
  <c r="W64" i="1"/>
  <c r="W68" i="1"/>
  <c r="W70" i="1"/>
  <c r="W71" i="1"/>
  <c r="AA77" i="1"/>
  <c r="AA75" i="1"/>
  <c r="AA73" i="1"/>
  <c r="AA51" i="1"/>
  <c r="AA53" i="1"/>
  <c r="AA55" i="1"/>
  <c r="AA57" i="1"/>
  <c r="AA59" i="1"/>
  <c r="AA61" i="1"/>
  <c r="AA63" i="1"/>
  <c r="W49" i="1"/>
  <c r="W51" i="1"/>
  <c r="W53" i="1"/>
  <c r="W55" i="1"/>
  <c r="W57" i="1"/>
  <c r="W59" i="1"/>
  <c r="W61" i="1"/>
  <c r="W63" i="1"/>
  <c r="W65" i="1"/>
  <c r="W66" i="1"/>
  <c r="W67" i="1"/>
  <c r="W69" i="1"/>
  <c r="W72" i="1"/>
  <c r="AA76" i="1"/>
  <c r="AA74" i="1"/>
  <c r="AA78" i="1"/>
  <c r="G80" i="1" l="1"/>
  <c r="D81" i="1"/>
  <c r="B43" i="3"/>
  <c r="D42" i="3"/>
  <c r="AA70" i="1"/>
  <c r="AA64" i="1"/>
  <c r="AA62" i="1"/>
  <c r="AA60" i="1"/>
  <c r="AA58" i="1"/>
  <c r="AA56" i="1"/>
  <c r="AA54" i="1"/>
  <c r="AA71" i="1"/>
  <c r="AA68" i="1"/>
  <c r="AA52" i="1"/>
  <c r="AA50" i="1"/>
  <c r="G81" i="1" l="1"/>
  <c r="D82" i="1"/>
  <c r="R80" i="1"/>
  <c r="H80" i="1"/>
  <c r="D43" i="3"/>
  <c r="B44" i="3"/>
  <c r="E42" i="3"/>
  <c r="V80" i="1" l="1"/>
  <c r="F67" i="43" s="1"/>
  <c r="T80" i="1"/>
  <c r="D83" i="1"/>
  <c r="G82" i="1"/>
  <c r="H81" i="1"/>
  <c r="R81" i="1"/>
  <c r="D44" i="3"/>
  <c r="B45" i="3"/>
  <c r="E43" i="3"/>
  <c r="V81" i="1" l="1"/>
  <c r="F68" i="43" s="1"/>
  <c r="T81" i="1"/>
  <c r="R82" i="1"/>
  <c r="H82" i="1"/>
  <c r="D84" i="1"/>
  <c r="G83" i="1"/>
  <c r="R83" i="1" s="1"/>
  <c r="E44" i="3"/>
  <c r="B46" i="3"/>
  <c r="D45" i="3"/>
  <c r="D85" i="1" l="1"/>
  <c r="G84" i="1"/>
  <c r="V82" i="1"/>
  <c r="F69" i="43" s="1"/>
  <c r="T82" i="1"/>
  <c r="V83" i="1"/>
  <c r="F70" i="43" s="1"/>
  <c r="T83" i="1"/>
  <c r="H83" i="1"/>
  <c r="E45" i="3"/>
  <c r="B47" i="3"/>
  <c r="D46" i="3"/>
  <c r="R84" i="1" l="1"/>
  <c r="H84" i="1"/>
  <c r="D86" i="1"/>
  <c r="G85" i="1"/>
  <c r="E46" i="3"/>
  <c r="D47" i="3"/>
  <c r="B48" i="3"/>
  <c r="A30" i="1"/>
  <c r="W27" i="1"/>
  <c r="W26" i="1"/>
  <c r="W25" i="1"/>
  <c r="D23" i="1"/>
  <c r="D22" i="1"/>
  <c r="D21" i="1"/>
  <c r="D20" i="1"/>
  <c r="D19" i="1"/>
  <c r="D18" i="1"/>
  <c r="D17" i="1"/>
  <c r="D16" i="1"/>
  <c r="D15" i="1"/>
  <c r="Q15" i="1" s="1"/>
  <c r="D14" i="1"/>
  <c r="Q14" i="1" s="1"/>
  <c r="D13" i="1"/>
  <c r="D12" i="1"/>
  <c r="G12" i="1" s="1"/>
  <c r="D11" i="1"/>
  <c r="D10" i="1"/>
  <c r="D9" i="1"/>
  <c r="Q23" i="1" l="1"/>
  <c r="G23" i="1"/>
  <c r="S23" i="1" s="1"/>
  <c r="Q17" i="1"/>
  <c r="G17" i="1"/>
  <c r="S17" i="1" s="1"/>
  <c r="Q21" i="1"/>
  <c r="G21" i="1"/>
  <c r="Q19" i="1"/>
  <c r="G19" i="1"/>
  <c r="S19" i="1" s="1"/>
  <c r="Q16" i="1"/>
  <c r="G16" i="1"/>
  <c r="S16" i="1" s="1"/>
  <c r="Q20" i="1"/>
  <c r="G20" i="1"/>
  <c r="S20" i="1" s="1"/>
  <c r="Q18" i="1"/>
  <c r="G18" i="1"/>
  <c r="Q22" i="1"/>
  <c r="G22" i="1"/>
  <c r="S22" i="1" s="1"/>
  <c r="R85" i="1"/>
  <c r="H85" i="1"/>
  <c r="D87" i="1"/>
  <c r="G86" i="1"/>
  <c r="V84" i="1"/>
  <c r="F71" i="43" s="1"/>
  <c r="T84" i="1"/>
  <c r="E20" i="1"/>
  <c r="E13" i="1"/>
  <c r="F24" i="1"/>
  <c r="D113" i="1"/>
  <c r="G13" i="1"/>
  <c r="H13" i="1" s="1"/>
  <c r="E21" i="1"/>
  <c r="G9" i="1"/>
  <c r="E12" i="1"/>
  <c r="G14" i="1"/>
  <c r="A31" i="1"/>
  <c r="H29" i="1"/>
  <c r="H30" i="1"/>
  <c r="H31" i="1"/>
  <c r="E16" i="1"/>
  <c r="E10" i="1"/>
  <c r="G11" i="1"/>
  <c r="E14" i="1"/>
  <c r="G10" i="1"/>
  <c r="E17" i="1"/>
  <c r="E47" i="3"/>
  <c r="E15" i="1"/>
  <c r="E19" i="1"/>
  <c r="E23" i="1"/>
  <c r="A17" i="43"/>
  <c r="E11" i="1"/>
  <c r="G15" i="1"/>
  <c r="S15" i="1" s="1"/>
  <c r="E18" i="1"/>
  <c r="E22" i="1"/>
  <c r="D48" i="3"/>
  <c r="B49" i="3"/>
  <c r="W32" i="1"/>
  <c r="S18" i="1" l="1"/>
  <c r="S21" i="1"/>
  <c r="S14" i="1"/>
  <c r="D88" i="1"/>
  <c r="G87" i="1"/>
  <c r="R86" i="1"/>
  <c r="H86" i="1"/>
  <c r="V85" i="1"/>
  <c r="F72" i="43" s="1"/>
  <c r="T85" i="1"/>
  <c r="R17" i="43"/>
  <c r="S17" i="43" s="1"/>
  <c r="H19" i="1"/>
  <c r="H17" i="1"/>
  <c r="H21" i="1"/>
  <c r="H14" i="1"/>
  <c r="A32" i="1"/>
  <c r="H18" i="1"/>
  <c r="A18" i="43"/>
  <c r="H22" i="1"/>
  <c r="H20" i="1"/>
  <c r="H23" i="1"/>
  <c r="H11" i="1"/>
  <c r="H26" i="1"/>
  <c r="H10" i="1"/>
  <c r="H24" i="1"/>
  <c r="H12" i="1"/>
  <c r="H27" i="1"/>
  <c r="H15" i="1"/>
  <c r="H25" i="1"/>
  <c r="H28" i="1"/>
  <c r="H16" i="1"/>
  <c r="A19" i="43"/>
  <c r="B50" i="3"/>
  <c r="D49" i="3"/>
  <c r="E48" i="3"/>
  <c r="R18" i="43" l="1"/>
  <c r="S18" i="43" s="1"/>
  <c r="V86" i="1"/>
  <c r="F73" i="43" s="1"/>
  <c r="T86" i="1"/>
  <c r="R87" i="1"/>
  <c r="H87" i="1"/>
  <c r="D89" i="1"/>
  <c r="G88" i="1"/>
  <c r="Z19" i="43"/>
  <c r="A33" i="1"/>
  <c r="A20" i="43" s="1"/>
  <c r="B51" i="3"/>
  <c r="D50" i="3"/>
  <c r="E49" i="3"/>
  <c r="J38" i="15"/>
  <c r="I38" i="15"/>
  <c r="H38" i="15"/>
  <c r="G38" i="15"/>
  <c r="X17" i="43" l="1"/>
  <c r="A34" i="1"/>
  <c r="A21" i="43" s="1"/>
  <c r="R19" i="43"/>
  <c r="D90" i="1"/>
  <c r="G89" i="1"/>
  <c r="R88" i="1"/>
  <c r="H88" i="1"/>
  <c r="V87" i="1"/>
  <c r="F74" i="43" s="1"/>
  <c r="T87" i="1"/>
  <c r="Z20" i="43"/>
  <c r="D51" i="3"/>
  <c r="B52" i="3"/>
  <c r="A35" i="1"/>
  <c r="E50" i="3"/>
  <c r="F50" i="3"/>
  <c r="J37" i="15"/>
  <c r="I37" i="15"/>
  <c r="H37" i="15"/>
  <c r="G37" i="15"/>
  <c r="R20" i="43" l="1"/>
  <c r="S20" i="43" s="1"/>
  <c r="S19" i="43"/>
  <c r="X18" i="43"/>
  <c r="V88" i="1"/>
  <c r="F75" i="43" s="1"/>
  <c r="T88" i="1"/>
  <c r="H89" i="1"/>
  <c r="R89" i="1"/>
  <c r="D91" i="1"/>
  <c r="G90" i="1"/>
  <c r="Z21" i="43"/>
  <c r="E51" i="3"/>
  <c r="F51" i="3"/>
  <c r="A22" i="43"/>
  <c r="A36" i="1"/>
  <c r="D52" i="3"/>
  <c r="B53" i="3"/>
  <c r="J36" i="15"/>
  <c r="I36" i="15"/>
  <c r="H36" i="15"/>
  <c r="G36" i="15"/>
  <c r="E19" i="96" l="1"/>
  <c r="E15" i="96"/>
  <c r="D11" i="87"/>
  <c r="D11" i="90" s="1"/>
  <c r="R21" i="43"/>
  <c r="S21" i="43" s="1"/>
  <c r="R90" i="1"/>
  <c r="H90" i="1"/>
  <c r="D92" i="1"/>
  <c r="G91" i="1"/>
  <c r="R91" i="1" s="1"/>
  <c r="V89" i="1"/>
  <c r="F76" i="43" s="1"/>
  <c r="T89" i="1"/>
  <c r="Z22" i="43"/>
  <c r="B54" i="3"/>
  <c r="D53" i="3"/>
  <c r="E52" i="3"/>
  <c r="F52" i="3"/>
  <c r="A23" i="43"/>
  <c r="A37" i="1"/>
  <c r="J35" i="15"/>
  <c r="I35" i="15"/>
  <c r="H35" i="15"/>
  <c r="G35" i="15"/>
  <c r="J34" i="15"/>
  <c r="I34" i="15"/>
  <c r="H34" i="15"/>
  <c r="G34" i="15"/>
  <c r="J33" i="15"/>
  <c r="I33" i="15"/>
  <c r="H33" i="15"/>
  <c r="G33" i="15"/>
  <c r="J32" i="15"/>
  <c r="I32" i="15"/>
  <c r="H32" i="15"/>
  <c r="G32" i="15"/>
  <c r="J31" i="15"/>
  <c r="I31" i="15"/>
  <c r="H31" i="15"/>
  <c r="G31" i="15"/>
  <c r="J30" i="15"/>
  <c r="I30" i="15"/>
  <c r="H30" i="15"/>
  <c r="G30" i="15"/>
  <c r="J29" i="15"/>
  <c r="I29" i="15"/>
  <c r="H29" i="15"/>
  <c r="G29" i="15"/>
  <c r="J28" i="15"/>
  <c r="I28" i="15"/>
  <c r="H28" i="15"/>
  <c r="G28" i="15"/>
  <c r="J27" i="15"/>
  <c r="I27" i="15"/>
  <c r="H27" i="15"/>
  <c r="G27" i="15"/>
  <c r="J26" i="15"/>
  <c r="I26" i="15"/>
  <c r="H26" i="15"/>
  <c r="G26" i="15"/>
  <c r="J25" i="15"/>
  <c r="I25" i="15"/>
  <c r="H25" i="15"/>
  <c r="G25" i="15"/>
  <c r="J24" i="15"/>
  <c r="I24" i="15"/>
  <c r="H24" i="15"/>
  <c r="G24" i="15"/>
  <c r="J23" i="15"/>
  <c r="I23" i="15"/>
  <c r="H23" i="15"/>
  <c r="G23" i="15"/>
  <c r="J22" i="15"/>
  <c r="I22" i="15"/>
  <c r="H22" i="15"/>
  <c r="G22" i="15"/>
  <c r="J21" i="15"/>
  <c r="I21" i="15"/>
  <c r="H21" i="15"/>
  <c r="G21" i="15"/>
  <c r="J20" i="15"/>
  <c r="I20" i="15"/>
  <c r="H20" i="15"/>
  <c r="G20" i="15"/>
  <c r="J19" i="15"/>
  <c r="I19" i="15"/>
  <c r="H19" i="15"/>
  <c r="G19" i="15"/>
  <c r="J18" i="15"/>
  <c r="I18" i="15"/>
  <c r="H18" i="15"/>
  <c r="G18" i="15"/>
  <c r="J17" i="15"/>
  <c r="I17" i="15"/>
  <c r="H17" i="15"/>
  <c r="G17" i="15"/>
  <c r="J16" i="15"/>
  <c r="I16" i="15"/>
  <c r="H16" i="15"/>
  <c r="G16" i="15"/>
  <c r="J15" i="15"/>
  <c r="I15" i="15"/>
  <c r="H15" i="15"/>
  <c r="G15" i="15"/>
  <c r="J14" i="15"/>
  <c r="I14" i="15"/>
  <c r="H14" i="15"/>
  <c r="G14" i="15"/>
  <c r="J13" i="15"/>
  <c r="I13" i="15"/>
  <c r="H13" i="15"/>
  <c r="G13" i="15"/>
  <c r="J12" i="15"/>
  <c r="I12" i="15"/>
  <c r="H12" i="15"/>
  <c r="G12" i="15"/>
  <c r="J11" i="15"/>
  <c r="I11" i="15"/>
  <c r="H11" i="15"/>
  <c r="G11" i="15"/>
  <c r="J10" i="15"/>
  <c r="I10" i="15"/>
  <c r="H10" i="15"/>
  <c r="G10" i="15"/>
  <c r="F10" i="15"/>
  <c r="E10" i="15"/>
  <c r="D10" i="15"/>
  <c r="C10" i="15"/>
  <c r="J9" i="15"/>
  <c r="I9" i="15"/>
  <c r="H9" i="15"/>
  <c r="G9" i="15"/>
  <c r="F9" i="15"/>
  <c r="E9" i="15"/>
  <c r="D9" i="15"/>
  <c r="C9" i="15"/>
  <c r="A80" i="22"/>
  <c r="F15" i="96" l="1"/>
  <c r="F19" i="96"/>
  <c r="E11" i="87"/>
  <c r="E11" i="90" s="1"/>
  <c r="F12" i="96" s="1"/>
  <c r="R22" i="43"/>
  <c r="S22" i="43" s="1"/>
  <c r="D93" i="1"/>
  <c r="G92" i="1"/>
  <c r="V90" i="1"/>
  <c r="F77" i="43" s="1"/>
  <c r="T90" i="1"/>
  <c r="V91" i="1"/>
  <c r="F78" i="43" s="1"/>
  <c r="T91" i="1"/>
  <c r="H91" i="1"/>
  <c r="Z23" i="43"/>
  <c r="B55" i="3"/>
  <c r="D54" i="3"/>
  <c r="A24" i="43"/>
  <c r="A38" i="1"/>
  <c r="E53" i="3"/>
  <c r="F53" i="3"/>
  <c r="F11" i="15"/>
  <c r="F12" i="15" s="1"/>
  <c r="F13" i="15" s="1"/>
  <c r="E11" i="15"/>
  <c r="D11" i="15" s="1"/>
  <c r="C11" i="15" s="1"/>
  <c r="G19" i="96" l="1"/>
  <c r="G15" i="96"/>
  <c r="F11" i="87"/>
  <c r="R23" i="43"/>
  <c r="S23" i="43" s="1"/>
  <c r="R92" i="1"/>
  <c r="H92" i="1"/>
  <c r="D94" i="1"/>
  <c r="G93" i="1"/>
  <c r="Z24" i="43"/>
  <c r="E54" i="3"/>
  <c r="F54" i="3"/>
  <c r="A25" i="43"/>
  <c r="A39" i="1"/>
  <c r="D55" i="3"/>
  <c r="B56" i="3"/>
  <c r="F14" i="15"/>
  <c r="E12" i="15"/>
  <c r="D12" i="15" s="1"/>
  <c r="C12" i="15" s="1"/>
  <c r="A39" i="22"/>
  <c r="A38" i="22"/>
  <c r="A37" i="22"/>
  <c r="A36" i="22"/>
  <c r="A35" i="22"/>
  <c r="A34" i="22"/>
  <c r="F33" i="22"/>
  <c r="E33" i="22"/>
  <c r="D33" i="22"/>
  <c r="C33" i="22"/>
  <c r="A33" i="22"/>
  <c r="J32" i="22"/>
  <c r="I32" i="22"/>
  <c r="H32" i="22"/>
  <c r="G32" i="22"/>
  <c r="F32" i="22"/>
  <c r="E32" i="22"/>
  <c r="D32" i="22"/>
  <c r="C32" i="22"/>
  <c r="A32" i="22"/>
  <c r="J31" i="22"/>
  <c r="I31" i="22"/>
  <c r="H31" i="22"/>
  <c r="G31" i="22"/>
  <c r="F31" i="22"/>
  <c r="E31" i="22"/>
  <c r="D31" i="22"/>
  <c r="C31" i="22"/>
  <c r="A31" i="22"/>
  <c r="J30" i="22"/>
  <c r="I30" i="22"/>
  <c r="H30" i="22"/>
  <c r="G30" i="22"/>
  <c r="F30" i="22"/>
  <c r="E30" i="22"/>
  <c r="D30" i="22"/>
  <c r="C30" i="22"/>
  <c r="A30" i="22"/>
  <c r="J29" i="22"/>
  <c r="I29" i="22"/>
  <c r="H29" i="22"/>
  <c r="G29" i="22"/>
  <c r="F29" i="22"/>
  <c r="E29" i="22"/>
  <c r="D29" i="22"/>
  <c r="C29" i="22"/>
  <c r="A29" i="22"/>
  <c r="J28" i="22"/>
  <c r="I28" i="22"/>
  <c r="H28" i="22"/>
  <c r="G28" i="22"/>
  <c r="F28" i="22"/>
  <c r="E28" i="22"/>
  <c r="D28" i="22"/>
  <c r="C28" i="22"/>
  <c r="A28" i="22"/>
  <c r="J27" i="22"/>
  <c r="I27" i="22"/>
  <c r="H27" i="22"/>
  <c r="G27" i="22"/>
  <c r="F27" i="22"/>
  <c r="E27" i="22"/>
  <c r="D27" i="22"/>
  <c r="C27" i="22"/>
  <c r="A27" i="22"/>
  <c r="J26" i="22"/>
  <c r="I26" i="22"/>
  <c r="H26" i="22"/>
  <c r="G26" i="22"/>
  <c r="F26" i="22"/>
  <c r="E26" i="22"/>
  <c r="D26" i="22"/>
  <c r="C26" i="22"/>
  <c r="A26" i="22"/>
  <c r="J25" i="22"/>
  <c r="I25" i="22"/>
  <c r="H25" i="22"/>
  <c r="G25" i="22"/>
  <c r="F25" i="22"/>
  <c r="E25" i="22"/>
  <c r="D25" i="22"/>
  <c r="C25" i="22"/>
  <c r="A25" i="22"/>
  <c r="J24" i="22"/>
  <c r="I24" i="22"/>
  <c r="H24" i="22"/>
  <c r="G24" i="22"/>
  <c r="F24" i="22"/>
  <c r="E24" i="22"/>
  <c r="D24" i="22"/>
  <c r="C24" i="22"/>
  <c r="A24" i="22"/>
  <c r="J23" i="22"/>
  <c r="I23" i="22"/>
  <c r="H23" i="22"/>
  <c r="G23" i="22"/>
  <c r="F23" i="22"/>
  <c r="E23" i="22"/>
  <c r="D23" i="22"/>
  <c r="C23" i="22"/>
  <c r="A23" i="22"/>
  <c r="J22" i="22"/>
  <c r="I22" i="22"/>
  <c r="H22" i="22"/>
  <c r="G22" i="22"/>
  <c r="F22" i="22"/>
  <c r="E22" i="22"/>
  <c r="D22" i="22"/>
  <c r="C22" i="22"/>
  <c r="A22" i="22"/>
  <c r="J21" i="22"/>
  <c r="I21" i="22"/>
  <c r="H21" i="22"/>
  <c r="G21" i="22"/>
  <c r="F21" i="22"/>
  <c r="E21" i="22"/>
  <c r="D21" i="22"/>
  <c r="C21" i="22"/>
  <c r="A21" i="22"/>
  <c r="J20" i="22"/>
  <c r="I20" i="22"/>
  <c r="H20" i="22"/>
  <c r="G20" i="22"/>
  <c r="F20" i="22"/>
  <c r="E20" i="22"/>
  <c r="D20" i="22"/>
  <c r="C20" i="22"/>
  <c r="A20" i="22"/>
  <c r="J19" i="22"/>
  <c r="I19" i="22"/>
  <c r="H19" i="22"/>
  <c r="G19" i="22"/>
  <c r="F19" i="22"/>
  <c r="E19" i="22"/>
  <c r="D19" i="22"/>
  <c r="C19" i="22"/>
  <c r="A19" i="22"/>
  <c r="J18" i="22"/>
  <c r="I18" i="22"/>
  <c r="H18" i="22"/>
  <c r="G18" i="22"/>
  <c r="F18" i="22"/>
  <c r="E18" i="22"/>
  <c r="D18" i="22"/>
  <c r="C18" i="22"/>
  <c r="A18" i="22"/>
  <c r="J17" i="22"/>
  <c r="I17" i="22"/>
  <c r="H17" i="22"/>
  <c r="G17" i="22"/>
  <c r="F17" i="22"/>
  <c r="E17" i="22"/>
  <c r="D17" i="22"/>
  <c r="C17" i="22"/>
  <c r="A17" i="22"/>
  <c r="J16" i="22"/>
  <c r="I16" i="22"/>
  <c r="H16" i="22"/>
  <c r="G16" i="22"/>
  <c r="F16" i="22"/>
  <c r="E16" i="22"/>
  <c r="D16" i="22"/>
  <c r="C16" i="22"/>
  <c r="A16" i="22"/>
  <c r="J15" i="22"/>
  <c r="I15" i="22"/>
  <c r="H15" i="22"/>
  <c r="G15" i="22"/>
  <c r="F15" i="22"/>
  <c r="E15" i="22"/>
  <c r="D15" i="22"/>
  <c r="C15" i="22"/>
  <c r="A15" i="22"/>
  <c r="J14" i="22"/>
  <c r="I14" i="22"/>
  <c r="H14" i="22"/>
  <c r="G14" i="22"/>
  <c r="F14" i="22"/>
  <c r="E14" i="22"/>
  <c r="D14" i="22"/>
  <c r="C14" i="22"/>
  <c r="A14" i="22"/>
  <c r="J13" i="22"/>
  <c r="I13" i="22"/>
  <c r="H13" i="22"/>
  <c r="G13" i="22"/>
  <c r="F13" i="22"/>
  <c r="E13" i="22"/>
  <c r="D13" i="22"/>
  <c r="C13" i="22"/>
  <c r="A13" i="22"/>
  <c r="J12" i="22"/>
  <c r="I12" i="22"/>
  <c r="H12" i="22"/>
  <c r="G12" i="22"/>
  <c r="F12" i="22"/>
  <c r="E12" i="22"/>
  <c r="D12" i="22"/>
  <c r="C12" i="22"/>
  <c r="A12" i="22"/>
  <c r="J11" i="22"/>
  <c r="I11" i="22"/>
  <c r="H11" i="22"/>
  <c r="G11" i="22"/>
  <c r="F11" i="22"/>
  <c r="E11" i="22"/>
  <c r="D11" i="22"/>
  <c r="C11" i="22"/>
  <c r="A11" i="22"/>
  <c r="J10" i="22"/>
  <c r="I10" i="22"/>
  <c r="H10" i="22"/>
  <c r="G10" i="22"/>
  <c r="F10" i="22"/>
  <c r="E10" i="22"/>
  <c r="D10" i="22"/>
  <c r="C10" i="22"/>
  <c r="A10" i="22"/>
  <c r="J9" i="22"/>
  <c r="I9" i="22"/>
  <c r="H9" i="22"/>
  <c r="G9" i="22"/>
  <c r="F9" i="22"/>
  <c r="E9" i="22"/>
  <c r="D9" i="22"/>
  <c r="C9" i="22"/>
  <c r="H19" i="96" l="1"/>
  <c r="H15" i="96"/>
  <c r="G11" i="87"/>
  <c r="R24" i="43"/>
  <c r="S24" i="43" s="1"/>
  <c r="H93" i="1"/>
  <c r="R93" i="1"/>
  <c r="D95" i="1"/>
  <c r="G94" i="1"/>
  <c r="V92" i="1"/>
  <c r="F79" i="43" s="1"/>
  <c r="T92" i="1"/>
  <c r="Z25" i="43"/>
  <c r="R25" i="43"/>
  <c r="S25" i="43" s="1"/>
  <c r="A26" i="43"/>
  <c r="A40" i="1"/>
  <c r="A40" i="22"/>
  <c r="D56" i="3"/>
  <c r="B57" i="3"/>
  <c r="E55" i="3"/>
  <c r="F55" i="3"/>
  <c r="E13" i="15"/>
  <c r="D13" i="15" s="1"/>
  <c r="C13" i="15" s="1"/>
  <c r="F15" i="15"/>
  <c r="J15" i="96" l="1"/>
  <c r="J19" i="96"/>
  <c r="I15" i="96"/>
  <c r="I19" i="96"/>
  <c r="I11" i="87"/>
  <c r="H11" i="87"/>
  <c r="R94" i="1"/>
  <c r="H94" i="1"/>
  <c r="D96" i="1"/>
  <c r="G95" i="1"/>
  <c r="V93" i="1"/>
  <c r="F80" i="43" s="1"/>
  <c r="T93" i="1"/>
  <c r="Z26" i="43"/>
  <c r="R26" i="43"/>
  <c r="S26" i="43" s="1"/>
  <c r="B58" i="3"/>
  <c r="D57" i="3"/>
  <c r="E56" i="3"/>
  <c r="F56" i="3"/>
  <c r="A27" i="43"/>
  <c r="A41" i="1"/>
  <c r="A41" i="22"/>
  <c r="F16" i="15"/>
  <c r="E14" i="15"/>
  <c r="D14" i="15" s="1"/>
  <c r="C14" i="15" s="1"/>
  <c r="K15" i="96" l="1"/>
  <c r="K19" i="96"/>
  <c r="J11" i="87"/>
  <c r="H95" i="1"/>
  <c r="R95" i="1"/>
  <c r="D97" i="1"/>
  <c r="G96" i="1"/>
  <c r="V94" i="1"/>
  <c r="F81" i="43" s="1"/>
  <c r="T94" i="1"/>
  <c r="Z27" i="43"/>
  <c r="R27" i="43"/>
  <c r="S27" i="43" s="1"/>
  <c r="A28" i="43"/>
  <c r="A42" i="1"/>
  <c r="A42" i="22"/>
  <c r="E57" i="3"/>
  <c r="F57" i="3"/>
  <c r="B59" i="3"/>
  <c r="D58" i="3"/>
  <c r="E15" i="15"/>
  <c r="D15" i="15" s="1"/>
  <c r="C15" i="15" s="1"/>
  <c r="F17" i="15"/>
  <c r="L19" i="96" l="1"/>
  <c r="L15" i="96"/>
  <c r="K11" i="87"/>
  <c r="R96" i="1"/>
  <c r="H96" i="1"/>
  <c r="D98" i="1"/>
  <c r="G97" i="1"/>
  <c r="V95" i="1"/>
  <c r="F82" i="43" s="1"/>
  <c r="T95" i="1"/>
  <c r="Z28" i="43"/>
  <c r="R28" i="43"/>
  <c r="S28" i="43" s="1"/>
  <c r="E58" i="3"/>
  <c r="F58" i="3"/>
  <c r="A29" i="43"/>
  <c r="A43" i="1"/>
  <c r="A43" i="22"/>
  <c r="D59" i="3"/>
  <c r="B60" i="3"/>
  <c r="F18" i="15"/>
  <c r="E16" i="15"/>
  <c r="D16" i="15" s="1"/>
  <c r="C16" i="15" s="1"/>
  <c r="M15" i="96" l="1"/>
  <c r="M19" i="96"/>
  <c r="L11" i="87"/>
  <c r="H97" i="1"/>
  <c r="R97" i="1"/>
  <c r="D99" i="1"/>
  <c r="G98" i="1"/>
  <c r="V96" i="1"/>
  <c r="F83" i="43" s="1"/>
  <c r="T96" i="1"/>
  <c r="Z29" i="43"/>
  <c r="R29" i="43"/>
  <c r="S29" i="43" s="1"/>
  <c r="A30" i="43"/>
  <c r="A44" i="1"/>
  <c r="A44" i="22"/>
  <c r="D60" i="3"/>
  <c r="B61" i="3"/>
  <c r="E59" i="3"/>
  <c r="F59" i="3"/>
  <c r="E17" i="15"/>
  <c r="D17" i="15" s="1"/>
  <c r="C17" i="15" s="1"/>
  <c r="F19" i="15"/>
  <c r="N15" i="96" l="1"/>
  <c r="N19" i="96"/>
  <c r="M11" i="87"/>
  <c r="V97" i="1"/>
  <c r="F84" i="43" s="1"/>
  <c r="T97" i="1"/>
  <c r="R98" i="1"/>
  <c r="H98" i="1"/>
  <c r="D100" i="1"/>
  <c r="G99" i="1"/>
  <c r="Z30" i="43"/>
  <c r="R30" i="43"/>
  <c r="S30" i="43" s="1"/>
  <c r="E60" i="3"/>
  <c r="F60" i="3"/>
  <c r="A31" i="43"/>
  <c r="A45" i="1"/>
  <c r="A45" i="22"/>
  <c r="B62" i="3"/>
  <c r="D61" i="3"/>
  <c r="F20" i="15"/>
  <c r="E18" i="15"/>
  <c r="D18" i="15" s="1"/>
  <c r="C18" i="15" s="1"/>
  <c r="O15" i="96" l="1"/>
  <c r="O19" i="96"/>
  <c r="N11" i="87"/>
  <c r="H99" i="1"/>
  <c r="R99" i="1"/>
  <c r="D101" i="1"/>
  <c r="G100" i="1"/>
  <c r="V98" i="1"/>
  <c r="F85" i="43" s="1"/>
  <c r="T98" i="1"/>
  <c r="Z31" i="43"/>
  <c r="R31" i="43"/>
  <c r="S31" i="43" s="1"/>
  <c r="E61" i="3"/>
  <c r="F61" i="3"/>
  <c r="A32" i="43"/>
  <c r="A46" i="1"/>
  <c r="A46" i="22"/>
  <c r="B63" i="3"/>
  <c r="D62" i="3"/>
  <c r="E19" i="15"/>
  <c r="D19" i="15" s="1"/>
  <c r="C19" i="15" s="1"/>
  <c r="F21" i="15"/>
  <c r="P15" i="96" l="1"/>
  <c r="P19" i="96"/>
  <c r="O11" i="87"/>
  <c r="R100" i="1"/>
  <c r="H100" i="1"/>
  <c r="D102" i="1"/>
  <c r="G101" i="1"/>
  <c r="V99" i="1"/>
  <c r="F86" i="43" s="1"/>
  <c r="T99" i="1"/>
  <c r="Z32" i="43"/>
  <c r="R32" i="43"/>
  <c r="S32" i="43" s="1"/>
  <c r="D63" i="3"/>
  <c r="B64" i="3"/>
  <c r="E62" i="3"/>
  <c r="F62" i="3"/>
  <c r="A33" i="43"/>
  <c r="A47" i="1"/>
  <c r="A47" i="22"/>
  <c r="E20" i="15"/>
  <c r="D20" i="15" s="1"/>
  <c r="C20" i="15" s="1"/>
  <c r="F22" i="15"/>
  <c r="Q19" i="96" l="1"/>
  <c r="Q15" i="96"/>
  <c r="P11" i="87"/>
  <c r="R101" i="1"/>
  <c r="H101" i="1"/>
  <c r="D103" i="1"/>
  <c r="G102" i="1"/>
  <c r="V100" i="1"/>
  <c r="F87" i="43" s="1"/>
  <c r="T100" i="1"/>
  <c r="Z33" i="43"/>
  <c r="R33" i="43"/>
  <c r="S33" i="43" s="1"/>
  <c r="E21" i="15"/>
  <c r="D21" i="15" s="1"/>
  <c r="C21" i="15" s="1"/>
  <c r="A34" i="43"/>
  <c r="A48" i="1"/>
  <c r="A48" i="22"/>
  <c r="D64" i="3"/>
  <c r="B65" i="3"/>
  <c r="E63" i="3"/>
  <c r="F63" i="3"/>
  <c r="F23" i="15"/>
  <c r="R19" i="96" l="1"/>
  <c r="R15" i="96"/>
  <c r="Q11" i="87"/>
  <c r="H102" i="1"/>
  <c r="R102" i="1"/>
  <c r="D104" i="1"/>
  <c r="G103" i="1"/>
  <c r="R103" i="1" s="1"/>
  <c r="V101" i="1"/>
  <c r="F88" i="43" s="1"/>
  <c r="T101" i="1"/>
  <c r="Z34" i="43"/>
  <c r="R34" i="43"/>
  <c r="S34" i="43" s="1"/>
  <c r="E22" i="15"/>
  <c r="D22" i="15" s="1"/>
  <c r="C22" i="15" s="1"/>
  <c r="A35" i="43"/>
  <c r="A49" i="1"/>
  <c r="A49" i="22"/>
  <c r="B66" i="3"/>
  <c r="D65" i="3"/>
  <c r="E64" i="3"/>
  <c r="F64" i="3"/>
  <c r="F24" i="15"/>
  <c r="S19" i="96" l="1"/>
  <c r="S15" i="96"/>
  <c r="R11" i="87"/>
  <c r="D105" i="1"/>
  <c r="G104" i="1"/>
  <c r="V102" i="1"/>
  <c r="F89" i="43" s="1"/>
  <c r="T102" i="1"/>
  <c r="V103" i="1"/>
  <c r="F90" i="43" s="1"/>
  <c r="T103" i="1"/>
  <c r="H103" i="1"/>
  <c r="Z35" i="43"/>
  <c r="R35" i="43"/>
  <c r="S35" i="43" s="1"/>
  <c r="E23" i="15"/>
  <c r="D23" i="15" s="1"/>
  <c r="C23" i="15" s="1"/>
  <c r="B67" i="3"/>
  <c r="D66" i="3"/>
  <c r="A36" i="43"/>
  <c r="A50" i="1"/>
  <c r="A50" i="22"/>
  <c r="E65" i="3"/>
  <c r="F65" i="3"/>
  <c r="F25" i="15"/>
  <c r="T15" i="96" l="1"/>
  <c r="T19" i="96"/>
  <c r="S11" i="87"/>
  <c r="R104" i="1"/>
  <c r="H104" i="1"/>
  <c r="D106" i="1"/>
  <c r="G105" i="1"/>
  <c r="Z36" i="43"/>
  <c r="R36" i="43"/>
  <c r="S36" i="43" s="1"/>
  <c r="E24" i="15"/>
  <c r="D24" i="15" s="1"/>
  <c r="C24" i="15" s="1"/>
  <c r="E66" i="3"/>
  <c r="F66" i="3"/>
  <c r="A37" i="43"/>
  <c r="A51" i="1"/>
  <c r="A51" i="22"/>
  <c r="D67" i="3"/>
  <c r="B68" i="3"/>
  <c r="F26" i="15"/>
  <c r="U19" i="96" l="1"/>
  <c r="U15" i="96"/>
  <c r="T11" i="87"/>
  <c r="H105" i="1"/>
  <c r="R105" i="1"/>
  <c r="D107" i="1"/>
  <c r="G106" i="1"/>
  <c r="V104" i="1"/>
  <c r="F91" i="43" s="1"/>
  <c r="T104" i="1"/>
  <c r="Z37" i="43"/>
  <c r="R37" i="43"/>
  <c r="S37" i="43" s="1"/>
  <c r="E25" i="15"/>
  <c r="D25" i="15" s="1"/>
  <c r="C25" i="15" s="1"/>
  <c r="A38" i="43"/>
  <c r="A52" i="1"/>
  <c r="A52" i="22"/>
  <c r="D68" i="3"/>
  <c r="B69" i="3"/>
  <c r="E67" i="3"/>
  <c r="F67" i="3"/>
  <c r="F27" i="15"/>
  <c r="V19" i="96" l="1"/>
  <c r="V15" i="96"/>
  <c r="U11" i="87"/>
  <c r="R106" i="1"/>
  <c r="H106" i="1"/>
  <c r="D108" i="1"/>
  <c r="G107" i="1"/>
  <c r="R107" i="1" s="1"/>
  <c r="V105" i="1"/>
  <c r="F92" i="43" s="1"/>
  <c r="T105" i="1"/>
  <c r="Z38" i="43"/>
  <c r="R38" i="43"/>
  <c r="S38" i="43" s="1"/>
  <c r="E26" i="15"/>
  <c r="D26" i="15" s="1"/>
  <c r="C26" i="15" s="1"/>
  <c r="B70" i="3"/>
  <c r="D69" i="3"/>
  <c r="A39" i="43"/>
  <c r="A53" i="1"/>
  <c r="A53" i="22"/>
  <c r="E68" i="3"/>
  <c r="F68" i="3"/>
  <c r="F28" i="15"/>
  <c r="W19" i="96" l="1"/>
  <c r="W15" i="96"/>
  <c r="V11" i="87"/>
  <c r="V106" i="1"/>
  <c r="F93" i="43" s="1"/>
  <c r="T106" i="1"/>
  <c r="V107" i="1"/>
  <c r="F94" i="43" s="1"/>
  <c r="T107" i="1"/>
  <c r="H107" i="1"/>
  <c r="D109" i="1"/>
  <c r="G108" i="1"/>
  <c r="Z39" i="43"/>
  <c r="R39" i="43"/>
  <c r="S39" i="43" s="1"/>
  <c r="E27" i="15"/>
  <c r="D27" i="15" s="1"/>
  <c r="C27" i="15" s="1"/>
  <c r="E69" i="3"/>
  <c r="F69" i="3"/>
  <c r="O29" i="17"/>
  <c r="B71" i="3"/>
  <c r="D70" i="3"/>
  <c r="A40" i="43"/>
  <c r="A54" i="1"/>
  <c r="A54" i="22"/>
  <c r="F29" i="15"/>
  <c r="X15" i="96" l="1"/>
  <c r="X19" i="96"/>
  <c r="W11" i="87"/>
  <c r="R108" i="1"/>
  <c r="H108" i="1"/>
  <c r="D110" i="1"/>
  <c r="G110" i="1" s="1"/>
  <c r="G109" i="1"/>
  <c r="Z40" i="43"/>
  <c r="R40" i="43"/>
  <c r="S40" i="43" s="1"/>
  <c r="E28" i="15"/>
  <c r="D28" i="15" s="1"/>
  <c r="C28" i="15" s="1"/>
  <c r="A41" i="43"/>
  <c r="A55" i="1"/>
  <c r="A55" i="22"/>
  <c r="N29" i="17"/>
  <c r="E70" i="3"/>
  <c r="F70" i="3"/>
  <c r="D71" i="3"/>
  <c r="B72" i="3"/>
  <c r="F30" i="15"/>
  <c r="Y15" i="96" l="1"/>
  <c r="Y19" i="96"/>
  <c r="X11" i="87"/>
  <c r="R110" i="1"/>
  <c r="H110" i="1"/>
  <c r="R109" i="1"/>
  <c r="H109" i="1"/>
  <c r="V108" i="1"/>
  <c r="F95" i="43" s="1"/>
  <c r="T108" i="1"/>
  <c r="Z41" i="43"/>
  <c r="R41" i="43"/>
  <c r="S41" i="43" s="1"/>
  <c r="E29" i="15"/>
  <c r="D29" i="15" s="1"/>
  <c r="C29" i="15" s="1"/>
  <c r="D72" i="3"/>
  <c r="B73" i="3"/>
  <c r="A42" i="43"/>
  <c r="A56" i="1"/>
  <c r="A56" i="22"/>
  <c r="E71" i="3"/>
  <c r="F71" i="3"/>
  <c r="F31" i="15"/>
  <c r="Z19" i="96" l="1"/>
  <c r="Z15" i="96"/>
  <c r="Y11" i="87"/>
  <c r="E30" i="15"/>
  <c r="D30" i="15" s="1"/>
  <c r="C30" i="15" s="1"/>
  <c r="V109" i="1"/>
  <c r="F96" i="43" s="1"/>
  <c r="T109" i="1"/>
  <c r="V110" i="1"/>
  <c r="T110" i="1"/>
  <c r="Z42" i="43"/>
  <c r="R42" i="43"/>
  <c r="S42" i="43" s="1"/>
  <c r="B74" i="3"/>
  <c r="D73" i="3"/>
  <c r="A43" i="43"/>
  <c r="A57" i="1"/>
  <c r="A57" i="22"/>
  <c r="E72" i="3"/>
  <c r="F72" i="3"/>
  <c r="F32" i="15"/>
  <c r="O9" i="17"/>
  <c r="N9" i="17"/>
  <c r="J9" i="17"/>
  <c r="I9" i="17"/>
  <c r="F9" i="17"/>
  <c r="E9" i="17"/>
  <c r="D9" i="17"/>
  <c r="A9" i="17"/>
  <c r="N3" i="17"/>
  <c r="I3" i="17"/>
  <c r="L10" i="17" s="1"/>
  <c r="J10" i="17" s="1"/>
  <c r="I10" i="17" s="1"/>
  <c r="D3" i="17"/>
  <c r="AA15" i="96" l="1"/>
  <c r="AA19" i="96"/>
  <c r="Z11" i="87"/>
  <c r="E31" i="15"/>
  <c r="D31" i="15" s="1"/>
  <c r="C31" i="15" s="1"/>
  <c r="F97" i="43"/>
  <c r="V115" i="1"/>
  <c r="V116" i="1" s="1"/>
  <c r="Z43" i="43"/>
  <c r="R43" i="43"/>
  <c r="S43" i="43" s="1"/>
  <c r="A44" i="43"/>
  <c r="A58" i="1"/>
  <c r="A58" i="22"/>
  <c r="E73" i="3"/>
  <c r="F73" i="3"/>
  <c r="B75" i="3"/>
  <c r="D74" i="3"/>
  <c r="H22" i="17"/>
  <c r="H21" i="17"/>
  <c r="H17" i="17"/>
  <c r="H19" i="17"/>
  <c r="H20" i="17"/>
  <c r="H18" i="17"/>
  <c r="F33" i="15"/>
  <c r="H10" i="17"/>
  <c r="A80" i="13"/>
  <c r="A57" i="17" s="1"/>
  <c r="A59" i="13"/>
  <c r="A58" i="13"/>
  <c r="A57" i="13"/>
  <c r="A56" i="13"/>
  <c r="A55" i="13"/>
  <c r="A54" i="13"/>
  <c r="A53" i="13"/>
  <c r="A52" i="13"/>
  <c r="A51" i="13"/>
  <c r="A50" i="13"/>
  <c r="A49" i="13"/>
  <c r="A48" i="13"/>
  <c r="A47" i="13"/>
  <c r="A46" i="13"/>
  <c r="A45" i="13"/>
  <c r="A44" i="13"/>
  <c r="A43" i="13"/>
  <c r="A42" i="13"/>
  <c r="A41" i="13"/>
  <c r="A40" i="13"/>
  <c r="A39" i="13"/>
  <c r="A38" i="13"/>
  <c r="A37" i="13"/>
  <c r="A36" i="13"/>
  <c r="A35" i="13"/>
  <c r="N34" i="13"/>
  <c r="M34" i="13"/>
  <c r="L34" i="13"/>
  <c r="K34" i="13"/>
  <c r="A34" i="13"/>
  <c r="N33" i="13"/>
  <c r="M33" i="13"/>
  <c r="L33" i="13"/>
  <c r="K33" i="13"/>
  <c r="I33" i="13"/>
  <c r="J33" i="13" s="1"/>
  <c r="G33" i="13"/>
  <c r="E33" i="13"/>
  <c r="C33" i="13"/>
  <c r="A33" i="13"/>
  <c r="N32" i="13"/>
  <c r="M32" i="13"/>
  <c r="L32" i="13"/>
  <c r="K32" i="13"/>
  <c r="I32" i="13"/>
  <c r="J32" i="13" s="1"/>
  <c r="G32" i="13"/>
  <c r="E32" i="13"/>
  <c r="C32" i="13"/>
  <c r="A32" i="13"/>
  <c r="N31" i="13"/>
  <c r="M31" i="13"/>
  <c r="L31" i="13"/>
  <c r="K31" i="13"/>
  <c r="I31" i="13"/>
  <c r="J31" i="13" s="1"/>
  <c r="G31" i="13"/>
  <c r="E31" i="13"/>
  <c r="C31" i="13"/>
  <c r="A31" i="13"/>
  <c r="N30" i="13"/>
  <c r="M30" i="13"/>
  <c r="L30" i="13"/>
  <c r="K30" i="13"/>
  <c r="I30" i="13"/>
  <c r="J30" i="13" s="1"/>
  <c r="G30" i="13"/>
  <c r="E30" i="13"/>
  <c r="C30" i="13"/>
  <c r="A30" i="13"/>
  <c r="N29" i="13"/>
  <c r="M29" i="13"/>
  <c r="L29" i="13"/>
  <c r="K29" i="13"/>
  <c r="I29" i="13"/>
  <c r="G29" i="13"/>
  <c r="E29" i="13"/>
  <c r="C29" i="13"/>
  <c r="A29" i="13"/>
  <c r="N28" i="13"/>
  <c r="M28" i="13"/>
  <c r="L28" i="13"/>
  <c r="K28" i="13"/>
  <c r="I28" i="13"/>
  <c r="G28" i="13"/>
  <c r="E28" i="13"/>
  <c r="C28" i="13"/>
  <c r="A28" i="13"/>
  <c r="N27" i="13"/>
  <c r="M27" i="13"/>
  <c r="L27" i="13"/>
  <c r="K27" i="13"/>
  <c r="I27" i="13"/>
  <c r="G27" i="13"/>
  <c r="E27" i="13"/>
  <c r="C27" i="13"/>
  <c r="A27" i="13"/>
  <c r="N26" i="13"/>
  <c r="M26" i="13"/>
  <c r="L26" i="13"/>
  <c r="K26" i="13"/>
  <c r="I26" i="13"/>
  <c r="G26" i="13"/>
  <c r="E26" i="13"/>
  <c r="C26" i="13"/>
  <c r="A26" i="13"/>
  <c r="N25" i="13"/>
  <c r="M25" i="13"/>
  <c r="L25" i="13"/>
  <c r="K25" i="13"/>
  <c r="I25" i="13"/>
  <c r="G25" i="13"/>
  <c r="E25" i="13"/>
  <c r="C25" i="13"/>
  <c r="A25" i="13"/>
  <c r="N24" i="13"/>
  <c r="M24" i="13"/>
  <c r="L24" i="13"/>
  <c r="K24" i="13"/>
  <c r="I24" i="13"/>
  <c r="G24" i="13"/>
  <c r="E24" i="13"/>
  <c r="C24" i="13"/>
  <c r="A24" i="13"/>
  <c r="N23" i="13"/>
  <c r="M23" i="13"/>
  <c r="L23" i="13"/>
  <c r="K23" i="13"/>
  <c r="I23" i="13"/>
  <c r="G23" i="13"/>
  <c r="E23" i="13"/>
  <c r="C23" i="13"/>
  <c r="A23" i="13"/>
  <c r="N22" i="13"/>
  <c r="M22" i="13"/>
  <c r="L22" i="13"/>
  <c r="K22" i="13"/>
  <c r="I22" i="13"/>
  <c r="G22" i="13"/>
  <c r="E22" i="13"/>
  <c r="C22" i="13"/>
  <c r="A22" i="13"/>
  <c r="N21" i="13"/>
  <c r="M21" i="13"/>
  <c r="L21" i="13"/>
  <c r="K21" i="13"/>
  <c r="I21" i="13"/>
  <c r="G21" i="13"/>
  <c r="E21" i="13"/>
  <c r="C21" i="13"/>
  <c r="A21" i="13"/>
  <c r="N20" i="13"/>
  <c r="M20" i="13"/>
  <c r="L20" i="13"/>
  <c r="K20" i="13"/>
  <c r="I20" i="13"/>
  <c r="G20" i="13"/>
  <c r="E20" i="13"/>
  <c r="C20" i="13"/>
  <c r="A20" i="13"/>
  <c r="N19" i="13"/>
  <c r="M19" i="13"/>
  <c r="L19" i="13"/>
  <c r="K19" i="13"/>
  <c r="I19" i="13"/>
  <c r="G19" i="13"/>
  <c r="E19" i="13"/>
  <c r="C19" i="13"/>
  <c r="A19" i="13"/>
  <c r="N18" i="13"/>
  <c r="M18" i="13"/>
  <c r="L18" i="13"/>
  <c r="K18" i="13"/>
  <c r="I18" i="13"/>
  <c r="G18" i="13"/>
  <c r="E18" i="13"/>
  <c r="C18" i="13"/>
  <c r="A18" i="13"/>
  <c r="N17" i="13"/>
  <c r="M17" i="13"/>
  <c r="L17" i="13"/>
  <c r="K17" i="13"/>
  <c r="I17" i="13"/>
  <c r="G17" i="13"/>
  <c r="E17" i="13"/>
  <c r="C17" i="13"/>
  <c r="A17" i="13"/>
  <c r="N16" i="13"/>
  <c r="M16" i="13"/>
  <c r="L16" i="13"/>
  <c r="K16" i="13"/>
  <c r="I16" i="13"/>
  <c r="G16" i="13"/>
  <c r="E16" i="13"/>
  <c r="C16" i="13"/>
  <c r="A16" i="13"/>
  <c r="N15" i="13"/>
  <c r="M15" i="13"/>
  <c r="L15" i="13"/>
  <c r="K15" i="13"/>
  <c r="I15" i="13"/>
  <c r="G15" i="13"/>
  <c r="E15" i="13"/>
  <c r="C15" i="13"/>
  <c r="A15" i="13"/>
  <c r="N14" i="13"/>
  <c r="M14" i="13"/>
  <c r="L14" i="13"/>
  <c r="K14" i="13"/>
  <c r="I14" i="13"/>
  <c r="G14" i="13"/>
  <c r="E14" i="13"/>
  <c r="C14" i="13"/>
  <c r="A14" i="13"/>
  <c r="N13" i="13"/>
  <c r="M13" i="13"/>
  <c r="L13" i="13"/>
  <c r="K13" i="13"/>
  <c r="I13" i="13"/>
  <c r="G13" i="13"/>
  <c r="E13" i="13"/>
  <c r="C13" i="13"/>
  <c r="A13" i="13"/>
  <c r="N12" i="13"/>
  <c r="M12" i="13"/>
  <c r="L12" i="13"/>
  <c r="K12" i="13"/>
  <c r="I12" i="13"/>
  <c r="G12" i="13"/>
  <c r="E12" i="13"/>
  <c r="C12" i="13"/>
  <c r="A12" i="13"/>
  <c r="N11" i="13"/>
  <c r="M11" i="13"/>
  <c r="L11" i="13"/>
  <c r="K11" i="13"/>
  <c r="I11" i="13"/>
  <c r="G11" i="13"/>
  <c r="E11" i="13"/>
  <c r="C11" i="13"/>
  <c r="A11" i="13"/>
  <c r="N10" i="13"/>
  <c r="M10" i="13"/>
  <c r="L10" i="13"/>
  <c r="K10" i="13"/>
  <c r="I10" i="13"/>
  <c r="G10" i="13"/>
  <c r="E10" i="13"/>
  <c r="C10" i="13"/>
  <c r="A10" i="13"/>
  <c r="I9" i="13"/>
  <c r="G9" i="13"/>
  <c r="E9" i="13"/>
  <c r="C9" i="13"/>
  <c r="A8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J9" i="14"/>
  <c r="I9" i="14"/>
  <c r="H9" i="14"/>
  <c r="G9" i="14"/>
  <c r="F9" i="14"/>
  <c r="E9" i="14"/>
  <c r="D9" i="14"/>
  <c r="C9" i="14"/>
  <c r="D5" i="14"/>
  <c r="AB19" i="96" l="1"/>
  <c r="AB15" i="96"/>
  <c r="AA11" i="87"/>
  <c r="E32" i="15"/>
  <c r="D32" i="15" s="1"/>
  <c r="C32" i="15" s="1"/>
  <c r="Z44" i="43"/>
  <c r="R44" i="43"/>
  <c r="S44" i="43" s="1"/>
  <c r="C56" i="17"/>
  <c r="E74" i="3"/>
  <c r="F74" i="3"/>
  <c r="A45" i="43"/>
  <c r="A59" i="1"/>
  <c r="A59" i="22"/>
  <c r="B10" i="17"/>
  <c r="D75" i="3"/>
  <c r="B76" i="3"/>
  <c r="A12" i="17"/>
  <c r="F12" i="17"/>
  <c r="F14" i="17"/>
  <c r="A14" i="17"/>
  <c r="F16" i="17"/>
  <c r="A16" i="17"/>
  <c r="F18" i="17"/>
  <c r="A18" i="17"/>
  <c r="A20" i="17"/>
  <c r="F20" i="17"/>
  <c r="F22" i="17"/>
  <c r="A22" i="17"/>
  <c r="F24" i="17"/>
  <c r="A24" i="17"/>
  <c r="F26" i="17"/>
  <c r="A26" i="17"/>
  <c r="F28" i="17"/>
  <c r="A28" i="17"/>
  <c r="F30" i="17"/>
  <c r="A30" i="17"/>
  <c r="F32" i="17"/>
  <c r="E32" i="17" s="1"/>
  <c r="D32" i="17" s="1"/>
  <c r="A32" i="17"/>
  <c r="F34" i="17"/>
  <c r="E34" i="17" s="1"/>
  <c r="D34" i="17" s="1"/>
  <c r="A34" i="17"/>
  <c r="A36" i="17"/>
  <c r="F36" i="17"/>
  <c r="E36" i="17" s="1"/>
  <c r="D36" i="17" s="1"/>
  <c r="C10" i="14"/>
  <c r="E10" i="14"/>
  <c r="G10" i="14"/>
  <c r="I10" i="14"/>
  <c r="D11" i="14"/>
  <c r="F11" i="14"/>
  <c r="H11" i="14"/>
  <c r="J11" i="14"/>
  <c r="C12" i="14"/>
  <c r="E12" i="14"/>
  <c r="G12" i="14"/>
  <c r="I12" i="14"/>
  <c r="D13" i="14"/>
  <c r="F13" i="14"/>
  <c r="H13" i="14"/>
  <c r="J13" i="14"/>
  <c r="C14" i="14"/>
  <c r="E14" i="14"/>
  <c r="G14" i="14"/>
  <c r="I14" i="14"/>
  <c r="D15" i="14"/>
  <c r="F15" i="14"/>
  <c r="H15" i="14"/>
  <c r="J15" i="14"/>
  <c r="C16" i="14"/>
  <c r="E16" i="14"/>
  <c r="G16" i="14"/>
  <c r="I16" i="14"/>
  <c r="D17" i="14"/>
  <c r="F17" i="14"/>
  <c r="H17" i="14"/>
  <c r="J17" i="14"/>
  <c r="C18" i="14"/>
  <c r="E18" i="14"/>
  <c r="G18" i="14"/>
  <c r="I18" i="14"/>
  <c r="D19" i="14"/>
  <c r="F19" i="14"/>
  <c r="H19" i="14"/>
  <c r="J19" i="14"/>
  <c r="C20" i="14"/>
  <c r="E20" i="14"/>
  <c r="G20" i="14"/>
  <c r="I20" i="14"/>
  <c r="D21" i="14"/>
  <c r="F21" i="14"/>
  <c r="H21" i="14"/>
  <c r="J21" i="14"/>
  <c r="C22" i="14"/>
  <c r="E22" i="14"/>
  <c r="G22" i="14"/>
  <c r="I22" i="14"/>
  <c r="D23" i="14"/>
  <c r="F23" i="14"/>
  <c r="H23" i="14"/>
  <c r="J23" i="14"/>
  <c r="C24" i="14"/>
  <c r="E24" i="14"/>
  <c r="G24" i="14"/>
  <c r="I24" i="14"/>
  <c r="D25" i="14"/>
  <c r="F25" i="14"/>
  <c r="H25" i="14"/>
  <c r="J25" i="14"/>
  <c r="C26" i="14"/>
  <c r="E26" i="14"/>
  <c r="G26" i="14"/>
  <c r="I26" i="14"/>
  <c r="D27" i="14"/>
  <c r="F27" i="14"/>
  <c r="H27" i="14"/>
  <c r="J27" i="14"/>
  <c r="C28" i="14"/>
  <c r="E28" i="14"/>
  <c r="G28" i="14"/>
  <c r="I28" i="14"/>
  <c r="D29" i="14"/>
  <c r="F29" i="14"/>
  <c r="H29" i="14"/>
  <c r="J29" i="14"/>
  <c r="C30" i="14"/>
  <c r="E30" i="14"/>
  <c r="G30" i="14"/>
  <c r="I30" i="14"/>
  <c r="D31" i="14"/>
  <c r="F31" i="14"/>
  <c r="H31" i="14"/>
  <c r="J31" i="14"/>
  <c r="C32" i="14"/>
  <c r="E32" i="14"/>
  <c r="G32" i="14"/>
  <c r="I32" i="14"/>
  <c r="D33" i="14"/>
  <c r="F33" i="14"/>
  <c r="C10" i="17"/>
  <c r="C14" i="17"/>
  <c r="B16" i="17"/>
  <c r="B12" i="17"/>
  <c r="C12" i="17"/>
  <c r="B14" i="17"/>
  <c r="C17" i="17"/>
  <c r="C18" i="17"/>
  <c r="B18" i="17" s="1"/>
  <c r="C20" i="17"/>
  <c r="B20" i="17" s="1"/>
  <c r="C22" i="17"/>
  <c r="B22" i="17" s="1"/>
  <c r="C23" i="17"/>
  <c r="B23" i="17" s="1"/>
  <c r="C26" i="17"/>
  <c r="B26" i="17" s="1"/>
  <c r="C28" i="17"/>
  <c r="B28" i="17" s="1"/>
  <c r="C34" i="17"/>
  <c r="B34" i="17" s="1"/>
  <c r="C38" i="17"/>
  <c r="C33" i="17"/>
  <c r="B33" i="17" s="1"/>
  <c r="C36" i="17"/>
  <c r="C40" i="17"/>
  <c r="B42" i="17"/>
  <c r="C44" i="17"/>
  <c r="B46" i="17"/>
  <c r="C41" i="17"/>
  <c r="B41" i="17" s="1"/>
  <c r="B44" i="17"/>
  <c r="B50" i="17"/>
  <c r="B48" i="17"/>
  <c r="C50" i="17"/>
  <c r="C52" i="17"/>
  <c r="C53" i="17"/>
  <c r="B53" i="17" s="1"/>
  <c r="B54" i="17"/>
  <c r="B56" i="17"/>
  <c r="C57" i="17"/>
  <c r="B57" i="17" s="1"/>
  <c r="A11" i="17"/>
  <c r="F11" i="17"/>
  <c r="F13" i="17"/>
  <c r="A13" i="17"/>
  <c r="A15" i="17"/>
  <c r="F15" i="17"/>
  <c r="F17" i="17"/>
  <c r="A17" i="17"/>
  <c r="A19" i="17"/>
  <c r="F19" i="17"/>
  <c r="F21" i="17"/>
  <c r="A21" i="17"/>
  <c r="F23" i="17"/>
  <c r="A23" i="17"/>
  <c r="F25" i="17"/>
  <c r="E25" i="17" s="1"/>
  <c r="D25" i="17" s="1"/>
  <c r="A25" i="17"/>
  <c r="F27" i="17"/>
  <c r="A27" i="17"/>
  <c r="A29" i="17"/>
  <c r="F29" i="17"/>
  <c r="E29" i="17" s="1"/>
  <c r="D29" i="17" s="1"/>
  <c r="C29" i="17" s="1"/>
  <c r="B29" i="17" s="1"/>
  <c r="F31" i="17"/>
  <c r="A31" i="17"/>
  <c r="F33" i="17"/>
  <c r="E33" i="17" s="1"/>
  <c r="D33" i="17" s="1"/>
  <c r="A33" i="17"/>
  <c r="F35" i="17"/>
  <c r="E35" i="17" s="1"/>
  <c r="D35" i="17" s="1"/>
  <c r="A35" i="17"/>
  <c r="F34" i="15"/>
  <c r="D10" i="14"/>
  <c r="F10" i="14"/>
  <c r="H10" i="14"/>
  <c r="J10" i="14"/>
  <c r="C11" i="14"/>
  <c r="E11" i="14"/>
  <c r="G11" i="14"/>
  <c r="I11" i="14"/>
  <c r="D12" i="14"/>
  <c r="F12" i="14"/>
  <c r="H12" i="14"/>
  <c r="J12" i="14"/>
  <c r="C13" i="14"/>
  <c r="E13" i="14"/>
  <c r="G13" i="14"/>
  <c r="I13" i="14"/>
  <c r="D14" i="14"/>
  <c r="F14" i="14"/>
  <c r="H14" i="14"/>
  <c r="J14" i="14"/>
  <c r="C15" i="14"/>
  <c r="E15" i="14"/>
  <c r="G15" i="14"/>
  <c r="I15" i="14"/>
  <c r="D16" i="14"/>
  <c r="F16" i="14"/>
  <c r="H16" i="14"/>
  <c r="J16" i="14"/>
  <c r="C17" i="14"/>
  <c r="E17" i="14"/>
  <c r="G17" i="14"/>
  <c r="I17" i="14"/>
  <c r="D18" i="14"/>
  <c r="F18" i="14"/>
  <c r="H18" i="14"/>
  <c r="J18" i="14"/>
  <c r="C19" i="14"/>
  <c r="E19" i="14"/>
  <c r="G19" i="14"/>
  <c r="I19" i="14"/>
  <c r="D20" i="14"/>
  <c r="F20" i="14"/>
  <c r="H20" i="14"/>
  <c r="J20" i="14"/>
  <c r="C21" i="14"/>
  <c r="E21" i="14"/>
  <c r="G21" i="14"/>
  <c r="I21" i="14"/>
  <c r="D22" i="14"/>
  <c r="F22" i="14"/>
  <c r="H22" i="14"/>
  <c r="J22" i="14"/>
  <c r="C23" i="14"/>
  <c r="E23" i="14"/>
  <c r="G23" i="14"/>
  <c r="I23" i="14"/>
  <c r="D24" i="14"/>
  <c r="F24" i="14"/>
  <c r="H24" i="14"/>
  <c r="J24" i="14"/>
  <c r="C25" i="14"/>
  <c r="E25" i="14"/>
  <c r="G25" i="14"/>
  <c r="I25" i="14"/>
  <c r="D26" i="14"/>
  <c r="F26" i="14"/>
  <c r="H26" i="14"/>
  <c r="J26" i="14"/>
  <c r="C27" i="14"/>
  <c r="E27" i="14"/>
  <c r="G27" i="14"/>
  <c r="I27" i="14"/>
  <c r="D28" i="14"/>
  <c r="F28" i="14"/>
  <c r="H28" i="14"/>
  <c r="J28" i="14"/>
  <c r="C29" i="14"/>
  <c r="E29" i="14"/>
  <c r="G29" i="14"/>
  <c r="I29" i="14"/>
  <c r="D30" i="14"/>
  <c r="F30" i="14"/>
  <c r="H30" i="14"/>
  <c r="J30" i="14"/>
  <c r="C31" i="14"/>
  <c r="E31" i="14"/>
  <c r="G31" i="14"/>
  <c r="I31" i="14"/>
  <c r="D32" i="14"/>
  <c r="F32" i="14"/>
  <c r="H32" i="14"/>
  <c r="J32" i="14"/>
  <c r="C33" i="14"/>
  <c r="E33" i="14"/>
  <c r="C13" i="17"/>
  <c r="B15" i="17"/>
  <c r="B11" i="17"/>
  <c r="C11" i="17"/>
  <c r="B13" i="17"/>
  <c r="C15" i="17"/>
  <c r="B17" i="17"/>
  <c r="C19" i="17"/>
  <c r="B19" i="17" s="1"/>
  <c r="C21" i="17"/>
  <c r="B21" i="17" s="1"/>
  <c r="C24" i="17"/>
  <c r="B24" i="17" s="1"/>
  <c r="C25" i="17"/>
  <c r="B25" i="17" s="1"/>
  <c r="C27" i="17"/>
  <c r="B27" i="17" s="1"/>
  <c r="B36" i="17"/>
  <c r="C39" i="17"/>
  <c r="B39" i="17" s="1"/>
  <c r="C32" i="17"/>
  <c r="B32" i="17" s="1"/>
  <c r="C35" i="17"/>
  <c r="B35" i="17" s="1"/>
  <c r="B38" i="17"/>
  <c r="B40" i="17"/>
  <c r="C43" i="17"/>
  <c r="B43" i="17" s="1"/>
  <c r="C45" i="17"/>
  <c r="B45" i="17" s="1"/>
  <c r="C47" i="17"/>
  <c r="B47" i="17" s="1"/>
  <c r="C42" i="17"/>
  <c r="C46" i="17"/>
  <c r="C48" i="17"/>
  <c r="C49" i="17"/>
  <c r="B49" i="17" s="1"/>
  <c r="C51" i="17"/>
  <c r="B51" i="17" s="1"/>
  <c r="B52" i="17"/>
  <c r="C54" i="17"/>
  <c r="C55" i="17"/>
  <c r="B55" i="17" s="1"/>
  <c r="E33" i="15" l="1"/>
  <c r="E34" i="15" s="1"/>
  <c r="AC19" i="96"/>
  <c r="AC15" i="96"/>
  <c r="AB11" i="87"/>
  <c r="Z45" i="43"/>
  <c r="R45" i="43"/>
  <c r="S45" i="43" s="1"/>
  <c r="E75" i="3"/>
  <c r="F75" i="3"/>
  <c r="D76" i="3"/>
  <c r="B77" i="3"/>
  <c r="A46" i="43"/>
  <c r="A60" i="1"/>
  <c r="A60" i="22"/>
  <c r="A60" i="14"/>
  <c r="A60" i="13"/>
  <c r="F35" i="15"/>
  <c r="D33" i="15"/>
  <c r="C33" i="15" s="1"/>
  <c r="G10" i="17" s="1"/>
  <c r="AD19" i="96" l="1"/>
  <c r="AD15" i="96"/>
  <c r="AC11" i="87"/>
  <c r="Z46" i="43"/>
  <c r="R46" i="43"/>
  <c r="S46" i="43" s="1"/>
  <c r="E76" i="3"/>
  <c r="F76" i="3"/>
  <c r="A47" i="43"/>
  <c r="A61" i="1"/>
  <c r="A61" i="22"/>
  <c r="A61" i="13"/>
  <c r="A61" i="14"/>
  <c r="A37" i="17"/>
  <c r="F37" i="17"/>
  <c r="E37" i="17" s="1"/>
  <c r="D37" i="17" s="1"/>
  <c r="B78" i="3"/>
  <c r="D77" i="3"/>
  <c r="D34" i="15"/>
  <c r="C34" i="15" s="1"/>
  <c r="G11" i="17" s="1"/>
  <c r="E35" i="15"/>
  <c r="F36" i="15"/>
  <c r="AE15" i="96" l="1"/>
  <c r="AE19" i="96"/>
  <c r="AD11" i="87"/>
  <c r="Z47" i="43"/>
  <c r="R47" i="43"/>
  <c r="S47" i="43" s="1"/>
  <c r="A48" i="43"/>
  <c r="A62" i="1"/>
  <c r="A62" i="22"/>
  <c r="A62" i="14"/>
  <c r="A62" i="13"/>
  <c r="B79" i="3"/>
  <c r="D78" i="3"/>
  <c r="E77" i="3"/>
  <c r="F77" i="3"/>
  <c r="A38" i="17"/>
  <c r="F38" i="17"/>
  <c r="E38" i="17" s="1"/>
  <c r="D38" i="17" s="1"/>
  <c r="E36" i="15"/>
  <c r="F37" i="15"/>
  <c r="D35" i="15"/>
  <c r="C35" i="15" s="1"/>
  <c r="G12" i="17" s="1"/>
  <c r="AF19" i="96" l="1"/>
  <c r="AF15" i="96"/>
  <c r="AE11" i="87"/>
  <c r="Z48" i="43"/>
  <c r="R48" i="43"/>
  <c r="S48" i="43" s="1"/>
  <c r="E78" i="3"/>
  <c r="F78" i="3"/>
  <c r="D79" i="3"/>
  <c r="B80" i="3"/>
  <c r="A49" i="43"/>
  <c r="A63" i="1"/>
  <c r="A63" i="22"/>
  <c r="A63" i="13"/>
  <c r="A63" i="14"/>
  <c r="A39" i="17"/>
  <c r="F39" i="17"/>
  <c r="E39" i="17" s="1"/>
  <c r="D39" i="17" s="1"/>
  <c r="D36" i="15"/>
  <c r="C36" i="15" s="1"/>
  <c r="G13" i="17" s="1"/>
  <c r="E37" i="15"/>
  <c r="F38" i="15"/>
  <c r="AG19" i="96" l="1"/>
  <c r="AG15" i="96"/>
  <c r="AF11" i="87"/>
  <c r="Z49" i="43"/>
  <c r="R49" i="43"/>
  <c r="S49" i="43" s="1"/>
  <c r="F40" i="17"/>
  <c r="E40" i="17" s="1"/>
  <c r="D40" i="17" s="1"/>
  <c r="A40" i="17"/>
  <c r="E79" i="3"/>
  <c r="F79" i="3"/>
  <c r="A50" i="43"/>
  <c r="A64" i="1"/>
  <c r="A64" i="22"/>
  <c r="O40" i="17" s="1"/>
  <c r="N40" i="17" s="1"/>
  <c r="A64" i="14"/>
  <c r="A64" i="13"/>
  <c r="D37" i="15"/>
  <c r="C37" i="15" s="1"/>
  <c r="G14" i="17" s="1"/>
  <c r="E38" i="15"/>
  <c r="F39" i="15"/>
  <c r="AH19" i="96" l="1"/>
  <c r="AH15" i="96"/>
  <c r="AG11" i="87"/>
  <c r="Z50" i="43"/>
  <c r="R50" i="43"/>
  <c r="S50" i="43" s="1"/>
  <c r="F41" i="17"/>
  <c r="E41" i="17" s="1"/>
  <c r="D41" i="17" s="1"/>
  <c r="A41" i="17"/>
  <c r="A51" i="43"/>
  <c r="A65" i="1"/>
  <c r="A65" i="22"/>
  <c r="O41" i="17" s="1"/>
  <c r="N41" i="17" s="1"/>
  <c r="A65" i="13"/>
  <c r="A65" i="14"/>
  <c r="D38" i="15"/>
  <c r="C38" i="15" s="1"/>
  <c r="G15" i="17" s="1"/>
  <c r="E39" i="15"/>
  <c r="F40" i="15"/>
  <c r="F41" i="15" s="1"/>
  <c r="AI15" i="96" l="1"/>
  <c r="AI19" i="96"/>
  <c r="AH11" i="87"/>
  <c r="Z51" i="43"/>
  <c r="R51" i="43"/>
  <c r="S51" i="43" s="1"/>
  <c r="A52" i="43"/>
  <c r="A66" i="1"/>
  <c r="A66" i="22"/>
  <c r="A66" i="14"/>
  <c r="A66" i="13"/>
  <c r="F42" i="17"/>
  <c r="E42" i="17" s="1"/>
  <c r="D42" i="17" s="1"/>
  <c r="A42" i="17"/>
  <c r="F42" i="15"/>
  <c r="D39" i="15"/>
  <c r="E40" i="15"/>
  <c r="AJ19" i="96" l="1"/>
  <c r="AJ15" i="96"/>
  <c r="AI11" i="87"/>
  <c r="Z52" i="43"/>
  <c r="R52" i="43"/>
  <c r="S52" i="43" s="1"/>
  <c r="A53" i="43"/>
  <c r="A67" i="1"/>
  <c r="A67" i="22"/>
  <c r="A67" i="13"/>
  <c r="A67" i="14"/>
  <c r="A43" i="17"/>
  <c r="F43" i="17"/>
  <c r="E43" i="17" s="1"/>
  <c r="D43" i="17" s="1"/>
  <c r="E41" i="15"/>
  <c r="E42" i="15" s="1"/>
  <c r="C39" i="15"/>
  <c r="D40" i="15"/>
  <c r="D41" i="15" s="1"/>
  <c r="F43" i="15"/>
  <c r="AK19" i="96" l="1"/>
  <c r="AK15" i="96"/>
  <c r="AJ11" i="87"/>
  <c r="Z53" i="43"/>
  <c r="R53" i="43"/>
  <c r="S53" i="43" s="1"/>
  <c r="C40" i="15"/>
  <c r="G17" i="17" s="1"/>
  <c r="G16" i="17"/>
  <c r="F44" i="17"/>
  <c r="E44" i="17" s="1"/>
  <c r="D44" i="17" s="1"/>
  <c r="A44" i="17"/>
  <c r="A54" i="43"/>
  <c r="A68" i="1"/>
  <c r="A68" i="22"/>
  <c r="A68" i="14"/>
  <c r="A68" i="13"/>
  <c r="E43" i="15"/>
  <c r="F44" i="15"/>
  <c r="D42" i="15"/>
  <c r="AL19" i="96" l="1"/>
  <c r="AL15" i="96"/>
  <c r="AK11" i="87"/>
  <c r="Z54" i="43"/>
  <c r="R54" i="43"/>
  <c r="S54" i="43" s="1"/>
  <c r="C41" i="15"/>
  <c r="G18" i="17" s="1"/>
  <c r="F45" i="17"/>
  <c r="E45" i="17" s="1"/>
  <c r="D45" i="17" s="1"/>
  <c r="A45" i="17"/>
  <c r="A55" i="43"/>
  <c r="A69" i="1"/>
  <c r="A69" i="22"/>
  <c r="A69" i="13"/>
  <c r="A69" i="14"/>
  <c r="D43" i="15"/>
  <c r="E44" i="15"/>
  <c r="F45" i="15"/>
  <c r="F52" i="14"/>
  <c r="E52" i="14" s="1"/>
  <c r="D52" i="14" s="1"/>
  <c r="C52" i="14" s="1"/>
  <c r="AM19" i="96" l="1"/>
  <c r="AM15" i="96"/>
  <c r="AL11" i="87"/>
  <c r="Z55" i="43"/>
  <c r="R55" i="43"/>
  <c r="S55" i="43" s="1"/>
  <c r="C42" i="15"/>
  <c r="G19" i="17" s="1"/>
  <c r="A56" i="43"/>
  <c r="A70" i="1"/>
  <c r="A70" i="22"/>
  <c r="A70" i="14"/>
  <c r="A70" i="13"/>
  <c r="F46" i="17"/>
  <c r="E46" i="17" s="1"/>
  <c r="D46" i="17" s="1"/>
  <c r="A46" i="17"/>
  <c r="E45" i="15"/>
  <c r="F46" i="15"/>
  <c r="D44" i="15"/>
  <c r="AN19" i="96" l="1"/>
  <c r="AN15" i="96"/>
  <c r="AM11" i="87"/>
  <c r="Z56" i="43"/>
  <c r="R56" i="43"/>
  <c r="S56" i="43" s="1"/>
  <c r="C43" i="15"/>
  <c r="G20" i="17" s="1"/>
  <c r="A47" i="17"/>
  <c r="F47" i="17"/>
  <c r="E47" i="17" s="1"/>
  <c r="D47" i="17" s="1"/>
  <c r="A57" i="43"/>
  <c r="A71" i="1"/>
  <c r="A71" i="22"/>
  <c r="A71" i="14"/>
  <c r="A71" i="13"/>
  <c r="E46" i="15"/>
  <c r="F47" i="15"/>
  <c r="D45" i="15"/>
  <c r="AO19" i="96" l="1"/>
  <c r="AO15" i="96"/>
  <c r="AN11" i="87"/>
  <c r="Z57" i="43"/>
  <c r="R57" i="43"/>
  <c r="S57" i="43" s="1"/>
  <c r="C44" i="15"/>
  <c r="G21" i="17" s="1"/>
  <c r="A58" i="43"/>
  <c r="A72" i="1"/>
  <c r="A72" i="22"/>
  <c r="A72" i="13"/>
  <c r="A72" i="14"/>
  <c r="F48" i="17"/>
  <c r="E48" i="17" s="1"/>
  <c r="D48" i="17" s="1"/>
  <c r="A48" i="17"/>
  <c r="D46" i="15"/>
  <c r="E47" i="15"/>
  <c r="F48" i="15"/>
  <c r="AP19" i="96" l="1"/>
  <c r="AP15" i="96"/>
  <c r="AO11" i="87"/>
  <c r="Z58" i="43"/>
  <c r="R58" i="43"/>
  <c r="S58" i="43" s="1"/>
  <c r="C45" i="15"/>
  <c r="G22" i="17" s="1"/>
  <c r="A49" i="17"/>
  <c r="F49" i="17"/>
  <c r="E49" i="17" s="1"/>
  <c r="D49" i="17" s="1"/>
  <c r="A59" i="43"/>
  <c r="A73" i="1"/>
  <c r="A73" i="22"/>
  <c r="A73" i="13"/>
  <c r="A73" i="14"/>
  <c r="E48" i="15"/>
  <c r="F49" i="15"/>
  <c r="D47" i="15"/>
  <c r="AQ19" i="96" l="1"/>
  <c r="AQ15" i="96"/>
  <c r="AP11" i="87"/>
  <c r="Z59" i="43"/>
  <c r="R59" i="43"/>
  <c r="S59" i="43" s="1"/>
  <c r="C46" i="15"/>
  <c r="G23" i="17" s="1"/>
  <c r="A60" i="43"/>
  <c r="A74" i="1"/>
  <c r="A74" i="22"/>
  <c r="A74" i="14"/>
  <c r="A74" i="13"/>
  <c r="F50" i="17"/>
  <c r="E50" i="17" s="1"/>
  <c r="D50" i="17" s="1"/>
  <c r="A50" i="17"/>
  <c r="D48" i="15"/>
  <c r="E49" i="15"/>
  <c r="F50" i="15"/>
  <c r="AR19" i="96" l="1"/>
  <c r="AR15" i="96"/>
  <c r="AQ11" i="87"/>
  <c r="Z60" i="43"/>
  <c r="R60" i="43"/>
  <c r="S60" i="43" s="1"/>
  <c r="C47" i="15"/>
  <c r="G24" i="17" s="1"/>
  <c r="A51" i="17"/>
  <c r="F51" i="17"/>
  <c r="E51" i="17" s="1"/>
  <c r="D51" i="17" s="1"/>
  <c r="A61" i="43"/>
  <c r="A75" i="1"/>
  <c r="A75" i="22"/>
  <c r="A75" i="13"/>
  <c r="A75" i="14"/>
  <c r="E50" i="15"/>
  <c r="F51" i="15"/>
  <c r="D49" i="15"/>
  <c r="AS19" i="96" l="1"/>
  <c r="AS15" i="96"/>
  <c r="AR11" i="87"/>
  <c r="Z61" i="43"/>
  <c r="R61" i="43"/>
  <c r="S61" i="43" s="1"/>
  <c r="C48" i="15"/>
  <c r="G25" i="17" s="1"/>
  <c r="A52" i="17"/>
  <c r="F52" i="17"/>
  <c r="E52" i="17" s="1"/>
  <c r="D52" i="17" s="1"/>
  <c r="A62" i="43"/>
  <c r="A76" i="1"/>
  <c r="A76" i="22"/>
  <c r="A76" i="13"/>
  <c r="A76" i="14"/>
  <c r="D50" i="15"/>
  <c r="E51" i="15"/>
  <c r="F52" i="15"/>
  <c r="AT19" i="96" l="1"/>
  <c r="AT15" i="96"/>
  <c r="AS11" i="87"/>
  <c r="Z62" i="43"/>
  <c r="R62" i="43"/>
  <c r="S62" i="43" s="1"/>
  <c r="C49" i="15"/>
  <c r="G26" i="17" s="1"/>
  <c r="A63" i="43"/>
  <c r="A77" i="1"/>
  <c r="A77" i="22"/>
  <c r="A77" i="13"/>
  <c r="A77" i="14"/>
  <c r="F53" i="17"/>
  <c r="E53" i="17" s="1"/>
  <c r="D53" i="17" s="1"/>
  <c r="A53" i="17"/>
  <c r="D51" i="15"/>
  <c r="E52" i="15"/>
  <c r="F53" i="15"/>
  <c r="AU19" i="96" l="1"/>
  <c r="AU15" i="96"/>
  <c r="AT11" i="87"/>
  <c r="Z63" i="43"/>
  <c r="R63" i="43"/>
  <c r="S63" i="43" s="1"/>
  <c r="C50" i="15"/>
  <c r="G27" i="17" s="1"/>
  <c r="A54" i="17"/>
  <c r="F54" i="17"/>
  <c r="E54" i="17" s="1"/>
  <c r="D54" i="17" s="1"/>
  <c r="A64" i="43"/>
  <c r="A78" i="1"/>
  <c r="A78" i="22"/>
  <c r="A78" i="14"/>
  <c r="A78" i="13"/>
  <c r="D52" i="15"/>
  <c r="E53" i="15"/>
  <c r="F54" i="15"/>
  <c r="AV19" i="96" l="1"/>
  <c r="AV15" i="96"/>
  <c r="AU11" i="87"/>
  <c r="Z64" i="43"/>
  <c r="R64" i="43"/>
  <c r="S64" i="43" s="1"/>
  <c r="C51" i="15"/>
  <c r="G28" i="17" s="1"/>
  <c r="CR6" i="96"/>
  <c r="CX6" i="96"/>
  <c r="CP6" i="96"/>
  <c r="CI6" i="96"/>
  <c r="CK6" i="96"/>
  <c r="CM6" i="96"/>
  <c r="CW6" i="96"/>
  <c r="CJ6" i="96"/>
  <c r="CF6" i="96"/>
  <c r="CO6" i="96"/>
  <c r="CY6" i="96"/>
  <c r="CL6" i="96"/>
  <c r="CU6" i="96"/>
  <c r="CH6" i="96"/>
  <c r="CT6" i="96"/>
  <c r="CN6" i="96"/>
  <c r="CV6" i="96"/>
  <c r="CQ6" i="96"/>
  <c r="CG6" i="96"/>
  <c r="CZ6" i="96"/>
  <c r="CS6" i="96"/>
  <c r="CE6" i="96"/>
  <c r="A65" i="43"/>
  <c r="A79" i="22"/>
  <c r="A79" i="13"/>
  <c r="A79" i="14"/>
  <c r="A55" i="17"/>
  <c r="F55" i="17"/>
  <c r="E55" i="17" s="1"/>
  <c r="D55" i="17" s="1"/>
  <c r="E54" i="15"/>
  <c r="F55" i="15"/>
  <c r="D53" i="15"/>
  <c r="AW19" i="96" l="1"/>
  <c r="AW15" i="96"/>
  <c r="AV11" i="87"/>
  <c r="Z65" i="43"/>
  <c r="R65" i="43"/>
  <c r="S65" i="43" s="1"/>
  <c r="C52" i="15"/>
  <c r="G29" i="17" s="1"/>
  <c r="F56" i="17"/>
  <c r="E56" i="17" s="1"/>
  <c r="D56" i="17" s="1"/>
  <c r="A56" i="17"/>
  <c r="D54" i="15"/>
  <c r="E55" i="15"/>
  <c r="F56" i="15"/>
  <c r="AX19" i="96" l="1"/>
  <c r="AX15" i="96"/>
  <c r="AW11" i="87"/>
  <c r="R66" i="43"/>
  <c r="S66" i="43" s="1"/>
  <c r="C53" i="15"/>
  <c r="G30" i="17" s="1"/>
  <c r="E56" i="15"/>
  <c r="F57" i="15"/>
  <c r="D55" i="15"/>
  <c r="AY19" i="96" l="1"/>
  <c r="AY15" i="96"/>
  <c r="AX11" i="87"/>
  <c r="R67" i="43"/>
  <c r="S67" i="43" s="1"/>
  <c r="C54" i="15"/>
  <c r="G31" i="17" s="1"/>
  <c r="D56" i="15"/>
  <c r="E57" i="15"/>
  <c r="F58" i="15"/>
  <c r="AZ19" i="96" l="1"/>
  <c r="AZ15" i="96"/>
  <c r="AY11" i="87"/>
  <c r="R68" i="43"/>
  <c r="S68" i="43" s="1"/>
  <c r="C55" i="15"/>
  <c r="G32" i="17" s="1"/>
  <c r="E58" i="15"/>
  <c r="F59" i="15"/>
  <c r="D57" i="15"/>
  <c r="BA19" i="96" l="1"/>
  <c r="BA15" i="96"/>
  <c r="AZ11" i="87"/>
  <c r="R69" i="43"/>
  <c r="S69" i="43" s="1"/>
  <c r="C56" i="15"/>
  <c r="G33" i="17" s="1"/>
  <c r="D58" i="15"/>
  <c r="E59" i="15"/>
  <c r="F60" i="15"/>
  <c r="BB19" i="96" l="1"/>
  <c r="BB15" i="96"/>
  <c r="BA11" i="87"/>
  <c r="C57" i="15"/>
  <c r="G34" i="17" s="1"/>
  <c r="R70" i="43"/>
  <c r="S70" i="43" s="1"/>
  <c r="D59" i="15"/>
  <c r="E60" i="15"/>
  <c r="F61" i="15"/>
  <c r="BC19" i="96" l="1"/>
  <c r="BC15" i="96"/>
  <c r="C58" i="15"/>
  <c r="G35" i="17" s="1"/>
  <c r="R71" i="43"/>
  <c r="S71" i="43" s="1"/>
  <c r="E61" i="15"/>
  <c r="F62" i="15"/>
  <c r="D60" i="15"/>
  <c r="BD19" i="96" l="1"/>
  <c r="BD15" i="96"/>
  <c r="C59" i="15"/>
  <c r="G36" i="17" s="1"/>
  <c r="R72" i="43"/>
  <c r="S72" i="43" s="1"/>
  <c r="E62" i="15"/>
  <c r="F63" i="15"/>
  <c r="D61" i="15"/>
  <c r="BE19" i="96" l="1"/>
  <c r="BE15" i="96"/>
  <c r="C60" i="15"/>
  <c r="G37" i="17" s="1"/>
  <c r="R73" i="43"/>
  <c r="S73" i="43" s="1"/>
  <c r="D62" i="15"/>
  <c r="E63" i="15"/>
  <c r="F64" i="15"/>
  <c r="BF19" i="96" l="1"/>
  <c r="BF15" i="96"/>
  <c r="C61" i="15"/>
  <c r="G38" i="17" s="1"/>
  <c r="R74" i="43"/>
  <c r="S74" i="43" s="1"/>
  <c r="E64" i="15"/>
  <c r="F65" i="15"/>
  <c r="D63" i="15"/>
  <c r="BG19" i="96" l="1"/>
  <c r="BG15" i="96"/>
  <c r="C62" i="15"/>
  <c r="G39" i="17" s="1"/>
  <c r="R75" i="43"/>
  <c r="S75" i="43" s="1"/>
  <c r="D64" i="15"/>
  <c r="E65" i="15"/>
  <c r="F66" i="15"/>
  <c r="BH19" i="96" l="1"/>
  <c r="BH15" i="96"/>
  <c r="C63" i="15"/>
  <c r="G40" i="17" s="1"/>
  <c r="R76" i="43"/>
  <c r="S76" i="43" s="1"/>
  <c r="E66" i="15"/>
  <c r="F67" i="15"/>
  <c r="D65" i="15"/>
  <c r="BI19" i="96" l="1"/>
  <c r="BI15" i="96"/>
  <c r="C64" i="15"/>
  <c r="G41" i="17" s="1"/>
  <c r="R77" i="43"/>
  <c r="S77" i="43" s="1"/>
  <c r="E67" i="15"/>
  <c r="F68" i="15"/>
  <c r="D66" i="15"/>
  <c r="BJ19" i="96" l="1"/>
  <c r="BJ15" i="96"/>
  <c r="C65" i="15"/>
  <c r="G42" i="17" s="1"/>
  <c r="R78" i="43"/>
  <c r="S78" i="43" s="1"/>
  <c r="D67" i="15"/>
  <c r="E68" i="15"/>
  <c r="F69" i="15"/>
  <c r="BK19" i="96" l="1"/>
  <c r="BK15" i="96"/>
  <c r="C66" i="15"/>
  <c r="G43" i="17" s="1"/>
  <c r="R79" i="43"/>
  <c r="S79" i="43" s="1"/>
  <c r="E69" i="15"/>
  <c r="F70" i="15"/>
  <c r="D68" i="15"/>
  <c r="BL19" i="96" l="1"/>
  <c r="BL15" i="96"/>
  <c r="C67" i="15"/>
  <c r="G44" i="17" s="1"/>
  <c r="R80" i="43"/>
  <c r="S80" i="43" s="1"/>
  <c r="D69" i="15"/>
  <c r="E70" i="15"/>
  <c r="F71" i="15"/>
  <c r="BM19" i="96" l="1"/>
  <c r="BM15" i="96"/>
  <c r="C68" i="15"/>
  <c r="G45" i="17" s="1"/>
  <c r="R81" i="43"/>
  <c r="S81" i="43" s="1"/>
  <c r="E71" i="15"/>
  <c r="F72" i="15"/>
  <c r="D70" i="15"/>
  <c r="BN19" i="96" l="1"/>
  <c r="BN15" i="96"/>
  <c r="C69" i="15"/>
  <c r="G46" i="17" s="1"/>
  <c r="R82" i="43"/>
  <c r="S82" i="43" s="1"/>
  <c r="E72" i="15"/>
  <c r="F73" i="15"/>
  <c r="D71" i="15"/>
  <c r="BO19" i="96" l="1"/>
  <c r="BO15" i="96"/>
  <c r="C70" i="15"/>
  <c r="G47" i="17" s="1"/>
  <c r="R83" i="43"/>
  <c r="S83" i="43" s="1"/>
  <c r="E73" i="15"/>
  <c r="F74" i="15"/>
  <c r="D72" i="15"/>
  <c r="BP19" i="96" l="1"/>
  <c r="BP15" i="96"/>
  <c r="C71" i="15"/>
  <c r="G48" i="17" s="1"/>
  <c r="R84" i="43"/>
  <c r="S84" i="43" s="1"/>
  <c r="E74" i="15"/>
  <c r="F75" i="15"/>
  <c r="D73" i="15"/>
  <c r="BQ15" i="96" l="1"/>
  <c r="BQ19" i="96"/>
  <c r="C72" i="15"/>
  <c r="G49" i="17" s="1"/>
  <c r="R85" i="43"/>
  <c r="S85" i="43" s="1"/>
  <c r="E75" i="15"/>
  <c r="F76" i="15"/>
  <c r="D74" i="15"/>
  <c r="BR19" i="96" l="1"/>
  <c r="BR15" i="96"/>
  <c r="C73" i="15"/>
  <c r="G50" i="17" s="1"/>
  <c r="R86" i="43"/>
  <c r="S86" i="43" s="1"/>
  <c r="E76" i="15"/>
  <c r="F77" i="15"/>
  <c r="D75" i="15"/>
  <c r="C74" i="15" l="1"/>
  <c r="G51" i="17" s="1"/>
  <c r="R87" i="43"/>
  <c r="S87" i="43" s="1"/>
  <c r="D76" i="15"/>
  <c r="E77" i="15"/>
  <c r="F78" i="15"/>
  <c r="BT19" i="96" l="1"/>
  <c r="BT15" i="96"/>
  <c r="C75" i="15"/>
  <c r="G52" i="17" s="1"/>
  <c r="R88" i="43"/>
  <c r="S88" i="43" s="1"/>
  <c r="E78" i="15"/>
  <c r="F79" i="15"/>
  <c r="D77" i="15"/>
  <c r="BU19" i="96" l="1"/>
  <c r="BU15" i="96"/>
  <c r="C76" i="15"/>
  <c r="G53" i="17" s="1"/>
  <c r="R89" i="43"/>
  <c r="S89" i="43" s="1"/>
  <c r="D78" i="15"/>
  <c r="E79" i="15"/>
  <c r="F80" i="15"/>
  <c r="BV19" i="96" l="1"/>
  <c r="BV15" i="96"/>
  <c r="C77" i="15"/>
  <c r="G54" i="17" s="1"/>
  <c r="R90" i="43"/>
  <c r="S90" i="43" s="1"/>
  <c r="D79" i="15"/>
  <c r="E80" i="15"/>
  <c r="BW19" i="96" l="1"/>
  <c r="BW15" i="96"/>
  <c r="C78" i="15"/>
  <c r="G55" i="17" s="1"/>
  <c r="R91" i="43"/>
  <c r="S91" i="43" s="1"/>
  <c r="D80" i="15"/>
  <c r="BX19" i="96" l="1"/>
  <c r="BX15" i="96"/>
  <c r="C79" i="15"/>
  <c r="G56" i="17" s="1"/>
  <c r="R92" i="43"/>
  <c r="S92" i="43" s="1"/>
  <c r="BY19" i="96" l="1"/>
  <c r="BY15" i="96"/>
  <c r="C80" i="15"/>
  <c r="R93" i="43"/>
  <c r="S93" i="43" s="1"/>
  <c r="H11" i="17"/>
  <c r="H12" i="17" s="1"/>
  <c r="H13" i="17" s="1"/>
  <c r="H14" i="17" s="1"/>
  <c r="H15" i="17" s="1"/>
  <c r="H16" i="17" s="1"/>
  <c r="C16" i="17" s="1"/>
  <c r="D26" i="17"/>
  <c r="D30" i="17"/>
  <c r="G57" i="17"/>
  <c r="F57" i="17"/>
  <c r="E57" i="17"/>
  <c r="D57" i="17"/>
  <c r="F50" i="22"/>
  <c r="E50" i="22"/>
  <c r="E51" i="22"/>
  <c r="D51" i="22"/>
  <c r="C51" i="22"/>
  <c r="F51" i="22"/>
  <c r="F53" i="22"/>
  <c r="E53" i="22"/>
  <c r="F54" i="22"/>
  <c r="E54" i="22"/>
  <c r="D50" i="22"/>
  <c r="C50" i="22"/>
  <c r="D53" i="22"/>
  <c r="C53" i="22"/>
  <c r="D54" i="22"/>
  <c r="C54" i="22"/>
  <c r="X25" i="1"/>
  <c r="X26" i="1"/>
  <c r="X27" i="1"/>
  <c r="W28" i="1"/>
  <c r="X28" i="1" s="1"/>
  <c r="W29" i="1"/>
  <c r="X29" i="1" s="1"/>
  <c r="W30" i="1"/>
  <c r="X30" i="1" s="1"/>
  <c r="W31" i="1"/>
  <c r="X31" i="1" s="1"/>
  <c r="BZ19" i="96" l="1"/>
  <c r="BZ15" i="96"/>
  <c r="R94" i="43"/>
  <c r="S94" i="43" s="1"/>
  <c r="X32" i="1"/>
  <c r="N28" i="17"/>
  <c r="N27" i="17"/>
  <c r="L31" i="17"/>
  <c r="C31" i="17"/>
  <c r="C30" i="17"/>
  <c r="L30" i="17"/>
  <c r="L27" i="17"/>
  <c r="B31" i="17"/>
  <c r="B30" i="17"/>
  <c r="L28" i="17"/>
  <c r="N31" i="17"/>
  <c r="D28" i="17"/>
  <c r="Y25" i="1"/>
  <c r="AA25" i="1" s="1"/>
  <c r="D31" i="17"/>
  <c r="D27" i="17"/>
  <c r="E28" i="17"/>
  <c r="O28" i="17"/>
  <c r="E31" i="17"/>
  <c r="O31" i="17"/>
  <c r="E27" i="17"/>
  <c r="O27" i="17"/>
  <c r="Y30" i="1"/>
  <c r="Y26" i="1"/>
  <c r="Y28" i="1"/>
  <c r="N30" i="17"/>
  <c r="Y29" i="1"/>
  <c r="Y27" i="1"/>
  <c r="C55" i="35"/>
  <c r="B16" i="35"/>
  <c r="B47" i="35" s="1"/>
  <c r="B55" i="35" s="1"/>
  <c r="F55" i="35"/>
  <c r="CA19" i="96" l="1"/>
  <c r="CA15" i="96"/>
  <c r="Y31" i="1"/>
  <c r="AA31" i="1" s="1"/>
  <c r="R95" i="43"/>
  <c r="S95" i="43" s="1"/>
  <c r="Z25" i="1"/>
  <c r="D55" i="35"/>
  <c r="E55" i="35"/>
  <c r="Z28" i="1"/>
  <c r="AA28" i="1"/>
  <c r="Z30" i="1"/>
  <c r="AA30" i="1"/>
  <c r="AA26" i="1"/>
  <c r="Z26" i="1"/>
  <c r="Z29" i="1"/>
  <c r="AA29" i="1"/>
  <c r="E30" i="17"/>
  <c r="O30" i="17"/>
  <c r="D24" i="17"/>
  <c r="E26" i="17"/>
  <c r="Z27" i="1"/>
  <c r="AA27" i="1"/>
  <c r="CB19" i="96" l="1"/>
  <c r="CB15" i="96"/>
  <c r="Z31" i="1"/>
  <c r="R96" i="43"/>
  <c r="S96" i="43" s="1"/>
  <c r="E23" i="17"/>
  <c r="D23" i="17"/>
  <c r="D22" i="17"/>
  <c r="E24" i="17"/>
  <c r="CC19" i="96" l="1"/>
  <c r="CC15" i="96"/>
  <c r="R97" i="43"/>
  <c r="S97" i="43" s="1"/>
  <c r="E22" i="17"/>
  <c r="CD19" i="96" l="1"/>
  <c r="CD15" i="96"/>
  <c r="F61" i="14"/>
  <c r="E61" i="14"/>
  <c r="D61" i="14"/>
  <c r="C61" i="14"/>
  <c r="E60" i="22"/>
  <c r="F60" i="22"/>
  <c r="D60" i="22"/>
  <c r="C60" i="22"/>
  <c r="D34" i="3"/>
  <c r="E34" i="3" s="1"/>
  <c r="D80" i="3"/>
  <c r="E80" i="3" s="1"/>
  <c r="F80" i="3" l="1"/>
  <c r="B37" i="17"/>
  <c r="C37" i="17"/>
  <c r="L37" i="17"/>
  <c r="I94" i="6" l="1"/>
  <c r="I95" i="6" s="1"/>
  <c r="I96" i="6" s="1"/>
  <c r="I97" i="6" s="1"/>
  <c r="I98" i="6" s="1"/>
  <c r="I99" i="6" s="1"/>
  <c r="I100" i="6" s="1"/>
  <c r="I101" i="6" s="1"/>
  <c r="I102" i="6" s="1"/>
  <c r="I103" i="6" s="1"/>
  <c r="I104" i="6" s="1"/>
  <c r="I105" i="6" s="1"/>
  <c r="W94" i="6"/>
  <c r="W95" i="6" s="1"/>
  <c r="W96" i="6" s="1"/>
  <c r="W97" i="6" s="1"/>
  <c r="W98" i="6" s="1"/>
  <c r="W99" i="6" s="1"/>
  <c r="W100" i="6" s="1"/>
  <c r="W101" i="6" s="1"/>
  <c r="W102" i="6" s="1"/>
  <c r="W103" i="6" s="1"/>
  <c r="W104" i="6" s="1"/>
  <c r="W105" i="6" s="1"/>
  <c r="P94" i="6"/>
  <c r="P95" i="6" s="1"/>
  <c r="P96" i="6" s="1"/>
  <c r="P97" i="6" s="1"/>
  <c r="P98" i="6" s="1"/>
  <c r="P99" i="6" s="1"/>
  <c r="P100" i="6" s="1"/>
  <c r="P101" i="6" s="1"/>
  <c r="P102" i="6" s="1"/>
  <c r="P103" i="6" s="1"/>
  <c r="P104" i="6" s="1"/>
  <c r="P105" i="6" s="1"/>
  <c r="R106" i="6" l="1"/>
  <c r="R111" i="6"/>
  <c r="R107" i="6"/>
  <c r="M47" i="13" s="1"/>
  <c r="R140" i="6"/>
  <c r="R136" i="6"/>
  <c r="R132" i="6"/>
  <c r="R128" i="6"/>
  <c r="R124" i="6"/>
  <c r="R120" i="6"/>
  <c r="R116" i="6"/>
  <c r="R114" i="6"/>
  <c r="R139" i="6"/>
  <c r="R131" i="6"/>
  <c r="R123" i="6"/>
  <c r="R115" i="6"/>
  <c r="R109" i="6"/>
  <c r="R138" i="6"/>
  <c r="R130" i="6"/>
  <c r="R122" i="6"/>
  <c r="R112" i="6"/>
  <c r="R108" i="6"/>
  <c r="R141" i="6"/>
  <c r="R137" i="6"/>
  <c r="R133" i="6"/>
  <c r="R129" i="6"/>
  <c r="R125" i="6"/>
  <c r="R121" i="6"/>
  <c r="R117" i="6"/>
  <c r="R110" i="6"/>
  <c r="R143" i="6"/>
  <c r="R135" i="6"/>
  <c r="R127" i="6"/>
  <c r="R119" i="6"/>
  <c r="R113" i="6"/>
  <c r="R142" i="6"/>
  <c r="R134" i="6"/>
  <c r="R126" i="6"/>
  <c r="R118" i="6"/>
  <c r="D142" i="6"/>
  <c r="D138" i="6"/>
  <c r="D134" i="6"/>
  <c r="D130" i="6"/>
  <c r="D126" i="6"/>
  <c r="D122" i="6"/>
  <c r="D118" i="6"/>
  <c r="D107" i="6"/>
  <c r="D112" i="6"/>
  <c r="D129" i="6"/>
  <c r="D106" i="6"/>
  <c r="D136" i="6"/>
  <c r="D128" i="6"/>
  <c r="D120" i="6"/>
  <c r="D114" i="6"/>
  <c r="D143" i="6"/>
  <c r="D139" i="6"/>
  <c r="D135" i="6"/>
  <c r="D131" i="6"/>
  <c r="D127" i="6"/>
  <c r="D123" i="6"/>
  <c r="D119" i="6"/>
  <c r="D115" i="6"/>
  <c r="D113" i="6"/>
  <c r="D109" i="6"/>
  <c r="D108" i="6"/>
  <c r="D141" i="6"/>
  <c r="D137" i="6"/>
  <c r="D133" i="6"/>
  <c r="D125" i="6"/>
  <c r="D121" i="6"/>
  <c r="D117" i="6"/>
  <c r="D111" i="6"/>
  <c r="D140" i="6"/>
  <c r="D132" i="6"/>
  <c r="D124" i="6"/>
  <c r="D116" i="6"/>
  <c r="D110" i="6"/>
  <c r="K113" i="6"/>
  <c r="K109" i="6"/>
  <c r="K143" i="6"/>
  <c r="K139" i="6"/>
  <c r="K135" i="6"/>
  <c r="K131" i="6"/>
  <c r="K127" i="6"/>
  <c r="K123" i="6"/>
  <c r="K119" i="6"/>
  <c r="K115" i="6"/>
  <c r="K112" i="6"/>
  <c r="K142" i="6"/>
  <c r="K134" i="6"/>
  <c r="K126" i="6"/>
  <c r="K118" i="6"/>
  <c r="K141" i="6"/>
  <c r="K133" i="6"/>
  <c r="K125" i="6"/>
  <c r="K114" i="6"/>
  <c r="K110" i="6"/>
  <c r="K106" i="6"/>
  <c r="K140" i="6"/>
  <c r="K136" i="6"/>
  <c r="K132" i="6"/>
  <c r="K128" i="6"/>
  <c r="K124" i="6"/>
  <c r="K120" i="6"/>
  <c r="K116" i="6"/>
  <c r="K108" i="6"/>
  <c r="K138" i="6"/>
  <c r="K130" i="6"/>
  <c r="K122" i="6"/>
  <c r="K111" i="6"/>
  <c r="K107" i="6"/>
  <c r="K137" i="6"/>
  <c r="K129" i="6"/>
  <c r="K121" i="6"/>
  <c r="K117" i="6"/>
  <c r="AD94" i="6"/>
  <c r="L50" i="13" l="1"/>
  <c r="K48" i="13"/>
  <c r="M49" i="13"/>
  <c r="K50" i="13"/>
  <c r="L48" i="13"/>
  <c r="K51" i="13"/>
  <c r="K49" i="13"/>
  <c r="L47" i="13"/>
  <c r="L49" i="13"/>
  <c r="K47" i="13"/>
  <c r="M51" i="13"/>
  <c r="L51" i="13"/>
  <c r="M50" i="13"/>
  <c r="M48" i="13"/>
  <c r="P106" i="6"/>
  <c r="P107" i="6" s="1"/>
  <c r="P108" i="6" s="1"/>
  <c r="P109" i="6" s="1"/>
  <c r="P110" i="6" s="1"/>
  <c r="P111" i="6" s="1"/>
  <c r="P112" i="6" s="1"/>
  <c r="P113" i="6" s="1"/>
  <c r="P114" i="6" s="1"/>
  <c r="P115" i="6" s="1"/>
  <c r="P116" i="6" s="1"/>
  <c r="P117" i="6" s="1"/>
  <c r="P118" i="6" s="1"/>
  <c r="P119" i="6" s="1"/>
  <c r="P120" i="6" s="1"/>
  <c r="P121" i="6" s="1"/>
  <c r="P122" i="6" s="1"/>
  <c r="P123" i="6" s="1"/>
  <c r="P124" i="6" s="1"/>
  <c r="P125" i="6" s="1"/>
  <c r="P126" i="6" s="1"/>
  <c r="P127" i="6" s="1"/>
  <c r="P128" i="6" s="1"/>
  <c r="P129" i="6" s="1"/>
  <c r="P130" i="6" s="1"/>
  <c r="P131" i="6" s="1"/>
  <c r="P132" i="6" s="1"/>
  <c r="P133" i="6" s="1"/>
  <c r="P134" i="6" s="1"/>
  <c r="P135" i="6" s="1"/>
  <c r="P136" i="6" s="1"/>
  <c r="P137" i="6" s="1"/>
  <c r="P138" i="6" s="1"/>
  <c r="P139" i="6" s="1"/>
  <c r="P140" i="6" s="1"/>
  <c r="P141" i="6" s="1"/>
  <c r="P142" i="6" s="1"/>
  <c r="P143" i="6" s="1"/>
  <c r="L46" i="13"/>
  <c r="H46" i="15"/>
  <c r="H47" i="15" s="1"/>
  <c r="H48" i="15" s="1"/>
  <c r="H49" i="15" s="1"/>
  <c r="H50" i="15" s="1"/>
  <c r="H51" i="15" s="1"/>
  <c r="H52" i="15" s="1"/>
  <c r="H53" i="15" s="1"/>
  <c r="H54" i="15" s="1"/>
  <c r="H55" i="15" s="1"/>
  <c r="H56" i="15" s="1"/>
  <c r="H57" i="15" s="1"/>
  <c r="H58" i="15" s="1"/>
  <c r="H59" i="15" s="1"/>
  <c r="H60" i="15" s="1"/>
  <c r="H61" i="15" s="1"/>
  <c r="H62" i="15" s="1"/>
  <c r="H63" i="15" s="1"/>
  <c r="H64" i="15" s="1"/>
  <c r="H65" i="15" s="1"/>
  <c r="H66" i="15" s="1"/>
  <c r="H67" i="15" s="1"/>
  <c r="H68" i="15" s="1"/>
  <c r="H69" i="15" s="1"/>
  <c r="H70" i="15" s="1"/>
  <c r="H71" i="15" s="1"/>
  <c r="H72" i="15" s="1"/>
  <c r="H73" i="15" s="1"/>
  <c r="H74" i="15" s="1"/>
  <c r="H75" i="15" s="1"/>
  <c r="H76" i="15" s="1"/>
  <c r="H77" i="15" s="1"/>
  <c r="H78" i="15" s="1"/>
  <c r="H79" i="15" s="1"/>
  <c r="H80" i="15" s="1"/>
  <c r="I106" i="6"/>
  <c r="I107" i="6" s="1"/>
  <c r="I108" i="6" s="1"/>
  <c r="I109" i="6" s="1"/>
  <c r="I110" i="6" s="1"/>
  <c r="I111" i="6" s="1"/>
  <c r="I112" i="6" s="1"/>
  <c r="I113" i="6" s="1"/>
  <c r="I114" i="6" s="1"/>
  <c r="I115" i="6" s="1"/>
  <c r="I116" i="6" s="1"/>
  <c r="I117" i="6" s="1"/>
  <c r="I118" i="6" s="1"/>
  <c r="I119" i="6" s="1"/>
  <c r="I120" i="6" s="1"/>
  <c r="I121" i="6" s="1"/>
  <c r="I122" i="6" s="1"/>
  <c r="I123" i="6" s="1"/>
  <c r="I124" i="6" s="1"/>
  <c r="I125" i="6" s="1"/>
  <c r="I126" i="6" s="1"/>
  <c r="I127" i="6" s="1"/>
  <c r="I128" i="6" s="1"/>
  <c r="I129" i="6" s="1"/>
  <c r="I130" i="6" s="1"/>
  <c r="I131" i="6" s="1"/>
  <c r="I132" i="6" s="1"/>
  <c r="I133" i="6" s="1"/>
  <c r="I134" i="6" s="1"/>
  <c r="I135" i="6" s="1"/>
  <c r="I136" i="6" s="1"/>
  <c r="I137" i="6" s="1"/>
  <c r="I138" i="6" s="1"/>
  <c r="I139" i="6" s="1"/>
  <c r="I140" i="6" s="1"/>
  <c r="I141" i="6" s="1"/>
  <c r="I142" i="6" s="1"/>
  <c r="I143" i="6" s="1"/>
  <c r="K46" i="13"/>
  <c r="G46" i="15"/>
  <c r="W106" i="6"/>
  <c r="W107" i="6" s="1"/>
  <c r="W108" i="6" s="1"/>
  <c r="W109" i="6" s="1"/>
  <c r="W110" i="6" s="1"/>
  <c r="W111" i="6" s="1"/>
  <c r="W112" i="6" s="1"/>
  <c r="W113" i="6" s="1"/>
  <c r="W114" i="6" s="1"/>
  <c r="W115" i="6" s="1"/>
  <c r="W116" i="6" s="1"/>
  <c r="W117" i="6" s="1"/>
  <c r="W118" i="6" s="1"/>
  <c r="W119" i="6" s="1"/>
  <c r="W120" i="6" s="1"/>
  <c r="W121" i="6" s="1"/>
  <c r="W122" i="6" s="1"/>
  <c r="W123" i="6" s="1"/>
  <c r="W124" i="6" s="1"/>
  <c r="W125" i="6" s="1"/>
  <c r="W126" i="6" s="1"/>
  <c r="W127" i="6" s="1"/>
  <c r="W128" i="6" s="1"/>
  <c r="W129" i="6" s="1"/>
  <c r="W130" i="6" s="1"/>
  <c r="W131" i="6" s="1"/>
  <c r="W132" i="6" s="1"/>
  <c r="W133" i="6" s="1"/>
  <c r="W134" i="6" s="1"/>
  <c r="W135" i="6" s="1"/>
  <c r="W136" i="6" s="1"/>
  <c r="W137" i="6" s="1"/>
  <c r="W138" i="6" s="1"/>
  <c r="W139" i="6" s="1"/>
  <c r="W140" i="6" s="1"/>
  <c r="W141" i="6" s="1"/>
  <c r="W142" i="6" s="1"/>
  <c r="W143" i="6" s="1"/>
  <c r="M46" i="13"/>
  <c r="I46" i="15"/>
  <c r="I47" i="15" s="1"/>
  <c r="I48" i="15" s="1"/>
  <c r="I49" i="15" s="1"/>
  <c r="I50" i="15" s="1"/>
  <c r="I51" i="15" s="1"/>
  <c r="I52" i="15" s="1"/>
  <c r="I53" i="15" s="1"/>
  <c r="I54" i="15" s="1"/>
  <c r="I55" i="15" s="1"/>
  <c r="I56" i="15" s="1"/>
  <c r="I57" i="15" s="1"/>
  <c r="I58" i="15" s="1"/>
  <c r="I59" i="15" s="1"/>
  <c r="I60" i="15" s="1"/>
  <c r="I61" i="15" s="1"/>
  <c r="I62" i="15" s="1"/>
  <c r="I63" i="15" s="1"/>
  <c r="I64" i="15" s="1"/>
  <c r="I65" i="15" s="1"/>
  <c r="I66" i="15" s="1"/>
  <c r="I67" i="15" s="1"/>
  <c r="I68" i="15" s="1"/>
  <c r="I69" i="15" s="1"/>
  <c r="I70" i="15" s="1"/>
  <c r="I71" i="15" s="1"/>
  <c r="I72" i="15" s="1"/>
  <c r="I73" i="15" s="1"/>
  <c r="I74" i="15" s="1"/>
  <c r="I75" i="15" s="1"/>
  <c r="I76" i="15" s="1"/>
  <c r="I77" i="15" s="1"/>
  <c r="I78" i="15" s="1"/>
  <c r="I79" i="15" s="1"/>
  <c r="I80" i="15" s="1"/>
  <c r="M59" i="13"/>
  <c r="V113" i="6"/>
  <c r="T113" i="6"/>
  <c r="U113" i="6"/>
  <c r="S113" i="6"/>
  <c r="M71" i="13"/>
  <c r="V125" i="6"/>
  <c r="U125" i="6"/>
  <c r="S125" i="6"/>
  <c r="T125" i="6"/>
  <c r="M68" i="13"/>
  <c r="T122" i="6"/>
  <c r="U122" i="6"/>
  <c r="S122" i="6"/>
  <c r="V122" i="6"/>
  <c r="M60" i="13"/>
  <c r="U114" i="6"/>
  <c r="V114" i="6"/>
  <c r="T114" i="6"/>
  <c r="S114" i="6"/>
  <c r="M53" i="13"/>
  <c r="V107" i="6"/>
  <c r="U107" i="6"/>
  <c r="S107" i="6"/>
  <c r="T107" i="6"/>
  <c r="M65" i="13"/>
  <c r="V119" i="6"/>
  <c r="S119" i="6"/>
  <c r="U119" i="6"/>
  <c r="T119" i="6"/>
  <c r="M75" i="13"/>
  <c r="S129" i="6"/>
  <c r="T129" i="6"/>
  <c r="V129" i="6"/>
  <c r="U129" i="6"/>
  <c r="M76" i="13"/>
  <c r="V130" i="6"/>
  <c r="S130" i="6"/>
  <c r="I76" i="22" s="1"/>
  <c r="U130" i="6"/>
  <c r="I77" i="14" s="1"/>
  <c r="T130" i="6"/>
  <c r="M62" i="13"/>
  <c r="S116" i="6"/>
  <c r="T116" i="6"/>
  <c r="U116" i="6"/>
  <c r="V116" i="6"/>
  <c r="M78" i="13"/>
  <c r="T132" i="6"/>
  <c r="U132" i="6"/>
  <c r="I79" i="14" s="1"/>
  <c r="V132" i="6"/>
  <c r="S132" i="6"/>
  <c r="I78" i="22" s="1"/>
  <c r="M57" i="13"/>
  <c r="V111" i="6"/>
  <c r="S111" i="6"/>
  <c r="T111" i="6"/>
  <c r="U111" i="6"/>
  <c r="M73" i="13"/>
  <c r="S127" i="6"/>
  <c r="V127" i="6"/>
  <c r="U127" i="6"/>
  <c r="T127" i="6"/>
  <c r="M79" i="13"/>
  <c r="V133" i="6"/>
  <c r="U133" i="6"/>
  <c r="I80" i="14" s="1"/>
  <c r="S133" i="6"/>
  <c r="I79" i="22" s="1"/>
  <c r="T133" i="6"/>
  <c r="M58" i="13"/>
  <c r="V112" i="6"/>
  <c r="S112" i="6"/>
  <c r="U112" i="6"/>
  <c r="T112" i="6"/>
  <c r="M77" i="13"/>
  <c r="S131" i="6"/>
  <c r="I77" i="22" s="1"/>
  <c r="V131" i="6"/>
  <c r="T131" i="6"/>
  <c r="U131" i="6"/>
  <c r="I78" i="14" s="1"/>
  <c r="M67" i="13"/>
  <c r="V121" i="6"/>
  <c r="S121" i="6"/>
  <c r="T121" i="6"/>
  <c r="U121" i="6"/>
  <c r="M55" i="13"/>
  <c r="V109" i="6"/>
  <c r="S109" i="6"/>
  <c r="U109" i="6"/>
  <c r="T109" i="6"/>
  <c r="M70" i="13"/>
  <c r="V124" i="6"/>
  <c r="S124" i="6"/>
  <c r="T124" i="6"/>
  <c r="U124" i="6"/>
  <c r="M64" i="13"/>
  <c r="T118" i="6"/>
  <c r="V118" i="6"/>
  <c r="S118" i="6"/>
  <c r="U118" i="6"/>
  <c r="M61" i="13"/>
  <c r="V115" i="6"/>
  <c r="U115" i="6"/>
  <c r="S115" i="6"/>
  <c r="T115" i="6"/>
  <c r="M74" i="13"/>
  <c r="S128" i="6"/>
  <c r="T128" i="6"/>
  <c r="U128" i="6"/>
  <c r="V128" i="6"/>
  <c r="M72" i="13"/>
  <c r="T126" i="6"/>
  <c r="V126" i="6"/>
  <c r="S126" i="6"/>
  <c r="U126" i="6"/>
  <c r="M56" i="13"/>
  <c r="T110" i="6"/>
  <c r="U110" i="6"/>
  <c r="S110" i="6"/>
  <c r="V110" i="6"/>
  <c r="M54" i="13"/>
  <c r="T108" i="6"/>
  <c r="V108" i="6"/>
  <c r="U108" i="6"/>
  <c r="S108" i="6"/>
  <c r="M69" i="13"/>
  <c r="V123" i="6"/>
  <c r="U123" i="6"/>
  <c r="S123" i="6"/>
  <c r="T123" i="6"/>
  <c r="M80" i="13"/>
  <c r="T134" i="6"/>
  <c r="V134" i="6"/>
  <c r="S134" i="6"/>
  <c r="I80" i="22" s="1"/>
  <c r="U134" i="6"/>
  <c r="M63" i="13"/>
  <c r="V117" i="6"/>
  <c r="U117" i="6"/>
  <c r="I64" i="14" s="1"/>
  <c r="S117" i="6"/>
  <c r="I63" i="22" s="1"/>
  <c r="T117" i="6"/>
  <c r="M66" i="13"/>
  <c r="V120" i="6"/>
  <c r="U120" i="6"/>
  <c r="S120" i="6"/>
  <c r="T120" i="6"/>
  <c r="M52" i="13"/>
  <c r="V106" i="6"/>
  <c r="U106" i="6"/>
  <c r="S106" i="6"/>
  <c r="T106" i="6"/>
  <c r="K76" i="13"/>
  <c r="H130" i="6"/>
  <c r="E130" i="6"/>
  <c r="G130" i="6"/>
  <c r="F130" i="6"/>
  <c r="K54" i="13"/>
  <c r="F108" i="6"/>
  <c r="E108" i="6"/>
  <c r="H108" i="6"/>
  <c r="G108" i="6"/>
  <c r="K52" i="13"/>
  <c r="F106" i="6"/>
  <c r="E106" i="6"/>
  <c r="G106" i="6"/>
  <c r="H106" i="6"/>
  <c r="K80" i="13"/>
  <c r="E134" i="6"/>
  <c r="H134" i="6"/>
  <c r="F134" i="6"/>
  <c r="G134" i="6"/>
  <c r="K62" i="13"/>
  <c r="F116" i="6"/>
  <c r="E116" i="6"/>
  <c r="G116" i="6"/>
  <c r="H116" i="6"/>
  <c r="K57" i="13"/>
  <c r="G111" i="6"/>
  <c r="H111" i="6"/>
  <c r="E111" i="6"/>
  <c r="F111" i="6"/>
  <c r="K79" i="13"/>
  <c r="H133" i="6"/>
  <c r="E133" i="6"/>
  <c r="G133" i="6"/>
  <c r="F133" i="6"/>
  <c r="K55" i="13"/>
  <c r="E109" i="6"/>
  <c r="G109" i="6"/>
  <c r="H109" i="6"/>
  <c r="F109" i="6"/>
  <c r="K69" i="13"/>
  <c r="H123" i="6"/>
  <c r="G123" i="6"/>
  <c r="E123" i="6"/>
  <c r="F123" i="6"/>
  <c r="K74" i="13"/>
  <c r="F128" i="6"/>
  <c r="H128" i="6"/>
  <c r="G128" i="6"/>
  <c r="E128" i="6"/>
  <c r="K75" i="13"/>
  <c r="G129" i="6"/>
  <c r="E129" i="6"/>
  <c r="H129" i="6"/>
  <c r="F129" i="6"/>
  <c r="K68" i="13"/>
  <c r="H122" i="6"/>
  <c r="E122" i="6"/>
  <c r="G122" i="6"/>
  <c r="F122" i="6"/>
  <c r="K78" i="13"/>
  <c r="H132" i="6"/>
  <c r="G132" i="6"/>
  <c r="F132" i="6"/>
  <c r="E132" i="6"/>
  <c r="K67" i="13"/>
  <c r="E121" i="6"/>
  <c r="F121" i="6"/>
  <c r="G121" i="6"/>
  <c r="H121" i="6"/>
  <c r="K61" i="13"/>
  <c r="H115" i="6"/>
  <c r="G115" i="6"/>
  <c r="E115" i="6"/>
  <c r="F115" i="6"/>
  <c r="K77" i="13"/>
  <c r="G131" i="6"/>
  <c r="H131" i="6"/>
  <c r="E131" i="6"/>
  <c r="F131" i="6"/>
  <c r="K60" i="13"/>
  <c r="H114" i="6"/>
  <c r="F114" i="6"/>
  <c r="G114" i="6"/>
  <c r="E114" i="6"/>
  <c r="K53" i="13"/>
  <c r="G107" i="6"/>
  <c r="E107" i="6"/>
  <c r="H107" i="6"/>
  <c r="F107" i="6"/>
  <c r="K56" i="13"/>
  <c r="F110" i="6"/>
  <c r="E110" i="6"/>
  <c r="G110" i="6"/>
  <c r="H110" i="6"/>
  <c r="K71" i="13"/>
  <c r="F125" i="6"/>
  <c r="G125" i="6"/>
  <c r="H125" i="6"/>
  <c r="E125" i="6"/>
  <c r="K65" i="13"/>
  <c r="H119" i="6"/>
  <c r="F119" i="6"/>
  <c r="G119" i="6"/>
  <c r="E119" i="6"/>
  <c r="K66" i="13"/>
  <c r="F120" i="6"/>
  <c r="G120" i="6"/>
  <c r="H120" i="6"/>
  <c r="E120" i="6"/>
  <c r="K64" i="13"/>
  <c r="E118" i="6"/>
  <c r="F118" i="6"/>
  <c r="G118" i="6"/>
  <c r="H118" i="6"/>
  <c r="K70" i="13"/>
  <c r="F124" i="6"/>
  <c r="E124" i="6"/>
  <c r="G124" i="6"/>
  <c r="H124" i="6"/>
  <c r="K63" i="13"/>
  <c r="E117" i="6"/>
  <c r="G117" i="6"/>
  <c r="H117" i="6"/>
  <c r="F117" i="6"/>
  <c r="K59" i="13"/>
  <c r="H113" i="6"/>
  <c r="F113" i="6"/>
  <c r="G113" i="6"/>
  <c r="E113" i="6"/>
  <c r="K73" i="13"/>
  <c r="G127" i="6"/>
  <c r="E127" i="6"/>
  <c r="F127" i="6"/>
  <c r="H127" i="6"/>
  <c r="K58" i="13"/>
  <c r="F112" i="6"/>
  <c r="E112" i="6"/>
  <c r="G112" i="6"/>
  <c r="H112" i="6"/>
  <c r="K72" i="13"/>
  <c r="H126" i="6"/>
  <c r="E126" i="6"/>
  <c r="F126" i="6"/>
  <c r="G126" i="6"/>
  <c r="L76" i="13"/>
  <c r="L130" i="6"/>
  <c r="H76" i="22" s="1"/>
  <c r="M130" i="6"/>
  <c r="N130" i="6"/>
  <c r="H77" i="14" s="1"/>
  <c r="O130" i="6"/>
  <c r="L66" i="13"/>
  <c r="M120" i="6"/>
  <c r="O120" i="6"/>
  <c r="N120" i="6"/>
  <c r="L120" i="6"/>
  <c r="L60" i="13"/>
  <c r="N114" i="6"/>
  <c r="L114" i="6"/>
  <c r="O114" i="6"/>
  <c r="M114" i="6"/>
  <c r="L53" i="13"/>
  <c r="O107" i="6"/>
  <c r="N107" i="6"/>
  <c r="L107" i="6"/>
  <c r="M107" i="6"/>
  <c r="L70" i="13"/>
  <c r="M124" i="6"/>
  <c r="N124" i="6"/>
  <c r="L124" i="6"/>
  <c r="O124" i="6"/>
  <c r="L71" i="13"/>
  <c r="O125" i="6"/>
  <c r="N125" i="6"/>
  <c r="L125" i="6"/>
  <c r="M125" i="6"/>
  <c r="L58" i="13"/>
  <c r="M112" i="6"/>
  <c r="O112" i="6"/>
  <c r="L112" i="6"/>
  <c r="N112" i="6"/>
  <c r="L67" i="13"/>
  <c r="M121" i="6"/>
  <c r="O121" i="6"/>
  <c r="N121" i="6"/>
  <c r="L121" i="6"/>
  <c r="L57" i="13"/>
  <c r="O111" i="6"/>
  <c r="M111" i="6"/>
  <c r="L111" i="6"/>
  <c r="N111" i="6"/>
  <c r="L54" i="13"/>
  <c r="M108" i="6"/>
  <c r="N108" i="6"/>
  <c r="O108" i="6"/>
  <c r="L108" i="6"/>
  <c r="L74" i="13"/>
  <c r="L128" i="6"/>
  <c r="N128" i="6"/>
  <c r="O128" i="6"/>
  <c r="M128" i="6"/>
  <c r="L52" i="13"/>
  <c r="M106" i="6"/>
  <c r="O106" i="6"/>
  <c r="N106" i="6"/>
  <c r="L106" i="6"/>
  <c r="L79" i="13"/>
  <c r="O133" i="6"/>
  <c r="M133" i="6"/>
  <c r="N133" i="6"/>
  <c r="H80" i="14" s="1"/>
  <c r="L133" i="6"/>
  <c r="H79" i="22" s="1"/>
  <c r="G79" i="22" s="1"/>
  <c r="L72" i="13"/>
  <c r="L126" i="6"/>
  <c r="M126" i="6"/>
  <c r="N126" i="6"/>
  <c r="O126" i="6"/>
  <c r="L61" i="13"/>
  <c r="O115" i="6"/>
  <c r="L115" i="6"/>
  <c r="M115" i="6"/>
  <c r="N115" i="6"/>
  <c r="L77" i="13"/>
  <c r="O131" i="6"/>
  <c r="M131" i="6"/>
  <c r="L131" i="6"/>
  <c r="H77" i="22" s="1"/>
  <c r="N131" i="6"/>
  <c r="H78" i="14" s="1"/>
  <c r="L55" i="13"/>
  <c r="O109" i="6"/>
  <c r="M109" i="6"/>
  <c r="N109" i="6"/>
  <c r="L109" i="6"/>
  <c r="L69" i="13"/>
  <c r="O123" i="6"/>
  <c r="M123" i="6"/>
  <c r="N123" i="6"/>
  <c r="L123" i="6"/>
  <c r="L63" i="13"/>
  <c r="O117" i="6"/>
  <c r="M117" i="6"/>
  <c r="L117" i="6"/>
  <c r="N117" i="6"/>
  <c r="L64" i="13"/>
  <c r="N118" i="6"/>
  <c r="L118" i="6"/>
  <c r="M118" i="6"/>
  <c r="O118" i="6"/>
  <c r="L73" i="13"/>
  <c r="N127" i="6"/>
  <c r="O127" i="6"/>
  <c r="M127" i="6"/>
  <c r="L127" i="6"/>
  <c r="L75" i="13"/>
  <c r="N129" i="6"/>
  <c r="L129" i="6"/>
  <c r="M129" i="6"/>
  <c r="O129" i="6"/>
  <c r="L68" i="13"/>
  <c r="L122" i="6"/>
  <c r="M122" i="6"/>
  <c r="N122" i="6"/>
  <c r="O122" i="6"/>
  <c r="L62" i="13"/>
  <c r="M116" i="6"/>
  <c r="O116" i="6"/>
  <c r="L116" i="6"/>
  <c r="N116" i="6"/>
  <c r="L78" i="13"/>
  <c r="N132" i="6"/>
  <c r="H79" i="14" s="1"/>
  <c r="L132" i="6"/>
  <c r="H78" i="22" s="1"/>
  <c r="M132" i="6"/>
  <c r="O132" i="6"/>
  <c r="L56" i="13"/>
  <c r="M110" i="6"/>
  <c r="O110" i="6"/>
  <c r="L110" i="6"/>
  <c r="N110" i="6"/>
  <c r="L80" i="13"/>
  <c r="O134" i="6"/>
  <c r="L134" i="6"/>
  <c r="H80" i="22" s="1"/>
  <c r="M134" i="6"/>
  <c r="N134" i="6"/>
  <c r="L65" i="13"/>
  <c r="O119" i="6"/>
  <c r="M119" i="6"/>
  <c r="L119" i="6"/>
  <c r="N119" i="6"/>
  <c r="L59" i="13"/>
  <c r="O113" i="6"/>
  <c r="N113" i="6"/>
  <c r="L113" i="6"/>
  <c r="M113" i="6"/>
  <c r="O32" i="17"/>
  <c r="N32" i="17" s="1"/>
  <c r="H62" i="22" l="1"/>
  <c r="H61" i="22"/>
  <c r="I66" i="22"/>
  <c r="I55" i="22"/>
  <c r="H61" i="14"/>
  <c r="I62" i="22"/>
  <c r="I55" i="14"/>
  <c r="H75" i="22"/>
  <c r="M52" i="17" s="1"/>
  <c r="H73" i="22"/>
  <c r="H55" i="14"/>
  <c r="H58" i="14"/>
  <c r="H72" i="14"/>
  <c r="I70" i="14"/>
  <c r="H62" i="14"/>
  <c r="I66" i="14"/>
  <c r="H63" i="22"/>
  <c r="H56" i="14"/>
  <c r="H72" i="22"/>
  <c r="G72" i="22" s="1"/>
  <c r="I52" i="22"/>
  <c r="I58" i="22"/>
  <c r="I76" i="14"/>
  <c r="G75" i="22"/>
  <c r="G50" i="22"/>
  <c r="I59" i="14"/>
  <c r="H69" i="14"/>
  <c r="H65" i="14"/>
  <c r="H54" i="14"/>
  <c r="I61" i="22"/>
  <c r="I75" i="22"/>
  <c r="H59" i="22"/>
  <c r="H58" i="22"/>
  <c r="H65" i="22"/>
  <c r="H68" i="22"/>
  <c r="I54" i="22"/>
  <c r="I57" i="14"/>
  <c r="I73" i="14"/>
  <c r="I71" i="14"/>
  <c r="I68" i="14"/>
  <c r="I54" i="14"/>
  <c r="I60" i="22"/>
  <c r="I69" i="14"/>
  <c r="H76" i="14"/>
  <c r="H70" i="22"/>
  <c r="G51" i="22"/>
  <c r="I70" i="22"/>
  <c r="I67" i="22"/>
  <c r="H60" i="14"/>
  <c r="H57" i="14"/>
  <c r="H69" i="22"/>
  <c r="H52" i="22"/>
  <c r="H54" i="22"/>
  <c r="H60" i="22"/>
  <c r="I53" i="22"/>
  <c r="G78" i="22"/>
  <c r="H66" i="14"/>
  <c r="H63" i="14"/>
  <c r="H57" i="22"/>
  <c r="H51" i="22"/>
  <c r="I72" i="22"/>
  <c r="M49" i="17" s="1"/>
  <c r="I74" i="22"/>
  <c r="H56" i="22"/>
  <c r="H50" i="22"/>
  <c r="H74" i="14"/>
  <c r="H70" i="14"/>
  <c r="H73" i="14"/>
  <c r="G73" i="14" s="1"/>
  <c r="F73" i="14" s="1"/>
  <c r="E73" i="14" s="1"/>
  <c r="D73" i="14" s="1"/>
  <c r="C73" i="14" s="1"/>
  <c r="H53" i="14"/>
  <c r="H75" i="14"/>
  <c r="H67" i="22"/>
  <c r="H71" i="14"/>
  <c r="H66" i="22"/>
  <c r="G53" i="22"/>
  <c r="G60" i="22"/>
  <c r="M37" i="17" s="1"/>
  <c r="I67" i="14"/>
  <c r="I62" i="14"/>
  <c r="I65" i="14"/>
  <c r="I58" i="14"/>
  <c r="I65" i="22"/>
  <c r="I72" i="14"/>
  <c r="I59" i="22"/>
  <c r="G47" i="15"/>
  <c r="H23" i="17"/>
  <c r="H59" i="14"/>
  <c r="I57" i="22"/>
  <c r="I51" i="22"/>
  <c r="I74" i="14"/>
  <c r="I71" i="22"/>
  <c r="G65" i="22"/>
  <c r="G73" i="22"/>
  <c r="H64" i="22"/>
  <c r="H64" i="14"/>
  <c r="G64" i="14" s="1"/>
  <c r="F64" i="14" s="1"/>
  <c r="E64" i="14" s="1"/>
  <c r="D64" i="14" s="1"/>
  <c r="C64" i="14" s="1"/>
  <c r="H55" i="22"/>
  <c r="G55" i="22" s="1"/>
  <c r="M32" i="17" s="1"/>
  <c r="G62" i="14"/>
  <c r="F62" i="14" s="1"/>
  <c r="E62" i="14" s="1"/>
  <c r="D62" i="14" s="1"/>
  <c r="C62" i="14" s="1"/>
  <c r="H74" i="22"/>
  <c r="G74" i="22" s="1"/>
  <c r="H68" i="14"/>
  <c r="H71" i="22"/>
  <c r="G71" i="22" s="1"/>
  <c r="H53" i="22"/>
  <c r="H67" i="14"/>
  <c r="G61" i="14"/>
  <c r="G54" i="22"/>
  <c r="I53" i="14"/>
  <c r="I69" i="22"/>
  <c r="I56" i="22"/>
  <c r="I50" i="22"/>
  <c r="I75" i="14"/>
  <c r="I64" i="22"/>
  <c r="I56" i="14"/>
  <c r="I73" i="22"/>
  <c r="I63" i="14"/>
  <c r="I61" i="14"/>
  <c r="I68" i="22"/>
  <c r="I60" i="14"/>
  <c r="G65" i="14"/>
  <c r="F65" i="14" s="1"/>
  <c r="E65" i="14" s="1"/>
  <c r="D65" i="14" s="1"/>
  <c r="C65" i="14" s="1"/>
  <c r="G80" i="14"/>
  <c r="F80" i="14" s="1"/>
  <c r="E80" i="14" s="1"/>
  <c r="D80" i="14" s="1"/>
  <c r="C80" i="14" s="1"/>
  <c r="G58" i="14"/>
  <c r="F58" i="14" s="1"/>
  <c r="E58" i="14" s="1"/>
  <c r="D58" i="14" s="1"/>
  <c r="C58" i="14" s="1"/>
  <c r="G57" i="14"/>
  <c r="F57" i="14" s="1"/>
  <c r="E57" i="14" s="1"/>
  <c r="D57" i="14" s="1"/>
  <c r="C57" i="14" s="1"/>
  <c r="G63" i="14"/>
  <c r="F63" i="14" s="1"/>
  <c r="E63" i="14" s="1"/>
  <c r="D63" i="14" s="1"/>
  <c r="C63" i="14" s="1"/>
  <c r="G61" i="22"/>
  <c r="G56" i="22"/>
  <c r="G67" i="22"/>
  <c r="G54" i="14"/>
  <c r="F54" i="14" s="1"/>
  <c r="E54" i="14" s="1"/>
  <c r="D54" i="14" s="1"/>
  <c r="C54" i="14" s="1"/>
  <c r="G77" i="14"/>
  <c r="F77" i="14" s="1"/>
  <c r="E77" i="14" s="1"/>
  <c r="D77" i="14" s="1"/>
  <c r="C77" i="14" s="1"/>
  <c r="G64" i="22"/>
  <c r="G68" i="14"/>
  <c r="F68" i="14" s="1"/>
  <c r="E68" i="14" s="1"/>
  <c r="D68" i="14" s="1"/>
  <c r="C68" i="14" s="1"/>
  <c r="G67" i="14"/>
  <c r="F67" i="14" s="1"/>
  <c r="E67" i="14" s="1"/>
  <c r="D67" i="14" s="1"/>
  <c r="C67" i="14" s="1"/>
  <c r="G76" i="22"/>
  <c r="M53" i="17" s="1"/>
  <c r="G77" i="22"/>
  <c r="M54" i="17" s="1"/>
  <c r="G71" i="14"/>
  <c r="F71" i="14" s="1"/>
  <c r="E71" i="14" s="1"/>
  <c r="D71" i="14" s="1"/>
  <c r="C71" i="14" s="1"/>
  <c r="G69" i="14"/>
  <c r="F69" i="14" s="1"/>
  <c r="E69" i="14" s="1"/>
  <c r="D69" i="14" s="1"/>
  <c r="C69" i="14" s="1"/>
  <c r="G63" i="22"/>
  <c r="G55" i="14"/>
  <c r="F55" i="14" s="1"/>
  <c r="E55" i="14" s="1"/>
  <c r="D55" i="14" s="1"/>
  <c r="C55" i="14" s="1"/>
  <c r="G59" i="14"/>
  <c r="F59" i="14" s="1"/>
  <c r="E59" i="14" s="1"/>
  <c r="D59" i="14" s="1"/>
  <c r="C59" i="14" s="1"/>
  <c r="F75" i="22"/>
  <c r="E75" i="22" s="1"/>
  <c r="D75" i="22" s="1"/>
  <c r="C75" i="22" s="1"/>
  <c r="F74" i="22"/>
  <c r="E74" i="22" s="1"/>
  <c r="D74" i="22" s="1"/>
  <c r="C74" i="22" s="1"/>
  <c r="L51" i="17" s="1"/>
  <c r="F71" i="22"/>
  <c r="E71" i="22" s="1"/>
  <c r="D71" i="22" s="1"/>
  <c r="C71" i="22" s="1"/>
  <c r="F76" i="22"/>
  <c r="E76" i="22" s="1"/>
  <c r="D76" i="22" s="1"/>
  <c r="C76" i="22" s="1"/>
  <c r="L53" i="17" s="1"/>
  <c r="G76" i="14"/>
  <c r="F76" i="14" s="1"/>
  <c r="E76" i="14" s="1"/>
  <c r="D76" i="14" s="1"/>
  <c r="C76" i="14" s="1"/>
  <c r="F63" i="22"/>
  <c r="E63" i="22" s="1"/>
  <c r="D63" i="22" s="1"/>
  <c r="C63" i="22" s="1"/>
  <c r="L40" i="17" s="1"/>
  <c r="G60" i="14"/>
  <c r="F60" i="14" s="1"/>
  <c r="E60" i="14" s="1"/>
  <c r="D60" i="14" s="1"/>
  <c r="C60" i="14" s="1"/>
  <c r="F78" i="22"/>
  <c r="E78" i="22" s="1"/>
  <c r="D78" i="22" s="1"/>
  <c r="C78" i="22" s="1"/>
  <c r="L55" i="17" s="1"/>
  <c r="M55" i="17"/>
  <c r="G69" i="22"/>
  <c r="G52" i="22"/>
  <c r="G57" i="22"/>
  <c r="G58" i="22"/>
  <c r="G70" i="22"/>
  <c r="F73" i="22"/>
  <c r="E73" i="22" s="1"/>
  <c r="D73" i="22" s="1"/>
  <c r="C73" i="22" s="1"/>
  <c r="F64" i="22"/>
  <c r="E64" i="22" s="1"/>
  <c r="D64" i="22" s="1"/>
  <c r="C64" i="22" s="1"/>
  <c r="L41" i="17" s="1"/>
  <c r="F55" i="22"/>
  <c r="E55" i="22" s="1"/>
  <c r="D55" i="22" s="1"/>
  <c r="C55" i="22" s="1"/>
  <c r="L32" i="17" s="1"/>
  <c r="F79" i="22"/>
  <c r="E79" i="22" s="1"/>
  <c r="D79" i="22" s="1"/>
  <c r="C79" i="22" s="1"/>
  <c r="M56" i="17"/>
  <c r="G59" i="22"/>
  <c r="G56" i="14"/>
  <c r="F56" i="14" s="1"/>
  <c r="E56" i="14" s="1"/>
  <c r="D56" i="14" s="1"/>
  <c r="C56" i="14" s="1"/>
  <c r="F72" i="22"/>
  <c r="E72" i="22" s="1"/>
  <c r="D72" i="22" s="1"/>
  <c r="C72" i="22" s="1"/>
  <c r="L49" i="17" s="1"/>
  <c r="G72" i="14"/>
  <c r="F72" i="14" s="1"/>
  <c r="E72" i="14" s="1"/>
  <c r="D72" i="14" s="1"/>
  <c r="C72" i="14" s="1"/>
  <c r="G66" i="14"/>
  <c r="F66" i="14" s="1"/>
  <c r="E66" i="14" s="1"/>
  <c r="D66" i="14" s="1"/>
  <c r="C66" i="14" s="1"/>
  <c r="G80" i="22"/>
  <c r="G78" i="14"/>
  <c r="F78" i="14" s="1"/>
  <c r="E78" i="14" s="1"/>
  <c r="D78" i="14" s="1"/>
  <c r="C78" i="14" s="1"/>
  <c r="F61" i="22"/>
  <c r="E61" i="22" s="1"/>
  <c r="D61" i="22" s="1"/>
  <c r="C61" i="22" s="1"/>
  <c r="L38" i="17" s="1"/>
  <c r="F65" i="22"/>
  <c r="E65" i="22" s="1"/>
  <c r="D65" i="22" s="1"/>
  <c r="C65" i="22" s="1"/>
  <c r="L42" i="17" s="1"/>
  <c r="F56" i="22"/>
  <c r="E56" i="22" s="1"/>
  <c r="D56" i="22" s="1"/>
  <c r="C56" i="22" s="1"/>
  <c r="G79" i="14"/>
  <c r="F79" i="14" s="1"/>
  <c r="E79" i="14" s="1"/>
  <c r="D79" i="14" s="1"/>
  <c r="C79" i="14" s="1"/>
  <c r="G62" i="22"/>
  <c r="G68" i="22"/>
  <c r="G74" i="14"/>
  <c r="F74" i="14" s="1"/>
  <c r="E74" i="14" s="1"/>
  <c r="D74" i="14" s="1"/>
  <c r="C74" i="14" s="1"/>
  <c r="G70" i="14"/>
  <c r="F70" i="14" s="1"/>
  <c r="E70" i="14" s="1"/>
  <c r="D70" i="14" s="1"/>
  <c r="C70" i="14" s="1"/>
  <c r="F77" i="22"/>
  <c r="E77" i="22" s="1"/>
  <c r="D77" i="22" s="1"/>
  <c r="C77" i="22" s="1"/>
  <c r="G75" i="14"/>
  <c r="F75" i="14" s="1"/>
  <c r="E75" i="14" s="1"/>
  <c r="D75" i="14" s="1"/>
  <c r="C75" i="14" s="1"/>
  <c r="F67" i="22"/>
  <c r="E67" i="22" s="1"/>
  <c r="D67" i="22" s="1"/>
  <c r="C67" i="22" s="1"/>
  <c r="L44" i="17" s="1"/>
  <c r="G66" i="22"/>
  <c r="O33" i="17"/>
  <c r="N33" i="17" s="1"/>
  <c r="M33" i="17" l="1"/>
  <c r="M40" i="17"/>
  <c r="M48" i="17"/>
  <c r="M44" i="17"/>
  <c r="M31" i="17"/>
  <c r="M50" i="17"/>
  <c r="M38" i="17"/>
  <c r="M51" i="17"/>
  <c r="M42" i="17"/>
  <c r="M30" i="17"/>
  <c r="M27" i="17"/>
  <c r="M28" i="17"/>
  <c r="M41" i="17"/>
  <c r="L33" i="17"/>
  <c r="L50" i="17"/>
  <c r="G48" i="15"/>
  <c r="H24" i="17"/>
  <c r="L54" i="17"/>
  <c r="L48" i="17"/>
  <c r="L52" i="17"/>
  <c r="L56" i="17"/>
  <c r="F62" i="22"/>
  <c r="E62" i="22" s="1"/>
  <c r="D62" i="22" s="1"/>
  <c r="C62" i="22" s="1"/>
  <c r="L39" i="17" s="1"/>
  <c r="M39" i="17"/>
  <c r="F70" i="22"/>
  <c r="E70" i="22" s="1"/>
  <c r="M47" i="17"/>
  <c r="F69" i="22"/>
  <c r="E69" i="22" s="1"/>
  <c r="D69" i="22" s="1"/>
  <c r="C69" i="22" s="1"/>
  <c r="L46" i="17" s="1"/>
  <c r="M46" i="17"/>
  <c r="F58" i="22"/>
  <c r="E58" i="22" s="1"/>
  <c r="D58" i="22" s="1"/>
  <c r="C58" i="22" s="1"/>
  <c r="L35" i="17" s="1"/>
  <c r="M35" i="17"/>
  <c r="F52" i="22"/>
  <c r="E52" i="22" s="1"/>
  <c r="D52" i="22" s="1"/>
  <c r="C52" i="22" s="1"/>
  <c r="L29" i="17" s="1"/>
  <c r="M29" i="17"/>
  <c r="F80" i="22"/>
  <c r="E80" i="22" s="1"/>
  <c r="D80" i="22" s="1"/>
  <c r="C80" i="22" s="1"/>
  <c r="L57" i="17" s="1"/>
  <c r="M57" i="17"/>
  <c r="F66" i="22"/>
  <c r="E66" i="22" s="1"/>
  <c r="D66" i="22" s="1"/>
  <c r="C66" i="22" s="1"/>
  <c r="L43" i="17" s="1"/>
  <c r="M43" i="17"/>
  <c r="F68" i="22"/>
  <c r="E68" i="22" s="1"/>
  <c r="D68" i="22" s="1"/>
  <c r="C68" i="22" s="1"/>
  <c r="M45" i="17"/>
  <c r="F59" i="22"/>
  <c r="E59" i="22" s="1"/>
  <c r="D59" i="22" s="1"/>
  <c r="C59" i="22" s="1"/>
  <c r="M36" i="17"/>
  <c r="F57" i="22"/>
  <c r="E57" i="22" s="1"/>
  <c r="D57" i="22" s="1"/>
  <c r="C57" i="22" s="1"/>
  <c r="L34" i="17" s="1"/>
  <c r="M34" i="17"/>
  <c r="O34" i="17"/>
  <c r="N34" i="17" s="1"/>
  <c r="D70" i="22" l="1"/>
  <c r="L47" i="17"/>
  <c r="G49" i="15"/>
  <c r="H25" i="17"/>
  <c r="L45" i="17"/>
  <c r="L36" i="17"/>
  <c r="O35" i="17"/>
  <c r="N35" i="17" s="1"/>
  <c r="G50" i="15" l="1"/>
  <c r="H26" i="17"/>
  <c r="O36" i="17"/>
  <c r="N36" i="17" s="1"/>
  <c r="G51" i="15" l="1"/>
  <c r="H27" i="17"/>
  <c r="O37" i="17"/>
  <c r="N37" i="17" s="1"/>
  <c r="H28" i="17" l="1"/>
  <c r="G52" i="15"/>
  <c r="O38" i="17"/>
  <c r="N38" i="17" s="1"/>
  <c r="H29" i="17" l="1"/>
  <c r="G53" i="15"/>
  <c r="O39" i="17"/>
  <c r="N39" i="17" s="1"/>
  <c r="H30" i="17" l="1"/>
  <c r="G54" i="15"/>
  <c r="O42" i="17"/>
  <c r="N42" i="17" s="1"/>
  <c r="H31" i="17" l="1"/>
  <c r="G55" i="15"/>
  <c r="O43" i="17"/>
  <c r="N43" i="17" s="1"/>
  <c r="H32" i="17" l="1"/>
  <c r="G56" i="15"/>
  <c r="O44" i="17"/>
  <c r="N44" i="17" s="1"/>
  <c r="H33" i="17" l="1"/>
  <c r="G57" i="15"/>
  <c r="O45" i="17"/>
  <c r="N45" i="17" s="1"/>
  <c r="H34" i="17" l="1"/>
  <c r="G58" i="15"/>
  <c r="O46" i="17"/>
  <c r="N46" i="17" s="1"/>
  <c r="H35" i="17" l="1"/>
  <c r="G59" i="15"/>
  <c r="O47" i="17"/>
  <c r="N47" i="17" s="1"/>
  <c r="H36" i="17" l="1"/>
  <c r="G60" i="15"/>
  <c r="O48" i="17"/>
  <c r="N48" i="17" s="1"/>
  <c r="H37" i="17" l="1"/>
  <c r="G61" i="15"/>
  <c r="O49" i="17"/>
  <c r="N49" i="17" s="1"/>
  <c r="H38" i="17" l="1"/>
  <c r="G62" i="15"/>
  <c r="O50" i="17"/>
  <c r="N50" i="17" s="1"/>
  <c r="H39" i="17" l="1"/>
  <c r="G63" i="15"/>
  <c r="O51" i="17"/>
  <c r="N51" i="17" s="1"/>
  <c r="H40" i="17" l="1"/>
  <c r="G64" i="15"/>
  <c r="O52" i="17"/>
  <c r="N52" i="17" s="1"/>
  <c r="H41" i="17" l="1"/>
  <c r="G65" i="15"/>
  <c r="O53" i="17"/>
  <c r="N53" i="17" s="1"/>
  <c r="H42" i="17" l="1"/>
  <c r="G66" i="15"/>
  <c r="O54" i="17"/>
  <c r="N54" i="17" s="1"/>
  <c r="H43" i="17" l="1"/>
  <c r="G67" i="15"/>
  <c r="O55" i="17"/>
  <c r="N55" i="17" s="1"/>
  <c r="H44" i="17" l="1"/>
  <c r="G68" i="15"/>
  <c r="O56" i="17"/>
  <c r="N56" i="17" s="1"/>
  <c r="H45" i="17" l="1"/>
  <c r="G69" i="15"/>
  <c r="O57" i="17"/>
  <c r="N57" i="17" s="1"/>
  <c r="H46" i="17" l="1"/>
  <c r="G70" i="15"/>
  <c r="H47" i="17" l="1"/>
  <c r="G71" i="15"/>
  <c r="H48" i="17" l="1"/>
  <c r="G72" i="15"/>
  <c r="H49" i="17" l="1"/>
  <c r="G73" i="15"/>
  <c r="H50" i="17" l="1"/>
  <c r="G74" i="15"/>
  <c r="H51" i="17" l="1"/>
  <c r="G75" i="15"/>
  <c r="H52" i="17" l="1"/>
  <c r="G76" i="15"/>
  <c r="H53" i="17" l="1"/>
  <c r="G77" i="15"/>
  <c r="H54" i="17" l="1"/>
  <c r="G78" i="15"/>
  <c r="G79" i="15" l="1"/>
  <c r="H55" i="17"/>
  <c r="G80" i="15" l="1"/>
  <c r="H57" i="17" s="1"/>
  <c r="H56" i="17"/>
  <c r="E96" i="43" l="1"/>
  <c r="U10" i="17" l="1"/>
  <c r="V32" i="2" l="1"/>
  <c r="F41" i="3"/>
  <c r="P32" i="2"/>
  <c r="F35" i="22" l="1"/>
  <c r="E35" i="22"/>
  <c r="AD95" i="6" l="1"/>
  <c r="AD96" i="6" s="1"/>
  <c r="AD97" i="6" s="1"/>
  <c r="AD98" i="6" s="1"/>
  <c r="AD99" i="6" s="1"/>
  <c r="AD100" i="6" s="1"/>
  <c r="AD101" i="6" s="1"/>
  <c r="AD102" i="6" s="1"/>
  <c r="AD103" i="6" s="1"/>
  <c r="AD104" i="6" s="1"/>
  <c r="AD105" i="6" s="1"/>
  <c r="Y112" i="6" l="1"/>
  <c r="Y108" i="6"/>
  <c r="Y141" i="6"/>
  <c r="Y137" i="6"/>
  <c r="Y133" i="6"/>
  <c r="Y129" i="6"/>
  <c r="Y125" i="6"/>
  <c r="Y121" i="6"/>
  <c r="Y117" i="6"/>
  <c r="Y134" i="6"/>
  <c r="Y126" i="6"/>
  <c r="Y118" i="6"/>
  <c r="Y111" i="6"/>
  <c r="Y107" i="6"/>
  <c r="Y140" i="6"/>
  <c r="Y136" i="6"/>
  <c r="Y132" i="6"/>
  <c r="Y128" i="6"/>
  <c r="Y124" i="6"/>
  <c r="Y120" i="6"/>
  <c r="Y116" i="6"/>
  <c r="Y110" i="6"/>
  <c r="Y143" i="6"/>
  <c r="Y139" i="6"/>
  <c r="Y135" i="6"/>
  <c r="Y131" i="6"/>
  <c r="Y127" i="6"/>
  <c r="Y123" i="6"/>
  <c r="Y119" i="6"/>
  <c r="Y115" i="6"/>
  <c r="Y113" i="6"/>
  <c r="Y109" i="6"/>
  <c r="Y142" i="6"/>
  <c r="Y138" i="6"/>
  <c r="Y130" i="6"/>
  <c r="Y122" i="6"/>
  <c r="Y106" i="6"/>
  <c r="Y114" i="6"/>
  <c r="N49" i="13" l="1"/>
  <c r="N51" i="13"/>
  <c r="N50" i="13"/>
  <c r="N47" i="13"/>
  <c r="N48" i="13"/>
  <c r="AD106" i="6"/>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N46" i="13"/>
  <c r="J46" i="15"/>
  <c r="J47" i="15" s="1"/>
  <c r="J48" i="15" s="1"/>
  <c r="J49" i="15" s="1"/>
  <c r="J50" i="15" s="1"/>
  <c r="J51" i="15" s="1"/>
  <c r="J52" i="15" s="1"/>
  <c r="J53" i="15" s="1"/>
  <c r="J54" i="15" s="1"/>
  <c r="J55" i="15" s="1"/>
  <c r="J56" i="15" s="1"/>
  <c r="J57" i="15" s="1"/>
  <c r="J58" i="15" s="1"/>
  <c r="J59" i="15" s="1"/>
  <c r="J60" i="15" s="1"/>
  <c r="J61" i="15" s="1"/>
  <c r="J62" i="15" s="1"/>
  <c r="J63" i="15" s="1"/>
  <c r="J64" i="15" s="1"/>
  <c r="J65" i="15" s="1"/>
  <c r="J66" i="15" s="1"/>
  <c r="J67" i="15" s="1"/>
  <c r="J68" i="15" s="1"/>
  <c r="J69" i="15" s="1"/>
  <c r="J70" i="15" s="1"/>
  <c r="J71" i="15" s="1"/>
  <c r="J72" i="15" s="1"/>
  <c r="J73" i="15" s="1"/>
  <c r="J74" i="15" s="1"/>
  <c r="J75" i="15" s="1"/>
  <c r="J76" i="15" s="1"/>
  <c r="J77" i="15" s="1"/>
  <c r="J78" i="15" s="1"/>
  <c r="J79" i="15" s="1"/>
  <c r="J80" i="15" s="1"/>
  <c r="F44" i="22"/>
  <c r="D44" i="22"/>
  <c r="E44" i="22"/>
  <c r="C44" i="22"/>
  <c r="N76" i="13"/>
  <c r="AA130" i="6"/>
  <c r="AB130" i="6"/>
  <c r="J77" i="14" s="1"/>
  <c r="AC130" i="6"/>
  <c r="Z130" i="6"/>
  <c r="J76" i="22" s="1"/>
  <c r="N73" i="13"/>
  <c r="AC127" i="6"/>
  <c r="Z127" i="6"/>
  <c r="AA127" i="6"/>
  <c r="AB127" i="6"/>
  <c r="N70" i="13"/>
  <c r="Z124" i="6"/>
  <c r="AC124" i="6"/>
  <c r="AA124" i="6"/>
  <c r="AB124" i="6"/>
  <c r="N71" i="13"/>
  <c r="AA125" i="6"/>
  <c r="Z125" i="6"/>
  <c r="AB125" i="6"/>
  <c r="AC125" i="6"/>
  <c r="N61" i="13"/>
  <c r="AA115" i="6"/>
  <c r="Z115" i="6"/>
  <c r="AB115" i="6"/>
  <c r="AC115" i="6"/>
  <c r="N56" i="13"/>
  <c r="AB110" i="6"/>
  <c r="AA110" i="6"/>
  <c r="AC110" i="6"/>
  <c r="Z110" i="6"/>
  <c r="N80" i="13"/>
  <c r="AB134" i="6"/>
  <c r="Z134" i="6"/>
  <c r="J80" i="22" s="1"/>
  <c r="AC134" i="6"/>
  <c r="AA134" i="6"/>
  <c r="N68" i="13"/>
  <c r="AC122" i="6"/>
  <c r="AA122" i="6"/>
  <c r="Z122" i="6"/>
  <c r="AB122" i="6"/>
  <c r="N55" i="13"/>
  <c r="AA109" i="6"/>
  <c r="AB109" i="6"/>
  <c r="AC109" i="6"/>
  <c r="Z109" i="6"/>
  <c r="N69" i="13"/>
  <c r="Z123" i="6"/>
  <c r="AA123" i="6"/>
  <c r="AB123" i="6"/>
  <c r="AC123" i="6"/>
  <c r="N66" i="13"/>
  <c r="Z120" i="6"/>
  <c r="AA120" i="6"/>
  <c r="AB120" i="6"/>
  <c r="AC120" i="6"/>
  <c r="N64" i="13"/>
  <c r="AC118" i="6"/>
  <c r="AB118" i="6"/>
  <c r="Z118" i="6"/>
  <c r="AA118" i="6"/>
  <c r="N67" i="13"/>
  <c r="Z121" i="6"/>
  <c r="AC121" i="6"/>
  <c r="AA121" i="6"/>
  <c r="AB121" i="6"/>
  <c r="N60" i="13"/>
  <c r="AB114" i="6"/>
  <c r="Z114" i="6"/>
  <c r="AA114" i="6"/>
  <c r="AC114" i="6"/>
  <c r="N59" i="13"/>
  <c r="AA113" i="6"/>
  <c r="Z113" i="6"/>
  <c r="AB113" i="6"/>
  <c r="AC113" i="6"/>
  <c r="N72" i="13"/>
  <c r="AB126" i="6"/>
  <c r="AC126" i="6"/>
  <c r="Z126" i="6"/>
  <c r="AA126" i="6"/>
  <c r="N77" i="13"/>
  <c r="AA131" i="6"/>
  <c r="AB131" i="6"/>
  <c r="J78" i="14" s="1"/>
  <c r="AC131" i="6"/>
  <c r="Z131" i="6"/>
  <c r="J77" i="22" s="1"/>
  <c r="N74" i="13"/>
  <c r="AB128" i="6"/>
  <c r="Z128" i="6"/>
  <c r="AA128" i="6"/>
  <c r="AC128" i="6"/>
  <c r="N53" i="13"/>
  <c r="AA107" i="6"/>
  <c r="Z107" i="6"/>
  <c r="AC107" i="6"/>
  <c r="AB107" i="6"/>
  <c r="N75" i="13"/>
  <c r="AC129" i="6"/>
  <c r="AA129" i="6"/>
  <c r="AB129" i="6"/>
  <c r="Z129" i="6"/>
  <c r="N54" i="13"/>
  <c r="AB108" i="6"/>
  <c r="AA108" i="6"/>
  <c r="AC108" i="6"/>
  <c r="Z108" i="6"/>
  <c r="N52" i="13"/>
  <c r="AB106" i="6"/>
  <c r="AA106" i="6"/>
  <c r="AC106" i="6"/>
  <c r="Z106" i="6"/>
  <c r="N65" i="13"/>
  <c r="Z119" i="6"/>
  <c r="AC119" i="6"/>
  <c r="AA119" i="6"/>
  <c r="AB119" i="6"/>
  <c r="J66" i="14" s="1"/>
  <c r="N62" i="13"/>
  <c r="AC116" i="6"/>
  <c r="AB116" i="6"/>
  <c r="Z116" i="6"/>
  <c r="AA116" i="6"/>
  <c r="N78" i="13"/>
  <c r="AB132" i="6"/>
  <c r="J79" i="14" s="1"/>
  <c r="AA132" i="6"/>
  <c r="AC132" i="6"/>
  <c r="Z132" i="6"/>
  <c r="J78" i="22" s="1"/>
  <c r="N57" i="13"/>
  <c r="Z111" i="6"/>
  <c r="AA111" i="6"/>
  <c r="AB111" i="6"/>
  <c r="AC111" i="6"/>
  <c r="N63" i="13"/>
  <c r="Z117" i="6"/>
  <c r="AC117" i="6"/>
  <c r="AA117" i="6"/>
  <c r="AB117" i="6"/>
  <c r="N79" i="13"/>
  <c r="Z133" i="6"/>
  <c r="J79" i="22" s="1"/>
  <c r="AA133" i="6"/>
  <c r="AB133" i="6"/>
  <c r="J80" i="14" s="1"/>
  <c r="AC133" i="6"/>
  <c r="N58" i="13"/>
  <c r="Z112" i="6"/>
  <c r="AA112" i="6"/>
  <c r="AB112" i="6"/>
  <c r="AC112" i="6"/>
  <c r="D17" i="17"/>
  <c r="J65" i="22" l="1"/>
  <c r="J75" i="22"/>
  <c r="J62" i="22"/>
  <c r="J76" i="14"/>
  <c r="J57" i="14"/>
  <c r="J58" i="22"/>
  <c r="J64" i="22"/>
  <c r="J68" i="22"/>
  <c r="J52" i="22"/>
  <c r="J53" i="22"/>
  <c r="J61" i="22"/>
  <c r="L21" i="17"/>
  <c r="J70" i="22"/>
  <c r="J54" i="22"/>
  <c r="J65" i="14"/>
  <c r="J67" i="22"/>
  <c r="J64" i="14"/>
  <c r="J59" i="14"/>
  <c r="J75" i="14"/>
  <c r="J73" i="14"/>
  <c r="J60" i="14"/>
  <c r="J61" i="14"/>
  <c r="J69" i="22"/>
  <c r="J62" i="14"/>
  <c r="J67" i="14"/>
  <c r="J63" i="22"/>
  <c r="J58" i="14"/>
  <c r="J52" i="14"/>
  <c r="I52" i="14" s="1"/>
  <c r="H52" i="14" s="1"/>
  <c r="J59" i="22"/>
  <c r="J56" i="14"/>
  <c r="J69" i="14"/>
  <c r="J56" i="22"/>
  <c r="J50" i="22"/>
  <c r="J74" i="14"/>
  <c r="J63" i="14"/>
  <c r="J55" i="14"/>
  <c r="J72" i="22"/>
  <c r="J66" i="22"/>
  <c r="J70" i="14"/>
  <c r="J72" i="14"/>
  <c r="J57" i="22"/>
  <c r="J51" i="22"/>
  <c r="J53" i="14"/>
  <c r="J54" i="14"/>
  <c r="J74" i="22"/>
  <c r="J60" i="22"/>
  <c r="J68" i="14"/>
  <c r="J55" i="22"/>
  <c r="J71" i="22"/>
  <c r="J71" i="14"/>
  <c r="J73" i="22"/>
  <c r="C45" i="22"/>
  <c r="E45" i="22"/>
  <c r="F45" i="22"/>
  <c r="F46" i="14"/>
  <c r="D45" i="22"/>
  <c r="E17" i="17"/>
  <c r="E46" i="14"/>
  <c r="D46" i="14" s="1"/>
  <c r="C46" i="14" s="1"/>
  <c r="U11" i="17"/>
  <c r="L22" i="17" l="1"/>
  <c r="G46" i="22"/>
  <c r="H46" i="22"/>
  <c r="I46" i="22"/>
  <c r="J46" i="22"/>
  <c r="D46" i="22"/>
  <c r="F46" i="22"/>
  <c r="E46" i="22"/>
  <c r="C46" i="22"/>
  <c r="E47" i="14"/>
  <c r="D47" i="14" s="1"/>
  <c r="C47" i="14" s="1"/>
  <c r="I47" i="14"/>
  <c r="H47" i="14" s="1"/>
  <c r="U12" i="17"/>
  <c r="D19" i="17"/>
  <c r="D10" i="17"/>
  <c r="D18" i="17"/>
  <c r="L23" i="17" l="1"/>
  <c r="M23" i="17"/>
  <c r="J33" i="14"/>
  <c r="H33" i="22"/>
  <c r="J33" i="22"/>
  <c r="J48" i="14"/>
  <c r="I48" i="14" s="1"/>
  <c r="H48" i="14" s="1"/>
  <c r="J47" i="22"/>
  <c r="G33" i="22"/>
  <c r="G47" i="22"/>
  <c r="I47" i="22"/>
  <c r="H47" i="22"/>
  <c r="I33" i="22"/>
  <c r="I33" i="14"/>
  <c r="E47" i="22"/>
  <c r="D47" i="22"/>
  <c r="F48" i="14"/>
  <c r="C47" i="22"/>
  <c r="F47" i="22"/>
  <c r="E48" i="14"/>
  <c r="D48" i="14" s="1"/>
  <c r="C48" i="14" s="1"/>
  <c r="D12" i="17"/>
  <c r="E19" i="17"/>
  <c r="D20" i="17"/>
  <c r="E18" i="17"/>
  <c r="E10" i="17"/>
  <c r="D11" i="17"/>
  <c r="M10" i="17" l="1"/>
  <c r="M24" i="17"/>
  <c r="L24" i="17"/>
  <c r="J49" i="14"/>
  <c r="I49" i="14" s="1"/>
  <c r="H49" i="14" s="1"/>
  <c r="F49" i="14"/>
  <c r="E49" i="14"/>
  <c r="D49" i="14" s="1"/>
  <c r="C49" i="14" s="1"/>
  <c r="J48" i="22"/>
  <c r="I48" i="22" s="1"/>
  <c r="H48" i="22" s="1"/>
  <c r="G48" i="22" s="1"/>
  <c r="O25" i="17"/>
  <c r="I11" i="17"/>
  <c r="J11" i="17"/>
  <c r="E12" i="17"/>
  <c r="E11" i="17"/>
  <c r="E20" i="17"/>
  <c r="D21" i="17"/>
  <c r="I49" i="22" l="1"/>
  <c r="H49" i="22"/>
  <c r="J51" i="14"/>
  <c r="I51" i="14" s="1"/>
  <c r="H51" i="14" s="1"/>
  <c r="J50" i="14"/>
  <c r="I50" i="14" s="1"/>
  <c r="H50" i="14" s="1"/>
  <c r="J49" i="22"/>
  <c r="G49" i="22"/>
  <c r="F50" i="14"/>
  <c r="C49" i="22"/>
  <c r="E49" i="22"/>
  <c r="F49" i="22"/>
  <c r="F51" i="14"/>
  <c r="E51" i="14" s="1"/>
  <c r="D49" i="22"/>
  <c r="N25" i="17"/>
  <c r="E50" i="14"/>
  <c r="D50" i="14" s="1"/>
  <c r="C50" i="14" s="1"/>
  <c r="D13" i="17"/>
  <c r="E21" i="17"/>
  <c r="F48" i="22"/>
  <c r="E48" i="22" s="1"/>
  <c r="D48" i="22" s="1"/>
  <c r="C48" i="22" s="1"/>
  <c r="L25" i="17" s="1"/>
  <c r="M25" i="17"/>
  <c r="J12" i="17"/>
  <c r="I12" i="17"/>
  <c r="D51" i="14"/>
  <c r="C51" i="14" s="1"/>
  <c r="U13" i="17"/>
  <c r="M26" i="17" l="1"/>
  <c r="L26" i="17"/>
  <c r="J13" i="17"/>
  <c r="I13" i="17"/>
  <c r="E13" i="17"/>
  <c r="D14" i="17"/>
  <c r="U14" i="17"/>
  <c r="I14" i="17" l="1"/>
  <c r="J14" i="17"/>
  <c r="D15" i="17"/>
  <c r="E14" i="17"/>
  <c r="D16" i="17"/>
  <c r="E15" i="17" l="1"/>
  <c r="J15" i="17"/>
  <c r="I15" i="17"/>
  <c r="E16" i="17"/>
  <c r="I16" i="17"/>
  <c r="J16" i="17"/>
  <c r="J17" i="17" l="1"/>
  <c r="I17" i="17"/>
  <c r="U15" i="17"/>
  <c r="R18" i="17" l="1"/>
  <c r="Q18" i="17"/>
  <c r="U16" i="17"/>
  <c r="J18" i="17"/>
  <c r="I18" i="17"/>
  <c r="I19" i="17" l="1"/>
  <c r="J19" i="17"/>
  <c r="J20" i="17" l="1"/>
  <c r="I20" i="17"/>
  <c r="J21" i="17" l="1"/>
  <c r="I21" i="17"/>
  <c r="U17" i="17"/>
  <c r="U18" i="17" l="1"/>
  <c r="I22" i="17"/>
  <c r="J22" i="17"/>
  <c r="I23" i="17" l="1"/>
  <c r="J23" i="17"/>
  <c r="S18" i="17"/>
  <c r="T18" i="17" s="1"/>
  <c r="J24" i="17" l="1"/>
  <c r="I24" i="17"/>
  <c r="J25" i="17" l="1"/>
  <c r="I25" i="17"/>
  <c r="U19" i="17"/>
  <c r="U20" i="17" l="1"/>
  <c r="I26" i="17"/>
  <c r="J26" i="17"/>
  <c r="J27" i="17" l="1"/>
  <c r="I27" i="17"/>
  <c r="J28" i="17" l="1"/>
  <c r="I28" i="17"/>
  <c r="J29" i="17" l="1"/>
  <c r="I29" i="17"/>
  <c r="U21" i="17"/>
  <c r="U22" i="17" s="1"/>
  <c r="U23" i="17" s="1"/>
  <c r="J30" i="17" l="1"/>
  <c r="I30" i="17"/>
  <c r="Q27" i="17" l="1"/>
  <c r="J31" i="17"/>
  <c r="I31" i="17"/>
  <c r="J32" i="17" l="1"/>
  <c r="I32" i="17"/>
  <c r="J33" i="17" l="1"/>
  <c r="I33" i="17"/>
  <c r="J34" i="17" l="1"/>
  <c r="I34" i="17"/>
  <c r="R27" i="17"/>
  <c r="Q28" i="17"/>
  <c r="J35" i="17" l="1"/>
  <c r="I35" i="17"/>
  <c r="Q29" i="17" l="1"/>
  <c r="R28" i="17"/>
  <c r="J36" i="17"/>
  <c r="I36" i="17"/>
  <c r="J37" i="17" l="1"/>
  <c r="I37" i="17"/>
  <c r="Q30" i="17" l="1"/>
  <c r="I38" i="17"/>
  <c r="J38" i="17"/>
  <c r="R29" i="17"/>
  <c r="I39" i="17" l="1"/>
  <c r="J39" i="17"/>
  <c r="Q31" i="17"/>
  <c r="R30" i="17" l="1"/>
  <c r="J40" i="17"/>
  <c r="I40" i="17"/>
  <c r="J41" i="17" l="1"/>
  <c r="I41" i="17"/>
  <c r="S27" i="17"/>
  <c r="T27" i="17" s="1"/>
  <c r="U27" i="17" s="1"/>
  <c r="J42" i="17" l="1"/>
  <c r="I42" i="17"/>
  <c r="R31" i="17"/>
  <c r="Q32" i="17"/>
  <c r="S28" i="17" l="1"/>
  <c r="T28" i="17" s="1"/>
  <c r="U28" i="17" s="1"/>
  <c r="J43" i="17"/>
  <c r="I43" i="17"/>
  <c r="R32" i="17" l="1"/>
  <c r="S29" i="17"/>
  <c r="T29" i="17" s="1"/>
  <c r="U29" i="17" s="1"/>
  <c r="I44" i="17"/>
  <c r="J44" i="17"/>
  <c r="Q33" i="17"/>
  <c r="J45" i="17" l="1"/>
  <c r="I45" i="17"/>
  <c r="Q34" i="17"/>
  <c r="R33" i="17" l="1"/>
  <c r="J46" i="17"/>
  <c r="I46" i="17"/>
  <c r="I47" i="17" l="1"/>
  <c r="J47" i="17"/>
  <c r="S30" i="17"/>
  <c r="T30" i="17" s="1"/>
  <c r="U30" i="17" s="1"/>
  <c r="R34" i="17" l="1"/>
  <c r="J48" i="17"/>
  <c r="I48" i="17"/>
  <c r="Q35" i="17"/>
  <c r="Q36" i="17" l="1"/>
  <c r="S31" i="17"/>
  <c r="T31" i="17" s="1"/>
  <c r="U31" i="17" s="1"/>
  <c r="J49" i="17"/>
  <c r="I49" i="17"/>
  <c r="S32" i="17" l="1"/>
  <c r="T32" i="17" s="1"/>
  <c r="U32" i="17" s="1"/>
  <c r="R35" i="17"/>
  <c r="I50" i="17"/>
  <c r="J50" i="17"/>
  <c r="J51" i="17" l="1"/>
  <c r="I51" i="17"/>
  <c r="J52" i="17" l="1"/>
  <c r="I52" i="17"/>
  <c r="R36" i="17"/>
  <c r="Q37" i="17"/>
  <c r="S33" i="17" l="1"/>
  <c r="T33" i="17" s="1"/>
  <c r="U33" i="17" s="1"/>
  <c r="J53" i="17"/>
  <c r="I53" i="17"/>
  <c r="R37" i="17" l="1"/>
  <c r="Q38" i="17"/>
  <c r="J54" i="17"/>
  <c r="I54" i="17"/>
  <c r="S34" i="17" l="1"/>
  <c r="T34" i="17" s="1"/>
  <c r="U34" i="17" s="1"/>
  <c r="Q39" i="17"/>
  <c r="J55" i="17"/>
  <c r="I55" i="17"/>
  <c r="R38" i="17" l="1"/>
  <c r="S35" i="17"/>
  <c r="T35" i="17" s="1"/>
  <c r="U35" i="17" s="1"/>
  <c r="J56" i="17"/>
  <c r="I56" i="17"/>
  <c r="I57" i="17" l="1"/>
  <c r="J57" i="17"/>
  <c r="R39" i="17" l="1"/>
  <c r="Q40" i="17"/>
  <c r="S36" i="17" l="1"/>
  <c r="T36" i="17" s="1"/>
  <c r="U36" i="17" s="1"/>
  <c r="R40" i="17" l="1"/>
  <c r="S37" i="17"/>
  <c r="T37" i="17" s="1"/>
  <c r="U37" i="17" s="1"/>
  <c r="Q41" i="17"/>
  <c r="Q42" i="17" l="1"/>
  <c r="R41" i="17" l="1"/>
  <c r="S38" i="17" l="1"/>
  <c r="T38" i="17" s="1"/>
  <c r="U38" i="17" s="1"/>
  <c r="R42" i="17" l="1"/>
  <c r="Q43" i="17"/>
  <c r="Q44" i="17" l="1"/>
  <c r="S39" i="17"/>
  <c r="T39" i="17" s="1"/>
  <c r="U39" i="17" s="1"/>
  <c r="R43" i="17" l="1"/>
  <c r="S40" i="17" l="1"/>
  <c r="T40" i="17" s="1"/>
  <c r="U40" i="17" s="1"/>
  <c r="R44" i="17" l="1"/>
  <c r="Q45" i="17"/>
  <c r="Q46" i="17" l="1"/>
  <c r="S41" i="17"/>
  <c r="T41" i="17" s="1"/>
  <c r="U41" i="17" s="1"/>
  <c r="R45" i="17" l="1"/>
  <c r="S42" i="17" l="1"/>
  <c r="T42" i="17" s="1"/>
  <c r="U42" i="17" s="1"/>
  <c r="R46" i="17" l="1"/>
  <c r="Q48" i="17"/>
  <c r="Q47" i="17"/>
  <c r="S43" i="17" l="1"/>
  <c r="T43" i="17" s="1"/>
  <c r="U43" i="17" s="1"/>
  <c r="Q49" i="17" l="1"/>
  <c r="R47" i="17"/>
  <c r="Q50" i="17"/>
  <c r="R48" i="17" l="1"/>
  <c r="S44" i="17"/>
  <c r="T44" i="17" s="1"/>
  <c r="U44" i="17" s="1"/>
  <c r="R49" i="17" l="1"/>
  <c r="Q51" i="17"/>
  <c r="Q52" i="17"/>
  <c r="R50" i="17" l="1"/>
  <c r="Q53" i="17"/>
  <c r="S45" i="17"/>
  <c r="T45" i="17" s="1"/>
  <c r="U45" i="17" s="1"/>
  <c r="Q54" i="17" l="1"/>
  <c r="R51" i="17"/>
  <c r="Q55" i="17" l="1"/>
  <c r="R52" i="17"/>
  <c r="S46" i="17"/>
  <c r="T46" i="17" s="1"/>
  <c r="U46" i="17" s="1"/>
  <c r="Q56" i="17" l="1"/>
  <c r="R53" i="17"/>
  <c r="R54" i="17" l="1"/>
  <c r="S47" i="17"/>
  <c r="T47" i="17" s="1"/>
  <c r="U47" i="17" s="1"/>
  <c r="Q57" i="17"/>
  <c r="R55" i="17" l="1"/>
  <c r="S48" i="17" l="1"/>
  <c r="T48" i="17" s="1"/>
  <c r="U48" i="17" s="1"/>
  <c r="R56" i="17"/>
  <c r="CB11" i="90" l="1"/>
  <c r="R57" i="17"/>
  <c r="CC12" i="96" l="1"/>
  <c r="AB11" i="90"/>
  <c r="L11" i="90"/>
  <c r="J11" i="90"/>
  <c r="AL11" i="90"/>
  <c r="P11" i="90"/>
  <c r="AO11" i="90"/>
  <c r="BV11" i="90"/>
  <c r="BU11" i="90"/>
  <c r="AF11" i="90"/>
  <c r="M11" i="90"/>
  <c r="BX11" i="90"/>
  <c r="AK11" i="90"/>
  <c r="V11" i="90"/>
  <c r="BA11" i="90"/>
  <c r="AA11" i="90"/>
  <c r="Q11" i="90"/>
  <c r="T11" i="90"/>
  <c r="AC11" i="90"/>
  <c r="I11" i="90"/>
  <c r="AI11" i="90"/>
  <c r="AQ11" i="90"/>
  <c r="AY11" i="90"/>
  <c r="AJ11" i="90"/>
  <c r="AN11" i="90"/>
  <c r="U11" i="90"/>
  <c r="Z11" i="90"/>
  <c r="AZ11" i="90"/>
  <c r="BW11" i="90"/>
  <c r="BZ11" i="90"/>
  <c r="AP11" i="90"/>
  <c r="R11" i="90"/>
  <c r="BY11" i="90"/>
  <c r="W11" i="90"/>
  <c r="AD11" i="90"/>
  <c r="G11" i="90"/>
  <c r="S11" i="90"/>
  <c r="X11" i="90"/>
  <c r="AX11" i="90"/>
  <c r="AE11" i="90"/>
  <c r="BS11" i="90"/>
  <c r="O11" i="90"/>
  <c r="BT11" i="90"/>
  <c r="H11" i="90"/>
  <c r="K11" i="90"/>
  <c r="AU11" i="90"/>
  <c r="AR11" i="90"/>
  <c r="CA11" i="90"/>
  <c r="AW11" i="90"/>
  <c r="AH11" i="90"/>
  <c r="AM11" i="90"/>
  <c r="AS11" i="90"/>
  <c r="Y11" i="90"/>
  <c r="AV11" i="90"/>
  <c r="N11" i="90"/>
  <c r="F11" i="90"/>
  <c r="AT11" i="90"/>
  <c r="AG11" i="90"/>
  <c r="S49" i="17"/>
  <c r="T49" i="17" s="1"/>
  <c r="U49" i="17" s="1"/>
  <c r="O12" i="96" l="1"/>
  <c r="CB12" i="96"/>
  <c r="P12" i="96"/>
  <c r="AF12" i="96"/>
  <c r="T12" i="96"/>
  <c r="BZ12" i="96"/>
  <c r="J12" i="96"/>
  <c r="W12" i="96"/>
  <c r="BY12" i="96"/>
  <c r="M12" i="96"/>
  <c r="AH12" i="96"/>
  <c r="AW12" i="96"/>
  <c r="AN12" i="96"/>
  <c r="L12" i="96"/>
  <c r="AY12" i="96"/>
  <c r="H12" i="96"/>
  <c r="S12" i="96"/>
  <c r="BX12" i="96"/>
  <c r="V12" i="96"/>
  <c r="AZ12" i="96"/>
  <c r="AD12" i="96"/>
  <c r="AB12" i="96"/>
  <c r="BV12" i="96"/>
  <c r="Q12" i="96"/>
  <c r="AC12" i="96"/>
  <c r="AV12" i="96"/>
  <c r="AU12" i="96"/>
  <c r="Z12" i="96"/>
  <c r="AI12" i="96"/>
  <c r="AS12" i="96"/>
  <c r="I12" i="96"/>
  <c r="BT12" i="96"/>
  <c r="Y12" i="96"/>
  <c r="AE12" i="96"/>
  <c r="AQ12" i="96"/>
  <c r="BA12" i="96"/>
  <c r="AO12" i="96"/>
  <c r="AR12" i="96"/>
  <c r="U12" i="96"/>
  <c r="AL12" i="96"/>
  <c r="N12" i="96"/>
  <c r="BW12" i="96"/>
  <c r="AM12" i="96"/>
  <c r="G12" i="96"/>
  <c r="AT12" i="96"/>
  <c r="AX12" i="96"/>
  <c r="BU12" i="96"/>
  <c r="X12" i="96"/>
  <c r="CA12" i="96"/>
  <c r="AA12" i="96"/>
  <c r="AK12" i="96"/>
  <c r="AJ12" i="96"/>
  <c r="R12" i="96"/>
  <c r="BB12" i="96"/>
  <c r="AG12" i="96"/>
  <c r="AP12" i="96"/>
  <c r="K12" i="96"/>
  <c r="S50" i="17"/>
  <c r="T50" i="17" s="1"/>
  <c r="U50" i="17" s="1"/>
  <c r="S51" i="17" l="1"/>
  <c r="T51" i="17" s="1"/>
  <c r="U51" i="17" s="1"/>
  <c r="S52" i="17" l="1"/>
  <c r="T52" i="17" s="1"/>
  <c r="U52" i="17" s="1"/>
  <c r="S53" i="17" l="1"/>
  <c r="T53" i="17" s="1"/>
  <c r="U53" i="17" s="1"/>
  <c r="S54" i="17" l="1"/>
  <c r="T54" i="17" s="1"/>
  <c r="U54" i="17" s="1"/>
  <c r="S55" i="17" l="1"/>
  <c r="T55" i="17" s="1"/>
  <c r="U55" i="17" s="1"/>
  <c r="S56" i="17" l="1"/>
  <c r="T56" i="17" s="1"/>
  <c r="U56" i="17" s="1"/>
  <c r="S57" i="17" l="1"/>
  <c r="T57" i="17" s="1"/>
  <c r="U57" i="17" s="1"/>
  <c r="CI21" i="36" l="1"/>
  <c r="H16" i="36" l="1"/>
  <c r="BK16" i="36"/>
  <c r="AD16" i="36"/>
  <c r="C16" i="36"/>
  <c r="BW16" i="36"/>
  <c r="BP16" i="36"/>
  <c r="AL16" i="36"/>
  <c r="U16" i="36"/>
  <c r="CG16" i="36"/>
  <c r="BD16" i="36"/>
  <c r="K16" i="36"/>
  <c r="BU16" i="36"/>
  <c r="BT16" i="36"/>
  <c r="BH16" i="36"/>
  <c r="Q16" i="36"/>
  <c r="BJ16" i="36"/>
  <c r="BI16" i="36"/>
  <c r="BX16" i="36"/>
  <c r="BM16" i="36"/>
  <c r="AI16" i="36"/>
  <c r="AS16" i="36"/>
  <c r="N16" i="36"/>
  <c r="CA16" i="36"/>
  <c r="CH16" i="36"/>
  <c r="BQ16" i="36"/>
  <c r="AO16" i="36"/>
  <c r="BE16" i="36"/>
  <c r="AP16" i="36"/>
  <c r="M16" i="36"/>
  <c r="V16" i="36"/>
  <c r="BV16" i="36"/>
  <c r="AT16" i="36"/>
  <c r="X16" i="36"/>
  <c r="O16" i="36"/>
  <c r="CB16" i="36"/>
  <c r="BF16" i="36"/>
  <c r="AK16" i="36"/>
  <c r="R16" i="36"/>
  <c r="AA16" i="36"/>
  <c r="I16" i="36"/>
  <c r="B16" i="36"/>
  <c r="AV16" i="36"/>
  <c r="AF16" i="36"/>
  <c r="AW16" i="36"/>
  <c r="F16" i="36"/>
  <c r="G16" i="36"/>
  <c r="Z16" i="36"/>
  <c r="L16" i="36"/>
  <c r="BS16" i="36"/>
  <c r="BY16" i="36"/>
  <c r="BB16" i="36"/>
  <c r="J16" i="36"/>
  <c r="AZ16" i="36"/>
  <c r="BZ16" i="36"/>
  <c r="AR16" i="36"/>
  <c r="AH16" i="36"/>
  <c r="AG16" i="36"/>
  <c r="BO16" i="36"/>
  <c r="AJ16" i="36"/>
  <c r="CF16" i="36"/>
  <c r="BL16" i="36"/>
  <c r="AQ16" i="36"/>
  <c r="AE16" i="36"/>
  <c r="P16" i="36"/>
  <c r="BR16" i="36"/>
  <c r="BA16" i="36"/>
  <c r="AM16" i="36"/>
  <c r="BN16" i="36"/>
  <c r="Y16" i="36"/>
  <c r="W16" i="36"/>
  <c r="T16" i="36"/>
  <c r="D16" i="36"/>
  <c r="CC16" i="36"/>
  <c r="AU16" i="36"/>
  <c r="AX16" i="36"/>
  <c r="BC16" i="36"/>
  <c r="S16" i="36"/>
  <c r="AB16" i="36"/>
  <c r="AY16" i="36"/>
  <c r="BG16" i="36"/>
  <c r="E16" i="36"/>
  <c r="AN16" i="36"/>
  <c r="CD16" i="36"/>
  <c r="AC16" i="36"/>
  <c r="CE16" i="36"/>
  <c r="B28" i="36" l="1"/>
  <c r="B30" i="36" s="1"/>
  <c r="AF28" i="36"/>
  <c r="AF30" i="36" s="1"/>
  <c r="BH28" i="36"/>
  <c r="BH30" i="36" s="1"/>
  <c r="AC28" i="36"/>
  <c r="AC30" i="36" s="1"/>
  <c r="BF28" i="36"/>
  <c r="BF30" i="36" s="1"/>
  <c r="CH28" i="36"/>
  <c r="CH30" i="36" s="1"/>
  <c r="AV28" i="36"/>
  <c r="AV30" i="36" s="1"/>
  <c r="AB28" i="36"/>
  <c r="AB30" i="36" s="1"/>
  <c r="CG28" i="36"/>
  <c r="CG30" i="36" s="1"/>
  <c r="F28" i="36"/>
  <c r="F30" i="36" s="1"/>
  <c r="AW28" i="36"/>
  <c r="AW30" i="36" s="1"/>
  <c r="Z28" i="36"/>
  <c r="Z30" i="36" s="1"/>
  <c r="BK28" i="36"/>
  <c r="BK30" i="36" s="1"/>
  <c r="BE28" i="36"/>
  <c r="BE30" i="36" s="1"/>
  <c r="AY28" i="36"/>
  <c r="AY30" i="36" s="1"/>
  <c r="BS28" i="36"/>
  <c r="BS30" i="36" s="1"/>
  <c r="W28" i="36"/>
  <c r="W30" i="36" s="1"/>
  <c r="AT28" i="36"/>
  <c r="AT30" i="36" s="1"/>
  <c r="CE28" i="36"/>
  <c r="CE30" i="36" s="1"/>
  <c r="G28" i="36"/>
  <c r="G30" i="36" s="1"/>
  <c r="AD28" i="36"/>
  <c r="AD30" i="36" s="1"/>
  <c r="BA28" i="36"/>
  <c r="BA30" i="36" s="1"/>
  <c r="V28" i="36"/>
  <c r="V30" i="36" s="1"/>
  <c r="CB28" i="36"/>
  <c r="CB30" i="36" s="1"/>
  <c r="M28" i="36"/>
  <c r="M30" i="36" s="1"/>
  <c r="BQ28" i="36"/>
  <c r="BQ30" i="36" s="1"/>
  <c r="U28" i="36"/>
  <c r="U30" i="36" s="1"/>
  <c r="AU28" i="36"/>
  <c r="AU30" i="36" s="1"/>
  <c r="AI28" i="36"/>
  <c r="AI30" i="36" s="1"/>
  <c r="BP28" i="36"/>
  <c r="BP30" i="36" s="1"/>
  <c r="BG28" i="36"/>
  <c r="BG30" i="36" s="1"/>
  <c r="D28" i="36"/>
  <c r="D30" i="36" s="1"/>
  <c r="J28" i="36"/>
  <c r="J30" i="36" s="1"/>
  <c r="AL28" i="36"/>
  <c r="AL30" i="36" s="1"/>
  <c r="BN28" i="36"/>
  <c r="BN30" i="36" s="1"/>
  <c r="H28" i="36"/>
  <c r="H30" i="36" s="1"/>
  <c r="AK28" i="36"/>
  <c r="AK30" i="36" s="1"/>
  <c r="BM28" i="36"/>
  <c r="BM30" i="36" s="1"/>
  <c r="E28" i="36"/>
  <c r="E30" i="36" s="1"/>
  <c r="BI28" i="36"/>
  <c r="BI30" i="36" s="1"/>
  <c r="AP28" i="36"/>
  <c r="AP30" i="36" s="1"/>
  <c r="L28" i="36"/>
  <c r="L30" i="36" s="1"/>
  <c r="AH28" i="36"/>
  <c r="AH30" i="36" s="1"/>
  <c r="BY28" i="36"/>
  <c r="BY30" i="36" s="1"/>
  <c r="O28" i="36"/>
  <c r="O30" i="36" s="1"/>
  <c r="CA28" i="36"/>
  <c r="CA30" i="36" s="1"/>
  <c r="BZ28" i="36"/>
  <c r="BZ30" i="36" s="1"/>
  <c r="C28" i="36"/>
  <c r="C30" i="36" s="1"/>
  <c r="I28" i="36"/>
  <c r="I30" i="36" s="1"/>
  <c r="BC28" i="36"/>
  <c r="BC30" i="36" s="1"/>
  <c r="BU28" i="36"/>
  <c r="BU30" i="36" s="1"/>
  <c r="Y28" i="36"/>
  <c r="Y30" i="36" s="1"/>
  <c r="AM28" i="36"/>
  <c r="AM30" i="36" s="1"/>
  <c r="BJ28" i="36"/>
  <c r="BJ30" i="36" s="1"/>
  <c r="X28" i="36"/>
  <c r="X30" i="36" s="1"/>
  <c r="CC28" i="36"/>
  <c r="CC30" i="36" s="1"/>
  <c r="AX28" i="36"/>
  <c r="AX30" i="36" s="1"/>
  <c r="AG28" i="36"/>
  <c r="AG30" i="36" s="1"/>
  <c r="BR28" i="36"/>
  <c r="BR30" i="36" s="1"/>
  <c r="CD28" i="36"/>
  <c r="CD30" i="36" s="1"/>
  <c r="AJ28" i="36"/>
  <c r="AJ30" i="36" s="1"/>
  <c r="AQ28" i="36"/>
  <c r="AQ30" i="36" s="1"/>
  <c r="T28" i="36"/>
  <c r="T30" i="36" s="1"/>
  <c r="CF28" i="36"/>
  <c r="CF30" i="36" s="1"/>
  <c r="Q28" i="36"/>
  <c r="Q30" i="36" s="1"/>
  <c r="AS28" i="36"/>
  <c r="AS30" i="36" s="1"/>
  <c r="BV28" i="36"/>
  <c r="BV30" i="36" s="1"/>
  <c r="P28" i="36"/>
  <c r="P30" i="36" s="1"/>
  <c r="AR28" i="36"/>
  <c r="AR30" i="36" s="1"/>
  <c r="BT28" i="36"/>
  <c r="BT30" i="36" s="1"/>
  <c r="R28" i="36"/>
  <c r="R30" i="36" s="1"/>
  <c r="BX28" i="36"/>
  <c r="BX30" i="36" s="1"/>
  <c r="BD28" i="36"/>
  <c r="BD30" i="36" s="1"/>
  <c r="AN28" i="36"/>
  <c r="AN30" i="36" s="1"/>
  <c r="BL28" i="36"/>
  <c r="BL30" i="36" s="1"/>
  <c r="BB28" i="36"/>
  <c r="BB30" i="36" s="1"/>
  <c r="AE28" i="36"/>
  <c r="AE30" i="36" s="1"/>
  <c r="N28" i="36"/>
  <c r="N30" i="36" s="1"/>
  <c r="S28" i="36"/>
  <c r="S30" i="36" s="1"/>
  <c r="K28" i="36"/>
  <c r="K30" i="36" s="1"/>
  <c r="AO28" i="36"/>
  <c r="AO30" i="36" s="1"/>
  <c r="BW28" i="36"/>
  <c r="BW30" i="36" s="1"/>
  <c r="AA28" i="36"/>
  <c r="AA30" i="36" s="1"/>
  <c r="AZ28" i="36"/>
  <c r="AZ30" i="36" s="1"/>
  <c r="BO28" i="36"/>
  <c r="BO30" i="36" s="1"/>
  <c r="E12" i="96" l="1"/>
  <c r="O16" i="17"/>
  <c r="O15" i="17"/>
  <c r="N16" i="17"/>
  <c r="O14" i="17"/>
  <c r="N15" i="17"/>
  <c r="N14" i="17"/>
  <c r="O13" i="17"/>
  <c r="F53" i="14"/>
  <c r="E53" i="14"/>
  <c r="D53" i="14"/>
  <c r="C53" i="14"/>
  <c r="O21" i="17"/>
  <c r="N13" i="17"/>
  <c r="O20" i="17"/>
  <c r="N21" i="17"/>
  <c r="O26" i="17"/>
  <c r="N26" i="17"/>
  <c r="O11" i="17"/>
  <c r="O12" i="17"/>
  <c r="G33" i="14"/>
  <c r="J47" i="14"/>
  <c r="H33" i="14"/>
  <c r="F47" i="14"/>
  <c r="O10" i="17"/>
  <c r="N11" i="17"/>
  <c r="O18" i="17"/>
  <c r="N20" i="17"/>
  <c r="O19" i="17"/>
  <c r="N12" i="17"/>
  <c r="I45" i="22"/>
  <c r="J45" i="22"/>
  <c r="H45" i="22"/>
  <c r="G45" i="22"/>
  <c r="N18" i="17"/>
  <c r="N10" i="17"/>
  <c r="O24" i="17"/>
  <c r="N24" i="17"/>
  <c r="N19" i="17"/>
  <c r="O17" i="17"/>
  <c r="N23" i="17"/>
  <c r="O23" i="17"/>
  <c r="E38" i="3"/>
  <c r="N17" i="17"/>
  <c r="O22" i="17"/>
  <c r="N22" i="17"/>
  <c r="E37" i="3"/>
  <c r="E36" i="3"/>
  <c r="E35" i="3"/>
  <c r="E33" i="3"/>
  <c r="E39" i="3"/>
  <c r="D40" i="1"/>
  <c r="D41" i="1" s="1"/>
  <c r="D32" i="1"/>
  <c r="D33" i="1" s="1"/>
  <c r="D34" i="1" s="1"/>
  <c r="D35" i="1" s="1"/>
  <c r="D36" i="1" s="1"/>
  <c r="D37" i="1" s="1"/>
  <c r="D38" i="1" s="1"/>
  <c r="M22" i="17" l="1"/>
  <c r="D42" i="1"/>
  <c r="AB96" i="6"/>
  <c r="J37" i="14" s="1"/>
  <c r="S96" i="6"/>
  <c r="I37" i="22" s="1"/>
  <c r="F33" i="2"/>
  <c r="C37" i="14" s="1"/>
  <c r="D33" i="2"/>
  <c r="C36" i="22" s="1"/>
  <c r="F41" i="1"/>
  <c r="G96" i="6"/>
  <c r="G37" i="14" s="1"/>
  <c r="Z96" i="6"/>
  <c r="N96" i="6"/>
  <c r="U96" i="6"/>
  <c r="L96" i="6"/>
  <c r="H37" i="22" s="1"/>
  <c r="J33" i="2"/>
  <c r="L33" i="2"/>
  <c r="D36" i="14" s="1"/>
  <c r="G94" i="6"/>
  <c r="F31" i="2"/>
  <c r="AB94" i="6"/>
  <c r="N94" i="6"/>
  <c r="U94" i="6"/>
  <c r="L31" i="2"/>
  <c r="E95" i="6"/>
  <c r="G36" i="22" s="1"/>
  <c r="U95" i="6"/>
  <c r="L95" i="6"/>
  <c r="H36" i="22" s="1"/>
  <c r="G95" i="6"/>
  <c r="AB95" i="6"/>
  <c r="S95" i="6"/>
  <c r="I36" i="22" s="1"/>
  <c r="F32" i="2"/>
  <c r="C36" i="14" s="1"/>
  <c r="C35" i="14" s="1"/>
  <c r="D32" i="2"/>
  <c r="C35" i="22" s="1"/>
  <c r="Z95" i="6"/>
  <c r="J36" i="22" s="1"/>
  <c r="N95" i="6"/>
  <c r="G40" i="1"/>
  <c r="F40" i="1"/>
  <c r="J32" i="2"/>
  <c r="D35" i="22" s="1"/>
  <c r="L12" i="17" s="1"/>
  <c r="L32" i="2"/>
  <c r="D35" i="14" s="1"/>
  <c r="F42" i="1"/>
  <c r="S20" i="17"/>
  <c r="R34" i="2"/>
  <c r="E37" i="14" s="1"/>
  <c r="E97" i="6"/>
  <c r="G38" i="22" s="1"/>
  <c r="F43" i="3"/>
  <c r="Q20" i="17"/>
  <c r="V34" i="2"/>
  <c r="F37" i="22" s="1"/>
  <c r="P34" i="2"/>
  <c r="E37" i="22" s="1"/>
  <c r="R20" i="17"/>
  <c r="G97" i="6"/>
  <c r="X34" i="2"/>
  <c r="F37" i="14" s="1"/>
  <c r="G42" i="1"/>
  <c r="D43" i="1"/>
  <c r="R10" i="17"/>
  <c r="S10" i="17"/>
  <c r="Q10" i="17"/>
  <c r="T10" i="17" s="1"/>
  <c r="F33" i="3"/>
  <c r="F32" i="1"/>
  <c r="D112" i="1"/>
  <c r="G32" i="1"/>
  <c r="F42" i="3"/>
  <c r="D36" i="22"/>
  <c r="J37" i="22"/>
  <c r="V33" i="2"/>
  <c r="F36" i="22" s="1"/>
  <c r="E96" i="6"/>
  <c r="G37" i="22" s="1"/>
  <c r="P33" i="2"/>
  <c r="E36" i="22" s="1"/>
  <c r="S19" i="17"/>
  <c r="R33" i="2"/>
  <c r="E36" i="14" s="1"/>
  <c r="X33" i="2"/>
  <c r="F36" i="14" s="1"/>
  <c r="Q19" i="17"/>
  <c r="T19" i="17" s="1"/>
  <c r="R19" i="17"/>
  <c r="I37" i="14"/>
  <c r="H37" i="14"/>
  <c r="G41" i="1"/>
  <c r="C19" i="43"/>
  <c r="U32" i="1"/>
  <c r="R32" i="2"/>
  <c r="E35" i="14" s="1"/>
  <c r="S17" i="17"/>
  <c r="J36" i="14"/>
  <c r="V31" i="2"/>
  <c r="F34" i="22" s="1"/>
  <c r="P31" i="2"/>
  <c r="E34" i="22" s="1"/>
  <c r="R17" i="17"/>
  <c r="I36" i="14"/>
  <c r="G36" i="14"/>
  <c r="C34" i="22"/>
  <c r="F40" i="3"/>
  <c r="X32" i="2"/>
  <c r="F35" i="14" s="1"/>
  <c r="Q17" i="17"/>
  <c r="T17" i="17" s="1"/>
  <c r="I35" i="22"/>
  <c r="D34" i="22"/>
  <c r="J35" i="22"/>
  <c r="G35" i="22"/>
  <c r="H35" i="22"/>
  <c r="H36" i="14"/>
  <c r="L11" i="17" l="1"/>
  <c r="L13" i="17"/>
  <c r="G6" i="131"/>
  <c r="I6" i="131" s="1"/>
  <c r="G6" i="92"/>
  <c r="I6" i="92" s="1"/>
  <c r="M13" i="17"/>
  <c r="M12" i="17"/>
  <c r="M14" i="17"/>
  <c r="R40" i="1"/>
  <c r="T95" i="6"/>
  <c r="Q32" i="2"/>
  <c r="AA95" i="6"/>
  <c r="W32" i="2"/>
  <c r="M95" i="6"/>
  <c r="F95" i="6"/>
  <c r="E32" i="2"/>
  <c r="K32" i="2"/>
  <c r="Z98" i="6"/>
  <c r="N98" i="6"/>
  <c r="H40" i="14" s="1"/>
  <c r="AB98" i="6"/>
  <c r="S98" i="6"/>
  <c r="D35" i="2"/>
  <c r="C38" i="22" s="1"/>
  <c r="U98" i="6"/>
  <c r="I40" i="14" s="1"/>
  <c r="F35" i="2"/>
  <c r="C39" i="14" s="1"/>
  <c r="J35" i="2"/>
  <c r="D38" i="22" s="1"/>
  <c r="L35" i="2"/>
  <c r="U97" i="6"/>
  <c r="I38" i="14" s="1"/>
  <c r="L97" i="6"/>
  <c r="H38" i="22" s="1"/>
  <c r="Z97" i="6"/>
  <c r="J38" i="22" s="1"/>
  <c r="N97" i="6"/>
  <c r="H38" i="14" s="1"/>
  <c r="AB97" i="6"/>
  <c r="J39" i="14" s="1"/>
  <c r="S97" i="6"/>
  <c r="I38" i="22" s="1"/>
  <c r="F34" i="2"/>
  <c r="C38" i="14" s="1"/>
  <c r="D34" i="2"/>
  <c r="C37" i="22" s="1"/>
  <c r="L34" i="2"/>
  <c r="D37" i="14" s="1"/>
  <c r="J34" i="2"/>
  <c r="D37" i="22" s="1"/>
  <c r="L14" i="17" s="1"/>
  <c r="C20" i="43"/>
  <c r="H32" i="1"/>
  <c r="S32" i="1"/>
  <c r="R21" i="17"/>
  <c r="G98" i="6"/>
  <c r="L98" i="6"/>
  <c r="H39" i="22" s="1"/>
  <c r="X35" i="2"/>
  <c r="Q21" i="17"/>
  <c r="S21" i="17"/>
  <c r="F44" i="3"/>
  <c r="E98" i="6"/>
  <c r="G39" i="22" s="1"/>
  <c r="J40" i="14"/>
  <c r="V35" i="2"/>
  <c r="F38" i="22" s="1"/>
  <c r="J39" i="22"/>
  <c r="I39" i="22"/>
  <c r="P35" i="2"/>
  <c r="E38" i="22" s="1"/>
  <c r="R35" i="2"/>
  <c r="F43" i="1"/>
  <c r="D44" i="1"/>
  <c r="G43" i="1"/>
  <c r="T96" i="6"/>
  <c r="E33" i="2"/>
  <c r="H41" i="1"/>
  <c r="H96" i="6"/>
  <c r="G33" i="2"/>
  <c r="AC96" i="6"/>
  <c r="K33" i="2"/>
  <c r="S33" i="2"/>
  <c r="Y33" i="2"/>
  <c r="M96" i="6"/>
  <c r="O96" i="6"/>
  <c r="AA96" i="6"/>
  <c r="F96" i="6"/>
  <c r="Q33" i="2"/>
  <c r="V96" i="6"/>
  <c r="W33" i="2"/>
  <c r="M33" i="2"/>
  <c r="R41" i="1"/>
  <c r="S34" i="2"/>
  <c r="AA97" i="6"/>
  <c r="G34" i="2"/>
  <c r="Q34" i="2"/>
  <c r="F97" i="6"/>
  <c r="M34" i="2"/>
  <c r="T97" i="6"/>
  <c r="V97" i="6"/>
  <c r="H97" i="6"/>
  <c r="E34" i="2"/>
  <c r="O97" i="6"/>
  <c r="W34" i="2"/>
  <c r="AC97" i="6"/>
  <c r="K34" i="2"/>
  <c r="M97" i="6"/>
  <c r="H42" i="1"/>
  <c r="Y34" i="2"/>
  <c r="R42" i="1"/>
  <c r="G39" i="14"/>
  <c r="G38" i="14"/>
  <c r="T20" i="17"/>
  <c r="E31" i="2"/>
  <c r="M32" i="2"/>
  <c r="O95" i="6"/>
  <c r="M94" i="6"/>
  <c r="AA94" i="6"/>
  <c r="AC95" i="6"/>
  <c r="Y32" i="2"/>
  <c r="Q31" i="2"/>
  <c r="F94" i="6"/>
  <c r="T94" i="6"/>
  <c r="V95" i="6"/>
  <c r="S32" i="2"/>
  <c r="G32" i="2"/>
  <c r="W31" i="2"/>
  <c r="K31" i="2"/>
  <c r="H40" i="1"/>
  <c r="R39" i="1"/>
  <c r="V39" i="1" s="1"/>
  <c r="H95" i="6"/>
  <c r="F34" i="3"/>
  <c r="R11" i="17"/>
  <c r="F33" i="1"/>
  <c r="S11" i="17"/>
  <c r="Q11" i="17"/>
  <c r="T11" i="17" s="1"/>
  <c r="G33" i="1"/>
  <c r="I39" i="14"/>
  <c r="F19" i="43"/>
  <c r="H19" i="43" s="1"/>
  <c r="J19" i="43"/>
  <c r="J20" i="43" s="1"/>
  <c r="J38" i="14"/>
  <c r="M15" i="17" l="1"/>
  <c r="M16" i="17"/>
  <c r="L15" i="17"/>
  <c r="H39" i="14"/>
  <c r="AB99" i="6"/>
  <c r="J41" i="14" s="1"/>
  <c r="D36" i="2"/>
  <c r="C39" i="22" s="1"/>
  <c r="F36" i="2"/>
  <c r="J36" i="2"/>
  <c r="D39" i="22" s="1"/>
  <c r="L36" i="2"/>
  <c r="D40" i="14" s="1"/>
  <c r="V40" i="1"/>
  <c r="F27" i="43" s="1"/>
  <c r="T40" i="1"/>
  <c r="W40" i="1"/>
  <c r="X40" i="1" s="1"/>
  <c r="H33" i="1"/>
  <c r="R33" i="1"/>
  <c r="T39" i="1"/>
  <c r="F26" i="43"/>
  <c r="W39" i="1"/>
  <c r="X39" i="1" s="1"/>
  <c r="D9" i="87"/>
  <c r="D9" i="90" s="1"/>
  <c r="J21" i="43"/>
  <c r="T42" i="1"/>
  <c r="W42" i="1"/>
  <c r="X42" i="1" s="1"/>
  <c r="V42" i="1"/>
  <c r="F29" i="43" s="1"/>
  <c r="T41" i="1"/>
  <c r="V41" i="1"/>
  <c r="F28" i="43" s="1"/>
  <c r="W41" i="1"/>
  <c r="X41" i="1" s="1"/>
  <c r="M35" i="2"/>
  <c r="AC98" i="6"/>
  <c r="V98" i="6"/>
  <c r="G35" i="2"/>
  <c r="H98" i="6"/>
  <c r="E35" i="2"/>
  <c r="Q35" i="2"/>
  <c r="F98" i="6"/>
  <c r="T98" i="6"/>
  <c r="S35" i="2"/>
  <c r="AA98" i="6"/>
  <c r="W35" i="2"/>
  <c r="Y35" i="2"/>
  <c r="M98" i="6"/>
  <c r="H43" i="1"/>
  <c r="K35" i="2"/>
  <c r="O98" i="6"/>
  <c r="R43" i="1"/>
  <c r="E39" i="14"/>
  <c r="E38" i="14"/>
  <c r="D39" i="14"/>
  <c r="D38" i="14"/>
  <c r="K19" i="43"/>
  <c r="U19" i="43" s="1"/>
  <c r="T21" i="17"/>
  <c r="K20" i="43"/>
  <c r="D7" i="87"/>
  <c r="C21" i="43"/>
  <c r="F34" i="1"/>
  <c r="S12" i="17"/>
  <c r="R12" i="17"/>
  <c r="F35" i="3"/>
  <c r="Q12" i="17"/>
  <c r="G34" i="1"/>
  <c r="F45" i="3"/>
  <c r="N99" i="6"/>
  <c r="H41" i="14" s="1"/>
  <c r="X36" i="2"/>
  <c r="F40" i="14" s="1"/>
  <c r="G99" i="6"/>
  <c r="G40" i="14" s="1"/>
  <c r="U99" i="6"/>
  <c r="I41" i="14" s="1"/>
  <c r="Q22" i="17"/>
  <c r="Z44" i="1"/>
  <c r="F44" i="1"/>
  <c r="Z99" i="6"/>
  <c r="J40" i="22" s="1"/>
  <c r="P36" i="2"/>
  <c r="E39" i="22" s="1"/>
  <c r="R36" i="2"/>
  <c r="E40" i="14" s="1"/>
  <c r="R22" i="17"/>
  <c r="C40" i="14"/>
  <c r="E99" i="6"/>
  <c r="G40" i="22" s="1"/>
  <c r="L99" i="6"/>
  <c r="H40" i="22" s="1"/>
  <c r="S99" i="6"/>
  <c r="I40" i="22" s="1"/>
  <c r="M17" i="17" s="1"/>
  <c r="S22" i="17"/>
  <c r="V36" i="2"/>
  <c r="F39" i="22" s="1"/>
  <c r="D45" i="1"/>
  <c r="G44" i="1"/>
  <c r="F38" i="14"/>
  <c r="F39" i="14"/>
  <c r="G19" i="43"/>
  <c r="M19" i="43" l="1"/>
  <c r="N19" i="43" s="1"/>
  <c r="U20" i="43"/>
  <c r="C37" i="87"/>
  <c r="C38" i="87" s="1"/>
  <c r="C28" i="87"/>
  <c r="G10" i="131" s="1"/>
  <c r="E9" i="96"/>
  <c r="C45" i="87"/>
  <c r="C46" i="87" s="1"/>
  <c r="C61" i="87"/>
  <c r="C62" i="87" s="1"/>
  <c r="C53" i="87"/>
  <c r="C54" i="87" s="1"/>
  <c r="L16" i="17"/>
  <c r="X20" i="43"/>
  <c r="T20" i="43"/>
  <c r="AA20" i="43" s="1"/>
  <c r="X19" i="43"/>
  <c r="T19" i="43"/>
  <c r="AA19" i="43" s="1"/>
  <c r="F37" i="2"/>
  <c r="J37" i="2"/>
  <c r="D40" i="22" s="1"/>
  <c r="L37" i="2"/>
  <c r="D41" i="14" s="1"/>
  <c r="T12" i="17"/>
  <c r="M36" i="2"/>
  <c r="Y36" i="2"/>
  <c r="S36" i="2"/>
  <c r="AA99" i="6"/>
  <c r="G36" i="2"/>
  <c r="T99" i="6"/>
  <c r="H99" i="6"/>
  <c r="H44" i="1"/>
  <c r="K36" i="2"/>
  <c r="V99" i="6"/>
  <c r="AC99" i="6"/>
  <c r="E36" i="2"/>
  <c r="F99" i="6"/>
  <c r="O99" i="6"/>
  <c r="W36" i="2"/>
  <c r="M99" i="6"/>
  <c r="Q36" i="2"/>
  <c r="AA44" i="1"/>
  <c r="R44" i="1"/>
  <c r="F46" i="3"/>
  <c r="AB100" i="6"/>
  <c r="J42" i="14" s="1"/>
  <c r="G100" i="6"/>
  <c r="G41" i="14" s="1"/>
  <c r="E100" i="6"/>
  <c r="G41" i="22" s="1"/>
  <c r="L100" i="6"/>
  <c r="H41" i="22" s="1"/>
  <c r="N100" i="6"/>
  <c r="H42" i="14" s="1"/>
  <c r="S100" i="6"/>
  <c r="I41" i="22" s="1"/>
  <c r="D37" i="2"/>
  <c r="C40" i="22" s="1"/>
  <c r="S23" i="17"/>
  <c r="P37" i="2"/>
  <c r="E40" i="22" s="1"/>
  <c r="X37" i="2"/>
  <c r="F41" i="14" s="1"/>
  <c r="R37" i="2"/>
  <c r="E41" i="14" s="1"/>
  <c r="V37" i="2"/>
  <c r="F40" i="22" s="1"/>
  <c r="R23" i="17"/>
  <c r="F45" i="1"/>
  <c r="Z45" i="1"/>
  <c r="Q23" i="17"/>
  <c r="T23" i="17" s="1"/>
  <c r="C41" i="14"/>
  <c r="G45" i="1"/>
  <c r="U100" i="6"/>
  <c r="I42" i="14" s="1"/>
  <c r="D46" i="1"/>
  <c r="Z100" i="6"/>
  <c r="J41" i="22" s="1"/>
  <c r="T22" i="17"/>
  <c r="R13" i="17"/>
  <c r="F36" i="3"/>
  <c r="S13" i="17"/>
  <c r="F35" i="1"/>
  <c r="Q13" i="17"/>
  <c r="G35" i="1"/>
  <c r="T43" i="1"/>
  <c r="V43" i="1"/>
  <c r="F30" i="43" s="1"/>
  <c r="W43" i="1"/>
  <c r="X43" i="1" s="1"/>
  <c r="Y42" i="1" s="1"/>
  <c r="Y40" i="1"/>
  <c r="Y41" i="1"/>
  <c r="Y39" i="1"/>
  <c r="H34" i="1"/>
  <c r="R34" i="1"/>
  <c r="T33" i="1"/>
  <c r="V33" i="1"/>
  <c r="F20" i="43" s="1"/>
  <c r="W33" i="1"/>
  <c r="X33" i="1" s="1"/>
  <c r="K21" i="43"/>
  <c r="E7" i="87"/>
  <c r="C22" i="43"/>
  <c r="D7" i="90"/>
  <c r="D10" i="87"/>
  <c r="D8" i="87"/>
  <c r="E9" i="87"/>
  <c r="E9" i="90" s="1"/>
  <c r="J22" i="43"/>
  <c r="L17" i="17" l="1"/>
  <c r="U21" i="43"/>
  <c r="E22" i="87"/>
  <c r="I22" i="87"/>
  <c r="M22" i="87"/>
  <c r="Q22" i="87"/>
  <c r="U22" i="87"/>
  <c r="Y22" i="87"/>
  <c r="AC22" i="87"/>
  <c r="AG22" i="87"/>
  <c r="AK22" i="87"/>
  <c r="AO22" i="87"/>
  <c r="AS22" i="87"/>
  <c r="AW22" i="87"/>
  <c r="BA22" i="87"/>
  <c r="F22" i="87"/>
  <c r="J22" i="87"/>
  <c r="N22" i="87"/>
  <c r="R22" i="87"/>
  <c r="V22" i="87"/>
  <c r="Z22" i="87"/>
  <c r="AD22" i="87"/>
  <c r="AH22" i="87"/>
  <c r="AL22" i="87"/>
  <c r="AP22" i="87"/>
  <c r="AT22" i="87"/>
  <c r="AX22" i="87"/>
  <c r="D22" i="87"/>
  <c r="G22" i="87"/>
  <c r="K22" i="87"/>
  <c r="O22" i="87"/>
  <c r="S22" i="87"/>
  <c r="W22" i="87"/>
  <c r="AA22" i="87"/>
  <c r="AE22" i="87"/>
  <c r="AI22" i="87"/>
  <c r="AM22" i="87"/>
  <c r="AQ22" i="87"/>
  <c r="AU22" i="87"/>
  <c r="AY22" i="87"/>
  <c r="H22" i="87"/>
  <c r="L22" i="87"/>
  <c r="P22" i="87"/>
  <c r="T22" i="87"/>
  <c r="X22" i="87"/>
  <c r="AB22" i="87"/>
  <c r="AF22" i="87"/>
  <c r="AJ22" i="87"/>
  <c r="AN22" i="87"/>
  <c r="AR22" i="87"/>
  <c r="AV22" i="87"/>
  <c r="AZ22" i="87"/>
  <c r="F9" i="96"/>
  <c r="C30" i="87"/>
  <c r="K10" i="131" s="1"/>
  <c r="C39" i="87"/>
  <c r="C29" i="87"/>
  <c r="G8" i="92"/>
  <c r="C36" i="87"/>
  <c r="C27" i="87"/>
  <c r="C52" i="87"/>
  <c r="C44" i="87"/>
  <c r="C60" i="87"/>
  <c r="C63" i="87"/>
  <c r="C55" i="87"/>
  <c r="C47" i="87"/>
  <c r="X21" i="43"/>
  <c r="T21" i="43"/>
  <c r="AA21" i="43" s="1"/>
  <c r="M18" i="17"/>
  <c r="F38" i="2"/>
  <c r="C42" i="14" s="1"/>
  <c r="L38" i="2"/>
  <c r="D42" i="14" s="1"/>
  <c r="D8" i="90"/>
  <c r="K22" i="43"/>
  <c r="F7" i="87"/>
  <c r="C23" i="43"/>
  <c r="Y32" i="1"/>
  <c r="Z40" i="1"/>
  <c r="AA40" i="1"/>
  <c r="F9" i="87"/>
  <c r="F9" i="90" s="1"/>
  <c r="J23" i="43"/>
  <c r="D12" i="87"/>
  <c r="D12" i="90" s="1"/>
  <c r="D10" i="90"/>
  <c r="E10" i="87"/>
  <c r="E8" i="87"/>
  <c r="E8" i="90" s="1"/>
  <c r="E7" i="90"/>
  <c r="H20" i="43"/>
  <c r="G20" i="43"/>
  <c r="M20" i="43" s="1"/>
  <c r="N20" i="43" s="1"/>
  <c r="AA42" i="1"/>
  <c r="Z42" i="1"/>
  <c r="R14" i="17"/>
  <c r="F37" i="3"/>
  <c r="S14" i="17"/>
  <c r="Q14" i="17"/>
  <c r="T14" i="17" s="1"/>
  <c r="F36" i="1"/>
  <c r="G36" i="1"/>
  <c r="E37" i="2"/>
  <c r="G37" i="2"/>
  <c r="AA100" i="6"/>
  <c r="T100" i="6"/>
  <c r="M37" i="2"/>
  <c r="F100" i="6"/>
  <c r="M100" i="6"/>
  <c r="Y37" i="2"/>
  <c r="W37" i="2"/>
  <c r="H45" i="1"/>
  <c r="V100" i="6"/>
  <c r="R45" i="1"/>
  <c r="H100" i="6"/>
  <c r="AC100" i="6"/>
  <c r="AA45" i="1"/>
  <c r="S37" i="2"/>
  <c r="Q37" i="2"/>
  <c r="K37" i="2"/>
  <c r="O100" i="6"/>
  <c r="T44" i="1"/>
  <c r="W44" i="1"/>
  <c r="V44" i="1"/>
  <c r="F31" i="43" s="1"/>
  <c r="D39" i="90"/>
  <c r="D40" i="90" s="1"/>
  <c r="E6" i="96"/>
  <c r="Y43" i="1"/>
  <c r="H35" i="1"/>
  <c r="R35" i="1"/>
  <c r="T34" i="1"/>
  <c r="V34" i="1"/>
  <c r="F21" i="43" s="1"/>
  <c r="W34" i="1"/>
  <c r="X34" i="1" s="1"/>
  <c r="AA41" i="1"/>
  <c r="Z41" i="1"/>
  <c r="T13" i="17"/>
  <c r="F47" i="3"/>
  <c r="Z46" i="1"/>
  <c r="Z101" i="6"/>
  <c r="J42" i="22" s="1"/>
  <c r="F46" i="1"/>
  <c r="R38" i="2"/>
  <c r="E42" i="14" s="1"/>
  <c r="E101" i="6"/>
  <c r="G42" i="22" s="1"/>
  <c r="R24" i="17"/>
  <c r="AB101" i="6"/>
  <c r="J43" i="14" s="1"/>
  <c r="Q24" i="17"/>
  <c r="T24" i="17" s="1"/>
  <c r="U24" i="17" s="1"/>
  <c r="J38" i="2"/>
  <c r="D41" i="22" s="1"/>
  <c r="S24" i="17"/>
  <c r="X38" i="2"/>
  <c r="F42" i="14" s="1"/>
  <c r="G101" i="6"/>
  <c r="G42" i="14" s="1"/>
  <c r="U101" i="6"/>
  <c r="I43" i="14" s="1"/>
  <c r="L101" i="6"/>
  <c r="H42" i="22" s="1"/>
  <c r="S101" i="6"/>
  <c r="I42" i="22" s="1"/>
  <c r="M19" i="17" s="1"/>
  <c r="N101" i="6"/>
  <c r="H43" i="14" s="1"/>
  <c r="G46" i="1"/>
  <c r="D38" i="2"/>
  <c r="C41" i="22" s="1"/>
  <c r="V38" i="2"/>
  <c r="F41" i="22" s="1"/>
  <c r="P38" i="2"/>
  <c r="E41" i="22" s="1"/>
  <c r="D47" i="1"/>
  <c r="L18" i="17" l="1"/>
  <c r="U22" i="43"/>
  <c r="I8" i="92"/>
  <c r="F23" i="87"/>
  <c r="J23" i="87"/>
  <c r="N23" i="87"/>
  <c r="R23" i="87"/>
  <c r="V23" i="87"/>
  <c r="Z23" i="87"/>
  <c r="AD23" i="87"/>
  <c r="AH23" i="87"/>
  <c r="AL23" i="87"/>
  <c r="AP23" i="87"/>
  <c r="AT23" i="87"/>
  <c r="AX23" i="87"/>
  <c r="G23" i="87"/>
  <c r="K23" i="87"/>
  <c r="O23" i="87"/>
  <c r="S23" i="87"/>
  <c r="W23" i="87"/>
  <c r="AA23" i="87"/>
  <c r="AE23" i="87"/>
  <c r="AI23" i="87"/>
  <c r="AM23" i="87"/>
  <c r="AQ23" i="87"/>
  <c r="AU23" i="87"/>
  <c r="AY23" i="87"/>
  <c r="H23" i="87"/>
  <c r="L23" i="87"/>
  <c r="P23" i="87"/>
  <c r="T23" i="87"/>
  <c r="X23" i="87"/>
  <c r="AB23" i="87"/>
  <c r="AF23" i="87"/>
  <c r="AJ23" i="87"/>
  <c r="AN23" i="87"/>
  <c r="AR23" i="87"/>
  <c r="AV23" i="87"/>
  <c r="AZ23" i="87"/>
  <c r="D23" i="87"/>
  <c r="I10" i="131"/>
  <c r="E23" i="87"/>
  <c r="I23" i="87"/>
  <c r="M23" i="87"/>
  <c r="Q23" i="87"/>
  <c r="U23" i="87"/>
  <c r="Y23" i="87"/>
  <c r="AC23" i="87"/>
  <c r="AG23" i="87"/>
  <c r="AK23" i="87"/>
  <c r="AO23" i="87"/>
  <c r="AS23" i="87"/>
  <c r="AW23" i="87"/>
  <c r="BA23" i="87"/>
  <c r="E8" i="92"/>
  <c r="E21" i="87"/>
  <c r="I21" i="87"/>
  <c r="M21" i="87"/>
  <c r="Q21" i="87"/>
  <c r="U21" i="87"/>
  <c r="Y21" i="87"/>
  <c r="AC21" i="87"/>
  <c r="AG21" i="87"/>
  <c r="AK21" i="87"/>
  <c r="AO21" i="87"/>
  <c r="AS21" i="87"/>
  <c r="AW21" i="87"/>
  <c r="BA21" i="87"/>
  <c r="E10" i="131"/>
  <c r="F21" i="87"/>
  <c r="J21" i="87"/>
  <c r="N21" i="87"/>
  <c r="R21" i="87"/>
  <c r="V21" i="87"/>
  <c r="Z21" i="87"/>
  <c r="AD21" i="87"/>
  <c r="AH21" i="87"/>
  <c r="AL21" i="87"/>
  <c r="AP21" i="87"/>
  <c r="AT21" i="87"/>
  <c r="AX21" i="87"/>
  <c r="D21" i="87"/>
  <c r="G21" i="87"/>
  <c r="K21" i="87"/>
  <c r="O21" i="87"/>
  <c r="S21" i="87"/>
  <c r="W21" i="87"/>
  <c r="AA21" i="87"/>
  <c r="AE21" i="87"/>
  <c r="AI21" i="87"/>
  <c r="AM21" i="87"/>
  <c r="AQ21" i="87"/>
  <c r="AU21" i="87"/>
  <c r="AY21" i="87"/>
  <c r="H21" i="87"/>
  <c r="L21" i="87"/>
  <c r="P21" i="87"/>
  <c r="T21" i="87"/>
  <c r="X21" i="87"/>
  <c r="AB21" i="87"/>
  <c r="AF21" i="87"/>
  <c r="AJ21" i="87"/>
  <c r="AN21" i="87"/>
  <c r="AR21" i="87"/>
  <c r="AV21" i="87"/>
  <c r="AZ21" i="87"/>
  <c r="K8" i="92"/>
  <c r="F24" i="87"/>
  <c r="J24" i="87"/>
  <c r="N24" i="87"/>
  <c r="R24" i="87"/>
  <c r="V24" i="87"/>
  <c r="Z24" i="87"/>
  <c r="AD24" i="87"/>
  <c r="AH24" i="87"/>
  <c r="AL24" i="87"/>
  <c r="AP24" i="87"/>
  <c r="AT24" i="87"/>
  <c r="AX24" i="87"/>
  <c r="D24" i="87"/>
  <c r="G24" i="87"/>
  <c r="K24" i="87"/>
  <c r="O24" i="87"/>
  <c r="S24" i="87"/>
  <c r="W24" i="87"/>
  <c r="AA24" i="87"/>
  <c r="AE24" i="87"/>
  <c r="AM24" i="87"/>
  <c r="AQ24" i="87"/>
  <c r="AU24" i="87"/>
  <c r="AY24" i="87"/>
  <c r="H24" i="87"/>
  <c r="L24" i="87"/>
  <c r="P24" i="87"/>
  <c r="T24" i="87"/>
  <c r="X24" i="87"/>
  <c r="AB24" i="87"/>
  <c r="AF24" i="87"/>
  <c r="AJ24" i="87"/>
  <c r="AN24" i="87"/>
  <c r="AR24" i="87"/>
  <c r="AV24" i="87"/>
  <c r="AZ24" i="87"/>
  <c r="E24" i="87"/>
  <c r="I24" i="87"/>
  <c r="M24" i="87"/>
  <c r="Q24" i="87"/>
  <c r="U24" i="87"/>
  <c r="Y24" i="87"/>
  <c r="AC24" i="87"/>
  <c r="AG24" i="87"/>
  <c r="AK24" i="87"/>
  <c r="AO24" i="87"/>
  <c r="AS24" i="87"/>
  <c r="AW24" i="87"/>
  <c r="BA24" i="87"/>
  <c r="AI24" i="87"/>
  <c r="G9" i="96"/>
  <c r="E10" i="96"/>
  <c r="X22" i="43"/>
  <c r="T22" i="43"/>
  <c r="AA22" i="43" s="1"/>
  <c r="AA43" i="1"/>
  <c r="Z43" i="1"/>
  <c r="W43" i="90"/>
  <c r="D38" i="90"/>
  <c r="Z32" i="1"/>
  <c r="AA32" i="1"/>
  <c r="T35" i="1"/>
  <c r="V35" i="1"/>
  <c r="F22" i="43" s="1"/>
  <c r="W35" i="1"/>
  <c r="X35" i="1" s="1"/>
  <c r="Y34" i="1" s="1"/>
  <c r="E39" i="90"/>
  <c r="E40" i="90" s="1"/>
  <c r="F6" i="96"/>
  <c r="F10" i="96" s="1"/>
  <c r="S25" i="17"/>
  <c r="Z47" i="1"/>
  <c r="R25" i="17"/>
  <c r="L102" i="6"/>
  <c r="H43" i="22" s="1"/>
  <c r="U102" i="6"/>
  <c r="I44" i="14" s="1"/>
  <c r="N102" i="6"/>
  <c r="H44" i="14" s="1"/>
  <c r="E102" i="6"/>
  <c r="G43" i="22" s="1"/>
  <c r="X39" i="2"/>
  <c r="F43" i="14" s="1"/>
  <c r="D39" i="2"/>
  <c r="C42" i="22" s="1"/>
  <c r="L39" i="2"/>
  <c r="D43" i="14" s="1"/>
  <c r="F47" i="1"/>
  <c r="J39" i="2"/>
  <c r="D42" i="22" s="1"/>
  <c r="Z102" i="6"/>
  <c r="J43" i="22" s="1"/>
  <c r="Q25" i="17"/>
  <c r="T25" i="17" s="1"/>
  <c r="U25" i="17" s="1"/>
  <c r="V39" i="2"/>
  <c r="F42" i="22" s="1"/>
  <c r="S102" i="6"/>
  <c r="I43" i="22" s="1"/>
  <c r="M20" i="17" s="1"/>
  <c r="R39" i="2"/>
  <c r="E43" i="14" s="1"/>
  <c r="AB102" i="6"/>
  <c r="J44" i="14" s="1"/>
  <c r="P39" i="2"/>
  <c r="E42" i="22" s="1"/>
  <c r="L19" i="17" s="1"/>
  <c r="G47" i="1"/>
  <c r="D48" i="1"/>
  <c r="G102" i="6"/>
  <c r="G43" i="14" s="1"/>
  <c r="F39" i="2"/>
  <c r="C43" i="14" s="1"/>
  <c r="F48" i="3"/>
  <c r="H21" i="43"/>
  <c r="G21" i="43"/>
  <c r="M21" i="43" s="1"/>
  <c r="N21" i="43" s="1"/>
  <c r="R15" i="17"/>
  <c r="S15" i="17"/>
  <c r="F37" i="1"/>
  <c r="F38" i="3"/>
  <c r="Q15" i="17"/>
  <c r="G37" i="1"/>
  <c r="F7" i="96"/>
  <c r="E41" i="90"/>
  <c r="K23" i="43"/>
  <c r="G7" i="87"/>
  <c r="C24" i="43"/>
  <c r="W45" i="1"/>
  <c r="T45" i="1"/>
  <c r="V45" i="1"/>
  <c r="F32" i="43" s="1"/>
  <c r="F101" i="6"/>
  <c r="Q38" i="2"/>
  <c r="K38" i="2"/>
  <c r="T101" i="6"/>
  <c r="G38" i="2"/>
  <c r="AC101" i="6"/>
  <c r="E38" i="2"/>
  <c r="V101" i="6"/>
  <c r="S38" i="2"/>
  <c r="H46" i="1"/>
  <c r="W38" i="2"/>
  <c r="H101" i="6"/>
  <c r="AA101" i="6"/>
  <c r="AA46" i="1"/>
  <c r="Y38" i="2"/>
  <c r="O101" i="6"/>
  <c r="M101" i="6"/>
  <c r="M38" i="2"/>
  <c r="R46" i="1"/>
  <c r="H36" i="1"/>
  <c r="R36" i="1"/>
  <c r="E12" i="87"/>
  <c r="E12" i="90" s="1"/>
  <c r="E10" i="90"/>
  <c r="E38" i="90" s="1"/>
  <c r="G9" i="87"/>
  <c r="G9" i="90" s="1"/>
  <c r="J24" i="43"/>
  <c r="Y33" i="1"/>
  <c r="F7" i="90"/>
  <c r="F10" i="87"/>
  <c r="F8" i="87"/>
  <c r="F8" i="90" s="1"/>
  <c r="D41" i="90"/>
  <c r="E7" i="96"/>
  <c r="E8" i="96" s="1"/>
  <c r="E39" i="96" l="1"/>
  <c r="F39" i="96"/>
  <c r="F41" i="96" s="1"/>
  <c r="G39" i="96"/>
  <c r="G41" i="96" s="1"/>
  <c r="H39" i="96"/>
  <c r="H41" i="96" s="1"/>
  <c r="I39" i="96"/>
  <c r="I41" i="96" s="1"/>
  <c r="J39" i="96"/>
  <c r="J41" i="96" s="1"/>
  <c r="K39" i="96"/>
  <c r="K41" i="96" s="1"/>
  <c r="L39" i="96"/>
  <c r="L41" i="96" s="1"/>
  <c r="M39" i="96"/>
  <c r="M41" i="96" s="1"/>
  <c r="N39" i="96"/>
  <c r="N41" i="96" s="1"/>
  <c r="O39" i="96"/>
  <c r="O41" i="96" s="1"/>
  <c r="P39" i="96"/>
  <c r="P41" i="96" s="1"/>
  <c r="Q39" i="96"/>
  <c r="Q41" i="96" s="1"/>
  <c r="R39" i="96"/>
  <c r="S39" i="96"/>
  <c r="T39" i="96"/>
  <c r="U39" i="96"/>
  <c r="V39" i="96"/>
  <c r="W39" i="96"/>
  <c r="X39" i="96"/>
  <c r="Y39" i="96"/>
  <c r="Z39" i="96"/>
  <c r="AA39" i="96"/>
  <c r="AB39" i="96"/>
  <c r="AC39" i="96"/>
  <c r="AD39" i="96"/>
  <c r="AE39" i="96"/>
  <c r="AF39" i="96"/>
  <c r="AG39" i="96"/>
  <c r="AH39" i="96"/>
  <c r="AI39" i="96"/>
  <c r="AJ39" i="96"/>
  <c r="AK39" i="96"/>
  <c r="AL39" i="96"/>
  <c r="AM39" i="96"/>
  <c r="AN39" i="96"/>
  <c r="AO39" i="96"/>
  <c r="AP39" i="96"/>
  <c r="AQ39" i="96"/>
  <c r="AR39" i="96"/>
  <c r="AS39" i="96"/>
  <c r="AT39" i="96"/>
  <c r="AU39" i="96"/>
  <c r="AV39" i="96"/>
  <c r="AW39" i="96"/>
  <c r="AX39" i="96"/>
  <c r="AY39" i="96"/>
  <c r="AZ39" i="96"/>
  <c r="BA39" i="96"/>
  <c r="BB39" i="96"/>
  <c r="BC39" i="96"/>
  <c r="BD39" i="96"/>
  <c r="BE39" i="96"/>
  <c r="BF39" i="96"/>
  <c r="BG39" i="96"/>
  <c r="BH39" i="96"/>
  <c r="BI39" i="96"/>
  <c r="BJ39" i="96"/>
  <c r="BK39" i="96"/>
  <c r="BL39" i="96"/>
  <c r="BM39" i="96"/>
  <c r="BN39" i="96"/>
  <c r="BO39" i="96"/>
  <c r="BP39" i="96"/>
  <c r="BQ39" i="96"/>
  <c r="BR39" i="96"/>
  <c r="BS39" i="96"/>
  <c r="BT39" i="96"/>
  <c r="BU39" i="96"/>
  <c r="BV39" i="96"/>
  <c r="BW39" i="96"/>
  <c r="BX39" i="96"/>
  <c r="BY39" i="96"/>
  <c r="BZ39" i="96"/>
  <c r="CA39" i="96"/>
  <c r="CB39" i="96"/>
  <c r="CC39" i="96"/>
  <c r="CD39" i="96"/>
  <c r="CE39" i="96"/>
  <c r="CF39" i="96"/>
  <c r="CG39" i="96"/>
  <c r="CH39" i="96"/>
  <c r="CI39" i="96"/>
  <c r="CJ39" i="96"/>
  <c r="CK39" i="96"/>
  <c r="CL39" i="96"/>
  <c r="CM39" i="96"/>
  <c r="U23" i="43"/>
  <c r="H9" i="96"/>
  <c r="E13" i="96"/>
  <c r="E11" i="96"/>
  <c r="X23" i="43"/>
  <c r="T23" i="43"/>
  <c r="AA23" i="43" s="1"/>
  <c r="F12" i="87"/>
  <c r="F12" i="90" s="1"/>
  <c r="F10" i="90"/>
  <c r="F38" i="90" s="1"/>
  <c r="T46" i="1"/>
  <c r="W46" i="1"/>
  <c r="V46" i="1"/>
  <c r="F33" i="43" s="1"/>
  <c r="F8" i="96"/>
  <c r="H9" i="87"/>
  <c r="H9" i="90" s="1"/>
  <c r="J25" i="43"/>
  <c r="F39" i="1"/>
  <c r="F38" i="1"/>
  <c r="F39" i="3"/>
  <c r="N93" i="6"/>
  <c r="H34" i="14" s="1"/>
  <c r="S16" i="17"/>
  <c r="U93" i="6"/>
  <c r="I34" i="14" s="1"/>
  <c r="AB93" i="6"/>
  <c r="J34" i="14" s="1"/>
  <c r="Z93" i="6"/>
  <c r="J34" i="22" s="1"/>
  <c r="G93" i="6"/>
  <c r="G34" i="14" s="1"/>
  <c r="Q16" i="17"/>
  <c r="R16" i="17"/>
  <c r="S93" i="6"/>
  <c r="I34" i="22" s="1"/>
  <c r="L93" i="6"/>
  <c r="H34" i="22" s="1"/>
  <c r="E93" i="6"/>
  <c r="G34" i="22" s="1"/>
  <c r="G38" i="1"/>
  <c r="H35" i="14"/>
  <c r="J35" i="14"/>
  <c r="I35" i="14"/>
  <c r="R31" i="2"/>
  <c r="E34" i="14" s="1"/>
  <c r="D34" i="14"/>
  <c r="C34" i="14"/>
  <c r="G35" i="14"/>
  <c r="X31" i="2"/>
  <c r="F34" i="14" s="1"/>
  <c r="Z39" i="1"/>
  <c r="H22" i="43"/>
  <c r="G22" i="43"/>
  <c r="M22" i="43" s="1"/>
  <c r="N22" i="43" s="1"/>
  <c r="Z33" i="1"/>
  <c r="AA33" i="1"/>
  <c r="K24" i="43"/>
  <c r="H7" i="87"/>
  <c r="C25" i="43"/>
  <c r="H37" i="1"/>
  <c r="R37" i="1"/>
  <c r="S26" i="17"/>
  <c r="Z49" i="1"/>
  <c r="V40" i="2"/>
  <c r="F43" i="22" s="1"/>
  <c r="L41" i="2"/>
  <c r="D45" i="14" s="1"/>
  <c r="P40" i="2"/>
  <c r="E43" i="22" s="1"/>
  <c r="N103" i="6"/>
  <c r="H45" i="14" s="1"/>
  <c r="S103" i="6"/>
  <c r="I44" i="22" s="1"/>
  <c r="R41" i="2"/>
  <c r="E45" i="14" s="1"/>
  <c r="Z48" i="1"/>
  <c r="G103" i="6"/>
  <c r="G44" i="14" s="1"/>
  <c r="F40" i="2"/>
  <c r="C44" i="14" s="1"/>
  <c r="N104" i="6"/>
  <c r="H46" i="14" s="1"/>
  <c r="F41" i="2"/>
  <c r="C45" i="14" s="1"/>
  <c r="U104" i="6"/>
  <c r="I46" i="14" s="1"/>
  <c r="X41" i="2"/>
  <c r="F45" i="14" s="1"/>
  <c r="D40" i="2"/>
  <c r="C43" i="22" s="1"/>
  <c r="Z103" i="6"/>
  <c r="J44" i="22" s="1"/>
  <c r="U103" i="6"/>
  <c r="I45" i="14" s="1"/>
  <c r="F48" i="1"/>
  <c r="Q26" i="17"/>
  <c r="T26" i="17" s="1"/>
  <c r="U26" i="17" s="1"/>
  <c r="J40" i="2"/>
  <c r="D43" i="22" s="1"/>
  <c r="X40" i="2"/>
  <c r="F44" i="14" s="1"/>
  <c r="G104" i="6"/>
  <c r="AB104" i="6"/>
  <c r="J46" i="14" s="1"/>
  <c r="R26" i="17"/>
  <c r="L40" i="2"/>
  <c r="D44" i="14" s="1"/>
  <c r="AB103" i="6"/>
  <c r="J45" i="14" s="1"/>
  <c r="E103" i="6"/>
  <c r="G44" i="22" s="1"/>
  <c r="R40" i="2"/>
  <c r="E44" i="14" s="1"/>
  <c r="F49" i="3"/>
  <c r="L103" i="6"/>
  <c r="H44" i="22" s="1"/>
  <c r="F49" i="1"/>
  <c r="G48" i="1"/>
  <c r="Z34" i="1"/>
  <c r="AA34" i="1"/>
  <c r="F39" i="90"/>
  <c r="F40" i="90" s="1"/>
  <c r="G6" i="96"/>
  <c r="G10" i="96" s="1"/>
  <c r="F41" i="90"/>
  <c r="G7" i="96"/>
  <c r="T36" i="1"/>
  <c r="V36" i="1"/>
  <c r="F23" i="43" s="1"/>
  <c r="W36" i="1"/>
  <c r="X36" i="1" s="1"/>
  <c r="Y35" i="1" s="1"/>
  <c r="G7" i="90"/>
  <c r="G10" i="87"/>
  <c r="G8" i="87"/>
  <c r="G8" i="90" s="1"/>
  <c r="T15" i="17"/>
  <c r="O102" i="6"/>
  <c r="Y39" i="2"/>
  <c r="G39" i="2"/>
  <c r="S39" i="2"/>
  <c r="AA47" i="1"/>
  <c r="W39" i="2"/>
  <c r="Q39" i="2"/>
  <c r="F102" i="6"/>
  <c r="AC102" i="6"/>
  <c r="M39" i="2"/>
  <c r="K39" i="2"/>
  <c r="H102" i="6"/>
  <c r="H47" i="1"/>
  <c r="AA102" i="6"/>
  <c r="M102" i="6"/>
  <c r="E39" i="2"/>
  <c r="T102" i="6"/>
  <c r="R47" i="1"/>
  <c r="V102" i="6"/>
  <c r="F13" i="96"/>
  <c r="F11" i="96" l="1"/>
  <c r="G11" i="96" s="1"/>
  <c r="E36" i="96"/>
  <c r="F36" i="96"/>
  <c r="F38" i="96" s="1"/>
  <c r="G36" i="96"/>
  <c r="H36" i="96"/>
  <c r="I36" i="96"/>
  <c r="J36" i="96"/>
  <c r="K36" i="96"/>
  <c r="L36" i="96"/>
  <c r="M36" i="96"/>
  <c r="N36" i="96"/>
  <c r="O36" i="96"/>
  <c r="P36" i="96"/>
  <c r="Q36" i="96"/>
  <c r="R36" i="96"/>
  <c r="S36" i="96"/>
  <c r="T36" i="96"/>
  <c r="U36" i="96"/>
  <c r="V36" i="96"/>
  <c r="W36" i="96"/>
  <c r="X36" i="96"/>
  <c r="Y36" i="96"/>
  <c r="Z36" i="96"/>
  <c r="AA36" i="96"/>
  <c r="AB36" i="96"/>
  <c r="AC36" i="96"/>
  <c r="AD36" i="96"/>
  <c r="AE36" i="96"/>
  <c r="AF36" i="96"/>
  <c r="AG36" i="96"/>
  <c r="AH36" i="96"/>
  <c r="AI36" i="96"/>
  <c r="AJ36" i="96"/>
  <c r="AK36" i="96"/>
  <c r="AL36" i="96"/>
  <c r="AM36" i="96"/>
  <c r="AN36" i="96"/>
  <c r="AO36" i="96"/>
  <c r="AP36" i="96"/>
  <c r="AQ36" i="96"/>
  <c r="AR36" i="96"/>
  <c r="AS36" i="96"/>
  <c r="AT36" i="96"/>
  <c r="AU36" i="96"/>
  <c r="AV36" i="96"/>
  <c r="AW36" i="96"/>
  <c r="AX36" i="96"/>
  <c r="AY36" i="96"/>
  <c r="AZ36" i="96"/>
  <c r="BA36" i="96"/>
  <c r="BB36" i="96"/>
  <c r="BC36" i="96"/>
  <c r="BD36" i="96"/>
  <c r="BE36" i="96"/>
  <c r="BF36" i="96"/>
  <c r="BG36" i="96"/>
  <c r="BH36" i="96"/>
  <c r="BI36" i="96"/>
  <c r="BJ36" i="96"/>
  <c r="BK36" i="96"/>
  <c r="BL36" i="96"/>
  <c r="BM36" i="96"/>
  <c r="BN36" i="96"/>
  <c r="BO36" i="96"/>
  <c r="BP36" i="96"/>
  <c r="BQ36" i="96"/>
  <c r="BR36" i="96"/>
  <c r="BS36" i="96"/>
  <c r="BT36" i="96"/>
  <c r="BU36" i="96"/>
  <c r="BV36" i="96"/>
  <c r="BW36" i="96"/>
  <c r="BX36" i="96"/>
  <c r="BY36" i="96"/>
  <c r="BZ36" i="96"/>
  <c r="CA36" i="96"/>
  <c r="CB36" i="96"/>
  <c r="CC36" i="96"/>
  <c r="CD36" i="96"/>
  <c r="CE36" i="96"/>
  <c r="CF36" i="96"/>
  <c r="CG36" i="96"/>
  <c r="CH36" i="96"/>
  <c r="CI36" i="96"/>
  <c r="CJ36" i="96"/>
  <c r="CK36" i="96"/>
  <c r="CL36" i="96"/>
  <c r="CM36" i="96"/>
  <c r="U24" i="43"/>
  <c r="I9" i="96"/>
  <c r="M11" i="17"/>
  <c r="G45" i="14"/>
  <c r="G46" i="14" s="1"/>
  <c r="G47" i="14" s="1"/>
  <c r="G48" i="14" s="1"/>
  <c r="G49" i="14" s="1"/>
  <c r="G50" i="14" s="1"/>
  <c r="G51" i="14" s="1"/>
  <c r="G52" i="14" s="1"/>
  <c r="G53" i="14" s="1"/>
  <c r="L20" i="17"/>
  <c r="T24" i="43"/>
  <c r="AA24" i="43" s="1"/>
  <c r="M21" i="17"/>
  <c r="T16" i="17"/>
  <c r="G41" i="90"/>
  <c r="H7" i="96"/>
  <c r="H23" i="43"/>
  <c r="G23" i="43"/>
  <c r="M23" i="43" s="1"/>
  <c r="N23" i="43" s="1"/>
  <c r="AA35" i="1"/>
  <c r="Z35" i="1"/>
  <c r="H8" i="87"/>
  <c r="H8" i="90" s="1"/>
  <c r="H10" i="87"/>
  <c r="H7" i="90"/>
  <c r="I9" i="87"/>
  <c r="I9" i="90" s="1"/>
  <c r="J26" i="43"/>
  <c r="G12" i="87"/>
  <c r="G12" i="90" s="1"/>
  <c r="G10" i="90"/>
  <c r="G38" i="90" s="1"/>
  <c r="G13" i="96"/>
  <c r="T37" i="1"/>
  <c r="W37" i="1"/>
  <c r="X37" i="1" s="1"/>
  <c r="Y36" i="1" s="1"/>
  <c r="V37" i="1"/>
  <c r="F24" i="43" s="1"/>
  <c r="W47" i="1"/>
  <c r="T47" i="1"/>
  <c r="V47" i="1"/>
  <c r="F34" i="43" s="1"/>
  <c r="G39" i="90"/>
  <c r="G40" i="90" s="1"/>
  <c r="H6" i="96"/>
  <c r="H10" i="96" s="1"/>
  <c r="G8" i="96"/>
  <c r="G40" i="2"/>
  <c r="S40" i="2"/>
  <c r="V103" i="6"/>
  <c r="F103" i="6"/>
  <c r="H104" i="6"/>
  <c r="T103" i="6"/>
  <c r="K40" i="2"/>
  <c r="AC103" i="6"/>
  <c r="W40" i="2"/>
  <c r="G41" i="2"/>
  <c r="Y41" i="2"/>
  <c r="AA48" i="1"/>
  <c r="R48" i="1"/>
  <c r="H103" i="6"/>
  <c r="V104" i="6"/>
  <c r="AC104" i="6"/>
  <c r="M40" i="2"/>
  <c r="AA103" i="6"/>
  <c r="M103" i="6"/>
  <c r="Y40" i="2"/>
  <c r="H48" i="1"/>
  <c r="M41" i="2"/>
  <c r="AA49" i="1"/>
  <c r="E40" i="2"/>
  <c r="H49" i="1"/>
  <c r="O103" i="6"/>
  <c r="Q40" i="2"/>
  <c r="S41" i="2"/>
  <c r="O104" i="6"/>
  <c r="X24" i="43"/>
  <c r="I7" i="87"/>
  <c r="K25" i="43"/>
  <c r="C26" i="43"/>
  <c r="V93" i="6"/>
  <c r="H38" i="1"/>
  <c r="O93" i="6"/>
  <c r="AC93" i="6"/>
  <c r="M93" i="6"/>
  <c r="H93" i="6"/>
  <c r="T93" i="6"/>
  <c r="F93" i="6"/>
  <c r="AA93" i="6"/>
  <c r="R38" i="1"/>
  <c r="H94" i="6"/>
  <c r="AC94" i="6"/>
  <c r="H39" i="1"/>
  <c r="G31" i="2"/>
  <c r="V94" i="6"/>
  <c r="Y31" i="2"/>
  <c r="S31" i="2"/>
  <c r="M31" i="2"/>
  <c r="O94" i="6"/>
  <c r="AA39" i="1"/>
  <c r="U25" i="43" l="1"/>
  <c r="J9" i="96"/>
  <c r="T25" i="43"/>
  <c r="AA25" i="43" s="1"/>
  <c r="T38" i="1"/>
  <c r="V38" i="1"/>
  <c r="F25" i="43" s="1"/>
  <c r="W38" i="1"/>
  <c r="X38" i="1" s="1"/>
  <c r="Y37" i="1" s="1"/>
  <c r="X25" i="43"/>
  <c r="I7" i="96"/>
  <c r="H41" i="90"/>
  <c r="K26" i="43"/>
  <c r="G26" i="43"/>
  <c r="J7" i="87"/>
  <c r="C27" i="43"/>
  <c r="H26" i="43"/>
  <c r="H13" i="96"/>
  <c r="H11" i="96"/>
  <c r="J9" i="87"/>
  <c r="J9" i="90" s="1"/>
  <c r="J27" i="43"/>
  <c r="H39" i="90"/>
  <c r="H40" i="90" s="1"/>
  <c r="I6" i="96"/>
  <c r="I10" i="96" s="1"/>
  <c r="H8" i="96"/>
  <c r="W48" i="1"/>
  <c r="T48" i="1"/>
  <c r="V48" i="1"/>
  <c r="F35" i="43" s="1"/>
  <c r="H10" i="90"/>
  <c r="H38" i="90" s="1"/>
  <c r="H12" i="87"/>
  <c r="H12" i="90" s="1"/>
  <c r="I8" i="87"/>
  <c r="I8" i="90" s="1"/>
  <c r="I7" i="90"/>
  <c r="I10" i="87"/>
  <c r="Z36" i="1"/>
  <c r="AA36" i="1"/>
  <c r="H24" i="43"/>
  <c r="G24" i="43"/>
  <c r="M24" i="43" s="1"/>
  <c r="N24" i="43" s="1"/>
  <c r="U26" i="43" l="1"/>
  <c r="K9" i="96"/>
  <c r="T26" i="43"/>
  <c r="AA26" i="43" s="1"/>
  <c r="J6" i="96"/>
  <c r="J10" i="96" s="1"/>
  <c r="I39" i="90"/>
  <c r="I40" i="90" s="1"/>
  <c r="K9" i="87"/>
  <c r="K9" i="90" s="1"/>
  <c r="J28" i="43"/>
  <c r="J7" i="96"/>
  <c r="I41" i="90"/>
  <c r="X26" i="43"/>
  <c r="I8" i="96"/>
  <c r="Y38" i="1"/>
  <c r="I13" i="96"/>
  <c r="I11" i="96"/>
  <c r="Z37" i="1"/>
  <c r="AA37" i="1"/>
  <c r="G27" i="43"/>
  <c r="K27" i="43"/>
  <c r="H27" i="43"/>
  <c r="K7" i="87"/>
  <c r="C28" i="43"/>
  <c r="H25" i="43"/>
  <c r="G25" i="43"/>
  <c r="M25" i="43" s="1"/>
  <c r="M26" i="43" s="1"/>
  <c r="I10" i="90"/>
  <c r="I38" i="90" s="1"/>
  <c r="I12" i="87"/>
  <c r="I12" i="90" s="1"/>
  <c r="J10" i="87"/>
  <c r="J7" i="90"/>
  <c r="J8" i="87"/>
  <c r="J8" i="90" s="1"/>
  <c r="U27" i="43" l="1"/>
  <c r="L9" i="96"/>
  <c r="N25" i="43"/>
  <c r="N26" i="43" s="1"/>
  <c r="M27" i="43"/>
  <c r="T27" i="43"/>
  <c r="AA27" i="43" s="1"/>
  <c r="J41" i="90"/>
  <c r="K7" i="96"/>
  <c r="K10" i="87"/>
  <c r="K7" i="90"/>
  <c r="K8" i="87"/>
  <c r="K8" i="90" s="1"/>
  <c r="J12" i="87"/>
  <c r="J12" i="90" s="1"/>
  <c r="J10" i="90"/>
  <c r="J38" i="90" s="1"/>
  <c r="X27" i="43"/>
  <c r="J8" i="96"/>
  <c r="L9" i="87"/>
  <c r="L9" i="90" s="1"/>
  <c r="J29" i="43"/>
  <c r="G28" i="43"/>
  <c r="K28" i="43"/>
  <c r="L7" i="87"/>
  <c r="C29" i="43"/>
  <c r="H28" i="43"/>
  <c r="Z38" i="1"/>
  <c r="AA38" i="1"/>
  <c r="J39" i="90"/>
  <c r="J40" i="90" s="1"/>
  <c r="K6" i="96"/>
  <c r="K10" i="96" s="1"/>
  <c r="J11" i="96"/>
  <c r="J13" i="96"/>
  <c r="U28" i="43" l="1"/>
  <c r="M9" i="96"/>
  <c r="N27" i="43"/>
  <c r="M28" i="43"/>
  <c r="T28" i="43"/>
  <c r="AA28" i="43" s="1"/>
  <c r="L10" i="87"/>
  <c r="L7" i="90"/>
  <c r="L8" i="87"/>
  <c r="L8" i="90" s="1"/>
  <c r="M9" i="87"/>
  <c r="M9" i="90" s="1"/>
  <c r="J30" i="43"/>
  <c r="L6" i="96"/>
  <c r="L10" i="96" s="1"/>
  <c r="K39" i="90"/>
  <c r="K40" i="90" s="1"/>
  <c r="X28" i="43"/>
  <c r="K12" i="87"/>
  <c r="K12" i="90" s="1"/>
  <c r="K10" i="90"/>
  <c r="K38" i="90" s="1"/>
  <c r="K8" i="96"/>
  <c r="K11" i="96"/>
  <c r="K13" i="96"/>
  <c r="G29" i="43"/>
  <c r="I14" i="43" s="1"/>
  <c r="M7" i="87"/>
  <c r="K29" i="43"/>
  <c r="C30" i="43"/>
  <c r="H29" i="43"/>
  <c r="L7" i="96"/>
  <c r="K41" i="90"/>
  <c r="U29" i="43" l="1"/>
  <c r="N9" i="96"/>
  <c r="N28" i="43"/>
  <c r="M29" i="43"/>
  <c r="L14" i="43"/>
  <c r="T29" i="43"/>
  <c r="AA29" i="43" s="1"/>
  <c r="L8" i="96"/>
  <c r="G30" i="43"/>
  <c r="I15" i="43" s="1"/>
  <c r="N7" i="87"/>
  <c r="K30" i="43"/>
  <c r="C31" i="43"/>
  <c r="H30" i="43"/>
  <c r="X29" i="43"/>
  <c r="M7" i="96"/>
  <c r="L41" i="90"/>
  <c r="M7" i="90"/>
  <c r="M8" i="87"/>
  <c r="M8" i="90" s="1"/>
  <c r="M10" i="87"/>
  <c r="L11" i="96"/>
  <c r="L13" i="96"/>
  <c r="M6" i="96"/>
  <c r="M10" i="96" s="1"/>
  <c r="L39" i="90"/>
  <c r="L40" i="90" s="1"/>
  <c r="N9" i="87"/>
  <c r="N9" i="90" s="1"/>
  <c r="J31" i="43"/>
  <c r="L10" i="90"/>
  <c r="L38" i="90" s="1"/>
  <c r="L12" i="87"/>
  <c r="L12" i="90" s="1"/>
  <c r="V14" i="43" l="1"/>
  <c r="W14" i="43" s="1"/>
  <c r="Y14" i="43"/>
  <c r="U30" i="43"/>
  <c r="O9" i="96"/>
  <c r="N29" i="43"/>
  <c r="M30" i="43"/>
  <c r="L15" i="43"/>
  <c r="T30" i="43"/>
  <c r="AA30" i="43" s="1"/>
  <c r="M13" i="96"/>
  <c r="M11" i="96"/>
  <c r="M12" i="87"/>
  <c r="M12" i="90" s="1"/>
  <c r="M10" i="90"/>
  <c r="M38" i="90" s="1"/>
  <c r="M8" i="96"/>
  <c r="K31" i="43"/>
  <c r="G31" i="43"/>
  <c r="I16" i="43" s="1"/>
  <c r="O7" i="87"/>
  <c r="C32" i="43"/>
  <c r="H31" i="43"/>
  <c r="M41" i="90"/>
  <c r="N7" i="96"/>
  <c r="X30" i="43"/>
  <c r="M39" i="90"/>
  <c r="M40" i="90" s="1"/>
  <c r="N6" i="96"/>
  <c r="N10" i="96" s="1"/>
  <c r="N10" i="87"/>
  <c r="N8" i="87"/>
  <c r="N8" i="90" s="1"/>
  <c r="N7" i="90"/>
  <c r="O9" i="87"/>
  <c r="O9" i="90" s="1"/>
  <c r="J32" i="43"/>
  <c r="V15" i="43" l="1"/>
  <c r="W15" i="43" s="1"/>
  <c r="Y15" i="43"/>
  <c r="U31" i="43"/>
  <c r="P9" i="96"/>
  <c r="N30" i="43"/>
  <c r="M31" i="43"/>
  <c r="L16" i="43"/>
  <c r="T31" i="43"/>
  <c r="AA31" i="43" s="1"/>
  <c r="N39" i="90"/>
  <c r="N40" i="90" s="1"/>
  <c r="O6" i="96"/>
  <c r="O10" i="96" s="1"/>
  <c r="O7" i="96"/>
  <c r="N41" i="90"/>
  <c r="X31" i="43"/>
  <c r="P9" i="87"/>
  <c r="P9" i="90" s="1"/>
  <c r="J33" i="43"/>
  <c r="N12" i="87"/>
  <c r="N12" i="90" s="1"/>
  <c r="N10" i="90"/>
  <c r="N38" i="90" s="1"/>
  <c r="G32" i="43"/>
  <c r="I17" i="43" s="1"/>
  <c r="P7" i="87"/>
  <c r="K32" i="43"/>
  <c r="C33" i="43"/>
  <c r="H32" i="43"/>
  <c r="N13" i="96"/>
  <c r="N11" i="96"/>
  <c r="N8" i="96"/>
  <c r="O10" i="87"/>
  <c r="O8" i="87"/>
  <c r="O8" i="90" s="1"/>
  <c r="O7" i="90"/>
  <c r="V16" i="43" l="1"/>
  <c r="W16" i="43" s="1"/>
  <c r="Y16" i="43"/>
  <c r="U32" i="43"/>
  <c r="Q9" i="96"/>
  <c r="N31" i="43"/>
  <c r="M32" i="43"/>
  <c r="L17" i="43"/>
  <c r="T32" i="43"/>
  <c r="AA32" i="43" s="1"/>
  <c r="O10" i="90"/>
  <c r="O38" i="90" s="1"/>
  <c r="O12" i="87"/>
  <c r="O12" i="90" s="1"/>
  <c r="G33" i="43"/>
  <c r="I18" i="43" s="1"/>
  <c r="K33" i="43"/>
  <c r="Q7" i="87"/>
  <c r="C34" i="43"/>
  <c r="H33" i="43"/>
  <c r="X32" i="43"/>
  <c r="Q9" i="87"/>
  <c r="Q9" i="90" s="1"/>
  <c r="J34" i="43"/>
  <c r="O39" i="90"/>
  <c r="O40" i="90" s="1"/>
  <c r="P6" i="96"/>
  <c r="P10" i="96" s="1"/>
  <c r="P7" i="90"/>
  <c r="P8" i="87"/>
  <c r="P8" i="90" s="1"/>
  <c r="P10" i="87"/>
  <c r="O8" i="96"/>
  <c r="O11" i="96"/>
  <c r="O13" i="96"/>
  <c r="P7" i="96"/>
  <c r="O41" i="90"/>
  <c r="V17" i="43" l="1"/>
  <c r="W17" i="43" s="1"/>
  <c r="Y17" i="43"/>
  <c r="U33" i="43"/>
  <c r="R9" i="96"/>
  <c r="N32" i="43"/>
  <c r="M33" i="43"/>
  <c r="L18" i="43"/>
  <c r="T33" i="43"/>
  <c r="AA33" i="43" s="1"/>
  <c r="P8" i="96"/>
  <c r="R9" i="87"/>
  <c r="R9" i="90" s="1"/>
  <c r="J35" i="43"/>
  <c r="R7" i="87"/>
  <c r="K34" i="43"/>
  <c r="G34" i="43"/>
  <c r="I19" i="43" s="1"/>
  <c r="C35" i="43"/>
  <c r="H34" i="43"/>
  <c r="P10" i="90"/>
  <c r="P38" i="90" s="1"/>
  <c r="P12" i="87"/>
  <c r="P12" i="90" s="1"/>
  <c r="Q7" i="90"/>
  <c r="Q10" i="87"/>
  <c r="Q8" i="87"/>
  <c r="Q8" i="90" s="1"/>
  <c r="Q7" i="96"/>
  <c r="P41" i="90"/>
  <c r="P11" i="96"/>
  <c r="P13" i="96"/>
  <c r="X33" i="43"/>
  <c r="Q6" i="96"/>
  <c r="Q10" i="96" s="1"/>
  <c r="P39" i="90"/>
  <c r="P40" i="90" s="1"/>
  <c r="V18" i="43" l="1"/>
  <c r="W18" i="43" s="1"/>
  <c r="Y18" i="43"/>
  <c r="U34" i="43"/>
  <c r="S9" i="96"/>
  <c r="N33" i="43"/>
  <c r="M34" i="43"/>
  <c r="L19" i="43"/>
  <c r="T34" i="43"/>
  <c r="AA34" i="43" s="1"/>
  <c r="R10" i="87"/>
  <c r="R7" i="90"/>
  <c r="R8" i="87"/>
  <c r="R8" i="90" s="1"/>
  <c r="Q8" i="96"/>
  <c r="Q41" i="90"/>
  <c r="R7" i="96"/>
  <c r="G35" i="43"/>
  <c r="I20" i="43" s="1"/>
  <c r="S7" i="87"/>
  <c r="K35" i="43"/>
  <c r="C36" i="43"/>
  <c r="H35" i="43"/>
  <c r="S9" i="87"/>
  <c r="S9" i="90" s="1"/>
  <c r="J36" i="43"/>
  <c r="Q12" i="87"/>
  <c r="Q12" i="90" s="1"/>
  <c r="Q10" i="90"/>
  <c r="Q38" i="90" s="1"/>
  <c r="Q11" i="96"/>
  <c r="Q13" i="96"/>
  <c r="R6" i="96"/>
  <c r="Q39" i="90"/>
  <c r="Q40" i="90" s="1"/>
  <c r="X34" i="43"/>
  <c r="V19" i="43" l="1"/>
  <c r="W19" i="43" s="1"/>
  <c r="Y19" i="43"/>
  <c r="U35" i="43"/>
  <c r="T9" i="96"/>
  <c r="N34" i="43"/>
  <c r="M35" i="43"/>
  <c r="L20" i="43"/>
  <c r="Y20" i="43" s="1"/>
  <c r="R10" i="96"/>
  <c r="T35" i="43"/>
  <c r="AA35" i="43" s="1"/>
  <c r="G36" i="43"/>
  <c r="I21" i="43" s="1"/>
  <c r="K36" i="43"/>
  <c r="H36" i="43"/>
  <c r="C37" i="43"/>
  <c r="T7" i="87"/>
  <c r="R8" i="96"/>
  <c r="S7" i="96"/>
  <c r="R41" i="90"/>
  <c r="T9" i="87"/>
  <c r="T9" i="90" s="1"/>
  <c r="J37" i="43"/>
  <c r="X35" i="43"/>
  <c r="S6" i="96"/>
  <c r="S10" i="96" s="1"/>
  <c r="R39" i="90"/>
  <c r="R40" i="90" s="1"/>
  <c r="S8" i="87"/>
  <c r="S8" i="90" s="1"/>
  <c r="S7" i="90"/>
  <c r="S10" i="87"/>
  <c r="R10" i="90"/>
  <c r="R38" i="90" s="1"/>
  <c r="R12" i="87"/>
  <c r="R12" i="90" s="1"/>
  <c r="U36" i="43" l="1"/>
  <c r="E14" i="96"/>
  <c r="V20" i="43"/>
  <c r="W20" i="43" s="1"/>
  <c r="U9" i="96"/>
  <c r="R13" i="96"/>
  <c r="M36" i="43"/>
  <c r="N35" i="43"/>
  <c r="E17" i="96"/>
  <c r="E18" i="96" s="1"/>
  <c r="L21" i="43"/>
  <c r="R11" i="96"/>
  <c r="S11" i="96" s="1"/>
  <c r="T36" i="43"/>
  <c r="AA36" i="43" s="1"/>
  <c r="S41" i="90"/>
  <c r="T7" i="96"/>
  <c r="G37" i="43"/>
  <c r="I22" i="43" s="1"/>
  <c r="U7" i="87"/>
  <c r="K37" i="43"/>
  <c r="H37" i="43"/>
  <c r="C38" i="43"/>
  <c r="S10" i="90"/>
  <c r="S38" i="90" s="1"/>
  <c r="S12" i="87"/>
  <c r="S12" i="90" s="1"/>
  <c r="U9" i="87"/>
  <c r="U9" i="90" s="1"/>
  <c r="J38" i="43"/>
  <c r="S8" i="96"/>
  <c r="X36" i="43"/>
  <c r="T6" i="96"/>
  <c r="T10" i="96" s="1"/>
  <c r="S39" i="90"/>
  <c r="S40" i="90" s="1"/>
  <c r="S13" i="96"/>
  <c r="T10" i="87"/>
  <c r="T8" i="87"/>
  <c r="T8" i="90" s="1"/>
  <c r="T7" i="90"/>
  <c r="F14" i="96" l="1"/>
  <c r="F21" i="96" s="1"/>
  <c r="Y21" i="43"/>
  <c r="E16" i="96"/>
  <c r="E21" i="96"/>
  <c r="E20" i="96"/>
  <c r="U37" i="43"/>
  <c r="V21" i="43"/>
  <c r="W21" i="43" s="1"/>
  <c r="V9" i="96"/>
  <c r="M37" i="43"/>
  <c r="N36" i="43"/>
  <c r="F17" i="96"/>
  <c r="F18" i="96" s="1"/>
  <c r="L22" i="43"/>
  <c r="T37" i="43"/>
  <c r="AA37" i="43" s="1"/>
  <c r="G38" i="43"/>
  <c r="I23" i="43" s="1"/>
  <c r="H38" i="43"/>
  <c r="V7" i="87"/>
  <c r="K38" i="43"/>
  <c r="C39" i="43"/>
  <c r="T39" i="90"/>
  <c r="T40" i="90" s="1"/>
  <c r="U6" i="96"/>
  <c r="U10" i="96" s="1"/>
  <c r="T41" i="90"/>
  <c r="U7" i="96"/>
  <c r="T11" i="96"/>
  <c r="T13" i="96"/>
  <c r="X37" i="43"/>
  <c r="T8" i="96"/>
  <c r="T12" i="87"/>
  <c r="T12" i="90" s="1"/>
  <c r="T10" i="90"/>
  <c r="T38" i="90" s="1"/>
  <c r="V9" i="87"/>
  <c r="V9" i="90" s="1"/>
  <c r="J39" i="43"/>
  <c r="U8" i="87"/>
  <c r="U8" i="90" s="1"/>
  <c r="U7" i="90"/>
  <c r="U10" i="87"/>
  <c r="F16" i="96" l="1"/>
  <c r="F20" i="96"/>
  <c r="G14" i="96"/>
  <c r="G21" i="96" s="1"/>
  <c r="Y22" i="43"/>
  <c r="F24" i="96"/>
  <c r="U38" i="43"/>
  <c r="E24" i="96"/>
  <c r="E22" i="96"/>
  <c r="E23" i="96"/>
  <c r="E31" i="96" s="1"/>
  <c r="F22" i="96"/>
  <c r="V22" i="43"/>
  <c r="W22" i="43" s="1"/>
  <c r="W9" i="96"/>
  <c r="M38" i="43"/>
  <c r="N37" i="43"/>
  <c r="L23" i="43"/>
  <c r="G17" i="96"/>
  <c r="G18" i="96" s="1"/>
  <c r="T38" i="43"/>
  <c r="AA38" i="43" s="1"/>
  <c r="U12" i="87"/>
  <c r="U12" i="90" s="1"/>
  <c r="U10" i="90"/>
  <c r="U38" i="90" s="1"/>
  <c r="H39" i="43"/>
  <c r="G39" i="43"/>
  <c r="I24" i="43" s="1"/>
  <c r="K39" i="43"/>
  <c r="C40" i="43"/>
  <c r="W7" i="87"/>
  <c r="V6" i="96"/>
  <c r="V10" i="96" s="1"/>
  <c r="U39" i="90"/>
  <c r="U40" i="90" s="1"/>
  <c r="U13" i="96"/>
  <c r="U11" i="96"/>
  <c r="X38" i="43"/>
  <c r="V7" i="96"/>
  <c r="U41" i="90"/>
  <c r="W9" i="87"/>
  <c r="W9" i="90" s="1"/>
  <c r="J40" i="43"/>
  <c r="U8" i="96"/>
  <c r="V8" i="87"/>
  <c r="V8" i="90" s="1"/>
  <c r="V7" i="90"/>
  <c r="V10" i="87"/>
  <c r="G16" i="96" l="1"/>
  <c r="G20" i="96"/>
  <c r="H14" i="96"/>
  <c r="H21" i="96" s="1"/>
  <c r="H22" i="96" s="1"/>
  <c r="Y23" i="43"/>
  <c r="F31" i="96"/>
  <c r="F44" i="96" s="1"/>
  <c r="G24" i="96"/>
  <c r="E47" i="96"/>
  <c r="E44" i="96"/>
  <c r="U39" i="43"/>
  <c r="G22" i="96"/>
  <c r="V23" i="43"/>
  <c r="W23" i="43" s="1"/>
  <c r="N38" i="43"/>
  <c r="X9" i="96"/>
  <c r="M39" i="43"/>
  <c r="L24" i="43"/>
  <c r="H17" i="96"/>
  <c r="H18" i="96" s="1"/>
  <c r="T39" i="43"/>
  <c r="AA39" i="43" s="1"/>
  <c r="V8" i="96"/>
  <c r="V12" i="87"/>
  <c r="V12" i="90" s="1"/>
  <c r="V10" i="90"/>
  <c r="V38" i="90" s="1"/>
  <c r="V11" i="96"/>
  <c r="V13" i="96"/>
  <c r="W10" i="87"/>
  <c r="W7" i="90"/>
  <c r="W8" i="87"/>
  <c r="W8" i="90" s="1"/>
  <c r="V39" i="90"/>
  <c r="V40" i="90" s="1"/>
  <c r="W6" i="96"/>
  <c r="W10" i="96" s="1"/>
  <c r="X9" i="87"/>
  <c r="X9" i="90" s="1"/>
  <c r="J41" i="43"/>
  <c r="G40" i="43"/>
  <c r="I25" i="43" s="1"/>
  <c r="X7" i="87"/>
  <c r="K40" i="43"/>
  <c r="H40" i="43"/>
  <c r="C41" i="43"/>
  <c r="V41" i="90"/>
  <c r="W7" i="96"/>
  <c r="X39" i="43"/>
  <c r="H20" i="96" l="1"/>
  <c r="H16" i="96"/>
  <c r="I14" i="96"/>
  <c r="I21" i="96" s="1"/>
  <c r="I22" i="96" s="1"/>
  <c r="Y24" i="43"/>
  <c r="F47" i="96"/>
  <c r="F49" i="96" s="1"/>
  <c r="G31" i="96"/>
  <c r="G47" i="96" s="1"/>
  <c r="F45" i="96"/>
  <c r="F46" i="96"/>
  <c r="U40" i="43"/>
  <c r="E45" i="96"/>
  <c r="E46" i="96"/>
  <c r="E49" i="96"/>
  <c r="E48" i="96"/>
  <c r="H24" i="96"/>
  <c r="H31" i="96" s="1"/>
  <c r="V24" i="43"/>
  <c r="W24" i="43" s="1"/>
  <c r="N39" i="43"/>
  <c r="Y9" i="96"/>
  <c r="M40" i="43"/>
  <c r="L25" i="43"/>
  <c r="I17" i="96"/>
  <c r="I18" i="96" s="1"/>
  <c r="T40" i="43"/>
  <c r="AA40" i="43" s="1"/>
  <c r="W8" i="96"/>
  <c r="X40" i="43"/>
  <c r="Y9" i="87"/>
  <c r="Y9" i="90" s="1"/>
  <c r="J42" i="43"/>
  <c r="W41" i="90"/>
  <c r="X7" i="96"/>
  <c r="X10" i="87"/>
  <c r="X7" i="90"/>
  <c r="X8" i="87"/>
  <c r="X8" i="90" s="1"/>
  <c r="X6" i="96"/>
  <c r="X10" i="96" s="1"/>
  <c r="W39" i="90"/>
  <c r="W40" i="90" s="1"/>
  <c r="G41" i="43"/>
  <c r="I26" i="43" s="1"/>
  <c r="K41" i="43"/>
  <c r="Y7" i="87"/>
  <c r="H41" i="43"/>
  <c r="C42" i="43"/>
  <c r="W11" i="96"/>
  <c r="W13" i="96"/>
  <c r="W10" i="90"/>
  <c r="W38" i="90" s="1"/>
  <c r="W12" i="87"/>
  <c r="W12" i="90" s="1"/>
  <c r="I20" i="96" l="1"/>
  <c r="I16" i="96"/>
  <c r="F48" i="96"/>
  <c r="F50" i="96" s="1"/>
  <c r="J14" i="96"/>
  <c r="J21" i="96" s="1"/>
  <c r="Y25" i="43"/>
  <c r="N40" i="43"/>
  <c r="G44" i="96"/>
  <c r="G46" i="96" s="1"/>
  <c r="H47" i="96"/>
  <c r="H44" i="96"/>
  <c r="U41" i="43"/>
  <c r="I24" i="96"/>
  <c r="I31" i="96" s="1"/>
  <c r="E50" i="96"/>
  <c r="G48" i="96"/>
  <c r="G49" i="96"/>
  <c r="V25" i="43"/>
  <c r="W25" i="43" s="1"/>
  <c r="Z9" i="96"/>
  <c r="M41" i="43"/>
  <c r="L26" i="43"/>
  <c r="J17" i="96"/>
  <c r="J18" i="96" s="1"/>
  <c r="T41" i="43"/>
  <c r="AA41" i="43" s="1"/>
  <c r="X8" i="96"/>
  <c r="X41" i="43"/>
  <c r="X41" i="90"/>
  <c r="Y7" i="96"/>
  <c r="X10" i="90"/>
  <c r="X38" i="90" s="1"/>
  <c r="X12" i="87"/>
  <c r="X12" i="90" s="1"/>
  <c r="Y7" i="90"/>
  <c r="Y8" i="87"/>
  <c r="Y8" i="90" s="1"/>
  <c r="Y10" i="87"/>
  <c r="X13" i="96"/>
  <c r="X11" i="96"/>
  <c r="Z9" i="87"/>
  <c r="Z9" i="90" s="1"/>
  <c r="J43" i="43"/>
  <c r="G42" i="43"/>
  <c r="I27" i="43" s="1"/>
  <c r="H42" i="43"/>
  <c r="Z7" i="87"/>
  <c r="K42" i="43"/>
  <c r="C43" i="43"/>
  <c r="Y6" i="96"/>
  <c r="Y10" i="96" s="1"/>
  <c r="X39" i="90"/>
  <c r="X40" i="90" s="1"/>
  <c r="J16" i="96" l="1"/>
  <c r="J20" i="96"/>
  <c r="N41" i="43"/>
  <c r="K14" i="96"/>
  <c r="K21" i="96" s="1"/>
  <c r="K22" i="96" s="1"/>
  <c r="Y26" i="43"/>
  <c r="G45" i="96"/>
  <c r="G50" i="96" s="1"/>
  <c r="I47" i="96"/>
  <c r="I48" i="96" s="1"/>
  <c r="I44" i="96"/>
  <c r="J24" i="96"/>
  <c r="U42" i="43"/>
  <c r="J22" i="96"/>
  <c r="H45" i="96"/>
  <c r="H46" i="96"/>
  <c r="H49" i="96"/>
  <c r="H48" i="96"/>
  <c r="V26" i="43"/>
  <c r="W26" i="43" s="1"/>
  <c r="AA9" i="96"/>
  <c r="CV39" i="96"/>
  <c r="AJ41" i="96"/>
  <c r="AQ41" i="96"/>
  <c r="AX41" i="96"/>
  <c r="CR39" i="96"/>
  <c r="BL41" i="96"/>
  <c r="AF41" i="96"/>
  <c r="AT41" i="96"/>
  <c r="AM41" i="96"/>
  <c r="CQ39" i="96"/>
  <c r="AC41" i="96"/>
  <c r="Y41" i="96"/>
  <c r="BK41" i="96"/>
  <c r="BB41" i="96"/>
  <c r="CY39" i="96"/>
  <c r="AG41" i="96"/>
  <c r="CN39" i="96"/>
  <c r="BH41" i="96"/>
  <c r="AB41" i="96"/>
  <c r="CU39" i="96"/>
  <c r="AI41" i="96"/>
  <c r="AP41" i="96"/>
  <c r="BD41" i="96"/>
  <c r="X40" i="96"/>
  <c r="CW39" i="96"/>
  <c r="AD41" i="96"/>
  <c r="AO41" i="96"/>
  <c r="CO39" i="96"/>
  <c r="O40" i="96"/>
  <c r="AL41" i="96"/>
  <c r="BA41" i="96"/>
  <c r="Q40" i="96"/>
  <c r="AZ41" i="96"/>
  <c r="T40" i="96"/>
  <c r="BG41" i="96"/>
  <c r="AA41" i="96"/>
  <c r="CT39" i="96"/>
  <c r="AH41" i="96"/>
  <c r="CS39" i="96"/>
  <c r="AV41" i="96"/>
  <c r="P40" i="96"/>
  <c r="N40" i="96"/>
  <c r="CX39" i="96"/>
  <c r="BI41" i="96"/>
  <c r="CP39" i="96"/>
  <c r="BC41" i="96"/>
  <c r="V40" i="96"/>
  <c r="AK41" i="96"/>
  <c r="AR41" i="96"/>
  <c r="AY41" i="96"/>
  <c r="S40" i="96"/>
  <c r="BF41" i="96"/>
  <c r="Z41" i="96"/>
  <c r="CZ39" i="96"/>
  <c r="AN41" i="96"/>
  <c r="BJ41" i="96"/>
  <c r="AE41" i="96"/>
  <c r="AS41" i="96"/>
  <c r="BE41" i="96"/>
  <c r="W40" i="96"/>
  <c r="AW41" i="96"/>
  <c r="AU41" i="96"/>
  <c r="CT36" i="96"/>
  <c r="AH38" i="96"/>
  <c r="CS36" i="96"/>
  <c r="AG38" i="96"/>
  <c r="CZ36" i="96"/>
  <c r="AN38" i="96"/>
  <c r="AT38" i="96"/>
  <c r="N37" i="96"/>
  <c r="AZ38" i="96"/>
  <c r="AU38" i="96"/>
  <c r="S37" i="96"/>
  <c r="AE38" i="96"/>
  <c r="BH38" i="96"/>
  <c r="AA38" i="96"/>
  <c r="BF38" i="96"/>
  <c r="Z38" i="96"/>
  <c r="BE38" i="96"/>
  <c r="Y38" i="96"/>
  <c r="CR36" i="96"/>
  <c r="BL38" i="96"/>
  <c r="AF38" i="96"/>
  <c r="CX36" i="96"/>
  <c r="AL38" i="96"/>
  <c r="CV36" i="96"/>
  <c r="AJ38" i="96"/>
  <c r="O37" i="96"/>
  <c r="CO36" i="96"/>
  <c r="U37" i="96"/>
  <c r="AR38" i="96"/>
  <c r="BC38" i="96"/>
  <c r="CW36" i="96"/>
  <c r="AX38" i="96"/>
  <c r="R37" i="96"/>
  <c r="AW38" i="96"/>
  <c r="Q37" i="96"/>
  <c r="BD38" i="96"/>
  <c r="X37" i="96"/>
  <c r="CP36" i="96"/>
  <c r="BJ38" i="96"/>
  <c r="AD38" i="96"/>
  <c r="T37" i="96"/>
  <c r="AK38" i="96"/>
  <c r="AY38" i="96"/>
  <c r="CQ36" i="96"/>
  <c r="BI38" i="96"/>
  <c r="CN36" i="96"/>
  <c r="AB38" i="96"/>
  <c r="BG38" i="96"/>
  <c r="CY36" i="96"/>
  <c r="AM38" i="96"/>
  <c r="BA38" i="96"/>
  <c r="AP38" i="96"/>
  <c r="AO38" i="96"/>
  <c r="AV38" i="96"/>
  <c r="P37" i="96"/>
  <c r="BB38" i="96"/>
  <c r="V37" i="96"/>
  <c r="AS38" i="96"/>
  <c r="CU36" i="96"/>
  <c r="AI38" i="96"/>
  <c r="BK38" i="96"/>
  <c r="AC38" i="96"/>
  <c r="AQ38" i="96"/>
  <c r="W37" i="96"/>
  <c r="M42" i="43"/>
  <c r="N42" i="43" s="1"/>
  <c r="L27" i="43"/>
  <c r="K17" i="96"/>
  <c r="K18" i="96" s="1"/>
  <c r="T42" i="43"/>
  <c r="AA42" i="43" s="1"/>
  <c r="Y11" i="96"/>
  <c r="Y13" i="96"/>
  <c r="H43" i="43"/>
  <c r="K43" i="43"/>
  <c r="G43" i="43"/>
  <c r="I28" i="43" s="1"/>
  <c r="AA7" i="87"/>
  <c r="C44" i="43"/>
  <c r="J44" i="43"/>
  <c r="AA9" i="87"/>
  <c r="AA9" i="90" s="1"/>
  <c r="X42" i="43"/>
  <c r="Y12" i="87"/>
  <c r="Y12" i="90" s="1"/>
  <c r="Y10" i="90"/>
  <c r="Y38" i="90" s="1"/>
  <c r="Z8" i="87"/>
  <c r="Z8" i="90" s="1"/>
  <c r="Z10" i="87"/>
  <c r="Z7" i="90"/>
  <c r="Z7" i="96"/>
  <c r="Y41" i="90"/>
  <c r="Y39" i="90"/>
  <c r="Y40" i="90" s="1"/>
  <c r="Z6" i="96"/>
  <c r="Z10" i="96" s="1"/>
  <c r="Y8" i="96"/>
  <c r="K20" i="96" l="1"/>
  <c r="K16" i="96"/>
  <c r="L14" i="96"/>
  <c r="L21" i="96" s="1"/>
  <c r="L22" i="96" s="1"/>
  <c r="Y27" i="43"/>
  <c r="I49" i="96"/>
  <c r="H50" i="96"/>
  <c r="J31" i="96"/>
  <c r="I45" i="96"/>
  <c r="I50" i="96" s="1"/>
  <c r="I46" i="96"/>
  <c r="U43" i="43"/>
  <c r="K24" i="96"/>
  <c r="K31" i="96" s="1"/>
  <c r="V27" i="43"/>
  <c r="W27" i="43" s="1"/>
  <c r="Y40" i="96"/>
  <c r="AB9" i="96"/>
  <c r="CA38" i="96"/>
  <c r="CH37" i="96"/>
  <c r="CH38" i="96"/>
  <c r="CY38" i="96"/>
  <c r="CY37" i="96"/>
  <c r="BY38" i="96"/>
  <c r="CJ37" i="96"/>
  <c r="CJ38" i="96"/>
  <c r="CG38" i="96"/>
  <c r="CG37" i="96"/>
  <c r="CK37" i="96"/>
  <c r="CK38" i="96"/>
  <c r="CE37" i="96"/>
  <c r="CE38" i="96"/>
  <c r="BM38" i="96"/>
  <c r="CT37" i="96"/>
  <c r="CT38" i="96"/>
  <c r="U40" i="96"/>
  <c r="BT41" i="96"/>
  <c r="CL41" i="96"/>
  <c r="CL40" i="96"/>
  <c r="BM41" i="96"/>
  <c r="BN41" i="96"/>
  <c r="CM41" i="96"/>
  <c r="CM40" i="96"/>
  <c r="BO41" i="96"/>
  <c r="CN40" i="96"/>
  <c r="CN41" i="96"/>
  <c r="CQ41" i="96"/>
  <c r="CQ40" i="96"/>
  <c r="R40" i="96"/>
  <c r="BP41" i="96"/>
  <c r="Z40" i="96"/>
  <c r="Y37" i="96"/>
  <c r="BP38" i="96"/>
  <c r="BV38" i="96"/>
  <c r="CQ38" i="96"/>
  <c r="CQ37" i="96"/>
  <c r="CP38" i="96"/>
  <c r="CP37" i="96"/>
  <c r="CO38" i="96"/>
  <c r="CO37" i="96"/>
  <c r="BR38" i="96"/>
  <c r="CR38" i="96"/>
  <c r="CR37" i="96"/>
  <c r="BS38" i="96"/>
  <c r="BQ38" i="96"/>
  <c r="BT38" i="96"/>
  <c r="CS38" i="96"/>
  <c r="CS37" i="96"/>
  <c r="CH40" i="96"/>
  <c r="CH41" i="96"/>
  <c r="CZ40" i="96"/>
  <c r="CZ129" i="96" s="1"/>
  <c r="CZ41" i="96"/>
  <c r="CP41" i="96"/>
  <c r="CP40" i="96"/>
  <c r="CB41" i="96"/>
  <c r="CT40" i="96"/>
  <c r="CT41" i="96"/>
  <c r="CG40" i="96"/>
  <c r="CG41" i="96"/>
  <c r="CO40" i="96"/>
  <c r="CO41" i="96"/>
  <c r="BV41" i="96"/>
  <c r="CU41" i="96"/>
  <c r="CU40" i="96"/>
  <c r="BW41" i="96"/>
  <c r="CV40" i="96"/>
  <c r="CV129" i="96" s="1"/>
  <c r="CV41" i="96"/>
  <c r="BX38" i="96"/>
  <c r="CU38" i="96"/>
  <c r="CU37" i="96"/>
  <c r="BU38" i="96"/>
  <c r="CF38" i="96"/>
  <c r="CF37" i="96"/>
  <c r="CD38" i="96"/>
  <c r="CD37" i="96"/>
  <c r="BW38" i="96"/>
  <c r="CX37" i="96"/>
  <c r="CX38" i="96"/>
  <c r="BZ38" i="96"/>
  <c r="CZ37" i="96"/>
  <c r="CZ38" i="96"/>
  <c r="BR41" i="96"/>
  <c r="BX41" i="96"/>
  <c r="BZ41" i="96"/>
  <c r="CS40" i="96"/>
  <c r="CS41" i="96"/>
  <c r="CJ40" i="96"/>
  <c r="CJ41" i="96"/>
  <c r="CC41" i="96"/>
  <c r="CY40" i="96"/>
  <c r="CY129" i="96" s="1"/>
  <c r="CY41" i="96"/>
  <c r="BU41" i="96"/>
  <c r="CD41" i="96"/>
  <c r="CD40" i="96"/>
  <c r="CK41" i="96"/>
  <c r="CK40" i="96"/>
  <c r="CI38" i="96"/>
  <c r="CI37" i="96"/>
  <c r="CB38" i="96"/>
  <c r="CN37" i="96"/>
  <c r="CN38" i="96"/>
  <c r="CC38" i="96"/>
  <c r="CW37" i="96"/>
  <c r="CW38" i="96"/>
  <c r="BO38" i="96"/>
  <c r="CV37" i="96"/>
  <c r="CV38" i="96"/>
  <c r="CL37" i="96"/>
  <c r="CL38" i="96"/>
  <c r="CM38" i="96"/>
  <c r="CM37" i="96"/>
  <c r="BN38" i="96"/>
  <c r="BS41" i="96"/>
  <c r="CE41" i="96"/>
  <c r="CE40" i="96"/>
  <c r="CA41" i="96"/>
  <c r="CI41" i="96"/>
  <c r="CI40" i="96"/>
  <c r="CX40" i="96"/>
  <c r="CX129" i="96" s="1"/>
  <c r="CX41" i="96"/>
  <c r="CF40" i="96"/>
  <c r="CF41" i="96"/>
  <c r="BY41" i="96"/>
  <c r="CW41" i="96"/>
  <c r="CW40" i="96"/>
  <c r="CW129" i="96" s="1"/>
  <c r="BQ41" i="96"/>
  <c r="CR41" i="96"/>
  <c r="CR40" i="96"/>
  <c r="Z37" i="96"/>
  <c r="M43" i="43"/>
  <c r="N43" i="43" s="1"/>
  <c r="L28" i="43"/>
  <c r="L17" i="96"/>
  <c r="L18" i="96" s="1"/>
  <c r="T43" i="43"/>
  <c r="AA43" i="43" s="1"/>
  <c r="Z8" i="96"/>
  <c r="Z10" i="90"/>
  <c r="Z38" i="90" s="1"/>
  <c r="Z12" i="87"/>
  <c r="Z12" i="90" s="1"/>
  <c r="AA10" i="87"/>
  <c r="AA7" i="90"/>
  <c r="AA8" i="87"/>
  <c r="AA8" i="90" s="1"/>
  <c r="Z39" i="90"/>
  <c r="Z40" i="90" s="1"/>
  <c r="AA6" i="96"/>
  <c r="AA10" i="96" s="1"/>
  <c r="X43" i="43"/>
  <c r="Z13" i="96"/>
  <c r="Z11" i="96"/>
  <c r="AA7" i="96"/>
  <c r="AA40" i="96" s="1"/>
  <c r="Z41" i="90"/>
  <c r="AB9" i="87"/>
  <c r="AB9" i="90" s="1"/>
  <c r="J45" i="43"/>
  <c r="G44" i="43"/>
  <c r="I29" i="43" s="1"/>
  <c r="K44" i="43"/>
  <c r="H44" i="43"/>
  <c r="AB7" i="87"/>
  <c r="C45" i="43"/>
  <c r="L20" i="96" l="1"/>
  <c r="L16" i="96"/>
  <c r="M14" i="96"/>
  <c r="M21" i="96" s="1"/>
  <c r="M22" i="96" s="1"/>
  <c r="Y28" i="43"/>
  <c r="K47" i="96"/>
  <c r="K44" i="96"/>
  <c r="J44" i="96"/>
  <c r="J47" i="96"/>
  <c r="L24" i="96"/>
  <c r="L31" i="96" s="1"/>
  <c r="U44" i="43"/>
  <c r="V28" i="43"/>
  <c r="W28" i="43" s="1"/>
  <c r="R41" i="96"/>
  <c r="S41" i="96" s="1"/>
  <c r="T41" i="96" s="1"/>
  <c r="U41" i="96" s="1"/>
  <c r="V41" i="96" s="1"/>
  <c r="W41" i="96" s="1"/>
  <c r="X41" i="96" s="1"/>
  <c r="AC9" i="96"/>
  <c r="CR129" i="96"/>
  <c r="CR136" i="96"/>
  <c r="CF129" i="96"/>
  <c r="CF136" i="96"/>
  <c r="CI129" i="96"/>
  <c r="CI136" i="96"/>
  <c r="CJ129" i="96"/>
  <c r="CJ136" i="96"/>
  <c r="CO129" i="96"/>
  <c r="CO136" i="96"/>
  <c r="CH129" i="96"/>
  <c r="CH136" i="96"/>
  <c r="CQ129" i="96"/>
  <c r="CQ136" i="96"/>
  <c r="CN129" i="96"/>
  <c r="CN136" i="96"/>
  <c r="CL129" i="96"/>
  <c r="CL136" i="96"/>
  <c r="CE129" i="96"/>
  <c r="CE136" i="96"/>
  <c r="CM129" i="96"/>
  <c r="CM136" i="96"/>
  <c r="CD129" i="96"/>
  <c r="CD136" i="96"/>
  <c r="CU129" i="96"/>
  <c r="CU136" i="96"/>
  <c r="CT129" i="96"/>
  <c r="CT136" i="96"/>
  <c r="CP129" i="96"/>
  <c r="CP136" i="96"/>
  <c r="CK129" i="96"/>
  <c r="CK136" i="96"/>
  <c r="CS129" i="96"/>
  <c r="CS136" i="96"/>
  <c r="CG129" i="96"/>
  <c r="CG136" i="96"/>
  <c r="AA37" i="96"/>
  <c r="M44" i="43"/>
  <c r="N44" i="43" s="1"/>
  <c r="M17" i="96"/>
  <c r="M18" i="96" s="1"/>
  <c r="L29" i="43"/>
  <c r="T44" i="43"/>
  <c r="AA44" i="43" s="1"/>
  <c r="H45" i="43"/>
  <c r="AC7" i="87"/>
  <c r="K45" i="43"/>
  <c r="G45" i="43"/>
  <c r="I30" i="43" s="1"/>
  <c r="C46" i="43"/>
  <c r="AA13" i="96"/>
  <c r="AA11" i="96"/>
  <c r="AB10" i="87"/>
  <c r="AB7" i="90"/>
  <c r="AB8" i="87"/>
  <c r="AB8" i="90" s="1"/>
  <c r="J46" i="43"/>
  <c r="AC9" i="87"/>
  <c r="AC9" i="90" s="1"/>
  <c r="AA41" i="90"/>
  <c r="AB7" i="96"/>
  <c r="AB40" i="96" s="1"/>
  <c r="AA8" i="96"/>
  <c r="AA39" i="90"/>
  <c r="AA40" i="90" s="1"/>
  <c r="AB6" i="96"/>
  <c r="AB10" i="96" s="1"/>
  <c r="X44" i="43"/>
  <c r="AA12" i="87"/>
  <c r="AA12" i="90" s="1"/>
  <c r="AA10" i="90"/>
  <c r="AA38" i="90" s="1"/>
  <c r="M16" i="96" l="1"/>
  <c r="M20" i="96"/>
  <c r="N14" i="96"/>
  <c r="N21" i="96" s="1"/>
  <c r="Y29" i="43"/>
  <c r="L44" i="96"/>
  <c r="L47" i="96"/>
  <c r="L48" i="96" s="1"/>
  <c r="J46" i="96"/>
  <c r="J45" i="96"/>
  <c r="K45" i="96"/>
  <c r="K46" i="96"/>
  <c r="J48" i="96"/>
  <c r="J49" i="96"/>
  <c r="M24" i="96"/>
  <c r="M31" i="96" s="1"/>
  <c r="U45" i="43"/>
  <c r="K49" i="96"/>
  <c r="K48" i="96"/>
  <c r="V29" i="43"/>
  <c r="W29" i="43" s="1"/>
  <c r="AD9" i="96"/>
  <c r="AB37" i="96"/>
  <c r="M45" i="43"/>
  <c r="N45" i="43" s="1"/>
  <c r="N17" i="96"/>
  <c r="N18" i="96" s="1"/>
  <c r="L30" i="43"/>
  <c r="T45" i="43"/>
  <c r="AA45" i="43" s="1"/>
  <c r="AB8" i="96"/>
  <c r="AB41" i="90"/>
  <c r="AC7" i="96"/>
  <c r="AC40" i="96" s="1"/>
  <c r="AB13" i="96"/>
  <c r="AB11" i="96"/>
  <c r="AB39" i="90"/>
  <c r="AB40" i="90" s="1"/>
  <c r="AC6" i="96"/>
  <c r="AC10" i="96" s="1"/>
  <c r="X45" i="43"/>
  <c r="AB12" i="87"/>
  <c r="AB12" i="90" s="1"/>
  <c r="AB10" i="90"/>
  <c r="AB38" i="90" s="1"/>
  <c r="AC7" i="90"/>
  <c r="AC10" i="87"/>
  <c r="AC8" i="87"/>
  <c r="AC8" i="90" s="1"/>
  <c r="AD9" i="87"/>
  <c r="AD9" i="90" s="1"/>
  <c r="J47" i="43"/>
  <c r="G46" i="43"/>
  <c r="I31" i="43" s="1"/>
  <c r="H46" i="43"/>
  <c r="K46" i="43"/>
  <c r="AD7" i="87"/>
  <c r="C47" i="43"/>
  <c r="N20" i="96" l="1"/>
  <c r="N16" i="96"/>
  <c r="O14" i="96"/>
  <c r="O21" i="96" s="1"/>
  <c r="O22" i="96" s="1"/>
  <c r="Y30" i="43"/>
  <c r="L49" i="96"/>
  <c r="M44" i="96"/>
  <c r="M47" i="96"/>
  <c r="U46" i="43"/>
  <c r="N24" i="96"/>
  <c r="J50" i="96"/>
  <c r="K50" i="96"/>
  <c r="N22" i="96"/>
  <c r="L46" i="96"/>
  <c r="L45" i="96"/>
  <c r="L50" i="96" s="1"/>
  <c r="V30" i="43"/>
  <c r="W30" i="43" s="1"/>
  <c r="AE9" i="96"/>
  <c r="AC37" i="96"/>
  <c r="M46" i="43"/>
  <c r="N46" i="43" s="1"/>
  <c r="O17" i="96"/>
  <c r="O18" i="96" s="1"/>
  <c r="L31" i="43"/>
  <c r="T46" i="43"/>
  <c r="AA46" i="43" s="1"/>
  <c r="AC41" i="90"/>
  <c r="AD7" i="96"/>
  <c r="AD40" i="96" s="1"/>
  <c r="AD8" i="87"/>
  <c r="AD8" i="90" s="1"/>
  <c r="AD7" i="90"/>
  <c r="AD10" i="87"/>
  <c r="AC12" i="87"/>
  <c r="AC12" i="90" s="1"/>
  <c r="AC10" i="90"/>
  <c r="AC38" i="90" s="1"/>
  <c r="X46" i="43"/>
  <c r="AE9" i="87"/>
  <c r="AE9" i="90" s="1"/>
  <c r="J48" i="43"/>
  <c r="AC39" i="90"/>
  <c r="AC40" i="90" s="1"/>
  <c r="AD6" i="96"/>
  <c r="AD10" i="96" s="1"/>
  <c r="AC11" i="96"/>
  <c r="AC13" i="96"/>
  <c r="H47" i="43"/>
  <c r="AE7" i="87"/>
  <c r="G47" i="43"/>
  <c r="I32" i="43" s="1"/>
  <c r="K47" i="43"/>
  <c r="C48" i="43"/>
  <c r="AC8" i="96"/>
  <c r="O16" i="96" l="1"/>
  <c r="O20" i="96"/>
  <c r="P14" i="96"/>
  <c r="P21" i="96" s="1"/>
  <c r="Y31" i="43"/>
  <c r="N31" i="96"/>
  <c r="N47" i="96" s="1"/>
  <c r="O24" i="96"/>
  <c r="O31" i="96" s="1"/>
  <c r="U47" i="43"/>
  <c r="P16" i="96"/>
  <c r="M48" i="96"/>
  <c r="M49" i="96"/>
  <c r="M46" i="96"/>
  <c r="M45" i="96"/>
  <c r="V31" i="43"/>
  <c r="W31" i="43" s="1"/>
  <c r="AF9" i="96"/>
  <c r="AD37" i="96"/>
  <c r="M47" i="43"/>
  <c r="N47" i="43" s="1"/>
  <c r="L32" i="43"/>
  <c r="P17" i="96"/>
  <c r="P18" i="96" s="1"/>
  <c r="T47" i="43"/>
  <c r="AA47" i="43" s="1"/>
  <c r="G48" i="43"/>
  <c r="K48" i="43"/>
  <c r="H48" i="43"/>
  <c r="AF7" i="87"/>
  <c r="C49" i="43"/>
  <c r="AD13" i="96"/>
  <c r="AD11" i="96"/>
  <c r="AE7" i="96"/>
  <c r="AE40" i="96" s="1"/>
  <c r="AD41" i="90"/>
  <c r="AE7" i="90"/>
  <c r="AE10" i="87"/>
  <c r="AE8" i="87"/>
  <c r="AE8" i="90" s="1"/>
  <c r="AD10" i="90"/>
  <c r="AD38" i="90" s="1"/>
  <c r="AD12" i="87"/>
  <c r="AD12" i="90" s="1"/>
  <c r="X47" i="43"/>
  <c r="AF9" i="87"/>
  <c r="AF9" i="90" s="1"/>
  <c r="J49" i="43"/>
  <c r="AD39" i="90"/>
  <c r="G12" i="131" s="1"/>
  <c r="AE6" i="96"/>
  <c r="AE10" i="96" s="1"/>
  <c r="AD8" i="96"/>
  <c r="P20" i="96" l="1"/>
  <c r="Q14" i="96"/>
  <c r="Q21" i="96" s="1"/>
  <c r="Y32" i="43"/>
  <c r="N44" i="96"/>
  <c r="N45" i="96" s="1"/>
  <c r="M50" i="96"/>
  <c r="Q16" i="96"/>
  <c r="Q20" i="96"/>
  <c r="P24" i="96"/>
  <c r="O47" i="96"/>
  <c r="O44" i="96"/>
  <c r="U48" i="43"/>
  <c r="P22" i="96"/>
  <c r="N48" i="96"/>
  <c r="N49" i="96"/>
  <c r="V32" i="43"/>
  <c r="W32" i="43" s="1"/>
  <c r="M48" i="43"/>
  <c r="N48" i="43" s="1"/>
  <c r="I33" i="43"/>
  <c r="K10" i="92"/>
  <c r="K12" i="131"/>
  <c r="E10" i="92" a="1"/>
  <c r="E10" i="92" s="1"/>
  <c r="E12" i="131" a="1"/>
  <c r="E12" i="131" s="1"/>
  <c r="AD40" i="90"/>
  <c r="G10" i="92"/>
  <c r="AG9" i="96"/>
  <c r="AE37" i="96"/>
  <c r="L33" i="43"/>
  <c r="Q17" i="96"/>
  <c r="Q18" i="96" s="1"/>
  <c r="T48" i="43"/>
  <c r="AA48" i="43" s="1"/>
  <c r="AE13" i="96"/>
  <c r="AE11" i="96"/>
  <c r="AF8" i="87"/>
  <c r="AF8" i="90" s="1"/>
  <c r="AF7" i="90"/>
  <c r="AF10" i="87"/>
  <c r="AF7" i="96"/>
  <c r="AF40" i="96" s="1"/>
  <c r="AE41" i="90"/>
  <c r="AE8" i="96"/>
  <c r="AG9" i="87"/>
  <c r="AG9" i="90" s="1"/>
  <c r="J50" i="43"/>
  <c r="AE12" i="87"/>
  <c r="AE12" i="90" s="1"/>
  <c r="AE10" i="90"/>
  <c r="AE38" i="90" s="1"/>
  <c r="X48" i="43"/>
  <c r="AE39" i="90"/>
  <c r="AE40" i="90" s="1"/>
  <c r="AF6" i="96"/>
  <c r="AF10" i="96" s="1"/>
  <c r="G49" i="43"/>
  <c r="I34" i="43" s="1"/>
  <c r="K49" i="43"/>
  <c r="AG7" i="87"/>
  <c r="H49" i="43"/>
  <c r="C50" i="43"/>
  <c r="N46" i="96" l="1"/>
  <c r="R14" i="96"/>
  <c r="R21" i="96" s="1"/>
  <c r="Y33" i="43"/>
  <c r="N129" i="96"/>
  <c r="N50" i="96"/>
  <c r="O46" i="96"/>
  <c r="O45" i="96"/>
  <c r="Q24" i="96"/>
  <c r="U49" i="43"/>
  <c r="R16" i="96"/>
  <c r="R20" i="96"/>
  <c r="P31" i="96"/>
  <c r="O48" i="96"/>
  <c r="O49" i="96"/>
  <c r="Q22" i="96"/>
  <c r="V33" i="43"/>
  <c r="W33" i="43" s="1"/>
  <c r="I10" i="92"/>
  <c r="I12" i="131"/>
  <c r="AH9" i="96"/>
  <c r="AF37" i="96"/>
  <c r="M49" i="43"/>
  <c r="N49" i="43" s="1"/>
  <c r="L34" i="43"/>
  <c r="R17" i="96"/>
  <c r="R18" i="96" s="1"/>
  <c r="T49" i="43"/>
  <c r="AA49" i="43" s="1"/>
  <c r="AH9" i="87"/>
  <c r="AH9" i="90" s="1"/>
  <c r="J51" i="43"/>
  <c r="AF12" i="87"/>
  <c r="AF12" i="90" s="1"/>
  <c r="AF10" i="90"/>
  <c r="AF38" i="90" s="1"/>
  <c r="AG7" i="90"/>
  <c r="AG10" i="87"/>
  <c r="AG8" i="87"/>
  <c r="AG8" i="90" s="1"/>
  <c r="AG6" i="96"/>
  <c r="AG10" i="96" s="1"/>
  <c r="AF39" i="90"/>
  <c r="AF40" i="90" s="1"/>
  <c r="X49" i="43"/>
  <c r="AF8" i="96"/>
  <c r="AF41" i="90"/>
  <c r="AG7" i="96"/>
  <c r="AG40" i="96" s="1"/>
  <c r="G50" i="43"/>
  <c r="I35" i="43" s="1"/>
  <c r="AH7" i="87"/>
  <c r="H50" i="43"/>
  <c r="K50" i="43"/>
  <c r="C51" i="43"/>
  <c r="AF11" i="96"/>
  <c r="AF13" i="96"/>
  <c r="S14" i="96" l="1"/>
  <c r="S21" i="96" s="1"/>
  <c r="Y34" i="43"/>
  <c r="Q31" i="96"/>
  <c r="Q47" i="96" s="1"/>
  <c r="P44" i="96"/>
  <c r="P47" i="96"/>
  <c r="R24" i="96"/>
  <c r="S16" i="96"/>
  <c r="S20" i="96"/>
  <c r="S22" i="96"/>
  <c r="R22" i="96"/>
  <c r="U50" i="43"/>
  <c r="O129" i="96"/>
  <c r="O50" i="96"/>
  <c r="V34" i="43"/>
  <c r="W34" i="43" s="1"/>
  <c r="AI9" i="96"/>
  <c r="AG37" i="96"/>
  <c r="M50" i="43"/>
  <c r="N50" i="43" s="1"/>
  <c r="L35" i="43"/>
  <c r="S17" i="96"/>
  <c r="S18" i="96" s="1"/>
  <c r="T50" i="43"/>
  <c r="AA50" i="43" s="1"/>
  <c r="X50" i="43"/>
  <c r="AG13" i="96"/>
  <c r="AG11" i="96"/>
  <c r="AG41" i="90"/>
  <c r="AH7" i="96"/>
  <c r="AH40" i="96" s="1"/>
  <c r="AG12" i="87"/>
  <c r="AG12" i="90" s="1"/>
  <c r="AG10" i="90"/>
  <c r="AG38" i="90" s="1"/>
  <c r="AH10" i="87"/>
  <c r="AH7" i="90"/>
  <c r="AH8" i="87"/>
  <c r="AH8" i="90" s="1"/>
  <c r="AG39" i="90"/>
  <c r="AG40" i="90" s="1"/>
  <c r="AH6" i="96"/>
  <c r="AH10" i="96" s="1"/>
  <c r="J52" i="43"/>
  <c r="AI9" i="87"/>
  <c r="AI9" i="90" s="1"/>
  <c r="H51" i="43"/>
  <c r="G51" i="43"/>
  <c r="I36" i="43" s="1"/>
  <c r="AI7" i="87"/>
  <c r="C52" i="43"/>
  <c r="K51" i="43"/>
  <c r="AG8" i="96"/>
  <c r="T14" i="96" l="1"/>
  <c r="T21" i="96" s="1"/>
  <c r="Y35" i="43"/>
  <c r="Q44" i="96"/>
  <c r="Q46" i="96" s="1"/>
  <c r="T22" i="96"/>
  <c r="Q48" i="96"/>
  <c r="Q49" i="96"/>
  <c r="R31" i="96"/>
  <c r="P48" i="96"/>
  <c r="P49" i="96"/>
  <c r="U51" i="43"/>
  <c r="S24" i="96"/>
  <c r="S31" i="96" s="1"/>
  <c r="P45" i="96"/>
  <c r="P46" i="96"/>
  <c r="V35" i="43"/>
  <c r="W35" i="43" s="1"/>
  <c r="AJ9" i="96"/>
  <c r="AH37" i="96"/>
  <c r="M51" i="43"/>
  <c r="N51" i="43" s="1"/>
  <c r="L36" i="43"/>
  <c r="T17" i="96"/>
  <c r="T18" i="96" s="1"/>
  <c r="T51" i="43"/>
  <c r="AA51" i="43" s="1"/>
  <c r="AI6" i="96"/>
  <c r="AI10" i="96" s="1"/>
  <c r="AH39" i="90"/>
  <c r="AH40" i="90" s="1"/>
  <c r="AH13" i="96"/>
  <c r="AH11" i="96"/>
  <c r="X51" i="43"/>
  <c r="AH41" i="90"/>
  <c r="AI7" i="96"/>
  <c r="AI40" i="96" s="1"/>
  <c r="G52" i="43"/>
  <c r="I37" i="43" s="1"/>
  <c r="H52" i="43"/>
  <c r="K52" i="43"/>
  <c r="AJ7" i="87"/>
  <c r="C53" i="43"/>
  <c r="AI8" i="87"/>
  <c r="AI8" i="90" s="1"/>
  <c r="AI7" i="90"/>
  <c r="AI10" i="87"/>
  <c r="AJ9" i="87"/>
  <c r="AJ9" i="90" s="1"/>
  <c r="J53" i="43"/>
  <c r="AH10" i="90"/>
  <c r="AH38" i="90" s="1"/>
  <c r="AH12" i="87"/>
  <c r="AH12" i="90" s="1"/>
  <c r="AH8" i="96"/>
  <c r="T20" i="96" l="1"/>
  <c r="T16" i="96"/>
  <c r="U14" i="96"/>
  <c r="U21" i="96" s="1"/>
  <c r="U22" i="96" s="1"/>
  <c r="Y36" i="43"/>
  <c r="Q45" i="96"/>
  <c r="Q50" i="96" s="1"/>
  <c r="S44" i="96"/>
  <c r="S45" i="96" s="1"/>
  <c r="S47" i="96"/>
  <c r="U16" i="96"/>
  <c r="P129" i="96"/>
  <c r="P50" i="96"/>
  <c r="T24" i="96"/>
  <c r="T31" i="96" s="1"/>
  <c r="U52" i="43"/>
  <c r="R44" i="96"/>
  <c r="R47" i="96"/>
  <c r="Q129" i="96"/>
  <c r="V36" i="43"/>
  <c r="W36" i="43" s="1"/>
  <c r="AK9" i="96"/>
  <c r="AI37" i="96"/>
  <c r="M52" i="43"/>
  <c r="N52" i="43" s="1"/>
  <c r="U17" i="96"/>
  <c r="U18" i="96" s="1"/>
  <c r="L37" i="43"/>
  <c r="T52" i="43"/>
  <c r="AA52" i="43" s="1"/>
  <c r="AJ6" i="96"/>
  <c r="AJ10" i="96" s="1"/>
  <c r="AI39" i="90"/>
  <c r="AI40" i="90" s="1"/>
  <c r="AJ7" i="90"/>
  <c r="AJ10" i="87"/>
  <c r="AJ8" i="87"/>
  <c r="AJ8" i="90" s="1"/>
  <c r="AI41" i="90"/>
  <c r="AJ7" i="96"/>
  <c r="AJ40" i="96" s="1"/>
  <c r="X52" i="43"/>
  <c r="J54" i="43"/>
  <c r="AK9" i="87"/>
  <c r="AK9" i="90" s="1"/>
  <c r="AI12" i="87"/>
  <c r="AI12" i="90" s="1"/>
  <c r="AI10" i="90"/>
  <c r="AI38" i="90" s="1"/>
  <c r="G53" i="43"/>
  <c r="I38" i="43" s="1"/>
  <c r="H53" i="43"/>
  <c r="K53" i="43"/>
  <c r="AK7" i="87"/>
  <c r="C54" i="43"/>
  <c r="AI8" i="96"/>
  <c r="AI11" i="96"/>
  <c r="AI13" i="96"/>
  <c r="U20" i="96" l="1"/>
  <c r="V14" i="96"/>
  <c r="V21" i="96" s="1"/>
  <c r="V24" i="96" s="1"/>
  <c r="V31" i="96" s="1"/>
  <c r="Y37" i="43"/>
  <c r="R48" i="96"/>
  <c r="R49" i="96"/>
  <c r="S49" i="96" s="1"/>
  <c r="T44" i="96"/>
  <c r="T47" i="96"/>
  <c r="T48" i="96" s="1"/>
  <c r="U53" i="43"/>
  <c r="S48" i="96"/>
  <c r="R45" i="96"/>
  <c r="R46" i="96"/>
  <c r="S46" i="96" s="1"/>
  <c r="U24" i="96"/>
  <c r="U31" i="96" s="1"/>
  <c r="V37" i="43"/>
  <c r="W37" i="43" s="1"/>
  <c r="AL9" i="96"/>
  <c r="AJ37" i="96"/>
  <c r="M53" i="43"/>
  <c r="N53" i="43" s="1"/>
  <c r="V17" i="96"/>
  <c r="V18" i="96" s="1"/>
  <c r="L38" i="43"/>
  <c r="T53" i="43"/>
  <c r="AA53" i="43" s="1"/>
  <c r="X53" i="43"/>
  <c r="AJ10" i="90"/>
  <c r="AJ38" i="90" s="1"/>
  <c r="AJ12" i="87"/>
  <c r="AJ12" i="90" s="1"/>
  <c r="AJ39" i="90"/>
  <c r="AJ40" i="90" s="1"/>
  <c r="AK6" i="96"/>
  <c r="AK10" i="96" s="1"/>
  <c r="G54" i="43"/>
  <c r="I39" i="43" s="1"/>
  <c r="H54" i="43"/>
  <c r="K54" i="43"/>
  <c r="AL7" i="87"/>
  <c r="C55" i="43"/>
  <c r="J55" i="43"/>
  <c r="AL9" i="87"/>
  <c r="AL9" i="90" s="1"/>
  <c r="AJ8" i="96"/>
  <c r="AK7" i="90"/>
  <c r="AK8" i="87"/>
  <c r="AK8" i="90" s="1"/>
  <c r="AK10" i="87"/>
  <c r="AK7" i="96"/>
  <c r="AK40" i="96" s="1"/>
  <c r="AJ41" i="90"/>
  <c r="AJ11" i="96"/>
  <c r="AJ13" i="96"/>
  <c r="V16" i="96" l="1"/>
  <c r="V20" i="96"/>
  <c r="W14" i="96"/>
  <c r="W21" i="96" s="1"/>
  <c r="W24" i="96" s="1"/>
  <c r="W31" i="96" s="1"/>
  <c r="Y38" i="43"/>
  <c r="T49" i="96"/>
  <c r="U44" i="96"/>
  <c r="U47" i="96"/>
  <c r="V47" i="96"/>
  <c r="V44" i="96"/>
  <c r="T45" i="96"/>
  <c r="T50" i="96" s="1"/>
  <c r="T46" i="96"/>
  <c r="U54" i="43"/>
  <c r="V22" i="96"/>
  <c r="T129" i="96"/>
  <c r="S129" i="96"/>
  <c r="S50" i="96"/>
  <c r="R129" i="96"/>
  <c r="R50" i="96"/>
  <c r="R51" i="96" s="1"/>
  <c r="V38" i="43"/>
  <c r="W38" i="43" s="1"/>
  <c r="AM9" i="96"/>
  <c r="AK37" i="96"/>
  <c r="M54" i="43"/>
  <c r="N54" i="43" s="1"/>
  <c r="W17" i="96"/>
  <c r="W18" i="96" s="1"/>
  <c r="L39" i="43"/>
  <c r="T54" i="43"/>
  <c r="AA54" i="43" s="1"/>
  <c r="AK39" i="90"/>
  <c r="AK40" i="90" s="1"/>
  <c r="AL6" i="96"/>
  <c r="AL10" i="96" s="1"/>
  <c r="AK8" i="96"/>
  <c r="AK10" i="90"/>
  <c r="AK38" i="90" s="1"/>
  <c r="AK12" i="87"/>
  <c r="AK12" i="90" s="1"/>
  <c r="X54" i="43"/>
  <c r="AL7" i="96"/>
  <c r="AL40" i="96" s="1"/>
  <c r="AK41" i="90"/>
  <c r="AM9" i="87"/>
  <c r="AM9" i="90" s="1"/>
  <c r="J56" i="43"/>
  <c r="G55" i="43"/>
  <c r="I40" i="43" s="1"/>
  <c r="AM7" i="87"/>
  <c r="H55" i="43"/>
  <c r="K55" i="43"/>
  <c r="C56" i="43"/>
  <c r="AL7" i="90"/>
  <c r="AL8" i="87"/>
  <c r="AL8" i="90" s="1"/>
  <c r="AL10" i="87"/>
  <c r="AK13" i="96"/>
  <c r="AK11" i="96"/>
  <c r="AA54" i="96" l="1"/>
  <c r="AM54" i="96"/>
  <c r="AY54" i="96"/>
  <c r="AB54" i="96"/>
  <c r="AN54" i="96"/>
  <c r="AZ54" i="96"/>
  <c r="AC54" i="96"/>
  <c r="AO54" i="96"/>
  <c r="AD54" i="96"/>
  <c r="AP54" i="96"/>
  <c r="AE54" i="96"/>
  <c r="AQ54" i="96"/>
  <c r="AX54" i="96"/>
  <c r="AF54" i="96"/>
  <c r="AR54" i="96"/>
  <c r="AG54" i="96"/>
  <c r="AS54" i="96"/>
  <c r="AH54" i="96"/>
  <c r="AT54" i="96"/>
  <c r="Z54" i="96"/>
  <c r="W54" i="96"/>
  <c r="AI54" i="96"/>
  <c r="AU54" i="96"/>
  <c r="AL54" i="96"/>
  <c r="X54" i="96"/>
  <c r="AJ54" i="96"/>
  <c r="AV54" i="96"/>
  <c r="Y54" i="96"/>
  <c r="AK54" i="96"/>
  <c r="AW54" i="96"/>
  <c r="W16" i="96"/>
  <c r="W20" i="96"/>
  <c r="X14" i="96"/>
  <c r="X21" i="96" s="1"/>
  <c r="X24" i="96" s="1"/>
  <c r="X31" i="96" s="1"/>
  <c r="Y39" i="43"/>
  <c r="W22" i="96"/>
  <c r="U55" i="43"/>
  <c r="U48" i="96"/>
  <c r="V45" i="96"/>
  <c r="V46" i="96"/>
  <c r="V48" i="96"/>
  <c r="W44" i="96"/>
  <c r="W47" i="96"/>
  <c r="U45" i="96"/>
  <c r="U46" i="96"/>
  <c r="V39" i="43"/>
  <c r="W39" i="43" s="1"/>
  <c r="AN9" i="96"/>
  <c r="AL37" i="96"/>
  <c r="M55" i="43"/>
  <c r="N55" i="43" s="1"/>
  <c r="L40" i="43"/>
  <c r="X17" i="96"/>
  <c r="X18" i="96" s="1"/>
  <c r="T55" i="43"/>
  <c r="AA55" i="43" s="1"/>
  <c r="AL41" i="90"/>
  <c r="AM7" i="96"/>
  <c r="AM40" i="96" s="1"/>
  <c r="X55" i="43"/>
  <c r="AN9" i="87"/>
  <c r="AN9" i="90" s="1"/>
  <c r="J57" i="43"/>
  <c r="AL12" i="87"/>
  <c r="AL12" i="90" s="1"/>
  <c r="AL10" i="90"/>
  <c r="AL38" i="90" s="1"/>
  <c r="AL11" i="96"/>
  <c r="AL13" i="96"/>
  <c r="AM8" i="87"/>
  <c r="AM8" i="90" s="1"/>
  <c r="AM7" i="90"/>
  <c r="AM10" i="87"/>
  <c r="AL8" i="96"/>
  <c r="AL39" i="90"/>
  <c r="AL40" i="90" s="1"/>
  <c r="AM6" i="96"/>
  <c r="AM10" i="96" s="1"/>
  <c r="H56" i="43"/>
  <c r="G56" i="43"/>
  <c r="AN7" i="87"/>
  <c r="K56" i="43"/>
  <c r="C57" i="43"/>
  <c r="AB55" i="96" l="1"/>
  <c r="AN55" i="96"/>
  <c r="AZ55" i="96"/>
  <c r="AC55" i="96"/>
  <c r="AO55" i="96"/>
  <c r="BA55" i="96"/>
  <c r="AD55" i="96"/>
  <c r="AP55" i="96"/>
  <c r="AE55" i="96"/>
  <c r="AQ55" i="96"/>
  <c r="AF55" i="96"/>
  <c r="AR55" i="96"/>
  <c r="AG55" i="96"/>
  <c r="AS55" i="96"/>
  <c r="AH55" i="96"/>
  <c r="AT55" i="96"/>
  <c r="AI55" i="96"/>
  <c r="AU55" i="96"/>
  <c r="X55" i="96"/>
  <c r="AJ55" i="96"/>
  <c r="AV55" i="96"/>
  <c r="Y55" i="96"/>
  <c r="AK55" i="96"/>
  <c r="AW55" i="96"/>
  <c r="Z55" i="96"/>
  <c r="AL55" i="96"/>
  <c r="AX55" i="96"/>
  <c r="AA55" i="96"/>
  <c r="AM55" i="96"/>
  <c r="AY55" i="96"/>
  <c r="X16" i="96"/>
  <c r="X20" i="96"/>
  <c r="Y14" i="96"/>
  <c r="Y21" i="96" s="1"/>
  <c r="Y24" i="96" s="1"/>
  <c r="Y31" i="96" s="1"/>
  <c r="Y40" i="43"/>
  <c r="X22" i="96"/>
  <c r="W48" i="96"/>
  <c r="W45" i="96"/>
  <c r="W46" i="96"/>
  <c r="U129" i="96"/>
  <c r="U50" i="96"/>
  <c r="H1" i="43"/>
  <c r="U56" i="43"/>
  <c r="X47" i="96"/>
  <c r="X44" i="96"/>
  <c r="V136" i="96"/>
  <c r="V129" i="96"/>
  <c r="V50" i="96"/>
  <c r="U49" i="96"/>
  <c r="V49" i="96" s="1"/>
  <c r="G1" i="43"/>
  <c r="I41" i="43"/>
  <c r="V40" i="43"/>
  <c r="W40" i="43" s="1"/>
  <c r="AO9" i="96"/>
  <c r="AM37" i="96"/>
  <c r="M56" i="43"/>
  <c r="N56" i="43" s="1"/>
  <c r="L41" i="43"/>
  <c r="Y17" i="96"/>
  <c r="Y18" i="96" s="1"/>
  <c r="T56" i="43"/>
  <c r="AA56" i="43" s="1"/>
  <c r="AO7" i="87"/>
  <c r="G57" i="43"/>
  <c r="I42" i="43" s="1"/>
  <c r="H57" i="43"/>
  <c r="K57" i="43"/>
  <c r="C58" i="43"/>
  <c r="AM8" i="96"/>
  <c r="X56" i="43"/>
  <c r="AM13" i="96"/>
  <c r="AM11" i="96"/>
  <c r="AN10" i="87"/>
  <c r="AN8" i="87"/>
  <c r="AN8" i="90" s="1"/>
  <c r="AN7" i="90"/>
  <c r="AM10" i="90"/>
  <c r="AM38" i="90" s="1"/>
  <c r="AM12" i="87"/>
  <c r="AM12" i="90" s="1"/>
  <c r="AN6" i="96"/>
  <c r="AN10" i="96" s="1"/>
  <c r="AM39" i="90"/>
  <c r="AM40" i="90" s="1"/>
  <c r="AN7" i="96"/>
  <c r="AN40" i="96" s="1"/>
  <c r="AM41" i="90"/>
  <c r="J58" i="43"/>
  <c r="AO9" i="87"/>
  <c r="AO9" i="90" s="1"/>
  <c r="AJ56" i="96" l="1"/>
  <c r="AV56" i="96"/>
  <c r="Y56" i="96"/>
  <c r="AK56" i="96"/>
  <c r="AW56" i="96"/>
  <c r="Z56" i="96"/>
  <c r="AL56" i="96"/>
  <c r="AX56" i="96"/>
  <c r="AA56" i="96"/>
  <c r="AM56" i="96"/>
  <c r="AY56" i="96"/>
  <c r="AB56" i="96"/>
  <c r="AN56" i="96"/>
  <c r="AZ56" i="96"/>
  <c r="AC56" i="96"/>
  <c r="AO56" i="96"/>
  <c r="BA56" i="96"/>
  <c r="AD56" i="96"/>
  <c r="AP56" i="96"/>
  <c r="BB56" i="96"/>
  <c r="AE56" i="96"/>
  <c r="AQ56" i="96"/>
  <c r="AF56" i="96"/>
  <c r="AR56" i="96"/>
  <c r="AG56" i="96"/>
  <c r="AS56" i="96"/>
  <c r="AH56" i="96"/>
  <c r="AT56" i="96"/>
  <c r="AU56" i="96"/>
  <c r="AI56" i="96"/>
  <c r="Y16" i="96"/>
  <c r="Y20" i="96"/>
  <c r="Z14" i="96"/>
  <c r="Z21" i="96" s="1"/>
  <c r="Z24" i="96" s="1"/>
  <c r="Z31" i="96" s="1"/>
  <c r="Y41" i="43"/>
  <c r="I1" i="43"/>
  <c r="J1" i="43" s="1"/>
  <c r="W49" i="96"/>
  <c r="X48" i="96"/>
  <c r="Y22" i="96"/>
  <c r="U57" i="43"/>
  <c r="Y44" i="96"/>
  <c r="Y47" i="96"/>
  <c r="X45" i="96"/>
  <c r="W129" i="96"/>
  <c r="W50" i="96"/>
  <c r="W136" i="96"/>
  <c r="V41" i="43"/>
  <c r="W41" i="43" s="1"/>
  <c r="AP9" i="96"/>
  <c r="AN37" i="96"/>
  <c r="M57" i="43"/>
  <c r="N57" i="43" s="1"/>
  <c r="Z17" i="96"/>
  <c r="Z18" i="96" s="1"/>
  <c r="L42" i="43"/>
  <c r="T57" i="43"/>
  <c r="AA57" i="43" s="1"/>
  <c r="AN11" i="96"/>
  <c r="AN13" i="96"/>
  <c r="AO7" i="96"/>
  <c r="AO40" i="96" s="1"/>
  <c r="AN41" i="90"/>
  <c r="X57" i="43"/>
  <c r="AN8" i="96"/>
  <c r="AN12" i="87"/>
  <c r="AN12" i="90" s="1"/>
  <c r="AN10" i="90"/>
  <c r="AN38" i="90" s="1"/>
  <c r="AP9" i="87"/>
  <c r="AP9" i="90" s="1"/>
  <c r="J59" i="43"/>
  <c r="AO6" i="96"/>
  <c r="AO10" i="96" s="1"/>
  <c r="AN39" i="90"/>
  <c r="AN40" i="90" s="1"/>
  <c r="G58" i="43"/>
  <c r="I43" i="43" s="1"/>
  <c r="AP7" i="87"/>
  <c r="K58" i="43"/>
  <c r="H58" i="43"/>
  <c r="C59" i="43"/>
  <c r="AO8" i="87"/>
  <c r="AO8" i="90" s="1"/>
  <c r="AO10" i="87"/>
  <c r="AO7" i="90"/>
  <c r="AF57" i="96" l="1"/>
  <c r="AR57" i="96"/>
  <c r="AG57" i="96"/>
  <c r="AS57" i="96"/>
  <c r="AH57" i="96"/>
  <c r="AT57" i="96"/>
  <c r="AI57" i="96"/>
  <c r="AU57" i="96"/>
  <c r="AJ57" i="96"/>
  <c r="AV57" i="96"/>
  <c r="AK57" i="96"/>
  <c r="AW57" i="96"/>
  <c r="Z57" i="96"/>
  <c r="AL57" i="96"/>
  <c r="AX57" i="96"/>
  <c r="AA57" i="96"/>
  <c r="AM57" i="96"/>
  <c r="AY57" i="96"/>
  <c r="AB57" i="96"/>
  <c r="AN57" i="96"/>
  <c r="AZ57" i="96"/>
  <c r="AC57" i="96"/>
  <c r="AO57" i="96"/>
  <c r="BA57" i="96"/>
  <c r="AD57" i="96"/>
  <c r="AP57" i="96"/>
  <c r="BB57" i="96"/>
  <c r="AQ57" i="96"/>
  <c r="BC57" i="96"/>
  <c r="AE57" i="96"/>
  <c r="Z20" i="96"/>
  <c r="Z16" i="96"/>
  <c r="AA14" i="96"/>
  <c r="AA21" i="96" s="1"/>
  <c r="AA24" i="96" s="1"/>
  <c r="AA31" i="96" s="1"/>
  <c r="Y42" i="43"/>
  <c r="X46" i="96"/>
  <c r="X49" i="96"/>
  <c r="Z44" i="96"/>
  <c r="Z47" i="96"/>
  <c r="Y48" i="96"/>
  <c r="Z22" i="96"/>
  <c r="U58" i="43"/>
  <c r="Y45" i="96"/>
  <c r="Y46" i="96"/>
  <c r="X129" i="96"/>
  <c r="X50" i="96"/>
  <c r="X136" i="96"/>
  <c r="V42" i="43"/>
  <c r="W42" i="43" s="1"/>
  <c r="AQ9" i="96"/>
  <c r="F30" i="42"/>
  <c r="AO37" i="96"/>
  <c r="M58" i="43"/>
  <c r="N58" i="43" s="1"/>
  <c r="L43" i="43"/>
  <c r="AA17" i="96"/>
  <c r="AA18" i="96" s="1"/>
  <c r="T58" i="43"/>
  <c r="AA58" i="43" s="1"/>
  <c r="AO11" i="96"/>
  <c r="AO13" i="96"/>
  <c r="AP8" i="87"/>
  <c r="AP8" i="90" s="1"/>
  <c r="AP10" i="87"/>
  <c r="AP7" i="90"/>
  <c r="AQ9" i="87"/>
  <c r="AQ9" i="90" s="1"/>
  <c r="J60" i="43"/>
  <c r="H59" i="43"/>
  <c r="AQ7" i="87"/>
  <c r="K59" i="43"/>
  <c r="C60" i="43"/>
  <c r="G59" i="43"/>
  <c r="AO10" i="90"/>
  <c r="AO38" i="90" s="1"/>
  <c r="AO12" i="87"/>
  <c r="AO12" i="90" s="1"/>
  <c r="X58" i="43"/>
  <c r="AO8" i="96"/>
  <c r="AP7" i="96"/>
  <c r="AP40" i="96" s="1"/>
  <c r="AO41" i="90"/>
  <c r="AP6" i="96"/>
  <c r="AP10" i="96" s="1"/>
  <c r="AO39" i="90"/>
  <c r="AO40" i="90" s="1"/>
  <c r="AB58" i="96" l="1"/>
  <c r="AN58" i="96"/>
  <c r="AZ58" i="96"/>
  <c r="AC58" i="96"/>
  <c r="AO58" i="96"/>
  <c r="BA58" i="96"/>
  <c r="AD58" i="96"/>
  <c r="AP58" i="96"/>
  <c r="BB58" i="96"/>
  <c r="AE58" i="96"/>
  <c r="AQ58" i="96"/>
  <c r="BC58" i="96"/>
  <c r="AF58" i="96"/>
  <c r="AR58" i="96"/>
  <c r="BD58" i="96"/>
  <c r="AG58" i="96"/>
  <c r="AS58" i="96"/>
  <c r="AH58" i="96"/>
  <c r="AT58" i="96"/>
  <c r="AI58" i="96"/>
  <c r="AU58" i="96"/>
  <c r="AJ58" i="96"/>
  <c r="AV58" i="96"/>
  <c r="AK58" i="96"/>
  <c r="AW58" i="96"/>
  <c r="AL58" i="96"/>
  <c r="AX58" i="96"/>
  <c r="AA58" i="96"/>
  <c r="AM58" i="96"/>
  <c r="AY58" i="96"/>
  <c r="AA20" i="96"/>
  <c r="AA16" i="96"/>
  <c r="AB14" i="96"/>
  <c r="AB21" i="96" s="1"/>
  <c r="AB24" i="96" s="1"/>
  <c r="AB31" i="96" s="1"/>
  <c r="Y43" i="43"/>
  <c r="Y49" i="96"/>
  <c r="AA47" i="96"/>
  <c r="AA44" i="96"/>
  <c r="AA22" i="96"/>
  <c r="U59" i="43"/>
  <c r="Y129" i="96"/>
  <c r="Y50" i="96"/>
  <c r="Y136" i="96"/>
  <c r="Z48" i="96"/>
  <c r="Z45" i="96"/>
  <c r="Z46" i="96"/>
  <c r="M59" i="43"/>
  <c r="N59" i="43" s="1"/>
  <c r="I44" i="43"/>
  <c r="V43" i="43"/>
  <c r="W43" i="43" s="1"/>
  <c r="AR9" i="96"/>
  <c r="AP37" i="96"/>
  <c r="L44" i="43"/>
  <c r="AB17" i="96"/>
  <c r="AB18" i="96" s="1"/>
  <c r="T59" i="43"/>
  <c r="AA59" i="43" s="1"/>
  <c r="AP12" i="87"/>
  <c r="AP12" i="90" s="1"/>
  <c r="AP10" i="90"/>
  <c r="AP38" i="90" s="1"/>
  <c r="AP13" i="96"/>
  <c r="AP11" i="96"/>
  <c r="H60" i="43"/>
  <c r="G60" i="43"/>
  <c r="I45" i="43" s="1"/>
  <c r="AR7" i="87"/>
  <c r="K60" i="43"/>
  <c r="C61" i="43"/>
  <c r="AR9" i="87"/>
  <c r="AR9" i="90" s="1"/>
  <c r="J61" i="43"/>
  <c r="AP41" i="90"/>
  <c r="AQ7" i="96"/>
  <c r="AQ40" i="96" s="1"/>
  <c r="X59" i="43"/>
  <c r="AP8" i="96"/>
  <c r="AQ8" i="87"/>
  <c r="AQ8" i="90" s="1"/>
  <c r="AQ10" i="87"/>
  <c r="AQ7" i="90"/>
  <c r="AQ6" i="96"/>
  <c r="AQ10" i="96" s="1"/>
  <c r="AP39" i="90"/>
  <c r="AP40" i="90" s="1"/>
  <c r="AJ59" i="96" l="1"/>
  <c r="AV59" i="96"/>
  <c r="AK59" i="96"/>
  <c r="AW59" i="96"/>
  <c r="AL59" i="96"/>
  <c r="AX59" i="96"/>
  <c r="AM59" i="96"/>
  <c r="AY59" i="96"/>
  <c r="AB59" i="96"/>
  <c r="AN59" i="96"/>
  <c r="AZ59" i="96"/>
  <c r="AC59" i="96"/>
  <c r="AO59" i="96"/>
  <c r="BA59" i="96"/>
  <c r="AD59" i="96"/>
  <c r="AP59" i="96"/>
  <c r="BB59" i="96"/>
  <c r="AE59" i="96"/>
  <c r="AQ59" i="96"/>
  <c r="BC59" i="96"/>
  <c r="AF59" i="96"/>
  <c r="AR59" i="96"/>
  <c r="BD59" i="96"/>
  <c r="AG59" i="96"/>
  <c r="AS59" i="96"/>
  <c r="BE59" i="96"/>
  <c r="AH59" i="96"/>
  <c r="AT59" i="96"/>
  <c r="AI59" i="96"/>
  <c r="AU59" i="96"/>
  <c r="AB20" i="96"/>
  <c r="AB16" i="96"/>
  <c r="AC14" i="96"/>
  <c r="AC21" i="96" s="1"/>
  <c r="AC24" i="96" s="1"/>
  <c r="AC31" i="96" s="1"/>
  <c r="Y44" i="43"/>
  <c r="Z49" i="96"/>
  <c r="AA45" i="96"/>
  <c r="AA46" i="96"/>
  <c r="AC20" i="96"/>
  <c r="AA48" i="96"/>
  <c r="U60" i="43"/>
  <c r="AB47" i="96"/>
  <c r="AB44" i="96"/>
  <c r="AB22" i="96"/>
  <c r="Z129" i="96"/>
  <c r="Z50" i="96"/>
  <c r="Z136" i="96"/>
  <c r="V44" i="43"/>
  <c r="W44" i="43" s="1"/>
  <c r="AS9" i="96"/>
  <c r="AQ37" i="96"/>
  <c r="M60" i="43"/>
  <c r="N60" i="43" s="1"/>
  <c r="L45" i="43"/>
  <c r="AC17" i="96"/>
  <c r="AC18" i="96" s="1"/>
  <c r="T60" i="43"/>
  <c r="AA60" i="43" s="1"/>
  <c r="AQ13" i="96"/>
  <c r="AQ11" i="96"/>
  <c r="AQ8" i="96"/>
  <c r="G61" i="43"/>
  <c r="I46" i="43" s="1"/>
  <c r="K61" i="43"/>
  <c r="AS7" i="87"/>
  <c r="H61" i="43"/>
  <c r="C62" i="43"/>
  <c r="AR6" i="96"/>
  <c r="AR10" i="96" s="1"/>
  <c r="AQ39" i="90"/>
  <c r="AQ40" i="90" s="1"/>
  <c r="X60" i="43"/>
  <c r="AQ12" i="87"/>
  <c r="AQ12" i="90" s="1"/>
  <c r="AQ10" i="90"/>
  <c r="AQ38" i="90" s="1"/>
  <c r="AS9" i="87"/>
  <c r="AS9" i="90" s="1"/>
  <c r="J62" i="43"/>
  <c r="AR8" i="87"/>
  <c r="AR8" i="90" s="1"/>
  <c r="AR10" i="87"/>
  <c r="AR7" i="90"/>
  <c r="AQ41" i="90"/>
  <c r="AR7" i="96"/>
  <c r="AR40" i="96" s="1"/>
  <c r="AF60" i="96" l="1"/>
  <c r="AR60" i="96"/>
  <c r="BD60" i="96"/>
  <c r="AG60" i="96"/>
  <c r="AS60" i="96"/>
  <c r="BE60" i="96"/>
  <c r="AH60" i="96"/>
  <c r="AT60" i="96"/>
  <c r="BF60" i="96"/>
  <c r="AI60" i="96"/>
  <c r="AU60" i="96"/>
  <c r="AJ60" i="96"/>
  <c r="AV60" i="96"/>
  <c r="AK60" i="96"/>
  <c r="AW60" i="96"/>
  <c r="AL60" i="96"/>
  <c r="AX60" i="96"/>
  <c r="AM60" i="96"/>
  <c r="AY60" i="96"/>
  <c r="AN60" i="96"/>
  <c r="AZ60" i="96"/>
  <c r="AC60" i="96"/>
  <c r="AO60" i="96"/>
  <c r="BA60" i="96"/>
  <c r="AD60" i="96"/>
  <c r="AP60" i="96"/>
  <c r="BB60" i="96"/>
  <c r="AE60" i="96"/>
  <c r="AQ60" i="96"/>
  <c r="BC60" i="96"/>
  <c r="AC16" i="96"/>
  <c r="AD14" i="96"/>
  <c r="AD21" i="96" s="1"/>
  <c r="AD24" i="96" s="1"/>
  <c r="AD31" i="96" s="1"/>
  <c r="Y45" i="43"/>
  <c r="AC22" i="96"/>
  <c r="U61" i="43"/>
  <c r="AB45" i="96"/>
  <c r="AB48" i="96"/>
  <c r="AA129" i="96"/>
  <c r="AA50" i="96"/>
  <c r="AA136" i="96"/>
  <c r="AC47" i="96"/>
  <c r="AC44" i="96"/>
  <c r="AA49" i="96"/>
  <c r="V45" i="43"/>
  <c r="W45" i="43" s="1"/>
  <c r="AT9" i="96"/>
  <c r="AR37" i="96"/>
  <c r="M61" i="43"/>
  <c r="N61" i="43" s="1"/>
  <c r="AD17" i="96"/>
  <c r="AD18" i="96" s="1"/>
  <c r="L46" i="43"/>
  <c r="T61" i="43"/>
  <c r="AA61" i="43" s="1"/>
  <c r="AR8" i="96"/>
  <c r="AR12" i="87"/>
  <c r="AR12" i="90" s="1"/>
  <c r="AR10" i="90"/>
  <c r="AR38" i="90" s="1"/>
  <c r="G62" i="43"/>
  <c r="AT7" i="87"/>
  <c r="H62" i="43"/>
  <c r="K62" i="43"/>
  <c r="C63" i="43"/>
  <c r="AT9" i="87"/>
  <c r="AT9" i="90" s="1"/>
  <c r="J63" i="43"/>
  <c r="AS7" i="90"/>
  <c r="AS10" i="87"/>
  <c r="AS8" i="87"/>
  <c r="AS8" i="90" s="1"/>
  <c r="AS6" i="96"/>
  <c r="AS10" i="96" s="1"/>
  <c r="AR39" i="90"/>
  <c r="AR40" i="90" s="1"/>
  <c r="AR11" i="96"/>
  <c r="AR13" i="96"/>
  <c r="X61" i="43"/>
  <c r="AR41" i="90"/>
  <c r="AS7" i="96"/>
  <c r="AS40" i="96" s="1"/>
  <c r="AN61" i="96" l="1"/>
  <c r="AZ61" i="96"/>
  <c r="AO61" i="96"/>
  <c r="BA61" i="96"/>
  <c r="AD61" i="96"/>
  <c r="AP61" i="96"/>
  <c r="BB61" i="96"/>
  <c r="AE61" i="96"/>
  <c r="AQ61" i="96"/>
  <c r="BC61" i="96"/>
  <c r="AF61" i="96"/>
  <c r="AR61" i="96"/>
  <c r="BD61" i="96"/>
  <c r="AG61" i="96"/>
  <c r="AS61" i="96"/>
  <c r="BE61" i="96"/>
  <c r="AH61" i="96"/>
  <c r="AT61" i="96"/>
  <c r="BF61" i="96"/>
  <c r="AI61" i="96"/>
  <c r="AU61" i="96"/>
  <c r="BG61" i="96"/>
  <c r="AJ61" i="96"/>
  <c r="AV61" i="96"/>
  <c r="AK61" i="96"/>
  <c r="AW61" i="96"/>
  <c r="AL61" i="96"/>
  <c r="AX61" i="96"/>
  <c r="AM61" i="96"/>
  <c r="AY61" i="96"/>
  <c r="AD16" i="96"/>
  <c r="AD20" i="96"/>
  <c r="AE14" i="96"/>
  <c r="AE21" i="96" s="1"/>
  <c r="AE24" i="96" s="1"/>
  <c r="AE31" i="96" s="1"/>
  <c r="Y46" i="43"/>
  <c r="AB46" i="96"/>
  <c r="AC48" i="96"/>
  <c r="AE16" i="96"/>
  <c r="AE20" i="96"/>
  <c r="AD47" i="96"/>
  <c r="AD44" i="96"/>
  <c r="AB129" i="96"/>
  <c r="AB50" i="96"/>
  <c r="AB136" i="96"/>
  <c r="U62" i="43"/>
  <c r="AC45" i="96"/>
  <c r="AC46" i="96"/>
  <c r="AB49" i="96"/>
  <c r="AD22" i="96"/>
  <c r="V46" i="43"/>
  <c r="W46" i="43" s="1"/>
  <c r="M62" i="43"/>
  <c r="N62" i="43" s="1"/>
  <c r="I47" i="43"/>
  <c r="AU9" i="96"/>
  <c r="AS37" i="96"/>
  <c r="AE17" i="96"/>
  <c r="AE18" i="96" s="1"/>
  <c r="L47" i="43"/>
  <c r="T62" i="43"/>
  <c r="AA62" i="43" s="1"/>
  <c r="AS8" i="96"/>
  <c r="AS10" i="90"/>
  <c r="AS38" i="90" s="1"/>
  <c r="AS12" i="87"/>
  <c r="AS12" i="90" s="1"/>
  <c r="AU9" i="87"/>
  <c r="AU9" i="90" s="1"/>
  <c r="J64" i="43"/>
  <c r="X62" i="43"/>
  <c r="AS11" i="96"/>
  <c r="AS13" i="96"/>
  <c r="AS39" i="90"/>
  <c r="AS40" i="90" s="1"/>
  <c r="AT6" i="96"/>
  <c r="AT10" i="96" s="1"/>
  <c r="AT7" i="90"/>
  <c r="AT8" i="87"/>
  <c r="AT8" i="90" s="1"/>
  <c r="AT10" i="87"/>
  <c r="AS41" i="90"/>
  <c r="AT7" i="96"/>
  <c r="AT40" i="96" s="1"/>
  <c r="G63" i="43"/>
  <c r="I48" i="43" s="1"/>
  <c r="AU7" i="87"/>
  <c r="H63" i="43"/>
  <c r="K63" i="43"/>
  <c r="C64" i="43"/>
  <c r="AJ62" i="96" l="1"/>
  <c r="AV62" i="96"/>
  <c r="BH62" i="96"/>
  <c r="AK62" i="96"/>
  <c r="AW62" i="96"/>
  <c r="AL62" i="96"/>
  <c r="AX62" i="96"/>
  <c r="AM62" i="96"/>
  <c r="AY62" i="96"/>
  <c r="AN62" i="96"/>
  <c r="AZ62" i="96"/>
  <c r="AO62" i="96"/>
  <c r="BA62" i="96"/>
  <c r="AP62" i="96"/>
  <c r="BB62" i="96"/>
  <c r="AE62" i="96"/>
  <c r="AQ62" i="96"/>
  <c r="BC62" i="96"/>
  <c r="AF62" i="96"/>
  <c r="AR62" i="96"/>
  <c r="BD62" i="96"/>
  <c r="AG62" i="96"/>
  <c r="AS62" i="96"/>
  <c r="BE62" i="96"/>
  <c r="AH62" i="96"/>
  <c r="AT62" i="96"/>
  <c r="BF62" i="96"/>
  <c r="AI62" i="96"/>
  <c r="AU62" i="96"/>
  <c r="BG62" i="96"/>
  <c r="AF14" i="96"/>
  <c r="AF21" i="96" s="1"/>
  <c r="AF24" i="96" s="1"/>
  <c r="AF31" i="96" s="1"/>
  <c r="Y47" i="43"/>
  <c r="AE22" i="96"/>
  <c r="AC49" i="96"/>
  <c r="AF16" i="96"/>
  <c r="AE47" i="96"/>
  <c r="AE44" i="96"/>
  <c r="U63" i="43"/>
  <c r="AD45" i="96"/>
  <c r="AD46" i="96"/>
  <c r="AD48" i="96"/>
  <c r="AC129" i="96"/>
  <c r="AC50" i="96"/>
  <c r="AC136" i="96"/>
  <c r="V47" i="43"/>
  <c r="W47" i="43" s="1"/>
  <c r="AV9" i="96"/>
  <c r="M63" i="43"/>
  <c r="N63" i="43" s="1"/>
  <c r="AT37" i="96"/>
  <c r="AF17" i="96"/>
  <c r="AF18" i="96" s="1"/>
  <c r="L48" i="43"/>
  <c r="T63" i="43"/>
  <c r="AA63" i="43" s="1"/>
  <c r="AT41" i="90"/>
  <c r="AU7" i="96"/>
  <c r="AU40" i="96" s="1"/>
  <c r="AU8" i="87"/>
  <c r="AU8" i="90" s="1"/>
  <c r="AU7" i="90"/>
  <c r="AU10" i="87"/>
  <c r="AT8" i="96"/>
  <c r="AT39" i="90"/>
  <c r="AT40" i="90" s="1"/>
  <c r="AU6" i="96"/>
  <c r="AU10" i="96" s="1"/>
  <c r="G64" i="43"/>
  <c r="I49" i="43" s="1"/>
  <c r="K64" i="43"/>
  <c r="H64" i="43"/>
  <c r="AV7" i="87"/>
  <c r="C65" i="43"/>
  <c r="AV9" i="87"/>
  <c r="AV9" i="90" s="1"/>
  <c r="J65" i="43"/>
  <c r="X63" i="43"/>
  <c r="AT10" i="90"/>
  <c r="AT38" i="90" s="1"/>
  <c r="AT12" i="87"/>
  <c r="AT12" i="90" s="1"/>
  <c r="AT11" i="96"/>
  <c r="AT13" i="96"/>
  <c r="AF63" i="96" l="1"/>
  <c r="AR63" i="96"/>
  <c r="BD63" i="96"/>
  <c r="AG63" i="96"/>
  <c r="AS63" i="96"/>
  <c r="BE63" i="96"/>
  <c r="AH63" i="96"/>
  <c r="AT63" i="96"/>
  <c r="BF63" i="96"/>
  <c r="AI63" i="96"/>
  <c r="AU63" i="96"/>
  <c r="BG63" i="96"/>
  <c r="AJ63" i="96"/>
  <c r="AV63" i="96"/>
  <c r="BH63" i="96"/>
  <c r="AK63" i="96"/>
  <c r="AW63" i="96"/>
  <c r="BI63" i="96"/>
  <c r="AL63" i="96"/>
  <c r="AX63" i="96"/>
  <c r="AM63" i="96"/>
  <c r="AY63" i="96"/>
  <c r="AN63" i="96"/>
  <c r="AZ63" i="96"/>
  <c r="AO63" i="96"/>
  <c r="BA63" i="96"/>
  <c r="AP63" i="96"/>
  <c r="BB63" i="96"/>
  <c r="AQ63" i="96"/>
  <c r="BC63" i="96"/>
  <c r="AF20" i="96"/>
  <c r="AG14" i="96"/>
  <c r="AG21" i="96" s="1"/>
  <c r="AG24" i="96" s="1"/>
  <c r="AG31" i="96" s="1"/>
  <c r="Y48" i="43"/>
  <c r="AD50" i="96"/>
  <c r="AD129" i="96"/>
  <c r="AD136" i="96"/>
  <c r="U64" i="43"/>
  <c r="AE48" i="96"/>
  <c r="AF44" i="96"/>
  <c r="AF47" i="96"/>
  <c r="AF22" i="96"/>
  <c r="AD49" i="96"/>
  <c r="AE45" i="96"/>
  <c r="AE46" i="96"/>
  <c r="V48" i="43"/>
  <c r="W48" i="43" s="1"/>
  <c r="AW9" i="96"/>
  <c r="AU37" i="96"/>
  <c r="M64" i="43"/>
  <c r="N64" i="43" s="1"/>
  <c r="L49" i="43"/>
  <c r="AG17" i="96"/>
  <c r="AG18" i="96" s="1"/>
  <c r="T64" i="43"/>
  <c r="AA64" i="43" s="1"/>
  <c r="AW9" i="87"/>
  <c r="AW9" i="90" s="1"/>
  <c r="J66" i="43"/>
  <c r="X64" i="43"/>
  <c r="AU39" i="90"/>
  <c r="AU40" i="90" s="1"/>
  <c r="AV6" i="96"/>
  <c r="AV10" i="96" s="1"/>
  <c r="H65" i="43"/>
  <c r="G65" i="43"/>
  <c r="I50" i="43" s="1"/>
  <c r="K65" i="43"/>
  <c r="AW7" i="87"/>
  <c r="C66" i="43"/>
  <c r="AU13" i="96"/>
  <c r="AU11" i="96"/>
  <c r="AV7" i="96"/>
  <c r="AV40" i="96" s="1"/>
  <c r="AU41" i="90"/>
  <c r="AV8" i="87"/>
  <c r="AV8" i="90" s="1"/>
  <c r="AV10" i="87"/>
  <c r="AV7" i="90"/>
  <c r="AU12" i="87"/>
  <c r="AU12" i="90" s="1"/>
  <c r="AU10" i="90"/>
  <c r="AU38" i="90" s="1"/>
  <c r="AU8" i="96"/>
  <c r="AN64" i="96" l="1"/>
  <c r="AZ64" i="96"/>
  <c r="AO64" i="96"/>
  <c r="BA64" i="96"/>
  <c r="AP64" i="96"/>
  <c r="BB64" i="96"/>
  <c r="AQ64" i="96"/>
  <c r="BC64" i="96"/>
  <c r="AR64" i="96"/>
  <c r="BD64" i="96"/>
  <c r="AG64" i="96"/>
  <c r="AS64" i="96"/>
  <c r="BE64" i="96"/>
  <c r="AH64" i="96"/>
  <c r="AT64" i="96"/>
  <c r="BF64" i="96"/>
  <c r="AI64" i="96"/>
  <c r="AU64" i="96"/>
  <c r="BG64" i="96"/>
  <c r="AJ64" i="96"/>
  <c r="AV64" i="96"/>
  <c r="BH64" i="96"/>
  <c r="AK64" i="96"/>
  <c r="AW64" i="96"/>
  <c r="BI64" i="96"/>
  <c r="AL64" i="96"/>
  <c r="AX64" i="96"/>
  <c r="BJ64" i="96"/>
  <c r="AM64" i="96"/>
  <c r="AY64" i="96"/>
  <c r="AG16" i="96"/>
  <c r="AG20" i="96"/>
  <c r="AH14" i="96"/>
  <c r="AH21" i="96" s="1"/>
  <c r="AH24" i="96" s="1"/>
  <c r="AH31" i="96" s="1"/>
  <c r="Y49" i="43"/>
  <c r="AE49" i="96"/>
  <c r="U65" i="43"/>
  <c r="AG44" i="96"/>
  <c r="AG47" i="96"/>
  <c r="AF45" i="96"/>
  <c r="AF46" i="96"/>
  <c r="AG22" i="96"/>
  <c r="AF48" i="96"/>
  <c r="AE129" i="96"/>
  <c r="AE50" i="96"/>
  <c r="AE136" i="96"/>
  <c r="K8" i="131" s="1"/>
  <c r="V49" i="43"/>
  <c r="W49" i="43" s="1"/>
  <c r="AX9" i="96"/>
  <c r="AV37" i="96"/>
  <c r="M65" i="43"/>
  <c r="N65" i="43" s="1"/>
  <c r="L50" i="43"/>
  <c r="AH17" i="96"/>
  <c r="AH18" i="96" s="1"/>
  <c r="T65" i="43"/>
  <c r="AA65" i="43" s="1"/>
  <c r="AV10" i="90"/>
  <c r="AV38" i="90" s="1"/>
  <c r="AV12" i="87"/>
  <c r="AV12" i="90" s="1"/>
  <c r="D66" i="43"/>
  <c r="G66" i="43"/>
  <c r="I51" i="43" s="1"/>
  <c r="H66" i="43"/>
  <c r="K66" i="43"/>
  <c r="AX7" i="87"/>
  <c r="C67" i="43"/>
  <c r="AV13" i="96"/>
  <c r="AV11" i="96"/>
  <c r="AW7" i="96"/>
  <c r="AW40" i="96" s="1"/>
  <c r="AV41" i="90"/>
  <c r="AW10" i="87"/>
  <c r="AW7" i="90"/>
  <c r="AW8" i="87"/>
  <c r="AW8" i="90" s="1"/>
  <c r="AV8" i="96"/>
  <c r="X65" i="43"/>
  <c r="J67" i="43"/>
  <c r="AX9" i="87"/>
  <c r="AX9" i="90" s="1"/>
  <c r="AW6" i="96"/>
  <c r="AW10" i="96" s="1"/>
  <c r="AV39" i="90"/>
  <c r="AV40" i="90" s="1"/>
  <c r="AJ65" i="96" l="1"/>
  <c r="AV65" i="96"/>
  <c r="BH65" i="96"/>
  <c r="AK65" i="96"/>
  <c r="AW65" i="96"/>
  <c r="BI65" i="96"/>
  <c r="AL65" i="96"/>
  <c r="AX65" i="96"/>
  <c r="BJ65" i="96"/>
  <c r="AM65" i="96"/>
  <c r="AY65" i="96"/>
  <c r="BK65" i="96"/>
  <c r="AN65" i="96"/>
  <c r="AZ65" i="96"/>
  <c r="AO65" i="96"/>
  <c r="BA65" i="96"/>
  <c r="AP65" i="96"/>
  <c r="BB65" i="96"/>
  <c r="AQ65" i="96"/>
  <c r="BC65" i="96"/>
  <c r="AR65" i="96"/>
  <c r="BD65" i="96"/>
  <c r="AS65" i="96"/>
  <c r="BE65" i="96"/>
  <c r="AH65" i="96"/>
  <c r="AT65" i="96"/>
  <c r="BF65" i="96"/>
  <c r="AU65" i="96"/>
  <c r="BG65" i="96"/>
  <c r="AI65" i="96"/>
  <c r="AH16" i="96"/>
  <c r="AH20" i="96"/>
  <c r="AH22" i="96"/>
  <c r="AI14" i="96"/>
  <c r="AI21" i="96" s="1"/>
  <c r="AI24" i="96" s="1"/>
  <c r="AI31" i="96" s="1"/>
  <c r="Y50" i="43"/>
  <c r="AF49" i="96"/>
  <c r="AG45" i="96"/>
  <c r="AG46" i="96"/>
  <c r="AF129" i="96"/>
  <c r="AF50" i="96"/>
  <c r="AF136" i="96"/>
  <c r="AG48" i="96"/>
  <c r="AH47" i="96"/>
  <c r="AH44" i="96"/>
  <c r="U66" i="43"/>
  <c r="AI16" i="96"/>
  <c r="V50" i="43"/>
  <c r="W50" i="43" s="1"/>
  <c r="AY9" i="96"/>
  <c r="AW37" i="96"/>
  <c r="M66" i="43"/>
  <c r="N66" i="43" s="1"/>
  <c r="L51" i="43"/>
  <c r="AI17" i="96"/>
  <c r="AI18" i="96" s="1"/>
  <c r="T66" i="43"/>
  <c r="AA66" i="43" s="1"/>
  <c r="AY9" i="87"/>
  <c r="AY9" i="90" s="1"/>
  <c r="J68" i="43"/>
  <c r="AW41" i="90"/>
  <c r="AX7" i="96"/>
  <c r="AX40" i="96" s="1"/>
  <c r="AW8" i="96"/>
  <c r="X66" i="43"/>
  <c r="AW39" i="90"/>
  <c r="AW40" i="90" s="1"/>
  <c r="AX6" i="96"/>
  <c r="AX10" i="96" s="1"/>
  <c r="AW11" i="96"/>
  <c r="AW13" i="96"/>
  <c r="AW12" i="87"/>
  <c r="AW12" i="90" s="1"/>
  <c r="AW10" i="90"/>
  <c r="AW38" i="90" s="1"/>
  <c r="G67" i="43"/>
  <c r="I52" i="43" s="1"/>
  <c r="H67" i="43"/>
  <c r="C68" i="43"/>
  <c r="AY7" i="87"/>
  <c r="K67" i="43"/>
  <c r="AX7" i="90"/>
  <c r="AX10" i="87"/>
  <c r="AX8" i="87"/>
  <c r="AX8" i="90" s="1"/>
  <c r="AR66" i="96" l="1"/>
  <c r="BD66" i="96"/>
  <c r="AS66" i="96"/>
  <c r="BE66" i="96"/>
  <c r="AT66" i="96"/>
  <c r="BF66" i="96"/>
  <c r="AI66" i="96"/>
  <c r="AU66" i="96"/>
  <c r="BG66" i="96"/>
  <c r="AJ66" i="96"/>
  <c r="AV66" i="96"/>
  <c r="BH66" i="96"/>
  <c r="AK66" i="96"/>
  <c r="AW66" i="96"/>
  <c r="BI66" i="96"/>
  <c r="AL66" i="96"/>
  <c r="AX66" i="96"/>
  <c r="BJ66" i="96"/>
  <c r="AM66" i="96"/>
  <c r="AY66" i="96"/>
  <c r="BK66" i="96"/>
  <c r="AN66" i="96"/>
  <c r="AZ66" i="96"/>
  <c r="BL66" i="96"/>
  <c r="AO66" i="96"/>
  <c r="BA66" i="96"/>
  <c r="AP66" i="96"/>
  <c r="BB66" i="96"/>
  <c r="AQ66" i="96"/>
  <c r="BC66" i="96"/>
  <c r="AI20" i="96"/>
  <c r="AJ14" i="96"/>
  <c r="AJ21" i="96" s="1"/>
  <c r="AJ24" i="96" s="1"/>
  <c r="AJ31" i="96" s="1"/>
  <c r="Y51" i="43"/>
  <c r="AG49" i="96"/>
  <c r="AH48" i="96"/>
  <c r="AG129" i="96"/>
  <c r="AG50" i="96"/>
  <c r="AG136" i="96"/>
  <c r="AI22" i="96"/>
  <c r="AJ16" i="96"/>
  <c r="AH45" i="96"/>
  <c r="AH46" i="96"/>
  <c r="U67" i="43"/>
  <c r="AI47" i="96"/>
  <c r="AI44" i="96"/>
  <c r="V51" i="43"/>
  <c r="W51" i="43" s="1"/>
  <c r="AZ9" i="96"/>
  <c r="AX37" i="96"/>
  <c r="M67" i="43"/>
  <c r="N67" i="43" s="1"/>
  <c r="L52" i="43"/>
  <c r="AJ17" i="96"/>
  <c r="AJ18" i="96" s="1"/>
  <c r="T67" i="43"/>
  <c r="AA67" i="43" s="1"/>
  <c r="X67" i="43"/>
  <c r="AX11" i="96"/>
  <c r="AX13" i="96"/>
  <c r="AZ9" i="87"/>
  <c r="AZ9" i="90" s="1"/>
  <c r="J69" i="43"/>
  <c r="AX41" i="90"/>
  <c r="AY7" i="96"/>
  <c r="AY40" i="96" s="1"/>
  <c r="AY7" i="90"/>
  <c r="AY10" i="87"/>
  <c r="AY8" i="87"/>
  <c r="AY8" i="90" s="1"/>
  <c r="AX8" i="96"/>
  <c r="AX10" i="90"/>
  <c r="AX38" i="90" s="1"/>
  <c r="AX12" i="87"/>
  <c r="AX12" i="90" s="1"/>
  <c r="H68" i="43"/>
  <c r="AZ7" i="87"/>
  <c r="G68" i="43"/>
  <c r="I53" i="43" s="1"/>
  <c r="K68" i="43"/>
  <c r="C69" i="43"/>
  <c r="AY6" i="96"/>
  <c r="AY10" i="96" s="1"/>
  <c r="AX39" i="90"/>
  <c r="AX40" i="90" s="1"/>
  <c r="AN67" i="96" l="1"/>
  <c r="AZ67" i="96"/>
  <c r="BL67" i="96"/>
  <c r="AO67" i="96"/>
  <c r="BA67" i="96"/>
  <c r="BM67" i="96"/>
  <c r="AP67" i="96"/>
  <c r="BB67" i="96"/>
  <c r="AQ67" i="96"/>
  <c r="BC67" i="96"/>
  <c r="AR67" i="96"/>
  <c r="BD67" i="96"/>
  <c r="AS67" i="96"/>
  <c r="BE67" i="96"/>
  <c r="AT67" i="96"/>
  <c r="BF67" i="96"/>
  <c r="AU67" i="96"/>
  <c r="BG67" i="96"/>
  <c r="AJ67" i="96"/>
  <c r="AV67" i="96"/>
  <c r="BH67" i="96"/>
  <c r="AK67" i="96"/>
  <c r="AW67" i="96"/>
  <c r="BI67" i="96"/>
  <c r="AL67" i="96"/>
  <c r="AX67" i="96"/>
  <c r="BJ67" i="96"/>
  <c r="AM67" i="96"/>
  <c r="AY67" i="96"/>
  <c r="BK67" i="96"/>
  <c r="AJ20" i="96"/>
  <c r="AK14" i="96"/>
  <c r="AK21" i="96" s="1"/>
  <c r="AK24" i="96" s="1"/>
  <c r="AK31" i="96" s="1"/>
  <c r="Y52" i="43"/>
  <c r="AH49" i="96"/>
  <c r="U68" i="43"/>
  <c r="AJ22" i="96"/>
  <c r="AJ47" i="96"/>
  <c r="AJ44" i="96"/>
  <c r="AI45" i="96"/>
  <c r="AI46" i="96"/>
  <c r="AK20" i="96"/>
  <c r="AI48" i="96"/>
  <c r="AH129" i="96"/>
  <c r="AH50" i="96"/>
  <c r="AH136" i="96"/>
  <c r="V52" i="43"/>
  <c r="W52" i="43" s="1"/>
  <c r="BA9" i="96"/>
  <c r="AY37" i="96"/>
  <c r="M68" i="43"/>
  <c r="N68" i="43" s="1"/>
  <c r="L53" i="43"/>
  <c r="AK17" i="96"/>
  <c r="AK18" i="96" s="1"/>
  <c r="T68" i="43"/>
  <c r="AA68" i="43" s="1"/>
  <c r="G69" i="43"/>
  <c r="I54" i="43" s="1"/>
  <c r="H69" i="43"/>
  <c r="BA7" i="87"/>
  <c r="K69" i="43"/>
  <c r="C70" i="43"/>
  <c r="AY8" i="96"/>
  <c r="X68" i="43"/>
  <c r="AY41" i="90"/>
  <c r="AZ7" i="96"/>
  <c r="AZ40" i="96" s="1"/>
  <c r="AY12" i="87"/>
  <c r="AY12" i="90" s="1"/>
  <c r="AY10" i="90"/>
  <c r="AY38" i="90" s="1"/>
  <c r="BA9" i="87"/>
  <c r="BA9" i="90" s="1"/>
  <c r="J70" i="43"/>
  <c r="AY13" i="96"/>
  <c r="AY11" i="96"/>
  <c r="AZ7" i="90"/>
  <c r="AZ8" i="87"/>
  <c r="AZ8" i="90" s="1"/>
  <c r="AZ10" i="87"/>
  <c r="AZ6" i="96"/>
  <c r="AZ10" i="96" s="1"/>
  <c r="AY39" i="90"/>
  <c r="AY40" i="90" s="1"/>
  <c r="AV68" i="96" l="1"/>
  <c r="BH68" i="96"/>
  <c r="AK68" i="96"/>
  <c r="AW68" i="96"/>
  <c r="BI68" i="96"/>
  <c r="AL68" i="96"/>
  <c r="AX68" i="96"/>
  <c r="BJ68" i="96"/>
  <c r="AM68" i="96"/>
  <c r="AY68" i="96"/>
  <c r="BK68" i="96"/>
  <c r="AN68" i="96"/>
  <c r="AZ68" i="96"/>
  <c r="BL68" i="96"/>
  <c r="AO68" i="96"/>
  <c r="BA68" i="96"/>
  <c r="BM68" i="96"/>
  <c r="AP68" i="96"/>
  <c r="BB68" i="96"/>
  <c r="BN68" i="96"/>
  <c r="AQ68" i="96"/>
  <c r="BC68" i="96"/>
  <c r="AR68" i="96"/>
  <c r="BD68" i="96"/>
  <c r="AS68" i="96"/>
  <c r="BE68" i="96"/>
  <c r="AT68" i="96"/>
  <c r="BF68" i="96"/>
  <c r="AU68" i="96"/>
  <c r="BG68" i="96"/>
  <c r="AK16" i="96"/>
  <c r="AL14" i="96"/>
  <c r="AL21" i="96" s="1"/>
  <c r="AL24" i="96" s="1"/>
  <c r="AL31" i="96" s="1"/>
  <c r="Y53" i="43"/>
  <c r="AI129" i="96"/>
  <c r="AI50" i="96"/>
  <c r="AI136" i="96"/>
  <c r="AJ48" i="96"/>
  <c r="U69" i="43"/>
  <c r="AK44" i="96"/>
  <c r="AK47" i="96"/>
  <c r="AK22" i="96"/>
  <c r="AJ45" i="96"/>
  <c r="AJ46" i="96"/>
  <c r="AI49" i="96"/>
  <c r="V53" i="43"/>
  <c r="W53" i="43" s="1"/>
  <c r="BB9" i="96"/>
  <c r="AZ37" i="96"/>
  <c r="M69" i="43"/>
  <c r="N69" i="43" s="1"/>
  <c r="L54" i="43"/>
  <c r="AL17" i="96"/>
  <c r="AL18" i="96" s="1"/>
  <c r="T69" i="43"/>
  <c r="AA69" i="43" s="1"/>
  <c r="X69" i="43"/>
  <c r="BA10" i="87"/>
  <c r="BA7" i="90"/>
  <c r="BA8" i="87"/>
  <c r="BA8" i="90" s="1"/>
  <c r="AZ39" i="90"/>
  <c r="AZ40" i="90" s="1"/>
  <c r="BA6" i="96"/>
  <c r="BA10" i="96" s="1"/>
  <c r="AZ11" i="96"/>
  <c r="AZ13" i="96"/>
  <c r="J71" i="43"/>
  <c r="G70" i="43"/>
  <c r="I55" i="43" s="1"/>
  <c r="H70" i="43"/>
  <c r="K70" i="43"/>
  <c r="C71" i="43"/>
  <c r="AZ10" i="90"/>
  <c r="AZ38" i="90" s="1"/>
  <c r="AZ12" i="87"/>
  <c r="AZ12" i="90" s="1"/>
  <c r="AZ41" i="90"/>
  <c r="BA7" i="96"/>
  <c r="BA40" i="96" s="1"/>
  <c r="AZ8" i="96"/>
  <c r="AR69" i="96" l="1"/>
  <c r="BD69" i="96"/>
  <c r="AS69" i="96"/>
  <c r="BE69" i="96"/>
  <c r="AT69" i="96"/>
  <c r="BF69" i="96"/>
  <c r="AU69" i="96"/>
  <c r="BG69" i="96"/>
  <c r="AV69" i="96"/>
  <c r="BH69" i="96"/>
  <c r="AW69" i="96"/>
  <c r="BI69" i="96"/>
  <c r="AL69" i="96"/>
  <c r="AX69" i="96"/>
  <c r="BJ69" i="96"/>
  <c r="AM69" i="96"/>
  <c r="AY69" i="96"/>
  <c r="BK69" i="96"/>
  <c r="AN69" i="96"/>
  <c r="AZ69" i="96"/>
  <c r="BL69" i="96"/>
  <c r="AO69" i="96"/>
  <c r="BA69" i="96"/>
  <c r="BM69" i="96"/>
  <c r="AP69" i="96"/>
  <c r="BB69" i="96"/>
  <c r="BN69" i="96"/>
  <c r="AQ69" i="96"/>
  <c r="BC69" i="96"/>
  <c r="BO69" i="96"/>
  <c r="AL20" i="96"/>
  <c r="AL16" i="96"/>
  <c r="AM14" i="96"/>
  <c r="AM21" i="96" s="1"/>
  <c r="AM24" i="96" s="1"/>
  <c r="AM31" i="96" s="1"/>
  <c r="Y54" i="43"/>
  <c r="AJ49" i="96"/>
  <c r="AL44" i="96"/>
  <c r="AL47" i="96"/>
  <c r="AL22" i="96"/>
  <c r="AK45" i="96"/>
  <c r="AK46" i="96"/>
  <c r="AJ129" i="96"/>
  <c r="AJ50" i="96"/>
  <c r="AJ136" i="96"/>
  <c r="U70" i="43"/>
  <c r="AK48" i="96"/>
  <c r="F40" i="96"/>
  <c r="F129" i="96" s="1"/>
  <c r="G40" i="96"/>
  <c r="G129" i="96" s="1"/>
  <c r="I40" i="96"/>
  <c r="I129" i="96" s="1"/>
  <c r="L40" i="96"/>
  <c r="L129" i="96" s="1"/>
  <c r="E40" i="96"/>
  <c r="E129" i="96" s="1"/>
  <c r="G37" i="96"/>
  <c r="I37" i="96"/>
  <c r="K40" i="96"/>
  <c r="K129" i="96" s="1"/>
  <c r="H37" i="96"/>
  <c r="M40" i="96"/>
  <c r="M129" i="96" s="1"/>
  <c r="M37" i="96"/>
  <c r="K37" i="96"/>
  <c r="L37" i="96"/>
  <c r="F37" i="96"/>
  <c r="J40" i="96"/>
  <c r="J129" i="96" s="1"/>
  <c r="J37" i="96"/>
  <c r="H40" i="96"/>
  <c r="H129" i="96" s="1"/>
  <c r="V54" i="43"/>
  <c r="W54" i="43" s="1"/>
  <c r="BA37" i="96"/>
  <c r="M70" i="43"/>
  <c r="N70" i="43" s="1"/>
  <c r="AM17" i="96"/>
  <c r="AM18" i="96" s="1"/>
  <c r="L55" i="43"/>
  <c r="T70" i="43"/>
  <c r="AA70" i="43" s="1"/>
  <c r="BA10" i="90"/>
  <c r="BA38" i="90" s="1"/>
  <c r="BA12" i="87"/>
  <c r="BA12" i="90" s="1"/>
  <c r="J72" i="43"/>
  <c r="BA11" i="96"/>
  <c r="BA13" i="96"/>
  <c r="G71" i="43"/>
  <c r="I56" i="43" s="1"/>
  <c r="C72" i="43"/>
  <c r="K71" i="43"/>
  <c r="H71" i="43"/>
  <c r="BA41" i="90"/>
  <c r="BB7" i="96"/>
  <c r="BB40" i="96" s="1"/>
  <c r="BA8" i="96"/>
  <c r="X70" i="43"/>
  <c r="BA39" i="90"/>
  <c r="BA40" i="90" s="1"/>
  <c r="BB6" i="96"/>
  <c r="BB10" i="96" s="1"/>
  <c r="AN70" i="96" l="1"/>
  <c r="AZ70" i="96"/>
  <c r="BL70" i="96"/>
  <c r="AO70" i="96"/>
  <c r="BA70" i="96"/>
  <c r="BM70" i="96"/>
  <c r="AP70" i="96"/>
  <c r="BB70" i="96"/>
  <c r="BN70" i="96"/>
  <c r="AQ70" i="96"/>
  <c r="BC70" i="96"/>
  <c r="BO70" i="96"/>
  <c r="AR70" i="96"/>
  <c r="BD70" i="96"/>
  <c r="BP70" i="96"/>
  <c r="AS70" i="96"/>
  <c r="BE70" i="96"/>
  <c r="AT70" i="96"/>
  <c r="BF70" i="96"/>
  <c r="AU70" i="96"/>
  <c r="BG70" i="96"/>
  <c r="AV70" i="96"/>
  <c r="BH70" i="96"/>
  <c r="AW70" i="96"/>
  <c r="BI70" i="96"/>
  <c r="AX70" i="96"/>
  <c r="BJ70" i="96"/>
  <c r="AM70" i="96"/>
  <c r="AY70" i="96"/>
  <c r="BK70" i="96"/>
  <c r="AM16" i="96"/>
  <c r="AM20" i="96"/>
  <c r="AN14" i="96"/>
  <c r="AN21" i="96" s="1"/>
  <c r="AN24" i="96" s="1"/>
  <c r="AN31" i="96" s="1"/>
  <c r="Y55" i="43"/>
  <c r="AM22" i="96"/>
  <c r="AK49" i="96"/>
  <c r="AL48" i="96"/>
  <c r="U71" i="43"/>
  <c r="AK129" i="96"/>
  <c r="AK50" i="96"/>
  <c r="AK136" i="96"/>
  <c r="AM47" i="96"/>
  <c r="AM44" i="96"/>
  <c r="AL45" i="96"/>
  <c r="AL46" i="96"/>
  <c r="E41" i="96"/>
  <c r="V55" i="43"/>
  <c r="W55" i="43" s="1"/>
  <c r="BB37" i="96"/>
  <c r="M71" i="43"/>
  <c r="N71" i="43" s="1"/>
  <c r="AN17" i="96"/>
  <c r="AN18" i="96" s="1"/>
  <c r="L56" i="43"/>
  <c r="J136" i="96"/>
  <c r="M136" i="96"/>
  <c r="P136" i="96"/>
  <c r="U136" i="96"/>
  <c r="E37" i="96"/>
  <c r="Q136" i="96"/>
  <c r="L136" i="96"/>
  <c r="R136" i="96"/>
  <c r="O136" i="96"/>
  <c r="F136" i="96"/>
  <c r="H136" i="96"/>
  <c r="I136" i="96"/>
  <c r="E136" i="96"/>
  <c r="G136" i="96"/>
  <c r="K136" i="96"/>
  <c r="N136" i="96"/>
  <c r="T136" i="96"/>
  <c r="S136" i="96"/>
  <c r="T71" i="43"/>
  <c r="AA71" i="43" s="1"/>
  <c r="BB8" i="96"/>
  <c r="G72" i="43"/>
  <c r="I57" i="43" s="1"/>
  <c r="C73" i="43"/>
  <c r="H72" i="43"/>
  <c r="K72" i="43"/>
  <c r="J73" i="43"/>
  <c r="BB11" i="96"/>
  <c r="BB13" i="96"/>
  <c r="X71" i="43"/>
  <c r="AV71" i="96" l="1"/>
  <c r="BH71" i="96"/>
  <c r="AW71" i="96"/>
  <c r="BI71" i="96"/>
  <c r="AX71" i="96"/>
  <c r="BJ71" i="96"/>
  <c r="AY71" i="96"/>
  <c r="BK71" i="96"/>
  <c r="AN71" i="96"/>
  <c r="AZ71" i="96"/>
  <c r="BL71" i="96"/>
  <c r="AO71" i="96"/>
  <c r="BA71" i="96"/>
  <c r="BM71" i="96"/>
  <c r="AP71" i="96"/>
  <c r="BB71" i="96"/>
  <c r="BN71" i="96"/>
  <c r="AQ71" i="96"/>
  <c r="BC71" i="96"/>
  <c r="BO71" i="96"/>
  <c r="AR71" i="96"/>
  <c r="BD71" i="96"/>
  <c r="BP71" i="96"/>
  <c r="AS71" i="96"/>
  <c r="BE71" i="96"/>
  <c r="BQ71" i="96"/>
  <c r="AT71" i="96"/>
  <c r="BF71" i="96"/>
  <c r="AU71" i="96"/>
  <c r="BG71" i="96"/>
  <c r="AN20" i="96"/>
  <c r="AN16" i="96"/>
  <c r="AO14" i="96"/>
  <c r="AO21" i="96" s="1"/>
  <c r="AO24" i="96" s="1"/>
  <c r="AO31" i="96" s="1"/>
  <c r="Y56" i="43"/>
  <c r="AL49" i="96"/>
  <c r="AN22" i="96"/>
  <c r="AN47" i="96"/>
  <c r="AN44" i="96"/>
  <c r="AM45" i="96"/>
  <c r="AM46" i="96"/>
  <c r="AO16" i="96"/>
  <c r="U72" i="43"/>
  <c r="AM48" i="96"/>
  <c r="AL129" i="96"/>
  <c r="AL50" i="96"/>
  <c r="AL136" i="96"/>
  <c r="V56" i="43"/>
  <c r="W56" i="43" s="1"/>
  <c r="E38" i="96"/>
  <c r="G38" i="96" s="1"/>
  <c r="H38" i="96" s="1"/>
  <c r="I38" i="96" s="1"/>
  <c r="J38" i="96" s="1"/>
  <c r="K38" i="96" s="1"/>
  <c r="L38" i="96" s="1"/>
  <c r="M38" i="96" s="1"/>
  <c r="N38" i="96" s="1"/>
  <c r="O38" i="96" s="1"/>
  <c r="P38" i="96" s="1"/>
  <c r="Q38" i="96" s="1"/>
  <c r="R38" i="96" s="1"/>
  <c r="S38" i="96" s="1"/>
  <c r="T38" i="96" s="1"/>
  <c r="U38" i="96" s="1"/>
  <c r="V38" i="96" s="1"/>
  <c r="W38" i="96" s="1"/>
  <c r="X38" i="96" s="1"/>
  <c r="M72" i="43"/>
  <c r="N72" i="43" s="1"/>
  <c r="AO17" i="96"/>
  <c r="AO18" i="96" s="1"/>
  <c r="L57" i="43"/>
  <c r="T72" i="43"/>
  <c r="AA72" i="43" s="1"/>
  <c r="X72" i="43"/>
  <c r="J74" i="43"/>
  <c r="H73" i="43"/>
  <c r="G73" i="43"/>
  <c r="I58" i="43" s="1"/>
  <c r="K73" i="43"/>
  <c r="C74" i="43"/>
  <c r="AR72" i="96" l="1"/>
  <c r="BD72" i="96"/>
  <c r="BP72" i="96"/>
  <c r="AS72" i="96"/>
  <c r="BE72" i="96"/>
  <c r="BQ72" i="96"/>
  <c r="AT72" i="96"/>
  <c r="BF72" i="96"/>
  <c r="BR72" i="96"/>
  <c r="AU72" i="96"/>
  <c r="BG72" i="96"/>
  <c r="AV72" i="96"/>
  <c r="BH72" i="96"/>
  <c r="AW72" i="96"/>
  <c r="BI72" i="96"/>
  <c r="AX72" i="96"/>
  <c r="BJ72" i="96"/>
  <c r="AY72" i="96"/>
  <c r="BK72" i="96"/>
  <c r="AZ72" i="96"/>
  <c r="BL72" i="96"/>
  <c r="AO72" i="96"/>
  <c r="BA72" i="96"/>
  <c r="BM72" i="96"/>
  <c r="AP72" i="96"/>
  <c r="BB72" i="96"/>
  <c r="BN72" i="96"/>
  <c r="BO72" i="96"/>
  <c r="BC72" i="96"/>
  <c r="AQ72" i="96"/>
  <c r="AO20" i="96"/>
  <c r="AP14" i="96"/>
  <c r="AP21" i="96" s="1"/>
  <c r="AP24" i="96" s="1"/>
  <c r="AP31" i="96" s="1"/>
  <c r="Y57" i="43"/>
  <c r="AO47" i="96"/>
  <c r="AO44" i="96"/>
  <c r="AN48" i="96"/>
  <c r="AN45" i="96"/>
  <c r="U73" i="43"/>
  <c r="AM129" i="96"/>
  <c r="AM50" i="96"/>
  <c r="AM136" i="96"/>
  <c r="AO22" i="96"/>
  <c r="AM49" i="96"/>
  <c r="V57" i="43"/>
  <c r="W57" i="43" s="1"/>
  <c r="M73" i="43"/>
  <c r="N73" i="43" s="1"/>
  <c r="AP17" i="96"/>
  <c r="AP18" i="96" s="1"/>
  <c r="L58" i="43"/>
  <c r="T73" i="43"/>
  <c r="AA73" i="43" s="1"/>
  <c r="G74" i="43"/>
  <c r="I59" i="43" s="1"/>
  <c r="H74" i="43"/>
  <c r="K74" i="43"/>
  <c r="C75" i="43"/>
  <c r="X73" i="43"/>
  <c r="J75" i="43"/>
  <c r="AZ73" i="96" l="1"/>
  <c r="BL73" i="96"/>
  <c r="BA73" i="96"/>
  <c r="BM73" i="96"/>
  <c r="AP73" i="96"/>
  <c r="BB73" i="96"/>
  <c r="BN73" i="96"/>
  <c r="AQ73" i="96"/>
  <c r="BC73" i="96"/>
  <c r="BO73" i="96"/>
  <c r="AR73" i="96"/>
  <c r="BD73" i="96"/>
  <c r="BP73" i="96"/>
  <c r="AS73" i="96"/>
  <c r="BE73" i="96"/>
  <c r="BQ73" i="96"/>
  <c r="AT73" i="96"/>
  <c r="BF73" i="96"/>
  <c r="BR73" i="96"/>
  <c r="AU73" i="96"/>
  <c r="BG73" i="96"/>
  <c r="BS73" i="96"/>
  <c r="AV73" i="96"/>
  <c r="BH73" i="96"/>
  <c r="AW73" i="96"/>
  <c r="BI73" i="96"/>
  <c r="AX73" i="96"/>
  <c r="BJ73" i="96"/>
  <c r="AY73" i="96"/>
  <c r="BK73" i="96"/>
  <c r="AP20" i="96"/>
  <c r="AP16" i="96"/>
  <c r="AQ14" i="96"/>
  <c r="AQ21" i="96" s="1"/>
  <c r="AQ24" i="96" s="1"/>
  <c r="AQ31" i="96" s="1"/>
  <c r="Y58" i="43"/>
  <c r="AN46" i="96"/>
  <c r="AN49" i="96"/>
  <c r="AO45" i="96"/>
  <c r="AN129" i="96"/>
  <c r="AN136" i="96"/>
  <c r="AN50" i="96"/>
  <c r="U74" i="43"/>
  <c r="AP47" i="96"/>
  <c r="AP44" i="96"/>
  <c r="AP22" i="96"/>
  <c r="AO48" i="96"/>
  <c r="V58" i="43"/>
  <c r="W58" i="43" s="1"/>
  <c r="M74" i="43"/>
  <c r="N74" i="43" s="1"/>
  <c r="AQ17" i="96"/>
  <c r="AQ18" i="96" s="1"/>
  <c r="L59" i="43"/>
  <c r="T74" i="43"/>
  <c r="AA74" i="43" s="1"/>
  <c r="G75" i="43"/>
  <c r="I60" i="43" s="1"/>
  <c r="H75" i="43"/>
  <c r="K75" i="43"/>
  <c r="C76" i="43"/>
  <c r="X74" i="43"/>
  <c r="J76" i="43"/>
  <c r="AV74" i="96" l="1"/>
  <c r="BH74" i="96"/>
  <c r="BT74" i="96"/>
  <c r="AW74" i="96"/>
  <c r="BI74" i="96"/>
  <c r="AX74" i="96"/>
  <c r="BJ74" i="96"/>
  <c r="AY74" i="96"/>
  <c r="BK74" i="96"/>
  <c r="AZ74" i="96"/>
  <c r="BL74" i="96"/>
  <c r="BA74" i="96"/>
  <c r="BM74" i="96"/>
  <c r="BB74" i="96"/>
  <c r="BN74" i="96"/>
  <c r="AQ74" i="96"/>
  <c r="BC74" i="96"/>
  <c r="BO74" i="96"/>
  <c r="AR74" i="96"/>
  <c r="BD74" i="96"/>
  <c r="BP74" i="96"/>
  <c r="AS74" i="96"/>
  <c r="BE74" i="96"/>
  <c r="BQ74" i="96"/>
  <c r="AT74" i="96"/>
  <c r="BF74" i="96"/>
  <c r="BR74" i="96"/>
  <c r="AU74" i="96"/>
  <c r="BG74" i="96"/>
  <c r="BS74" i="96"/>
  <c r="AQ16" i="96"/>
  <c r="AQ20" i="96"/>
  <c r="AR14" i="96"/>
  <c r="AR21" i="96" s="1"/>
  <c r="AR24" i="96" s="1"/>
  <c r="AR31" i="96" s="1"/>
  <c r="Y59" i="43"/>
  <c r="AO46" i="96"/>
  <c r="AP46" i="96"/>
  <c r="AP45" i="96"/>
  <c r="U75" i="43"/>
  <c r="AQ22" i="96"/>
  <c r="AQ47" i="96"/>
  <c r="AQ44" i="96"/>
  <c r="AO129" i="96"/>
  <c r="AO136" i="96"/>
  <c r="AO50" i="96"/>
  <c r="AP48" i="96"/>
  <c r="AO49" i="96"/>
  <c r="V59" i="43"/>
  <c r="W59" i="43" s="1"/>
  <c r="M75" i="43"/>
  <c r="N75" i="43" s="1"/>
  <c r="L60" i="43"/>
  <c r="AR17" i="96"/>
  <c r="AR18" i="96" s="1"/>
  <c r="T75" i="43"/>
  <c r="AA75" i="43" s="1"/>
  <c r="J77" i="43"/>
  <c r="H76" i="43"/>
  <c r="G76" i="43"/>
  <c r="I61" i="43" s="1"/>
  <c r="K76" i="43"/>
  <c r="C77" i="43"/>
  <c r="X75" i="43"/>
  <c r="AR75" i="96" l="1"/>
  <c r="BD75" i="96"/>
  <c r="BP75" i="96"/>
  <c r="AS75" i="96"/>
  <c r="BE75" i="96"/>
  <c r="BQ75" i="96"/>
  <c r="AT75" i="96"/>
  <c r="BF75" i="96"/>
  <c r="BR75" i="96"/>
  <c r="AU75" i="96"/>
  <c r="BG75" i="96"/>
  <c r="BS75" i="96"/>
  <c r="AV75" i="96"/>
  <c r="BH75" i="96"/>
  <c r="BT75" i="96"/>
  <c r="AW75" i="96"/>
  <c r="BI75" i="96"/>
  <c r="BU75" i="96"/>
  <c r="AX75" i="96"/>
  <c r="BJ75" i="96"/>
  <c r="AY75" i="96"/>
  <c r="BK75" i="96"/>
  <c r="AZ75" i="96"/>
  <c r="BL75" i="96"/>
  <c r="BA75" i="96"/>
  <c r="BM75" i="96"/>
  <c r="BB75" i="96"/>
  <c r="BN75" i="96"/>
  <c r="BC75" i="96"/>
  <c r="BO75" i="96"/>
  <c r="AR20" i="96"/>
  <c r="AR16" i="96"/>
  <c r="AS14" i="96"/>
  <c r="AS21" i="96" s="1"/>
  <c r="AS24" i="96" s="1"/>
  <c r="AS31" i="96" s="1"/>
  <c r="Y60" i="43"/>
  <c r="AR22" i="96"/>
  <c r="AP49" i="96"/>
  <c r="AS16" i="96"/>
  <c r="AS20" i="96"/>
  <c r="U76" i="43"/>
  <c r="AR47" i="96"/>
  <c r="AR44" i="96"/>
  <c r="AQ48" i="96"/>
  <c r="AP129" i="96"/>
  <c r="AP50" i="96"/>
  <c r="AP136" i="96"/>
  <c r="AQ46" i="96"/>
  <c r="AQ45" i="96"/>
  <c r="V60" i="43"/>
  <c r="W60" i="43" s="1"/>
  <c r="M76" i="43"/>
  <c r="N76" i="43" s="1"/>
  <c r="L61" i="43"/>
  <c r="AS17" i="96"/>
  <c r="AS18" i="96" s="1"/>
  <c r="T76" i="43"/>
  <c r="AA76" i="43" s="1"/>
  <c r="H77" i="43"/>
  <c r="K77" i="43"/>
  <c r="G77" i="43"/>
  <c r="I62" i="43" s="1"/>
  <c r="C78" i="43"/>
  <c r="J78" i="43"/>
  <c r="X76" i="43"/>
  <c r="AZ76" i="96" l="1"/>
  <c r="BL76" i="96"/>
  <c r="BA76" i="96"/>
  <c r="BM76" i="96"/>
  <c r="BB76" i="96"/>
  <c r="BN76" i="96"/>
  <c r="BC76" i="96"/>
  <c r="BO76" i="96"/>
  <c r="BD76" i="96"/>
  <c r="BP76" i="96"/>
  <c r="AS76" i="96"/>
  <c r="BE76" i="96"/>
  <c r="BQ76" i="96"/>
  <c r="AT76" i="96"/>
  <c r="BF76" i="96"/>
  <c r="BR76" i="96"/>
  <c r="AU76" i="96"/>
  <c r="BG76" i="96"/>
  <c r="BS76" i="96"/>
  <c r="AV76" i="96"/>
  <c r="BH76" i="96"/>
  <c r="BT76" i="96"/>
  <c r="AW76" i="96"/>
  <c r="BI76" i="96"/>
  <c r="BU76" i="96"/>
  <c r="AX76" i="96"/>
  <c r="BJ76" i="96"/>
  <c r="BV76" i="96"/>
  <c r="AY76" i="96"/>
  <c r="BK76" i="96"/>
  <c r="AT14" i="96"/>
  <c r="AT21" i="96" s="1"/>
  <c r="AT24" i="96" s="1"/>
  <c r="AT31" i="96" s="1"/>
  <c r="Y61" i="43"/>
  <c r="AS47" i="96"/>
  <c r="AS44" i="96"/>
  <c r="AR48" i="96"/>
  <c r="U77" i="43"/>
  <c r="AQ129" i="96"/>
  <c r="AQ50" i="96"/>
  <c r="AQ49" i="96"/>
  <c r="AQ136" i="96"/>
  <c r="AR45" i="96"/>
  <c r="AR46" i="96"/>
  <c r="AS22" i="96"/>
  <c r="V61" i="43"/>
  <c r="W61" i="43" s="1"/>
  <c r="M77" i="43"/>
  <c r="N77" i="43" s="1"/>
  <c r="AT17" i="96"/>
  <c r="AT18" i="96" s="1"/>
  <c r="L62" i="43"/>
  <c r="T77" i="43"/>
  <c r="AA77" i="43" s="1"/>
  <c r="X77" i="43"/>
  <c r="J79" i="43"/>
  <c r="G78" i="43"/>
  <c r="I63" i="43" s="1"/>
  <c r="H78" i="43"/>
  <c r="K78" i="43"/>
  <c r="C79" i="43"/>
  <c r="AV77" i="96" l="1"/>
  <c r="BH77" i="96"/>
  <c r="BT77" i="96"/>
  <c r="AW77" i="96"/>
  <c r="BI77" i="96"/>
  <c r="BU77" i="96"/>
  <c r="AX77" i="96"/>
  <c r="BJ77" i="96"/>
  <c r="BV77" i="96"/>
  <c r="AY77" i="96"/>
  <c r="BK77" i="96"/>
  <c r="BW77" i="96"/>
  <c r="AZ77" i="96"/>
  <c r="BL77" i="96"/>
  <c r="BA77" i="96"/>
  <c r="BM77" i="96"/>
  <c r="BB77" i="96"/>
  <c r="BN77" i="96"/>
  <c r="BC77" i="96"/>
  <c r="BO77" i="96"/>
  <c r="BD77" i="96"/>
  <c r="BP77" i="96"/>
  <c r="BE77" i="96"/>
  <c r="BQ77" i="96"/>
  <c r="AT77" i="96"/>
  <c r="BF77" i="96"/>
  <c r="BR77" i="96"/>
  <c r="AU77" i="96"/>
  <c r="BG77" i="96"/>
  <c r="BS77" i="96"/>
  <c r="AT20" i="96"/>
  <c r="AT16" i="96"/>
  <c r="AU14" i="96"/>
  <c r="AU21" i="96" s="1"/>
  <c r="AU24" i="96" s="1"/>
  <c r="AU31" i="96" s="1"/>
  <c r="Y62" i="43"/>
  <c r="AR49" i="96"/>
  <c r="AT22" i="96"/>
  <c r="AS45" i="96"/>
  <c r="U78" i="43"/>
  <c r="AT44" i="96"/>
  <c r="AT47" i="96"/>
  <c r="AR129" i="96"/>
  <c r="AR136" i="96"/>
  <c r="AR50" i="96"/>
  <c r="AS48" i="96"/>
  <c r="V62" i="43"/>
  <c r="W62" i="43" s="1"/>
  <c r="M78" i="43"/>
  <c r="N78" i="43" s="1"/>
  <c r="AU17" i="96"/>
  <c r="AU18" i="96" s="1"/>
  <c r="L63" i="43"/>
  <c r="T78" i="43"/>
  <c r="AA78" i="43" s="1"/>
  <c r="J80" i="43"/>
  <c r="G79" i="43"/>
  <c r="I64" i="43" s="1"/>
  <c r="H79" i="43"/>
  <c r="K79" i="43"/>
  <c r="C80" i="43"/>
  <c r="X78" i="43"/>
  <c r="BD78" i="96" l="1"/>
  <c r="BP78" i="96"/>
  <c r="BE78" i="96"/>
  <c r="BQ78" i="96"/>
  <c r="BF78" i="96"/>
  <c r="BR78" i="96"/>
  <c r="AU78" i="96"/>
  <c r="BG78" i="96"/>
  <c r="BS78" i="96"/>
  <c r="AV78" i="96"/>
  <c r="BH78" i="96"/>
  <c r="BT78" i="96"/>
  <c r="AW78" i="96"/>
  <c r="BI78" i="96"/>
  <c r="BU78" i="96"/>
  <c r="AX78" i="96"/>
  <c r="BJ78" i="96"/>
  <c r="BV78" i="96"/>
  <c r="AY78" i="96"/>
  <c r="BK78" i="96"/>
  <c r="BW78" i="96"/>
  <c r="AZ78" i="96"/>
  <c r="BL78" i="96"/>
  <c r="BX78" i="96"/>
  <c r="BA78" i="96"/>
  <c r="BM78" i="96"/>
  <c r="BB78" i="96"/>
  <c r="BN78" i="96"/>
  <c r="BC78" i="96"/>
  <c r="BO78" i="96"/>
  <c r="AU20" i="96"/>
  <c r="AU16" i="96"/>
  <c r="AV14" i="96"/>
  <c r="AV21" i="96" s="1"/>
  <c r="AV24" i="96" s="1"/>
  <c r="AV31" i="96" s="1"/>
  <c r="Y63" i="43"/>
  <c r="AS46" i="96"/>
  <c r="U79" i="43"/>
  <c r="AU44" i="96"/>
  <c r="AU47" i="96"/>
  <c r="AU22" i="96"/>
  <c r="AT48" i="96"/>
  <c r="AS129" i="96"/>
  <c r="AS50" i="96"/>
  <c r="AS136" i="96"/>
  <c r="AT46" i="96"/>
  <c r="AT45" i="96"/>
  <c r="AS49" i="96"/>
  <c r="V63" i="43"/>
  <c r="W63" i="43" s="1"/>
  <c r="M79" i="43"/>
  <c r="N79" i="43" s="1"/>
  <c r="L64" i="43"/>
  <c r="AV17" i="96"/>
  <c r="AV18" i="96" s="1"/>
  <c r="T79" i="43"/>
  <c r="AA79" i="43" s="1"/>
  <c r="X79" i="43"/>
  <c r="J81" i="43"/>
  <c r="G80" i="43"/>
  <c r="I65" i="43" s="1"/>
  <c r="K80" i="43"/>
  <c r="H80" i="43"/>
  <c r="C81" i="43"/>
  <c r="AZ79" i="96" l="1"/>
  <c r="BL79" i="96"/>
  <c r="BX79" i="96"/>
  <c r="BA79" i="96"/>
  <c r="BM79" i="96"/>
  <c r="BY79" i="96"/>
  <c r="BB79" i="96"/>
  <c r="BN79" i="96"/>
  <c r="BC79" i="96"/>
  <c r="BO79" i="96"/>
  <c r="BD79" i="96"/>
  <c r="BP79" i="96"/>
  <c r="BE79" i="96"/>
  <c r="BQ79" i="96"/>
  <c r="BF79" i="96"/>
  <c r="BR79" i="96"/>
  <c r="BG79" i="96"/>
  <c r="BS79" i="96"/>
  <c r="AV79" i="96"/>
  <c r="BH79" i="96"/>
  <c r="BT79" i="96"/>
  <c r="AW79" i="96"/>
  <c r="BI79" i="96"/>
  <c r="BU79" i="96"/>
  <c r="AX79" i="96"/>
  <c r="BJ79" i="96"/>
  <c r="BV79" i="96"/>
  <c r="AY79" i="96"/>
  <c r="BK79" i="96"/>
  <c r="BW79" i="96"/>
  <c r="AV16" i="96"/>
  <c r="AV20" i="96"/>
  <c r="AW14" i="96"/>
  <c r="AW21" i="96" s="1"/>
  <c r="AW24" i="96" s="1"/>
  <c r="AW31" i="96" s="1"/>
  <c r="Y64" i="43"/>
  <c r="AT49" i="96"/>
  <c r="AU48" i="96"/>
  <c r="AV47" i="96"/>
  <c r="AV44" i="96"/>
  <c r="AU45" i="96"/>
  <c r="AT129" i="96"/>
  <c r="AT50" i="96"/>
  <c r="AT136" i="96"/>
  <c r="U80" i="43"/>
  <c r="AV22" i="96"/>
  <c r="V64" i="43"/>
  <c r="W64" i="43" s="1"/>
  <c r="M80" i="43"/>
  <c r="N80" i="43" s="1"/>
  <c r="L65" i="43"/>
  <c r="AW17" i="96"/>
  <c r="AW18" i="96" s="1"/>
  <c r="T80" i="43"/>
  <c r="AA80" i="43" s="1"/>
  <c r="X80" i="43"/>
  <c r="K81" i="43"/>
  <c r="G81" i="43"/>
  <c r="I66" i="43" s="1"/>
  <c r="H81" i="43"/>
  <c r="C82" i="43"/>
  <c r="J82" i="43"/>
  <c r="BH80" i="96" l="1"/>
  <c r="BT80" i="96"/>
  <c r="AW80" i="96"/>
  <c r="BI80" i="96"/>
  <c r="BU80" i="96"/>
  <c r="AX80" i="96"/>
  <c r="BJ80" i="96"/>
  <c r="BV80" i="96"/>
  <c r="AY80" i="96"/>
  <c r="BK80" i="96"/>
  <c r="BW80" i="96"/>
  <c r="AZ80" i="96"/>
  <c r="BL80" i="96"/>
  <c r="BX80" i="96"/>
  <c r="BA80" i="96"/>
  <c r="BM80" i="96"/>
  <c r="BY80" i="96"/>
  <c r="BB80" i="96"/>
  <c r="BN80" i="96"/>
  <c r="BZ80" i="96"/>
  <c r="BC80" i="96"/>
  <c r="BO80" i="96"/>
  <c r="BD80" i="96"/>
  <c r="BP80" i="96"/>
  <c r="BE80" i="96"/>
  <c r="BQ80" i="96"/>
  <c r="BF80" i="96"/>
  <c r="BR80" i="96"/>
  <c r="BS80" i="96"/>
  <c r="BG80" i="96"/>
  <c r="AW20" i="96"/>
  <c r="AU49" i="96"/>
  <c r="AW16" i="96"/>
  <c r="AX14" i="96"/>
  <c r="AX21" i="96" s="1"/>
  <c r="AX24" i="96" s="1"/>
  <c r="AX31" i="96" s="1"/>
  <c r="Y65" i="43"/>
  <c r="AU46" i="96"/>
  <c r="AW47" i="96"/>
  <c r="AW44" i="96"/>
  <c r="U81" i="43"/>
  <c r="AV45" i="96"/>
  <c r="AU129" i="96"/>
  <c r="AU136" i="96"/>
  <c r="AU50" i="96"/>
  <c r="AV48" i="96"/>
  <c r="AV49" i="96" s="1"/>
  <c r="AW22" i="96"/>
  <c r="V65" i="43"/>
  <c r="W65" i="43" s="1"/>
  <c r="M81" i="43"/>
  <c r="N81" i="43" s="1"/>
  <c r="AX17" i="96"/>
  <c r="AX18" i="96" s="1"/>
  <c r="L66" i="43"/>
  <c r="T81" i="43"/>
  <c r="AA81" i="43" s="1"/>
  <c r="J83" i="43"/>
  <c r="H82" i="43"/>
  <c r="G82" i="43"/>
  <c r="I67" i="43" s="1"/>
  <c r="K82" i="43"/>
  <c r="C83" i="43"/>
  <c r="X81" i="43"/>
  <c r="BD81" i="96" l="1"/>
  <c r="BP81" i="96"/>
  <c r="BE81" i="96"/>
  <c r="BQ81" i="96"/>
  <c r="BF81" i="96"/>
  <c r="BR81" i="96"/>
  <c r="BG81" i="96"/>
  <c r="BS81" i="96"/>
  <c r="BH81" i="96"/>
  <c r="BT81" i="96"/>
  <c r="BI81" i="96"/>
  <c r="BU81" i="96"/>
  <c r="AX81" i="96"/>
  <c r="BJ81" i="96"/>
  <c r="BV81" i="96"/>
  <c r="AY81" i="96"/>
  <c r="BK81" i="96"/>
  <c r="BW81" i="96"/>
  <c r="AZ81" i="96"/>
  <c r="BL81" i="96"/>
  <c r="BX81" i="96"/>
  <c r="BA81" i="96"/>
  <c r="BM81" i="96"/>
  <c r="BY81" i="96"/>
  <c r="BB81" i="96"/>
  <c r="BN81" i="96"/>
  <c r="BZ81" i="96"/>
  <c r="BO81" i="96"/>
  <c r="CA81" i="96"/>
  <c r="BC81" i="96"/>
  <c r="AX20" i="96"/>
  <c r="AX16" i="96"/>
  <c r="AY14" i="96"/>
  <c r="AY21" i="96" s="1"/>
  <c r="AY24" i="96" s="1"/>
  <c r="Y66" i="43"/>
  <c r="O10" i="43" s="1"/>
  <c r="I20" i="99" s="1"/>
  <c r="AV46" i="96"/>
  <c r="AX22" i="96"/>
  <c r="U82" i="43"/>
  <c r="AW45" i="96"/>
  <c r="AV129" i="96"/>
  <c r="AV50" i="96"/>
  <c r="AV136" i="96"/>
  <c r="AW48" i="96"/>
  <c r="AX44" i="96"/>
  <c r="AX47" i="96"/>
  <c r="V66" i="43"/>
  <c r="W66" i="43" s="1"/>
  <c r="M82" i="43"/>
  <c r="N82" i="43" s="1"/>
  <c r="AY17" i="96"/>
  <c r="AY18" i="96" s="1"/>
  <c r="L67" i="43"/>
  <c r="T82" i="43"/>
  <c r="AA82" i="43" s="1"/>
  <c r="J84" i="43"/>
  <c r="G83" i="43"/>
  <c r="I68" i="43" s="1"/>
  <c r="H83" i="43"/>
  <c r="K83" i="43"/>
  <c r="C84" i="43"/>
  <c r="X82" i="43"/>
  <c r="AY20" i="96" l="1"/>
  <c r="AY16" i="96"/>
  <c r="AY22" i="96"/>
  <c r="AZ14" i="96"/>
  <c r="AZ21" i="96" s="1"/>
  <c r="AZ24" i="96" s="1"/>
  <c r="AZ31" i="96" s="1"/>
  <c r="Y67" i="43"/>
  <c r="CZ28" i="96"/>
  <c r="CZ29" i="96" s="1"/>
  <c r="AB28" i="96"/>
  <c r="AP28" i="96"/>
  <c r="AP29" i="96" s="1"/>
  <c r="BG28" i="96"/>
  <c r="BG29" i="96" s="1"/>
  <c r="AE28" i="96"/>
  <c r="I28" i="96"/>
  <c r="CW28" i="96"/>
  <c r="CW29" i="96" s="1"/>
  <c r="CF28" i="96"/>
  <c r="CF29" i="96" s="1"/>
  <c r="W28" i="96"/>
  <c r="AZ28" i="96"/>
  <c r="AZ29" i="96" s="1"/>
  <c r="BJ28" i="96"/>
  <c r="BJ29" i="96" s="1"/>
  <c r="CH28" i="96"/>
  <c r="CH29" i="96" s="1"/>
  <c r="D54" i="96"/>
  <c r="CC28" i="96"/>
  <c r="CC29" i="96" s="1"/>
  <c r="U28" i="96"/>
  <c r="AV28" i="96"/>
  <c r="AV29" i="96" s="1"/>
  <c r="CM28" i="96"/>
  <c r="CM29" i="96" s="1"/>
  <c r="CY28" i="96"/>
  <c r="CY29" i="96" s="1"/>
  <c r="BC28" i="96"/>
  <c r="BC29" i="96" s="1"/>
  <c r="BM28" i="96"/>
  <c r="BM29" i="96" s="1"/>
  <c r="AM28" i="96"/>
  <c r="AM29" i="96" s="1"/>
  <c r="S28" i="96"/>
  <c r="AH28" i="96"/>
  <c r="AH29" i="96" s="1"/>
  <c r="BR28" i="96"/>
  <c r="BR29" i="96" s="1"/>
  <c r="T28" i="96"/>
  <c r="BF28" i="96"/>
  <c r="BF29" i="96" s="1"/>
  <c r="L28" i="96"/>
  <c r="E27" i="96"/>
  <c r="CV28" i="96"/>
  <c r="CV29" i="96" s="1"/>
  <c r="BD28" i="96"/>
  <c r="BD29" i="96" s="1"/>
  <c r="BQ28" i="96"/>
  <c r="BQ29" i="96" s="1"/>
  <c r="BY28" i="96"/>
  <c r="BY29" i="96" s="1"/>
  <c r="BZ28" i="96"/>
  <c r="BZ29" i="96" s="1"/>
  <c r="G28" i="96"/>
  <c r="G29" i="96" s="1"/>
  <c r="X28" i="96"/>
  <c r="BB28" i="96"/>
  <c r="BB29" i="96" s="1"/>
  <c r="V28" i="96"/>
  <c r="AU28" i="96"/>
  <c r="AU29" i="96" s="1"/>
  <c r="CS28" i="96"/>
  <c r="CS29" i="96" s="1"/>
  <c r="BL28" i="96"/>
  <c r="BL29" i="96" s="1"/>
  <c r="AX28" i="96"/>
  <c r="AX29" i="96" s="1"/>
  <c r="H28" i="96"/>
  <c r="H29" i="96" s="1"/>
  <c r="I29" i="96" s="1"/>
  <c r="E28" i="96"/>
  <c r="E29" i="96" s="1"/>
  <c r="Z28" i="96"/>
  <c r="BX28" i="96"/>
  <c r="BX29" i="96" s="1"/>
  <c r="AW28" i="96"/>
  <c r="AW29" i="96" s="1"/>
  <c r="BW28" i="96"/>
  <c r="BW29" i="96" s="1"/>
  <c r="M28" i="96"/>
  <c r="AT28" i="96"/>
  <c r="AT29" i="96" s="1"/>
  <c r="BT28" i="96"/>
  <c r="BT29" i="96" s="1"/>
  <c r="BN28" i="96"/>
  <c r="BN29" i="96" s="1"/>
  <c r="AS28" i="96"/>
  <c r="AS29" i="96" s="1"/>
  <c r="AI28" i="96"/>
  <c r="Q28" i="96"/>
  <c r="N28" i="96"/>
  <c r="N29" i="96" s="1"/>
  <c r="AL28" i="96"/>
  <c r="AF28" i="96"/>
  <c r="AJ28" i="96"/>
  <c r="BP28" i="96"/>
  <c r="BP29" i="96" s="1"/>
  <c r="AR28" i="96"/>
  <c r="AR29" i="96" s="1"/>
  <c r="AO28" i="96"/>
  <c r="AO29" i="96" s="1"/>
  <c r="J28" i="96"/>
  <c r="CN28" i="96"/>
  <c r="CN29" i="96" s="1"/>
  <c r="F28" i="96"/>
  <c r="F29" i="96" s="1"/>
  <c r="CA28" i="96"/>
  <c r="CA29" i="96" s="1"/>
  <c r="R28" i="96"/>
  <c r="BA28" i="96"/>
  <c r="BA29" i="96" s="1"/>
  <c r="AC28" i="96"/>
  <c r="CE28" i="96"/>
  <c r="CE29" i="96" s="1"/>
  <c r="CU28" i="96"/>
  <c r="CU29" i="96" s="1"/>
  <c r="CP28" i="96"/>
  <c r="CP29" i="96" s="1"/>
  <c r="BK28" i="96"/>
  <c r="BK29" i="96" s="1"/>
  <c r="K28" i="96"/>
  <c r="BS28" i="96"/>
  <c r="BS29" i="96" s="1"/>
  <c r="O28" i="96"/>
  <c r="AA28" i="96"/>
  <c r="P28" i="96"/>
  <c r="AY28" i="96"/>
  <c r="AY29" i="96" s="1"/>
  <c r="Y28" i="96"/>
  <c r="AQ28" i="96"/>
  <c r="AQ29" i="96" s="1"/>
  <c r="BE28" i="96"/>
  <c r="BE29" i="96" s="1"/>
  <c r="AG28" i="96"/>
  <c r="CX28" i="96"/>
  <c r="CX29" i="96" s="1"/>
  <c r="BV28" i="96"/>
  <c r="BV29" i="96" s="1"/>
  <c r="AN28" i="96"/>
  <c r="AN29" i="96" s="1"/>
  <c r="AK28" i="96"/>
  <c r="CG28" i="96"/>
  <c r="CG29" i="96" s="1"/>
  <c r="CT28" i="96"/>
  <c r="CT29" i="96" s="1"/>
  <c r="CL28" i="96"/>
  <c r="CL29" i="96" s="1"/>
  <c r="BI28" i="96"/>
  <c r="BI29" i="96" s="1"/>
  <c r="CO28" i="96"/>
  <c r="CO29" i="96" s="1"/>
  <c r="AD28" i="96"/>
  <c r="CR28" i="96"/>
  <c r="CR29" i="96" s="1"/>
  <c r="BO28" i="96"/>
  <c r="BO29" i="96" s="1"/>
  <c r="CJ28" i="96"/>
  <c r="CJ29" i="96" s="1"/>
  <c r="BH28" i="96"/>
  <c r="BH29" i="96" s="1"/>
  <c r="BU28" i="96"/>
  <c r="BU29" i="96" s="1"/>
  <c r="CQ28" i="96"/>
  <c r="CQ29" i="96" s="1"/>
  <c r="CD28" i="96"/>
  <c r="CD29" i="96" s="1"/>
  <c r="CK28" i="96"/>
  <c r="CK29" i="96" s="1"/>
  <c r="CB28" i="96"/>
  <c r="CB29" i="96" s="1"/>
  <c r="CI28" i="96"/>
  <c r="CI29" i="96" s="1"/>
  <c r="AY31" i="96"/>
  <c r="AW46" i="96"/>
  <c r="U83" i="43"/>
  <c r="AX48" i="96"/>
  <c r="AX45" i="96"/>
  <c r="AW129" i="96"/>
  <c r="AW49" i="96"/>
  <c r="AW136" i="96"/>
  <c r="AW50" i="96"/>
  <c r="V67" i="43"/>
  <c r="W67" i="43" s="1"/>
  <c r="M83" i="43"/>
  <c r="N83" i="43" s="1"/>
  <c r="AZ17" i="96"/>
  <c r="AZ18" i="96" s="1"/>
  <c r="L68" i="43"/>
  <c r="T83" i="43"/>
  <c r="AA83" i="43" s="1"/>
  <c r="J85" i="43"/>
  <c r="H84" i="43"/>
  <c r="K84" i="43"/>
  <c r="G84" i="43"/>
  <c r="I69" i="43" s="1"/>
  <c r="C85" i="43"/>
  <c r="X83" i="43"/>
  <c r="AY47" i="96" l="1"/>
  <c r="AZ82" i="96"/>
  <c r="BL82" i="96"/>
  <c r="BX82" i="96"/>
  <c r="BA82" i="96"/>
  <c r="BM82" i="96"/>
  <c r="BY82" i="96"/>
  <c r="BB82" i="96"/>
  <c r="BN82" i="96"/>
  <c r="BZ82" i="96"/>
  <c r="BC82" i="96"/>
  <c r="BO82" i="96"/>
  <c r="CA82" i="96"/>
  <c r="BD82" i="96"/>
  <c r="BP82" i="96"/>
  <c r="CB82" i="96"/>
  <c r="BE82" i="96"/>
  <c r="BQ82" i="96"/>
  <c r="BF82" i="96"/>
  <c r="BR82" i="96"/>
  <c r="BG82" i="96"/>
  <c r="BS82" i="96"/>
  <c r="BH82" i="96"/>
  <c r="BT82" i="96"/>
  <c r="BI82" i="96"/>
  <c r="BU82" i="96"/>
  <c r="BJ82" i="96"/>
  <c r="BV82" i="96"/>
  <c r="AY82" i="96"/>
  <c r="BK82" i="96"/>
  <c r="BW82" i="96"/>
  <c r="BH83" i="96"/>
  <c r="BT83" i="96"/>
  <c r="BI83" i="96"/>
  <c r="BU83" i="96"/>
  <c r="BJ83" i="96"/>
  <c r="BV83" i="96"/>
  <c r="BK83" i="96"/>
  <c r="BW83" i="96"/>
  <c r="BG83" i="96"/>
  <c r="AZ83" i="96"/>
  <c r="BL83" i="96"/>
  <c r="BX83" i="96"/>
  <c r="BA83" i="96"/>
  <c r="BM83" i="96"/>
  <c r="BY83" i="96"/>
  <c r="BS83" i="96"/>
  <c r="BB83" i="96"/>
  <c r="BN83" i="96"/>
  <c r="BZ83" i="96"/>
  <c r="BC83" i="96"/>
  <c r="BO83" i="96"/>
  <c r="CA83" i="96"/>
  <c r="BD83" i="96"/>
  <c r="BP83" i="96"/>
  <c r="CB83" i="96"/>
  <c r="BE83" i="96"/>
  <c r="BQ83" i="96"/>
  <c r="CC83" i="96"/>
  <c r="BF83" i="96"/>
  <c r="BR83" i="96"/>
  <c r="AZ20" i="96"/>
  <c r="AZ16" i="96"/>
  <c r="J29" i="96"/>
  <c r="K29" i="96" s="1"/>
  <c r="L29" i="96" s="1"/>
  <c r="M29" i="96" s="1"/>
  <c r="D55" i="96"/>
  <c r="B54" i="96"/>
  <c r="BA14" i="96"/>
  <c r="BA21" i="96" s="1"/>
  <c r="BA24" i="96" s="1"/>
  <c r="BA31" i="96" s="1"/>
  <c r="Y68" i="43"/>
  <c r="E32" i="96"/>
  <c r="F27" i="96" s="1"/>
  <c r="F32" i="96" s="1"/>
  <c r="G27" i="96" s="1"/>
  <c r="G32" i="96" s="1"/>
  <c r="H27" i="96" s="1"/>
  <c r="H32" i="96" s="1"/>
  <c r="I27" i="96" s="1"/>
  <c r="I32" i="96" s="1"/>
  <c r="J27" i="96" s="1"/>
  <c r="J32" i="96" s="1"/>
  <c r="K27" i="96" s="1"/>
  <c r="K32" i="96" s="1"/>
  <c r="L27" i="96" s="1"/>
  <c r="L32" i="96" s="1"/>
  <c r="M27" i="96" s="1"/>
  <c r="M32" i="96" s="1"/>
  <c r="N27" i="96" s="1"/>
  <c r="N32" i="96" s="1"/>
  <c r="O27" i="96" s="1"/>
  <c r="O32" i="96" s="1"/>
  <c r="P27" i="96" s="1"/>
  <c r="P32" i="96" s="1"/>
  <c r="Q27" i="96" s="1"/>
  <c r="Q32" i="96" s="1"/>
  <c r="R27" i="96" s="1"/>
  <c r="R32" i="96" s="1"/>
  <c r="S27" i="96" s="1"/>
  <c r="S32" i="96" s="1"/>
  <c r="T27" i="96" s="1"/>
  <c r="T32" i="96" s="1"/>
  <c r="U27" i="96" s="1"/>
  <c r="U32" i="96" s="1"/>
  <c r="V27" i="96" s="1"/>
  <c r="V32" i="96" s="1"/>
  <c r="W27" i="96" s="1"/>
  <c r="W32" i="96" s="1"/>
  <c r="X27" i="96" s="1"/>
  <c r="X32" i="96" s="1"/>
  <c r="Y27" i="96" s="1"/>
  <c r="Y32" i="96" s="1"/>
  <c r="Z27" i="96" s="1"/>
  <c r="Z32" i="96" s="1"/>
  <c r="AA27" i="96" s="1"/>
  <c r="AA32" i="96" s="1"/>
  <c r="AB27" i="96" s="1"/>
  <c r="AB32" i="96" s="1"/>
  <c r="AC27" i="96" s="1"/>
  <c r="AC32" i="96" s="1"/>
  <c r="AD27" i="96" s="1"/>
  <c r="AD32" i="96" s="1"/>
  <c r="AE27" i="96" s="1"/>
  <c r="AE32" i="96" s="1"/>
  <c r="AF27" i="96" s="1"/>
  <c r="AF32" i="96" s="1"/>
  <c r="AG27" i="96" s="1"/>
  <c r="AG32" i="96" s="1"/>
  <c r="AH27" i="96" s="1"/>
  <c r="AH32" i="96" s="1"/>
  <c r="AI27" i="96" s="1"/>
  <c r="AI32" i="96" s="1"/>
  <c r="AJ27" i="96" s="1"/>
  <c r="AJ32" i="96" s="1"/>
  <c r="AK27" i="96" s="1"/>
  <c r="AK32" i="96" s="1"/>
  <c r="AL27" i="96" s="1"/>
  <c r="AL32" i="96" s="1"/>
  <c r="AM27" i="96" s="1"/>
  <c r="AM32" i="96" s="1"/>
  <c r="AN27" i="96" s="1"/>
  <c r="AN32" i="96" s="1"/>
  <c r="AO27" i="96" s="1"/>
  <c r="AO32" i="96" s="1"/>
  <c r="AP27" i="96" s="1"/>
  <c r="AP32" i="96" s="1"/>
  <c r="AQ27" i="96" s="1"/>
  <c r="AQ32" i="96" s="1"/>
  <c r="AR27" i="96" s="1"/>
  <c r="AR32" i="96" s="1"/>
  <c r="AS27" i="96" s="1"/>
  <c r="AS32" i="96" s="1"/>
  <c r="AT27" i="96" s="1"/>
  <c r="AT32" i="96" s="1"/>
  <c r="AU27" i="96" s="1"/>
  <c r="AU32" i="96" s="1"/>
  <c r="AV27" i="96" s="1"/>
  <c r="AV32" i="96" s="1"/>
  <c r="AW27" i="96" s="1"/>
  <c r="AW32" i="96" s="1"/>
  <c r="AX27" i="96" s="1"/>
  <c r="AX32" i="96" s="1"/>
  <c r="AY27" i="96" s="1"/>
  <c r="AY32" i="96" s="1"/>
  <c r="AZ27" i="96" s="1"/>
  <c r="AZ32" i="96" s="1"/>
  <c r="BA27" i="96" s="1"/>
  <c r="O29" i="96"/>
  <c r="P29" i="96" s="1"/>
  <c r="Q29" i="96" s="1"/>
  <c r="R29" i="96" s="1"/>
  <c r="S29" i="96" s="1"/>
  <c r="T29" i="96" s="1"/>
  <c r="U29" i="96" s="1"/>
  <c r="V29" i="96" s="1"/>
  <c r="W29" i="96" s="1"/>
  <c r="X29" i="96" s="1"/>
  <c r="Y29" i="96" s="1"/>
  <c r="Z29" i="96" s="1"/>
  <c r="AA29" i="96" s="1"/>
  <c r="AB29" i="96" s="1"/>
  <c r="AC29" i="96" s="1"/>
  <c r="AD29" i="96" s="1"/>
  <c r="AE29" i="96" s="1"/>
  <c r="AF29" i="96" s="1"/>
  <c r="AG29" i="96" s="1"/>
  <c r="AI29" i="96"/>
  <c r="AJ29" i="96" s="1"/>
  <c r="AK29" i="96" s="1"/>
  <c r="AL29" i="96" s="1"/>
  <c r="AY44" i="96"/>
  <c r="AY45" i="96" s="1"/>
  <c r="AX46" i="96"/>
  <c r="AX49" i="96"/>
  <c r="AX129" i="96"/>
  <c r="AX136" i="96"/>
  <c r="AX50" i="96"/>
  <c r="AY48" i="96"/>
  <c r="AY49" i="96" s="1"/>
  <c r="AZ47" i="96"/>
  <c r="AZ44" i="96"/>
  <c r="U84" i="43"/>
  <c r="V68" i="43"/>
  <c r="W68" i="43" s="1"/>
  <c r="M84" i="43"/>
  <c r="N84" i="43" s="1"/>
  <c r="L69" i="43"/>
  <c r="BA17" i="96"/>
  <c r="BA18" i="96" s="1"/>
  <c r="T84" i="43"/>
  <c r="AA84" i="43" s="1"/>
  <c r="X84" i="43"/>
  <c r="J86" i="43"/>
  <c r="K85" i="43"/>
  <c r="G85" i="43"/>
  <c r="I70" i="43" s="1"/>
  <c r="H85" i="43"/>
  <c r="C86" i="43"/>
  <c r="BJ84" i="96" l="1"/>
  <c r="BV84" i="96"/>
  <c r="BL84" i="96"/>
  <c r="BX84" i="96"/>
  <c r="BA84" i="96"/>
  <c r="BM84" i="96"/>
  <c r="BY84" i="96"/>
  <c r="BB84" i="96"/>
  <c r="BN84" i="96"/>
  <c r="BZ84" i="96"/>
  <c r="BC84" i="96"/>
  <c r="BO84" i="96"/>
  <c r="CA84" i="96"/>
  <c r="BD84" i="96"/>
  <c r="BP84" i="96"/>
  <c r="CB84" i="96"/>
  <c r="BE84" i="96"/>
  <c r="BQ84" i="96"/>
  <c r="CC84" i="96"/>
  <c r="BF84" i="96"/>
  <c r="BR84" i="96"/>
  <c r="CD84" i="96"/>
  <c r="BW84" i="96"/>
  <c r="BG84" i="96"/>
  <c r="BS84" i="96"/>
  <c r="BH84" i="96"/>
  <c r="BT84" i="96"/>
  <c r="BI84" i="96"/>
  <c r="BU84" i="96"/>
  <c r="BK84" i="96"/>
  <c r="BA20" i="96"/>
  <c r="D56" i="96"/>
  <c r="B55" i="96"/>
  <c r="BA16" i="96"/>
  <c r="BB14" i="96"/>
  <c r="BB21" i="96" s="1"/>
  <c r="BB24" i="96" s="1"/>
  <c r="BB31" i="96" s="1"/>
  <c r="Y69" i="43"/>
  <c r="AY46" i="96"/>
  <c r="AZ45" i="96"/>
  <c r="AZ48" i="96"/>
  <c r="AZ49" i="96" s="1"/>
  <c r="BA32" i="96"/>
  <c r="BB27" i="96" s="1"/>
  <c r="AY129" i="96"/>
  <c r="AY136" i="96"/>
  <c r="AY50" i="96"/>
  <c r="U85" i="43"/>
  <c r="BA47" i="96"/>
  <c r="BA44" i="96"/>
  <c r="V69" i="43"/>
  <c r="W69" i="43" s="1"/>
  <c r="M85" i="43"/>
  <c r="N85" i="43" s="1"/>
  <c r="BB17" i="96"/>
  <c r="BB18" i="96" s="1"/>
  <c r="L70" i="43"/>
  <c r="T85" i="43"/>
  <c r="AA85" i="43" s="1"/>
  <c r="J87" i="43"/>
  <c r="G86" i="43"/>
  <c r="I71" i="43" s="1"/>
  <c r="K86" i="43"/>
  <c r="H86" i="43"/>
  <c r="C87" i="43"/>
  <c r="X85" i="43"/>
  <c r="BF85" i="96" l="1"/>
  <c r="BR85" i="96"/>
  <c r="CD85" i="96"/>
  <c r="BG85" i="96"/>
  <c r="BS85" i="96"/>
  <c r="CE85" i="96"/>
  <c r="BH85" i="96"/>
  <c r="BT85" i="96"/>
  <c r="BI85" i="96"/>
  <c r="BU85" i="96"/>
  <c r="BJ85" i="96"/>
  <c r="BV85" i="96"/>
  <c r="BK85" i="96"/>
  <c r="BW85" i="96"/>
  <c r="BL85" i="96"/>
  <c r="BX85" i="96"/>
  <c r="BM85" i="96"/>
  <c r="BY85" i="96"/>
  <c r="BB85" i="96"/>
  <c r="BN85" i="96"/>
  <c r="BZ85" i="96"/>
  <c r="BC85" i="96"/>
  <c r="BO85" i="96"/>
  <c r="CA85" i="96"/>
  <c r="BD85" i="96"/>
  <c r="BP85" i="96"/>
  <c r="CB85" i="96"/>
  <c r="CC85" i="96"/>
  <c r="BQ85" i="96"/>
  <c r="BE85" i="96"/>
  <c r="BB20" i="96"/>
  <c r="B56" i="96"/>
  <c r="D57" i="96"/>
  <c r="BC14" i="96"/>
  <c r="BC21" i="96" s="1"/>
  <c r="Y70" i="43"/>
  <c r="BB16" i="96"/>
  <c r="AZ46" i="96"/>
  <c r="BB32" i="96"/>
  <c r="BC27" i="96" s="1"/>
  <c r="AZ136" i="96"/>
  <c r="AZ50" i="96"/>
  <c r="AZ129" i="96"/>
  <c r="BA48" i="96"/>
  <c r="BA49" i="96"/>
  <c r="U86" i="43"/>
  <c r="BA46" i="96"/>
  <c r="BA45" i="96"/>
  <c r="BB44" i="96"/>
  <c r="BB47" i="96"/>
  <c r="V70" i="43"/>
  <c r="W70" i="43" s="1"/>
  <c r="M86" i="43"/>
  <c r="N86" i="43" s="1"/>
  <c r="L71" i="43"/>
  <c r="BC17" i="96"/>
  <c r="BC18" i="96" s="1"/>
  <c r="T86" i="43"/>
  <c r="AA86" i="43" s="1"/>
  <c r="K87" i="43"/>
  <c r="H87" i="43"/>
  <c r="G87" i="43"/>
  <c r="I72" i="43" s="1"/>
  <c r="C88" i="43"/>
  <c r="X86" i="43"/>
  <c r="BS9" i="90"/>
  <c r="J88" i="43"/>
  <c r="BD14" i="96" l="1"/>
  <c r="BD21" i="96" s="1"/>
  <c r="Y71" i="43"/>
  <c r="BC20" i="96"/>
  <c r="BC16" i="96"/>
  <c r="D58" i="96"/>
  <c r="B57" i="96"/>
  <c r="BB46" i="96"/>
  <c r="BB45" i="96"/>
  <c r="BD16" i="96"/>
  <c r="BD20" i="96"/>
  <c r="U87" i="43"/>
  <c r="BB48" i="96"/>
  <c r="BB49" i="96"/>
  <c r="BA50" i="96"/>
  <c r="BA136" i="96"/>
  <c r="BA129" i="96"/>
  <c r="V71" i="43"/>
  <c r="W71" i="43" s="1"/>
  <c r="BT9" i="96"/>
  <c r="BT10" i="96" s="1"/>
  <c r="M87" i="43"/>
  <c r="N87" i="43" s="1"/>
  <c r="L72" i="43"/>
  <c r="BD17" i="96"/>
  <c r="BD18" i="96" s="1"/>
  <c r="T87" i="43"/>
  <c r="AA87" i="43" s="1"/>
  <c r="K88" i="43"/>
  <c r="G88" i="43"/>
  <c r="I73" i="43" s="1"/>
  <c r="H88" i="43"/>
  <c r="C89" i="43"/>
  <c r="BT9" i="90"/>
  <c r="J89" i="43"/>
  <c r="BS7" i="90"/>
  <c r="BS8" i="90"/>
  <c r="BT7" i="96" s="1"/>
  <c r="X87" i="43"/>
  <c r="BE14" i="96" l="1"/>
  <c r="BE21" i="96" s="1"/>
  <c r="Y72" i="43"/>
  <c r="B58" i="96"/>
  <c r="D59" i="96"/>
  <c r="BE16" i="96"/>
  <c r="BE20" i="96"/>
  <c r="BB129" i="96"/>
  <c r="BB50" i="96"/>
  <c r="BB136" i="96"/>
  <c r="U88" i="43"/>
  <c r="V72" i="43"/>
  <c r="W72" i="43" s="1"/>
  <c r="BT40" i="96"/>
  <c r="BU9" i="96"/>
  <c r="BU10" i="96" s="1"/>
  <c r="BT6" i="96"/>
  <c r="BT45" i="96" s="1"/>
  <c r="M88" i="43"/>
  <c r="N88" i="43" s="1"/>
  <c r="L73" i="43"/>
  <c r="BE17" i="96"/>
  <c r="BE18" i="96" s="1"/>
  <c r="T88" i="43"/>
  <c r="AA88" i="43" s="1"/>
  <c r="G89" i="43"/>
  <c r="I74" i="43" s="1"/>
  <c r="K89" i="43"/>
  <c r="H89" i="43"/>
  <c r="C90" i="43"/>
  <c r="X88" i="43"/>
  <c r="BS12" i="90"/>
  <c r="BS10" i="90"/>
  <c r="BU9" i="90"/>
  <c r="J90" i="43"/>
  <c r="BT7" i="90"/>
  <c r="BT8" i="90"/>
  <c r="BF14" i="96" l="1"/>
  <c r="BF21" i="96" s="1"/>
  <c r="Y73" i="43"/>
  <c r="B59" i="96"/>
  <c r="D60" i="96"/>
  <c r="BT48" i="96"/>
  <c r="BT50" i="96" s="1"/>
  <c r="U89" i="43"/>
  <c r="BF16" i="96"/>
  <c r="BF20" i="96"/>
  <c r="V73" i="43"/>
  <c r="W73" i="43" s="1"/>
  <c r="BT13" i="96"/>
  <c r="BT37" i="96"/>
  <c r="BU45" i="96"/>
  <c r="BU7" i="96"/>
  <c r="BU40" i="96" s="1"/>
  <c r="BV9" i="96"/>
  <c r="BV10" i="96" s="1"/>
  <c r="M89" i="43"/>
  <c r="N89" i="43" s="1"/>
  <c r="L74" i="43"/>
  <c r="BF17" i="96"/>
  <c r="BF18" i="96" s="1"/>
  <c r="T89" i="43"/>
  <c r="AA89" i="43" s="1"/>
  <c r="BT10" i="90"/>
  <c r="BT12" i="90"/>
  <c r="X89" i="43"/>
  <c r="J91" i="43"/>
  <c r="BV9" i="90"/>
  <c r="G90" i="43"/>
  <c r="I75" i="43" s="1"/>
  <c r="K90" i="43"/>
  <c r="H90" i="43"/>
  <c r="C91" i="43"/>
  <c r="BU7" i="90"/>
  <c r="BU8" i="90"/>
  <c r="BT136" i="96" l="1"/>
  <c r="BT129" i="96"/>
  <c r="BG14" i="96"/>
  <c r="BG21" i="96" s="1"/>
  <c r="Y74" i="43"/>
  <c r="B60" i="96"/>
  <c r="D61" i="96"/>
  <c r="U90" i="43"/>
  <c r="BG16" i="96"/>
  <c r="BG20" i="96"/>
  <c r="BU48" i="96"/>
  <c r="BU50" i="96" s="1"/>
  <c r="V74" i="43"/>
  <c r="W74" i="43" s="1"/>
  <c r="BV45" i="96"/>
  <c r="BU13" i="96"/>
  <c r="BV7" i="96"/>
  <c r="BV48" i="96" s="1"/>
  <c r="BW9" i="96"/>
  <c r="BW10" i="96" s="1"/>
  <c r="BU37" i="96"/>
  <c r="M90" i="43"/>
  <c r="N90" i="43" s="1"/>
  <c r="L75" i="43"/>
  <c r="BG17" i="96"/>
  <c r="BG18" i="96" s="1"/>
  <c r="T90" i="43"/>
  <c r="AA90" i="43" s="1"/>
  <c r="X90" i="43"/>
  <c r="BW9" i="90"/>
  <c r="J92" i="43"/>
  <c r="BV7" i="90"/>
  <c r="BV8" i="90"/>
  <c r="BU10" i="90"/>
  <c r="BU12" i="90"/>
  <c r="G91" i="43"/>
  <c r="I76" i="43" s="1"/>
  <c r="K91" i="43"/>
  <c r="H91" i="43"/>
  <c r="C92" i="43"/>
  <c r="BH14" i="96" l="1"/>
  <c r="BH21" i="96" s="1"/>
  <c r="Y75" i="43"/>
  <c r="D62" i="96"/>
  <c r="B61" i="96"/>
  <c r="BU136" i="96"/>
  <c r="BV40" i="96"/>
  <c r="BV136" i="96" s="1"/>
  <c r="U91" i="43"/>
  <c r="BH16" i="96"/>
  <c r="BH20" i="96"/>
  <c r="BU129" i="96"/>
  <c r="V75" i="43"/>
  <c r="W75" i="43" s="1"/>
  <c r="BV13" i="96"/>
  <c r="BV50" i="96"/>
  <c r="BV37" i="96"/>
  <c r="BX9" i="96"/>
  <c r="BX10" i="96" s="1"/>
  <c r="BW7" i="96"/>
  <c r="BW40" i="96" s="1"/>
  <c r="BW45" i="96"/>
  <c r="M91" i="43"/>
  <c r="N91" i="43" s="1"/>
  <c r="L76" i="43"/>
  <c r="BH17" i="96"/>
  <c r="BH18" i="96" s="1"/>
  <c r="T91" i="43"/>
  <c r="AA91" i="43" s="1"/>
  <c r="X91" i="43"/>
  <c r="BW13" i="96"/>
  <c r="BW7" i="90"/>
  <c r="BW8" i="90"/>
  <c r="G92" i="43"/>
  <c r="I77" i="43" s="1"/>
  <c r="K92" i="43"/>
  <c r="H92" i="43"/>
  <c r="C93" i="43"/>
  <c r="BX9" i="90"/>
  <c r="J93" i="43"/>
  <c r="BV12" i="90"/>
  <c r="BV10" i="90"/>
  <c r="BV129" i="96" l="1"/>
  <c r="BI14" i="96"/>
  <c r="BI21" i="96" s="1"/>
  <c r="Y76" i="43"/>
  <c r="B62" i="96"/>
  <c r="D63" i="96"/>
  <c r="BW37" i="96"/>
  <c r="BI16" i="96"/>
  <c r="BI20" i="96"/>
  <c r="U92" i="43"/>
  <c r="V76" i="43"/>
  <c r="W76" i="43" s="1"/>
  <c r="BW48" i="96"/>
  <c r="BW50" i="96" s="1"/>
  <c r="BY9" i="96"/>
  <c r="BY10" i="96" s="1"/>
  <c r="BX45" i="96"/>
  <c r="BX7" i="96"/>
  <c r="BX48" i="96" s="1"/>
  <c r="M92" i="43"/>
  <c r="N92" i="43" s="1"/>
  <c r="L77" i="43"/>
  <c r="BI17" i="96"/>
  <c r="BI18" i="96" s="1"/>
  <c r="T92" i="43"/>
  <c r="AA92" i="43" s="1"/>
  <c r="BW10" i="90"/>
  <c r="BW12" i="90"/>
  <c r="G93" i="43"/>
  <c r="I78" i="43" s="1"/>
  <c r="K93" i="43"/>
  <c r="H93" i="43"/>
  <c r="C94" i="43"/>
  <c r="BY9" i="90"/>
  <c r="J94" i="43"/>
  <c r="X92" i="43"/>
  <c r="BX7" i="90"/>
  <c r="BX8" i="90"/>
  <c r="D64" i="96" l="1"/>
  <c r="B63" i="96"/>
  <c r="BJ14" i="96"/>
  <c r="BJ21" i="96" s="1"/>
  <c r="Y77" i="43"/>
  <c r="U93" i="43"/>
  <c r="BX40" i="96"/>
  <c r="BX129" i="96" s="1"/>
  <c r="V77" i="43"/>
  <c r="W77" i="43" s="1"/>
  <c r="BX50" i="96"/>
  <c r="BW136" i="96"/>
  <c r="BW129" i="96"/>
  <c r="BX13" i="96"/>
  <c r="BX37" i="96"/>
  <c r="BY7" i="96"/>
  <c r="BY48" i="96" s="1"/>
  <c r="BZ9" i="96"/>
  <c r="BZ10" i="96" s="1"/>
  <c r="BY45" i="96"/>
  <c r="BY40" i="96"/>
  <c r="M93" i="43"/>
  <c r="N93" i="43" s="1"/>
  <c r="L78" i="43"/>
  <c r="BJ17" i="96"/>
  <c r="BJ18" i="96" s="1"/>
  <c r="T93" i="43"/>
  <c r="AA93" i="43" s="1"/>
  <c r="BZ9" i="90"/>
  <c r="J95" i="43"/>
  <c r="K94" i="43"/>
  <c r="G94" i="43"/>
  <c r="I79" i="43" s="1"/>
  <c r="H94" i="43"/>
  <c r="C95" i="43"/>
  <c r="BX10" i="90"/>
  <c r="BX12" i="90"/>
  <c r="BY7" i="90"/>
  <c r="BY8" i="90"/>
  <c r="X93" i="43"/>
  <c r="BJ16" i="96" l="1"/>
  <c r="BK14" i="96"/>
  <c r="BK21" i="96" s="1"/>
  <c r="Y78" i="43"/>
  <c r="D65" i="96"/>
  <c r="B64" i="96"/>
  <c r="BJ20" i="96"/>
  <c r="BK16" i="96"/>
  <c r="U94" i="43"/>
  <c r="BX136" i="96"/>
  <c r="V78" i="43"/>
  <c r="W78" i="43" s="1"/>
  <c r="BY50" i="96"/>
  <c r="BY13" i="96"/>
  <c r="BY37" i="96"/>
  <c r="BZ7" i="96"/>
  <c r="BZ48" i="96" s="1"/>
  <c r="BZ45" i="96"/>
  <c r="CA9" i="96"/>
  <c r="CA10" i="96" s="1"/>
  <c r="BY129" i="96"/>
  <c r="M94" i="43"/>
  <c r="N94" i="43" s="1"/>
  <c r="BK17" i="96"/>
  <c r="BK18" i="96" s="1"/>
  <c r="L79" i="43"/>
  <c r="T94" i="43"/>
  <c r="AA94" i="43" s="1"/>
  <c r="BY136" i="96"/>
  <c r="BZ7" i="90"/>
  <c r="BZ8" i="90"/>
  <c r="G95" i="43"/>
  <c r="I80" i="43" s="1"/>
  <c r="K95" i="43"/>
  <c r="C96" i="43"/>
  <c r="H95" i="43"/>
  <c r="X94" i="43"/>
  <c r="BY10" i="90"/>
  <c r="BY12" i="90"/>
  <c r="CA9" i="90"/>
  <c r="J96" i="43"/>
  <c r="BK20" i="96" l="1"/>
  <c r="BL14" i="96"/>
  <c r="BL21" i="96" s="1"/>
  <c r="Y79" i="43"/>
  <c r="D66" i="96"/>
  <c r="B65" i="96"/>
  <c r="BL16" i="96"/>
  <c r="BL20" i="96"/>
  <c r="U95" i="43"/>
  <c r="BZ37" i="96"/>
  <c r="V79" i="43"/>
  <c r="W79" i="43" s="1"/>
  <c r="BZ40" i="96"/>
  <c r="BZ136" i="96" s="1"/>
  <c r="BZ13" i="96"/>
  <c r="BZ50" i="96"/>
  <c r="CB9" i="96"/>
  <c r="CB10" i="96" s="1"/>
  <c r="CA7" i="96"/>
  <c r="CA48" i="96" s="1"/>
  <c r="CA45" i="96"/>
  <c r="M95" i="43"/>
  <c r="N95" i="43" s="1"/>
  <c r="L80" i="43"/>
  <c r="BL17" i="96"/>
  <c r="BL18" i="96" s="1"/>
  <c r="T95" i="43"/>
  <c r="AA95" i="43" s="1"/>
  <c r="D96" i="43"/>
  <c r="K96" i="43"/>
  <c r="H96" i="43"/>
  <c r="G96" i="43"/>
  <c r="I81" i="43" s="1"/>
  <c r="C97" i="43"/>
  <c r="BZ12" i="90"/>
  <c r="BZ10" i="90"/>
  <c r="J97" i="43"/>
  <c r="CB9" i="90"/>
  <c r="X95" i="43"/>
  <c r="CA7" i="90"/>
  <c r="CA8" i="90"/>
  <c r="B66" i="96" l="1"/>
  <c r="D67" i="96"/>
  <c r="BM14" i="96"/>
  <c r="BM21" i="96" s="1"/>
  <c r="Y80" i="43"/>
  <c r="CA13" i="96"/>
  <c r="U96" i="43"/>
  <c r="BM20" i="96"/>
  <c r="V80" i="43"/>
  <c r="W80" i="43" s="1"/>
  <c r="BZ129" i="96"/>
  <c r="CA40" i="96"/>
  <c r="CA129" i="96" s="1"/>
  <c r="CA50" i="96"/>
  <c r="CB45" i="96"/>
  <c r="CA37" i="96"/>
  <c r="CC9" i="96"/>
  <c r="CC10" i="96" s="1"/>
  <c r="CB7" i="96"/>
  <c r="CB48" i="96" s="1"/>
  <c r="M96" i="43"/>
  <c r="N96" i="43" s="1"/>
  <c r="BM17" i="96"/>
  <c r="BM18" i="96" s="1"/>
  <c r="L81" i="43"/>
  <c r="T96" i="43"/>
  <c r="AA96" i="43" s="1"/>
  <c r="CA10" i="90"/>
  <c r="CA12" i="90"/>
  <c r="I86" i="43"/>
  <c r="CB7" i="90"/>
  <c r="CB8" i="90"/>
  <c r="G97" i="43"/>
  <c r="K97" i="43"/>
  <c r="H97" i="43"/>
  <c r="X96" i="43"/>
  <c r="BM16" i="96" l="1"/>
  <c r="BN14" i="96"/>
  <c r="BN21" i="96" s="1"/>
  <c r="Y81" i="43"/>
  <c r="D68" i="96"/>
  <c r="B67" i="96"/>
  <c r="L86" i="43"/>
  <c r="U97" i="43"/>
  <c r="I82" i="43"/>
  <c r="I83" i="43"/>
  <c r="I84" i="43"/>
  <c r="I85" i="43"/>
  <c r="V81" i="43"/>
  <c r="W81" i="43" s="1"/>
  <c r="CA136" i="96"/>
  <c r="CB40" i="96"/>
  <c r="CB129" i="96" s="1"/>
  <c r="CB13" i="96"/>
  <c r="CB37" i="96"/>
  <c r="CB50" i="96"/>
  <c r="CC7" i="96"/>
  <c r="CC45" i="96"/>
  <c r="M97" i="43"/>
  <c r="N97" i="43" s="1"/>
  <c r="BN17" i="96"/>
  <c r="BN18" i="96" s="1"/>
  <c r="L82" i="43"/>
  <c r="L83" i="43"/>
  <c r="L84" i="43"/>
  <c r="L85" i="43"/>
  <c r="T97" i="43"/>
  <c r="AA97" i="43" s="1"/>
  <c r="L97" i="43"/>
  <c r="Y97" i="43" s="1"/>
  <c r="L96" i="43"/>
  <c r="L94" i="43"/>
  <c r="L92" i="43"/>
  <c r="L90" i="43"/>
  <c r="L93" i="43"/>
  <c r="L89" i="43"/>
  <c r="X97" i="43"/>
  <c r="L95" i="43"/>
  <c r="L87" i="43"/>
  <c r="L88" i="43"/>
  <c r="L91" i="43"/>
  <c r="I90" i="43"/>
  <c r="I97" i="43"/>
  <c r="I89" i="43"/>
  <c r="I96" i="43"/>
  <c r="I95" i="43"/>
  <c r="I91" i="43"/>
  <c r="I87" i="43"/>
  <c r="I94" i="43"/>
  <c r="I93" i="43"/>
  <c r="I92" i="43"/>
  <c r="I88" i="43"/>
  <c r="CB10" i="90"/>
  <c r="CB12" i="90"/>
  <c r="BN16" i="96" l="1"/>
  <c r="BN20" i="96"/>
  <c r="BX14" i="96"/>
  <c r="BX21" i="96" s="1"/>
  <c r="Y91" i="43"/>
  <c r="BO14" i="96"/>
  <c r="BO21" i="96" s="1"/>
  <c r="Y82" i="43"/>
  <c r="BU14" i="96"/>
  <c r="BU21" i="96" s="1"/>
  <c r="Y88" i="43"/>
  <c r="CA14" i="96"/>
  <c r="CA21" i="96" s="1"/>
  <c r="Y94" i="43"/>
  <c r="BT14" i="96"/>
  <c r="BT21" i="96" s="1"/>
  <c r="BT24" i="96" s="1"/>
  <c r="Y87" i="43"/>
  <c r="BZ14" i="96"/>
  <c r="BZ21" i="96" s="1"/>
  <c r="Y93" i="43"/>
  <c r="CC14" i="96"/>
  <c r="CC21" i="96" s="1"/>
  <c r="Y96" i="43"/>
  <c r="BQ14" i="96"/>
  <c r="BQ21" i="96" s="1"/>
  <c r="Y84" i="43"/>
  <c r="BY14" i="96"/>
  <c r="BY21" i="96" s="1"/>
  <c r="Y92" i="43"/>
  <c r="BV14" i="96"/>
  <c r="BV21" i="96" s="1"/>
  <c r="Y89" i="43"/>
  <c r="BR14" i="96"/>
  <c r="BR21" i="96" s="1"/>
  <c r="Y85" i="43"/>
  <c r="CB14" i="96"/>
  <c r="CB21" i="96" s="1"/>
  <c r="Y95" i="43"/>
  <c r="BW14" i="96"/>
  <c r="BW21" i="96" s="1"/>
  <c r="Y90" i="43"/>
  <c r="BP14" i="96"/>
  <c r="BP21" i="96" s="1"/>
  <c r="Y83" i="43"/>
  <c r="Y86" i="43"/>
  <c r="B68" i="96"/>
  <c r="D69" i="96"/>
  <c r="CF19" i="96"/>
  <c r="CE15" i="96"/>
  <c r="CL19" i="96"/>
  <c r="CH19" i="96"/>
  <c r="CH15" i="96"/>
  <c r="CJ15" i="96"/>
  <c r="CM15" i="96"/>
  <c r="CI19" i="96"/>
  <c r="CJ19" i="96"/>
  <c r="CF15" i="96"/>
  <c r="CK19" i="96"/>
  <c r="CG19" i="96"/>
  <c r="CE19" i="96"/>
  <c r="CK15" i="96"/>
  <c r="CM19" i="96"/>
  <c r="CG15" i="96"/>
  <c r="CL15" i="96"/>
  <c r="CI15" i="96"/>
  <c r="V86" i="43"/>
  <c r="W86" i="43" s="1"/>
  <c r="BR16" i="96"/>
  <c r="BU24" i="96"/>
  <c r="CA20" i="96"/>
  <c r="V97" i="43"/>
  <c r="W97" i="43" s="1"/>
  <c r="CD14" i="96"/>
  <c r="CD21" i="96" s="1"/>
  <c r="CH14" i="96"/>
  <c r="CL14" i="96"/>
  <c r="CJ14" i="96"/>
  <c r="CG14" i="96"/>
  <c r="CE14" i="96"/>
  <c r="CI14" i="96"/>
  <c r="CM14" i="96"/>
  <c r="CF14" i="96"/>
  <c r="CK14" i="96"/>
  <c r="V88" i="43"/>
  <c r="W88" i="43" s="1"/>
  <c r="V94" i="43"/>
  <c r="W94" i="43" s="1"/>
  <c r="V85" i="43"/>
  <c r="W85" i="43" s="1"/>
  <c r="V93" i="43"/>
  <c r="W93" i="43" s="1"/>
  <c r="V84" i="43"/>
  <c r="W84" i="43" s="1"/>
  <c r="V95" i="43"/>
  <c r="W95" i="43" s="1"/>
  <c r="V90" i="43"/>
  <c r="W90" i="43" s="1"/>
  <c r="V83" i="43"/>
  <c r="W83" i="43" s="1"/>
  <c r="V89" i="43"/>
  <c r="W89" i="43" s="1"/>
  <c r="V87" i="43"/>
  <c r="W87" i="43" s="1"/>
  <c r="V96" i="43"/>
  <c r="W96" i="43" s="1"/>
  <c r="V91" i="43"/>
  <c r="W91" i="43" s="1"/>
  <c r="V92" i="43"/>
  <c r="W92" i="43" s="1"/>
  <c r="BJ7" i="87"/>
  <c r="BJ11" i="87"/>
  <c r="BK11" i="90" s="1"/>
  <c r="BG9" i="87"/>
  <c r="BG9" i="90" s="1"/>
  <c r="BB9" i="87"/>
  <c r="BB9" i="90" s="1"/>
  <c r="BC9" i="87"/>
  <c r="BC9" i="90" s="1"/>
  <c r="BH11" i="87"/>
  <c r="BB7" i="87"/>
  <c r="BD9" i="87"/>
  <c r="BD9" i="90" s="1"/>
  <c r="BF7" i="87"/>
  <c r="BJ9" i="87"/>
  <c r="BK9" i="90" s="1"/>
  <c r="BE9" i="87"/>
  <c r="BE9" i="90" s="1"/>
  <c r="BI7" i="87"/>
  <c r="BP11" i="87"/>
  <c r="BQ11" i="90" s="1"/>
  <c r="BN11" i="87"/>
  <c r="BO11" i="90" s="1"/>
  <c r="BF11" i="87"/>
  <c r="BH7" i="87"/>
  <c r="BE11" i="87"/>
  <c r="BM11" i="87"/>
  <c r="BN11" i="90" s="1"/>
  <c r="BD11" i="87"/>
  <c r="BH9" i="87"/>
  <c r="BQ7" i="87"/>
  <c r="BL9" i="87"/>
  <c r="BM9" i="90" s="1"/>
  <c r="BC11" i="87"/>
  <c r="BL7" i="87"/>
  <c r="BK11" i="87"/>
  <c r="BL11" i="90" s="1"/>
  <c r="BF9" i="87"/>
  <c r="BF9" i="90" s="1"/>
  <c r="BC7" i="87"/>
  <c r="BK7" i="87"/>
  <c r="BI11" i="87"/>
  <c r="BJ11" i="90" s="1"/>
  <c r="BG11" i="87"/>
  <c r="BL11" i="87"/>
  <c r="BM11" i="90" s="1"/>
  <c r="BB11" i="87"/>
  <c r="BE7" i="87"/>
  <c r="BI9" i="87"/>
  <c r="BJ9" i="90" s="1"/>
  <c r="BO9" i="87"/>
  <c r="BP9" i="90" s="1"/>
  <c r="BM7" i="87"/>
  <c r="BD7" i="87"/>
  <c r="BG7" i="87"/>
  <c r="BP9" i="87"/>
  <c r="BQ9" i="90" s="1"/>
  <c r="BO11" i="87"/>
  <c r="BP11" i="90" s="1"/>
  <c r="BN7" i="87"/>
  <c r="BQ11" i="87"/>
  <c r="BR11" i="90" s="1"/>
  <c r="BQ9" i="87"/>
  <c r="BR9" i="90" s="1"/>
  <c r="BM9" i="87"/>
  <c r="BN9" i="90" s="1"/>
  <c r="BN9" i="87"/>
  <c r="BO9" i="90" s="1"/>
  <c r="BO7" i="87"/>
  <c r="BP7" i="87"/>
  <c r="BK9" i="87"/>
  <c r="BL9" i="90" s="1"/>
  <c r="V82" i="43"/>
  <c r="W82" i="43" s="1"/>
  <c r="CB136" i="96"/>
  <c r="CC48" i="96"/>
  <c r="CC50" i="96" s="1"/>
  <c r="CC40" i="96"/>
  <c r="CC37" i="96"/>
  <c r="CC13" i="96"/>
  <c r="BQ17" i="96"/>
  <c r="BP17" i="96"/>
  <c r="BO17" i="96"/>
  <c r="BO18" i="96" s="1"/>
  <c r="BR17" i="96"/>
  <c r="BZ17" i="96"/>
  <c r="BW17" i="96"/>
  <c r="BX17" i="96"/>
  <c r="BY17" i="96"/>
  <c r="BT17" i="96"/>
  <c r="BT18" i="96" s="1"/>
  <c r="CC17" i="96"/>
  <c r="CB17" i="96"/>
  <c r="BU17" i="96"/>
  <c r="BV17" i="96"/>
  <c r="CA17" i="96"/>
  <c r="BU20" i="96" l="1"/>
  <c r="BW20" i="96"/>
  <c r="BX20" i="96"/>
  <c r="BT20" i="96"/>
  <c r="BY16" i="96"/>
  <c r="CC20" i="96"/>
  <c r="BT16" i="96"/>
  <c r="BU16" i="96"/>
  <c r="BW16" i="96"/>
  <c r="BX16" i="96"/>
  <c r="CC16" i="96"/>
  <c r="BY20" i="96"/>
  <c r="BR20" i="96"/>
  <c r="CI21" i="96"/>
  <c r="CH21" i="96"/>
  <c r="CB16" i="96"/>
  <c r="BV20" i="96"/>
  <c r="BP16" i="96"/>
  <c r="BZ20" i="96"/>
  <c r="BZ16" i="96"/>
  <c r="BV16" i="96"/>
  <c r="BP20" i="96"/>
  <c r="CB20" i="96"/>
  <c r="CE21" i="96"/>
  <c r="CJ21" i="96"/>
  <c r="CA16" i="96"/>
  <c r="BQ20" i="96"/>
  <c r="BO20" i="96"/>
  <c r="BQ16" i="96"/>
  <c r="BO16" i="96"/>
  <c r="D70" i="96"/>
  <c r="B69" i="96"/>
  <c r="CF21" i="96"/>
  <c r="CM21" i="96"/>
  <c r="CK21" i="96"/>
  <c r="CL21" i="96"/>
  <c r="CG21" i="96"/>
  <c r="CF20" i="96"/>
  <c r="CM20" i="96"/>
  <c r="CJ20" i="96"/>
  <c r="CK20" i="96"/>
  <c r="CE20" i="96"/>
  <c r="CH20" i="96"/>
  <c r="CG20" i="96"/>
  <c r="CD20" i="96"/>
  <c r="CI20" i="96"/>
  <c r="CL20" i="96"/>
  <c r="BQ12" i="96"/>
  <c r="BD8" i="87"/>
  <c r="BD8" i="90" s="1"/>
  <c r="BD7" i="90"/>
  <c r="BD10" i="87"/>
  <c r="BD10" i="90" s="1"/>
  <c r="BD38" i="90" s="1"/>
  <c r="BB11" i="90"/>
  <c r="BN9" i="96"/>
  <c r="BO12" i="96"/>
  <c r="BE9" i="96"/>
  <c r="BE7" i="90"/>
  <c r="BE8" i="87"/>
  <c r="BE8" i="90" s="1"/>
  <c r="BE10" i="87"/>
  <c r="BE10" i="90" s="1"/>
  <c r="BE38" i="90" s="1"/>
  <c r="BQ10" i="87"/>
  <c r="BQ8" i="87"/>
  <c r="BR8" i="90" s="1"/>
  <c r="BR7" i="90"/>
  <c r="BP12" i="96"/>
  <c r="BB10" i="87"/>
  <c r="BB10" i="90" s="1"/>
  <c r="BB38" i="90" s="1"/>
  <c r="BB7" i="90"/>
  <c r="BB8" i="87"/>
  <c r="BB8" i="90" s="1"/>
  <c r="BO8" i="87"/>
  <c r="BP8" i="90" s="1"/>
  <c r="BO10" i="87"/>
  <c r="BP7" i="90"/>
  <c r="BQ9" i="96"/>
  <c r="BG11" i="90"/>
  <c r="BC8" i="87"/>
  <c r="BC8" i="90" s="1"/>
  <c r="BC10" i="87"/>
  <c r="BC10" i="90" s="1"/>
  <c r="BC38" i="90" s="1"/>
  <c r="BC7" i="90"/>
  <c r="BG9" i="96"/>
  <c r="BM12" i="96"/>
  <c r="BH9" i="90"/>
  <c r="BI9" i="90"/>
  <c r="BD11" i="90"/>
  <c r="BE11" i="90"/>
  <c r="BR12" i="96"/>
  <c r="BH11" i="90"/>
  <c r="BI11" i="90"/>
  <c r="BJ8" i="87"/>
  <c r="BK8" i="90" s="1"/>
  <c r="BJ10" i="87"/>
  <c r="BK7" i="90"/>
  <c r="BM9" i="96"/>
  <c r="BO9" i="96"/>
  <c r="BK10" i="87"/>
  <c r="BK8" i="87"/>
  <c r="BL8" i="90" s="1"/>
  <c r="BL7" i="90"/>
  <c r="BC11" i="90"/>
  <c r="BL9" i="96"/>
  <c r="BP10" i="87"/>
  <c r="BP8" i="87"/>
  <c r="BQ8" i="90" s="1"/>
  <c r="BQ7" i="90"/>
  <c r="BR9" i="96"/>
  <c r="BM8" i="87"/>
  <c r="BN8" i="90" s="1"/>
  <c r="BM10" i="87"/>
  <c r="BN7" i="90"/>
  <c r="BN12" i="96"/>
  <c r="BF11" i="90"/>
  <c r="BI10" i="87"/>
  <c r="BI8" i="87"/>
  <c r="BJ8" i="90" s="1"/>
  <c r="BJ7" i="90"/>
  <c r="BF10" i="87"/>
  <c r="BF10" i="90" s="1"/>
  <c r="BF38" i="90" s="1"/>
  <c r="BF7" i="90"/>
  <c r="BF8" i="87"/>
  <c r="BF8" i="90" s="1"/>
  <c r="BC9" i="96"/>
  <c r="BL12" i="96"/>
  <c r="BP9" i="96"/>
  <c r="BN10" i="87"/>
  <c r="BN8" i="87"/>
  <c r="BO8" i="90" s="1"/>
  <c r="BO7" i="90"/>
  <c r="BG10" i="87"/>
  <c r="BG10" i="90" s="1"/>
  <c r="BG38" i="90" s="1"/>
  <c r="BG7" i="90"/>
  <c r="BG8" i="87"/>
  <c r="BG8" i="90" s="1"/>
  <c r="BK9" i="96"/>
  <c r="BK12" i="96"/>
  <c r="BL10" i="87"/>
  <c r="BL8" i="87"/>
  <c r="BM8" i="90" s="1"/>
  <c r="BM7" i="90"/>
  <c r="BH7" i="90"/>
  <c r="BH10" i="87"/>
  <c r="BH12" i="87" s="1"/>
  <c r="BH8" i="87"/>
  <c r="BI7" i="90"/>
  <c r="BF9" i="96"/>
  <c r="BD9" i="96"/>
  <c r="BH9" i="96"/>
  <c r="CC129" i="96"/>
  <c r="CC136" i="96"/>
  <c r="BR18" i="96"/>
  <c r="BP18" i="96"/>
  <c r="BQ18" i="96"/>
  <c r="BZ18" i="96"/>
  <c r="BV18" i="96"/>
  <c r="CB18" i="96"/>
  <c r="BX18" i="96"/>
  <c r="CA18" i="96"/>
  <c r="BU18" i="96"/>
  <c r="CD18" i="96"/>
  <c r="CC18" i="96"/>
  <c r="BY18" i="96"/>
  <c r="BW18" i="96"/>
  <c r="D71" i="96" l="1"/>
  <c r="B70" i="96"/>
  <c r="BD12" i="87"/>
  <c r="BD12" i="90" s="1"/>
  <c r="BC12" i="87"/>
  <c r="BC12" i="90" s="1"/>
  <c r="BE12" i="87"/>
  <c r="BE12" i="90" s="1"/>
  <c r="BG12" i="87"/>
  <c r="BG12" i="90" s="1"/>
  <c r="BH12" i="90"/>
  <c r="BI12" i="90"/>
  <c r="BL6" i="96"/>
  <c r="BL10" i="96" s="1"/>
  <c r="BJ9" i="96"/>
  <c r="BF6" i="96"/>
  <c r="BF10" i="96" s="1"/>
  <c r="BE39" i="90"/>
  <c r="BE40" i="90" s="1"/>
  <c r="BE7" i="96"/>
  <c r="BD41" i="90"/>
  <c r="BG41" i="90"/>
  <c r="BH7" i="96"/>
  <c r="BK7" i="96"/>
  <c r="BO7" i="96"/>
  <c r="BM6" i="96"/>
  <c r="BM10" i="96" s="1"/>
  <c r="BI12" i="96"/>
  <c r="BI9" i="96"/>
  <c r="BC12" i="96"/>
  <c r="BH8" i="90"/>
  <c r="BI8" i="90"/>
  <c r="BN7" i="96"/>
  <c r="BF12" i="87"/>
  <c r="BF12" i="90" s="1"/>
  <c r="BO6" i="96"/>
  <c r="BO10" i="96" s="1"/>
  <c r="BK12" i="87"/>
  <c r="BL12" i="90" s="1"/>
  <c r="BL10" i="90"/>
  <c r="BJ12" i="96"/>
  <c r="BE12" i="96"/>
  <c r="BQ6" i="96"/>
  <c r="BQ10" i="96" s="1"/>
  <c r="BC6" i="96"/>
  <c r="BC10" i="96" s="1"/>
  <c r="BB39" i="90"/>
  <c r="BB40" i="90" s="1"/>
  <c r="BS6" i="96"/>
  <c r="BE41" i="90"/>
  <c r="BF7" i="96"/>
  <c r="BE6" i="96"/>
  <c r="BE10" i="96" s="1"/>
  <c r="BD39" i="90"/>
  <c r="BD40" i="90" s="1"/>
  <c r="BH10" i="90"/>
  <c r="BH38" i="90" s="1"/>
  <c r="BI10" i="90"/>
  <c r="BL12" i="87"/>
  <c r="BM12" i="90" s="1"/>
  <c r="BM10" i="90"/>
  <c r="BP6" i="96"/>
  <c r="BP10" i="96" s="1"/>
  <c r="BK6" i="96"/>
  <c r="BK10" i="96" s="1"/>
  <c r="BK13" i="96" s="1"/>
  <c r="BG12" i="96"/>
  <c r="BM12" i="87"/>
  <c r="BN12" i="90" s="1"/>
  <c r="BN10" i="90"/>
  <c r="BR6" i="96"/>
  <c r="BR10" i="96" s="1"/>
  <c r="BD12" i="96"/>
  <c r="BC41" i="90"/>
  <c r="BD7" i="96"/>
  <c r="BO12" i="87"/>
  <c r="BP12" i="90" s="1"/>
  <c r="BP10" i="90"/>
  <c r="BS7" i="96"/>
  <c r="BB12" i="87"/>
  <c r="BB12" i="90" s="1"/>
  <c r="BH39" i="90"/>
  <c r="BH40" i="90" s="1"/>
  <c r="BI6" i="96"/>
  <c r="BP7" i="96"/>
  <c r="BG7" i="96"/>
  <c r="BF41" i="90"/>
  <c r="BR7" i="96"/>
  <c r="BJ12" i="87"/>
  <c r="BK12" i="90" s="1"/>
  <c r="BK10" i="90"/>
  <c r="BF12" i="96"/>
  <c r="BQ7" i="96"/>
  <c r="BQ12" i="87"/>
  <c r="BR12" i="90" s="1"/>
  <c r="BR10" i="90"/>
  <c r="BJ6" i="96"/>
  <c r="BN6" i="96"/>
  <c r="BN10" i="96" s="1"/>
  <c r="BG39" i="90"/>
  <c r="BG40" i="90" s="1"/>
  <c r="BH6" i="96"/>
  <c r="BH10" i="96" s="1"/>
  <c r="BN12" i="87"/>
  <c r="BO12" i="90" s="1"/>
  <c r="BO10" i="90"/>
  <c r="BG6" i="96"/>
  <c r="BG10" i="96" s="1"/>
  <c r="BF39" i="90"/>
  <c r="BF40" i="90" s="1"/>
  <c r="BI12" i="87"/>
  <c r="BJ12" i="90" s="1"/>
  <c r="BJ10" i="90"/>
  <c r="BP12" i="87"/>
  <c r="BQ12" i="90" s="1"/>
  <c r="BQ10" i="90"/>
  <c r="BM7" i="96"/>
  <c r="BL7" i="96"/>
  <c r="BC39" i="90"/>
  <c r="BC40" i="90" s="1"/>
  <c r="BD6" i="96"/>
  <c r="BD10" i="96" s="1"/>
  <c r="BH12" i="96"/>
  <c r="BB41" i="90"/>
  <c r="BC7" i="96"/>
  <c r="B71" i="96" l="1"/>
  <c r="D72" i="96"/>
  <c r="BL37" i="96"/>
  <c r="BL24" i="96"/>
  <c r="BL31" i="96" s="1"/>
  <c r="BN13" i="96"/>
  <c r="BN24" i="96"/>
  <c r="BM13" i="96"/>
  <c r="BM24" i="96"/>
  <c r="BS24" i="96"/>
  <c r="BQ13" i="96"/>
  <c r="BO13" i="96"/>
  <c r="BO24" i="96"/>
  <c r="BK24" i="96"/>
  <c r="BK31" i="96" s="1"/>
  <c r="BP13" i="96"/>
  <c r="BJ10" i="96"/>
  <c r="BG37" i="96"/>
  <c r="BG40" i="96"/>
  <c r="BG24" i="96"/>
  <c r="BG31" i="96" s="1"/>
  <c r="BG13" i="96"/>
  <c r="BS45" i="96"/>
  <c r="BS37" i="96"/>
  <c r="BN48" i="96"/>
  <c r="BN40" i="96"/>
  <c r="BC24" i="96"/>
  <c r="BC31" i="96" s="1"/>
  <c r="BC13" i="96"/>
  <c r="BO48" i="96"/>
  <c r="BO40" i="96"/>
  <c r="BF37" i="96"/>
  <c r="BH24" i="96"/>
  <c r="BH31" i="96" s="1"/>
  <c r="BH13" i="96"/>
  <c r="BL40" i="96"/>
  <c r="BN45" i="96"/>
  <c r="BN37" i="96"/>
  <c r="BQ48" i="96"/>
  <c r="BQ40" i="96"/>
  <c r="BR45" i="96"/>
  <c r="BR37" i="96"/>
  <c r="BP45" i="96"/>
  <c r="BP37" i="96"/>
  <c r="BF40" i="96"/>
  <c r="BQ45" i="96"/>
  <c r="BQ37" i="96"/>
  <c r="BR13" i="96"/>
  <c r="BO45" i="96"/>
  <c r="BO37" i="96"/>
  <c r="BK40" i="96"/>
  <c r="BP24" i="96"/>
  <c r="BM48" i="96"/>
  <c r="BM40" i="96"/>
  <c r="BF24" i="96"/>
  <c r="BF31" i="96" s="1"/>
  <c r="BF13" i="96"/>
  <c r="BR40" i="96"/>
  <c r="BR48" i="96"/>
  <c r="BD24" i="96"/>
  <c r="BD31" i="96" s="1"/>
  <c r="BD13" i="96"/>
  <c r="BK37" i="96"/>
  <c r="BE24" i="96"/>
  <c r="BE31" i="96" s="1"/>
  <c r="BE13" i="96"/>
  <c r="BR24" i="96"/>
  <c r="BJ7" i="96"/>
  <c r="BJ40" i="96" s="1"/>
  <c r="BM45" i="96"/>
  <c r="BM37" i="96"/>
  <c r="BH40" i="96"/>
  <c r="BE40" i="96"/>
  <c r="BC40" i="96"/>
  <c r="BC8" i="96"/>
  <c r="BD8" i="96" s="1"/>
  <c r="BE8" i="96" s="1"/>
  <c r="BF8" i="96" s="1"/>
  <c r="BG8" i="96" s="1"/>
  <c r="BH8" i="96" s="1"/>
  <c r="BD37" i="96"/>
  <c r="BL13" i="96"/>
  <c r="BH37" i="96"/>
  <c r="BQ24" i="96"/>
  <c r="BP48" i="96"/>
  <c r="BP40" i="96"/>
  <c r="BI10" i="96"/>
  <c r="BS40" i="96"/>
  <c r="BS48" i="96"/>
  <c r="BD40" i="96"/>
  <c r="BE37" i="96"/>
  <c r="BC11" i="96"/>
  <c r="BD11" i="96" s="1"/>
  <c r="BE11" i="96" s="1"/>
  <c r="BF11" i="96" s="1"/>
  <c r="BG11" i="96" s="1"/>
  <c r="BH11" i="96" s="1"/>
  <c r="BC37" i="96"/>
  <c r="BH41" i="90"/>
  <c r="BI7" i="96"/>
  <c r="BJ87" i="96" l="1"/>
  <c r="BV87" i="96"/>
  <c r="BK87" i="96"/>
  <c r="BW87" i="96"/>
  <c r="BL87" i="96"/>
  <c r="BX87" i="96"/>
  <c r="BM87" i="96"/>
  <c r="BY87" i="96"/>
  <c r="BN87" i="96"/>
  <c r="BZ87" i="96"/>
  <c r="BO87" i="96"/>
  <c r="CA87" i="96"/>
  <c r="BD87" i="96"/>
  <c r="BP87" i="96"/>
  <c r="CB87" i="96"/>
  <c r="BE87" i="96"/>
  <c r="BQ87" i="96"/>
  <c r="CC87" i="96"/>
  <c r="BF87" i="96"/>
  <c r="BR87" i="96"/>
  <c r="CD87" i="96"/>
  <c r="BG87" i="96"/>
  <c r="BS87" i="96"/>
  <c r="CE87" i="96"/>
  <c r="BH87" i="96"/>
  <c r="BT87" i="96"/>
  <c r="CF87" i="96"/>
  <c r="BI87" i="96"/>
  <c r="BU87" i="96"/>
  <c r="CG87" i="96"/>
  <c r="BJ90" i="96"/>
  <c r="BV90" i="96"/>
  <c r="CH90" i="96"/>
  <c r="BK90" i="96"/>
  <c r="BW90" i="96"/>
  <c r="CI90" i="96"/>
  <c r="BL90" i="96"/>
  <c r="BX90" i="96"/>
  <c r="CJ90" i="96"/>
  <c r="BM90" i="96"/>
  <c r="BY90" i="96"/>
  <c r="BN90" i="96"/>
  <c r="BZ90" i="96"/>
  <c r="BO90" i="96"/>
  <c r="CA90" i="96"/>
  <c r="BP90" i="96"/>
  <c r="CB90" i="96"/>
  <c r="BQ90" i="96"/>
  <c r="CC90" i="96"/>
  <c r="BR90" i="96"/>
  <c r="CD90" i="96"/>
  <c r="BG90" i="96"/>
  <c r="BS90" i="96"/>
  <c r="CE90" i="96"/>
  <c r="BH90" i="96"/>
  <c r="BT90" i="96"/>
  <c r="CF90" i="96"/>
  <c r="BI90" i="96"/>
  <c r="BU90" i="96"/>
  <c r="CG90" i="96"/>
  <c r="BS91" i="96"/>
  <c r="BH91" i="96"/>
  <c r="BT91" i="96"/>
  <c r="BK91" i="96"/>
  <c r="BW91" i="96"/>
  <c r="CI91" i="96"/>
  <c r="BL91" i="96"/>
  <c r="BX91" i="96"/>
  <c r="BP91" i="96"/>
  <c r="CB91" i="96"/>
  <c r="BO91" i="96"/>
  <c r="CG91" i="96"/>
  <c r="BQ91" i="96"/>
  <c r="CH91" i="96"/>
  <c r="BR91" i="96"/>
  <c r="CJ91" i="96"/>
  <c r="BU91" i="96"/>
  <c r="CK91" i="96"/>
  <c r="BV91" i="96"/>
  <c r="BY91" i="96"/>
  <c r="BZ91" i="96"/>
  <c r="CA91" i="96"/>
  <c r="BI91" i="96"/>
  <c r="CC91" i="96"/>
  <c r="BJ91" i="96"/>
  <c r="CD91" i="96"/>
  <c r="BN91" i="96"/>
  <c r="BM91" i="96"/>
  <c r="CE91" i="96"/>
  <c r="CF91" i="96"/>
  <c r="BR95" i="96"/>
  <c r="CD95" i="96"/>
  <c r="BS95" i="96"/>
  <c r="CE95" i="96"/>
  <c r="BT95" i="96"/>
  <c r="CF95" i="96"/>
  <c r="CC95" i="96"/>
  <c r="BU95" i="96"/>
  <c r="CG95" i="96"/>
  <c r="BV95" i="96"/>
  <c r="CH95" i="96"/>
  <c r="BW95" i="96"/>
  <c r="CI95" i="96"/>
  <c r="BL95" i="96"/>
  <c r="BX95" i="96"/>
  <c r="CJ95" i="96"/>
  <c r="BM95" i="96"/>
  <c r="BY95" i="96"/>
  <c r="CK95" i="96"/>
  <c r="BQ95" i="96"/>
  <c r="BN95" i="96"/>
  <c r="BZ95" i="96"/>
  <c r="CL95" i="96"/>
  <c r="BO95" i="96"/>
  <c r="CA95" i="96"/>
  <c r="CM95" i="96"/>
  <c r="CO95" i="96"/>
  <c r="BP95" i="96"/>
  <c r="CB95" i="96"/>
  <c r="CN95" i="96"/>
  <c r="BN86" i="96"/>
  <c r="BZ86" i="96"/>
  <c r="BC86" i="96"/>
  <c r="BO86" i="96"/>
  <c r="CA86" i="96"/>
  <c r="BD86" i="96"/>
  <c r="BP86" i="96"/>
  <c r="CB86" i="96"/>
  <c r="BE86" i="96"/>
  <c r="BQ86" i="96"/>
  <c r="CC86" i="96"/>
  <c r="BF86" i="96"/>
  <c r="BR86" i="96"/>
  <c r="CD86" i="96"/>
  <c r="BG86" i="96"/>
  <c r="BS86" i="96"/>
  <c r="CE86" i="96"/>
  <c r="BH86" i="96"/>
  <c r="BT86" i="96"/>
  <c r="CF86" i="96"/>
  <c r="BI86" i="96"/>
  <c r="BU86" i="96"/>
  <c r="BJ86" i="96"/>
  <c r="BV86" i="96"/>
  <c r="BK86" i="96"/>
  <c r="BW86" i="96"/>
  <c r="BL86" i="96"/>
  <c r="BX86" i="96"/>
  <c r="BM86" i="96"/>
  <c r="BY86" i="96"/>
  <c r="BN89" i="96"/>
  <c r="BZ89" i="96"/>
  <c r="BO89" i="96"/>
  <c r="CA89" i="96"/>
  <c r="BP89" i="96"/>
  <c r="CB89" i="96"/>
  <c r="BQ89" i="96"/>
  <c r="CC89" i="96"/>
  <c r="BF89" i="96"/>
  <c r="BR89" i="96"/>
  <c r="CD89" i="96"/>
  <c r="BG89" i="96"/>
  <c r="BS89" i="96"/>
  <c r="CE89" i="96"/>
  <c r="BH89" i="96"/>
  <c r="BT89" i="96"/>
  <c r="CF89" i="96"/>
  <c r="BI89" i="96"/>
  <c r="BU89" i="96"/>
  <c r="CG89" i="96"/>
  <c r="BJ89" i="96"/>
  <c r="BV89" i="96"/>
  <c r="CH89" i="96"/>
  <c r="BK89" i="96"/>
  <c r="BW89" i="96"/>
  <c r="CI89" i="96"/>
  <c r="BL89" i="96"/>
  <c r="BX89" i="96"/>
  <c r="BM89" i="96"/>
  <c r="BY89" i="96"/>
  <c r="BF88" i="96"/>
  <c r="BR88" i="96"/>
  <c r="CD88" i="96"/>
  <c r="BG88" i="96"/>
  <c r="BS88" i="96"/>
  <c r="CE88" i="96"/>
  <c r="BH88" i="96"/>
  <c r="BT88" i="96"/>
  <c r="CF88" i="96"/>
  <c r="BI88" i="96"/>
  <c r="BU88" i="96"/>
  <c r="CG88" i="96"/>
  <c r="BJ88" i="96"/>
  <c r="BV88" i="96"/>
  <c r="CH88" i="96"/>
  <c r="BK88" i="96"/>
  <c r="BW88" i="96"/>
  <c r="BL88" i="96"/>
  <c r="BX88" i="96"/>
  <c r="BM88" i="96"/>
  <c r="BY88" i="96"/>
  <c r="BN88" i="96"/>
  <c r="BZ88" i="96"/>
  <c r="BO88" i="96"/>
  <c r="CA88" i="96"/>
  <c r="BP88" i="96"/>
  <c r="CB88" i="96"/>
  <c r="BE88" i="96"/>
  <c r="BQ88" i="96"/>
  <c r="CC88" i="96"/>
  <c r="BV94" i="96"/>
  <c r="CH94" i="96"/>
  <c r="BK94" i="96"/>
  <c r="BW94" i="96"/>
  <c r="CI94" i="96"/>
  <c r="BL94" i="96"/>
  <c r="BX94" i="96"/>
  <c r="CJ94" i="96"/>
  <c r="BM94" i="96"/>
  <c r="BY94" i="96"/>
  <c r="CK94" i="96"/>
  <c r="BU94" i="96"/>
  <c r="BN94" i="96"/>
  <c r="BZ94" i="96"/>
  <c r="CL94" i="96"/>
  <c r="BO94" i="96"/>
  <c r="CA94" i="96"/>
  <c r="CM94" i="96"/>
  <c r="CG94" i="96"/>
  <c r="BP94" i="96"/>
  <c r="CB94" i="96"/>
  <c r="CN94" i="96"/>
  <c r="BQ94" i="96"/>
  <c r="CC94" i="96"/>
  <c r="BR94" i="96"/>
  <c r="CD94" i="96"/>
  <c r="BS94" i="96"/>
  <c r="CE94" i="96"/>
  <c r="BT94" i="96"/>
  <c r="CF94" i="96"/>
  <c r="B72" i="96"/>
  <c r="D73" i="96"/>
  <c r="BK44" i="96"/>
  <c r="BK45" i="96" s="1"/>
  <c r="BK47" i="96"/>
  <c r="BL47" i="96"/>
  <c r="BL48" i="96" s="1"/>
  <c r="BL44" i="96"/>
  <c r="BL46" i="96" s="1"/>
  <c r="BR50" i="96"/>
  <c r="BJ37" i="96"/>
  <c r="BJ24" i="96"/>
  <c r="BJ31" i="96" s="1"/>
  <c r="BN50" i="96"/>
  <c r="BM50" i="96"/>
  <c r="BJ13" i="96"/>
  <c r="BS50" i="96"/>
  <c r="BP50" i="96"/>
  <c r="BI13" i="96"/>
  <c r="BI40" i="96"/>
  <c r="BI8" i="96"/>
  <c r="BJ8" i="96" s="1"/>
  <c r="BK8" i="96" s="1"/>
  <c r="BL8" i="96" s="1"/>
  <c r="BM8" i="96" s="1"/>
  <c r="BN8" i="96" s="1"/>
  <c r="BO8" i="96" s="1"/>
  <c r="BP8" i="96" s="1"/>
  <c r="BQ8" i="96" s="1"/>
  <c r="BR8" i="96" s="1"/>
  <c r="BT8" i="96" s="1"/>
  <c r="BU8" i="96" s="1"/>
  <c r="BV8" i="96" s="1"/>
  <c r="BW8" i="96" s="1"/>
  <c r="BX8" i="96" s="1"/>
  <c r="BY8" i="96" s="1"/>
  <c r="BZ8" i="96" s="1"/>
  <c r="CA8" i="96" s="1"/>
  <c r="CB8" i="96" s="1"/>
  <c r="CC8" i="96" s="1"/>
  <c r="BE44" i="96"/>
  <c r="BE47" i="96"/>
  <c r="BI11" i="96"/>
  <c r="BJ11" i="96" s="1"/>
  <c r="BK11" i="96" s="1"/>
  <c r="BL11" i="96" s="1"/>
  <c r="BM11" i="96" s="1"/>
  <c r="BN11" i="96" s="1"/>
  <c r="BO11" i="96" s="1"/>
  <c r="BP11" i="96" s="1"/>
  <c r="BQ11" i="96" s="1"/>
  <c r="BR11" i="96" s="1"/>
  <c r="BT11" i="96" s="1"/>
  <c r="BU11" i="96" s="1"/>
  <c r="BV11" i="96" s="1"/>
  <c r="BW11" i="96" s="1"/>
  <c r="BX11" i="96" s="1"/>
  <c r="BY11" i="96" s="1"/>
  <c r="BZ11" i="96" s="1"/>
  <c r="CA11" i="96" s="1"/>
  <c r="CB11" i="96" s="1"/>
  <c r="CC11" i="96" s="1"/>
  <c r="BI37" i="96"/>
  <c r="BS136" i="96"/>
  <c r="BS129" i="96"/>
  <c r="BD47" i="96"/>
  <c r="BD44" i="96"/>
  <c r="BM129" i="96"/>
  <c r="BM136" i="96"/>
  <c r="BQ50" i="96"/>
  <c r="BO50" i="96"/>
  <c r="BG47" i="96"/>
  <c r="BG44" i="96"/>
  <c r="BH47" i="96"/>
  <c r="BH44" i="96"/>
  <c r="BC44" i="96"/>
  <c r="BC47" i="96"/>
  <c r="BC32" i="96"/>
  <c r="BD27" i="96" s="1"/>
  <c r="BD32" i="96" s="1"/>
  <c r="BE27" i="96" s="1"/>
  <c r="BE32" i="96" s="1"/>
  <c r="BF27" i="96" s="1"/>
  <c r="BF32" i="96" s="1"/>
  <c r="BG27" i="96" s="1"/>
  <c r="BG32" i="96" s="1"/>
  <c r="BH27" i="96" s="1"/>
  <c r="BH32" i="96" s="1"/>
  <c r="BI27" i="96" s="1"/>
  <c r="BI24" i="96"/>
  <c r="BI31" i="96" s="1"/>
  <c r="BO129" i="96"/>
  <c r="BO136" i="96"/>
  <c r="BN136" i="96"/>
  <c r="BN129" i="96"/>
  <c r="BP129" i="96"/>
  <c r="BP136" i="96"/>
  <c r="BR136" i="96"/>
  <c r="BR129" i="96"/>
  <c r="BF44" i="96"/>
  <c r="BF47" i="96"/>
  <c r="BQ129" i="96"/>
  <c r="BQ136" i="96"/>
  <c r="BN93" i="96" l="1"/>
  <c r="BZ93" i="96"/>
  <c r="CL93" i="96"/>
  <c r="BO93" i="96"/>
  <c r="CA93" i="96"/>
  <c r="CM93" i="96"/>
  <c r="BM93" i="96"/>
  <c r="BP93" i="96"/>
  <c r="CB93" i="96"/>
  <c r="BQ93" i="96"/>
  <c r="CC93" i="96"/>
  <c r="BR93" i="96"/>
  <c r="CD93" i="96"/>
  <c r="BS93" i="96"/>
  <c r="CE93" i="96"/>
  <c r="BT93" i="96"/>
  <c r="CF93" i="96"/>
  <c r="BU93" i="96"/>
  <c r="CG93" i="96"/>
  <c r="BJ93" i="96"/>
  <c r="BV93" i="96"/>
  <c r="CH93" i="96"/>
  <c r="BK93" i="96"/>
  <c r="BW93" i="96"/>
  <c r="CI93" i="96"/>
  <c r="CK93" i="96"/>
  <c r="BL93" i="96"/>
  <c r="BX93" i="96"/>
  <c r="CJ93" i="96"/>
  <c r="BY93" i="96"/>
  <c r="BR92" i="96"/>
  <c r="CD92" i="96"/>
  <c r="BQ92" i="96"/>
  <c r="BS92" i="96"/>
  <c r="CE92" i="96"/>
  <c r="BT92" i="96"/>
  <c r="CF92" i="96"/>
  <c r="BI92" i="96"/>
  <c r="BU92" i="96"/>
  <c r="CG92" i="96"/>
  <c r="BJ92" i="96"/>
  <c r="BV92" i="96"/>
  <c r="CH92" i="96"/>
  <c r="BK92" i="96"/>
  <c r="BW92" i="96"/>
  <c r="CI92" i="96"/>
  <c r="BL92" i="96"/>
  <c r="BX92" i="96"/>
  <c r="CJ92" i="96"/>
  <c r="BM92" i="96"/>
  <c r="BY92" i="96"/>
  <c r="CK92" i="96"/>
  <c r="CC92" i="96"/>
  <c r="BN92" i="96"/>
  <c r="BZ92" i="96"/>
  <c r="CL92" i="96"/>
  <c r="BO92" i="96"/>
  <c r="CA92" i="96"/>
  <c r="BP92" i="96"/>
  <c r="CB92" i="96"/>
  <c r="BK46" i="96"/>
  <c r="B73" i="96"/>
  <c r="D74" i="96"/>
  <c r="BK48" i="96"/>
  <c r="BK50" i="96" s="1"/>
  <c r="BL45" i="96"/>
  <c r="BK49" i="96"/>
  <c r="BL49" i="96"/>
  <c r="BJ44" i="96"/>
  <c r="BJ47" i="96"/>
  <c r="BJ48" i="96" s="1"/>
  <c r="BI32" i="96"/>
  <c r="BJ27" i="96" s="1"/>
  <c r="BJ32" i="96" s="1"/>
  <c r="BK27" i="96" s="1"/>
  <c r="BK32" i="96" s="1"/>
  <c r="BL27" i="96" s="1"/>
  <c r="BL32" i="96" s="1"/>
  <c r="BM27" i="96" s="1"/>
  <c r="BM32" i="96" s="1"/>
  <c r="BN27" i="96" s="1"/>
  <c r="BN32" i="96" s="1"/>
  <c r="BO27" i="96" s="1"/>
  <c r="BO32" i="96" s="1"/>
  <c r="BP27" i="96" s="1"/>
  <c r="BP32" i="96" s="1"/>
  <c r="BQ27" i="96" s="1"/>
  <c r="BQ32" i="96" s="1"/>
  <c r="BR27" i="96" s="1"/>
  <c r="BR32" i="96" s="1"/>
  <c r="BS27" i="96" s="1"/>
  <c r="BS32" i="96" s="1"/>
  <c r="BT27" i="96" s="1"/>
  <c r="BT32" i="96" s="1"/>
  <c r="BU27" i="96" s="1"/>
  <c r="BU32" i="96" s="1"/>
  <c r="BV27" i="96" s="1"/>
  <c r="BV32" i="96" s="1"/>
  <c r="BW27" i="96" s="1"/>
  <c r="BW32" i="96" s="1"/>
  <c r="BX27" i="96" s="1"/>
  <c r="BX32" i="96" s="1"/>
  <c r="BY27" i="96" s="1"/>
  <c r="BY32" i="96" s="1"/>
  <c r="BZ27" i="96" s="1"/>
  <c r="BZ32" i="96" s="1"/>
  <c r="CA27" i="96" s="1"/>
  <c r="CA32" i="96" s="1"/>
  <c r="CB27" i="96" s="1"/>
  <c r="CB32" i="96" s="1"/>
  <c r="CC27" i="96" s="1"/>
  <c r="CC32" i="96" s="1"/>
  <c r="CD27" i="96" s="1"/>
  <c r="CD32" i="96" s="1"/>
  <c r="CE27" i="96" s="1"/>
  <c r="CE32" i="96" s="1"/>
  <c r="CF27" i="96" s="1"/>
  <c r="CF32" i="96" s="1"/>
  <c r="CG27" i="96" s="1"/>
  <c r="CG32" i="96" s="1"/>
  <c r="CH27" i="96" s="1"/>
  <c r="CH32" i="96" s="1"/>
  <c r="CI27" i="96" s="1"/>
  <c r="CI32" i="96" s="1"/>
  <c r="CJ27" i="96" s="1"/>
  <c r="CJ32" i="96" s="1"/>
  <c r="CK27" i="96" s="1"/>
  <c r="CK32" i="96" s="1"/>
  <c r="CL27" i="96" s="1"/>
  <c r="CL32" i="96" s="1"/>
  <c r="CM27" i="96" s="1"/>
  <c r="CM32" i="96" s="1"/>
  <c r="CN27" i="96" s="1"/>
  <c r="CN32" i="96" s="1"/>
  <c r="CO27" i="96" s="1"/>
  <c r="CO32" i="96" s="1"/>
  <c r="CP27" i="96" s="1"/>
  <c r="CP32" i="96" s="1"/>
  <c r="CQ27" i="96" s="1"/>
  <c r="CQ32" i="96" s="1"/>
  <c r="CR27" i="96" s="1"/>
  <c r="CR32" i="96" s="1"/>
  <c r="CS27" i="96" s="1"/>
  <c r="CS32" i="96" s="1"/>
  <c r="CT27" i="96" s="1"/>
  <c r="CT32" i="96" s="1"/>
  <c r="CU27" i="96" s="1"/>
  <c r="CU32" i="96" s="1"/>
  <c r="CV27" i="96" s="1"/>
  <c r="CV32" i="96" s="1"/>
  <c r="CW27" i="96" s="1"/>
  <c r="CW32" i="96" s="1"/>
  <c r="CX27" i="96" s="1"/>
  <c r="CX32" i="96" s="1"/>
  <c r="CY27" i="96" s="1"/>
  <c r="CY32" i="96" s="1"/>
  <c r="CZ27" i="96" s="1"/>
  <c r="CZ32" i="96" s="1"/>
  <c r="E140" i="96" s="1"/>
  <c r="E142" i="96" s="1"/>
  <c r="BF45" i="96"/>
  <c r="BF46" i="96"/>
  <c r="BH46" i="96"/>
  <c r="BH45" i="96"/>
  <c r="BG46" i="96"/>
  <c r="BG45" i="96"/>
  <c r="BD45" i="96"/>
  <c r="BD46" i="96"/>
  <c r="BH48" i="96"/>
  <c r="BH49" i="96"/>
  <c r="BG49" i="96"/>
  <c r="BG48" i="96"/>
  <c r="BL129" i="96"/>
  <c r="BD48" i="96"/>
  <c r="BD49" i="96"/>
  <c r="BE48" i="96"/>
  <c r="BE49" i="96"/>
  <c r="BI47" i="96"/>
  <c r="BI44" i="96"/>
  <c r="BC48" i="96"/>
  <c r="BC49" i="96"/>
  <c r="BL136" i="96"/>
  <c r="BE46" i="96"/>
  <c r="BE45" i="96"/>
  <c r="BF48" i="96"/>
  <c r="BF49" i="96"/>
  <c r="BC45" i="96"/>
  <c r="BC46" i="96"/>
  <c r="BK129" i="96" l="1"/>
  <c r="B74" i="96"/>
  <c r="D75" i="96"/>
  <c r="BK136" i="96"/>
  <c r="BL50" i="96"/>
  <c r="BJ45" i="96"/>
  <c r="BJ46" i="96"/>
  <c r="BJ49" i="96"/>
  <c r="BI45" i="96"/>
  <c r="BI46" i="96"/>
  <c r="BJ129" i="96"/>
  <c r="BJ136" i="96"/>
  <c r="BI48" i="96"/>
  <c r="BI49" i="96"/>
  <c r="BG50" i="96"/>
  <c r="BG129" i="96"/>
  <c r="BG136" i="96"/>
  <c r="BD129" i="96"/>
  <c r="BD50" i="96"/>
  <c r="BD136" i="96"/>
  <c r="BH50" i="96"/>
  <c r="BH136" i="96"/>
  <c r="BH129" i="96"/>
  <c r="BF50" i="96"/>
  <c r="BF129" i="96"/>
  <c r="BF136" i="96"/>
  <c r="BC50" i="96"/>
  <c r="BC129" i="96"/>
  <c r="BC136" i="96"/>
  <c r="BE50" i="96"/>
  <c r="BE129" i="96"/>
  <c r="BE136" i="96"/>
  <c r="D76" i="96" l="1"/>
  <c r="B75" i="96"/>
  <c r="BJ50" i="96"/>
  <c r="BI50" i="96"/>
  <c r="BI136" i="96"/>
  <c r="BI129" i="96"/>
  <c r="D77" i="96" l="1"/>
  <c r="B76" i="96"/>
  <c r="D78" i="96" l="1"/>
  <c r="B77" i="96"/>
  <c r="B78" i="96" l="1"/>
  <c r="D79" i="96"/>
  <c r="B79" i="96" l="1"/>
  <c r="D80" i="96"/>
  <c r="B80" i="96" l="1"/>
  <c r="D81" i="96"/>
  <c r="B81" i="96" l="1"/>
  <c r="D82" i="96"/>
  <c r="D83" i="96" l="1"/>
  <c r="B82" i="96"/>
  <c r="D84" i="96" l="1"/>
  <c r="B83" i="96"/>
  <c r="D85" i="96" l="1"/>
  <c r="B84" i="96"/>
  <c r="D86" i="96" l="1"/>
  <c r="B85" i="96"/>
  <c r="D87" i="96" l="1"/>
  <c r="B86" i="96"/>
  <c r="D88" i="96" l="1"/>
  <c r="B87" i="96"/>
  <c r="B88" i="96" l="1"/>
  <c r="D89" i="96"/>
  <c r="B89" i="96" l="1"/>
  <c r="D90" i="96"/>
  <c r="B90" i="96" l="1"/>
  <c r="D91" i="96"/>
  <c r="B91" i="96" l="1"/>
  <c r="D92" i="96"/>
  <c r="B92" i="96" l="1"/>
  <c r="D93" i="96"/>
  <c r="B93" i="96" l="1"/>
  <c r="D94" i="96"/>
  <c r="B94" i="96" l="1"/>
  <c r="D95" i="96"/>
  <c r="D96" i="96" l="1"/>
  <c r="B95" i="96"/>
  <c r="B96" i="96" l="1"/>
  <c r="D97" i="96"/>
  <c r="B97" i="96" l="1"/>
  <c r="D98" i="96"/>
  <c r="B98" i="96" l="1"/>
  <c r="D99" i="96"/>
  <c r="B99" i="96" l="1"/>
  <c r="D100" i="96"/>
  <c r="B100" i="96" l="1"/>
  <c r="D101" i="96"/>
  <c r="B101" i="96" l="1"/>
  <c r="D102" i="96"/>
  <c r="B102" i="96" l="1"/>
  <c r="D103" i="96"/>
  <c r="B103" i="96" l="1"/>
  <c r="D104" i="96"/>
  <c r="B104" i="96" l="1"/>
  <c r="D105" i="96"/>
  <c r="B105" i="96" l="1"/>
  <c r="D106" i="96"/>
  <c r="D107" i="96" l="1"/>
  <c r="B106" i="96"/>
  <c r="B107" i="96" l="1"/>
  <c r="D108" i="96"/>
  <c r="B108" i="96" l="1"/>
  <c r="D109" i="96"/>
  <c r="D110" i="96" l="1"/>
  <c r="B109" i="96"/>
  <c r="CV136" i="96"/>
  <c r="CZ136" i="96"/>
  <c r="CW136" i="96"/>
  <c r="D111" i="96" l="1"/>
  <c r="B110" i="96"/>
  <c r="CY136" i="96"/>
  <c r="CX136" i="96"/>
  <c r="D112" i="96" l="1"/>
  <c r="B111" i="96"/>
  <c r="B112" i="96" l="1"/>
  <c r="D113" i="96"/>
  <c r="B113" i="96" l="1"/>
  <c r="D114" i="96"/>
  <c r="D115" i="96" l="1"/>
  <c r="B114" i="96"/>
  <c r="B115" i="96" l="1"/>
  <c r="D116" i="96"/>
  <c r="D117" i="96" l="1"/>
  <c r="B116" i="96"/>
  <c r="D118" i="96" l="1"/>
  <c r="B117" i="96"/>
  <c r="B118" i="96" l="1"/>
  <c r="D119" i="96"/>
  <c r="D120" i="96" l="1"/>
  <c r="B119" i="96"/>
  <c r="B120" i="96" l="1"/>
  <c r="D121" i="96"/>
  <c r="D122" i="96" l="1"/>
  <c r="B121" i="96"/>
  <c r="D123" i="96" l="1"/>
  <c r="B122" i="96"/>
  <c r="G124" i="96" l="1"/>
  <c r="G125" i="96" s="1"/>
  <c r="K124" i="96"/>
  <c r="K125" i="96" s="1"/>
  <c r="O124" i="96"/>
  <c r="O125" i="96" s="1"/>
  <c r="S124" i="96"/>
  <c r="S125" i="96" s="1"/>
  <c r="W124" i="96"/>
  <c r="W125" i="96" s="1"/>
  <c r="AA124" i="96"/>
  <c r="AA125" i="96" s="1"/>
  <c r="AE124" i="96"/>
  <c r="AE125" i="96" s="1"/>
  <c r="AI124" i="96"/>
  <c r="AI125" i="96" s="1"/>
  <c r="AM124" i="96"/>
  <c r="AM125" i="96" s="1"/>
  <c r="AQ124" i="96"/>
  <c r="AQ125" i="96" s="1"/>
  <c r="AU124" i="96"/>
  <c r="AU125" i="96" s="1"/>
  <c r="AY124" i="96"/>
  <c r="AY125" i="96" s="1"/>
  <c r="BC124" i="96"/>
  <c r="BC125" i="96" s="1"/>
  <c r="BG124" i="96"/>
  <c r="BG125" i="96" s="1"/>
  <c r="BK124" i="96"/>
  <c r="BK125" i="96" s="1"/>
  <c r="BO124" i="96"/>
  <c r="BO125" i="96" s="1"/>
  <c r="BS124" i="96"/>
  <c r="BW124" i="96"/>
  <c r="BW125" i="96" s="1"/>
  <c r="CA124" i="96"/>
  <c r="CA125" i="96" s="1"/>
  <c r="CE124" i="96"/>
  <c r="CE125" i="96" s="1"/>
  <c r="CI124" i="96"/>
  <c r="CI125" i="96" s="1"/>
  <c r="CM124" i="96"/>
  <c r="CM125" i="96" s="1"/>
  <c r="CX124" i="96"/>
  <c r="CX125" i="96" s="1"/>
  <c r="CS124" i="96"/>
  <c r="CS125" i="96" s="1"/>
  <c r="B123" i="96"/>
  <c r="E124" i="96"/>
  <c r="I124" i="96"/>
  <c r="I125" i="96" s="1"/>
  <c r="M124" i="96"/>
  <c r="M125" i="96" s="1"/>
  <c r="Q124" i="96"/>
  <c r="Q125" i="96" s="1"/>
  <c r="U124" i="96"/>
  <c r="U125" i="96" s="1"/>
  <c r="Y124" i="96"/>
  <c r="Y125" i="96" s="1"/>
  <c r="AC124" i="96"/>
  <c r="AC125" i="96" s="1"/>
  <c r="AK124" i="96"/>
  <c r="AK125" i="96" s="1"/>
  <c r="AO124" i="96"/>
  <c r="AO125" i="96" s="1"/>
  <c r="AW124" i="96"/>
  <c r="AW125" i="96" s="1"/>
  <c r="BE124" i="96"/>
  <c r="BE125" i="96" s="1"/>
  <c r="BM124" i="96"/>
  <c r="BM125" i="96" s="1"/>
  <c r="BU124" i="96"/>
  <c r="BU125" i="96" s="1"/>
  <c r="BY124" i="96"/>
  <c r="BY125" i="96" s="1"/>
  <c r="CG124" i="96"/>
  <c r="CG125" i="96" s="1"/>
  <c r="CO124" i="96"/>
  <c r="CO125" i="96" s="1"/>
  <c r="CR124" i="96"/>
  <c r="CR125" i="96" s="1"/>
  <c r="CP124" i="96"/>
  <c r="CP125" i="96" s="1"/>
  <c r="F124" i="96"/>
  <c r="F125" i="96" s="1"/>
  <c r="J124" i="96"/>
  <c r="J125" i="96" s="1"/>
  <c r="N124" i="96"/>
  <c r="N125" i="96" s="1"/>
  <c r="R124" i="96"/>
  <c r="R125" i="96" s="1"/>
  <c r="V124" i="96"/>
  <c r="V125" i="96" s="1"/>
  <c r="Z124" i="96"/>
  <c r="Z125" i="96" s="1"/>
  <c r="AD124" i="96"/>
  <c r="AD125" i="96" s="1"/>
  <c r="AL124" i="96"/>
  <c r="AL125" i="96" s="1"/>
  <c r="AT124" i="96"/>
  <c r="AT125" i="96" s="1"/>
  <c r="AX124" i="96"/>
  <c r="AX125" i="96" s="1"/>
  <c r="BF124" i="96"/>
  <c r="BF125" i="96" s="1"/>
  <c r="BN124" i="96"/>
  <c r="BN125" i="96" s="1"/>
  <c r="BV124" i="96"/>
  <c r="BV125" i="96" s="1"/>
  <c r="CD124" i="96"/>
  <c r="CD125" i="96" s="1"/>
  <c r="CL124" i="96"/>
  <c r="CL125" i="96" s="1"/>
  <c r="CY124" i="96"/>
  <c r="CY125" i="96" s="1"/>
  <c r="H124" i="96"/>
  <c r="H125" i="96" s="1"/>
  <c r="L124" i="96"/>
  <c r="L125" i="96" s="1"/>
  <c r="P124" i="96"/>
  <c r="P125" i="96" s="1"/>
  <c r="T124" i="96"/>
  <c r="T125" i="96" s="1"/>
  <c r="X124" i="96"/>
  <c r="X125" i="96" s="1"/>
  <c r="AB124" i="96"/>
  <c r="AB125" i="96" s="1"/>
  <c r="AF124" i="96"/>
  <c r="AF125" i="96" s="1"/>
  <c r="AJ124" i="96"/>
  <c r="AJ125" i="96" s="1"/>
  <c r="AN124" i="96"/>
  <c r="AN125" i="96" s="1"/>
  <c r="AR124" i="96"/>
  <c r="AR125" i="96" s="1"/>
  <c r="AV124" i="96"/>
  <c r="AV125" i="96" s="1"/>
  <c r="AZ124" i="96"/>
  <c r="AZ125" i="96" s="1"/>
  <c r="BD124" i="96"/>
  <c r="BD125" i="96" s="1"/>
  <c r="BH124" i="96"/>
  <c r="BH125" i="96" s="1"/>
  <c r="BL124" i="96"/>
  <c r="BL125" i="96" s="1"/>
  <c r="BP124" i="96"/>
  <c r="BP125" i="96" s="1"/>
  <c r="BT124" i="96"/>
  <c r="BT125" i="96" s="1"/>
  <c r="BX124" i="96"/>
  <c r="BX125" i="96" s="1"/>
  <c r="CB124" i="96"/>
  <c r="CB125" i="96" s="1"/>
  <c r="CF124" i="96"/>
  <c r="CF125" i="96" s="1"/>
  <c r="CJ124" i="96"/>
  <c r="CJ125" i="96" s="1"/>
  <c r="CW124" i="96"/>
  <c r="CW125" i="96" s="1"/>
  <c r="CV124" i="96"/>
  <c r="CV125" i="96" s="1"/>
  <c r="CU124" i="96"/>
  <c r="CU125" i="96" s="1"/>
  <c r="CT124" i="96"/>
  <c r="CT125" i="96" s="1"/>
  <c r="CQ124" i="96"/>
  <c r="CQ125" i="96" s="1"/>
  <c r="AG124" i="96"/>
  <c r="AG125" i="96" s="1"/>
  <c r="AS124" i="96"/>
  <c r="AS125" i="96" s="1"/>
  <c r="BA124" i="96"/>
  <c r="BA125" i="96" s="1"/>
  <c r="BI124" i="96"/>
  <c r="BI125" i="96" s="1"/>
  <c r="BQ124" i="96"/>
  <c r="BQ125" i="96" s="1"/>
  <c r="CC124" i="96"/>
  <c r="CC125" i="96" s="1"/>
  <c r="CK124" i="96"/>
  <c r="CK125" i="96" s="1"/>
  <c r="CN124" i="96"/>
  <c r="CN125" i="96" s="1"/>
  <c r="AH124" i="96"/>
  <c r="AH125" i="96" s="1"/>
  <c r="AP124" i="96"/>
  <c r="AP125" i="96" s="1"/>
  <c r="BB124" i="96"/>
  <c r="BB125" i="96" s="1"/>
  <c r="BJ124" i="96"/>
  <c r="BJ125" i="96" s="1"/>
  <c r="BR124" i="96"/>
  <c r="BR125" i="96" s="1"/>
  <c r="BZ124" i="96"/>
  <c r="BZ125" i="96" s="1"/>
  <c r="CH124" i="96"/>
  <c r="CH125" i="96" s="1"/>
  <c r="CZ124" i="96"/>
  <c r="CZ125" i="96" s="1"/>
  <c r="BS125" i="96" l="1"/>
  <c r="BS133" i="96"/>
  <c r="E125" i="96"/>
  <c r="E131" i="96" s="1"/>
  <c r="F131" i="96" s="1"/>
  <c r="G131" i="96" s="1"/>
  <c r="H131" i="96" s="1"/>
  <c r="I131" i="96" s="1"/>
  <c r="J131" i="96" s="1"/>
  <c r="K131" i="96" s="1"/>
  <c r="L131" i="96" s="1"/>
  <c r="M131" i="96" s="1"/>
  <c r="N131" i="96" s="1"/>
  <c r="O131" i="96" s="1"/>
  <c r="P131" i="96" s="1"/>
  <c r="Q131" i="96" s="1"/>
  <c r="R131" i="96" s="1"/>
  <c r="S131" i="96" s="1"/>
  <c r="T131" i="96" s="1"/>
  <c r="U131" i="96" s="1"/>
  <c r="V131" i="96" s="1"/>
  <c r="W131" i="96" s="1"/>
  <c r="X131" i="96" s="1"/>
  <c r="Y131" i="96" s="1"/>
  <c r="Z131" i="96" s="1"/>
  <c r="AA131" i="96" s="1"/>
  <c r="AB131" i="96" s="1"/>
  <c r="AC131" i="96" s="1"/>
  <c r="AD131" i="96" s="1"/>
  <c r="AE131" i="96" s="1"/>
  <c r="AF131" i="96" s="1"/>
  <c r="AG131" i="96" s="1"/>
  <c r="AH131" i="96" s="1"/>
  <c r="AI131" i="96" s="1"/>
  <c r="AJ131" i="96" s="1"/>
  <c r="AK131" i="96" s="1"/>
  <c r="AL131" i="96" s="1"/>
  <c r="AM131" i="96" s="1"/>
  <c r="AN131" i="96" s="1"/>
  <c r="AO131" i="96" s="1"/>
  <c r="AP131" i="96" s="1"/>
  <c r="AQ131" i="96" s="1"/>
  <c r="AR131" i="96" s="1"/>
  <c r="AS131" i="96" s="1"/>
  <c r="AT131" i="96" s="1"/>
  <c r="AU131" i="96" s="1"/>
  <c r="AV131" i="96" s="1"/>
  <c r="AW131" i="96" s="1"/>
  <c r="AX131" i="96" s="1"/>
  <c r="AY131" i="96" s="1"/>
  <c r="AZ131" i="96" s="1"/>
  <c r="BA131" i="96" s="1"/>
  <c r="BB131" i="96" s="1"/>
  <c r="BC131" i="96" s="1"/>
  <c r="BD131" i="96" s="1"/>
  <c r="BE131" i="96" s="1"/>
  <c r="BF131" i="96" s="1"/>
  <c r="BG131" i="96" s="1"/>
  <c r="BH131" i="96" s="1"/>
  <c r="BI131" i="96" s="1"/>
  <c r="BJ131" i="96" s="1"/>
  <c r="BK131" i="96" s="1"/>
  <c r="BL131" i="96" s="1"/>
  <c r="BM131" i="96" s="1"/>
  <c r="BN131" i="96" s="1"/>
  <c r="BO131" i="96" s="1"/>
  <c r="BP131" i="96" s="1"/>
  <c r="BQ131" i="96" s="1"/>
  <c r="BR131" i="96" s="1"/>
  <c r="BS131" i="96" s="1"/>
  <c r="BT131" i="96" s="1"/>
  <c r="BU131" i="96" s="1"/>
  <c r="BV131" i="96" s="1"/>
  <c r="BW131" i="96" s="1"/>
  <c r="BX131" i="96" s="1"/>
  <c r="BY131" i="96" s="1"/>
  <c r="BZ131" i="96" s="1"/>
  <c r="CA131" i="96" s="1"/>
  <c r="CB131" i="96" s="1"/>
  <c r="CC131" i="96" s="1"/>
  <c r="CD131" i="96" s="1"/>
  <c r="CE131" i="96" s="1"/>
  <c r="CF131" i="96" s="1"/>
  <c r="CG131" i="96" s="1"/>
  <c r="CH131" i="96" s="1"/>
  <c r="CI131" i="96" s="1"/>
  <c r="CJ131" i="96" s="1"/>
  <c r="CK131" i="96" s="1"/>
  <c r="CL131" i="96" s="1"/>
  <c r="CM131" i="96" s="1"/>
  <c r="CN131" i="96" s="1"/>
  <c r="CO131" i="96" s="1"/>
  <c r="CP131" i="96" s="1"/>
  <c r="CQ131" i="96" s="1"/>
  <c r="CR131" i="96" s="1"/>
  <c r="CS131" i="96" s="1"/>
  <c r="CT131" i="96" s="1"/>
  <c r="CU131" i="96" s="1"/>
  <c r="CV131" i="96" s="1"/>
  <c r="CW131" i="96" s="1"/>
  <c r="CX131" i="96" s="1"/>
  <c r="CY131" i="96" s="1"/>
  <c r="CZ131" i="96" s="1"/>
  <c r="E138" i="96" s="1"/>
  <c r="BB127" i="96"/>
  <c r="BB128" i="96"/>
  <c r="BB133" i="96"/>
  <c r="CT128" i="96"/>
  <c r="CT127" i="96"/>
  <c r="CT133" i="96"/>
  <c r="BT128" i="96"/>
  <c r="BT127" i="96"/>
  <c r="BT133" i="96"/>
  <c r="AN127" i="96"/>
  <c r="AN133" i="96"/>
  <c r="AN128" i="96"/>
  <c r="H127" i="96"/>
  <c r="H133" i="96"/>
  <c r="H128" i="96"/>
  <c r="AT127" i="96"/>
  <c r="AT128" i="96"/>
  <c r="AT133" i="96"/>
  <c r="F127" i="96"/>
  <c r="F128" i="96"/>
  <c r="F133" i="96"/>
  <c r="BE127" i="96"/>
  <c r="BE133" i="96"/>
  <c r="BE128" i="96"/>
  <c r="CS128" i="96"/>
  <c r="CS127" i="96"/>
  <c r="CS133" i="96"/>
  <c r="BO127" i="96"/>
  <c r="BO133" i="96"/>
  <c r="BO128" i="96"/>
  <c r="AI127" i="96"/>
  <c r="AI133" i="96"/>
  <c r="AI128" i="96"/>
  <c r="BZ128" i="96"/>
  <c r="BZ133" i="96"/>
  <c r="BZ127" i="96"/>
  <c r="CC128" i="96"/>
  <c r="CC127" i="96"/>
  <c r="CC133" i="96"/>
  <c r="AS133" i="96"/>
  <c r="AS128" i="96"/>
  <c r="AS127" i="96"/>
  <c r="CF128" i="96"/>
  <c r="CF127" i="96"/>
  <c r="CF133" i="96"/>
  <c r="AZ127" i="96"/>
  <c r="AZ133" i="96"/>
  <c r="AZ128" i="96"/>
  <c r="CY133" i="96"/>
  <c r="CY128" i="96"/>
  <c r="CY127" i="96"/>
  <c r="AL128" i="96"/>
  <c r="AL133" i="96"/>
  <c r="AL127" i="96"/>
  <c r="R128" i="96"/>
  <c r="R127" i="96"/>
  <c r="R133" i="96"/>
  <c r="BY127" i="96"/>
  <c r="BY133" i="96"/>
  <c r="BY128" i="96"/>
  <c r="Y128" i="96"/>
  <c r="Y127" i="96"/>
  <c r="Y133" i="96"/>
  <c r="I127" i="96"/>
  <c r="I128" i="96"/>
  <c r="I133" i="96"/>
  <c r="CA127" i="96"/>
  <c r="CA133" i="96"/>
  <c r="CA128" i="96"/>
  <c r="BK127" i="96"/>
  <c r="BK133" i="96"/>
  <c r="BK128" i="96"/>
  <c r="AU128" i="96"/>
  <c r="AU127" i="96"/>
  <c r="AU133" i="96"/>
  <c r="AE133" i="96"/>
  <c r="E8" i="131" s="1"/>
  <c r="L4" i="132" s="1"/>
  <c r="AE128" i="96"/>
  <c r="AE127" i="96"/>
  <c r="O128" i="96"/>
  <c r="O127" i="96"/>
  <c r="O133" i="96"/>
  <c r="BR128" i="96"/>
  <c r="BR127" i="96"/>
  <c r="BR133" i="96"/>
  <c r="AH133" i="96"/>
  <c r="AH128" i="96"/>
  <c r="AH127" i="96"/>
  <c r="BQ127" i="96"/>
  <c r="BQ128" i="96"/>
  <c r="BQ133" i="96"/>
  <c r="AG127" i="96"/>
  <c r="AG128" i="96"/>
  <c r="AG133" i="96"/>
  <c r="CV133" i="96"/>
  <c r="CV128" i="96"/>
  <c r="CV127" i="96"/>
  <c r="CB128" i="96"/>
  <c r="CB127" i="96"/>
  <c r="CB133" i="96"/>
  <c r="BL127" i="96"/>
  <c r="BL128" i="96"/>
  <c r="BL133" i="96"/>
  <c r="AV127" i="96"/>
  <c r="AV128" i="96"/>
  <c r="AV133" i="96"/>
  <c r="AF127" i="96"/>
  <c r="AF128" i="96"/>
  <c r="AF133" i="96"/>
  <c r="P127" i="96"/>
  <c r="P128" i="96"/>
  <c r="P133" i="96"/>
  <c r="CL127" i="96"/>
  <c r="CL133" i="96"/>
  <c r="CL128" i="96"/>
  <c r="BF128" i="96"/>
  <c r="BF127" i="96"/>
  <c r="BF133" i="96"/>
  <c r="AD128" i="96"/>
  <c r="AD127" i="96"/>
  <c r="AD133" i="96"/>
  <c r="N128" i="96"/>
  <c r="N133" i="96"/>
  <c r="N127" i="96"/>
  <c r="CR127" i="96"/>
  <c r="CR128" i="96"/>
  <c r="CR133" i="96"/>
  <c r="BU127" i="96"/>
  <c r="BU133" i="96"/>
  <c r="BU128" i="96"/>
  <c r="AO133" i="96"/>
  <c r="AO127" i="96"/>
  <c r="AO128" i="96"/>
  <c r="U127" i="96"/>
  <c r="U128" i="96"/>
  <c r="U133" i="96"/>
  <c r="E127" i="96"/>
  <c r="E133" i="96"/>
  <c r="E128" i="96"/>
  <c r="CM127" i="96"/>
  <c r="CM128" i="96"/>
  <c r="CM133" i="96"/>
  <c r="BW128" i="96"/>
  <c r="BW127" i="96"/>
  <c r="BW133" i="96"/>
  <c r="BG127" i="96"/>
  <c r="BG128" i="96"/>
  <c r="BG133" i="96"/>
  <c r="AQ127" i="96"/>
  <c r="AQ133" i="96"/>
  <c r="AQ128" i="96"/>
  <c r="AA127" i="96"/>
  <c r="AA128" i="96"/>
  <c r="AA133" i="96"/>
  <c r="K133" i="96"/>
  <c r="K128" i="96"/>
  <c r="K127" i="96"/>
  <c r="CH127" i="96"/>
  <c r="CH133" i="96"/>
  <c r="CH128" i="96"/>
  <c r="CK128" i="96"/>
  <c r="CK127" i="96"/>
  <c r="CK133" i="96"/>
  <c r="BA127" i="96"/>
  <c r="BA128" i="96"/>
  <c r="BA133" i="96"/>
  <c r="CJ128" i="96"/>
  <c r="CJ133" i="96"/>
  <c r="CJ127" i="96"/>
  <c r="BD133" i="96"/>
  <c r="BD127" i="96"/>
  <c r="BD128" i="96"/>
  <c r="X133" i="96"/>
  <c r="X127" i="96"/>
  <c r="X128" i="96"/>
  <c r="BV127" i="96"/>
  <c r="BV133" i="96"/>
  <c r="BV128" i="96"/>
  <c r="V127" i="96"/>
  <c r="V133" i="96"/>
  <c r="V128" i="96"/>
  <c r="CG127" i="96"/>
  <c r="CG128" i="96"/>
  <c r="CG133" i="96"/>
  <c r="AC127" i="96"/>
  <c r="AC128" i="96"/>
  <c r="AC133" i="96"/>
  <c r="M133" i="96"/>
  <c r="M128" i="96"/>
  <c r="M127" i="96"/>
  <c r="CE128" i="96"/>
  <c r="CE127" i="96"/>
  <c r="CE133" i="96"/>
  <c r="AY128" i="96"/>
  <c r="AY127" i="96"/>
  <c r="AY133" i="96"/>
  <c r="S133" i="96"/>
  <c r="S128" i="96"/>
  <c r="S127" i="96"/>
  <c r="AP128" i="96"/>
  <c r="AP133" i="96"/>
  <c r="AP127" i="96"/>
  <c r="CU127" i="96"/>
  <c r="CU128" i="96"/>
  <c r="CU133" i="96"/>
  <c r="BP127" i="96"/>
  <c r="BP128" i="96"/>
  <c r="BP133" i="96"/>
  <c r="AJ128" i="96"/>
  <c r="AJ133" i="96"/>
  <c r="AJ127" i="96"/>
  <c r="T133" i="96"/>
  <c r="T128" i="96"/>
  <c r="T127" i="96"/>
  <c r="BN127" i="96"/>
  <c r="BN128" i="96"/>
  <c r="BN133" i="96"/>
  <c r="CP127" i="96"/>
  <c r="CP128" i="96"/>
  <c r="CP133" i="96"/>
  <c r="AW127" i="96"/>
  <c r="AW128" i="96"/>
  <c r="AW133" i="96"/>
  <c r="CX133" i="96"/>
  <c r="CX128" i="96"/>
  <c r="CX127" i="96"/>
  <c r="CZ133" i="96"/>
  <c r="CZ128" i="96"/>
  <c r="CZ127" i="96"/>
  <c r="BJ128" i="96"/>
  <c r="BJ127" i="96"/>
  <c r="BJ133" i="96"/>
  <c r="CN127" i="96"/>
  <c r="CN128" i="96"/>
  <c r="CN133" i="96"/>
  <c r="BI128" i="96"/>
  <c r="BI127" i="96"/>
  <c r="BI133" i="96"/>
  <c r="CQ127" i="96"/>
  <c r="CQ133" i="96"/>
  <c r="CQ128" i="96"/>
  <c r="CW133" i="96"/>
  <c r="CW128" i="96"/>
  <c r="CW127" i="96"/>
  <c r="BX127" i="96"/>
  <c r="BX133" i="96"/>
  <c r="BX128" i="96"/>
  <c r="BH127" i="96"/>
  <c r="BH128" i="96"/>
  <c r="BH133" i="96"/>
  <c r="AR133" i="96"/>
  <c r="AR128" i="96"/>
  <c r="AR127" i="96"/>
  <c r="AB127" i="96"/>
  <c r="AB133" i="96"/>
  <c r="AB128" i="96"/>
  <c r="L127" i="96"/>
  <c r="L128" i="96"/>
  <c r="L133" i="96"/>
  <c r="CD133" i="96"/>
  <c r="CD128" i="96"/>
  <c r="CD127" i="96"/>
  <c r="AX127" i="96"/>
  <c r="AX128" i="96"/>
  <c r="AX133" i="96"/>
  <c r="Z127" i="96"/>
  <c r="Z128" i="96"/>
  <c r="Z133" i="96"/>
  <c r="J127" i="96"/>
  <c r="J133" i="96"/>
  <c r="J128" i="96"/>
  <c r="CO127" i="96"/>
  <c r="CO128" i="96"/>
  <c r="CO133" i="96"/>
  <c r="BM133" i="96"/>
  <c r="BM128" i="96"/>
  <c r="BM127" i="96"/>
  <c r="AK127" i="96"/>
  <c r="AK128" i="96"/>
  <c r="AK133" i="96"/>
  <c r="Q127" i="96"/>
  <c r="Q133" i="96"/>
  <c r="Q128" i="96"/>
  <c r="CI127" i="96"/>
  <c r="CI133" i="96"/>
  <c r="CI128" i="96"/>
  <c r="BS127" i="96"/>
  <c r="BS128" i="96"/>
  <c r="BC127" i="96"/>
  <c r="BC128" i="96"/>
  <c r="BC133" i="96"/>
  <c r="AM127" i="96"/>
  <c r="AM133" i="96"/>
  <c r="AM128" i="96"/>
  <c r="W128" i="96"/>
  <c r="W133" i="96"/>
  <c r="W127" i="96"/>
  <c r="G133" i="96"/>
  <c r="G128" i="96"/>
  <c r="G127" i="96"/>
  <c r="CJ134" i="96" l="1"/>
  <c r="CJ135" i="96" s="1"/>
  <c r="CJ137" i="96"/>
  <c r="BS134" i="96"/>
  <c r="BS135" i="96" s="1"/>
  <c r="BS137" i="96"/>
  <c r="AX134" i="96"/>
  <c r="AX135" i="96" s="1"/>
  <c r="AX137" i="96"/>
  <c r="CD134" i="96"/>
  <c r="CD135" i="96" s="1"/>
  <c r="CD137" i="96"/>
  <c r="CX134" i="96"/>
  <c r="CX135" i="96" s="1"/>
  <c r="CX137" i="96"/>
  <c r="T134" i="96"/>
  <c r="T135" i="96" s="1"/>
  <c r="T137" i="96"/>
  <c r="AP134" i="96"/>
  <c r="AP135" i="96" s="1"/>
  <c r="AP137" i="96"/>
  <c r="M134" i="96"/>
  <c r="M135" i="96" s="1"/>
  <c r="M137" i="96"/>
  <c r="W134" i="96"/>
  <c r="W135" i="96" s="1"/>
  <c r="W137" i="96"/>
  <c r="BI134" i="96"/>
  <c r="BI135" i="96" s="1"/>
  <c r="BI137" i="96"/>
  <c r="BF134" i="96"/>
  <c r="BF135" i="96" s="1"/>
  <c r="BF137" i="96"/>
  <c r="O134" i="96"/>
  <c r="O135" i="96" s="1"/>
  <c r="O137" i="96"/>
  <c r="R134" i="96"/>
  <c r="R135" i="96" s="1"/>
  <c r="R137" i="96"/>
  <c r="CF134" i="96"/>
  <c r="CF135" i="96" s="1"/>
  <c r="CF137" i="96"/>
  <c r="BT134" i="96"/>
  <c r="BT135" i="96" s="1"/>
  <c r="BT137" i="96"/>
  <c r="CI134" i="96"/>
  <c r="CI135" i="96" s="1"/>
  <c r="CI137" i="96"/>
  <c r="CO134" i="96"/>
  <c r="CO135" i="96" s="1"/>
  <c r="CO137" i="96"/>
  <c r="BH134" i="96"/>
  <c r="BH135" i="96" s="1"/>
  <c r="BH137" i="96"/>
  <c r="BV134" i="96"/>
  <c r="BV135" i="96" s="1"/>
  <c r="BV137" i="96"/>
  <c r="BA134" i="96"/>
  <c r="BA135" i="96" s="1"/>
  <c r="BA137" i="96"/>
  <c r="AA134" i="96"/>
  <c r="AA135" i="96" s="1"/>
  <c r="AA137" i="96"/>
  <c r="CM134" i="96"/>
  <c r="CM135" i="96" s="1"/>
  <c r="CM137" i="96"/>
  <c r="BU134" i="96"/>
  <c r="BU135" i="96" s="1"/>
  <c r="BU137" i="96"/>
  <c r="AV134" i="96"/>
  <c r="AV135" i="96" s="1"/>
  <c r="AV137" i="96"/>
  <c r="AG134" i="96"/>
  <c r="AG135" i="96" s="1"/>
  <c r="AG137" i="96"/>
  <c r="CA134" i="96"/>
  <c r="CA135" i="96" s="1"/>
  <c r="CA137" i="96"/>
  <c r="AI134" i="96"/>
  <c r="AI135" i="96" s="1"/>
  <c r="AI137" i="96"/>
  <c r="F134" i="96"/>
  <c r="F135" i="96" s="1"/>
  <c r="F137" i="96"/>
  <c r="AR134" i="96"/>
  <c r="AR135" i="96" s="1"/>
  <c r="AR137" i="96"/>
  <c r="AJ134" i="96"/>
  <c r="AJ135" i="96" s="1"/>
  <c r="AJ137" i="96"/>
  <c r="S134" i="96"/>
  <c r="S135" i="96" s="1"/>
  <c r="S137" i="96"/>
  <c r="AE134" i="96"/>
  <c r="AE137" i="96"/>
  <c r="AL134" i="96"/>
  <c r="AL135" i="96" s="1"/>
  <c r="AL137" i="96"/>
  <c r="AS134" i="96"/>
  <c r="AS135" i="96" s="1"/>
  <c r="AS137" i="96"/>
  <c r="CV134" i="96"/>
  <c r="CV135" i="96" s="1"/>
  <c r="CV137" i="96"/>
  <c r="X134" i="96"/>
  <c r="X135" i="96" s="1"/>
  <c r="X137" i="96"/>
  <c r="CK134" i="96"/>
  <c r="CK135" i="96" s="1"/>
  <c r="CK137" i="96"/>
  <c r="CT134" i="96"/>
  <c r="CT135" i="96" s="1"/>
  <c r="CT137" i="96"/>
  <c r="J134" i="96"/>
  <c r="J135" i="96" s="1"/>
  <c r="J137" i="96"/>
  <c r="CN134" i="96"/>
  <c r="CN135" i="96" s="1"/>
  <c r="CN137" i="96"/>
  <c r="AW134" i="96"/>
  <c r="AW135" i="96" s="1"/>
  <c r="AW137" i="96"/>
  <c r="AC134" i="96"/>
  <c r="AC135" i="96" s="1"/>
  <c r="AC137" i="96"/>
  <c r="AQ134" i="96"/>
  <c r="AQ135" i="96" s="1"/>
  <c r="AQ137" i="96"/>
  <c r="CR134" i="96"/>
  <c r="CR135" i="96" s="1"/>
  <c r="CR137" i="96"/>
  <c r="CL134" i="96"/>
  <c r="CL135" i="96" s="1"/>
  <c r="CL137" i="96"/>
  <c r="BL134" i="96"/>
  <c r="BL135" i="96" s="1"/>
  <c r="BL137" i="96"/>
  <c r="BQ134" i="96"/>
  <c r="BQ135" i="96" s="1"/>
  <c r="BQ137" i="96"/>
  <c r="I134" i="96"/>
  <c r="I135" i="96" s="1"/>
  <c r="I137" i="96"/>
  <c r="BO134" i="96"/>
  <c r="BO135" i="96" s="1"/>
  <c r="BO137" i="96"/>
  <c r="AT134" i="96"/>
  <c r="AT135" i="96" s="1"/>
  <c r="AT137" i="96"/>
  <c r="CZ134" i="96"/>
  <c r="CZ135" i="96" s="1"/>
  <c r="CZ137" i="96"/>
  <c r="Q134" i="96"/>
  <c r="Q135" i="96" s="1"/>
  <c r="Q137" i="96"/>
  <c r="BX134" i="96"/>
  <c r="BX135" i="96" s="1"/>
  <c r="BX137" i="96"/>
  <c r="AM134" i="96"/>
  <c r="AM135" i="96" s="1"/>
  <c r="AM137" i="96"/>
  <c r="CW134" i="96"/>
  <c r="CW135" i="96" s="1"/>
  <c r="CW137" i="96"/>
  <c r="N134" i="96"/>
  <c r="N135" i="96" s="1"/>
  <c r="N137" i="96"/>
  <c r="AH134" i="96"/>
  <c r="AH135" i="96" s="1"/>
  <c r="AH137" i="96"/>
  <c r="CY134" i="96"/>
  <c r="CY135" i="96" s="1"/>
  <c r="CY137" i="96"/>
  <c r="L134" i="96"/>
  <c r="L135" i="96" s="1"/>
  <c r="L137" i="96"/>
  <c r="BJ134" i="96"/>
  <c r="BJ135" i="96" s="1"/>
  <c r="BJ137" i="96"/>
  <c r="AY134" i="96"/>
  <c r="AY135" i="96" s="1"/>
  <c r="AY137" i="96"/>
  <c r="BD134" i="96"/>
  <c r="BD135" i="96" s="1"/>
  <c r="BD137" i="96"/>
  <c r="CB134" i="96"/>
  <c r="CB135" i="96" s="1"/>
  <c r="CB137" i="96"/>
  <c r="AU134" i="96"/>
  <c r="AU135" i="96" s="1"/>
  <c r="AU137" i="96"/>
  <c r="Y134" i="96"/>
  <c r="Y135" i="96" s="1"/>
  <c r="Y137" i="96"/>
  <c r="CC134" i="96"/>
  <c r="CC135" i="96" s="1"/>
  <c r="CC137" i="96"/>
  <c r="CS134" i="96"/>
  <c r="CS135" i="96" s="1"/>
  <c r="CS137" i="96"/>
  <c r="BC134" i="96"/>
  <c r="BC135" i="96" s="1"/>
  <c r="BC137" i="96"/>
  <c r="AK134" i="96"/>
  <c r="AK135" i="96" s="1"/>
  <c r="AK137" i="96"/>
  <c r="Z134" i="96"/>
  <c r="Z135" i="96" s="1"/>
  <c r="Z137" i="96"/>
  <c r="AB134" i="96"/>
  <c r="AB135" i="96" s="1"/>
  <c r="AB137" i="96"/>
  <c r="CP134" i="96"/>
  <c r="CP135" i="96" s="1"/>
  <c r="CP137" i="96"/>
  <c r="BP134" i="96"/>
  <c r="BP135" i="96" s="1"/>
  <c r="BP137" i="96"/>
  <c r="CG134" i="96"/>
  <c r="CG135" i="96" s="1"/>
  <c r="CG137" i="96"/>
  <c r="CH134" i="96"/>
  <c r="CH135" i="96" s="1"/>
  <c r="CH137" i="96"/>
  <c r="BG134" i="96"/>
  <c r="BG135" i="96" s="1"/>
  <c r="BG137" i="96"/>
  <c r="U134" i="96"/>
  <c r="U135" i="96" s="1"/>
  <c r="U137" i="96"/>
  <c r="P134" i="96"/>
  <c r="P135" i="96" s="1"/>
  <c r="P137" i="96"/>
  <c r="H134" i="96"/>
  <c r="H135" i="96" s="1"/>
  <c r="H137" i="96"/>
  <c r="BB134" i="96"/>
  <c r="BB135" i="96" s="1"/>
  <c r="BB137" i="96"/>
  <c r="BM134" i="96"/>
  <c r="BM135" i="96" s="1"/>
  <c r="BM137" i="96"/>
  <c r="K134" i="96"/>
  <c r="K135" i="96" s="1"/>
  <c r="K137" i="96"/>
  <c r="G134" i="96"/>
  <c r="G135" i="96" s="1"/>
  <c r="G137" i="96"/>
  <c r="CE134" i="96"/>
  <c r="CE135" i="96" s="1"/>
  <c r="CE137" i="96"/>
  <c r="BW134" i="96"/>
  <c r="BW135" i="96" s="1"/>
  <c r="BW137" i="96"/>
  <c r="AO134" i="96"/>
  <c r="AO135" i="96" s="1"/>
  <c r="AO137" i="96"/>
  <c r="AD134" i="96"/>
  <c r="AD135" i="96" s="1"/>
  <c r="AD137" i="96"/>
  <c r="BR134" i="96"/>
  <c r="BR135" i="96" s="1"/>
  <c r="BR137" i="96"/>
  <c r="BZ134" i="96"/>
  <c r="BZ135" i="96" s="1"/>
  <c r="BZ137" i="96"/>
  <c r="CQ134" i="96"/>
  <c r="CQ135" i="96" s="1"/>
  <c r="CQ137" i="96"/>
  <c r="BN134" i="96"/>
  <c r="BN135" i="96" s="1"/>
  <c r="BN137" i="96"/>
  <c r="CU134" i="96"/>
  <c r="CU135" i="96" s="1"/>
  <c r="CU137" i="96"/>
  <c r="V134" i="96"/>
  <c r="V135" i="96" s="1"/>
  <c r="V137" i="96"/>
  <c r="AF134" i="96"/>
  <c r="AF135" i="96" s="1"/>
  <c r="AF137" i="96"/>
  <c r="BK134" i="96"/>
  <c r="BK135" i="96" s="1"/>
  <c r="BK137" i="96"/>
  <c r="BY134" i="96"/>
  <c r="BY135" i="96" s="1"/>
  <c r="BY137" i="96"/>
  <c r="AZ134" i="96"/>
  <c r="AZ135" i="96" s="1"/>
  <c r="AZ137" i="96"/>
  <c r="BE134" i="96"/>
  <c r="BE135" i="96" s="1"/>
  <c r="BE137" i="96"/>
  <c r="AN134" i="96"/>
  <c r="AN135" i="96" s="1"/>
  <c r="AN137" i="96"/>
  <c r="E139" i="96"/>
  <c r="AE135" i="96"/>
  <c r="I8" i="131" s="1"/>
  <c r="G8" i="131"/>
  <c r="E134" i="96"/>
  <c r="E135" i="96" s="1"/>
  <c r="E130" i="96"/>
  <c r="F130" i="96" s="1"/>
  <c r="G130" i="96" s="1"/>
  <c r="H130" i="96" s="1"/>
  <c r="I130" i="96" s="1"/>
  <c r="J130" i="96" s="1"/>
  <c r="K130" i="96" s="1"/>
  <c r="L130" i="96" s="1"/>
  <c r="M130" i="96" s="1"/>
  <c r="N130" i="96" s="1"/>
  <c r="O130" i="96" s="1"/>
  <c r="P130" i="96" s="1"/>
  <c r="Q130" i="96" s="1"/>
  <c r="R130" i="96" s="1"/>
  <c r="S130" i="96" s="1"/>
  <c r="T130" i="96" s="1"/>
  <c r="U130" i="96" s="1"/>
  <c r="V130" i="96" s="1"/>
  <c r="W130" i="96" s="1"/>
  <c r="X130" i="96" s="1"/>
  <c r="Y130" i="96" s="1"/>
  <c r="Z130" i="96" s="1"/>
  <c r="AA130" i="96" s="1"/>
  <c r="AB130" i="96" s="1"/>
  <c r="AC130" i="96" s="1"/>
  <c r="AD130" i="96" s="1"/>
  <c r="AE130" i="96" s="1"/>
  <c r="AF130" i="96" s="1"/>
  <c r="AG130" i="96" s="1"/>
  <c r="AH130" i="96" s="1"/>
  <c r="AI130" i="96" s="1"/>
  <c r="AJ130" i="96" s="1"/>
  <c r="AK130" i="96" s="1"/>
  <c r="AL130" i="96" s="1"/>
  <c r="AM130" i="96" s="1"/>
  <c r="AN130" i="96" s="1"/>
  <c r="AO130" i="96" s="1"/>
  <c r="AP130" i="96" s="1"/>
  <c r="AQ130" i="96" s="1"/>
  <c r="AR130" i="96" s="1"/>
  <c r="AS130" i="96" s="1"/>
  <c r="AT130" i="96" s="1"/>
  <c r="AU130" i="96" s="1"/>
  <c r="AV130" i="96" s="1"/>
  <c r="AW130" i="96" s="1"/>
  <c r="AX130" i="96" s="1"/>
  <c r="AY130" i="96" s="1"/>
  <c r="AZ130" i="96" s="1"/>
  <c r="BA130" i="96" s="1"/>
  <c r="BB130" i="96" s="1"/>
  <c r="BC130" i="96" s="1"/>
  <c r="BD130" i="96" s="1"/>
  <c r="BE130" i="96" s="1"/>
  <c r="BF130" i="96" s="1"/>
  <c r="BG130" i="96" s="1"/>
  <c r="BH130" i="96" s="1"/>
  <c r="BI130" i="96" s="1"/>
  <c r="BJ130" i="96" s="1"/>
  <c r="BK130" i="96" s="1"/>
  <c r="BL130" i="96" s="1"/>
  <c r="BM130" i="96" s="1"/>
  <c r="BN130" i="96" s="1"/>
  <c r="BO130" i="96" s="1"/>
  <c r="BP130" i="96" s="1"/>
  <c r="BQ130" i="96" s="1"/>
  <c r="BR130" i="96" s="1"/>
  <c r="BS130" i="96" s="1"/>
  <c r="BT130" i="96" s="1"/>
  <c r="BU130" i="96" s="1"/>
  <c r="BV130" i="96" s="1"/>
  <c r="BW130" i="96" s="1"/>
  <c r="BX130" i="96" s="1"/>
  <c r="BY130" i="96" s="1"/>
  <c r="BZ130" i="96" s="1"/>
  <c r="CA130" i="96" s="1"/>
  <c r="CB130" i="96" s="1"/>
  <c r="CC130" i="96" s="1"/>
  <c r="CD130" i="96" s="1"/>
  <c r="CE130" i="96" s="1"/>
  <c r="CF130" i="96" s="1"/>
  <c r="CG130" i="96" s="1"/>
  <c r="CH130" i="96" s="1"/>
  <c r="CI130" i="96" s="1"/>
  <c r="CJ130" i="96" s="1"/>
  <c r="CK130" i="96" s="1"/>
  <c r="CL130" i="96" s="1"/>
  <c r="CM130" i="96" s="1"/>
  <c r="CN130" i="96" s="1"/>
  <c r="CO130" i="96" s="1"/>
  <c r="CP130" i="96" s="1"/>
  <c r="CQ130" i="96" s="1"/>
  <c r="CR130" i="96" s="1"/>
  <c r="CS130" i="96" s="1"/>
  <c r="CT130" i="96" s="1"/>
  <c r="CU130" i="96" s="1"/>
  <c r="CV130" i="96" s="1"/>
  <c r="CW130" i="96" s="1"/>
  <c r="CX130" i="96" s="1"/>
  <c r="CY130" i="96" s="1"/>
  <c r="CZ130" i="96" s="1"/>
  <c r="E144" i="96" s="1"/>
</calcChain>
</file>

<file path=xl/sharedStrings.xml><?xml version="1.0" encoding="utf-8"?>
<sst xmlns="http://schemas.openxmlformats.org/spreadsheetml/2006/main" count="1547" uniqueCount="647">
  <si>
    <t>Water Demand</t>
  </si>
  <si>
    <t>Population Growth Rate</t>
  </si>
  <si>
    <t>Remaining Balance</t>
  </si>
  <si>
    <t>Census Historical Population Estimates</t>
  </si>
  <si>
    <t>Population 1990-2060</t>
  </si>
  <si>
    <t>Water Capacity</t>
  </si>
  <si>
    <t>Water Capacity Surplus/ Shortfall</t>
  </si>
  <si>
    <t>Cost for Additional Capacity Needed</t>
  </si>
  <si>
    <r>
      <t>Population</t>
    </r>
    <r>
      <rPr>
        <b/>
        <sz val="9"/>
        <rFont val="Arial Narrow"/>
        <family val="2"/>
      </rPr>
      <t xml:space="preserve">  </t>
    </r>
    <r>
      <rPr>
        <sz val="9"/>
        <rFont val="Arial Narrow"/>
        <family val="2"/>
      </rPr>
      <t>(Based on Census &amp; GOPB Estimates)</t>
    </r>
  </si>
  <si>
    <r>
      <t xml:space="preserve">ERUs </t>
    </r>
    <r>
      <rPr>
        <sz val="9"/>
        <rFont val="Arial Narrow"/>
        <family val="2"/>
      </rPr>
      <t>(Based on Census and GOPB Estimates</t>
    </r>
    <r>
      <rPr>
        <b/>
        <sz val="10"/>
        <rFont val="Arial Narrow"/>
        <family val="2"/>
      </rPr>
      <t>)</t>
    </r>
  </si>
  <si>
    <t>Year</t>
  </si>
  <si>
    <t>GOPB Population Estimates</t>
  </si>
  <si>
    <r>
      <t xml:space="preserve">Projected Population Growth Rates </t>
    </r>
    <r>
      <rPr>
        <sz val="9"/>
        <rFont val="Arial Narrow"/>
        <family val="2"/>
      </rPr>
      <t>(Based on Census and GOPB Estimates)</t>
    </r>
  </si>
  <si>
    <t>1990-2012 population based on U.S. Census projections. 2013-forward based on decennial GOPB projections. Equivalent Residential Units (ERUs) are calculated at 2.94 persons per ERU.</t>
  </si>
  <si>
    <t>a</t>
  </si>
  <si>
    <t>Average AF pr ERU</t>
  </si>
  <si>
    <t>Goal GPCD (Governor's goal=245)</t>
  </si>
  <si>
    <t xml:space="preserve">GPCPD </t>
  </si>
  <si>
    <t>Reduction date (Governor's  goal=2025)</t>
  </si>
  <si>
    <r>
      <rPr>
        <vertAlign val="superscript"/>
        <sz val="10"/>
        <color theme="1"/>
        <rFont val="Arial Narrow"/>
        <family val="2"/>
      </rPr>
      <t>a</t>
    </r>
    <r>
      <rPr>
        <sz val="10"/>
        <color theme="1"/>
        <rFont val="Arial Narrow"/>
        <family val="2"/>
      </rPr>
      <t xml:space="preserve"> 265 GPCD estimate is from Zions Bank model</t>
    </r>
  </si>
  <si>
    <t xml:space="preserve">Calculation to Determine Water Demand </t>
  </si>
  <si>
    <t>Number of gallons in 1 acre foot of water</t>
  </si>
  <si>
    <t>Total AF Demand</t>
  </si>
  <si>
    <t>Calculation determines water demand using goal gallons per capita per day (GPCD) and timeline.</t>
  </si>
  <si>
    <t>Incremental Cost of Additional Capacity per  New Resident</t>
  </si>
  <si>
    <t>Incremental Cost of Additional Capacity per New ERU</t>
  </si>
  <si>
    <t>Existing water delivery capacity (74,559) and historical and planned additions in acre feet (AF) based on Washington County Water Conservation District (WCWCD) Capital Facilities Plan (CFP).</t>
  </si>
  <si>
    <t>Water capacity/shortfall assuming GOPB population projections and demand reduction to Governor's goal of 245 GPCD.</t>
  </si>
  <si>
    <t>Historical Water Demand from WCWCD CFP and projections to meet Governor's Conservation goal of 245 gallons per capita per day (GPCD) by 2025.</t>
  </si>
  <si>
    <t>The economists' second set of models assumes a) all $969 million necessary to construct the project is borrowed in 2020, b) principal and interest are calculated using a straight-line method, and c) WCWCD would make a $97 million prepayment on the total construction costs prior to pipeline completion, and d) Between 2020 and 2031, WCWCD would only pay $20 million toward principal and interest on the total pipeline cost.</t>
  </si>
  <si>
    <t>One-Time Pre-Payment</t>
  </si>
  <si>
    <r>
      <t xml:space="preserve">Historical Additions to Capacity </t>
    </r>
    <r>
      <rPr>
        <sz val="9"/>
        <rFont val="Arial Narrow"/>
        <family val="2"/>
      </rPr>
      <t>(AF)</t>
    </r>
  </si>
  <si>
    <r>
      <t xml:space="preserve">Planned Additions to Capacity </t>
    </r>
    <r>
      <rPr>
        <sz val="9"/>
        <rFont val="Arial Narrow"/>
        <family val="2"/>
      </rPr>
      <t>(AF)</t>
    </r>
  </si>
  <si>
    <r>
      <t xml:space="preserve">Existing Capacity Plus Planned Additions </t>
    </r>
    <r>
      <rPr>
        <sz val="9"/>
        <rFont val="Arial Narrow"/>
        <family val="2"/>
      </rPr>
      <t>(AF)</t>
    </r>
  </si>
  <si>
    <r>
      <t xml:space="preserve">Future Demand at Governor's Conservation Goal </t>
    </r>
    <r>
      <rPr>
        <sz val="9"/>
        <rFont val="Arial Narrow"/>
        <family val="2"/>
      </rPr>
      <t>(GPCD)</t>
    </r>
  </si>
  <si>
    <r>
      <t xml:space="preserve">Future Demand at Governor's Conservation Goal </t>
    </r>
    <r>
      <rPr>
        <sz val="9"/>
        <rFont val="Arial Narrow"/>
        <family val="2"/>
      </rPr>
      <t>(AF per ERU)</t>
    </r>
  </si>
  <si>
    <t>Number of people equal to 1 ERU</t>
  </si>
  <si>
    <t>The economists' first set of models assumes a) all $969 million necessary to construct the project is borrowed in 2020, b) principal and interest are calculated using a straight-line method, c) all principal and interest must be repaid by 2070, and interest is charged at 3, 4, 5, and 7%.</t>
  </si>
  <si>
    <t>Per Capita Cost of Additional Capacity</t>
  </si>
  <si>
    <t>Per ERU Cost of Additional Capacity</t>
  </si>
  <si>
    <t>Per New ERU Cost of Additional Capacity</t>
  </si>
  <si>
    <t>Finance Variable:</t>
  </si>
  <si>
    <t>Dynamic Model of Lake Powell Pipeline Finances</t>
  </si>
  <si>
    <t>Table of Contents</t>
  </si>
  <si>
    <t>Purpose: Compare finance models and annual costs of building the LPP.</t>
  </si>
  <si>
    <t xml:space="preserve">Using the dropbox, compare various proposed finance approaches. </t>
  </si>
  <si>
    <t>Title: Summary Baseline Data.</t>
  </si>
  <si>
    <t>Purpose: All baseline population, water capacity, and water demand data and projections.</t>
  </si>
  <si>
    <t>Summary Baseline Data</t>
  </si>
  <si>
    <t>All summary population, water capacity, and water demand data from census and Governor's Office data, and projections from those data.</t>
  </si>
  <si>
    <t>Title: Economist Financing Model 1</t>
  </si>
  <si>
    <t>Purpose: Replication of economists' first finance model (Straight-line payments for entire balance beginning in 2020) for the LPP.</t>
  </si>
  <si>
    <t>Title: Economist Financing Model 2</t>
  </si>
  <si>
    <t>Purpose: Replication of economists' second finance model ($95 million pre-paid, $20 million payments between 2020-2032, and straight-line payments for entire balance thereafter) for the LPP.</t>
  </si>
  <si>
    <t>Title: Assumptions</t>
  </si>
  <si>
    <t>Purpose: Key assumptions under which the financing models are built.</t>
  </si>
  <si>
    <t>Categories for Summary Sheet Dropbox</t>
  </si>
  <si>
    <r>
      <t xml:space="preserve">Historical Population Growth Rates </t>
    </r>
    <r>
      <rPr>
        <sz val="9"/>
        <rFont val="Arial Narrow"/>
        <family val="2"/>
      </rPr>
      <t>(Based on Census Estimates)</t>
    </r>
  </si>
  <si>
    <r>
      <t xml:space="preserve">Excess (Shortfall) of Water Capacity </t>
    </r>
    <r>
      <rPr>
        <sz val="9"/>
        <rFont val="Arial Narrow"/>
        <family val="2"/>
      </rPr>
      <t>(AF)</t>
    </r>
  </si>
  <si>
    <t>Cost of pipeline</t>
  </si>
  <si>
    <t>Pipeline capacity</t>
  </si>
  <si>
    <t>Number of days in a year</t>
  </si>
  <si>
    <t>AF per Capita Demand</t>
  </si>
  <si>
    <t>Acre Feet per Capita Demand</t>
  </si>
  <si>
    <t>Title: Dynamic Financing Summary</t>
  </si>
  <si>
    <t>Title: Dynamic Capacity and Demand Summary</t>
  </si>
  <si>
    <t>Population</t>
  </si>
  <si>
    <t>Population Growth Rate:</t>
  </si>
  <si>
    <t>Demand Reduction Goal Year:</t>
  </si>
  <si>
    <t>Demand Reduction Goal in allons per Capita per Day (GPCD):</t>
  </si>
  <si>
    <r>
      <t xml:space="preserve">Demand Per Capita </t>
    </r>
    <r>
      <rPr>
        <sz val="9"/>
        <color theme="1"/>
        <rFont val="Arial Narrow"/>
        <family val="2"/>
      </rPr>
      <t>(GPCD)</t>
    </r>
  </si>
  <si>
    <t>WKWCD Capacity with LPP (AF)</t>
  </si>
  <si>
    <t>Lake Powell Pipeline (LPP) Completion Year:</t>
  </si>
  <si>
    <t>Water Demand and Capacity</t>
  </si>
  <si>
    <t>Dynamic Model of Water Demand and Capacity</t>
  </si>
  <si>
    <t xml:space="preserve">Using the boxes below, compare various proposed population expectations, demand reduction goals, and Lake Powell Pipeline completion timelines to assess when demand will exceed capacity. </t>
  </si>
  <si>
    <r>
      <rPr>
        <b/>
        <u/>
        <sz val="12"/>
        <color theme="10"/>
        <rFont val="Arial Narrow"/>
        <family val="2"/>
      </rPr>
      <t xml:space="preserve">Dynamic Capacity and Demand Summary: </t>
    </r>
    <r>
      <rPr>
        <u/>
        <sz val="12"/>
        <color theme="10"/>
        <rFont val="Arial Narrow"/>
        <family val="2"/>
      </rPr>
      <t xml:space="preserve">Compare how population and conservation affect timeline to water demand reaching capacity. </t>
    </r>
  </si>
  <si>
    <r>
      <rPr>
        <b/>
        <u/>
        <sz val="12"/>
        <color theme="10"/>
        <rFont val="Arial Narrow"/>
        <family val="2"/>
      </rPr>
      <t xml:space="preserve">Summary Baseline Data: </t>
    </r>
    <r>
      <rPr>
        <u/>
        <sz val="12"/>
        <color theme="10"/>
        <rFont val="Arial Narrow"/>
        <family val="2"/>
      </rPr>
      <t>All baseline population, water capacity, and water demand data and projections.</t>
    </r>
  </si>
  <si>
    <r>
      <rPr>
        <b/>
        <u/>
        <sz val="12"/>
        <color theme="10"/>
        <rFont val="Arial Narrow"/>
        <family val="2"/>
      </rPr>
      <t xml:space="preserve">Economist Financing Model 1: </t>
    </r>
    <r>
      <rPr>
        <u/>
        <sz val="12"/>
        <color theme="10"/>
        <rFont val="Arial Narrow"/>
        <family val="2"/>
      </rPr>
      <t>Replication of economists' first finance model (Straight-line payments for entire balance beginning in 2020) for the LPP.</t>
    </r>
  </si>
  <si>
    <t>Negative Excess/Shortfall</t>
  </si>
  <si>
    <r>
      <t>Excess (Shortfall) of Water Capacity After LPP Constructed (AF)</t>
    </r>
    <r>
      <rPr>
        <vertAlign val="superscript"/>
        <sz val="10"/>
        <color theme="1"/>
        <rFont val="Arial Narrow"/>
        <family val="2"/>
      </rPr>
      <t>a</t>
    </r>
    <r>
      <rPr>
        <sz val="10"/>
        <color theme="1"/>
        <rFont val="Arial Narrow"/>
        <family val="2"/>
      </rPr>
      <t xml:space="preserve"> </t>
    </r>
  </si>
  <si>
    <r>
      <rPr>
        <vertAlign val="superscript"/>
        <sz val="10"/>
        <color theme="1"/>
        <rFont val="Arial Narrow"/>
        <family val="2"/>
      </rPr>
      <t>a</t>
    </r>
    <r>
      <rPr>
        <sz val="10"/>
        <color theme="1"/>
        <rFont val="Arial Narrow"/>
        <family val="2"/>
      </rPr>
      <t xml:space="preserve"> Excess (Shortfall) of Water Capacity after LPP Constructed assumes that construction will occur prior to demand exceeding capacity.</t>
    </r>
  </si>
  <si>
    <t>Economists Model</t>
  </si>
  <si>
    <t>Economists Model Based on WCWCD Assumptions</t>
  </si>
  <si>
    <t>Economists' Model</t>
  </si>
  <si>
    <r>
      <rPr>
        <vertAlign val="superscript"/>
        <sz val="10"/>
        <color theme="1"/>
        <rFont val="Arial Narrow"/>
        <family val="2"/>
      </rPr>
      <t>a</t>
    </r>
    <r>
      <rPr>
        <sz val="10"/>
        <color theme="1"/>
        <rFont val="Arial Narrow"/>
        <family val="2"/>
      </rPr>
      <t xml:space="preserve"> Crystal Creek</t>
    </r>
  </si>
  <si>
    <r>
      <rPr>
        <vertAlign val="superscript"/>
        <sz val="10"/>
        <color theme="1"/>
        <rFont val="Arial Narrow"/>
        <family val="2"/>
      </rPr>
      <t>b</t>
    </r>
    <r>
      <rPr>
        <sz val="10"/>
        <color theme="1"/>
        <rFont val="Arial Narrow"/>
        <family val="2"/>
      </rPr>
      <t xml:space="preserve"> Ash Creek</t>
    </r>
  </si>
  <si>
    <r>
      <rPr>
        <vertAlign val="superscript"/>
        <sz val="10"/>
        <color theme="1"/>
        <rFont val="Arial Narrow"/>
        <family val="2"/>
      </rPr>
      <t>c</t>
    </r>
    <r>
      <rPr>
        <sz val="10"/>
        <color theme="1"/>
        <rFont val="Arial Narrow"/>
        <family val="2"/>
      </rPr>
      <t xml:space="preserve"> Agricultural Conversion</t>
    </r>
  </si>
  <si>
    <r>
      <rPr>
        <b/>
        <u/>
        <sz val="12"/>
        <color theme="10"/>
        <rFont val="Arial Narrow"/>
        <family val="2"/>
      </rPr>
      <t xml:space="preserve">WCWCD Financing Models Based on LPP Act: </t>
    </r>
    <r>
      <rPr>
        <u/>
        <sz val="12"/>
        <color theme="10"/>
        <rFont val="Arial Narrow"/>
        <family val="2"/>
      </rPr>
      <t>Analyses of finance models under UC 73-28 (Additional capacity is paid for as it is needed and utilized).</t>
    </r>
  </si>
  <si>
    <t>Model of Cumulative Lake Powell Pipeline Financing Costs</t>
  </si>
  <si>
    <t>Title: LPP Cumulative Financing Costs</t>
  </si>
  <si>
    <t>Purpose: Compare finance models on cumulative finance costs.</t>
  </si>
  <si>
    <t>Model of Annual Lake Powell Pipeline Financing Costs</t>
  </si>
  <si>
    <t>Title: LPP Annual Financing Costs</t>
  </si>
  <si>
    <t>Purpose: Compare finance models on annual finance costs.</t>
  </si>
  <si>
    <t xml:space="preserve">Compare cumulative effects of the proposed finance approaches. </t>
  </si>
  <si>
    <t xml:space="preserve">Compare the annual effects of the proposed finance approaches. </t>
  </si>
  <si>
    <t>Economist Interest Options</t>
  </si>
  <si>
    <t>Economist Model 1</t>
  </si>
  <si>
    <t>Economist-Proposed Interest Rates</t>
  </si>
  <si>
    <t>Annual Financing Costs Data</t>
  </si>
  <si>
    <t>Cumulative Financing Costs Data</t>
  </si>
  <si>
    <t>Annual Per Capita Costs Data</t>
  </si>
  <si>
    <t>Prepayment</t>
  </si>
  <si>
    <t>Balance Due After Prepayment</t>
  </si>
  <si>
    <t>Economists' Proposed Interest Rate</t>
  </si>
  <si>
    <t>Water Demand Reduction Goal (Current demand=265)</t>
  </si>
  <si>
    <t>Water Demand Reduction Goal Year (Currently 2025)</t>
  </si>
  <si>
    <t>Year when Demand Will Exceed Capacity</t>
  </si>
  <si>
    <t>Dynamic Assumptions:</t>
  </si>
  <si>
    <t>Cost/Payment to View on Tables and Charts</t>
  </si>
  <si>
    <t>Exhibits</t>
  </si>
  <si>
    <t>Tables</t>
  </si>
  <si>
    <r>
      <rPr>
        <b/>
        <u/>
        <sz val="12"/>
        <color theme="10"/>
        <rFont val="Arial Narrow"/>
        <family val="2"/>
      </rPr>
      <t xml:space="preserve">Dynamic Financing Summary: </t>
    </r>
    <r>
      <rPr>
        <u/>
        <sz val="12"/>
        <color theme="10"/>
        <rFont val="Arial Narrow"/>
        <family val="2"/>
      </rPr>
      <t>Compare finance models and annual costs of building the Lake Powell Pipeline.</t>
    </r>
  </si>
  <si>
    <r>
      <rPr>
        <b/>
        <u/>
        <sz val="12"/>
        <color theme="10"/>
        <rFont val="Arial Narrow"/>
        <family val="2"/>
      </rPr>
      <t xml:space="preserve">Underlying Assumptions: </t>
    </r>
    <r>
      <rPr>
        <u/>
        <sz val="12"/>
        <color theme="10"/>
        <rFont val="Arial Narrow"/>
        <family val="2"/>
      </rPr>
      <t>Key assumptions under which the above models are built.</t>
    </r>
  </si>
  <si>
    <r>
      <rPr>
        <b/>
        <u/>
        <sz val="12"/>
        <color theme="10"/>
        <rFont val="Arial Narrow"/>
        <family val="2"/>
      </rPr>
      <t xml:space="preserve">Economist Financing Model 2 </t>
    </r>
    <r>
      <rPr>
        <u/>
        <sz val="12"/>
        <color theme="10"/>
        <rFont val="Arial Narrow"/>
        <family val="2"/>
      </rPr>
      <t>(Economists' Model Based on WCWCD Assumptions): Replication of economists' second finance model ($95 million pre-paid, $20 million payments between 2020-2032, and straight-line payments for entire balance thereafter) for the LPP.</t>
    </r>
  </si>
  <si>
    <r>
      <rPr>
        <b/>
        <u/>
        <sz val="12"/>
        <color theme="10"/>
        <rFont val="Arial Narrow"/>
        <family val="2"/>
      </rPr>
      <t>LPP Annual Financing Costs:</t>
    </r>
    <r>
      <rPr>
        <u/>
        <sz val="12"/>
        <color theme="10"/>
        <rFont val="Arial Narrow"/>
        <family val="2"/>
      </rPr>
      <t xml:space="preserve"> Compare annual finance costs across finance models.</t>
    </r>
  </si>
  <si>
    <r>
      <rPr>
        <b/>
        <u/>
        <sz val="12"/>
        <color theme="10"/>
        <rFont val="Arial Narrow"/>
        <family val="2"/>
      </rPr>
      <t>LPP Cumulative Financing Costs:</t>
    </r>
    <r>
      <rPr>
        <u/>
        <sz val="12"/>
        <color theme="10"/>
        <rFont val="Arial Narrow"/>
        <family val="2"/>
      </rPr>
      <t xml:space="preserve"> Compare cumulative finance costs across finance models.</t>
    </r>
  </si>
  <si>
    <r>
      <rPr>
        <b/>
        <u/>
        <sz val="12"/>
        <color theme="10"/>
        <rFont val="Arial Narrow"/>
        <family val="2"/>
      </rPr>
      <t xml:space="preserve">Dynamic Assumptions: </t>
    </r>
    <r>
      <rPr>
        <u/>
        <sz val="12"/>
        <color theme="10"/>
        <rFont val="Arial Narrow"/>
        <family val="2"/>
      </rPr>
      <t xml:space="preserve">Vary key assumptions to modify later tables and charts. </t>
    </r>
  </si>
  <si>
    <r>
      <rPr>
        <b/>
        <u/>
        <sz val="12"/>
        <color theme="10"/>
        <rFont val="Arial Narrow"/>
        <family val="2"/>
      </rPr>
      <t xml:space="preserve">LPP Per Capita Annual Financing Costs: </t>
    </r>
    <r>
      <rPr>
        <u/>
        <sz val="12"/>
        <color theme="10"/>
        <rFont val="Arial Narrow"/>
        <family val="2"/>
      </rPr>
      <t>Compare per capita financing costs across finance models.</t>
    </r>
  </si>
  <si>
    <t>Per New Resident Cost of Additional Capacity</t>
  </si>
  <si>
    <r>
      <t>Annual Additional Capacity Needed</t>
    </r>
    <r>
      <rPr>
        <sz val="9"/>
        <rFont val="Arial Narrow"/>
        <family val="2"/>
      </rPr>
      <t xml:space="preserve"> (AF)</t>
    </r>
  </si>
  <si>
    <t>Impact Fee Start Year</t>
  </si>
  <si>
    <t>Starting LPP-Specific Impact Fee</t>
  </si>
  <si>
    <t xml:space="preserve">Impact Fee Annual Inflation </t>
  </si>
  <si>
    <t>% paid with impact vs. rates vs prop tax?</t>
  </si>
  <si>
    <r>
      <t>Total WCWCD Demand Capped at Capacity</t>
    </r>
    <r>
      <rPr>
        <sz val="9"/>
        <color theme="1"/>
        <rFont val="Arial Narrow"/>
        <family val="2"/>
      </rPr>
      <t>(AF)</t>
    </r>
  </si>
  <si>
    <t>Total WCWCD Demand (AF)</t>
  </si>
  <si>
    <t>Financing LPP per Zions Model</t>
  </si>
  <si>
    <t>Contract 1 Annual Costs Per Capita</t>
  </si>
  <si>
    <t>Contract 2 Annual Costs Per Capita</t>
  </si>
  <si>
    <t>Contract 3 Annual Costs Per Capita</t>
  </si>
  <si>
    <t>Combined Costs Per Capita</t>
  </si>
  <si>
    <t>Cumulative Costs under WCWCD Plan</t>
  </si>
  <si>
    <t>Existing Balances</t>
  </si>
  <si>
    <t>2013 Beginning Operational Fund Balance</t>
  </si>
  <si>
    <t>Existing Balances Subtotal</t>
  </si>
  <si>
    <t>Revenues</t>
  </si>
  <si>
    <t>Revenues Subtotal</t>
  </si>
  <si>
    <t>Expenses</t>
  </si>
  <si>
    <t>Expenses Subtotal</t>
  </si>
  <si>
    <t>Final Balance</t>
  </si>
  <si>
    <t>LPP Contract 1 Costs</t>
  </si>
  <si>
    <t>LPP Contract 2 Costs</t>
  </si>
  <si>
    <t>LPP Contract 3 Costs</t>
  </si>
  <si>
    <t>Population projections</t>
  </si>
  <si>
    <t>ERUs</t>
  </si>
  <si>
    <t>GPCD</t>
  </si>
  <si>
    <t xml:space="preserve">Demand </t>
  </si>
  <si>
    <r>
      <t xml:space="preserve">Historical Demand  </t>
    </r>
    <r>
      <rPr>
        <sz val="9"/>
        <rFont val="Arial Narrow"/>
        <family val="2"/>
      </rPr>
      <t>(AF per ERU)</t>
    </r>
  </si>
  <si>
    <r>
      <t xml:space="preserve">Historical Demand </t>
    </r>
    <r>
      <rPr>
        <sz val="9"/>
        <rFont val="Arial Narrow"/>
        <family val="2"/>
      </rPr>
      <t>(AF)</t>
    </r>
  </si>
  <si>
    <r>
      <t xml:space="preserve">Historical Demand </t>
    </r>
    <r>
      <rPr>
        <sz val="9"/>
        <rFont val="Arial Narrow"/>
        <family val="2"/>
      </rPr>
      <t>(GPCD)</t>
    </r>
  </si>
  <si>
    <t>Economist Model Based on WCWCD Assumptions</t>
  </si>
  <si>
    <t>ANNUAL POPULATION GROWTH 2009-2060:</t>
  </si>
  <si>
    <t>Ending Fund Balance</t>
  </si>
  <si>
    <t>Annual Total Revenues (Expenses)</t>
  </si>
  <si>
    <t>The Governor's Office of Planning and Budget projected that Washington County's population will increase at a 2.94% average annual rate between 2013 and 2060. Given your expertise with Washington County, at what rate do you expect population to grow?</t>
  </si>
  <si>
    <t>Cumulative Revenues</t>
  </si>
  <si>
    <t>Cumulative Expenses</t>
  </si>
  <si>
    <r>
      <t>Future Demand under Current Regulations</t>
    </r>
    <r>
      <rPr>
        <sz val="9"/>
        <rFont val="Arial Narrow"/>
        <family val="2"/>
      </rPr>
      <t xml:space="preserve"> (AF)</t>
    </r>
  </si>
  <si>
    <t>Operations and Maintenance</t>
  </si>
  <si>
    <t>General Obligation Bond Payments</t>
  </si>
  <si>
    <t>Interest Payments</t>
  </si>
  <si>
    <t>Pre-Construction Costs</t>
  </si>
  <si>
    <t>LPP-Specific Impact Fees</t>
  </si>
  <si>
    <t>Land Sale</t>
  </si>
  <si>
    <t>Water Connection Fees</t>
  </si>
  <si>
    <t>Property Taxes</t>
  </si>
  <si>
    <t>Operational Revenues</t>
  </si>
  <si>
    <t>Interest Rate</t>
  </si>
  <si>
    <t xml:space="preserve">Year 1 </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</si>
  <si>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</si>
  <si>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</si>
  <si>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</si>
  <si>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</si>
  <si>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</si>
  <si>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</si>
  <si>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</si>
  <si>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</si>
  <si>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</si>
  <si>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</si>
  <si>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</si>
  <si>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</si>
  <si>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</si>
  <si>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</si>
  <si>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</si>
  <si>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</si>
  <si>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</si>
  <si>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</si>
  <si>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</si>
  <si>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</si>
  <si>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</si>
  <si>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</si>
  <si>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</si>
  <si>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</si>
  <si>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</si>
  <si>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</si>
  <si>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</si>
  <si>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</si>
  <si>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</si>
  <si>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</si>
  <si>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</si>
  <si>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</si>
  <si>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</si>
  <si>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</si>
  <si>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</si>
  <si>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</si>
  <si>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</si>
  <si>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</si>
  <si>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</si>
  <si>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</si>
  <si>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</si>
  <si>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</si>
  <si>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</si>
  <si>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</si>
  <si>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</si>
  <si>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</si>
  <si>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</si>
  <si>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</si>
  <si>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</si>
  <si>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Water Demand (GPCD)</t>
  </si>
  <si>
    <t>Total Water Demanded (Gallons, in Millions)</t>
  </si>
  <si>
    <t>Supply-Demand Considerations</t>
  </si>
  <si>
    <t>Water Supply (Gallons, in Millions)</t>
  </si>
  <si>
    <t>Supply-Demand Balance (Gallons, in Millions)</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</si>
  <si>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</si>
  <si>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</si>
  <si>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</si>
  <si>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</si>
  <si>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</si>
  <si>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</si>
  <si>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</si>
  <si>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</si>
  <si>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</si>
  <si>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</si>
  <si>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</si>
  <si>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</si>
  <si>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</si>
  <si>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</si>
  <si>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</si>
  <si>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</si>
  <si>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</si>
  <si>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</si>
  <si>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</si>
  <si>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</si>
  <si>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</si>
  <si>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</si>
  <si>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</si>
  <si>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</si>
  <si>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</si>
  <si>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</si>
  <si>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</si>
  <si>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</si>
  <si>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</si>
  <si>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</si>
  <si>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</si>
  <si>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</si>
  <si>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</si>
  <si>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</si>
  <si>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</si>
  <si>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</si>
  <si>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</si>
  <si>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</si>
  <si>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</si>
  <si>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</si>
  <si>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</si>
  <si>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</si>
  <si>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</si>
  <si>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</si>
  <si>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</si>
  <si>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</si>
  <si>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</si>
  <si>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</si>
  <si>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</si>
  <si>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</si>
  <si>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Capital Construction Costs</t>
  </si>
  <si>
    <t xml:space="preserve">Lake Powell Pipeline </t>
  </si>
  <si>
    <t>Debt Repayment</t>
  </si>
  <si>
    <t>Impact Assessment</t>
  </si>
  <si>
    <t>Per Capita Annual Cost</t>
  </si>
  <si>
    <t>Cost Per Household Per Month</t>
  </si>
  <si>
    <t>Incremental ERUs</t>
  </si>
  <si>
    <t>Cost Per Incremental ERU</t>
  </si>
  <si>
    <t>Per 1,000 Gallon of Water Consumed (Water Rates)</t>
  </si>
  <si>
    <t>Lake Powell Pipeline - Initial Investment</t>
  </si>
  <si>
    <t>Ending Capital Balance</t>
  </si>
  <si>
    <t>Capital Payment</t>
  </si>
  <si>
    <t>Total Debt Repayment (Bonds)</t>
  </si>
  <si>
    <t>Additional Capital Repayment (Pay-Go)</t>
  </si>
  <si>
    <t>Total Principal Payments</t>
  </si>
  <si>
    <t>Total Interest Payments</t>
  </si>
  <si>
    <t>Total Payments</t>
  </si>
  <si>
    <t>Economist Repayment Analysis</t>
  </si>
  <si>
    <t>Additional Capital Payments</t>
  </si>
  <si>
    <t>Payment Timing</t>
  </si>
  <si>
    <t>Analysis Based on Current Bases</t>
  </si>
  <si>
    <t>Lake Powell Pipeline - Cumulative Investment</t>
  </si>
  <si>
    <t>Yes</t>
  </si>
  <si>
    <t>Debt</t>
  </si>
  <si>
    <t>Share Allocated to Water Rates?</t>
  </si>
  <si>
    <t>Share Allocated to Impact Fees?</t>
  </si>
  <si>
    <t>Debt Term (If Any)?</t>
  </si>
  <si>
    <t>Incremental ERUs, Cumulative</t>
  </si>
  <si>
    <t>Pay-Go</t>
  </si>
  <si>
    <t>Initial Capital Payment</t>
  </si>
  <si>
    <t>Total Water Demanded (Gallons, in Millions), Cumulative</t>
  </si>
  <si>
    <t>Water Rates, Per 1,000 Gallons</t>
  </si>
  <si>
    <t>Impact Fees, Per ERU</t>
  </si>
  <si>
    <t>Residual Annual Payment</t>
  </si>
  <si>
    <t>Pay-Go Capital Payments</t>
  </si>
  <si>
    <t>Total Residual Capital Repayment</t>
  </si>
  <si>
    <t>Incremental Payment Cross Check</t>
  </si>
  <si>
    <t>Required Incremental Water, Cumulative</t>
  </si>
  <si>
    <t>Required Incremental Water, Annual</t>
  </si>
  <si>
    <t>Lake Powell Pipeline - Initial Project Construction</t>
  </si>
  <si>
    <t>Required From Lake Powell (Gallon, in Millions)</t>
  </si>
  <si>
    <t>Existing Water Supply (Gallons, in Millions)</t>
  </si>
  <si>
    <t>Existing Supply-Demand Balance (Gallons, in Millions)</t>
  </si>
  <si>
    <t>Resulting Total Water Supply (Gallons, in Millions)</t>
  </si>
  <si>
    <t>Resulting Water Demand as a % of Supply</t>
  </si>
  <si>
    <t>Effective Water Supply (Gallons, in Millions)</t>
  </si>
  <si>
    <t>Effective Supply-Demand Balance (Gallons, in Millions)</t>
  </si>
  <si>
    <t>Share of Lake Powell Capacity Utilized, Cumulative</t>
  </si>
  <si>
    <t>Cumulative</t>
  </si>
  <si>
    <t>Cost Per Incremental ERU (Impact Fees)</t>
  </si>
  <si>
    <t>Lake Powell Pipeline Pro Forma - Lake Powell Pipeline Act Scenario</t>
  </si>
  <si>
    <t>Min and Max Dynamic Pop</t>
  </si>
  <si>
    <t>Max Static Pop</t>
  </si>
  <si>
    <t>It is expected that regardless of the rate of population growth and the implementation of conservation methods, Washington County will eventually need more water supply than the 75,000 acre feet (AF) that will be available by 2019. Given your expertise with Washington County, in what year do you expect Washington County will need additional supply and how much water will we need?</t>
  </si>
  <si>
    <t>ADDITIONAL WATER SUPPLY:</t>
  </si>
  <si>
    <t>YEAR WATER SUPPLY TO BE INCREASED:</t>
  </si>
  <si>
    <t>Existing Capacity (AF)</t>
  </si>
  <si>
    <t>Ash Creek Capacity (AF)</t>
  </si>
  <si>
    <t>Agricultural Conversion Capacity (AF)</t>
  </si>
  <si>
    <t>AF</t>
  </si>
  <si>
    <t>NUMBER OF YEARS OF SUPPLY (BUFFER):</t>
  </si>
  <si>
    <t>Calculation</t>
  </si>
  <si>
    <t>The Governor's Office has required water districts to calculate their future water supplies by subtracting 10% due to the effects of evaporation while water supplies are held in open reservoirs prior to treatment and pumping.  What percentage of water supplies do you expect will be lost due to evaporation?</t>
  </si>
  <si>
    <t>PERCENTAGE LOST TO EVAPORATION:</t>
  </si>
  <si>
    <t>Anticipated Additional Capacity (AF)</t>
  </si>
  <si>
    <t>Anticipated Supply after Evaporation</t>
  </si>
  <si>
    <t>TARGET WATER USE (2025)</t>
  </si>
  <si>
    <t>TARGET WATER USE (2050)</t>
  </si>
  <si>
    <t>http://www.wcwcd.org/wp-content/uploads/2013/01/2013-FACTS-LPP-Costs-reliability-2013-01.07.pdf</t>
  </si>
  <si>
    <t>CFP/Calc</t>
  </si>
  <si>
    <t>Demand Buffer (AF)</t>
  </si>
  <si>
    <t>Demand at Anticipated Reduction (GPCD)</t>
  </si>
  <si>
    <t>Conservation Cost</t>
  </si>
  <si>
    <t>COST (PER AF) OF CONSERVATION</t>
  </si>
  <si>
    <t>LAKE POWELL PIPELINE COST</t>
  </si>
  <si>
    <t>ASSUMED RATE OF INTEREST</t>
  </si>
  <si>
    <t>3% Interest Rate</t>
  </si>
  <si>
    <t>4% Interest Rate</t>
  </si>
  <si>
    <t>5% Interest Rate</t>
  </si>
  <si>
    <t>7% Interest Rate</t>
  </si>
  <si>
    <t>The economists explored a second option for financing the Lake Powell Pipeline (LPP), which involved paying $97 million prior to completion of the LPP and $20 million for the 20 years following pipeline completion. What prepayment amount should be considered?</t>
  </si>
  <si>
    <t xml:space="preserve">PREPAYMENT OF CONSTRUCTION COSTS </t>
  </si>
  <si>
    <t>Interest Rates</t>
  </si>
  <si>
    <t>Cumulative Payment</t>
  </si>
  <si>
    <t>Reuse</t>
  </si>
  <si>
    <t>YEARS TO COMPLETE THE LAKE POWELL PIPELINE</t>
  </si>
  <si>
    <t>YEAR PIPELINE CONSTRUCTION MUST BEGIN</t>
  </si>
  <si>
    <t>TOTAL CAPACITY OF THE LAKE POWELL PIPELINE</t>
  </si>
  <si>
    <t>CAPACITY IN EQUIVALENT RESIDENTIAL UNITS</t>
  </si>
  <si>
    <t>HOW MUCH WILL THE PAYMENT BE?</t>
  </si>
  <si>
    <t>WILL YOU PAY USING DEBT OR PAY-GO FINANCING</t>
  </si>
  <si>
    <t>The Lake Powell Pipeline is expected to take 4 years to complete and to have an annual capacity of 82,249 AF. Do you expect there to be any changes to the construction timeline or capacity?</t>
  </si>
  <si>
    <t>Demand with Conservation(AF)</t>
  </si>
  <si>
    <t>LPP Capacity Added (AF)</t>
  </si>
  <si>
    <t>IN WHAT YEAR WILL WCWCD MAKE THE PAYMENT</t>
  </si>
  <si>
    <t>Annual Water Rates pre-LPP</t>
  </si>
  <si>
    <t>Annual Water Rates post-construct.</t>
  </si>
  <si>
    <t>Impact fee amount per ERU</t>
  </si>
  <si>
    <t>Incremental Share of Lake Powell Capacity Utilized, Annual</t>
  </si>
  <si>
    <t>Cost of Conservation (Annual)</t>
  </si>
  <si>
    <t>Cost of Conservation (Cumulative)</t>
  </si>
  <si>
    <t>Some of the elements of the Lake Powell Pipeline may need to be financed, what should we anticipate in terms of the interest rate to be paid on borrowed funds?</t>
  </si>
  <si>
    <t>Total Residual Annual Payment</t>
  </si>
  <si>
    <t>Water Rates</t>
  </si>
  <si>
    <t>Impact Fees</t>
  </si>
  <si>
    <t>WCWCD develops plans to include more water than is currently needed. Generally, WCWCD's goal is to have enough water to serve the population if it were what is expected 15 years from today. This means that if a water source failed or population grew much faster than expected, there will be sufficient water sources to serve the community. How many years of buffer supply do you think WCWCD should use in its planning?</t>
  </si>
  <si>
    <t>Debt Repayment at 3% Interest</t>
  </si>
  <si>
    <t>Debt Repayment at 4% Interest</t>
  </si>
  <si>
    <t>Debt Repayment at 5% Interest</t>
  </si>
  <si>
    <t>Debt Repayment at 7% Interest</t>
  </si>
  <si>
    <t xml:space="preserve">Lake Powell Pipeline Pro Forma - </t>
  </si>
  <si>
    <t>Economists' Model 2 of WCWCD Plan</t>
  </si>
  <si>
    <t>Baseline</t>
  </si>
  <si>
    <t>Economist Model 2</t>
  </si>
  <si>
    <t>As of October 2013</t>
  </si>
  <si>
    <t>Based on 30,000 gal usage</t>
  </si>
  <si>
    <t>5/8" Hookups</t>
  </si>
  <si>
    <t>City</t>
  </si>
  <si>
    <t>Base</t>
  </si>
  <si>
    <t>Peak
Rates</t>
  </si>
  <si>
    <t>Unit</t>
  </si>
  <si>
    <t>Bill based on 30,000gallons of water use</t>
  </si>
  <si>
    <t>Seattle</t>
  </si>
  <si>
    <t>http://www.seattle.gov/util/MyServices/Rates/WaterRates/ResidentialRates/index.htm</t>
  </si>
  <si>
    <t>up to 5ccf</t>
  </si>
  <si>
    <t>100's of Cubic Feet per Gallon</t>
  </si>
  <si>
    <t>next 13ccf</t>
  </si>
  <si>
    <t>over 18ccf</t>
  </si>
  <si>
    <t>Total</t>
  </si>
  <si>
    <t>Price per k Gal</t>
  </si>
  <si>
    <t>Tucson</t>
  </si>
  <si>
    <t>http://cms3.tucsonaz.gov/water/rates/potable</t>
  </si>
  <si>
    <t>up to 10ccf</t>
  </si>
  <si>
    <t>11 to 15 ccf</t>
  </si>
  <si>
    <t>16 to 30 ccf</t>
  </si>
  <si>
    <t>over 30 ccf</t>
  </si>
  <si>
    <t>CAP Charge</t>
  </si>
  <si>
    <t>per ccf</t>
  </si>
  <si>
    <t>Conservation</t>
  </si>
  <si>
    <t>Denver</t>
  </si>
  <si>
    <t>http://www.denverwater.org/BillingRates/RatesCharges/2013Rates/InsideCity/</t>
  </si>
  <si>
    <t>up to 11,000 gal</t>
  </si>
  <si>
    <t>12,000-30,000 gal</t>
  </si>
  <si>
    <t>31,000-40,000 gal</t>
  </si>
  <si>
    <t>Phoenix</t>
  </si>
  <si>
    <t>Incl. 10 ccf in July</t>
  </si>
  <si>
    <t>http://phoenix.gov/waterservices/customerservices/rates/</t>
  </si>
  <si>
    <t>flat rate for July</t>
  </si>
  <si>
    <t>Environmental Charge per unit</t>
  </si>
  <si>
    <t>Las Vegas</t>
  </si>
  <si>
    <t>http://www.lvvwd.com/custserv/billing_rates_thresholds.html</t>
  </si>
  <si>
    <t>0-5 gal (1,000)</t>
  </si>
  <si>
    <t>http://www.lvvwd.com/custserv/billing_rates_snwa_charges.html</t>
  </si>
  <si>
    <t>5.01-10 (1,000)</t>
  </si>
  <si>
    <t>10.01-20 (1,000)</t>
  </si>
  <si>
    <t>20.01 and over</t>
  </si>
  <si>
    <t>Subtotal</t>
  </si>
  <si>
    <t>SNWA Infrastructure
New intake</t>
  </si>
  <si>
    <t>SNWA Commodity Charge
$0.30 per 1,000 gal.</t>
  </si>
  <si>
    <t>SNWA Reliability Surchg % of usage</t>
  </si>
  <si>
    <t>San Diego</t>
  </si>
  <si>
    <t>http://www.sandiego.gov/water/rates/rates/index.shtml</t>
  </si>
  <si>
    <t>up to 14ccf</t>
  </si>
  <si>
    <t>next 14ccf</t>
  </si>
  <si>
    <t>over 28ccf</t>
  </si>
  <si>
    <t>Note: San Diego uses bi-monthly billing cycle</t>
  </si>
  <si>
    <t>St. George</t>
  </si>
  <si>
    <t>incl. 5,000 gal</t>
  </si>
  <si>
    <t>http://www.sgcity.org/utilities/rates.php</t>
  </si>
  <si>
    <t>next 5,000</t>
  </si>
  <si>
    <t>Price per k gal</t>
  </si>
  <si>
    <t>Portland City
Water Bureau</t>
  </si>
  <si>
    <t>Includes no water</t>
  </si>
  <si>
    <t>http://www.portlandoregon.gov/water/article/27451</t>
  </si>
  <si>
    <t>per unit charge (ccf)</t>
  </si>
  <si>
    <t>http://www.portlandoregon.gov/water/article/27449</t>
  </si>
  <si>
    <t>Colorado Springs
Utilities</t>
  </si>
  <si>
    <t>Includes no water 
(Rates for inside city limits)</t>
  </si>
  <si>
    <t>https://www.csu.org/Pages/tiered-water-rates.aspx</t>
  </si>
  <si>
    <t>Up to 999CF</t>
  </si>
  <si>
    <t>1,000 to 2,499 CF</t>
  </si>
  <si>
    <t>More than 2,500</t>
  </si>
  <si>
    <t>(Includes shortage pricing)</t>
  </si>
  <si>
    <t>If rates are for residential</t>
  </si>
  <si>
    <t>Added by Chris</t>
  </si>
  <si>
    <t>Los Angeles</t>
  </si>
  <si>
    <t>No Fixed Monthly Charge</t>
  </si>
  <si>
    <t>https://www.ladwp.com/ladwp/faces/wcnav_externalId/a-fr-schedul-a-res?_adf.ctrl-state=uj6inlrzs_663&amp;_afrLoop=408447866240455&amp;_afrWindowMode=0&amp;_afrWindowId=null#%40%3F_afrWindowId%3Dnull%26_afrLoop%3D408447866240455%26_afrWindowMode%3D0%26_adf.ctrl-state%3Daq9bqc1q1_46</t>
  </si>
  <si>
    <t>up to Tier 1 (32 CCF)</t>
  </si>
  <si>
    <t>Tier 2</t>
  </si>
  <si>
    <t>Assumes July prices with Tier 2 set at 32 CCF, which varies by size of lot and season</t>
  </si>
  <si>
    <t>San Bernardino</t>
  </si>
  <si>
    <t>http://www.sbcity.org/water/residents/rates.asp</t>
  </si>
  <si>
    <t>Commodity Charge</t>
  </si>
  <si>
    <t>Replenishment Charge</t>
  </si>
  <si>
    <t>Elevation Zone 4</t>
  </si>
  <si>
    <t>San Jose</t>
  </si>
  <si>
    <t>http://www.sjwater.com/for_your_home/home_customer_care/rates_regulations/general_rate_schedules_for_billing/</t>
  </si>
  <si>
    <t>up to 13ccf</t>
  </si>
  <si>
    <t>over 13ccf</t>
  </si>
  <si>
    <t>Safe Drinking Water Loan</t>
  </si>
  <si>
    <t>Water Rate Assistance Program</t>
  </si>
  <si>
    <t>Surcharges</t>
  </si>
  <si>
    <t>San Francisco</t>
  </si>
  <si>
    <t>http://www.sfwater.org/index.aspx?page=168</t>
  </si>
  <si>
    <t>First 300 Cubic Feet</t>
  </si>
  <si>
    <t>All Additional</t>
  </si>
  <si>
    <t>Albuquerque</t>
  </si>
  <si>
    <t>http://www.abcwua.org/Water_Rates.aspx</t>
  </si>
  <si>
    <t>Per 100 CF</t>
  </si>
  <si>
    <t>Henderson</t>
  </si>
  <si>
    <t>http://www.cityofhenderson.com/utility_services/rates.php</t>
  </si>
  <si>
    <t>First 6</t>
  </si>
  <si>
    <t>http://www.cityofhenderson.com/utility_services/docs/servicerulesupdate2012-8-25_surchgcredit_.pdf</t>
  </si>
  <si>
    <t>6.01-16 (1,000)</t>
  </si>
  <si>
    <t>16.01-30 (1,000)</t>
  </si>
  <si>
    <t>Salt Lake City</t>
  </si>
  <si>
    <t>http://www.slcdocs.com/utilities/PDF%20Files/UtilityRates/Waterratesweb2013.pdf</t>
  </si>
  <si>
    <t>Up to 10ccf</t>
  </si>
  <si>
    <t>11 thru 30</t>
  </si>
  <si>
    <t>37 thru 70</t>
  </si>
  <si>
    <t>Boise</t>
  </si>
  <si>
    <t>http://www.unitedwater.com/uploadedFiles/Localized_Content/UW_Idaho/RB/2013%20rates.pdf</t>
  </si>
  <si>
    <t>Up to 3ccf</t>
  </si>
  <si>
    <t>All additional</t>
  </si>
  <si>
    <t>*Boise on a bi-monthly basis, Summer rates</t>
  </si>
  <si>
    <t>Cost per Household per Month</t>
  </si>
  <si>
    <t>Debt Repayment at Anticipated Interest Rates</t>
  </si>
  <si>
    <t>Year to Compare to 2013</t>
  </si>
  <si>
    <t>Today (2013)</t>
  </si>
  <si>
    <r>
      <t xml:space="preserve">Water Rates      </t>
    </r>
    <r>
      <rPr>
        <sz val="20"/>
        <color rgb="FF2884A9"/>
        <rFont val="Calibri"/>
        <family val="2"/>
        <scheme val="minor"/>
      </rPr>
      <t>(per 1,000 Gallons)</t>
    </r>
  </si>
  <si>
    <r>
      <t xml:space="preserve">Cost per Incremental ERU </t>
    </r>
    <r>
      <rPr>
        <sz val="20"/>
        <color rgb="FF2884A9"/>
        <rFont val="Calibri"/>
        <family val="2"/>
        <scheme val="minor"/>
      </rPr>
      <t>(Impact Fees)</t>
    </r>
  </si>
  <si>
    <t>Annual Cost       Per Capita</t>
  </si>
  <si>
    <t>The Lake Powell Project Act outlines different guidelines for repayment of pipeline costs. Specifically, the law specifies that WCWCD is required to repay Lake Powell Project (LPP) water as it is utilized. WCWCD has the option of assuming debt for the cost of the capacity that it uses or using incoming revenues to pay for that capacity. These options are explored below.</t>
  </si>
  <si>
    <t>WILL WCWCD MAKE AN INITIAL CAPITAL PAYMENT?</t>
  </si>
  <si>
    <t>IN WHAT YEAR WILL WCWCD MAKE THE PAYMENT?</t>
  </si>
  <si>
    <t>DEBT TERM (IF USING DEBT FINANCING)</t>
  </si>
  <si>
    <t>PERCENTAGE PAID THROUGH WATER RATES</t>
  </si>
  <si>
    <t>PERCENTAGE PAID THROUGH IMPACT FEES</t>
  </si>
  <si>
    <t>TOTAL PERCENTAGE PAID</t>
  </si>
  <si>
    <t>Initial Capital Payment, Cumulative</t>
  </si>
  <si>
    <t>Impact Fee Capital Payment, Cumulative</t>
  </si>
  <si>
    <t>Water Rates, Cumulative</t>
  </si>
  <si>
    <t>Beginning Capital Balance</t>
  </si>
  <si>
    <t>Annual Impact Fees</t>
  </si>
  <si>
    <t>LPP Act Plan</t>
  </si>
  <si>
    <t xml:space="preserve">To assess the impact of additional capacity, this table shows the 2012 water rates per 1,000 gallons in several other western cities. </t>
  </si>
  <si>
    <r>
      <t xml:space="preserve">Water Rates          </t>
    </r>
    <r>
      <rPr>
        <sz val="20"/>
        <color rgb="FF2884A9"/>
        <rFont val="Calibri"/>
        <family val="2"/>
        <scheme val="minor"/>
      </rPr>
      <t>(per 1,000 Gallons)</t>
    </r>
  </si>
  <si>
    <t>Colorado Springs</t>
  </si>
  <si>
    <t>Portland</t>
  </si>
  <si>
    <r>
      <t xml:space="preserve">The Governor's Office set a goal to reduce water usage by 25% between 2000 and 2025. For Washington County, this means a reduction from </t>
    </r>
    <r>
      <rPr>
        <sz val="18"/>
        <color rgb="FFFF0000"/>
        <rFont val="Arial Narrow"/>
        <family val="2"/>
      </rPr>
      <t>320 gallons</t>
    </r>
    <r>
      <rPr>
        <sz val="18"/>
        <color theme="1"/>
        <rFont val="Arial Narrow"/>
        <family val="2"/>
      </rPr>
      <t xml:space="preserve"> per capita per day (GPCD) in 2000 to </t>
    </r>
    <r>
      <rPr>
        <sz val="18"/>
        <color rgb="FFFF0000"/>
        <rFont val="Arial Narrow"/>
        <family val="2"/>
      </rPr>
      <t>240 GPCD</t>
    </r>
    <r>
      <rPr>
        <sz val="18"/>
        <color theme="1"/>
        <rFont val="Arial Narrow"/>
        <family val="2"/>
      </rPr>
      <t xml:space="preserve"> by 2025. Research has shown that the cost for reducing consumption by 1 AF per year costs approximately $10,600. What should be the target GPCD in 2025 and 2050 and what is the expected cost? </t>
    </r>
  </si>
  <si>
    <t>PayDebt</t>
  </si>
  <si>
    <t>Excess (Shortfall) Given Evap, Conservation, and Buffer</t>
  </si>
  <si>
    <t>Excess (Shortfall) Given Conservation Evaporation</t>
  </si>
  <si>
    <t>Effective Water Demand (Gallons in Millions)</t>
  </si>
  <si>
    <t>Required From Lake Powell (Gallon, in Millions), Cumulative</t>
  </si>
  <si>
    <t>Neg Effective Excess/Shortfall</t>
  </si>
  <si>
    <t>Total Bond Repayment</t>
  </si>
  <si>
    <t>Combined Cost to Washington County Taxpayers</t>
  </si>
  <si>
    <t xml:space="preserve">Annual </t>
  </si>
  <si>
    <t>Governor's Roadmap Ratios</t>
  </si>
  <si>
    <t>Residential Indoor Use</t>
  </si>
  <si>
    <t>Residential Indoor and Outdoor Use</t>
  </si>
  <si>
    <t>Commercial and Residential Use</t>
  </si>
  <si>
    <t>Commercial</t>
  </si>
  <si>
    <t>Residential Outdoor Use</t>
  </si>
  <si>
    <t>Beginning Principal Balance</t>
  </si>
  <si>
    <t>Ending Principal Balance</t>
  </si>
  <si>
    <t>Debt Repayment at Economists' Selected Interest Rates</t>
  </si>
  <si>
    <t>Studies have shown that construction of the Lake Powell Pipeline (LPP) will cost approximately $969,000,000. What is your expectation of what the LPP will cost?</t>
  </si>
  <si>
    <t>Total Regional and LPP Operational Revenues</t>
  </si>
  <si>
    <t>Property Tax Revenues</t>
  </si>
  <si>
    <t>Interest Income</t>
  </si>
  <si>
    <t>State LPP Pre-Construction Funds</t>
  </si>
  <si>
    <t>Block Interest Carry Cost</t>
  </si>
  <si>
    <t>Capital Projects Preconstruction</t>
  </si>
  <si>
    <t>Wholesale Impact Fees - LPP</t>
  </si>
  <si>
    <t>Operational Expenses</t>
  </si>
  <si>
    <t>Water Development Connection Fees</t>
  </si>
  <si>
    <t>R&amp;R</t>
  </si>
  <si>
    <t>Cash Available for Capital &amp; Maintenance Expense</t>
  </si>
  <si>
    <t>Future Capital Projects</t>
  </si>
  <si>
    <t>Total Net Revenues Prior to General Obligation Bonds</t>
  </si>
  <si>
    <t>Total Net Revenues After General Obligation Bonds</t>
  </si>
  <si>
    <t>B</t>
  </si>
  <si>
    <t>A</t>
  </si>
  <si>
    <t>G</t>
  </si>
  <si>
    <t>I</t>
  </si>
  <si>
    <t>Wholesale Water Revenues</t>
  </si>
  <si>
    <t>Line 3</t>
  </si>
  <si>
    <t>Other Income</t>
  </si>
  <si>
    <t>Line 5</t>
  </si>
  <si>
    <t>Regional O&amp;M</t>
  </si>
  <si>
    <t>Pumping Cost</t>
  </si>
  <si>
    <t>Raw Water - Reservoir/ Source</t>
  </si>
  <si>
    <t>Capital Projects Sheet, Line</t>
  </si>
  <si>
    <t>Raw Water - Supply</t>
  </si>
  <si>
    <t>Culinary Water - Water Treatment Plant</t>
  </si>
  <si>
    <t>Culinary Water - Regional Transmission</t>
  </si>
  <si>
    <t>Culinary Water - Source</t>
  </si>
  <si>
    <t>Culinary Water - Supply</t>
  </si>
  <si>
    <t>Secondary Water - Reservoir</t>
  </si>
  <si>
    <t>Secondary Water - Supply</t>
  </si>
  <si>
    <t>Kolob reservoir raise dam for 2K Af</t>
  </si>
  <si>
    <t>Gunlock/Santa Clara Wells Arsenic or Conventional Treatment Plant WTP #3 10 MGD</t>
  </si>
  <si>
    <t>Water Treatment Plant Lake Powell #1 Apple Valley</t>
  </si>
  <si>
    <t>Water Treatment Plant Lake Powell #2 Sand Hollow</t>
  </si>
  <si>
    <t>Transmission Future Projects</t>
  </si>
  <si>
    <t>Series 1990 General Obligation Bonds (State Loan)</t>
  </si>
  <si>
    <t>Debt Sheet, Line</t>
  </si>
  <si>
    <t>Series 1999 General Obligation Refunding Bonds</t>
  </si>
  <si>
    <t>Series 2009 General Obligation Refunding Bonds</t>
  </si>
  <si>
    <t>Debt Sheet, Line 442</t>
  </si>
  <si>
    <t>Discount Factor</t>
  </si>
  <si>
    <t>Percent of project paid for by WCWCD</t>
  </si>
  <si>
    <t>Total cumulative payments made, in 2014 dollars</t>
  </si>
  <si>
    <t>Amt. district admits it won't pay back</t>
  </si>
  <si>
    <t>project cost</t>
  </si>
  <si>
    <t>% district admits it won't pay back</t>
  </si>
  <si>
    <t>sum of "Incremental Share of Lake Powell Capacity Utilized, Annual"</t>
  </si>
  <si>
    <t>Total cumulative payments made, in undiscounted dollars</t>
  </si>
  <si>
    <t>Present Value (i.e., 2014 dollars) of Annual Debt+impact fee Payments</t>
  </si>
  <si>
    <t>Cumulative (total-to-date) Debt+impact fee Payments in 2014 dollars</t>
  </si>
  <si>
    <t>&lt;- with non-zero interest rates, this will be &gt; the project cost, because the District pays interest to its own lenders; it just doesn't</t>
  </si>
  <si>
    <t>pay interest to the State's lenders, nor reimburse the State for the interest which the State has to pay its lenders.</t>
  </si>
  <si>
    <t>Combined Cost per capita, annual</t>
  </si>
  <si>
    <t>O&amp;M Costs for LPP (only), rising at 4%/year, FERC low-cost scenario</t>
  </si>
  <si>
    <t>Combined Cost per capita, annual, including LPP O&amp;M</t>
  </si>
  <si>
    <t>O&amp;M Costs for LPP (only), in 2014 dollars</t>
  </si>
  <si>
    <t>for pipeline</t>
  </si>
  <si>
    <t>for O&amp;M</t>
  </si>
  <si>
    <t>sum</t>
  </si>
  <si>
    <t>Total cumulative payments made to 2090, in 2014 dollars</t>
  </si>
  <si>
    <t>O&amp;M Costs for non-LPP infrastructure</t>
  </si>
  <si>
    <t>O&amp;M Costs for non-LPP infrastructure, in 2014 dollars</t>
  </si>
  <si>
    <t>Combined Cost per capita, annual, including both O&amp;M</t>
  </si>
  <si>
    <t>for O&amp;M (both LPP and non-LPP)</t>
  </si>
  <si>
    <t>2013 water sales revenue Revenue</t>
  </si>
  <si>
    <t>est. 2014 water sales Revenue</t>
  </si>
  <si>
    <t>correct total revenue from water sales</t>
  </si>
  <si>
    <t>from water sales: correct total revenue-WCWCD total rev.</t>
  </si>
  <si>
    <t>Assuming the WCWCD's water demand forecasts are correct, their "TR from water sales" must be incorrect, because they don't incorporate the demand curve for water.</t>
  </si>
  <si>
    <t>So the WCWCD cannot collect the revenue it needs from "water sales" by changing the price of water.</t>
  </si>
  <si>
    <t>It would have to raise the money by raising the fixed monthly fee for water users.</t>
  </si>
  <si>
    <t>The District's forecast of water quantity, on the one hand, and revenue from water sales, on the other hand,</t>
  </si>
  <si>
    <t>are incompatible with each other because the District ignored the water demand curve.</t>
  </si>
  <si>
    <t>Combined Cost, Annual, per capita</t>
  </si>
  <si>
    <t>original WCWCD</t>
  </si>
  <si>
    <t>plus interest</t>
  </si>
  <si>
    <t>&amp; plus LPP O&amp;M</t>
  </si>
  <si>
    <t>&amp; plus all O&amp;M</t>
  </si>
  <si>
    <t>TR, correct-WC</t>
  </si>
  <si>
    <t>&lt;- in millions</t>
  </si>
  <si>
    <t>Graphed Data to 2090</t>
  </si>
  <si>
    <t>correct TR</t>
  </si>
  <si>
    <t>WCWCD TR</t>
  </si>
  <si>
    <t>in millions</t>
  </si>
  <si>
    <t>"a" for water in gallons and revenue in dollars.</t>
  </si>
  <si>
    <t>Assume q_1 = a  p_1^(-1/2) with "a" a constant.  Assume q_2 = beta a p_2^(-1/2) where beta=1+pop.  Then one can show that total revenue TR_1 = a p_1^(1/2) = a^2/q_1 and TR_2 = beta^2  a^2/q_2 .  Also, a = sqrt(q_1  TR_1).</t>
  </si>
  <si>
    <t>water implied by WCWCD's TR (in millions of gallons)</t>
  </si>
  <si>
    <t>Total Water Demanded (Gallons, in Billions)</t>
  </si>
  <si>
    <t>water implied by WCWCD's TR (in billions of gallons)</t>
  </si>
  <si>
    <t>WCWCD water proj. billions</t>
  </si>
  <si>
    <t>WCWCD TR proj.</t>
  </si>
  <si>
    <t>TR coming from WCWCD's Q</t>
  </si>
  <si>
    <t>Q (billions) coming from WCWCD's TR</t>
  </si>
  <si>
    <t xml:space="preserve"> =&gt; price of</t>
  </si>
  <si>
    <t>per billion gallons</t>
  </si>
  <si>
    <t>p, $/billion gal</t>
  </si>
  <si>
    <t>q, billion gal</t>
  </si>
  <si>
    <t>&lt;-p / 1 000 000</t>
  </si>
  <si>
    <t>q/10 =&gt;</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</si>
</sst>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_(* #,##0_);_(* \(#,##0\);_(* &quot;-&quot;??_);_(@_)"/>
    <numFmt numFmtId="169" formatCode="0_);\(0\)"/>
    <numFmt numFmtId="170" formatCode="_(&quot;$&quot;* #,##0_);_(&quot;$&quot;* \(#,##0\);_(&quot;$&quot;* &quot;-&quot;??_);_(@_)"/>
    <numFmt numFmtId="171" formatCode="_([$$-409]* #,##0_);_([$$-409]* \(#,##0\);_([$$-409]* &quot;-&quot;??_);_(@_)"/>
    <numFmt numFmtId="172" formatCode="0_);[Red]\(0\)"/>
    <numFmt numFmtId="173" formatCode="_(* #,##0.0_);_(* \(#,##0.0\);_(* &quot;-&quot;??_);_(@_)"/>
    <numFmt numFmtId="174" formatCode="_(&quot;$&quot;* #,##0.000_);_(&quot;$&quot;* \(#,##0.000\);_(&quot;$&quot;* &quot;-&quot;??_);_(@_)"/>
    <numFmt numFmtId="175" formatCode="_(* #,##0\ &quot;Years&quot;;_(* \(#,##0\);_(* &quot;-&quot;??_);_(@_)\ &quot;years&quot;"/>
    <numFmt numFmtId="176" formatCode="_(* #,##0\ &quot;AF&quot;;_(* \(#,##0\);_(* &quot;-&quot;??_);_(@_)\ &quot;years&quot;"/>
    <numFmt numFmtId="177" formatCode="_(* #,##0\ &quot;ERUs&quot;;_(* \(#,##0\);_(* &quot;-&quot;??_);_(@_)\ &quot;years&quot;"/>
    <numFmt numFmtId="178" formatCode="#,##0.000000"/>
    <numFmt numFmtId="179" formatCode="\(0%\ &quot;Demand Reduction Since 2000&quot;\)"/>
    <numFmt numFmtId="180" formatCode="0\ &quot;GPCD&quot;"/>
    <numFmt numFmtId="181" formatCode="\(&quot;$&quot;#,##0\ &quot;Total Cost by 2050&quot;\)"/>
    <numFmt numFmtId="182" formatCode="0\ &quot;Years&quot;"/>
    <numFmt numFmtId="183" formatCode="_(&quot;$&quot;* #,##0.0000_);_(&quot;$&quot;* \(#,##0.0000\);_(&quot;$&quot;* &quot;-&quot;??_);_(@_)"/>
    <numFmt numFmtId="184" formatCode="0;[Red]0"/>
    <numFmt numFmtId="185" formatCode="_(&quot;$&quot;* #,##0.00000_);_(&quot;$&quot;* \(#,##0.00000\);_(&quot;$&quot;* &quot;-&quot;??_);_(@_)"/>
    <numFmt numFmtId="186" formatCode="0.0000%"/>
    <numFmt numFmtId="187" formatCode="0.0000"/>
  </numFmts>
  <fonts count="70" x14ac:knownFonts="1">
    <font>
      <sz val="11"/>
      <color theme="1"/>
      <name val="Calibri"/>
      <family val="2"/>
      <scheme val="minor"/>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name val="MS Sans Serif"/>
      <family val="2"/>
    </font>
    <font>
      <sz val="11"/>
      <color theme="1"/>
      <name val="Calibri"/>
      <family val="2"/>
      <scheme val="minor"/>
    </font>
    <font>
      <b/>
      <sz val="10"/>
      <color theme="1"/>
      <name val="Calibri"/>
      <family val="2"/>
      <scheme val="minor"/>
    </font>
    <font>
      <b/>
      <sz val="11"/>
      <color theme="1"/>
      <name val="Arial Narrow"/>
      <family val="2"/>
    </font>
    <font>
      <b/>
      <sz val="10"/>
      <color theme="1"/>
      <name val="Arial Narrow"/>
      <family val="2"/>
    </font>
    <font>
      <sz val="10"/>
      <color theme="1"/>
      <name val="Arial Narrow"/>
      <family val="2"/>
    </font>
    <font>
      <b/>
      <sz val="10"/>
      <name val="Arial Narrow"/>
      <family val="2"/>
    </font>
    <font>
      <sz val="10"/>
      <name val="Arial Narrow"/>
      <family val="2"/>
    </font>
    <font>
      <sz val="9"/>
      <name val="Arial Narrow"/>
      <family val="2"/>
    </font>
    <font>
      <b/>
      <sz val="9"/>
      <name val="Arial Narrow"/>
      <family val="2"/>
    </font>
    <font>
      <vertAlign val="superscript"/>
      <sz val="10"/>
      <name val="Arial Narrow"/>
      <family val="2"/>
    </font>
    <font>
      <sz val="10"/>
      <color theme="1"/>
      <name val="Calibri"/>
      <family val="2"/>
      <scheme val="minor"/>
    </font>
    <font>
      <vertAlign val="superscript"/>
      <sz val="10"/>
      <color theme="1"/>
      <name val="Arial Narrow"/>
      <family val="2"/>
    </font>
    <font>
      <u/>
      <sz val="11"/>
      <color theme="10"/>
      <name val="Calibri"/>
      <family val="2"/>
    </font>
    <font>
      <b/>
      <sz val="10"/>
      <color theme="1" tint="4.9989318521683403E-2"/>
      <name val="Arial Narrow"/>
      <family val="2"/>
    </font>
    <font>
      <b/>
      <u/>
      <sz val="10"/>
      <color theme="1"/>
      <name val="Arial Narrow"/>
      <family val="2"/>
    </font>
    <font>
      <sz val="9"/>
      <color theme="1"/>
      <name val="Arial Narrow"/>
      <family val="2"/>
    </font>
    <font>
      <u/>
      <sz val="12"/>
      <color theme="10"/>
      <name val="Arial Narrow"/>
      <family val="2"/>
    </font>
    <font>
      <b/>
      <u/>
      <sz val="12"/>
      <color theme="10"/>
      <name val="Arial Narrow"/>
      <family val="2"/>
    </font>
    <font>
      <sz val="12"/>
      <color theme="1"/>
      <name val="Arial Narrow"/>
      <family val="2"/>
    </font>
    <font>
      <b/>
      <sz val="12"/>
      <color theme="1"/>
      <name val="Arial Narrow"/>
      <family val="2"/>
    </font>
    <font>
      <sz val="11"/>
      <color theme="1"/>
      <name val="Arial Narrow"/>
      <family val="2"/>
    </font>
    <font>
      <sz val="8"/>
      <color theme="1"/>
      <name val="Arial Narrow"/>
      <family val="2"/>
    </font>
    <font>
      <sz val="8"/>
      <color theme="1"/>
      <name val="Calibri"/>
      <family val="2"/>
      <scheme val="minor"/>
    </font>
    <font>
      <sz val="24"/>
      <color theme="1"/>
      <name val="Arial Narrow"/>
      <family val="2"/>
    </font>
    <font>
      <sz val="28"/>
      <color theme="1"/>
      <name val="Arial Narrow"/>
      <family val="2"/>
    </font>
    <font>
      <sz val="18"/>
      <color theme="1"/>
      <name val="Arial Narrow"/>
      <family val="2"/>
    </font>
    <font>
      <sz val="28"/>
      <color rgb="FF2C84A9"/>
      <name val="Arial Narrow"/>
      <family val="2"/>
    </font>
    <font>
      <b/>
      <sz val="60"/>
      <color theme="0"/>
      <name val="Arial Narrow"/>
      <family val="2"/>
    </font>
    <font>
      <b/>
      <sz val="11"/>
      <color theme="1"/>
      <name val="Calibri"/>
      <family val="2"/>
      <scheme val="minor"/>
    </font>
    <font>
      <sz val="28"/>
      <color rgb="FF2884A9"/>
      <name val="Arial Narrow"/>
      <family val="2"/>
    </font>
    <font>
      <b/>
      <sz val="16"/>
      <color theme="1"/>
      <name val="Calibri"/>
      <family val="2"/>
      <scheme val="minor"/>
    </font>
    <font>
      <u val="singleAccounting"/>
      <sz val="11"/>
      <color theme="1"/>
      <name val="Calibri"/>
      <family val="2"/>
      <scheme val="minor"/>
    </font>
    <font>
      <b/>
      <u/>
      <sz val="11"/>
      <color theme="1"/>
      <name val="Calibri"/>
      <family val="2"/>
      <scheme val="minor"/>
    </font>
    <font>
      <sz val="11"/>
      <color theme="0" tint="-0.249977111117893"/>
      <name val="Calibri"/>
      <family val="2"/>
      <scheme val="minor"/>
    </font>
    <font>
      <sz val="36"/>
      <color theme="1"/>
      <name val="Arial Narrow"/>
      <family val="2"/>
    </font>
    <font>
      <b/>
      <sz val="36"/>
      <color theme="0"/>
      <name val="Arial Narrow"/>
      <family val="2"/>
    </font>
    <font>
      <sz val="11"/>
      <color rgb="FFFF0000"/>
      <name val="Calibri"/>
      <family val="2"/>
      <scheme val="minor"/>
    </font>
    <font>
      <sz val="11"/>
      <name val="Calibri"/>
      <family val="2"/>
      <scheme val="minor"/>
    </font>
    <font>
      <sz val="18"/>
      <color rgb="FFFF0000"/>
      <name val="Arial Narrow"/>
      <family val="2"/>
    </font>
    <font>
      <b/>
      <sz val="60"/>
      <color theme="0" tint="-0.249977111117893"/>
      <name val="Arial Narrow"/>
      <family val="2"/>
    </font>
    <font>
      <sz val="28"/>
      <color rgb="FF2884A9"/>
      <name val="Calibri"/>
      <family val="2"/>
      <scheme val="minor"/>
    </font>
    <font>
      <sz val="20"/>
      <color rgb="FF2884A9"/>
      <name val="Calibri"/>
      <family val="2"/>
      <scheme val="minor"/>
    </font>
    <font>
      <sz val="12"/>
      <color theme="1"/>
      <name val="Tahoma"/>
      <family val="2"/>
    </font>
    <font>
      <b/>
      <sz val="12"/>
      <color theme="1"/>
      <name val="Tahoma"/>
      <family val="2"/>
    </font>
    <font>
      <b/>
      <sz val="10"/>
      <color theme="1"/>
      <name val="Tahoma"/>
      <family val="2"/>
    </font>
    <font>
      <i/>
      <sz val="11"/>
      <color theme="1"/>
      <name val="Tahoma"/>
      <family val="2"/>
    </font>
    <font>
      <sz val="11"/>
      <color rgb="FF000000"/>
      <name val="Calibri"/>
      <family val="2"/>
    </font>
    <font>
      <sz val="10"/>
      <name val="Arial"/>
      <family val="2"/>
    </font>
    <font>
      <b/>
      <sz val="48"/>
      <color theme="0" tint="-4.9989318521683403E-2"/>
      <name val="Calibri"/>
      <family val="2"/>
      <scheme val="minor"/>
    </font>
    <font>
      <b/>
      <sz val="14"/>
      <color theme="1"/>
      <name val="Calibri"/>
      <family val="2"/>
      <scheme val="minor"/>
    </font>
    <font>
      <b/>
      <sz val="48"/>
      <color theme="0" tint="-0.14999847407452621"/>
      <name val="Calibri"/>
      <family val="2"/>
      <scheme val="minor"/>
    </font>
    <font>
      <sz val="11"/>
      <color theme="0" tint="-0.14999847407452621"/>
      <name val="Calibri"/>
      <family val="2"/>
      <scheme val="minor"/>
    </font>
    <font>
      <b/>
      <sz val="60"/>
      <color theme="0" tint="-4.9989318521683403E-2"/>
      <name val="Calibri"/>
      <family val="2"/>
      <scheme val="minor"/>
    </font>
    <font>
      <b/>
      <sz val="48"/>
      <color rgb="FFD50909"/>
      <name val="Calibri"/>
      <family val="2"/>
      <scheme val="minor"/>
    </font>
    <font>
      <sz val="18"/>
      <color theme="1"/>
      <name val="Calibri"/>
      <family val="2"/>
      <scheme val="minor"/>
    </font>
    <font>
      <b/>
      <sz val="48"/>
      <color theme="0"/>
      <name val="Calibri"/>
      <family val="2"/>
      <scheme val="minor"/>
    </font>
    <font>
      <b/>
      <sz val="60"/>
      <color theme="0"/>
      <name val="Calibri"/>
      <family val="2"/>
      <scheme val="minor"/>
    </font>
    <font>
      <b/>
      <sz val="11"/>
      <color rgb="FFFF0000"/>
      <name val="Calibri"/>
      <family val="2"/>
      <scheme val="minor"/>
    </font>
    <font>
      <sz val="16"/>
      <color rgb="FFCC0099"/>
      <name val="Calibri"/>
      <family val="2"/>
      <scheme val="minor"/>
    </font>
    <font>
      <sz val="11"/>
      <color rgb="FFCC0099"/>
      <name val="Calibri"/>
      <family val="2"/>
      <scheme val="minor"/>
    </font>
  </fonts>
  <fills count="25">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249977111117893"/>
        <bgColor indexed="64"/>
      </patternFill>
    </fill>
    <fill>
      <patternFill patternType="solid">
        <fgColor theme="4" tint="0.79998168889431442"/>
        <bgColor indexed="65"/>
      </patternFill>
    </fill>
    <fill>
      <patternFill patternType="solid">
        <fgColor rgb="FFCCCCCC"/>
        <bgColor indexed="64"/>
      </patternFill>
    </fill>
    <fill>
      <patternFill patternType="solid">
        <fgColor rgb="FF605E5E"/>
        <bgColor indexed="64"/>
      </patternFill>
    </fill>
    <fill>
      <patternFill patternType="solid">
        <fgColor rgb="FFC000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9" tint="0.79998168889431442"/>
        <bgColor indexed="64"/>
      </patternFill>
    </fill>
  </fills>
  <borders count="7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rgb="FF2C84A9"/>
      </right>
      <top/>
      <bottom/>
      <diagonal/>
    </border>
    <border>
      <left style="thick">
        <color rgb="FF2C84A9"/>
      </left>
      <right/>
      <top/>
      <bottom/>
      <diagonal/>
    </border>
    <border>
      <left/>
      <right/>
      <top style="thick">
        <color rgb="FF2C84A9"/>
      </top>
      <bottom/>
      <diagonal/>
    </border>
    <border>
      <left style="thick">
        <color rgb="FF2C84A9"/>
      </left>
      <right/>
      <top style="thick">
        <color rgb="FF2C84A9"/>
      </top>
      <bottom/>
      <diagonal/>
    </border>
    <border>
      <left/>
      <right style="thick">
        <color rgb="FF2C84A9"/>
      </right>
      <top style="thick">
        <color rgb="FF2C84A9"/>
      </top>
      <bottom/>
      <diagonal/>
    </border>
    <border>
      <left style="thick">
        <color rgb="FF2C84A9"/>
      </left>
      <right/>
      <top/>
      <bottom style="thick">
        <color rgb="FF2C84A9"/>
      </bottom>
      <diagonal/>
    </border>
    <border>
      <left/>
      <right/>
      <top/>
      <bottom style="thick">
        <color rgb="FF2C84A9"/>
      </bottom>
      <diagonal/>
    </border>
    <border>
      <left/>
      <right style="thick">
        <color rgb="FF2C84A9"/>
      </right>
      <top/>
      <bottom style="thick">
        <color rgb="FF2C84A9"/>
      </bottom>
      <diagonal/>
    </border>
    <border>
      <left style="thick">
        <color rgb="FF2C84A9"/>
      </left>
      <right style="thick">
        <color rgb="FF2C84A9"/>
      </right>
      <top style="thick">
        <color rgb="FF2C84A9"/>
      </top>
      <bottom/>
      <diagonal/>
    </border>
    <border>
      <left style="thick">
        <color rgb="FF2C84A9"/>
      </left>
      <right style="thick">
        <color rgb="FF2C84A9"/>
      </right>
      <top/>
      <bottom style="thick">
        <color rgb="FF2C84A9"/>
      </bottom>
      <diagonal/>
    </border>
    <border>
      <left style="thick">
        <color rgb="FF2C84A9"/>
      </left>
      <right style="thick">
        <color rgb="FF2C84A9"/>
      </right>
      <top style="thick">
        <color rgb="FF2C84A9"/>
      </top>
      <bottom style="thick">
        <color rgb="FF2C84A9"/>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bottom/>
      <diagonal/>
    </border>
    <border>
      <left style="mediumDashed">
        <color rgb="FFFF0000"/>
      </left>
      <right style="mediumDashed">
        <color rgb="FFFF0000"/>
      </right>
      <top/>
      <bottom style="mediumDashed">
        <color rgb="FFFF0000"/>
      </bottom>
      <diagonal/>
    </border>
    <border>
      <left style="thick">
        <color rgb="FF2884A9"/>
      </left>
      <right style="thick">
        <color rgb="FF2884A9"/>
      </right>
      <top style="thick">
        <color rgb="FF2884A9"/>
      </top>
      <bottom/>
      <diagonal/>
    </border>
    <border>
      <left style="thick">
        <color rgb="FF2884A9"/>
      </left>
      <right style="thick">
        <color rgb="FF2884A9"/>
      </right>
      <top/>
      <bottom/>
      <diagonal/>
    </border>
    <border>
      <left style="thick">
        <color rgb="FF2884A9"/>
      </left>
      <right style="thick">
        <color rgb="FF2884A9"/>
      </right>
      <top/>
      <bottom style="thick">
        <color rgb="FF2884A9"/>
      </bottom>
      <diagonal/>
    </border>
    <border>
      <left style="thick">
        <color rgb="FF2884A9"/>
      </left>
      <right/>
      <top/>
      <bottom/>
      <diagonal/>
    </border>
    <border>
      <left style="thick">
        <color rgb="FF2C84A9"/>
      </left>
      <right/>
      <top style="thick">
        <color rgb="FF2C84A9"/>
      </top>
      <bottom style="thick">
        <color rgb="FF2C84A9"/>
      </bottom>
      <diagonal/>
    </border>
    <border>
      <left/>
      <right/>
      <top style="thick">
        <color rgb="FF2C84A9"/>
      </top>
      <bottom style="thick">
        <color rgb="FF2C84A9"/>
      </bottom>
      <diagonal/>
    </border>
    <border>
      <left/>
      <right style="thick">
        <color rgb="FF2C84A9"/>
      </right>
      <top style="thick">
        <color rgb="FF2C84A9"/>
      </top>
      <bottom style="thick">
        <color rgb="FF2C84A9"/>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ck">
        <color rgb="FF2884A9"/>
      </left>
      <right style="thick">
        <color rgb="FF2884A9"/>
      </right>
      <top style="thick">
        <color rgb="FF2884A9"/>
      </top>
      <bottom style="thick">
        <color rgb="FF2884A9"/>
      </bottom>
      <diagonal/>
    </border>
    <border>
      <left style="hair">
        <color auto="1"/>
      </left>
      <right style="hair">
        <color auto="1"/>
      </right>
      <top style="hair">
        <color auto="1"/>
      </top>
      <bottom style="hair">
        <color auto="1"/>
      </bottom>
      <diagonal/>
    </border>
  </borders>
  <cellStyleXfs count="10">
    <xf numFmtId="0" fontId="0" fillId="0" borderId="0"/>
    <xf numFmtId="0" fontId="9" fillId="0" borderId="0"/>
    <xf numFmtId="43" fontId="10" fillId="0" borderId="0" applyFont="0" applyFill="0" applyBorder="0" applyAlignment="0" applyProtection="0"/>
    <xf numFmtId="44" fontId="10" fillId="0" borderId="0" applyFont="0" applyFill="0" applyBorder="0" applyAlignment="0" applyProtection="0"/>
    <xf numFmtId="0" fontId="22" fillId="0" borderId="0" applyNumberFormat="0" applyFill="0" applyBorder="0" applyAlignment="0" applyProtection="0">
      <alignment vertical="top"/>
      <protection locked="0"/>
    </xf>
    <xf numFmtId="9" fontId="10" fillId="0" borderId="0" applyFont="0" applyFill="0" applyBorder="0" applyAlignment="0" applyProtection="0"/>
    <xf numFmtId="0" fontId="4" fillId="12" borderId="0" applyNumberFormat="0" applyBorder="0" applyAlignment="0" applyProtection="0"/>
    <xf numFmtId="0" fontId="2" fillId="12" borderId="0" applyNumberFormat="0" applyBorder="0" applyAlignment="0" applyProtection="0"/>
    <xf numFmtId="0" fontId="56" fillId="0" borderId="0"/>
    <xf numFmtId="9" fontId="57" fillId="0" borderId="0" applyFont="0" applyFill="0" applyBorder="0" applyAlignment="0" applyProtection="0"/>
  </cellStyleXfs>
  <cellXfs count="1135">
    <xf numFmtId="0" fontId="0" fillId="0" borderId="0" xfId="0"/>
    <xf numFmtId="0" fontId="14" fillId="0" borderId="0" xfId="0" applyFont="1" applyAlignment="1">
      <alignment wrapText="1"/>
    </xf>
    <xf numFmtId="0" fontId="14" fillId="0" borderId="0" xfId="0" applyFont="1"/>
    <xf numFmtId="0" fontId="14" fillId="0" borderId="9" xfId="0" applyFont="1" applyBorder="1"/>
    <xf numFmtId="0" fontId="14" fillId="0" borderId="0" xfId="0" applyFont="1" applyBorder="1"/>
    <xf numFmtId="0" fontId="14" fillId="0" borderId="0" xfId="0" applyFont="1" applyBorder="1" applyAlignment="1">
      <alignment horizontal="right"/>
    </xf>
    <xf numFmtId="3" fontId="16" fillId="7" borderId="9" xfId="0" applyNumberFormat="1" applyFont="1" applyFill="1" applyBorder="1" applyAlignment="1">
      <alignment horizontal="right"/>
    </xf>
    <xf numFmtId="0" fontId="16" fillId="7" borderId="0" xfId="0" applyFont="1" applyFill="1" applyBorder="1"/>
    <xf numFmtId="0" fontId="15" fillId="7" borderId="0" xfId="0" applyFont="1" applyFill="1" applyBorder="1"/>
    <xf numFmtId="0" fontId="16" fillId="7" borderId="0" xfId="0" applyFont="1" applyFill="1" applyBorder="1" applyAlignment="1">
      <alignment wrapText="1" shrinkToFit="1"/>
    </xf>
    <xf numFmtId="0" fontId="16" fillId="7" borderId="1" xfId="0" applyFont="1" applyFill="1" applyBorder="1" applyAlignment="1">
      <alignment wrapText="1" shrinkToFit="1"/>
    </xf>
    <xf numFmtId="0" fontId="15" fillId="7" borderId="2" xfId="0" applyFont="1" applyFill="1" applyBorder="1" applyAlignment="1">
      <alignment horizontal="right" wrapText="1"/>
    </xf>
    <xf numFmtId="3" fontId="15" fillId="7" borderId="2" xfId="0" applyNumberFormat="1" applyFont="1" applyFill="1" applyBorder="1" applyAlignment="1">
      <alignment horizontal="right" wrapText="1"/>
    </xf>
    <xf numFmtId="4" fontId="15" fillId="7" borderId="2" xfId="0" applyNumberFormat="1" applyFont="1" applyFill="1" applyBorder="1" applyAlignment="1">
      <alignment horizontal="right" wrapText="1"/>
    </xf>
    <xf numFmtId="0" fontId="15" fillId="7" borderId="2" xfId="0" applyFont="1" applyFill="1" applyBorder="1" applyAlignment="1">
      <alignment wrapText="1"/>
    </xf>
    <xf numFmtId="0" fontId="15" fillId="7" borderId="0" xfId="0" applyFont="1" applyFill="1" applyBorder="1" applyAlignment="1">
      <alignment wrapText="1"/>
    </xf>
    <xf numFmtId="3" fontId="16" fillId="7" borderId="0" xfId="0" applyNumberFormat="1" applyFont="1" applyFill="1" applyAlignment="1">
      <alignment horizontal="right"/>
    </xf>
    <xf numFmtId="4" fontId="16" fillId="7" borderId="0" xfId="0" applyNumberFormat="1" applyFont="1" applyFill="1" applyAlignment="1">
      <alignment horizontal="right"/>
    </xf>
    <xf numFmtId="0" fontId="16" fillId="7" borderId="0" xfId="0" applyFont="1" applyFill="1" applyAlignment="1">
      <alignment wrapText="1"/>
    </xf>
    <xf numFmtId="0" fontId="16" fillId="7" borderId="0" xfId="0" applyFont="1" applyFill="1" applyBorder="1" applyAlignment="1">
      <alignment wrapText="1"/>
    </xf>
    <xf numFmtId="0" fontId="16" fillId="7" borderId="0" xfId="0" applyFont="1" applyFill="1" applyBorder="1" applyAlignment="1">
      <alignment horizontal="right" wrapText="1"/>
    </xf>
    <xf numFmtId="0" fontId="16" fillId="7" borderId="0" xfId="0" applyFont="1" applyFill="1" applyAlignment="1">
      <alignment horizontal="right"/>
    </xf>
    <xf numFmtId="0" fontId="16" fillId="7" borderId="0" xfId="0" applyFont="1" applyFill="1"/>
    <xf numFmtId="10" fontId="16" fillId="7" borderId="0" xfId="0" applyNumberFormat="1" applyFont="1" applyFill="1" applyAlignment="1">
      <alignment horizontal="right"/>
    </xf>
    <xf numFmtId="3" fontId="16" fillId="7" borderId="0" xfId="0" applyNumberFormat="1" applyFont="1" applyFill="1" applyBorder="1" applyAlignment="1">
      <alignment horizontal="right"/>
    </xf>
    <xf numFmtId="4" fontId="16" fillId="7" borderId="0" xfId="0" applyNumberFormat="1" applyFont="1" applyFill="1" applyBorder="1" applyAlignment="1">
      <alignment horizontal="right"/>
    </xf>
    <xf numFmtId="6" fontId="16" fillId="7" borderId="9" xfId="0" applyNumberFormat="1" applyFont="1" applyFill="1" applyBorder="1"/>
    <xf numFmtId="0" fontId="16" fillId="7" borderId="0" xfId="0" applyFont="1" applyFill="1" applyAlignment="1">
      <alignment horizontal="left"/>
    </xf>
    <xf numFmtId="0" fontId="16" fillId="7" borderId="9" xfId="0" applyFont="1" applyFill="1" applyBorder="1" applyAlignment="1">
      <alignment horizontal="left"/>
    </xf>
    <xf numFmtId="165" fontId="16" fillId="7" borderId="0" xfId="0" applyNumberFormat="1" applyFont="1" applyFill="1" applyAlignment="1">
      <alignment horizontal="right"/>
    </xf>
    <xf numFmtId="3" fontId="16" fillId="6" borderId="0" xfId="0" applyNumberFormat="1" applyFont="1" applyFill="1" applyBorder="1" applyAlignment="1">
      <alignment horizontal="right" wrapText="1"/>
    </xf>
    <xf numFmtId="3" fontId="16" fillId="6" borderId="0" xfId="0" applyNumberFormat="1" applyFont="1" applyFill="1" applyBorder="1" applyAlignment="1">
      <alignment horizontal="right"/>
    </xf>
    <xf numFmtId="3" fontId="16" fillId="6" borderId="9" xfId="0" applyNumberFormat="1" applyFont="1" applyFill="1" applyBorder="1" applyAlignment="1">
      <alignment horizontal="right"/>
    </xf>
    <xf numFmtId="0" fontId="14" fillId="0" borderId="5" xfId="0" applyFont="1" applyBorder="1"/>
    <xf numFmtId="0" fontId="14" fillId="0" borderId="18" xfId="0" applyFont="1" applyBorder="1"/>
    <xf numFmtId="165" fontId="13" fillId="0" borderId="0" xfId="0" applyNumberFormat="1" applyFont="1" applyBorder="1"/>
    <xf numFmtId="0" fontId="21" fillId="0" borderId="0" xfId="0" applyFont="1" applyBorder="1" applyAlignment="1">
      <alignment horizontal="left"/>
    </xf>
    <xf numFmtId="2" fontId="14" fillId="0" borderId="0" xfId="0" applyNumberFormat="1" applyFont="1" applyBorder="1"/>
    <xf numFmtId="168" fontId="14" fillId="0" borderId="19" xfId="2" applyNumberFormat="1" applyFont="1" applyBorder="1"/>
    <xf numFmtId="165" fontId="14" fillId="0" borderId="0" xfId="0" applyNumberFormat="1" applyFont="1" applyBorder="1"/>
    <xf numFmtId="0" fontId="14" fillId="0" borderId="20" xfId="0" applyFont="1" applyBorder="1"/>
    <xf numFmtId="165" fontId="14" fillId="0" borderId="9" xfId="0" applyNumberFormat="1" applyFont="1" applyBorder="1"/>
    <xf numFmtId="2" fontId="14" fillId="0" borderId="9" xfId="0" applyNumberFormat="1" applyFont="1" applyBorder="1"/>
    <xf numFmtId="168" fontId="14" fillId="0" borderId="21" xfId="2" applyNumberFormat="1" applyFont="1" applyBorder="1"/>
    <xf numFmtId="0" fontId="14" fillId="0" borderId="14" xfId="0" applyFont="1" applyBorder="1"/>
    <xf numFmtId="0" fontId="14" fillId="0" borderId="28" xfId="0" applyFont="1" applyBorder="1"/>
    <xf numFmtId="0" fontId="14" fillId="0" borderId="26" xfId="0" applyFont="1" applyBorder="1" applyAlignment="1">
      <alignment wrapText="1"/>
    </xf>
    <xf numFmtId="0" fontId="14" fillId="0" borderId="1" xfId="0" applyFont="1" applyBorder="1" applyAlignment="1">
      <alignment horizontal="right" wrapText="1"/>
    </xf>
    <xf numFmtId="0" fontId="14" fillId="0" borderId="1" xfId="0" applyFont="1" applyBorder="1" applyAlignment="1">
      <alignment wrapText="1"/>
    </xf>
    <xf numFmtId="0" fontId="14" fillId="0" borderId="27" xfId="0" applyFont="1" applyBorder="1" applyAlignment="1">
      <alignment wrapText="1"/>
    </xf>
    <xf numFmtId="3" fontId="15" fillId="7" borderId="1" xfId="0" applyNumberFormat="1" applyFont="1" applyFill="1" applyBorder="1" applyAlignment="1">
      <alignment horizontal="right" wrapText="1"/>
    </xf>
    <xf numFmtId="0" fontId="15" fillId="7" borderId="1" xfId="0" applyFont="1" applyFill="1" applyBorder="1" applyAlignment="1">
      <alignment horizontal="right" wrapText="1"/>
    </xf>
    <xf numFmtId="0" fontId="16" fillId="6" borderId="0" xfId="0" applyFont="1" applyFill="1" applyBorder="1" applyAlignment="1">
      <alignment wrapText="1"/>
    </xf>
    <xf numFmtId="166" fontId="14" fillId="0" borderId="5" xfId="0" applyNumberFormat="1" applyFont="1" applyBorder="1"/>
    <xf numFmtId="0" fontId="16" fillId="7" borderId="0" xfId="0" applyFont="1" applyFill="1" applyBorder="1" applyAlignment="1">
      <alignment horizontal="right"/>
    </xf>
    <xf numFmtId="0" fontId="14" fillId="7" borderId="0" xfId="0" applyFont="1" applyFill="1" applyBorder="1" applyAlignment="1">
      <alignment horizontal="left"/>
    </xf>
    <xf numFmtId="0" fontId="14" fillId="7" borderId="0" xfId="0" applyFont="1" applyFill="1"/>
    <xf numFmtId="0" fontId="13" fillId="7" borderId="0" xfId="0" applyFont="1" applyFill="1"/>
    <xf numFmtId="0" fontId="16" fillId="6" borderId="0" xfId="0" applyFont="1" applyFill="1" applyBorder="1"/>
    <xf numFmtId="3" fontId="15" fillId="7" borderId="30" xfId="0" applyNumberFormat="1" applyFont="1" applyFill="1" applyBorder="1" applyAlignment="1">
      <alignment horizontal="right" wrapText="1"/>
    </xf>
    <xf numFmtId="3" fontId="16" fillId="6" borderId="18" xfId="0" applyNumberFormat="1" applyFont="1" applyFill="1" applyBorder="1" applyAlignment="1">
      <alignment horizontal="right"/>
    </xf>
    <xf numFmtId="3" fontId="16" fillId="6" borderId="20" xfId="0" applyNumberFormat="1" applyFont="1" applyFill="1" applyBorder="1" applyAlignment="1">
      <alignment horizontal="right"/>
    </xf>
    <xf numFmtId="165" fontId="15" fillId="7" borderId="31" xfId="0" applyNumberFormat="1" applyFont="1" applyFill="1" applyBorder="1" applyAlignment="1">
      <alignment horizontal="right" wrapText="1"/>
    </xf>
    <xf numFmtId="165" fontId="16" fillId="6" borderId="19" xfId="0" applyNumberFormat="1" applyFont="1" applyFill="1" applyBorder="1" applyAlignment="1">
      <alignment horizontal="right"/>
    </xf>
    <xf numFmtId="165" fontId="16" fillId="7" borderId="0" xfId="0" applyNumberFormat="1" applyFont="1" applyFill="1" applyBorder="1"/>
    <xf numFmtId="0" fontId="14" fillId="7" borderId="1" xfId="0" applyFont="1" applyFill="1" applyBorder="1"/>
    <xf numFmtId="0" fontId="14" fillId="7" borderId="0" xfId="0" applyFont="1" applyFill="1" applyBorder="1"/>
    <xf numFmtId="0" fontId="14" fillId="7" borderId="3" xfId="0" applyFont="1" applyFill="1" applyBorder="1"/>
    <xf numFmtId="0" fontId="14" fillId="7" borderId="8" xfId="0" applyFont="1" applyFill="1" applyBorder="1"/>
    <xf numFmtId="0" fontId="14" fillId="7" borderId="19" xfId="0" applyFont="1" applyFill="1" applyBorder="1"/>
    <xf numFmtId="6" fontId="14" fillId="7" borderId="8" xfId="0" applyNumberFormat="1" applyFont="1" applyFill="1" applyBorder="1"/>
    <xf numFmtId="6" fontId="14" fillId="7" borderId="19" xfId="0" applyNumberFormat="1" applyFont="1" applyFill="1" applyBorder="1"/>
    <xf numFmtId="6" fontId="14" fillId="7" borderId="3" xfId="0" applyNumberFormat="1" applyFont="1" applyFill="1" applyBorder="1"/>
    <xf numFmtId="6" fontId="14" fillId="7" borderId="0" xfId="0" applyNumberFormat="1" applyFont="1" applyFill="1" applyBorder="1"/>
    <xf numFmtId="6" fontId="14" fillId="7" borderId="12" xfId="0" applyNumberFormat="1" applyFont="1" applyFill="1" applyBorder="1"/>
    <xf numFmtId="6" fontId="14" fillId="7" borderId="13" xfId="0" applyNumberFormat="1" applyFont="1" applyFill="1" applyBorder="1"/>
    <xf numFmtId="6" fontId="14" fillId="7" borderId="9" xfId="0" applyNumberFormat="1" applyFont="1" applyFill="1" applyBorder="1"/>
    <xf numFmtId="6" fontId="14" fillId="7" borderId="21" xfId="0" applyNumberFormat="1" applyFont="1" applyFill="1" applyBorder="1"/>
    <xf numFmtId="0" fontId="20" fillId="0" borderId="0" xfId="0" applyFont="1"/>
    <xf numFmtId="164" fontId="14" fillId="7" borderId="0" xfId="0" applyNumberFormat="1" applyFont="1" applyFill="1"/>
    <xf numFmtId="166" fontId="14" fillId="7" borderId="0" xfId="0" applyNumberFormat="1" applyFont="1" applyFill="1"/>
    <xf numFmtId="0" fontId="13" fillId="7" borderId="0" xfId="0" applyFont="1" applyFill="1" applyBorder="1"/>
    <xf numFmtId="0" fontId="13" fillId="7" borderId="9" xfId="0" applyFont="1" applyFill="1" applyBorder="1" applyAlignment="1">
      <alignment wrapText="1"/>
    </xf>
    <xf numFmtId="6" fontId="14" fillId="6" borderId="0" xfId="0" applyNumberFormat="1" applyFont="1" applyFill="1" applyBorder="1"/>
    <xf numFmtId="6" fontId="14" fillId="6" borderId="9" xfId="0" applyNumberFormat="1" applyFont="1" applyFill="1" applyBorder="1"/>
    <xf numFmtId="8" fontId="14" fillId="7" borderId="0" xfId="0" applyNumberFormat="1" applyFont="1" applyFill="1" applyBorder="1"/>
    <xf numFmtId="8" fontId="14" fillId="6" borderId="0" xfId="0" applyNumberFormat="1" applyFont="1" applyFill="1" applyBorder="1"/>
    <xf numFmtId="0" fontId="11" fillId="0" borderId="0" xfId="0" applyFont="1"/>
    <xf numFmtId="6" fontId="14" fillId="7" borderId="18" xfId="0" applyNumberFormat="1" applyFont="1" applyFill="1" applyBorder="1"/>
    <xf numFmtId="0" fontId="14" fillId="7" borderId="18" xfId="0" applyFont="1" applyFill="1" applyBorder="1"/>
    <xf numFmtId="0" fontId="14" fillId="7" borderId="20" xfId="0" applyFont="1" applyFill="1" applyBorder="1"/>
    <xf numFmtId="0" fontId="14" fillId="7" borderId="12" xfId="0" applyFont="1" applyFill="1" applyBorder="1"/>
    <xf numFmtId="0" fontId="14" fillId="7" borderId="9" xfId="0" applyFont="1" applyFill="1" applyBorder="1"/>
    <xf numFmtId="6" fontId="14" fillId="7" borderId="0" xfId="0" applyNumberFormat="1" applyFont="1" applyFill="1"/>
    <xf numFmtId="8" fontId="14" fillId="7" borderId="0" xfId="0" applyNumberFormat="1" applyFont="1" applyFill="1"/>
    <xf numFmtId="8" fontId="20" fillId="0" borderId="0" xfId="0" applyNumberFormat="1" applyFont="1" applyBorder="1"/>
    <xf numFmtId="8" fontId="20" fillId="6" borderId="0" xfId="0" applyNumberFormat="1" applyFont="1" applyFill="1" applyBorder="1"/>
    <xf numFmtId="0" fontId="20" fillId="0" borderId="0" xfId="0" applyFont="1" applyBorder="1"/>
    <xf numFmtId="0" fontId="11" fillId="0" borderId="0" xfId="0" applyFont="1" applyBorder="1"/>
    <xf numFmtId="0" fontId="13" fillId="7" borderId="0" xfId="0" applyFont="1" applyFill="1" applyBorder="1" applyAlignment="1">
      <alignment wrapText="1"/>
    </xf>
    <xf numFmtId="6" fontId="14" fillId="7" borderId="0" xfId="0" applyNumberFormat="1" applyFont="1" applyFill="1" applyBorder="1" applyAlignment="1">
      <alignment wrapText="1"/>
    </xf>
    <xf numFmtId="166" fontId="14" fillId="7" borderId="0" xfId="0" applyNumberFormat="1" applyFont="1" applyFill="1" applyBorder="1"/>
    <xf numFmtId="0" fontId="14" fillId="0" borderId="22" xfId="0" applyFont="1" applyBorder="1"/>
    <xf numFmtId="0" fontId="14" fillId="0" borderId="23" xfId="0" applyFont="1" applyBorder="1"/>
    <xf numFmtId="0" fontId="14" fillId="0" borderId="24" xfId="0" applyFont="1" applyBorder="1"/>
    <xf numFmtId="0" fontId="14" fillId="0" borderId="18" xfId="0" applyFont="1" applyBorder="1" applyAlignment="1">
      <alignment horizontal="right"/>
    </xf>
    <xf numFmtId="0" fontId="14" fillId="0" borderId="16" xfId="0" applyFont="1" applyBorder="1" applyAlignment="1">
      <alignment horizontal="right"/>
    </xf>
    <xf numFmtId="6" fontId="14" fillId="0" borderId="18" xfId="0" applyNumberFormat="1" applyFont="1" applyBorder="1" applyAlignment="1">
      <alignment horizontal="right"/>
    </xf>
    <xf numFmtId="6" fontId="14" fillId="0" borderId="0" xfId="0" applyNumberFormat="1" applyFont="1" applyBorder="1" applyAlignment="1">
      <alignment horizontal="right"/>
    </xf>
    <xf numFmtId="6" fontId="14" fillId="0" borderId="19" xfId="0" applyNumberFormat="1" applyFont="1" applyBorder="1" applyAlignment="1">
      <alignment horizontal="right"/>
    </xf>
    <xf numFmtId="0" fontId="14" fillId="0" borderId="20" xfId="0" applyFont="1" applyBorder="1" applyAlignment="1">
      <alignment horizontal="right"/>
    </xf>
    <xf numFmtId="6" fontId="14" fillId="0" borderId="20" xfId="0" applyNumberFormat="1" applyFont="1" applyBorder="1" applyAlignment="1">
      <alignment horizontal="right"/>
    </xf>
    <xf numFmtId="6" fontId="14" fillId="0" borderId="9" xfId="0" applyNumberFormat="1" applyFont="1" applyBorder="1" applyAlignment="1">
      <alignment horizontal="right"/>
    </xf>
    <xf numFmtId="6" fontId="14" fillId="0" borderId="21" xfId="0" applyNumberFormat="1" applyFont="1" applyBorder="1" applyAlignment="1">
      <alignment horizontal="right"/>
    </xf>
    <xf numFmtId="0" fontId="14" fillId="0" borderId="0" xfId="0" applyFont="1" applyBorder="1" applyAlignment="1">
      <alignment horizontal="center"/>
    </xf>
    <xf numFmtId="0" fontId="14" fillId="0" borderId="15" xfId="0" applyFont="1" applyBorder="1" applyAlignment="1">
      <alignment horizontal="right"/>
    </xf>
    <xf numFmtId="0" fontId="14" fillId="0" borderId="10" xfId="0" applyFont="1" applyBorder="1" applyAlignment="1">
      <alignment horizontal="right"/>
    </xf>
    <xf numFmtId="0" fontId="14" fillId="0" borderId="9" xfId="0" applyFont="1" applyBorder="1" applyAlignment="1">
      <alignment horizontal="right"/>
    </xf>
    <xf numFmtId="0" fontId="14" fillId="7" borderId="0" xfId="0" applyFont="1" applyFill="1" applyBorder="1" applyAlignment="1">
      <alignment horizontal="right"/>
    </xf>
    <xf numFmtId="4" fontId="16" fillId="7" borderId="0" xfId="0" applyNumberFormat="1" applyFont="1" applyFill="1" applyBorder="1" applyAlignment="1">
      <alignment horizontal="center" wrapText="1" shrinkToFit="1"/>
    </xf>
    <xf numFmtId="0" fontId="13" fillId="0" borderId="0" xfId="0" applyFont="1" applyBorder="1" applyAlignment="1">
      <alignment horizontal="left"/>
    </xf>
    <xf numFmtId="0" fontId="14" fillId="0" borderId="6" xfId="0" applyFont="1" applyBorder="1" applyAlignment="1">
      <alignment horizontal="left"/>
    </xf>
    <xf numFmtId="0" fontId="14" fillId="0" borderId="7" xfId="0" applyFont="1" applyBorder="1" applyAlignment="1">
      <alignment horizontal="right"/>
    </xf>
    <xf numFmtId="0" fontId="14" fillId="0" borderId="29" xfId="0" applyFont="1" applyBorder="1" applyAlignment="1">
      <alignment horizontal="right"/>
    </xf>
    <xf numFmtId="0" fontId="14" fillId="0" borderId="4" xfId="0" applyFont="1" applyBorder="1" applyAlignment="1">
      <alignment horizontal="left"/>
    </xf>
    <xf numFmtId="0" fontId="14" fillId="0" borderId="1" xfId="0" applyFont="1" applyBorder="1" applyAlignment="1">
      <alignment horizontal="right"/>
    </xf>
    <xf numFmtId="0" fontId="14" fillId="0" borderId="11" xfId="0" applyFont="1" applyBorder="1" applyAlignment="1">
      <alignment horizontal="right"/>
    </xf>
    <xf numFmtId="0" fontId="16" fillId="7" borderId="4" xfId="0" applyFont="1" applyFill="1" applyBorder="1" applyAlignment="1">
      <alignment horizontal="left"/>
    </xf>
    <xf numFmtId="0" fontId="16" fillId="7" borderId="0" xfId="0" applyFont="1" applyFill="1" applyBorder="1" applyAlignment="1">
      <alignment horizontal="left"/>
    </xf>
    <xf numFmtId="10" fontId="16" fillId="7" borderId="0" xfId="0" applyNumberFormat="1" applyFont="1" applyFill="1" applyBorder="1" applyAlignment="1">
      <alignment horizontal="right"/>
    </xf>
    <xf numFmtId="165" fontId="16" fillId="7" borderId="0" xfId="0" applyNumberFormat="1" applyFont="1" applyFill="1" applyBorder="1" applyAlignment="1">
      <alignment horizontal="right"/>
    </xf>
    <xf numFmtId="0" fontId="16" fillId="7" borderId="16" xfId="0" applyFont="1" applyFill="1" applyBorder="1" applyAlignment="1">
      <alignment horizontal="left"/>
    </xf>
    <xf numFmtId="0" fontId="16" fillId="7" borderId="10" xfId="0" applyFont="1" applyFill="1" applyBorder="1" applyAlignment="1">
      <alignment horizontal="left"/>
    </xf>
    <xf numFmtId="3" fontId="16" fillId="7" borderId="10" xfId="0" applyNumberFormat="1" applyFont="1" applyFill="1" applyBorder="1" applyAlignment="1">
      <alignment horizontal="left"/>
    </xf>
    <xf numFmtId="3" fontId="16" fillId="7" borderId="10" xfId="0" applyNumberFormat="1" applyFont="1" applyFill="1" applyBorder="1" applyAlignment="1">
      <alignment horizontal="right"/>
    </xf>
    <xf numFmtId="4" fontId="16" fillId="7" borderId="10" xfId="0" applyNumberFormat="1" applyFont="1" applyFill="1" applyBorder="1" applyAlignment="1">
      <alignment horizontal="right"/>
    </xf>
    <xf numFmtId="0" fontId="16" fillId="7" borderId="20" xfId="0" applyFont="1" applyFill="1" applyBorder="1" applyAlignment="1">
      <alignment horizontal="left"/>
    </xf>
    <xf numFmtId="6" fontId="14" fillId="7" borderId="20" xfId="0" applyNumberFormat="1" applyFont="1" applyFill="1" applyBorder="1"/>
    <xf numFmtId="164" fontId="14" fillId="7" borderId="0" xfId="0" applyNumberFormat="1" applyFont="1" applyFill="1" applyBorder="1"/>
    <xf numFmtId="0" fontId="13" fillId="3" borderId="9" xfId="0" applyFont="1" applyFill="1" applyBorder="1" applyAlignment="1">
      <alignment horizontal="center" wrapText="1"/>
    </xf>
    <xf numFmtId="0" fontId="15" fillId="3" borderId="9" xfId="0" applyFont="1" applyFill="1" applyBorder="1" applyAlignment="1">
      <alignment horizontal="right" wrapText="1"/>
    </xf>
    <xf numFmtId="0" fontId="13" fillId="3" borderId="13" xfId="0" applyFont="1" applyFill="1" applyBorder="1" applyAlignment="1">
      <alignment horizontal="center" wrapText="1"/>
    </xf>
    <xf numFmtId="0" fontId="13" fillId="9" borderId="9" xfId="0" applyFont="1" applyFill="1" applyBorder="1" applyAlignment="1">
      <alignment horizontal="center" wrapText="1"/>
    </xf>
    <xf numFmtId="0" fontId="15" fillId="9" borderId="9" xfId="0" applyFont="1" applyFill="1" applyBorder="1" applyAlignment="1">
      <alignment horizontal="right" wrapText="1"/>
    </xf>
    <xf numFmtId="0" fontId="13" fillId="9" borderId="13" xfId="0" applyFont="1" applyFill="1" applyBorder="1" applyAlignment="1">
      <alignment horizontal="center" wrapText="1"/>
    </xf>
    <xf numFmtId="0" fontId="15" fillId="5" borderId="12" xfId="0" applyFont="1" applyFill="1" applyBorder="1" applyAlignment="1">
      <alignment horizontal="right" wrapText="1"/>
    </xf>
    <xf numFmtId="0" fontId="13" fillId="5" borderId="9" xfId="0" applyFont="1" applyFill="1" applyBorder="1" applyAlignment="1">
      <alignment horizontal="center" wrapText="1"/>
    </xf>
    <xf numFmtId="0" fontId="15" fillId="5" borderId="9" xfId="0" applyFont="1" applyFill="1" applyBorder="1" applyAlignment="1">
      <alignment horizontal="right" wrapText="1"/>
    </xf>
    <xf numFmtId="0" fontId="13" fillId="5" borderId="13" xfId="0" applyFont="1" applyFill="1" applyBorder="1" applyAlignment="1">
      <alignment horizontal="center" wrapText="1"/>
    </xf>
    <xf numFmtId="0" fontId="15" fillId="3" borderId="12" xfId="0" applyFont="1" applyFill="1" applyBorder="1" applyAlignment="1">
      <alignment horizontal="right" wrapText="1"/>
    </xf>
    <xf numFmtId="0" fontId="15" fillId="4" borderId="12" xfId="0" applyFont="1" applyFill="1" applyBorder="1" applyAlignment="1">
      <alignment horizontal="right" wrapText="1"/>
    </xf>
    <xf numFmtId="0" fontId="13" fillId="4" borderId="9" xfId="0" applyFont="1" applyFill="1" applyBorder="1" applyAlignment="1">
      <alignment horizontal="center" wrapText="1"/>
    </xf>
    <xf numFmtId="0" fontId="15" fillId="4" borderId="9" xfId="0" applyFont="1" applyFill="1" applyBorder="1" applyAlignment="1">
      <alignment horizontal="right" wrapText="1"/>
    </xf>
    <xf numFmtId="0" fontId="13" fillId="9" borderId="20" xfId="0" applyFont="1" applyFill="1" applyBorder="1" applyAlignment="1">
      <alignment horizontal="center" wrapText="1"/>
    </xf>
    <xf numFmtId="0" fontId="13" fillId="4" borderId="21" xfId="0" applyFont="1" applyFill="1" applyBorder="1" applyAlignment="1">
      <alignment horizontal="center" wrapText="1"/>
    </xf>
    <xf numFmtId="0" fontId="14" fillId="0" borderId="6" xfId="0" applyFont="1" applyBorder="1"/>
    <xf numFmtId="0" fontId="14" fillId="0" borderId="7" xfId="0" applyFont="1" applyBorder="1"/>
    <xf numFmtId="0" fontId="14" fillId="0" borderId="29" xfId="0" applyFont="1" applyBorder="1"/>
    <xf numFmtId="0" fontId="14" fillId="0" borderId="4" xfId="0" applyFont="1" applyBorder="1"/>
    <xf numFmtId="0" fontId="14" fillId="0" borderId="1" xfId="0" applyFont="1" applyBorder="1"/>
    <xf numFmtId="0" fontId="14" fillId="0" borderId="11" xfId="0" applyFont="1" applyBorder="1"/>
    <xf numFmtId="0" fontId="24" fillId="0" borderId="0" xfId="0" applyFont="1"/>
    <xf numFmtId="6" fontId="14" fillId="7" borderId="29" xfId="0" applyNumberFormat="1" applyFont="1" applyFill="1" applyBorder="1"/>
    <xf numFmtId="0" fontId="14" fillId="7" borderId="7" xfId="0" applyFont="1" applyFill="1" applyBorder="1"/>
    <xf numFmtId="9" fontId="14" fillId="5" borderId="20" xfId="0" applyNumberFormat="1" applyFont="1" applyFill="1" applyBorder="1" applyAlignment="1">
      <alignment horizontal="right"/>
    </xf>
    <xf numFmtId="9" fontId="14" fillId="5" borderId="9" xfId="0" applyNumberFormat="1" applyFont="1" applyFill="1" applyBorder="1" applyAlignment="1">
      <alignment horizontal="right"/>
    </xf>
    <xf numFmtId="9" fontId="14" fillId="5" borderId="21" xfId="0" applyNumberFormat="1" applyFont="1" applyFill="1" applyBorder="1" applyAlignment="1">
      <alignment horizontal="right"/>
    </xf>
    <xf numFmtId="9" fontId="14" fillId="9" borderId="20" xfId="0" applyNumberFormat="1" applyFont="1" applyFill="1" applyBorder="1" applyAlignment="1">
      <alignment horizontal="right"/>
    </xf>
    <xf numFmtId="9" fontId="14" fillId="9" borderId="9" xfId="0" applyNumberFormat="1" applyFont="1" applyFill="1" applyBorder="1" applyAlignment="1">
      <alignment horizontal="right"/>
    </xf>
    <xf numFmtId="9" fontId="14" fillId="9" borderId="21" xfId="0" applyNumberFormat="1" applyFont="1" applyFill="1" applyBorder="1" applyAlignment="1">
      <alignment horizontal="right"/>
    </xf>
    <xf numFmtId="168" fontId="14" fillId="0" borderId="0" xfId="0" applyNumberFormat="1" applyFont="1"/>
    <xf numFmtId="0" fontId="16" fillId="6" borderId="9" xfId="0" applyFont="1" applyFill="1" applyBorder="1"/>
    <xf numFmtId="1" fontId="14" fillId="0" borderId="0" xfId="0" applyNumberFormat="1" applyFont="1" applyBorder="1" applyAlignment="1">
      <alignment horizontal="right"/>
    </xf>
    <xf numFmtId="3" fontId="14" fillId="0" borderId="18" xfId="0" applyNumberFormat="1" applyFont="1" applyBorder="1" applyAlignment="1">
      <alignment horizontal="right"/>
    </xf>
    <xf numFmtId="3" fontId="14" fillId="0" borderId="0" xfId="0" applyNumberFormat="1" applyFont="1" applyBorder="1" applyAlignment="1">
      <alignment horizontal="right"/>
    </xf>
    <xf numFmtId="3" fontId="14" fillId="0" borderId="19" xfId="0" applyNumberFormat="1" applyFont="1" applyBorder="1" applyAlignment="1">
      <alignment horizontal="right"/>
    </xf>
    <xf numFmtId="167" fontId="16" fillId="7" borderId="5" xfId="0" applyNumberFormat="1" applyFont="1" applyFill="1" applyBorder="1" applyAlignment="1">
      <alignment horizontal="center" wrapText="1" shrinkToFit="1"/>
    </xf>
    <xf numFmtId="167" fontId="16" fillId="7" borderId="0" xfId="0" applyNumberFormat="1" applyFont="1" applyFill="1" applyBorder="1" applyAlignment="1">
      <alignment horizontal="center" wrapText="1" shrinkToFit="1"/>
    </xf>
    <xf numFmtId="0" fontId="13" fillId="0" borderId="22" xfId="0" applyFont="1" applyBorder="1" applyAlignment="1"/>
    <xf numFmtId="0" fontId="13" fillId="0" borderId="23" xfId="0" applyFont="1" applyBorder="1" applyAlignment="1"/>
    <xf numFmtId="0" fontId="13" fillId="0" borderId="24" xfId="0" applyFont="1" applyBorder="1" applyAlignment="1"/>
    <xf numFmtId="3" fontId="16" fillId="7" borderId="5" xfId="0" applyNumberFormat="1" applyFont="1" applyFill="1" applyBorder="1" applyAlignment="1">
      <alignment horizontal="center" wrapText="1" shrinkToFit="1"/>
    </xf>
    <xf numFmtId="169" fontId="16" fillId="7" borderId="5" xfId="2" applyNumberFormat="1" applyFont="1" applyFill="1" applyBorder="1" applyAlignment="1">
      <alignment horizontal="center" wrapText="1" shrinkToFit="1"/>
    </xf>
    <xf numFmtId="0" fontId="14" fillId="0" borderId="0" xfId="0" applyFont="1" applyBorder="1" applyAlignment="1">
      <alignment horizontal="right" wrapText="1"/>
    </xf>
    <xf numFmtId="169" fontId="16" fillId="7" borderId="0" xfId="2" applyNumberFormat="1" applyFont="1" applyFill="1" applyBorder="1" applyAlignment="1">
      <alignment horizontal="center" wrapText="1" shrinkToFit="1"/>
    </xf>
    <xf numFmtId="0" fontId="13" fillId="0" borderId="0" xfId="0" applyFont="1" applyBorder="1" applyAlignment="1"/>
    <xf numFmtId="4" fontId="15" fillId="7" borderId="0" xfId="0" applyNumberFormat="1" applyFont="1" applyFill="1" applyBorder="1" applyAlignment="1"/>
    <xf numFmtId="0" fontId="14" fillId="0" borderId="3" xfId="0" applyFont="1" applyBorder="1" applyAlignment="1">
      <alignment horizontal="left"/>
    </xf>
    <xf numFmtId="4" fontId="16" fillId="7" borderId="0" xfId="0" applyNumberFormat="1" applyFont="1" applyFill="1" applyBorder="1" applyAlignment="1">
      <alignment wrapText="1" shrinkToFit="1"/>
    </xf>
    <xf numFmtId="0" fontId="14" fillId="0" borderId="23" xfId="0" applyFont="1" applyBorder="1" applyAlignment="1">
      <alignment horizontal="right"/>
    </xf>
    <xf numFmtId="0" fontId="13" fillId="0" borderId="18" xfId="0" applyFont="1" applyBorder="1" applyAlignment="1"/>
    <xf numFmtId="0" fontId="13" fillId="0" borderId="18" xfId="0" applyFont="1" applyBorder="1" applyAlignment="1">
      <alignment horizontal="left"/>
    </xf>
    <xf numFmtId="0" fontId="14" fillId="0" borderId="20" xfId="0" applyFont="1" applyBorder="1" applyAlignment="1">
      <alignment horizontal="center"/>
    </xf>
    <xf numFmtId="0" fontId="14" fillId="0" borderId="9" xfId="0" applyFont="1" applyBorder="1" applyAlignment="1">
      <alignment horizontal="center"/>
    </xf>
    <xf numFmtId="0" fontId="28" fillId="0" borderId="0" xfId="0" applyFont="1" applyBorder="1"/>
    <xf numFmtId="0" fontId="28" fillId="0" borderId="0" xfId="0" applyFont="1"/>
    <xf numFmtId="169" fontId="15" fillId="7" borderId="5" xfId="2" applyNumberFormat="1" applyFont="1" applyFill="1" applyBorder="1" applyAlignment="1" applyProtection="1">
      <alignment horizontal="center" wrapText="1" shrinkToFit="1"/>
    </xf>
    <xf numFmtId="38" fontId="14" fillId="0" borderId="0" xfId="0" applyNumberFormat="1" applyFont="1" applyBorder="1" applyAlignment="1">
      <alignment horizontal="right"/>
    </xf>
    <xf numFmtId="9" fontId="14" fillId="3" borderId="23" xfId="0" applyNumberFormat="1" applyFont="1" applyFill="1" applyBorder="1" applyAlignment="1">
      <alignment horizontal="right" wrapText="1"/>
    </xf>
    <xf numFmtId="9" fontId="14" fillId="5" borderId="23" xfId="0" applyNumberFormat="1" applyFont="1" applyFill="1" applyBorder="1" applyAlignment="1">
      <alignment horizontal="right" wrapText="1"/>
    </xf>
    <xf numFmtId="0" fontId="14" fillId="4" borderId="23" xfId="0" applyFont="1" applyFill="1" applyBorder="1" applyAlignment="1">
      <alignment horizontal="right" wrapText="1"/>
    </xf>
    <xf numFmtId="0" fontId="14" fillId="0" borderId="10" xfId="0" applyFont="1" applyBorder="1" applyAlignment="1">
      <alignment horizontal="right" wrapText="1"/>
    </xf>
    <xf numFmtId="3" fontId="15" fillId="7" borderId="10" xfId="0" applyNumberFormat="1" applyFont="1" applyFill="1" applyBorder="1" applyAlignment="1"/>
    <xf numFmtId="10" fontId="16" fillId="7" borderId="10" xfId="0" applyNumberFormat="1" applyFont="1" applyFill="1" applyBorder="1" applyAlignment="1">
      <alignment horizontal="right"/>
    </xf>
    <xf numFmtId="0" fontId="16" fillId="7" borderId="12" xfId="0" applyFont="1" applyFill="1" applyBorder="1" applyAlignment="1">
      <alignment horizontal="left"/>
    </xf>
    <xf numFmtId="6" fontId="14" fillId="7" borderId="16" xfId="0" applyNumberFormat="1" applyFont="1" applyFill="1" applyBorder="1"/>
    <xf numFmtId="6" fontId="14" fillId="7" borderId="10" xfId="0" applyNumberFormat="1" applyFont="1" applyFill="1" applyBorder="1"/>
    <xf numFmtId="0" fontId="15" fillId="7" borderId="0" xfId="0" applyFont="1" applyFill="1" applyBorder="1" applyAlignment="1">
      <alignment horizontal="left" wrapText="1"/>
    </xf>
    <xf numFmtId="0" fontId="16" fillId="7" borderId="9" xfId="0" applyFont="1" applyFill="1" applyBorder="1" applyAlignment="1">
      <alignment horizontal="right" wrapText="1"/>
    </xf>
    <xf numFmtId="9" fontId="13" fillId="5" borderId="19" xfId="0" applyNumberFormat="1" applyFont="1" applyFill="1" applyBorder="1" applyAlignment="1">
      <alignment horizontal="center"/>
    </xf>
    <xf numFmtId="0" fontId="13" fillId="5" borderId="21" xfId="0" applyFont="1" applyFill="1" applyBorder="1" applyAlignment="1">
      <alignment horizontal="center" wrapText="1"/>
    </xf>
    <xf numFmtId="8" fontId="20" fillId="6" borderId="9" xfId="0" applyNumberFormat="1" applyFont="1" applyFill="1" applyBorder="1"/>
    <xf numFmtId="0" fontId="23" fillId="7" borderId="0" xfId="0" applyFont="1" applyFill="1" applyBorder="1" applyAlignment="1"/>
    <xf numFmtId="9" fontId="13" fillId="4" borderId="18" xfId="0" applyNumberFormat="1" applyFont="1" applyFill="1" applyBorder="1" applyAlignment="1">
      <alignment horizontal="center"/>
    </xf>
    <xf numFmtId="9" fontId="13" fillId="4" borderId="19" xfId="0" applyNumberFormat="1" applyFont="1" applyFill="1" applyBorder="1" applyAlignment="1">
      <alignment horizontal="center"/>
    </xf>
    <xf numFmtId="0" fontId="13" fillId="4" borderId="20" xfId="0" applyFont="1" applyFill="1" applyBorder="1" applyAlignment="1">
      <alignment horizontal="center" wrapText="1"/>
    </xf>
    <xf numFmtId="9" fontId="13" fillId="5" borderId="18" xfId="0" applyNumberFormat="1" applyFont="1" applyFill="1" applyBorder="1" applyAlignment="1">
      <alignment horizontal="center"/>
    </xf>
    <xf numFmtId="0" fontId="13" fillId="5" borderId="20" xfId="0" applyFont="1" applyFill="1" applyBorder="1" applyAlignment="1">
      <alignment horizontal="center" wrapText="1"/>
    </xf>
    <xf numFmtId="0" fontId="28" fillId="0" borderId="9" xfId="0" applyFont="1" applyBorder="1"/>
    <xf numFmtId="0" fontId="16" fillId="7" borderId="16" xfId="0" applyFont="1" applyFill="1" applyBorder="1" applyAlignment="1">
      <alignment horizontal="right"/>
    </xf>
    <xf numFmtId="0" fontId="15" fillId="7" borderId="18" xfId="0" applyFont="1" applyFill="1" applyBorder="1" applyAlignment="1">
      <alignment horizontal="right"/>
    </xf>
    <xf numFmtId="0" fontId="16" fillId="7" borderId="19" xfId="0" applyFont="1" applyFill="1" applyBorder="1" applyAlignment="1">
      <alignment horizontal="left"/>
    </xf>
    <xf numFmtId="0" fontId="15" fillId="7" borderId="36" xfId="0" applyFont="1" applyFill="1" applyBorder="1" applyAlignment="1">
      <alignment horizontal="right"/>
    </xf>
    <xf numFmtId="0" fontId="16" fillId="7" borderId="19" xfId="0" applyFont="1" applyFill="1" applyBorder="1" applyAlignment="1">
      <alignment horizontal="left" wrapText="1" shrinkToFit="1"/>
    </xf>
    <xf numFmtId="0" fontId="16" fillId="7" borderId="18" xfId="0" applyFont="1" applyFill="1" applyBorder="1" applyAlignment="1">
      <alignment horizontal="left" wrapText="1"/>
    </xf>
    <xf numFmtId="0" fontId="16" fillId="7" borderId="20" xfId="0" applyFont="1" applyFill="1" applyBorder="1" applyAlignment="1">
      <alignment horizontal="left" wrapText="1"/>
    </xf>
    <xf numFmtId="0" fontId="30" fillId="0" borderId="0" xfId="0" applyFont="1"/>
    <xf numFmtId="6" fontId="30" fillId="0" borderId="0" xfId="0" applyNumberFormat="1" applyFont="1"/>
    <xf numFmtId="0" fontId="30" fillId="0" borderId="18" xfId="0" applyFont="1" applyBorder="1"/>
    <xf numFmtId="0" fontId="30" fillId="0" borderId="0" xfId="0" applyFont="1" applyBorder="1"/>
    <xf numFmtId="0" fontId="30" fillId="0" borderId="19" xfId="0" applyFont="1" applyBorder="1"/>
    <xf numFmtId="9" fontId="30" fillId="0" borderId="18" xfId="5" applyFont="1" applyBorder="1"/>
    <xf numFmtId="170" fontId="30" fillId="0" borderId="0" xfId="3" applyNumberFormat="1" applyFont="1" applyBorder="1"/>
    <xf numFmtId="6" fontId="30" fillId="0" borderId="0" xfId="0" applyNumberFormat="1" applyFont="1" applyBorder="1"/>
    <xf numFmtId="6" fontId="30" fillId="0" borderId="19" xfId="0" applyNumberFormat="1" applyFont="1" applyBorder="1"/>
    <xf numFmtId="0" fontId="30" fillId="0" borderId="20" xfId="0" applyFont="1" applyBorder="1"/>
    <xf numFmtId="170" fontId="30" fillId="0" borderId="9" xfId="3" applyNumberFormat="1" applyFont="1" applyBorder="1"/>
    <xf numFmtId="6" fontId="30" fillId="0" borderId="9" xfId="0" applyNumberFormat="1" applyFont="1" applyBorder="1"/>
    <xf numFmtId="6" fontId="30" fillId="0" borderId="21" xfId="0" applyNumberFormat="1" applyFont="1" applyBorder="1"/>
    <xf numFmtId="0" fontId="30" fillId="0" borderId="21" xfId="0" applyFont="1" applyBorder="1" applyAlignment="1">
      <alignment wrapText="1"/>
    </xf>
    <xf numFmtId="0" fontId="30" fillId="0" borderId="20" xfId="0" applyFont="1" applyBorder="1" applyAlignment="1">
      <alignment wrapText="1"/>
    </xf>
    <xf numFmtId="9" fontId="30" fillId="0" borderId="9" xfId="5" applyFont="1" applyBorder="1" applyAlignment="1">
      <alignment wrapText="1"/>
    </xf>
    <xf numFmtId="0" fontId="30" fillId="0" borderId="9" xfId="0" applyFont="1" applyBorder="1" applyAlignment="1">
      <alignment wrapText="1"/>
    </xf>
    <xf numFmtId="0" fontId="30" fillId="0" borderId="0" xfId="0" applyFont="1" applyAlignment="1">
      <alignment wrapText="1"/>
    </xf>
    <xf numFmtId="170" fontId="30" fillId="0" borderId="19" xfId="3" applyNumberFormat="1" applyFont="1" applyBorder="1"/>
    <xf numFmtId="170" fontId="30" fillId="0" borderId="21" xfId="3" applyNumberFormat="1" applyFont="1" applyBorder="1"/>
    <xf numFmtId="0" fontId="30" fillId="0" borderId="16" xfId="0" applyFont="1" applyBorder="1"/>
    <xf numFmtId="0" fontId="30" fillId="0" borderId="10" xfId="0" applyFont="1" applyBorder="1"/>
    <xf numFmtId="4" fontId="16" fillId="7" borderId="0" xfId="0" applyNumberFormat="1" applyFont="1" applyFill="1" applyBorder="1" applyAlignment="1">
      <alignment horizontal="center" wrapText="1" shrinkToFit="1"/>
    </xf>
    <xf numFmtId="9" fontId="13" fillId="5" borderId="0" xfId="0" applyNumberFormat="1" applyFont="1" applyFill="1" applyBorder="1" applyAlignment="1">
      <alignment horizontal="center"/>
    </xf>
    <xf numFmtId="9" fontId="13" fillId="4" borderId="0" xfId="0" applyNumberFormat="1" applyFont="1" applyFill="1" applyBorder="1" applyAlignment="1">
      <alignment horizontal="center"/>
    </xf>
    <xf numFmtId="9" fontId="13" fillId="3" borderId="0" xfId="0" applyNumberFormat="1" applyFont="1" applyFill="1" applyBorder="1" applyAlignment="1">
      <alignment horizontal="center"/>
    </xf>
    <xf numFmtId="9" fontId="13" fillId="9" borderId="0" xfId="0" applyNumberFormat="1" applyFont="1" applyFill="1" applyBorder="1" applyAlignment="1">
      <alignment horizontal="center"/>
    </xf>
    <xf numFmtId="9" fontId="13" fillId="9" borderId="18" xfId="0" applyNumberFormat="1" applyFont="1" applyFill="1" applyBorder="1" applyAlignment="1">
      <alignment horizontal="center"/>
    </xf>
    <xf numFmtId="166" fontId="14" fillId="0" borderId="0" xfId="0" applyNumberFormat="1" applyFont="1" applyBorder="1"/>
    <xf numFmtId="9" fontId="14" fillId="0" borderId="0" xfId="0" applyNumberFormat="1" applyFont="1"/>
    <xf numFmtId="9" fontId="7" fillId="0" borderId="0" xfId="0" applyNumberFormat="1" applyFont="1"/>
    <xf numFmtId="9" fontId="30" fillId="0" borderId="5" xfId="5" applyFont="1" applyBorder="1"/>
    <xf numFmtId="9" fontId="30" fillId="0" borderId="5" xfId="5" applyFont="1" applyBorder="1" applyAlignment="1">
      <alignment horizontal="left"/>
    </xf>
    <xf numFmtId="0" fontId="28" fillId="0" borderId="5" xfId="0" applyFont="1" applyBorder="1"/>
    <xf numFmtId="9" fontId="28" fillId="0" borderId="5" xfId="5" applyFont="1" applyBorder="1"/>
    <xf numFmtId="9" fontId="28" fillId="0" borderId="35" xfId="0" applyNumberFormat="1" applyFont="1" applyBorder="1"/>
    <xf numFmtId="0" fontId="29" fillId="0" borderId="22" xfId="0" applyFont="1" applyBorder="1"/>
    <xf numFmtId="0" fontId="29" fillId="0" borderId="23" xfId="0" applyFont="1" applyBorder="1"/>
    <xf numFmtId="0" fontId="28" fillId="0" borderId="23" xfId="0" applyFont="1" applyBorder="1"/>
    <xf numFmtId="0" fontId="28" fillId="0" borderId="24" xfId="0" applyFont="1" applyBorder="1"/>
    <xf numFmtId="0" fontId="28" fillId="0" borderId="18" xfId="0" applyFont="1" applyBorder="1"/>
    <xf numFmtId="0" fontId="28" fillId="0" borderId="20" xfId="0" applyFont="1" applyBorder="1"/>
    <xf numFmtId="0" fontId="14" fillId="0" borderId="18" xfId="0" applyFont="1" applyBorder="1" applyAlignment="1">
      <alignment horizontal="right" wrapText="1"/>
    </xf>
    <xf numFmtId="0" fontId="16" fillId="7" borderId="26" xfId="0" applyFont="1" applyFill="1" applyBorder="1" applyAlignment="1">
      <alignment horizontal="right" wrapText="1" shrinkToFit="1"/>
    </xf>
    <xf numFmtId="0" fontId="15" fillId="7" borderId="30" xfId="0" applyFont="1" applyFill="1" applyBorder="1" applyAlignment="1">
      <alignment horizontal="left" wrapText="1"/>
    </xf>
    <xf numFmtId="0" fontId="15" fillId="7" borderId="31" xfId="0" applyFont="1" applyFill="1" applyBorder="1" applyAlignment="1">
      <alignment horizontal="right" wrapText="1"/>
    </xf>
    <xf numFmtId="0" fontId="16" fillId="6" borderId="19" xfId="0" applyFont="1" applyFill="1" applyBorder="1" applyAlignment="1">
      <alignment wrapText="1"/>
    </xf>
    <xf numFmtId="0" fontId="16" fillId="7" borderId="18" xfId="0" applyFont="1" applyFill="1" applyBorder="1" applyAlignment="1">
      <alignment horizontal="left"/>
    </xf>
    <xf numFmtId="6" fontId="16" fillId="7" borderId="0" xfId="0" applyNumberFormat="1" applyFont="1" applyFill="1" applyBorder="1"/>
    <xf numFmtId="6" fontId="16" fillId="7" borderId="19" xfId="0" applyNumberFormat="1" applyFont="1" applyFill="1" applyBorder="1"/>
    <xf numFmtId="3" fontId="19" fillId="7" borderId="0" xfId="0" applyNumberFormat="1" applyFont="1" applyFill="1" applyBorder="1" applyAlignment="1">
      <alignment horizontal="left"/>
    </xf>
    <xf numFmtId="3" fontId="16" fillId="6" borderId="0" xfId="0" applyNumberFormat="1" applyFont="1" applyFill="1" applyBorder="1"/>
    <xf numFmtId="6" fontId="16" fillId="7" borderId="21" xfId="0" applyNumberFormat="1" applyFont="1" applyFill="1" applyBorder="1"/>
    <xf numFmtId="0" fontId="15" fillId="7" borderId="10" xfId="0" applyFont="1" applyFill="1" applyBorder="1" applyAlignment="1">
      <alignment horizontal="right"/>
    </xf>
    <xf numFmtId="0" fontId="16" fillId="7" borderId="37" xfId="0" applyFont="1" applyFill="1" applyBorder="1" applyAlignment="1">
      <alignment horizontal="left"/>
    </xf>
    <xf numFmtId="6" fontId="14" fillId="7" borderId="38" xfId="0" applyNumberFormat="1" applyFont="1" applyFill="1" applyBorder="1"/>
    <xf numFmtId="6" fontId="14" fillId="7" borderId="17" xfId="0" applyNumberFormat="1" applyFont="1" applyFill="1" applyBorder="1"/>
    <xf numFmtId="0" fontId="16" fillId="7" borderId="18" xfId="0" applyFont="1" applyFill="1" applyBorder="1" applyAlignment="1">
      <alignment horizontal="right"/>
    </xf>
    <xf numFmtId="0" fontId="14" fillId="0" borderId="3" xfId="0" applyFont="1" applyBorder="1"/>
    <xf numFmtId="0" fontId="14" fillId="0" borderId="8" xfId="0" applyFont="1" applyBorder="1"/>
    <xf numFmtId="0" fontId="7" fillId="0" borderId="3" xfId="0" applyFont="1" applyBorder="1"/>
    <xf numFmtId="168" fontId="14" fillId="0" borderId="0" xfId="2" applyNumberFormat="1" applyFont="1" applyBorder="1"/>
    <xf numFmtId="1" fontId="14" fillId="0" borderId="0" xfId="0" applyNumberFormat="1" applyFont="1" applyBorder="1"/>
    <xf numFmtId="0" fontId="16" fillId="7" borderId="1" xfId="0" applyFont="1" applyFill="1" applyBorder="1" applyAlignment="1">
      <alignment horizontal="left"/>
    </xf>
    <xf numFmtId="0" fontId="15" fillId="7" borderId="20" xfId="0" applyFont="1" applyFill="1" applyBorder="1" applyAlignment="1">
      <alignment horizontal="right"/>
    </xf>
    <xf numFmtId="6" fontId="14" fillId="7" borderId="23" xfId="0" applyNumberFormat="1" applyFont="1" applyFill="1" applyBorder="1"/>
    <xf numFmtId="6" fontId="14" fillId="7" borderId="39" xfId="0" applyNumberFormat="1" applyFont="1" applyFill="1" applyBorder="1"/>
    <xf numFmtId="6" fontId="14" fillId="7" borderId="37" xfId="0" applyNumberFormat="1" applyFont="1" applyFill="1" applyBorder="1"/>
    <xf numFmtId="9" fontId="13" fillId="3" borderId="18" xfId="0" applyNumberFormat="1" applyFont="1" applyFill="1" applyBorder="1" applyAlignment="1">
      <alignment horizontal="center"/>
    </xf>
    <xf numFmtId="0" fontId="13" fillId="3" borderId="20" xfId="0" applyFont="1" applyFill="1" applyBorder="1" applyAlignment="1">
      <alignment horizontal="center" wrapText="1"/>
    </xf>
    <xf numFmtId="0" fontId="16" fillId="7" borderId="0" xfId="0" applyFont="1" applyFill="1" applyBorder="1" applyAlignment="1">
      <alignment horizontal="left" wrapText="1" shrinkToFit="1"/>
    </xf>
    <xf numFmtId="0" fontId="14" fillId="7" borderId="6" xfId="0" applyFont="1" applyFill="1" applyBorder="1"/>
    <xf numFmtId="0" fontId="14" fillId="7" borderId="10" xfId="0" applyFont="1" applyFill="1" applyBorder="1"/>
    <xf numFmtId="0" fontId="16" fillId="7" borderId="26" xfId="0" applyFont="1" applyFill="1" applyBorder="1" applyAlignment="1">
      <alignment horizontal="left"/>
    </xf>
    <xf numFmtId="0" fontId="15" fillId="7" borderId="26" xfId="0" applyFont="1" applyFill="1" applyBorder="1" applyAlignment="1">
      <alignment horizontal="left" wrapText="1" shrinkToFit="1"/>
    </xf>
    <xf numFmtId="0" fontId="16" fillId="7" borderId="22" xfId="0" applyFont="1" applyFill="1" applyBorder="1" applyAlignment="1">
      <alignment horizontal="left" wrapText="1"/>
    </xf>
    <xf numFmtId="0" fontId="16" fillId="7" borderId="23" xfId="0" applyFont="1" applyFill="1" applyBorder="1" applyAlignment="1">
      <alignment horizontal="left" wrapText="1" shrinkToFit="1"/>
    </xf>
    <xf numFmtId="6" fontId="14" fillId="7" borderId="40" xfId="0" applyNumberFormat="1" applyFont="1" applyFill="1" applyBorder="1"/>
    <xf numFmtId="6" fontId="14" fillId="6" borderId="23" xfId="0" applyNumberFormat="1" applyFont="1" applyFill="1" applyBorder="1"/>
    <xf numFmtId="8" fontId="14" fillId="7" borderId="9" xfId="0" applyNumberFormat="1" applyFont="1" applyFill="1" applyBorder="1"/>
    <xf numFmtId="0" fontId="14" fillId="7" borderId="4" xfId="0" applyFont="1" applyFill="1" applyBorder="1"/>
    <xf numFmtId="0" fontId="15" fillId="9" borderId="12" xfId="0" applyFont="1" applyFill="1" applyBorder="1" applyAlignment="1">
      <alignment horizontal="right" wrapText="1"/>
    </xf>
    <xf numFmtId="0" fontId="7" fillId="7" borderId="37" xfId="0" applyFont="1" applyFill="1" applyBorder="1"/>
    <xf numFmtId="165" fontId="16" fillId="7" borderId="10" xfId="0" applyNumberFormat="1" applyFont="1" applyFill="1" applyBorder="1" applyAlignment="1">
      <alignment horizontal="right"/>
    </xf>
    <xf numFmtId="0" fontId="16" fillId="7" borderId="10" xfId="0" applyFont="1" applyFill="1" applyBorder="1"/>
    <xf numFmtId="0" fontId="16" fillId="7" borderId="17" xfId="0" applyFont="1" applyFill="1" applyBorder="1"/>
    <xf numFmtId="0" fontId="16" fillId="7" borderId="19" xfId="0" applyFont="1" applyFill="1" applyBorder="1"/>
    <xf numFmtId="0" fontId="14" fillId="0" borderId="16" xfId="0" applyFont="1" applyBorder="1" applyAlignment="1">
      <alignment horizontal="left"/>
    </xf>
    <xf numFmtId="0" fontId="14" fillId="0" borderId="38" xfId="0" applyFont="1" applyBorder="1" applyAlignment="1">
      <alignment horizontal="right"/>
    </xf>
    <xf numFmtId="0" fontId="14" fillId="0" borderId="26" xfId="0" applyFont="1" applyBorder="1" applyAlignment="1">
      <alignment horizontal="left"/>
    </xf>
    <xf numFmtId="0" fontId="14" fillId="0" borderId="18" xfId="0" applyFont="1" applyBorder="1" applyAlignment="1">
      <alignment horizontal="center"/>
    </xf>
    <xf numFmtId="0" fontId="28" fillId="0" borderId="19" xfId="0" applyFont="1" applyBorder="1"/>
    <xf numFmtId="0" fontId="26" fillId="0" borderId="18" xfId="4" applyFont="1" applyBorder="1" applyAlignment="1" applyProtection="1"/>
    <xf numFmtId="0" fontId="28" fillId="0" borderId="21" xfId="0" applyFont="1" applyBorder="1"/>
    <xf numFmtId="0" fontId="29" fillId="0" borderId="32" xfId="0" applyFont="1" applyBorder="1"/>
    <xf numFmtId="0" fontId="29" fillId="0" borderId="26" xfId="0" applyFont="1" applyBorder="1"/>
    <xf numFmtId="10" fontId="15" fillId="10" borderId="2" xfId="0" applyNumberFormat="1" applyFont="1" applyFill="1" applyBorder="1" applyAlignment="1">
      <alignment horizontal="right" wrapText="1"/>
    </xf>
    <xf numFmtId="3" fontId="16" fillId="10" borderId="0" xfId="0" applyNumberFormat="1" applyFont="1" applyFill="1" applyBorder="1" applyAlignment="1">
      <alignment horizontal="right"/>
    </xf>
    <xf numFmtId="3" fontId="16" fillId="10" borderId="0" xfId="0" applyNumberFormat="1" applyFont="1" applyFill="1" applyBorder="1"/>
    <xf numFmtId="3" fontId="19" fillId="10" borderId="0" xfId="0" applyNumberFormat="1" applyFont="1" applyFill="1" applyBorder="1" applyAlignment="1">
      <alignment horizontal="left"/>
    </xf>
    <xf numFmtId="3" fontId="16" fillId="11" borderId="0" xfId="0" applyNumberFormat="1" applyFont="1" applyFill="1" applyBorder="1" applyAlignment="1">
      <alignment horizontal="right"/>
    </xf>
    <xf numFmtId="3" fontId="16" fillId="8" borderId="18" xfId="0" applyNumberFormat="1" applyFont="1" applyFill="1" applyBorder="1" applyAlignment="1">
      <alignment horizontal="right" wrapText="1"/>
    </xf>
    <xf numFmtId="3" fontId="16" fillId="8" borderId="0" xfId="0" applyNumberFormat="1" applyFont="1" applyFill="1" applyBorder="1" applyAlignment="1">
      <alignment horizontal="right" wrapText="1"/>
    </xf>
    <xf numFmtId="4" fontId="16" fillId="8" borderId="0" xfId="0" applyNumberFormat="1" applyFont="1" applyFill="1" applyBorder="1" applyAlignment="1">
      <alignment horizontal="right" wrapText="1"/>
    </xf>
    <xf numFmtId="10" fontId="16" fillId="8" borderId="0" xfId="0" applyNumberFormat="1" applyFont="1" applyFill="1" applyBorder="1" applyAlignment="1">
      <alignment horizontal="right" wrapText="1"/>
    </xf>
    <xf numFmtId="3" fontId="16" fillId="8" borderId="19" xfId="0" applyNumberFormat="1" applyFont="1" applyFill="1" applyBorder="1" applyAlignment="1">
      <alignment horizontal="right" wrapText="1"/>
    </xf>
    <xf numFmtId="167" fontId="16" fillId="8" borderId="0" xfId="0" applyNumberFormat="1" applyFont="1" applyFill="1" applyBorder="1" applyAlignment="1">
      <alignment horizontal="right" wrapText="1"/>
    </xf>
    <xf numFmtId="3" fontId="16" fillId="8" borderId="18" xfId="0" applyNumberFormat="1" applyFont="1" applyFill="1" applyBorder="1" applyAlignment="1">
      <alignment horizontal="right"/>
    </xf>
    <xf numFmtId="3" fontId="16" fillId="8" borderId="0" xfId="0" applyNumberFormat="1" applyFont="1" applyFill="1" applyBorder="1" applyAlignment="1">
      <alignment horizontal="right"/>
    </xf>
    <xf numFmtId="3" fontId="16" fillId="8" borderId="0" xfId="1" applyNumberFormat="1" applyFont="1" applyFill="1" applyBorder="1" applyAlignment="1" applyProtection="1">
      <alignment horizontal="right"/>
      <protection locked="0"/>
    </xf>
    <xf numFmtId="4" fontId="16" fillId="11" borderId="0" xfId="0" applyNumberFormat="1" applyFont="1" applyFill="1" applyBorder="1" applyAlignment="1">
      <alignment horizontal="right"/>
    </xf>
    <xf numFmtId="3" fontId="16" fillId="11" borderId="0" xfId="0" applyNumberFormat="1" applyFont="1" applyFill="1" applyAlignment="1">
      <alignment horizontal="right"/>
    </xf>
    <xf numFmtId="3" fontId="16" fillId="11" borderId="0" xfId="0" applyNumberFormat="1" applyFont="1" applyFill="1" applyBorder="1" applyAlignment="1">
      <alignment horizontal="right" wrapText="1"/>
    </xf>
    <xf numFmtId="38" fontId="16" fillId="8" borderId="0" xfId="0" applyNumberFormat="1" applyFont="1" applyFill="1" applyBorder="1" applyAlignment="1">
      <alignment horizontal="right" wrapText="1"/>
    </xf>
    <xf numFmtId="6" fontId="16" fillId="8" borderId="0" xfId="0" applyNumberFormat="1" applyFont="1" applyFill="1" applyBorder="1"/>
    <xf numFmtId="6" fontId="16" fillId="8" borderId="9" xfId="0" applyNumberFormat="1" applyFont="1" applyFill="1" applyBorder="1"/>
    <xf numFmtId="38" fontId="16" fillId="11" borderId="0" xfId="0" applyNumberFormat="1" applyFont="1" applyFill="1" applyBorder="1" applyAlignment="1">
      <alignment horizontal="right" wrapText="1"/>
    </xf>
    <xf numFmtId="0" fontId="30" fillId="0" borderId="9" xfId="0" applyFont="1" applyBorder="1"/>
    <xf numFmtId="0" fontId="28" fillId="0" borderId="18" xfId="0" applyFont="1" applyBorder="1" applyAlignment="1">
      <alignment horizontal="left"/>
    </xf>
    <xf numFmtId="166" fontId="28" fillId="7" borderId="18" xfId="0" applyNumberFormat="1" applyFont="1" applyFill="1" applyBorder="1" applyAlignment="1">
      <alignment horizontal="left"/>
    </xf>
    <xf numFmtId="9" fontId="28" fillId="0" borderId="5" xfId="0" applyNumberFormat="1" applyFont="1" applyBorder="1"/>
    <xf numFmtId="170" fontId="28" fillId="0" borderId="5" xfId="3" applyNumberFormat="1" applyFont="1" applyBorder="1" applyAlignment="1">
      <alignment horizontal="right"/>
    </xf>
    <xf numFmtId="9" fontId="6" fillId="3" borderId="23" xfId="0" applyNumberFormat="1" applyFont="1" applyFill="1" applyBorder="1" applyAlignment="1">
      <alignment horizontal="right" wrapText="1"/>
    </xf>
    <xf numFmtId="0" fontId="30" fillId="0" borderId="21" xfId="0" applyFont="1" applyBorder="1"/>
    <xf numFmtId="170" fontId="30" fillId="0" borderId="0" xfId="3" applyNumberFormat="1" applyFont="1"/>
    <xf numFmtId="4" fontId="16" fillId="7" borderId="0" xfId="0" applyNumberFormat="1" applyFont="1" applyFill="1" applyBorder="1" applyAlignment="1">
      <alignment horizontal="center" wrapText="1" shrinkToFit="1"/>
    </xf>
    <xf numFmtId="0" fontId="5" fillId="0" borderId="0" xfId="0" applyFont="1" applyAlignment="1">
      <alignment horizontal="left"/>
    </xf>
    <xf numFmtId="171" fontId="5" fillId="0" borderId="0" xfId="0" applyNumberFormat="1" applyFont="1" applyAlignment="1">
      <alignment horizontal="right"/>
    </xf>
    <xf numFmtId="1" fontId="5" fillId="0" borderId="0" xfId="0" applyNumberFormat="1" applyFont="1" applyAlignment="1">
      <alignment horizontal="left"/>
    </xf>
    <xf numFmtId="1" fontId="5" fillId="0" borderId="0" xfId="0" applyNumberFormat="1" applyFont="1" applyAlignment="1"/>
    <xf numFmtId="1" fontId="13" fillId="0" borderId="41" xfId="0" applyNumberFormat="1" applyFont="1" applyBorder="1" applyAlignment="1">
      <alignment horizontal="left"/>
    </xf>
    <xf numFmtId="6" fontId="5" fillId="0" borderId="7" xfId="0" applyNumberFormat="1" applyFont="1" applyBorder="1" applyAlignment="1"/>
    <xf numFmtId="6" fontId="5" fillId="0" borderId="29" xfId="0" applyNumberFormat="1" applyFont="1" applyBorder="1" applyAlignment="1"/>
    <xf numFmtId="6" fontId="5" fillId="0" borderId="3" xfId="3" applyNumberFormat="1" applyFont="1" applyBorder="1" applyAlignment="1">
      <alignment horizontal="left" indent="1"/>
    </xf>
    <xf numFmtId="6" fontId="5" fillId="0" borderId="0" xfId="3" applyNumberFormat="1" applyFont="1" applyBorder="1" applyAlignment="1"/>
    <xf numFmtId="6" fontId="5" fillId="0" borderId="8" xfId="3" applyNumberFormat="1" applyFont="1" applyBorder="1" applyAlignment="1"/>
    <xf numFmtId="1" fontId="13" fillId="0" borderId="42" xfId="0" applyNumberFormat="1" applyFont="1" applyBorder="1" applyAlignment="1">
      <alignment horizontal="left"/>
    </xf>
    <xf numFmtId="6" fontId="5" fillId="0" borderId="2" xfId="0" applyNumberFormat="1" applyFont="1" applyBorder="1" applyAlignment="1"/>
    <xf numFmtId="6" fontId="5" fillId="0" borderId="0" xfId="0" applyNumberFormat="1" applyFont="1" applyAlignment="1"/>
    <xf numFmtId="0" fontId="13" fillId="0" borderId="41" xfId="0" applyFont="1" applyBorder="1" applyAlignment="1">
      <alignment horizontal="left"/>
    </xf>
    <xf numFmtId="6" fontId="5" fillId="0" borderId="0" xfId="0" applyNumberFormat="1" applyFont="1" applyBorder="1" applyAlignment="1"/>
    <xf numFmtId="6" fontId="5" fillId="0" borderId="8" xfId="0" applyNumberFormat="1" applyFont="1" applyBorder="1" applyAlignment="1"/>
    <xf numFmtId="170" fontId="5" fillId="0" borderId="3" xfId="3" applyNumberFormat="1" applyFont="1" applyBorder="1" applyAlignment="1">
      <alignment horizontal="left" indent="1"/>
    </xf>
    <xf numFmtId="0" fontId="5" fillId="0" borderId="3" xfId="0" applyFont="1" applyBorder="1" applyAlignment="1">
      <alignment horizontal="left" indent="1"/>
    </xf>
    <xf numFmtId="0" fontId="13" fillId="0" borderId="42" xfId="0" applyFont="1" applyBorder="1" applyAlignment="1">
      <alignment horizontal="left"/>
    </xf>
    <xf numFmtId="6" fontId="5" fillId="0" borderId="2" xfId="0" applyNumberFormat="1" applyFont="1" applyBorder="1" applyAlignment="1">
      <alignment horizontal="right"/>
    </xf>
    <xf numFmtId="6" fontId="5" fillId="0" borderId="43" xfId="0" applyNumberFormat="1" applyFont="1" applyBorder="1" applyAlignment="1">
      <alignment horizontal="right"/>
    </xf>
    <xf numFmtId="6" fontId="5" fillId="0" borderId="0" xfId="0" applyNumberFormat="1" applyFont="1" applyAlignment="1">
      <alignment horizontal="right"/>
    </xf>
    <xf numFmtId="6" fontId="5" fillId="0" borderId="7" xfId="0" applyNumberFormat="1" applyFont="1" applyBorder="1" applyAlignment="1">
      <alignment horizontal="right"/>
    </xf>
    <xf numFmtId="6" fontId="5" fillId="0" borderId="29" xfId="0" applyNumberFormat="1" applyFont="1" applyBorder="1" applyAlignment="1">
      <alignment horizontal="right"/>
    </xf>
    <xf numFmtId="0" fontId="5" fillId="0" borderId="4" xfId="0" applyFont="1" applyBorder="1" applyAlignment="1">
      <alignment horizontal="left" indent="1"/>
    </xf>
    <xf numFmtId="6" fontId="5" fillId="0" borderId="1" xfId="0" applyNumberFormat="1" applyFont="1" applyBorder="1" applyAlignment="1"/>
    <xf numFmtId="6" fontId="5" fillId="0" borderId="11" xfId="0" applyNumberFormat="1" applyFont="1" applyBorder="1" applyAlignment="1"/>
    <xf numFmtId="6" fontId="13" fillId="0" borderId="2" xfId="0" applyNumberFormat="1" applyFont="1" applyBorder="1" applyAlignment="1"/>
    <xf numFmtId="6" fontId="13" fillId="0" borderId="43" xfId="0" applyNumberFormat="1" applyFont="1" applyBorder="1" applyAlignment="1"/>
    <xf numFmtId="6" fontId="13" fillId="0" borderId="42" xfId="3" applyNumberFormat="1" applyFont="1" applyBorder="1" applyAlignment="1">
      <alignment horizontal="left"/>
    </xf>
    <xf numFmtId="6" fontId="13" fillId="0" borderId="2" xfId="3" applyNumberFormat="1" applyFont="1" applyBorder="1" applyAlignment="1"/>
    <xf numFmtId="6" fontId="13" fillId="0" borderId="43" xfId="3" applyNumberFormat="1" applyFont="1" applyBorder="1" applyAlignment="1"/>
    <xf numFmtId="6" fontId="0" fillId="0" borderId="0" xfId="0" applyNumberFormat="1"/>
    <xf numFmtId="0" fontId="30" fillId="0" borderId="22" xfId="0" applyFont="1" applyBorder="1" applyAlignment="1">
      <alignment wrapText="1"/>
    </xf>
    <xf numFmtId="0" fontId="30" fillId="0" borderId="23" xfId="0" applyFont="1" applyBorder="1" applyAlignment="1">
      <alignment wrapText="1"/>
    </xf>
    <xf numFmtId="170" fontId="30" fillId="0" borderId="0" xfId="3" applyNumberFormat="1" applyFont="1" applyAlignment="1">
      <alignment wrapText="1"/>
    </xf>
    <xf numFmtId="1" fontId="14" fillId="0" borderId="25" xfId="0" applyNumberFormat="1" applyFont="1" applyBorder="1" applyAlignment="1">
      <alignment horizontal="right"/>
    </xf>
    <xf numFmtId="165" fontId="16" fillId="11" borderId="0" xfId="0" applyNumberFormat="1" applyFont="1" applyFill="1" applyBorder="1"/>
    <xf numFmtId="38" fontId="14" fillId="0" borderId="19" xfId="0" applyNumberFormat="1" applyFont="1" applyBorder="1" applyAlignment="1">
      <alignment horizontal="right"/>
    </xf>
    <xf numFmtId="3" fontId="14" fillId="0" borderId="23" xfId="0" applyNumberFormat="1" applyFont="1" applyBorder="1" applyAlignment="1">
      <alignment horizontal="right"/>
    </xf>
    <xf numFmtId="0" fontId="14" fillId="0" borderId="24" xfId="0" applyFont="1" applyBorder="1" applyAlignment="1">
      <alignment horizontal="right"/>
    </xf>
    <xf numFmtId="6" fontId="31" fillId="0" borderId="0" xfId="3" applyNumberFormat="1" applyFont="1" applyBorder="1" applyAlignment="1"/>
    <xf numFmtId="6" fontId="31" fillId="0" borderId="0" xfId="0" applyNumberFormat="1" applyFont="1" applyBorder="1" applyAlignment="1"/>
    <xf numFmtId="6" fontId="31" fillId="0" borderId="8" xfId="0" applyNumberFormat="1" applyFont="1" applyBorder="1" applyAlignment="1"/>
    <xf numFmtId="6" fontId="31" fillId="0" borderId="3" xfId="3" applyNumberFormat="1" applyFont="1" applyBorder="1" applyAlignment="1">
      <alignment horizontal="left" indent="3"/>
    </xf>
    <xf numFmtId="6" fontId="31" fillId="0" borderId="3" xfId="3" applyNumberFormat="1" applyFont="1" applyBorder="1" applyAlignment="1">
      <alignment horizontal="left" indent="4"/>
    </xf>
    <xf numFmtId="6" fontId="31" fillId="0" borderId="0" xfId="3" applyNumberFormat="1" applyFont="1" applyBorder="1" applyAlignment="1">
      <alignment horizontal="left"/>
    </xf>
    <xf numFmtId="6" fontId="31" fillId="0" borderId="0" xfId="3" applyNumberFormat="1" applyFont="1" applyBorder="1" applyAlignment="1">
      <alignment horizontal="right"/>
    </xf>
    <xf numFmtId="6" fontId="31" fillId="0" borderId="0" xfId="0" applyNumberFormat="1" applyFont="1" applyBorder="1" applyAlignment="1">
      <alignment horizontal="right"/>
    </xf>
    <xf numFmtId="6" fontId="31" fillId="0" borderId="8" xfId="0" applyNumberFormat="1" applyFont="1" applyBorder="1" applyAlignment="1">
      <alignment horizontal="right"/>
    </xf>
    <xf numFmtId="0" fontId="32" fillId="0" borderId="0" xfId="0" applyFont="1"/>
    <xf numFmtId="6" fontId="32" fillId="0" borderId="0" xfId="0" applyNumberFormat="1" applyFont="1"/>
    <xf numFmtId="0" fontId="31" fillId="0" borderId="3" xfId="0" applyFont="1" applyBorder="1" applyAlignment="1">
      <alignment horizontal="left" indent="4"/>
    </xf>
    <xf numFmtId="6" fontId="13" fillId="0" borderId="1" xfId="0" applyNumberFormat="1" applyFont="1" applyBorder="1" applyAlignment="1"/>
    <xf numFmtId="0" fontId="13" fillId="0" borderId="4" xfId="0" applyFont="1" applyBorder="1" applyAlignment="1">
      <alignment horizontal="left"/>
    </xf>
    <xf numFmtId="0" fontId="5" fillId="7" borderId="3" xfId="0" applyFont="1" applyFill="1" applyBorder="1" applyAlignment="1">
      <alignment horizontal="left" indent="1"/>
    </xf>
    <xf numFmtId="6" fontId="5" fillId="7" borderId="0" xfId="0" applyNumberFormat="1" applyFont="1" applyFill="1" applyBorder="1" applyAlignment="1"/>
    <xf numFmtId="6" fontId="5" fillId="7" borderId="8" xfId="0" applyNumberFormat="1" applyFont="1" applyFill="1" applyBorder="1" applyAlignment="1"/>
    <xf numFmtId="0" fontId="0" fillId="7" borderId="0" xfId="0" applyFill="1"/>
    <xf numFmtId="0" fontId="4" fillId="0" borderId="0" xfId="0" applyFont="1"/>
    <xf numFmtId="1" fontId="0" fillId="0" borderId="0" xfId="0" applyNumberFormat="1"/>
    <xf numFmtId="168" fontId="4" fillId="0" borderId="0" xfId="2" applyNumberFormat="1" applyFont="1"/>
    <xf numFmtId="168" fontId="0" fillId="0" borderId="0" xfId="2" applyNumberFormat="1" applyFont="1"/>
    <xf numFmtId="0" fontId="13" fillId="0" borderId="41" xfId="0" applyFont="1" applyBorder="1"/>
    <xf numFmtId="0" fontId="0" fillId="0" borderId="7" xfId="0" applyBorder="1"/>
    <xf numFmtId="0" fontId="0" fillId="0" borderId="29" xfId="0" applyBorder="1"/>
    <xf numFmtId="168" fontId="4" fillId="0" borderId="3" xfId="2" applyNumberFormat="1" applyFont="1" applyBorder="1" applyAlignment="1">
      <alignment horizontal="left" indent="1"/>
    </xf>
    <xf numFmtId="168" fontId="4" fillId="0" borderId="0" xfId="2" applyNumberFormat="1" applyFont="1" applyBorder="1"/>
    <xf numFmtId="168" fontId="4" fillId="0" borderId="8" xfId="2" applyNumberFormat="1" applyFont="1" applyBorder="1"/>
    <xf numFmtId="168" fontId="0" fillId="0" borderId="0" xfId="2" applyNumberFormat="1" applyFont="1" applyBorder="1"/>
    <xf numFmtId="0" fontId="4" fillId="0" borderId="4" xfId="0" applyFont="1" applyBorder="1" applyAlignment="1">
      <alignment horizontal="left" indent="1"/>
    </xf>
    <xf numFmtId="171" fontId="5" fillId="0" borderId="1" xfId="0" applyNumberFormat="1" applyFont="1" applyBorder="1" applyAlignment="1">
      <alignment horizontal="right"/>
    </xf>
    <xf numFmtId="38" fontId="5" fillId="0" borderId="1" xfId="0" applyNumberFormat="1" applyFont="1" applyBorder="1" applyAlignment="1">
      <alignment horizontal="right"/>
    </xf>
    <xf numFmtId="38" fontId="5" fillId="0" borderId="11" xfId="0" applyNumberFormat="1" applyFont="1" applyBorder="1" applyAlignment="1">
      <alignment horizontal="right"/>
    </xf>
    <xf numFmtId="172" fontId="5" fillId="0" borderId="0" xfId="0" applyNumberFormat="1" applyFont="1" applyAlignment="1">
      <alignment horizontal="right"/>
    </xf>
    <xf numFmtId="172" fontId="5" fillId="0" borderId="0" xfId="0" applyNumberFormat="1" applyFont="1" applyAlignment="1"/>
    <xf numFmtId="0" fontId="14" fillId="4" borderId="24" xfId="0" applyFont="1" applyFill="1" applyBorder="1" applyAlignment="1">
      <alignment horizontal="right" wrapText="1"/>
    </xf>
    <xf numFmtId="3" fontId="14" fillId="0" borderId="9" xfId="0" applyNumberFormat="1" applyFont="1" applyBorder="1" applyAlignment="1">
      <alignment horizontal="right"/>
    </xf>
    <xf numFmtId="0" fontId="14" fillId="7" borderId="0" xfId="0" applyFont="1" applyFill="1" applyBorder="1" applyAlignment="1">
      <alignment horizontal="right" wrapText="1"/>
    </xf>
    <xf numFmtId="9" fontId="14" fillId="7" borderId="10" xfId="0" applyNumberFormat="1" applyFont="1" applyFill="1" applyBorder="1" applyAlignment="1">
      <alignment horizontal="right" wrapText="1"/>
    </xf>
    <xf numFmtId="0" fontId="14" fillId="7" borderId="10" xfId="0" applyFont="1" applyFill="1" applyBorder="1" applyAlignment="1">
      <alignment horizontal="right" wrapText="1"/>
    </xf>
    <xf numFmtId="9" fontId="14" fillId="7" borderId="0" xfId="0" applyNumberFormat="1" applyFont="1" applyFill="1" applyBorder="1" applyAlignment="1">
      <alignment horizontal="right" wrapText="1"/>
    </xf>
    <xf numFmtId="1" fontId="28" fillId="0" borderId="5" xfId="0" applyNumberFormat="1" applyFont="1" applyBorder="1"/>
    <xf numFmtId="3" fontId="15" fillId="7" borderId="7" xfId="0" applyNumberFormat="1" applyFont="1" applyFill="1" applyBorder="1" applyAlignment="1">
      <alignment horizontal="right" wrapText="1"/>
    </xf>
    <xf numFmtId="4" fontId="15" fillId="7" borderId="7" xfId="0" applyNumberFormat="1" applyFont="1" applyFill="1" applyBorder="1" applyAlignment="1">
      <alignment horizontal="right" wrapText="1"/>
    </xf>
    <xf numFmtId="3" fontId="16" fillId="6" borderId="7" xfId="0" applyNumberFormat="1" applyFont="1" applyFill="1" applyBorder="1" applyAlignment="1">
      <alignment horizontal="right"/>
    </xf>
    <xf numFmtId="0" fontId="4" fillId="13" borderId="0" xfId="6" applyFill="1"/>
    <xf numFmtId="0" fontId="4" fillId="13" borderId="0" xfId="6" applyFill="1" applyBorder="1"/>
    <xf numFmtId="0" fontId="28" fillId="13" borderId="0" xfId="6" applyFont="1" applyFill="1" applyBorder="1" applyAlignment="1">
      <alignment wrapText="1"/>
    </xf>
    <xf numFmtId="0" fontId="36" fillId="13" borderId="0" xfId="6" applyFont="1" applyFill="1" applyAlignment="1">
      <alignment vertical="top" wrapText="1"/>
    </xf>
    <xf numFmtId="0" fontId="33" fillId="13" borderId="0" xfId="6" applyFont="1" applyFill="1" applyBorder="1"/>
    <xf numFmtId="6" fontId="13" fillId="7" borderId="2" xfId="3" applyNumberFormat="1" applyFont="1" applyFill="1" applyBorder="1" applyAlignment="1"/>
    <xf numFmtId="170" fontId="13" fillId="0" borderId="0" xfId="3" applyNumberFormat="1" applyFont="1" applyAlignment="1">
      <alignment horizontal="left"/>
    </xf>
    <xf numFmtId="170" fontId="13" fillId="0" borderId="0" xfId="3" applyNumberFormat="1" applyFont="1" applyAlignment="1"/>
    <xf numFmtId="170" fontId="38" fillId="0" borderId="0" xfId="3" applyNumberFormat="1" applyFont="1"/>
    <xf numFmtId="0" fontId="36" fillId="13" borderId="0" xfId="6" applyFont="1" applyFill="1" applyAlignment="1">
      <alignment horizontal="left" vertical="top" wrapText="1"/>
    </xf>
    <xf numFmtId="3" fontId="15" fillId="7" borderId="0" xfId="0" applyNumberFormat="1" applyFont="1" applyFill="1" applyBorder="1" applyAlignment="1">
      <alignment horizontal="center"/>
    </xf>
    <xf numFmtId="3" fontId="16" fillId="7" borderId="9" xfId="0" applyNumberFormat="1" applyFont="1" applyFill="1" applyBorder="1" applyAlignment="1">
      <alignment horizontal="center" wrapText="1"/>
    </xf>
    <xf numFmtId="0" fontId="34" fillId="13" borderId="45" xfId="6" applyFont="1" applyFill="1" applyBorder="1" applyAlignment="1">
      <alignment vertical="center"/>
    </xf>
    <xf numFmtId="0" fontId="34" fillId="13" borderId="0" xfId="6" applyFont="1" applyFill="1" applyBorder="1" applyAlignment="1">
      <alignment vertical="center"/>
    </xf>
    <xf numFmtId="9" fontId="34" fillId="13" borderId="0" xfId="5" applyFont="1" applyFill="1" applyBorder="1" applyAlignment="1">
      <alignment vertical="center"/>
    </xf>
    <xf numFmtId="0" fontId="34" fillId="13" borderId="0" xfId="6" applyFont="1" applyFill="1" applyAlignment="1">
      <alignment vertical="center"/>
    </xf>
    <xf numFmtId="0" fontId="34" fillId="13" borderId="0" xfId="6" applyFont="1" applyFill="1" applyAlignment="1">
      <alignment horizontal="left" vertical="center"/>
    </xf>
    <xf numFmtId="170" fontId="30" fillId="0" borderId="16" xfId="3" applyNumberFormat="1" applyFont="1" applyBorder="1"/>
    <xf numFmtId="170" fontId="30" fillId="0" borderId="10" xfId="3" applyNumberFormat="1" applyFont="1" applyBorder="1"/>
    <xf numFmtId="170" fontId="30" fillId="0" borderId="17" xfId="3" applyNumberFormat="1" applyFont="1" applyBorder="1"/>
    <xf numFmtId="170" fontId="30" fillId="0" borderId="18" xfId="3" applyNumberFormat="1" applyFont="1" applyBorder="1"/>
    <xf numFmtId="170" fontId="30" fillId="0" borderId="18" xfId="3" applyNumberFormat="1" applyFont="1" applyBorder="1" applyAlignment="1">
      <alignment wrapText="1"/>
    </xf>
    <xf numFmtId="170" fontId="30" fillId="0" borderId="0" xfId="3" applyNumberFormat="1" applyFont="1" applyBorder="1" applyAlignment="1">
      <alignment wrapText="1"/>
    </xf>
    <xf numFmtId="170" fontId="30" fillId="0" borderId="19" xfId="3" applyNumberFormat="1" applyFont="1" applyBorder="1" applyAlignment="1">
      <alignment wrapText="1"/>
    </xf>
    <xf numFmtId="170" fontId="30" fillId="0" borderId="20" xfId="3" applyNumberFormat="1" applyFont="1" applyBorder="1"/>
    <xf numFmtId="0" fontId="30" fillId="0" borderId="5" xfId="0" applyFont="1" applyBorder="1" applyAlignment="1">
      <alignment wrapText="1"/>
    </xf>
    <xf numFmtId="1" fontId="30" fillId="0" borderId="0" xfId="3" applyNumberFormat="1" applyFont="1"/>
    <xf numFmtId="6" fontId="13" fillId="0" borderId="0" xfId="0" applyNumberFormat="1" applyFont="1" applyBorder="1" applyAlignment="1"/>
    <xf numFmtId="8" fontId="13" fillId="0" borderId="0" xfId="0" applyNumberFormat="1" applyFont="1" applyBorder="1" applyAlignment="1"/>
    <xf numFmtId="0" fontId="4" fillId="0" borderId="0" xfId="0" applyFont="1" applyAlignment="1">
      <alignment horizontal="left"/>
    </xf>
    <xf numFmtId="168" fontId="14" fillId="0" borderId="0" xfId="2" applyNumberFormat="1" applyFont="1" applyBorder="1" applyAlignment="1">
      <alignment horizontal="right"/>
    </xf>
    <xf numFmtId="168" fontId="14" fillId="0" borderId="9" xfId="2" applyNumberFormat="1" applyFont="1" applyBorder="1" applyAlignment="1">
      <alignment horizontal="right"/>
    </xf>
    <xf numFmtId="10" fontId="14" fillId="0" borderId="0" xfId="0" applyNumberFormat="1" applyFont="1"/>
    <xf numFmtId="10" fontId="16" fillId="11" borderId="0" xfId="5" applyNumberFormat="1" applyFont="1" applyFill="1" applyBorder="1"/>
    <xf numFmtId="0" fontId="38" fillId="0" borderId="0" xfId="0" applyFont="1"/>
    <xf numFmtId="0" fontId="38" fillId="0" borderId="0" xfId="0" applyFont="1" applyAlignment="1">
      <alignment horizontal="right"/>
    </xf>
    <xf numFmtId="173" fontId="0" fillId="0" borderId="0" xfId="2" applyNumberFormat="1" applyFont="1"/>
    <xf numFmtId="168" fontId="0" fillId="0" borderId="0" xfId="0" applyNumberFormat="1" applyAlignment="1">
      <alignment horizontal="left" indent="2"/>
    </xf>
    <xf numFmtId="168" fontId="0" fillId="0" borderId="0" xfId="0" applyNumberFormat="1"/>
    <xf numFmtId="170" fontId="0" fillId="0" borderId="0" xfId="3" applyNumberFormat="1" applyFont="1"/>
    <xf numFmtId="174" fontId="0" fillId="0" borderId="0" xfId="3" applyNumberFormat="1" applyFont="1"/>
    <xf numFmtId="44" fontId="0" fillId="0" borderId="0" xfId="3" applyNumberFormat="1" applyFont="1"/>
    <xf numFmtId="9" fontId="0" fillId="0" borderId="0" xfId="5" applyFont="1"/>
    <xf numFmtId="0" fontId="40" fillId="0" borderId="0" xfId="0" applyFont="1"/>
    <xf numFmtId="170" fontId="0" fillId="0" borderId="0" xfId="0" applyNumberFormat="1"/>
    <xf numFmtId="170" fontId="41" fillId="0" borderId="0" xfId="3" applyNumberFormat="1" applyFont="1"/>
    <xf numFmtId="170" fontId="10" fillId="0" borderId="0" xfId="3" applyNumberFormat="1" applyFont="1"/>
    <xf numFmtId="0" fontId="42" fillId="0" borderId="0" xfId="0" applyFont="1"/>
    <xf numFmtId="0" fontId="43" fillId="0" borderId="0" xfId="0" applyFont="1"/>
    <xf numFmtId="174" fontId="0" fillId="0" borderId="55" xfId="3" applyNumberFormat="1" applyFont="1" applyBorder="1"/>
    <xf numFmtId="44" fontId="0" fillId="0" borderId="56" xfId="3" applyNumberFormat="1" applyFont="1" applyBorder="1"/>
    <xf numFmtId="170" fontId="0" fillId="0" borderId="57" xfId="3" applyNumberFormat="1" applyFont="1" applyBorder="1"/>
    <xf numFmtId="167" fontId="0" fillId="0" borderId="0" xfId="5" applyNumberFormat="1" applyFont="1"/>
    <xf numFmtId="43" fontId="40" fillId="0" borderId="0" xfId="0" applyNumberFormat="1" applyFont="1"/>
    <xf numFmtId="0" fontId="0" fillId="0" borderId="0" xfId="5" applyNumberFormat="1" applyFont="1"/>
    <xf numFmtId="4" fontId="16" fillId="7" borderId="0" xfId="0" applyNumberFormat="1" applyFont="1" applyFill="1" applyBorder="1" applyAlignment="1">
      <alignment horizontal="center" wrapText="1" shrinkToFit="1"/>
    </xf>
    <xf numFmtId="9" fontId="3" fillId="9" borderId="23" xfId="0" applyNumberFormat="1" applyFont="1" applyFill="1" applyBorder="1" applyAlignment="1">
      <alignment horizontal="right" wrapText="1"/>
    </xf>
    <xf numFmtId="3" fontId="16" fillId="7" borderId="0" xfId="0" applyNumberFormat="1" applyFont="1" applyFill="1" applyBorder="1" applyAlignment="1">
      <alignment horizontal="center" wrapText="1" shrinkToFit="1"/>
    </xf>
    <xf numFmtId="169" fontId="15" fillId="7" borderId="0" xfId="2" applyNumberFormat="1" applyFont="1" applyFill="1" applyBorder="1" applyAlignment="1" applyProtection="1">
      <alignment horizontal="center" wrapText="1" shrinkToFit="1"/>
    </xf>
    <xf numFmtId="9" fontId="3" fillId="5" borderId="23" xfId="0" applyNumberFormat="1" applyFont="1" applyFill="1" applyBorder="1" applyAlignment="1">
      <alignment horizontal="right" wrapText="1"/>
    </xf>
    <xf numFmtId="3" fontId="14" fillId="7" borderId="0" xfId="0" applyNumberFormat="1" applyFont="1" applyFill="1" applyBorder="1" applyAlignment="1">
      <alignment horizontal="right"/>
    </xf>
    <xf numFmtId="3" fontId="14" fillId="7" borderId="0" xfId="0" applyNumberFormat="1" applyFont="1" applyFill="1" applyBorder="1" applyAlignment="1">
      <alignment horizontal="right" wrapText="1"/>
    </xf>
    <xf numFmtId="3" fontId="3" fillId="7" borderId="0" xfId="0" applyNumberFormat="1" applyFont="1" applyFill="1" applyBorder="1" applyAlignment="1">
      <alignment horizontal="right" wrapText="1"/>
    </xf>
    <xf numFmtId="0" fontId="44" fillId="13" borderId="0" xfId="6" applyFont="1" applyFill="1" applyBorder="1" applyAlignment="1">
      <alignment vertical="center"/>
    </xf>
    <xf numFmtId="0" fontId="44" fillId="13" borderId="0" xfId="6" applyFont="1" applyFill="1" applyBorder="1" applyAlignment="1">
      <alignment vertical="center" wrapText="1"/>
    </xf>
    <xf numFmtId="167" fontId="16" fillId="8" borderId="9" xfId="0" applyNumberFormat="1" applyFont="1" applyFill="1" applyBorder="1" applyAlignment="1">
      <alignment horizontal="right" wrapText="1"/>
    </xf>
    <xf numFmtId="167" fontId="16" fillId="8" borderId="0" xfId="0" applyNumberFormat="1" applyFont="1" applyFill="1" applyBorder="1" applyAlignment="1">
      <alignment horizontal="right"/>
    </xf>
    <xf numFmtId="3" fontId="16" fillId="8" borderId="9" xfId="0" applyNumberFormat="1" applyFont="1" applyFill="1" applyBorder="1" applyAlignment="1">
      <alignment horizontal="right"/>
    </xf>
    <xf numFmtId="167" fontId="16" fillId="8" borderId="9" xfId="0" applyNumberFormat="1" applyFont="1" applyFill="1" applyBorder="1" applyAlignment="1">
      <alignment horizontal="right"/>
    </xf>
    <xf numFmtId="10" fontId="16" fillId="8" borderId="0" xfId="5" applyNumberFormat="1" applyFont="1" applyFill="1" applyBorder="1" applyAlignment="1">
      <alignment horizontal="right"/>
    </xf>
    <xf numFmtId="4" fontId="16" fillId="8" borderId="0" xfId="0" applyNumberFormat="1" applyFont="1" applyFill="1" applyBorder="1" applyAlignment="1">
      <alignment horizontal="right"/>
    </xf>
    <xf numFmtId="3" fontId="16" fillId="8" borderId="0" xfId="0" applyNumberFormat="1" applyFont="1" applyFill="1" applyAlignment="1">
      <alignment horizontal="right"/>
    </xf>
    <xf numFmtId="3" fontId="16" fillId="8" borderId="0" xfId="0" applyNumberFormat="1" applyFont="1" applyFill="1" applyBorder="1" applyAlignment="1">
      <alignment horizontal="left"/>
    </xf>
    <xf numFmtId="164" fontId="16" fillId="8" borderId="0" xfId="0" applyNumberFormat="1" applyFont="1" applyFill="1" applyBorder="1"/>
    <xf numFmtId="165" fontId="16" fillId="6" borderId="19" xfId="0" applyNumberFormat="1" applyFont="1" applyFill="1" applyBorder="1"/>
    <xf numFmtId="164" fontId="16" fillId="6" borderId="0" xfId="0" applyNumberFormat="1" applyFont="1" applyFill="1" applyBorder="1"/>
    <xf numFmtId="165" fontId="16" fillId="8" borderId="19" xfId="0" applyNumberFormat="1" applyFont="1" applyFill="1" applyBorder="1"/>
    <xf numFmtId="178" fontId="16" fillId="6" borderId="19" xfId="0" applyNumberFormat="1" applyFont="1" applyFill="1" applyBorder="1" applyAlignment="1">
      <alignment horizontal="right"/>
    </xf>
    <xf numFmtId="9" fontId="14" fillId="9" borderId="16" xfId="0" applyNumberFormat="1" applyFont="1" applyFill="1" applyBorder="1" applyAlignment="1">
      <alignment horizontal="right" wrapText="1"/>
    </xf>
    <xf numFmtId="168" fontId="14" fillId="7" borderId="0" xfId="2" applyNumberFormat="1" applyFont="1" applyFill="1" applyBorder="1" applyAlignment="1">
      <alignment horizontal="right" wrapText="1"/>
    </xf>
    <xf numFmtId="9" fontId="3" fillId="3" borderId="23" xfId="0" applyNumberFormat="1" applyFont="1" applyFill="1" applyBorder="1" applyAlignment="1">
      <alignment horizontal="right" wrapText="1"/>
    </xf>
    <xf numFmtId="4" fontId="16" fillId="6" borderId="0" xfId="0" applyNumberFormat="1" applyFont="1" applyFill="1" applyBorder="1" applyAlignment="1">
      <alignment horizontal="right"/>
    </xf>
    <xf numFmtId="1" fontId="3" fillId="7" borderId="0" xfId="0" applyNumberFormat="1" applyFont="1" applyFill="1" applyBorder="1" applyAlignment="1">
      <alignment horizontal="right" wrapText="1"/>
    </xf>
    <xf numFmtId="1" fontId="14" fillId="0" borderId="0" xfId="0" applyNumberFormat="1" applyFont="1" applyBorder="1" applyAlignment="1">
      <alignment horizontal="center"/>
    </xf>
    <xf numFmtId="0" fontId="22" fillId="0" borderId="0" xfId="4" applyAlignment="1" applyProtection="1"/>
    <xf numFmtId="0" fontId="16" fillId="8" borderId="0" xfId="0" applyFont="1" applyFill="1" applyBorder="1" applyAlignment="1">
      <alignment wrapText="1"/>
    </xf>
    <xf numFmtId="164" fontId="16" fillId="8" borderId="0" xfId="0" applyNumberFormat="1" applyFont="1" applyFill="1" applyBorder="1" applyAlignment="1">
      <alignment wrapText="1"/>
    </xf>
    <xf numFmtId="0" fontId="14" fillId="0" borderId="20" xfId="0" applyFont="1" applyBorder="1" applyAlignment="1">
      <alignment horizontal="left"/>
    </xf>
    <xf numFmtId="1" fontId="14" fillId="7" borderId="25" xfId="0" applyNumberFormat="1" applyFont="1" applyFill="1" applyBorder="1" applyAlignment="1">
      <alignment horizontal="right"/>
    </xf>
    <xf numFmtId="1" fontId="14" fillId="0" borderId="35" xfId="0" applyNumberFormat="1" applyFont="1" applyBorder="1" applyAlignment="1">
      <alignment horizontal="right"/>
    </xf>
    <xf numFmtId="0" fontId="14" fillId="0" borderId="5" xfId="0" applyFont="1" applyBorder="1" applyAlignment="1">
      <alignment horizontal="right"/>
    </xf>
    <xf numFmtId="168" fontId="14" fillId="0" borderId="7" xfId="2" applyNumberFormat="1" applyFont="1" applyBorder="1" applyAlignment="1">
      <alignment horizontal="right"/>
    </xf>
    <xf numFmtId="168" fontId="14" fillId="0" borderId="1" xfId="2" applyNumberFormat="1" applyFont="1" applyBorder="1" applyAlignment="1">
      <alignment horizontal="right"/>
    </xf>
    <xf numFmtId="168" fontId="13" fillId="0" borderId="0" xfId="2" applyNumberFormat="1" applyFont="1" applyBorder="1" applyAlignment="1"/>
    <xf numFmtId="168" fontId="16" fillId="7" borderId="0" xfId="2" applyNumberFormat="1" applyFont="1" applyFill="1" applyBorder="1" applyAlignment="1">
      <alignment horizontal="center" wrapText="1" shrinkToFit="1"/>
    </xf>
    <xf numFmtId="168" fontId="14" fillId="0" borderId="0" xfId="2" applyNumberFormat="1" applyFont="1" applyBorder="1" applyAlignment="1">
      <alignment horizontal="center"/>
    </xf>
    <xf numFmtId="168" fontId="6" fillId="3" borderId="10" xfId="2" applyNumberFormat="1" applyFont="1" applyFill="1" applyBorder="1" applyAlignment="1">
      <alignment horizontal="right" wrapText="1"/>
    </xf>
    <xf numFmtId="168" fontId="6" fillId="7" borderId="0" xfId="2" applyNumberFormat="1" applyFont="1" applyFill="1" applyBorder="1" applyAlignment="1">
      <alignment horizontal="right" wrapText="1"/>
    </xf>
    <xf numFmtId="168" fontId="14" fillId="0" borderId="23" xfId="2" applyNumberFormat="1" applyFont="1" applyBorder="1" applyAlignment="1">
      <alignment horizontal="right"/>
    </xf>
    <xf numFmtId="168" fontId="3" fillId="3" borderId="23" xfId="2" applyNumberFormat="1" applyFont="1" applyFill="1" applyBorder="1" applyAlignment="1">
      <alignment horizontal="right" wrapText="1"/>
    </xf>
    <xf numFmtId="168" fontId="3" fillId="7" borderId="0" xfId="2" applyNumberFormat="1" applyFont="1" applyFill="1" applyBorder="1" applyAlignment="1">
      <alignment horizontal="right" wrapText="1"/>
    </xf>
    <xf numFmtId="0" fontId="36" fillId="13" borderId="44" xfId="6" applyFont="1" applyFill="1" applyBorder="1" applyAlignment="1">
      <alignment vertical="top" wrapText="1"/>
    </xf>
    <xf numFmtId="0" fontId="36" fillId="13" borderId="44" xfId="6" applyFont="1" applyFill="1" applyBorder="1" applyAlignment="1">
      <alignment wrapText="1"/>
    </xf>
    <xf numFmtId="0" fontId="0" fillId="0" borderId="50" xfId="0" applyNumberFormat="1" applyBorder="1" applyAlignment="1">
      <alignment horizontal="right"/>
    </xf>
    <xf numFmtId="4" fontId="16" fillId="7" borderId="0" xfId="0" applyNumberFormat="1" applyFont="1" applyFill="1" applyBorder="1" applyAlignment="1">
      <alignment horizontal="center" wrapText="1" shrinkToFit="1"/>
    </xf>
    <xf numFmtId="0" fontId="3" fillId="0" borderId="0" xfId="0" applyFont="1"/>
    <xf numFmtId="0" fontId="13" fillId="13" borderId="0" xfId="6" applyFont="1" applyFill="1"/>
    <xf numFmtId="0" fontId="34" fillId="13" borderId="0" xfId="6" applyFont="1" applyFill="1" applyAlignment="1"/>
    <xf numFmtId="44" fontId="16" fillId="7" borderId="0" xfId="3" applyFont="1" applyFill="1" applyBorder="1" applyAlignment="1">
      <alignment horizontal="center" wrapText="1" shrinkToFit="1"/>
    </xf>
    <xf numFmtId="164" fontId="16" fillId="7" borderId="0" xfId="0" applyNumberFormat="1" applyFont="1" applyFill="1" applyBorder="1" applyAlignment="1">
      <alignment horizontal="center" wrapText="1" shrinkToFit="1"/>
    </xf>
    <xf numFmtId="9" fontId="3" fillId="9" borderId="9" xfId="0" applyNumberFormat="1" applyFont="1" applyFill="1" applyBorder="1" applyAlignment="1">
      <alignment horizontal="right"/>
    </xf>
    <xf numFmtId="0" fontId="13" fillId="0" borderId="0" xfId="0" applyFont="1" applyBorder="1" applyAlignment="1">
      <alignment horizontal="center"/>
    </xf>
    <xf numFmtId="0" fontId="3" fillId="0" borderId="0" xfId="0" applyFont="1" applyBorder="1" applyAlignment="1">
      <alignment horizontal="right"/>
    </xf>
    <xf numFmtId="9" fontId="3" fillId="5" borderId="20" xfId="0" applyNumberFormat="1" applyFont="1" applyFill="1" applyBorder="1" applyAlignment="1">
      <alignment horizontal="right"/>
    </xf>
    <xf numFmtId="9" fontId="3" fillId="5" borderId="9" xfId="0" applyNumberFormat="1" applyFont="1" applyFill="1" applyBorder="1" applyAlignment="1">
      <alignment horizontal="right"/>
    </xf>
    <xf numFmtId="9" fontId="3" fillId="5" borderId="21" xfId="0" applyNumberFormat="1" applyFont="1" applyFill="1" applyBorder="1" applyAlignment="1">
      <alignment horizontal="right"/>
    </xf>
    <xf numFmtId="3" fontId="14" fillId="7" borderId="10" xfId="0" applyNumberFormat="1" applyFont="1" applyFill="1" applyBorder="1" applyAlignment="1">
      <alignment horizontal="right" wrapText="1"/>
    </xf>
    <xf numFmtId="0" fontId="4" fillId="13" borderId="0" xfId="6" applyFill="1" applyAlignment="1">
      <alignment vertical="center"/>
    </xf>
    <xf numFmtId="0" fontId="36" fillId="13" borderId="0" xfId="6" applyFont="1" applyFill="1" applyAlignment="1">
      <alignment vertical="center" wrapText="1"/>
    </xf>
    <xf numFmtId="0" fontId="0" fillId="0" borderId="49" xfId="0" applyNumberFormat="1" applyBorder="1" applyAlignment="1"/>
    <xf numFmtId="0" fontId="0" fillId="0" borderId="50" xfId="0" applyNumberFormat="1" applyBorder="1" applyAlignment="1"/>
    <xf numFmtId="0" fontId="37" fillId="13" borderId="0" xfId="3" applyNumberFormat="1" applyFont="1" applyFill="1" applyBorder="1" applyAlignment="1"/>
    <xf numFmtId="0" fontId="4" fillId="13" borderId="0" xfId="6" applyFill="1" applyAlignment="1">
      <alignment horizontal="right"/>
    </xf>
    <xf numFmtId="168" fontId="14" fillId="7" borderId="10" xfId="0" applyNumberFormat="1" applyFont="1" applyFill="1" applyBorder="1" applyAlignment="1">
      <alignment horizontal="right" wrapText="1"/>
    </xf>
    <xf numFmtId="1" fontId="14" fillId="7" borderId="10" xfId="0" applyNumberFormat="1" applyFont="1" applyFill="1" applyBorder="1" applyAlignment="1">
      <alignment horizontal="right" wrapText="1"/>
    </xf>
    <xf numFmtId="1" fontId="14" fillId="7" borderId="0" xfId="0" applyNumberFormat="1" applyFont="1" applyFill="1" applyBorder="1" applyAlignment="1">
      <alignment horizontal="right" wrapText="1"/>
    </xf>
    <xf numFmtId="9" fontId="3" fillId="4" borderId="23" xfId="0" applyNumberFormat="1" applyFont="1" applyFill="1" applyBorder="1" applyAlignment="1">
      <alignment horizontal="right" wrapText="1"/>
    </xf>
    <xf numFmtId="0" fontId="35" fillId="13" borderId="0" xfId="6" applyFont="1" applyFill="1" applyBorder="1" applyAlignment="1">
      <alignment horizontal="right" vertical="top"/>
    </xf>
    <xf numFmtId="0" fontId="35" fillId="13" borderId="0" xfId="6" applyFont="1" applyFill="1" applyAlignment="1">
      <alignment vertical="top"/>
    </xf>
    <xf numFmtId="179" fontId="35" fillId="13" borderId="0" xfId="5" applyNumberFormat="1" applyFont="1" applyFill="1" applyAlignment="1">
      <alignment vertical="top"/>
    </xf>
    <xf numFmtId="0" fontId="35" fillId="13" borderId="0" xfId="6" applyFont="1" applyFill="1" applyBorder="1" applyAlignment="1">
      <alignment vertical="center" wrapText="1"/>
    </xf>
    <xf numFmtId="0" fontId="35" fillId="13" borderId="0" xfId="6" applyFont="1" applyFill="1" applyBorder="1" applyAlignment="1">
      <alignment wrapText="1"/>
    </xf>
    <xf numFmtId="0" fontId="4" fillId="13" borderId="0" xfId="6" applyFill="1" applyBorder="1" applyAlignment="1">
      <alignment horizontal="right"/>
    </xf>
    <xf numFmtId="0" fontId="33" fillId="13" borderId="0" xfId="6" applyFont="1" applyFill="1" applyBorder="1" applyAlignment="1">
      <alignment horizontal="right"/>
    </xf>
    <xf numFmtId="0" fontId="39" fillId="13" borderId="0" xfId="6" applyFont="1" applyFill="1" applyAlignment="1">
      <alignment wrapText="1"/>
    </xf>
    <xf numFmtId="183" fontId="0" fillId="0" borderId="0" xfId="3" applyNumberFormat="1" applyFont="1"/>
    <xf numFmtId="43" fontId="0" fillId="0" borderId="0" xfId="0" applyNumberFormat="1"/>
    <xf numFmtId="9" fontId="2" fillId="5" borderId="23" xfId="0" applyNumberFormat="1" applyFont="1" applyFill="1" applyBorder="1" applyAlignment="1">
      <alignment horizontal="right" wrapText="1"/>
    </xf>
    <xf numFmtId="168" fontId="14" fillId="0" borderId="29" xfId="0" applyNumberFormat="1" applyFont="1" applyBorder="1" applyAlignment="1">
      <alignment horizontal="right"/>
    </xf>
    <xf numFmtId="170" fontId="14" fillId="0" borderId="0" xfId="3" applyNumberFormat="1" applyFont="1" applyBorder="1" applyAlignment="1">
      <alignment horizontal="right"/>
    </xf>
    <xf numFmtId="168" fontId="2" fillId="3" borderId="23" xfId="2" applyNumberFormat="1" applyFont="1" applyFill="1" applyBorder="1" applyAlignment="1">
      <alignment horizontal="right" wrapText="1"/>
    </xf>
    <xf numFmtId="168" fontId="40" fillId="0" borderId="0" xfId="0" applyNumberFormat="1" applyFont="1"/>
    <xf numFmtId="170" fontId="40" fillId="0" borderId="0" xfId="0" applyNumberFormat="1" applyFont="1"/>
    <xf numFmtId="10" fontId="0" fillId="0" borderId="0" xfId="5" applyNumberFormat="1" applyFont="1"/>
    <xf numFmtId="170" fontId="0" fillId="0" borderId="0" xfId="5" applyNumberFormat="1" applyFont="1"/>
    <xf numFmtId="0" fontId="35" fillId="13" borderId="0" xfId="6" applyFont="1" applyFill="1" applyBorder="1" applyAlignment="1">
      <alignment vertical="top" wrapText="1"/>
    </xf>
    <xf numFmtId="170" fontId="13" fillId="0" borderId="0" xfId="3" applyNumberFormat="1" applyFont="1" applyBorder="1" applyAlignment="1"/>
    <xf numFmtId="170" fontId="16" fillId="7" borderId="0" xfId="3" applyNumberFormat="1" applyFont="1" applyFill="1" applyBorder="1" applyAlignment="1">
      <alignment horizontal="center" wrapText="1" shrinkToFit="1"/>
    </xf>
    <xf numFmtId="170" fontId="14" fillId="0" borderId="0" xfId="3" applyNumberFormat="1" applyFont="1" applyBorder="1" applyAlignment="1">
      <alignment horizontal="center"/>
    </xf>
    <xf numFmtId="170" fontId="2" fillId="3" borderId="23" xfId="3" applyNumberFormat="1" applyFont="1" applyFill="1" applyBorder="1" applyAlignment="1">
      <alignment horizontal="right" wrapText="1"/>
    </xf>
    <xf numFmtId="170" fontId="3" fillId="7" borderId="0" xfId="3" applyNumberFormat="1" applyFont="1" applyFill="1" applyBorder="1" applyAlignment="1">
      <alignment horizontal="right" wrapText="1"/>
    </xf>
    <xf numFmtId="170" fontId="14" fillId="0" borderId="9" xfId="3" applyNumberFormat="1" applyFont="1" applyBorder="1" applyAlignment="1">
      <alignment horizontal="right"/>
    </xf>
    <xf numFmtId="0" fontId="0" fillId="0" borderId="1" xfId="0" applyBorder="1"/>
    <xf numFmtId="0" fontId="0" fillId="0" borderId="9" xfId="0" applyBorder="1"/>
    <xf numFmtId="170" fontId="0" fillId="0" borderId="0" xfId="3" applyNumberFormat="1" applyFont="1" applyBorder="1"/>
    <xf numFmtId="174" fontId="0" fillId="0" borderId="65" xfId="3" applyNumberFormat="1" applyFont="1" applyBorder="1"/>
    <xf numFmtId="174" fontId="0" fillId="0" borderId="66" xfId="3" applyNumberFormat="1" applyFont="1" applyBorder="1"/>
    <xf numFmtId="174" fontId="0" fillId="0" borderId="67" xfId="3" applyNumberFormat="1" applyFont="1" applyBorder="1"/>
    <xf numFmtId="44" fontId="0" fillId="0" borderId="68" xfId="3" applyNumberFormat="1" applyFont="1" applyBorder="1"/>
    <xf numFmtId="44" fontId="0" fillId="0" borderId="0" xfId="3" applyNumberFormat="1" applyFont="1" applyBorder="1"/>
    <xf numFmtId="44" fontId="0" fillId="0" borderId="69" xfId="3" applyNumberFormat="1" applyFont="1" applyBorder="1"/>
    <xf numFmtId="170" fontId="0" fillId="0" borderId="70" xfId="3" applyNumberFormat="1" applyFont="1" applyBorder="1"/>
    <xf numFmtId="170" fontId="0" fillId="0" borderId="71" xfId="3" applyNumberFormat="1" applyFont="1" applyBorder="1"/>
    <xf numFmtId="170" fontId="0" fillId="0" borderId="72" xfId="3" applyNumberFormat="1" applyFont="1" applyBorder="1"/>
    <xf numFmtId="0" fontId="40" fillId="0" borderId="0" xfId="0" applyFont="1" applyAlignment="1">
      <alignment horizontal="center"/>
    </xf>
    <xf numFmtId="0" fontId="40" fillId="0" borderId="0" xfId="0" applyFont="1" applyAlignment="1">
      <alignment horizontal="left"/>
    </xf>
    <xf numFmtId="0" fontId="0" fillId="13" borderId="0" xfId="0" applyFill="1"/>
    <xf numFmtId="0" fontId="50" fillId="13" borderId="0" xfId="0" applyFont="1" applyFill="1"/>
    <xf numFmtId="0" fontId="50" fillId="13" borderId="0" xfId="0" applyFont="1" applyFill="1" applyAlignment="1">
      <alignment wrapText="1"/>
    </xf>
    <xf numFmtId="0" fontId="50" fillId="13" borderId="0" xfId="0" applyFont="1" applyFill="1" applyAlignment="1">
      <alignment horizontal="center" wrapText="1"/>
    </xf>
    <xf numFmtId="0" fontId="0" fillId="13" borderId="0" xfId="0" applyFill="1" applyAlignment="1">
      <alignment wrapText="1"/>
    </xf>
    <xf numFmtId="0" fontId="0" fillId="0" borderId="0" xfId="0"/>
    <xf numFmtId="1" fontId="0" fillId="0" borderId="0" xfId="0" applyNumberFormat="1"/>
    <xf numFmtId="168" fontId="0" fillId="0" borderId="0" xfId="2" applyNumberFormat="1" applyFont="1"/>
    <xf numFmtId="0" fontId="38" fillId="0" borderId="0" xfId="0" applyFont="1" applyAlignment="1">
      <alignment horizontal="right"/>
    </xf>
    <xf numFmtId="168" fontId="0" fillId="0" borderId="0" xfId="0" applyNumberFormat="1" applyAlignment="1">
      <alignment horizontal="left" indent="2"/>
    </xf>
    <xf numFmtId="168" fontId="0" fillId="0" borderId="0" xfId="0" applyNumberFormat="1"/>
    <xf numFmtId="0" fontId="22" fillId="0" borderId="0" xfId="4" applyAlignment="1" applyProtection="1"/>
    <xf numFmtId="44" fontId="0" fillId="0" borderId="0" xfId="3" applyFont="1"/>
    <xf numFmtId="44" fontId="52" fillId="16" borderId="41" xfId="3" applyFont="1" applyFill="1" applyBorder="1"/>
    <xf numFmtId="0" fontId="52" fillId="16" borderId="41" xfId="0" applyFont="1" applyFill="1" applyBorder="1"/>
    <xf numFmtId="0" fontId="53" fillId="16" borderId="41" xfId="0" applyFont="1" applyFill="1" applyBorder="1" applyAlignment="1">
      <alignment horizontal="right"/>
    </xf>
    <xf numFmtId="1" fontId="52" fillId="16" borderId="41" xfId="0" applyNumberFormat="1" applyFont="1" applyFill="1" applyBorder="1"/>
    <xf numFmtId="44" fontId="52" fillId="16" borderId="29" xfId="3" applyFont="1" applyFill="1" applyBorder="1"/>
    <xf numFmtId="44" fontId="52" fillId="17" borderId="41" xfId="3" applyFont="1" applyFill="1" applyBorder="1"/>
    <xf numFmtId="0" fontId="52" fillId="17" borderId="41" xfId="0" applyFont="1" applyFill="1" applyBorder="1"/>
    <xf numFmtId="0" fontId="53" fillId="17" borderId="41" xfId="0" applyFont="1" applyFill="1" applyBorder="1" applyAlignment="1">
      <alignment horizontal="right"/>
    </xf>
    <xf numFmtId="1" fontId="52" fillId="17" borderId="41" xfId="0" applyNumberFormat="1" applyFont="1" applyFill="1" applyBorder="1"/>
    <xf numFmtId="44" fontId="52" fillId="17" borderId="29" xfId="3" applyFont="1" applyFill="1" applyBorder="1"/>
    <xf numFmtId="16" fontId="52" fillId="17" borderId="41" xfId="0" applyNumberFormat="1" applyFont="1" applyFill="1" applyBorder="1"/>
    <xf numFmtId="44" fontId="52" fillId="18" borderId="41" xfId="0" applyNumberFormat="1" applyFont="1" applyFill="1" applyBorder="1"/>
    <xf numFmtId="0" fontId="52" fillId="18" borderId="41" xfId="0" applyFont="1" applyFill="1" applyBorder="1"/>
    <xf numFmtId="0" fontId="53" fillId="18" borderId="41" xfId="0" applyFont="1" applyFill="1" applyBorder="1" applyAlignment="1">
      <alignment horizontal="right"/>
    </xf>
    <xf numFmtId="44" fontId="52" fillId="18" borderId="41" xfId="3" applyFont="1" applyFill="1" applyBorder="1"/>
    <xf numFmtId="10" fontId="52" fillId="18" borderId="41" xfId="0" applyNumberFormat="1" applyFont="1" applyFill="1" applyBorder="1"/>
    <xf numFmtId="0" fontId="52" fillId="18" borderId="41" xfId="0" applyFont="1" applyFill="1" applyBorder="1" applyAlignment="1">
      <alignment wrapText="1"/>
    </xf>
    <xf numFmtId="44" fontId="52" fillId="18" borderId="41" xfId="0" applyNumberFormat="1" applyFont="1" applyFill="1" applyBorder="1" applyAlignment="1">
      <alignment horizontal="right"/>
    </xf>
    <xf numFmtId="44" fontId="52" fillId="18" borderId="41" xfId="0" applyNumberFormat="1" applyFont="1" applyFill="1" applyBorder="1" applyAlignment="1">
      <alignment wrapText="1"/>
    </xf>
    <xf numFmtId="44" fontId="52" fillId="19" borderId="41" xfId="3" applyFont="1" applyFill="1" applyBorder="1"/>
    <xf numFmtId="0" fontId="52" fillId="19" borderId="41" xfId="0" applyFont="1" applyFill="1" applyBorder="1"/>
    <xf numFmtId="0" fontId="53" fillId="19" borderId="41" xfId="0" applyFont="1" applyFill="1" applyBorder="1" applyAlignment="1">
      <alignment horizontal="right"/>
    </xf>
    <xf numFmtId="168" fontId="52" fillId="19" borderId="41" xfId="0" applyNumberFormat="1" applyFont="1" applyFill="1" applyBorder="1"/>
    <xf numFmtId="1" fontId="52" fillId="18" borderId="41" xfId="0" applyNumberFormat="1" applyFont="1" applyFill="1" applyBorder="1"/>
    <xf numFmtId="44" fontId="52" fillId="18" borderId="29" xfId="3" applyFont="1" applyFill="1" applyBorder="1"/>
    <xf numFmtId="44" fontId="52" fillId="20" borderId="41" xfId="0" applyNumberFormat="1" applyFont="1" applyFill="1" applyBorder="1"/>
    <xf numFmtId="168" fontId="52" fillId="20" borderId="41" xfId="0" applyNumberFormat="1" applyFont="1" applyFill="1" applyBorder="1"/>
    <xf numFmtId="44" fontId="52" fillId="20" borderId="41" xfId="3" applyFont="1" applyFill="1" applyBorder="1"/>
    <xf numFmtId="168" fontId="53" fillId="20" borderId="41" xfId="2" applyNumberFormat="1" applyFont="1" applyFill="1" applyBorder="1" applyAlignment="1">
      <alignment horizontal="right"/>
    </xf>
    <xf numFmtId="168" fontId="52" fillId="20" borderId="41" xfId="2" applyNumberFormat="1" applyFont="1" applyFill="1" applyBorder="1"/>
    <xf numFmtId="0" fontId="52" fillId="20" borderId="0" xfId="0" applyFont="1" applyFill="1" applyBorder="1" applyAlignment="1">
      <alignment horizontal="center"/>
    </xf>
    <xf numFmtId="0" fontId="52" fillId="20" borderId="3" xfId="0" applyFont="1" applyFill="1" applyBorder="1" applyAlignment="1">
      <alignment horizontal="center"/>
    </xf>
    <xf numFmtId="0" fontId="52" fillId="20" borderId="41" xfId="0" applyFont="1" applyFill="1" applyBorder="1"/>
    <xf numFmtId="44" fontId="52" fillId="21" borderId="41" xfId="0" applyNumberFormat="1" applyFont="1" applyFill="1" applyBorder="1"/>
    <xf numFmtId="0" fontId="52" fillId="21" borderId="41" xfId="0" applyFont="1" applyFill="1" applyBorder="1"/>
    <xf numFmtId="168" fontId="53" fillId="21" borderId="41" xfId="2" applyNumberFormat="1" applyFont="1" applyFill="1" applyBorder="1" applyAlignment="1">
      <alignment horizontal="right"/>
    </xf>
    <xf numFmtId="168" fontId="52" fillId="21" borderId="41" xfId="2" applyNumberFormat="1" applyFont="1" applyFill="1" applyBorder="1"/>
    <xf numFmtId="44" fontId="52" fillId="21" borderId="41" xfId="3" applyFont="1" applyFill="1" applyBorder="1"/>
    <xf numFmtId="0" fontId="52" fillId="21" borderId="0" xfId="0" applyFont="1" applyFill="1" applyBorder="1" applyAlignment="1"/>
    <xf numFmtId="0" fontId="52" fillId="21" borderId="3" xfId="0" applyFont="1" applyFill="1" applyBorder="1" applyAlignment="1"/>
    <xf numFmtId="0" fontId="52" fillId="21" borderId="7" xfId="0" applyFont="1" applyFill="1" applyBorder="1" applyAlignment="1"/>
    <xf numFmtId="0" fontId="52" fillId="21" borderId="6" xfId="0" applyFont="1" applyFill="1" applyBorder="1" applyAlignment="1"/>
    <xf numFmtId="44" fontId="53" fillId="20" borderId="41" xfId="3" applyFont="1" applyFill="1" applyBorder="1" applyAlignment="1">
      <alignment horizontal="right"/>
    </xf>
    <xf numFmtId="44" fontId="52" fillId="21" borderId="1" xfId="3" applyFont="1" applyFill="1" applyBorder="1" applyAlignment="1"/>
    <xf numFmtId="44" fontId="52" fillId="21" borderId="4" xfId="3" applyFont="1" applyFill="1" applyBorder="1" applyAlignment="1"/>
    <xf numFmtId="44" fontId="53" fillId="21" borderId="41" xfId="3" applyFont="1" applyFill="1" applyBorder="1" applyAlignment="1">
      <alignment horizontal="right"/>
    </xf>
    <xf numFmtId="44" fontId="52" fillId="21" borderId="43" xfId="3" applyFont="1" applyFill="1" applyBorder="1"/>
    <xf numFmtId="44" fontId="52" fillId="21" borderId="2" xfId="3" applyFont="1" applyFill="1" applyBorder="1"/>
    <xf numFmtId="44" fontId="52" fillId="21" borderId="0" xfId="3" applyFont="1" applyFill="1" applyBorder="1" applyAlignment="1"/>
    <xf numFmtId="44" fontId="52" fillId="21" borderId="4" xfId="3" applyFont="1" applyFill="1" applyBorder="1" applyAlignment="1">
      <alignment horizontal="left" vertical="top" wrapText="1"/>
    </xf>
    <xf numFmtId="1" fontId="52" fillId="21" borderId="41" xfId="3" applyNumberFormat="1" applyFont="1" applyFill="1" applyBorder="1"/>
    <xf numFmtId="44" fontId="52" fillId="21" borderId="7" xfId="3" applyFont="1" applyFill="1" applyBorder="1" applyAlignment="1"/>
    <xf numFmtId="43" fontId="0" fillId="0" borderId="0" xfId="0" applyNumberFormat="1"/>
    <xf numFmtId="44" fontId="52" fillId="22" borderId="41" xfId="3" applyFont="1" applyFill="1" applyBorder="1"/>
    <xf numFmtId="0" fontId="52" fillId="22" borderId="41" xfId="0" applyFont="1" applyFill="1" applyBorder="1"/>
    <xf numFmtId="0" fontId="53" fillId="22" borderId="41" xfId="0" applyFont="1" applyFill="1" applyBorder="1" applyAlignment="1">
      <alignment horizontal="right"/>
    </xf>
    <xf numFmtId="44" fontId="52" fillId="22" borderId="29" xfId="3" applyFont="1" applyFill="1" applyBorder="1"/>
    <xf numFmtId="2" fontId="0" fillId="0" borderId="0" xfId="0" applyNumberFormat="1"/>
    <xf numFmtId="44" fontId="52" fillId="17" borderId="41" xfId="0" applyNumberFormat="1" applyFont="1" applyFill="1" applyBorder="1"/>
    <xf numFmtId="44" fontId="52" fillId="17" borderId="11" xfId="3" applyFont="1" applyFill="1" applyBorder="1" applyAlignment="1"/>
    <xf numFmtId="44" fontId="52" fillId="17" borderId="1" xfId="3" applyFont="1" applyFill="1" applyBorder="1" applyAlignment="1"/>
    <xf numFmtId="44" fontId="52" fillId="17" borderId="29" xfId="3" applyFont="1" applyFill="1" applyBorder="1" applyAlignment="1"/>
    <xf numFmtId="44" fontId="52" fillId="17" borderId="7" xfId="3" applyFont="1" applyFill="1" applyBorder="1" applyAlignment="1"/>
    <xf numFmtId="44" fontId="52" fillId="8" borderId="41" xfId="0" applyNumberFormat="1" applyFont="1" applyFill="1" applyBorder="1"/>
    <xf numFmtId="44" fontId="52" fillId="8" borderId="41" xfId="3" applyFont="1" applyFill="1" applyBorder="1" applyAlignment="1"/>
    <xf numFmtId="44" fontId="52" fillId="8" borderId="1" xfId="3" applyFont="1" applyFill="1" applyBorder="1" applyAlignment="1"/>
    <xf numFmtId="44" fontId="53" fillId="8" borderId="41" xfId="3" applyFont="1" applyFill="1" applyBorder="1" applyAlignment="1">
      <alignment horizontal="right"/>
    </xf>
    <xf numFmtId="44" fontId="52" fillId="8" borderId="7" xfId="3" applyFont="1" applyFill="1" applyBorder="1" applyAlignment="1"/>
    <xf numFmtId="1" fontId="52" fillId="8" borderId="41" xfId="0" applyNumberFormat="1" applyFont="1" applyFill="1" applyBorder="1"/>
    <xf numFmtId="44" fontId="52" fillId="8" borderId="41" xfId="3" applyFont="1" applyFill="1" applyBorder="1"/>
    <xf numFmtId="0" fontId="52" fillId="8" borderId="41" xfId="0" applyNumberFormat="1" applyFont="1" applyFill="1" applyBorder="1"/>
    <xf numFmtId="0" fontId="0" fillId="8" borderId="41" xfId="0" applyFill="1" applyBorder="1"/>
    <xf numFmtId="44" fontId="0" fillId="8" borderId="41" xfId="3" applyFont="1" applyFill="1" applyBorder="1"/>
    <xf numFmtId="0" fontId="52" fillId="8" borderId="41" xfId="0" applyFont="1" applyFill="1" applyBorder="1"/>
    <xf numFmtId="0" fontId="52" fillId="20" borderId="11" xfId="0" applyFont="1" applyFill="1" applyBorder="1" applyAlignment="1">
      <alignment horizontal="center"/>
    </xf>
    <xf numFmtId="0" fontId="52" fillId="20" borderId="4" xfId="0" applyFont="1" applyFill="1" applyBorder="1" applyAlignment="1">
      <alignment horizontal="center"/>
    </xf>
    <xf numFmtId="1" fontId="0" fillId="0" borderId="0" xfId="3" applyNumberFormat="1" applyFont="1"/>
    <xf numFmtId="0" fontId="53" fillId="20" borderId="41" xfId="0" applyFont="1" applyFill="1" applyBorder="1"/>
    <xf numFmtId="44" fontId="52" fillId="21" borderId="8" xfId="3" applyFont="1" applyFill="1" applyBorder="1" applyAlignment="1"/>
    <xf numFmtId="44" fontId="52" fillId="21" borderId="29" xfId="3" applyFont="1" applyFill="1" applyBorder="1" applyAlignment="1"/>
    <xf numFmtId="0" fontId="53" fillId="21" borderId="41" xfId="0" applyFont="1" applyFill="1" applyBorder="1"/>
    <xf numFmtId="0" fontId="38" fillId="0" borderId="0" xfId="0" applyFont="1" applyAlignment="1">
      <alignment horizontal="center"/>
    </xf>
    <xf numFmtId="1" fontId="38" fillId="0" borderId="0" xfId="0" applyNumberFormat="1" applyFont="1" applyAlignment="1">
      <alignment horizontal="center"/>
    </xf>
    <xf numFmtId="0" fontId="54" fillId="23" borderId="41" xfId="0" applyFont="1" applyFill="1" applyBorder="1" applyAlignment="1">
      <alignment horizontal="center" wrapText="1"/>
    </xf>
    <xf numFmtId="44" fontId="54" fillId="23" borderId="41" xfId="3" applyFont="1" applyFill="1" applyBorder="1" applyAlignment="1">
      <alignment horizontal="center" wrapText="1"/>
    </xf>
    <xf numFmtId="44" fontId="54" fillId="23" borderId="41" xfId="3" applyFont="1" applyFill="1" applyBorder="1" applyAlignment="1">
      <alignment horizontal="center"/>
    </xf>
    <xf numFmtId="0" fontId="54" fillId="23" borderId="41" xfId="0" applyFont="1" applyFill="1" applyBorder="1" applyAlignment="1">
      <alignment horizontal="center"/>
    </xf>
    <xf numFmtId="0" fontId="52" fillId="20" borderId="3" xfId="0" applyFont="1" applyFill="1" applyBorder="1" applyAlignment="1">
      <alignment horizontal="center"/>
    </xf>
    <xf numFmtId="0" fontId="52" fillId="20" borderId="0" xfId="0" applyFont="1" applyFill="1" applyBorder="1" applyAlignment="1">
      <alignment horizontal="center"/>
    </xf>
    <xf numFmtId="0" fontId="52" fillId="20" borderId="4" xfId="0" applyFont="1" applyFill="1" applyBorder="1" applyAlignment="1">
      <alignment horizontal="center"/>
    </xf>
    <xf numFmtId="0" fontId="52" fillId="20" borderId="11" xfId="0" applyFont="1" applyFill="1" applyBorder="1" applyAlignment="1">
      <alignment horizontal="center"/>
    </xf>
    <xf numFmtId="0" fontId="50" fillId="13" borderId="0" xfId="0" applyFont="1" applyFill="1" applyAlignment="1">
      <alignment vertical="center" wrapText="1"/>
    </xf>
    <xf numFmtId="0" fontId="59" fillId="0" borderId="0" xfId="0" applyFont="1"/>
    <xf numFmtId="0" fontId="0" fillId="13" borderId="0" xfId="0" applyFill="1" applyAlignment="1">
      <alignment horizontal="center"/>
    </xf>
    <xf numFmtId="44" fontId="60" fillId="13" borderId="0" xfId="3" applyNumberFormat="1" applyFont="1" applyFill="1"/>
    <xf numFmtId="0" fontId="61" fillId="13" borderId="0" xfId="0" applyFont="1" applyFill="1"/>
    <xf numFmtId="184" fontId="58" fillId="13" borderId="63" xfId="3" applyNumberFormat="1" applyFont="1" applyFill="1" applyBorder="1" applyAlignment="1"/>
    <xf numFmtId="184" fontId="58" fillId="13" borderId="0" xfId="3" applyNumberFormat="1" applyFont="1" applyFill="1" applyBorder="1" applyAlignment="1"/>
    <xf numFmtId="184" fontId="62" fillId="14" borderId="54" xfId="3" applyNumberFormat="1" applyFont="1" applyFill="1" applyBorder="1" applyAlignment="1"/>
    <xf numFmtId="44" fontId="60" fillId="14" borderId="54" xfId="3" applyNumberFormat="1" applyFont="1" applyFill="1" applyBorder="1" applyAlignment="1"/>
    <xf numFmtId="170" fontId="60" fillId="14" borderId="54" xfId="3" applyNumberFormat="1" applyFont="1" applyFill="1" applyBorder="1" applyAlignment="1"/>
    <xf numFmtId="170" fontId="63" fillId="14" borderId="54" xfId="3" applyNumberFormat="1" applyFont="1" applyFill="1" applyBorder="1" applyAlignment="1"/>
    <xf numFmtId="0" fontId="50" fillId="13" borderId="0" xfId="0" applyFont="1" applyFill="1" applyBorder="1" applyAlignment="1">
      <alignment horizontal="center" wrapText="1"/>
    </xf>
    <xf numFmtId="0" fontId="36" fillId="13" borderId="0" xfId="6" applyFont="1" applyFill="1" applyBorder="1" applyAlignment="1">
      <alignment vertical="center" wrapText="1"/>
    </xf>
    <xf numFmtId="0" fontId="4" fillId="13" borderId="0" xfId="6" applyFill="1" applyBorder="1" applyAlignment="1">
      <alignment vertical="center"/>
    </xf>
    <xf numFmtId="0" fontId="36" fillId="13" borderId="0" xfId="6" applyFont="1" applyFill="1" applyBorder="1" applyAlignment="1">
      <alignment horizontal="right" wrapText="1"/>
    </xf>
    <xf numFmtId="0" fontId="0" fillId="13" borderId="0" xfId="0" applyFill="1" applyBorder="1" applyAlignment="1"/>
    <xf numFmtId="170" fontId="0" fillId="13" borderId="0" xfId="3" applyNumberFormat="1" applyFont="1" applyFill="1" applyBorder="1" applyAlignment="1"/>
    <xf numFmtId="175" fontId="0" fillId="13" borderId="0" xfId="0" applyNumberFormat="1" applyFill="1" applyBorder="1" applyAlignment="1"/>
    <xf numFmtId="167" fontId="0" fillId="13" borderId="0" xfId="5" applyNumberFormat="1" applyFont="1" applyFill="1" applyBorder="1" applyAlignment="1"/>
    <xf numFmtId="170" fontId="37" fillId="14" borderId="54" xfId="3" applyNumberFormat="1" applyFont="1" applyFill="1" applyBorder="1" applyAlignment="1">
      <alignment horizontal="right"/>
    </xf>
    <xf numFmtId="0" fontId="37" fillId="14" borderId="76" xfId="3" applyNumberFormat="1" applyFont="1" applyFill="1" applyBorder="1" applyAlignment="1">
      <alignment horizontal="right"/>
    </xf>
    <xf numFmtId="175" fontId="37" fillId="14" borderId="54" xfId="3" applyNumberFormat="1" applyFont="1" applyFill="1" applyBorder="1" applyAlignment="1">
      <alignment horizontal="right"/>
    </xf>
    <xf numFmtId="167" fontId="37" fillId="14" borderId="54" xfId="5" applyNumberFormat="1" applyFont="1" applyFill="1" applyBorder="1" applyAlignment="1">
      <alignment horizontal="right"/>
    </xf>
    <xf numFmtId="167" fontId="37" fillId="15" borderId="54" xfId="5" applyNumberFormat="1" applyFont="1" applyFill="1" applyBorder="1" applyAlignment="1">
      <alignment horizontal="right"/>
    </xf>
    <xf numFmtId="185" fontId="0" fillId="0" borderId="0" xfId="3" applyNumberFormat="1" applyFont="1"/>
    <xf numFmtId="0" fontId="0" fillId="13" borderId="0" xfId="0" applyFill="1" applyBorder="1"/>
    <xf numFmtId="0" fontId="39" fillId="13" borderId="0" xfId="0" applyFont="1" applyFill="1" applyAlignment="1">
      <alignment horizontal="left" vertical="center" wrapText="1"/>
    </xf>
    <xf numFmtId="0" fontId="30" fillId="13" borderId="0" xfId="0" applyFont="1" applyFill="1" applyAlignment="1">
      <alignment horizontal="left" wrapText="1"/>
    </xf>
    <xf numFmtId="44" fontId="39" fillId="13" borderId="0" xfId="0" applyNumberFormat="1" applyFont="1" applyFill="1" applyAlignment="1">
      <alignment horizontal="left" wrapText="1"/>
    </xf>
    <xf numFmtId="0" fontId="39" fillId="13" borderId="0" xfId="0" applyFont="1" applyFill="1" applyAlignment="1">
      <alignment horizontal="left" wrapText="1"/>
    </xf>
    <xf numFmtId="44" fontId="65" fillId="14" borderId="54" xfId="3" applyNumberFormat="1" applyFont="1" applyFill="1" applyBorder="1" applyAlignment="1"/>
    <xf numFmtId="44" fontId="65" fillId="13" borderId="0" xfId="3" applyNumberFormat="1" applyFont="1" applyFill="1"/>
    <xf numFmtId="44" fontId="66" fillId="14" borderId="54" xfId="3" applyNumberFormat="1" applyFont="1" applyFill="1" applyBorder="1" applyAlignment="1"/>
    <xf numFmtId="0" fontId="50" fillId="13" borderId="63" xfId="0" applyFont="1" applyFill="1" applyBorder="1" applyAlignment="1">
      <alignment vertical="center" wrapText="1"/>
    </xf>
    <xf numFmtId="0" fontId="0" fillId="13" borderId="63" xfId="0" applyFill="1" applyBorder="1"/>
    <xf numFmtId="184" fontId="66" fillId="14" borderId="54" xfId="3" applyNumberFormat="1" applyFont="1" applyFill="1" applyBorder="1" applyAlignment="1"/>
    <xf numFmtId="0" fontId="50" fillId="13" borderId="0" xfId="0" applyFont="1" applyFill="1" applyBorder="1" applyAlignment="1">
      <alignment horizontal="left" vertical="center" wrapText="1"/>
    </xf>
    <xf numFmtId="0" fontId="50" fillId="13" borderId="0" xfId="0" applyFont="1" applyFill="1" applyBorder="1" applyAlignment="1">
      <alignment vertical="center" wrapText="1"/>
    </xf>
    <xf numFmtId="44" fontId="39" fillId="13" borderId="0" xfId="3" applyNumberFormat="1" applyFont="1" applyFill="1" applyBorder="1" applyAlignment="1">
      <alignment horizontal="left" vertical="center"/>
    </xf>
    <xf numFmtId="0" fontId="0" fillId="13" borderId="0" xfId="0" applyFill="1" applyBorder="1" applyAlignment="1">
      <alignment horizontal="left" vertical="center"/>
    </xf>
    <xf numFmtId="170" fontId="39" fillId="13" borderId="0" xfId="3" applyNumberFormat="1" applyFont="1" applyFill="1" applyBorder="1" applyAlignment="1">
      <alignment horizontal="left" vertical="center"/>
    </xf>
    <xf numFmtId="184" fontId="66" fillId="13" borderId="0" xfId="3" applyNumberFormat="1" applyFont="1" applyFill="1" applyBorder="1" applyAlignment="1"/>
    <xf numFmtId="44" fontId="66" fillId="13" borderId="0" xfId="3" applyNumberFormat="1" applyFont="1" applyFill="1" applyBorder="1" applyAlignment="1"/>
    <xf numFmtId="167" fontId="37" fillId="14" borderId="54" xfId="5" applyNumberFormat="1" applyFont="1" applyFill="1" applyBorder="1"/>
    <xf numFmtId="0" fontId="2" fillId="0" borderId="0" xfId="0" applyFont="1"/>
    <xf numFmtId="4" fontId="16" fillId="7" borderId="0" xfId="0" applyNumberFormat="1" applyFont="1" applyFill="1" applyBorder="1" applyAlignment="1">
      <alignment horizontal="center" wrapText="1" shrinkToFit="1"/>
    </xf>
    <xf numFmtId="0" fontId="46" fillId="7" borderId="0" xfId="0" applyFont="1" applyFill="1"/>
    <xf numFmtId="168" fontId="46" fillId="7" borderId="0" xfId="0" applyNumberFormat="1" applyFont="1" applyFill="1"/>
    <xf numFmtId="9" fontId="2" fillId="4" borderId="10" xfId="0" applyNumberFormat="1" applyFont="1" applyFill="1" applyBorder="1" applyAlignment="1">
      <alignment horizontal="right" wrapText="1"/>
    </xf>
    <xf numFmtId="0" fontId="47" fillId="0" borderId="0" xfId="0" applyFont="1"/>
    <xf numFmtId="168" fontId="47" fillId="7" borderId="0" xfId="2" applyNumberFormat="1" applyFont="1" applyFill="1"/>
    <xf numFmtId="0" fontId="47" fillId="7" borderId="0" xfId="0" applyFont="1" applyFill="1"/>
    <xf numFmtId="168" fontId="47" fillId="7" borderId="0" xfId="0" applyNumberFormat="1" applyFont="1" applyFill="1"/>
    <xf numFmtId="0" fontId="2" fillId="4" borderId="10" xfId="0" applyFont="1" applyFill="1" applyBorder="1" applyAlignment="1">
      <alignment horizontal="right" wrapText="1"/>
    </xf>
    <xf numFmtId="0" fontId="38" fillId="7" borderId="0" xfId="0" applyFont="1" applyFill="1"/>
    <xf numFmtId="170" fontId="0" fillId="7" borderId="0" xfId="3" applyNumberFormat="1" applyFont="1" applyFill="1"/>
    <xf numFmtId="170" fontId="41" fillId="7" borderId="0" xfId="3" applyNumberFormat="1" applyFont="1" applyFill="1"/>
    <xf numFmtId="9" fontId="38" fillId="7" borderId="0" xfId="5" applyFont="1" applyFill="1"/>
    <xf numFmtId="0" fontId="38" fillId="7" borderId="0" xfId="5" applyNumberFormat="1" applyFont="1" applyFill="1"/>
    <xf numFmtId="170" fontId="38" fillId="7" borderId="0" xfId="3" applyNumberFormat="1" applyFont="1" applyFill="1"/>
    <xf numFmtId="9" fontId="0" fillId="7" borderId="0" xfId="5" applyFont="1" applyFill="1"/>
    <xf numFmtId="0" fontId="0" fillId="7" borderId="0" xfId="5" applyNumberFormat="1" applyFont="1" applyFill="1"/>
    <xf numFmtId="170" fontId="0" fillId="7" borderId="0" xfId="0" applyNumberFormat="1" applyFill="1"/>
    <xf numFmtId="0" fontId="2" fillId="0" borderId="16" xfId="0" applyFont="1" applyBorder="1"/>
    <xf numFmtId="0" fontId="14" fillId="0" borderId="10" xfId="0" applyFont="1" applyBorder="1"/>
    <xf numFmtId="0" fontId="14" fillId="0" borderId="17" xfId="0" applyFont="1" applyBorder="1"/>
    <xf numFmtId="0" fontId="3" fillId="0" borderId="36" xfId="0" applyFont="1" applyBorder="1"/>
    <xf numFmtId="0" fontId="3" fillId="0" borderId="18" xfId="0" applyFont="1" applyBorder="1"/>
    <xf numFmtId="0" fontId="3" fillId="0" borderId="20" xfId="0" applyFont="1" applyBorder="1"/>
    <xf numFmtId="0" fontId="14" fillId="0" borderId="21" xfId="0" applyFont="1" applyBorder="1"/>
    <xf numFmtId="0" fontId="2" fillId="0" borderId="0" xfId="0" applyFont="1" applyBorder="1" applyAlignment="1">
      <alignment horizontal="left"/>
    </xf>
    <xf numFmtId="44" fontId="63" fillId="14" borderId="54" xfId="3" applyNumberFormat="1" applyFont="1" applyFill="1" applyBorder="1" applyAlignment="1"/>
    <xf numFmtId="2" fontId="0" fillId="24" borderId="41" xfId="0" applyNumberFormat="1" applyFill="1" applyBorder="1"/>
    <xf numFmtId="0" fontId="0" fillId="24" borderId="0" xfId="0" applyFill="1" applyAlignment="1">
      <alignment horizontal="right"/>
    </xf>
    <xf numFmtId="9" fontId="0" fillId="24" borderId="41" xfId="5" applyFont="1" applyFill="1" applyBorder="1" applyAlignment="1">
      <alignment horizontal="right"/>
    </xf>
    <xf numFmtId="170" fontId="0" fillId="24" borderId="41" xfId="3" applyNumberFormat="1" applyFont="1" applyFill="1" applyBorder="1"/>
    <xf numFmtId="0" fontId="0" fillId="24" borderId="41" xfId="0" applyFill="1" applyBorder="1" applyAlignment="1">
      <alignment horizontal="right"/>
    </xf>
    <xf numFmtId="170" fontId="0" fillId="24" borderId="41" xfId="0" applyNumberFormat="1" applyFill="1" applyBorder="1"/>
    <xf numFmtId="167" fontId="67" fillId="24" borderId="41" xfId="0" applyNumberFormat="1" applyFont="1" applyFill="1" applyBorder="1"/>
    <xf numFmtId="170" fontId="0" fillId="10" borderId="0" xfId="3" applyNumberFormat="1" applyFont="1" applyFill="1"/>
    <xf numFmtId="0" fontId="0" fillId="24" borderId="0" xfId="0" applyFill="1" applyBorder="1" applyAlignment="1">
      <alignment horizontal="right"/>
    </xf>
    <xf numFmtId="44" fontId="0" fillId="24" borderId="41" xfId="0" applyNumberFormat="1" applyFill="1" applyBorder="1"/>
    <xf numFmtId="170" fontId="47" fillId="24" borderId="41" xfId="3" applyNumberFormat="1" applyFont="1" applyFill="1" applyBorder="1"/>
    <xf numFmtId="170" fontId="0" fillId="0" borderId="0" xfId="3" applyNumberFormat="1" applyFont="1" applyFill="1"/>
    <xf numFmtId="167" fontId="0" fillId="24" borderId="41" xfId="5" applyNumberFormat="1" applyFont="1" applyFill="1" applyBorder="1"/>
    <xf numFmtId="167" fontId="67" fillId="24" borderId="41" xfId="5" applyNumberFormat="1" applyFont="1" applyFill="1" applyBorder="1"/>
    <xf numFmtId="186" fontId="0" fillId="24" borderId="41" xfId="0" applyNumberFormat="1" applyFill="1" applyBorder="1"/>
    <xf numFmtId="170" fontId="41" fillId="24" borderId="41" xfId="3" applyNumberFormat="1" applyFont="1" applyFill="1" applyBorder="1"/>
    <xf numFmtId="42" fontId="0" fillId="24" borderId="41" xfId="3" applyNumberFormat="1" applyFont="1" applyFill="1" applyBorder="1"/>
    <xf numFmtId="0" fontId="0" fillId="24" borderId="41" xfId="0" applyFill="1" applyBorder="1"/>
    <xf numFmtId="0" fontId="68" fillId="0" borderId="0" xfId="0" applyFont="1"/>
    <xf numFmtId="0" fontId="69" fillId="0" borderId="0" xfId="0" applyFont="1"/>
    <xf numFmtId="0" fontId="69" fillId="0" borderId="0" xfId="0" applyFont="1" applyAlignment="1">
      <alignment horizontal="right"/>
    </xf>
    <xf numFmtId="38" fontId="69" fillId="0" borderId="0" xfId="0" applyNumberFormat="1" applyFont="1"/>
    <xf numFmtId="0" fontId="0" fillId="24" borderId="0" xfId="0" applyFill="1"/>
    <xf numFmtId="0" fontId="38" fillId="24" borderId="0" xfId="0" applyFont="1" applyFill="1"/>
    <xf numFmtId="166" fontId="0" fillId="0" borderId="77" xfId="0" applyNumberFormat="1" applyFont="1" applyBorder="1"/>
    <xf numFmtId="0" fontId="0" fillId="0" borderId="77" xfId="0" applyFont="1" applyFill="1" applyBorder="1"/>
    <xf numFmtId="0" fontId="0" fillId="0" borderId="0" xfId="0" applyAlignment="1">
      <alignment horizontal="right"/>
    </xf>
    <xf numFmtId="0" fontId="0" fillId="24" borderId="0" xfId="0" applyFill="1" applyBorder="1" applyAlignment="1">
      <alignment horizontal="left"/>
    </xf>
    <xf numFmtId="168" fontId="0" fillId="24" borderId="41" xfId="2" applyNumberFormat="1" applyFont="1" applyFill="1" applyBorder="1"/>
    <xf numFmtId="0" fontId="0" fillId="0" borderId="0" xfId="0" applyAlignment="1">
      <alignment horizontal="center"/>
    </xf>
    <xf numFmtId="187" fontId="0" fillId="0" borderId="0" xfId="0" applyNumberFormat="1"/>
    <xf numFmtId="0" fontId="35" fillId="13" borderId="0" xfId="6" applyFont="1" applyFill="1" applyBorder="1" applyAlignment="1">
      <alignment horizontal="center" vertical="top" wrapText="1"/>
    </xf>
    <xf numFmtId="0" fontId="36" fillId="13" borderId="0" xfId="6" applyFont="1" applyFill="1" applyBorder="1" applyAlignment="1">
      <alignment horizontal="left" wrapText="1"/>
    </xf>
    <xf numFmtId="167" fontId="37" fillId="14" borderId="47" xfId="5" applyNumberFormat="1" applyFont="1" applyFill="1" applyBorder="1" applyAlignment="1">
      <alignment horizontal="center"/>
    </xf>
    <xf numFmtId="167" fontId="37" fillId="14" borderId="46" xfId="5" applyNumberFormat="1" applyFont="1" applyFill="1" applyBorder="1" applyAlignment="1">
      <alignment horizontal="center"/>
    </xf>
    <xf numFmtId="167" fontId="37" fillId="14" borderId="48" xfId="5" applyNumberFormat="1" applyFont="1" applyFill="1" applyBorder="1" applyAlignment="1">
      <alignment horizontal="center"/>
    </xf>
    <xf numFmtId="167" fontId="37" fillId="14" borderId="45" xfId="5" applyNumberFormat="1" applyFont="1" applyFill="1" applyBorder="1" applyAlignment="1">
      <alignment horizontal="center"/>
    </xf>
    <xf numFmtId="167" fontId="37" fillId="14" borderId="0" xfId="5" applyNumberFormat="1" applyFont="1" applyFill="1" applyBorder="1" applyAlignment="1">
      <alignment horizontal="center"/>
    </xf>
    <xf numFmtId="167" fontId="37" fillId="14" borderId="44" xfId="5" applyNumberFormat="1" applyFont="1" applyFill="1" applyBorder="1" applyAlignment="1">
      <alignment horizontal="center"/>
    </xf>
    <xf numFmtId="167" fontId="37" fillId="14" borderId="49" xfId="5" applyNumberFormat="1" applyFont="1" applyFill="1" applyBorder="1" applyAlignment="1">
      <alignment horizontal="center"/>
    </xf>
    <xf numFmtId="167" fontId="37" fillId="14" borderId="50" xfId="5" applyNumberFormat="1" applyFont="1" applyFill="1" applyBorder="1" applyAlignment="1">
      <alignment horizontal="center"/>
    </xf>
    <xf numFmtId="167" fontId="37" fillId="14" borderId="51" xfId="5" applyNumberFormat="1" applyFont="1" applyFill="1" applyBorder="1" applyAlignment="1">
      <alignment horizontal="center"/>
    </xf>
    <xf numFmtId="1" fontId="37" fillId="14" borderId="47" xfId="5" applyNumberFormat="1" applyFont="1" applyFill="1" applyBorder="1" applyAlignment="1">
      <alignment horizontal="right" vertical="center"/>
    </xf>
    <xf numFmtId="1" fontId="37" fillId="14" borderId="46" xfId="5" applyNumberFormat="1" applyFont="1" applyFill="1" applyBorder="1" applyAlignment="1">
      <alignment horizontal="right" vertical="center"/>
    </xf>
    <xf numFmtId="1" fontId="37" fillId="14" borderId="48" xfId="5" applyNumberFormat="1" applyFont="1" applyFill="1" applyBorder="1" applyAlignment="1">
      <alignment horizontal="right" vertical="center"/>
    </xf>
    <xf numFmtId="1" fontId="37" fillId="14" borderId="45" xfId="5" applyNumberFormat="1" applyFont="1" applyFill="1" applyBorder="1" applyAlignment="1">
      <alignment horizontal="right" vertical="center"/>
    </xf>
    <xf numFmtId="1" fontId="37" fillId="14" borderId="0" xfId="5" applyNumberFormat="1" applyFont="1" applyFill="1" applyBorder="1" applyAlignment="1">
      <alignment horizontal="right" vertical="center"/>
    </xf>
    <xf numFmtId="1" fontId="37" fillId="14" borderId="44" xfId="5" applyNumberFormat="1" applyFont="1" applyFill="1" applyBorder="1" applyAlignment="1">
      <alignment horizontal="right" vertical="center"/>
    </xf>
    <xf numFmtId="1" fontId="37" fillId="14" borderId="49" xfId="5" applyNumberFormat="1" applyFont="1" applyFill="1" applyBorder="1" applyAlignment="1">
      <alignment horizontal="right" vertical="center"/>
    </xf>
    <xf numFmtId="1" fontId="37" fillId="14" borderId="50" xfId="5" applyNumberFormat="1" applyFont="1" applyFill="1" applyBorder="1" applyAlignment="1">
      <alignment horizontal="right" vertical="center"/>
    </xf>
    <xf numFmtId="1" fontId="37" fillId="14" borderId="51" xfId="5" applyNumberFormat="1" applyFont="1" applyFill="1" applyBorder="1" applyAlignment="1">
      <alignment horizontal="right" vertical="center"/>
    </xf>
    <xf numFmtId="0" fontId="44" fillId="13" borderId="45" xfId="6" applyFont="1" applyFill="1" applyBorder="1" applyAlignment="1">
      <alignment vertical="center"/>
    </xf>
    <xf numFmtId="0" fontId="44" fillId="13" borderId="0" xfId="6" applyFont="1" applyFill="1" applyBorder="1" applyAlignment="1">
      <alignment vertical="center"/>
    </xf>
    <xf numFmtId="168" fontId="37" fillId="14" borderId="47" xfId="2" applyNumberFormat="1" applyFont="1" applyFill="1" applyBorder="1" applyAlignment="1">
      <alignment horizontal="right" vertical="center"/>
    </xf>
    <xf numFmtId="168" fontId="37" fillId="14" borderId="46" xfId="2" applyNumberFormat="1" applyFont="1" applyFill="1" applyBorder="1" applyAlignment="1">
      <alignment horizontal="right" vertical="center"/>
    </xf>
    <xf numFmtId="168" fontId="37" fillId="14" borderId="45" xfId="2" applyNumberFormat="1" applyFont="1" applyFill="1" applyBorder="1" applyAlignment="1">
      <alignment horizontal="right" vertical="center"/>
    </xf>
    <xf numFmtId="168" fontId="37" fillId="14" borderId="0" xfId="2" applyNumberFormat="1" applyFont="1" applyFill="1" applyBorder="1" applyAlignment="1">
      <alignment horizontal="right" vertical="center"/>
    </xf>
    <xf numFmtId="168" fontId="37" fillId="14" borderId="49" xfId="2" applyNumberFormat="1" applyFont="1" applyFill="1" applyBorder="1" applyAlignment="1">
      <alignment horizontal="right" vertical="center"/>
    </xf>
    <xf numFmtId="168" fontId="37" fillId="14" borderId="50" xfId="2" applyNumberFormat="1" applyFont="1" applyFill="1" applyBorder="1" applyAlignment="1">
      <alignment horizontal="right" vertical="center"/>
    </xf>
    <xf numFmtId="168" fontId="45" fillId="14" borderId="48" xfId="2" applyNumberFormat="1" applyFont="1" applyFill="1" applyBorder="1" applyAlignment="1">
      <alignment horizontal="center" vertical="center"/>
    </xf>
    <xf numFmtId="168" fontId="45" fillId="14" borderId="44" xfId="2" applyNumberFormat="1" applyFont="1" applyFill="1" applyBorder="1" applyAlignment="1">
      <alignment horizontal="center" vertical="center"/>
    </xf>
    <xf numFmtId="168" fontId="45" fillId="14" borderId="51" xfId="2" applyNumberFormat="1" applyFont="1" applyFill="1" applyBorder="1" applyAlignment="1">
      <alignment horizontal="center" vertical="center"/>
    </xf>
    <xf numFmtId="9" fontId="37" fillId="14" borderId="47" xfId="5" applyFont="1" applyFill="1" applyBorder="1" applyAlignment="1">
      <alignment horizontal="center"/>
    </xf>
    <xf numFmtId="9" fontId="37" fillId="14" borderId="46" xfId="5" applyFont="1" applyFill="1" applyBorder="1" applyAlignment="1">
      <alignment horizontal="center"/>
    </xf>
    <xf numFmtId="9" fontId="37" fillId="14" borderId="48" xfId="5" applyFont="1" applyFill="1" applyBorder="1" applyAlignment="1">
      <alignment horizontal="center"/>
    </xf>
    <xf numFmtId="9" fontId="37" fillId="14" borderId="45" xfId="5" applyFont="1" applyFill="1" applyBorder="1" applyAlignment="1">
      <alignment horizontal="center"/>
    </xf>
    <xf numFmtId="9" fontId="37" fillId="14" borderId="0" xfId="5" applyFont="1" applyFill="1" applyBorder="1" applyAlignment="1">
      <alignment horizontal="center"/>
    </xf>
    <xf numFmtId="9" fontId="37" fillId="14" borderId="44" xfId="5" applyFont="1" applyFill="1" applyBorder="1" applyAlignment="1">
      <alignment horizontal="center"/>
    </xf>
    <xf numFmtId="9" fontId="37" fillId="14" borderId="49" xfId="5" applyFont="1" applyFill="1" applyBorder="1" applyAlignment="1">
      <alignment horizontal="center"/>
    </xf>
    <xf numFmtId="9" fontId="37" fillId="14" borderId="50" xfId="5" applyFont="1" applyFill="1" applyBorder="1" applyAlignment="1">
      <alignment horizontal="center"/>
    </xf>
    <xf numFmtId="9" fontId="37" fillId="14" borderId="51" xfId="5" applyFont="1" applyFill="1" applyBorder="1" applyAlignment="1">
      <alignment horizontal="center"/>
    </xf>
    <xf numFmtId="182" fontId="37" fillId="14" borderId="47" xfId="5" applyNumberFormat="1" applyFont="1" applyFill="1" applyBorder="1" applyAlignment="1">
      <alignment horizontal="center"/>
    </xf>
    <xf numFmtId="182" fontId="37" fillId="14" borderId="46" xfId="5" applyNumberFormat="1" applyFont="1" applyFill="1" applyBorder="1" applyAlignment="1">
      <alignment horizontal="center"/>
    </xf>
    <xf numFmtId="182" fontId="37" fillId="14" borderId="48" xfId="5" applyNumberFormat="1" applyFont="1" applyFill="1" applyBorder="1" applyAlignment="1">
      <alignment horizontal="center"/>
    </xf>
    <xf numFmtId="182" fontId="37" fillId="14" borderId="45" xfId="5" applyNumberFormat="1" applyFont="1" applyFill="1" applyBorder="1" applyAlignment="1">
      <alignment horizontal="center"/>
    </xf>
    <xf numFmtId="182" fontId="37" fillId="14" borderId="0" xfId="5" applyNumberFormat="1" applyFont="1" applyFill="1" applyBorder="1" applyAlignment="1">
      <alignment horizontal="center"/>
    </xf>
    <xf numFmtId="182" fontId="37" fillId="14" borderId="44" xfId="5" applyNumberFormat="1" applyFont="1" applyFill="1" applyBorder="1" applyAlignment="1">
      <alignment horizontal="center"/>
    </xf>
    <xf numFmtId="182" fontId="37" fillId="14" borderId="49" xfId="5" applyNumberFormat="1" applyFont="1" applyFill="1" applyBorder="1" applyAlignment="1">
      <alignment horizontal="center"/>
    </xf>
    <xf numFmtId="182" fontId="37" fillId="14" borderId="50" xfId="5" applyNumberFormat="1" applyFont="1" applyFill="1" applyBorder="1" applyAlignment="1">
      <alignment horizontal="center"/>
    </xf>
    <xf numFmtId="182" fontId="37" fillId="14" borderId="51" xfId="5" applyNumberFormat="1" applyFont="1" applyFill="1" applyBorder="1" applyAlignment="1">
      <alignment horizontal="center"/>
    </xf>
    <xf numFmtId="181" fontId="35" fillId="13" borderId="0" xfId="6" applyNumberFormat="1" applyFont="1" applyFill="1" applyAlignment="1">
      <alignment horizontal="center" vertical="top"/>
    </xf>
    <xf numFmtId="0" fontId="35" fillId="13" borderId="0" xfId="6" applyFont="1" applyFill="1" applyBorder="1" applyAlignment="1">
      <alignment horizontal="center" vertical="center" wrapText="1"/>
    </xf>
    <xf numFmtId="180" fontId="37" fillId="14" borderId="52" xfId="6" applyNumberFormat="1" applyFont="1" applyFill="1" applyBorder="1" applyAlignment="1">
      <alignment horizontal="center"/>
    </xf>
    <xf numFmtId="180" fontId="37" fillId="14" borderId="53" xfId="6" applyNumberFormat="1" applyFont="1" applyFill="1" applyBorder="1" applyAlignment="1">
      <alignment horizontal="center"/>
    </xf>
    <xf numFmtId="180" fontId="37" fillId="14" borderId="52" xfId="5" applyNumberFormat="1" applyFont="1" applyFill="1" applyBorder="1" applyAlignment="1">
      <alignment horizontal="center"/>
    </xf>
    <xf numFmtId="180" fontId="37" fillId="14" borderId="53" xfId="5" applyNumberFormat="1" applyFont="1" applyFill="1" applyBorder="1" applyAlignment="1">
      <alignment horizontal="center"/>
    </xf>
    <xf numFmtId="0" fontId="36" fillId="13" borderId="0" xfId="6" applyFont="1" applyFill="1" applyAlignment="1">
      <alignment horizontal="left" vertical="top" wrapText="1"/>
    </xf>
    <xf numFmtId="0" fontId="36" fillId="13" borderId="0" xfId="6" applyFont="1" applyFill="1" applyAlignment="1">
      <alignment horizontal="left" wrapText="1"/>
    </xf>
    <xf numFmtId="179" fontId="35" fillId="13" borderId="0" xfId="5" applyNumberFormat="1" applyFont="1" applyFill="1" applyAlignment="1">
      <alignment horizontal="center" vertical="top"/>
    </xf>
    <xf numFmtId="0" fontId="34" fillId="13" borderId="0" xfId="6" applyFont="1" applyFill="1" applyAlignment="1">
      <alignment horizontal="center"/>
    </xf>
    <xf numFmtId="170" fontId="37" fillId="14" borderId="58" xfId="3" applyNumberFormat="1" applyFont="1" applyFill="1" applyBorder="1" applyAlignment="1">
      <alignment horizontal="center"/>
    </xf>
    <xf numFmtId="170" fontId="37" fillId="14" borderId="59" xfId="3" applyNumberFormat="1" applyFont="1" applyFill="1" applyBorder="1" applyAlignment="1">
      <alignment horizontal="center"/>
    </xf>
    <xf numFmtId="170" fontId="37" fillId="14" borderId="60" xfId="3" applyNumberFormat="1" applyFont="1" applyFill="1" applyBorder="1" applyAlignment="1">
      <alignment horizontal="center"/>
    </xf>
    <xf numFmtId="0" fontId="34" fillId="13" borderId="61" xfId="6" applyFont="1" applyFill="1" applyBorder="1" applyAlignment="1">
      <alignment horizontal="center"/>
    </xf>
    <xf numFmtId="170" fontId="37" fillId="14" borderId="47" xfId="3" applyNumberFormat="1" applyFont="1" applyFill="1" applyBorder="1" applyAlignment="1">
      <alignment horizontal="center"/>
    </xf>
    <xf numFmtId="0" fontId="0" fillId="0" borderId="46"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39" fillId="13" borderId="0" xfId="6" applyFont="1" applyFill="1" applyAlignment="1">
      <alignment horizontal="left" vertical="center" wrapText="1"/>
    </xf>
    <xf numFmtId="0" fontId="39" fillId="13" borderId="44" xfId="6" applyFont="1" applyFill="1" applyBorder="1" applyAlignment="1">
      <alignment horizontal="left" vertical="center" wrapText="1"/>
    </xf>
    <xf numFmtId="0" fontId="39" fillId="13" borderId="0" xfId="6" applyFont="1" applyFill="1" applyAlignment="1">
      <alignment horizontal="left" wrapText="1"/>
    </xf>
    <xf numFmtId="167" fontId="49" fillId="14" borderId="62" xfId="5" applyNumberFormat="1" applyFont="1" applyFill="1" applyBorder="1" applyAlignment="1">
      <alignment horizontal="right"/>
    </xf>
    <xf numFmtId="167" fontId="49" fillId="14" borderId="63" xfId="5" applyNumberFormat="1" applyFont="1" applyFill="1" applyBorder="1" applyAlignment="1">
      <alignment horizontal="right"/>
    </xf>
    <xf numFmtId="167" fontId="49" fillId="14" borderId="64" xfId="5" applyNumberFormat="1" applyFont="1" applyFill="1" applyBorder="1" applyAlignment="1">
      <alignment horizontal="right"/>
    </xf>
    <xf numFmtId="0" fontId="37" fillId="14" borderId="62" xfId="3" applyNumberFormat="1" applyFont="1" applyFill="1" applyBorder="1" applyAlignment="1">
      <alignment horizontal="right"/>
    </xf>
    <xf numFmtId="0" fontId="37" fillId="14" borderId="63" xfId="3" applyNumberFormat="1" applyFont="1" applyFill="1" applyBorder="1" applyAlignment="1">
      <alignment horizontal="right"/>
    </xf>
    <xf numFmtId="0" fontId="37" fillId="14" borderId="64" xfId="3" applyNumberFormat="1" applyFont="1" applyFill="1" applyBorder="1" applyAlignment="1">
      <alignment horizontal="right"/>
    </xf>
    <xf numFmtId="0" fontId="36" fillId="13" borderId="0" xfId="6" applyFont="1" applyFill="1" applyAlignment="1">
      <alignment horizontal="left" vertical="center" wrapText="1"/>
    </xf>
    <xf numFmtId="170" fontId="37" fillId="14" borderId="62" xfId="3" applyNumberFormat="1" applyFont="1" applyFill="1" applyBorder="1" applyAlignment="1">
      <alignment horizontal="right"/>
    </xf>
    <xf numFmtId="170" fontId="37" fillId="14" borderId="63" xfId="3" applyNumberFormat="1" applyFont="1" applyFill="1" applyBorder="1" applyAlignment="1">
      <alignment horizontal="right"/>
    </xf>
    <xf numFmtId="170" fontId="37" fillId="14" borderId="64" xfId="3" applyNumberFormat="1" applyFont="1" applyFill="1" applyBorder="1" applyAlignment="1">
      <alignment horizontal="right"/>
    </xf>
    <xf numFmtId="0" fontId="40" fillId="0" borderId="0" xfId="0" applyFont="1" applyAlignment="1">
      <alignment horizontal="left"/>
    </xf>
    <xf numFmtId="0" fontId="50" fillId="13" borderId="0" xfId="0" applyFont="1" applyFill="1" applyAlignment="1">
      <alignment horizontal="left" vertical="center" wrapText="1"/>
    </xf>
    <xf numFmtId="0" fontId="35" fillId="13" borderId="0" xfId="6" applyFont="1" applyFill="1" applyBorder="1" applyAlignment="1">
      <alignment horizontal="center" wrapText="1"/>
    </xf>
    <xf numFmtId="0" fontId="0" fillId="0" borderId="0" xfId="0" applyAlignment="1">
      <alignment vertical="center" wrapText="1"/>
    </xf>
    <xf numFmtId="0" fontId="0" fillId="0" borderId="44" xfId="0" applyBorder="1" applyAlignment="1">
      <alignment vertical="center" wrapText="1"/>
    </xf>
    <xf numFmtId="176" fontId="37" fillId="14" borderId="47" xfId="3" applyNumberFormat="1" applyFont="1" applyFill="1" applyBorder="1" applyAlignment="1">
      <alignment horizontal="center"/>
    </xf>
    <xf numFmtId="176" fontId="0" fillId="0" borderId="46" xfId="0" applyNumberFormat="1" applyBorder="1" applyAlignment="1">
      <alignment horizontal="center"/>
    </xf>
    <xf numFmtId="176" fontId="0" fillId="0" borderId="49" xfId="0" applyNumberFormat="1" applyBorder="1" applyAlignment="1">
      <alignment horizontal="center"/>
    </xf>
    <xf numFmtId="176" fontId="0" fillId="0" borderId="50" xfId="0" applyNumberFormat="1" applyBorder="1" applyAlignment="1">
      <alignment horizontal="center"/>
    </xf>
    <xf numFmtId="177" fontId="49" fillId="14" borderId="47" xfId="3" applyNumberFormat="1" applyFont="1" applyFill="1" applyBorder="1" applyAlignment="1">
      <alignment horizontal="center"/>
    </xf>
    <xf numFmtId="177" fontId="49" fillId="14" borderId="46" xfId="3" applyNumberFormat="1" applyFont="1" applyFill="1" applyBorder="1" applyAlignment="1">
      <alignment horizontal="center"/>
    </xf>
    <xf numFmtId="177" fontId="49" fillId="14" borderId="49" xfId="3" applyNumberFormat="1" applyFont="1" applyFill="1" applyBorder="1" applyAlignment="1">
      <alignment horizontal="center"/>
    </xf>
    <xf numFmtId="177" fontId="49" fillId="14" borderId="50" xfId="3" applyNumberFormat="1" applyFont="1" applyFill="1" applyBorder="1" applyAlignment="1">
      <alignment horizontal="center"/>
    </xf>
    <xf numFmtId="175" fontId="37" fillId="14" borderId="47" xfId="3" applyNumberFormat="1" applyFont="1" applyFill="1" applyBorder="1" applyAlignment="1">
      <alignment horizontal="center"/>
    </xf>
    <xf numFmtId="175" fontId="0" fillId="0" borderId="46" xfId="0" applyNumberFormat="1" applyBorder="1" applyAlignment="1">
      <alignment horizontal="center"/>
    </xf>
    <xf numFmtId="175" fontId="0" fillId="0" borderId="49" xfId="0" applyNumberFormat="1" applyBorder="1" applyAlignment="1">
      <alignment horizontal="center"/>
    </xf>
    <xf numFmtId="175" fontId="0" fillId="0" borderId="50" xfId="0" applyNumberFormat="1" applyBorder="1" applyAlignment="1">
      <alignment horizontal="center"/>
    </xf>
    <xf numFmtId="1" fontId="49" fillId="14" borderId="47" xfId="3" applyNumberFormat="1" applyFont="1" applyFill="1" applyBorder="1" applyAlignment="1">
      <alignment horizontal="right"/>
    </xf>
    <xf numFmtId="1" fontId="43" fillId="0" borderId="46" xfId="0" applyNumberFormat="1" applyFont="1" applyBorder="1" applyAlignment="1">
      <alignment horizontal="right"/>
    </xf>
    <xf numFmtId="1" fontId="43" fillId="0" borderId="49" xfId="0" applyNumberFormat="1" applyFont="1" applyBorder="1" applyAlignment="1">
      <alignment horizontal="right"/>
    </xf>
    <xf numFmtId="1" fontId="43" fillId="0" borderId="50" xfId="0" applyNumberFormat="1" applyFont="1" applyBorder="1" applyAlignment="1">
      <alignment horizontal="right"/>
    </xf>
    <xf numFmtId="167" fontId="37" fillId="14" borderId="47" xfId="5" applyNumberFormat="1" applyFont="1" applyFill="1" applyBorder="1" applyAlignment="1">
      <alignment horizontal="right"/>
    </xf>
    <xf numFmtId="167" fontId="0" fillId="0" borderId="46" xfId="5" applyNumberFormat="1" applyFont="1" applyBorder="1" applyAlignment="1">
      <alignment horizontal="right"/>
    </xf>
    <xf numFmtId="167" fontId="0" fillId="0" borderId="49" xfId="5" applyNumberFormat="1" applyFont="1" applyBorder="1" applyAlignment="1">
      <alignment horizontal="right"/>
    </xf>
    <xf numFmtId="167" fontId="0" fillId="0" borderId="50" xfId="5" applyNumberFormat="1" applyFont="1" applyBorder="1" applyAlignment="1">
      <alignment horizontal="right"/>
    </xf>
    <xf numFmtId="0" fontId="36" fillId="13" borderId="44" xfId="6" applyFont="1" applyFill="1" applyBorder="1" applyAlignment="1">
      <alignment horizontal="left" vertical="top" wrapText="1"/>
    </xf>
    <xf numFmtId="0" fontId="48" fillId="13" borderId="0" xfId="6" applyFont="1" applyFill="1" applyBorder="1" applyAlignment="1">
      <alignment horizontal="center" wrapText="1"/>
    </xf>
    <xf numFmtId="170" fontId="37" fillId="14" borderId="47" xfId="3" applyNumberFormat="1" applyFont="1" applyFill="1" applyBorder="1" applyAlignment="1">
      <alignment horizontal="right"/>
    </xf>
    <xf numFmtId="170" fontId="0" fillId="0" borderId="46" xfId="3" applyNumberFormat="1" applyFont="1" applyBorder="1" applyAlignment="1">
      <alignment horizontal="right"/>
    </xf>
    <xf numFmtId="170" fontId="0" fillId="0" borderId="49" xfId="3" applyNumberFormat="1" applyFont="1" applyBorder="1" applyAlignment="1">
      <alignment horizontal="right"/>
    </xf>
    <xf numFmtId="170" fontId="0" fillId="0" borderId="50" xfId="3" applyNumberFormat="1" applyFont="1" applyBorder="1" applyAlignment="1">
      <alignment horizontal="right"/>
    </xf>
    <xf numFmtId="167" fontId="37" fillId="14" borderId="46" xfId="5" applyNumberFormat="1" applyFont="1" applyFill="1" applyBorder="1" applyAlignment="1">
      <alignment horizontal="right"/>
    </xf>
    <xf numFmtId="167" fontId="37" fillId="14" borderId="49" xfId="5" applyNumberFormat="1" applyFont="1" applyFill="1" applyBorder="1" applyAlignment="1">
      <alignment horizontal="right"/>
    </xf>
    <xf numFmtId="167" fontId="37" fillId="14" borderId="50" xfId="5" applyNumberFormat="1" applyFont="1" applyFill="1" applyBorder="1" applyAlignment="1">
      <alignment horizontal="right"/>
    </xf>
    <xf numFmtId="167" fontId="37" fillId="15" borderId="47" xfId="5" applyNumberFormat="1" applyFont="1" applyFill="1" applyBorder="1" applyAlignment="1">
      <alignment horizontal="right"/>
    </xf>
    <xf numFmtId="167" fontId="0" fillId="15" borderId="46" xfId="5" applyNumberFormat="1" applyFont="1" applyFill="1" applyBorder="1" applyAlignment="1">
      <alignment horizontal="right"/>
    </xf>
    <xf numFmtId="167" fontId="0" fillId="15" borderId="49" xfId="5" applyNumberFormat="1" applyFont="1" applyFill="1" applyBorder="1" applyAlignment="1">
      <alignment horizontal="right"/>
    </xf>
    <xf numFmtId="167" fontId="0" fillId="15" borderId="50" xfId="5" applyNumberFormat="1" applyFont="1" applyFill="1" applyBorder="1" applyAlignment="1">
      <alignment horizontal="right"/>
    </xf>
    <xf numFmtId="0" fontId="50" fillId="13" borderId="62" xfId="0" applyFont="1" applyFill="1" applyBorder="1" applyAlignment="1">
      <alignment horizontal="left" vertical="center" wrapText="1"/>
    </xf>
    <xf numFmtId="0" fontId="50" fillId="13" borderId="63" xfId="0" applyFont="1" applyFill="1" applyBorder="1" applyAlignment="1">
      <alignment horizontal="left" vertical="center" wrapText="1"/>
    </xf>
    <xf numFmtId="0" fontId="64" fillId="13" borderId="0" xfId="0" applyFont="1" applyFill="1" applyAlignment="1">
      <alignment horizontal="center" vertical="center"/>
    </xf>
    <xf numFmtId="4" fontId="15" fillId="7" borderId="16" xfId="0" applyNumberFormat="1" applyFont="1" applyFill="1" applyBorder="1" applyAlignment="1">
      <alignment horizontal="center"/>
    </xf>
    <xf numFmtId="4" fontId="15" fillId="7" borderId="10" xfId="0" applyNumberFormat="1" applyFont="1" applyFill="1" applyBorder="1" applyAlignment="1">
      <alignment horizontal="center"/>
    </xf>
    <xf numFmtId="4" fontId="16" fillId="7" borderId="18" xfId="0" applyNumberFormat="1" applyFont="1" applyFill="1" applyBorder="1" applyAlignment="1">
      <alignment horizontal="center" wrapText="1" shrinkToFit="1"/>
    </xf>
    <xf numFmtId="4" fontId="16" fillId="7" borderId="0" xfId="0" applyNumberFormat="1" applyFont="1" applyFill="1" applyBorder="1" applyAlignment="1">
      <alignment horizontal="center" wrapText="1" shrinkToFit="1"/>
    </xf>
    <xf numFmtId="0" fontId="13" fillId="7" borderId="22" xfId="0" applyFont="1" applyFill="1" applyBorder="1" applyAlignment="1">
      <alignment horizontal="center"/>
    </xf>
    <xf numFmtId="0" fontId="13" fillId="7" borderId="23" xfId="0" applyFont="1" applyFill="1" applyBorder="1" applyAlignment="1">
      <alignment horizontal="center"/>
    </xf>
    <xf numFmtId="0" fontId="14" fillId="9" borderId="32" xfId="0" applyFont="1" applyFill="1" applyBorder="1" applyAlignment="1">
      <alignment horizontal="center" wrapText="1"/>
    </xf>
    <xf numFmtId="0" fontId="14" fillId="9" borderId="33" xfId="0" applyFont="1" applyFill="1" applyBorder="1" applyAlignment="1">
      <alignment horizontal="center" wrapText="1"/>
    </xf>
    <xf numFmtId="0" fontId="14" fillId="9" borderId="34" xfId="0" applyFont="1" applyFill="1" applyBorder="1" applyAlignment="1">
      <alignment horizontal="center" wrapText="1"/>
    </xf>
    <xf numFmtId="0" fontId="14" fillId="5" borderId="32" xfId="0" applyFont="1" applyFill="1" applyBorder="1" applyAlignment="1">
      <alignment horizontal="center" wrapText="1"/>
    </xf>
    <xf numFmtId="0" fontId="14" fillId="5" borderId="33" xfId="0" applyFont="1" applyFill="1" applyBorder="1" applyAlignment="1">
      <alignment horizontal="center" wrapText="1"/>
    </xf>
    <xf numFmtId="0" fontId="14" fillId="5" borderId="34" xfId="0" applyFont="1" applyFill="1" applyBorder="1" applyAlignment="1">
      <alignment horizontal="center" wrapText="1"/>
    </xf>
    <xf numFmtId="4" fontId="15" fillId="7" borderId="3" xfId="0" applyNumberFormat="1" applyFont="1" applyFill="1" applyBorder="1" applyAlignment="1">
      <alignment horizontal="center"/>
    </xf>
    <xf numFmtId="4" fontId="15" fillId="7" borderId="0" xfId="0" applyNumberFormat="1" applyFont="1" applyFill="1" applyBorder="1" applyAlignment="1">
      <alignment horizontal="center"/>
    </xf>
    <xf numFmtId="4" fontId="16" fillId="7" borderId="3" xfId="0" applyNumberFormat="1" applyFont="1" applyFill="1" applyBorder="1" applyAlignment="1">
      <alignment horizontal="center" wrapText="1" shrinkToFit="1"/>
    </xf>
    <xf numFmtId="0" fontId="13" fillId="0" borderId="22" xfId="0" applyFont="1" applyBorder="1" applyAlignment="1">
      <alignment horizontal="left"/>
    </xf>
    <xf numFmtId="0" fontId="13" fillId="0" borderId="23" xfId="0" applyFont="1" applyBorder="1" applyAlignment="1">
      <alignment horizontal="left"/>
    </xf>
    <xf numFmtId="0" fontId="13" fillId="0" borderId="24" xfId="0" applyFont="1" applyBorder="1" applyAlignment="1">
      <alignment horizontal="left"/>
    </xf>
    <xf numFmtId="0" fontId="15" fillId="7" borderId="10" xfId="0" applyFont="1" applyFill="1" applyBorder="1" applyAlignment="1">
      <alignment horizontal="center" wrapText="1"/>
    </xf>
    <xf numFmtId="0" fontId="15" fillId="7" borderId="23" xfId="0" applyFont="1" applyFill="1" applyBorder="1" applyAlignment="1">
      <alignment horizontal="center" wrapText="1"/>
    </xf>
    <xf numFmtId="0" fontId="0" fillId="0" borderId="23" xfId="0" applyBorder="1"/>
    <xf numFmtId="0" fontId="8" fillId="9" borderId="32" xfId="0" applyFont="1" applyFill="1" applyBorder="1" applyAlignment="1">
      <alignment horizontal="center" wrapText="1"/>
    </xf>
    <xf numFmtId="0" fontId="8" fillId="9" borderId="33" xfId="0" applyFont="1" applyFill="1" applyBorder="1" applyAlignment="1">
      <alignment horizontal="center" wrapText="1"/>
    </xf>
    <xf numFmtId="0" fontId="13" fillId="0" borderId="22" xfId="0" applyFont="1" applyBorder="1" applyAlignment="1">
      <alignment horizontal="center"/>
    </xf>
    <xf numFmtId="0" fontId="13" fillId="0" borderId="23" xfId="0" applyFont="1" applyBorder="1" applyAlignment="1">
      <alignment horizontal="center"/>
    </xf>
    <xf numFmtId="0" fontId="13" fillId="0" borderId="24" xfId="0" applyFont="1" applyBorder="1" applyAlignment="1">
      <alignment horizontal="center"/>
    </xf>
    <xf numFmtId="0" fontId="30" fillId="0" borderId="23" xfId="0" applyFont="1" applyBorder="1" applyAlignment="1">
      <alignment horizontal="center"/>
    </xf>
    <xf numFmtId="0" fontId="30" fillId="0" borderId="24" xfId="0" applyFont="1" applyBorder="1" applyAlignment="1">
      <alignment horizontal="center"/>
    </xf>
    <xf numFmtId="0" fontId="30" fillId="0" borderId="22" xfId="0" applyFont="1" applyBorder="1" applyAlignment="1">
      <alignment horizontal="center"/>
    </xf>
    <xf numFmtId="0" fontId="30" fillId="0" borderId="22" xfId="0" applyFont="1" applyBorder="1" applyAlignment="1">
      <alignment horizontal="left"/>
    </xf>
    <xf numFmtId="0" fontId="30" fillId="0" borderId="23" xfId="0" applyFont="1" applyBorder="1" applyAlignment="1">
      <alignment horizontal="left"/>
    </xf>
    <xf numFmtId="0" fontId="30" fillId="0" borderId="24" xfId="0" applyFont="1" applyBorder="1" applyAlignment="1">
      <alignment horizontal="left"/>
    </xf>
    <xf numFmtId="0" fontId="30" fillId="0" borderId="16" xfId="0" applyFont="1" applyBorder="1" applyAlignment="1">
      <alignment horizontal="center"/>
    </xf>
    <xf numFmtId="0" fontId="30" fillId="0" borderId="10" xfId="0" applyFont="1" applyBorder="1" applyAlignment="1">
      <alignment horizontal="center"/>
    </xf>
    <xf numFmtId="4" fontId="15" fillId="7" borderId="18" xfId="0" applyNumberFormat="1" applyFont="1" applyFill="1" applyBorder="1" applyAlignment="1">
      <alignment horizontal="center"/>
    </xf>
    <xf numFmtId="0" fontId="15" fillId="7" borderId="10" xfId="0" applyFont="1" applyFill="1" applyBorder="1" applyAlignment="1" applyProtection="1">
      <alignment horizontal="center" wrapText="1"/>
      <protection locked="0"/>
    </xf>
    <xf numFmtId="4" fontId="16" fillId="2" borderId="26" xfId="0" applyNumberFormat="1" applyFont="1" applyFill="1" applyBorder="1" applyAlignment="1">
      <alignment horizontal="center" wrapText="1" shrinkToFit="1"/>
    </xf>
    <xf numFmtId="4" fontId="16" fillId="2" borderId="1" xfId="0" applyNumberFormat="1" applyFont="1" applyFill="1" applyBorder="1" applyAlignment="1">
      <alignment horizontal="center" wrapText="1" shrinkToFit="1"/>
    </xf>
    <xf numFmtId="0" fontId="0" fillId="0" borderId="1" xfId="0" applyBorder="1" applyAlignment="1">
      <alignment horizontal="center" wrapText="1" shrinkToFit="1"/>
    </xf>
    <xf numFmtId="0" fontId="16" fillId="6" borderId="0" xfId="0" applyFont="1" applyFill="1" applyBorder="1" applyAlignment="1">
      <alignment horizontal="center" wrapText="1"/>
    </xf>
    <xf numFmtId="4" fontId="16" fillId="4" borderId="1" xfId="0" applyNumberFormat="1" applyFont="1" applyFill="1" applyBorder="1" applyAlignment="1">
      <alignment horizontal="center" wrapText="1" shrinkToFit="1"/>
    </xf>
    <xf numFmtId="4" fontId="16" fillId="4" borderId="27" xfId="0" applyNumberFormat="1" applyFont="1" applyFill="1" applyBorder="1" applyAlignment="1">
      <alignment horizontal="center" wrapText="1" shrinkToFit="1"/>
    </xf>
    <xf numFmtId="4" fontId="15" fillId="4" borderId="16" xfId="0" applyNumberFormat="1" applyFont="1" applyFill="1" applyBorder="1" applyAlignment="1">
      <alignment horizontal="center" wrapText="1"/>
    </xf>
    <xf numFmtId="4" fontId="15" fillId="4" borderId="10" xfId="0" applyNumberFormat="1" applyFont="1" applyFill="1" applyBorder="1" applyAlignment="1">
      <alignment horizontal="center" wrapText="1"/>
    </xf>
    <xf numFmtId="4" fontId="15" fillId="4" borderId="20" xfId="0" applyNumberFormat="1" applyFont="1" applyFill="1" applyBorder="1" applyAlignment="1">
      <alignment horizontal="center" wrapText="1"/>
    </xf>
    <xf numFmtId="4" fontId="15" fillId="4" borderId="9" xfId="0" applyNumberFormat="1" applyFont="1" applyFill="1" applyBorder="1" applyAlignment="1">
      <alignment horizontal="center" wrapText="1"/>
    </xf>
    <xf numFmtId="4" fontId="15" fillId="5" borderId="10" xfId="0" applyNumberFormat="1" applyFont="1" applyFill="1" applyBorder="1" applyAlignment="1">
      <alignment horizontal="center"/>
    </xf>
    <xf numFmtId="4" fontId="15" fillId="5" borderId="0" xfId="0" applyNumberFormat="1" applyFont="1" applyFill="1" applyBorder="1" applyAlignment="1">
      <alignment horizontal="center"/>
    </xf>
    <xf numFmtId="4" fontId="16" fillId="5" borderId="1" xfId="0" applyNumberFormat="1" applyFont="1" applyFill="1" applyBorder="1" applyAlignment="1">
      <alignment horizontal="center" wrapText="1" shrinkToFit="1"/>
    </xf>
    <xf numFmtId="4" fontId="16" fillId="5" borderId="0" xfId="0" applyNumberFormat="1" applyFont="1" applyFill="1" applyBorder="1" applyAlignment="1">
      <alignment horizontal="center" wrapText="1" shrinkToFit="1"/>
    </xf>
    <xf numFmtId="4" fontId="15" fillId="3" borderId="16" xfId="0" applyNumberFormat="1" applyFont="1" applyFill="1" applyBorder="1" applyAlignment="1">
      <alignment horizontal="center"/>
    </xf>
    <xf numFmtId="4" fontId="15" fillId="3" borderId="10" xfId="0" applyNumberFormat="1" applyFont="1" applyFill="1" applyBorder="1" applyAlignment="1">
      <alignment horizontal="center"/>
    </xf>
    <xf numFmtId="4" fontId="15" fillId="3" borderId="17" xfId="0" applyNumberFormat="1" applyFont="1" applyFill="1" applyBorder="1" applyAlignment="1">
      <alignment horizontal="center"/>
    </xf>
    <xf numFmtId="4" fontId="15" fillId="3" borderId="18" xfId="0" applyNumberFormat="1" applyFont="1" applyFill="1" applyBorder="1" applyAlignment="1">
      <alignment horizontal="center"/>
    </xf>
    <xf numFmtId="4" fontId="15" fillId="3" borderId="0" xfId="0" applyNumberFormat="1" applyFont="1" applyFill="1" applyBorder="1" applyAlignment="1">
      <alignment horizontal="center"/>
    </xf>
    <xf numFmtId="4" fontId="15" fillId="3" borderId="19" xfId="0" applyNumberFormat="1" applyFont="1" applyFill="1" applyBorder="1" applyAlignment="1">
      <alignment horizontal="center"/>
    </xf>
    <xf numFmtId="4" fontId="16" fillId="3" borderId="32" xfId="0" applyNumberFormat="1" applyFont="1" applyFill="1" applyBorder="1" applyAlignment="1">
      <alignment horizontal="center" wrapText="1" shrinkToFit="1"/>
    </xf>
    <xf numFmtId="4" fontId="16" fillId="3" borderId="33" xfId="0" applyNumberFormat="1" applyFont="1" applyFill="1" applyBorder="1" applyAlignment="1">
      <alignment horizontal="center" wrapText="1" shrinkToFit="1"/>
    </xf>
    <xf numFmtId="4" fontId="16" fillId="3" borderId="34" xfId="0" applyNumberFormat="1" applyFont="1" applyFill="1" applyBorder="1" applyAlignment="1">
      <alignment horizontal="center" wrapText="1" shrinkToFit="1"/>
    </xf>
    <xf numFmtId="3" fontId="15" fillId="7" borderId="16" xfId="0" applyNumberFormat="1" applyFont="1" applyFill="1" applyBorder="1" applyAlignment="1">
      <alignment horizontal="center"/>
    </xf>
    <xf numFmtId="3" fontId="15" fillId="7" borderId="10" xfId="0" applyNumberFormat="1" applyFont="1" applyFill="1" applyBorder="1" applyAlignment="1">
      <alignment horizontal="center"/>
    </xf>
    <xf numFmtId="3" fontId="15" fillId="7" borderId="0" xfId="0" applyNumberFormat="1" applyFont="1" applyFill="1" applyBorder="1" applyAlignment="1">
      <alignment horizontal="center"/>
    </xf>
    <xf numFmtId="3" fontId="16" fillId="7" borderId="22" xfId="0" applyNumberFormat="1" applyFont="1" applyFill="1" applyBorder="1" applyAlignment="1">
      <alignment horizontal="center" wrapText="1"/>
    </xf>
    <xf numFmtId="3" fontId="16" fillId="7" borderId="23" xfId="0" applyNumberFormat="1" applyFont="1" applyFill="1" applyBorder="1" applyAlignment="1">
      <alignment horizontal="center" wrapText="1"/>
    </xf>
    <xf numFmtId="3" fontId="16" fillId="7" borderId="9" xfId="0" applyNumberFormat="1" applyFont="1" applyFill="1" applyBorder="1" applyAlignment="1">
      <alignment horizontal="center" wrapText="1"/>
    </xf>
    <xf numFmtId="3" fontId="16" fillId="7" borderId="21" xfId="0" applyNumberFormat="1" applyFont="1" applyFill="1" applyBorder="1" applyAlignment="1">
      <alignment horizontal="center" wrapText="1"/>
    </xf>
    <xf numFmtId="3" fontId="15" fillId="7" borderId="22" xfId="0" applyNumberFormat="1" applyFont="1" applyFill="1" applyBorder="1" applyAlignment="1">
      <alignment horizontal="center"/>
    </xf>
    <xf numFmtId="3" fontId="15" fillId="7" borderId="23" xfId="0" applyNumberFormat="1" applyFont="1" applyFill="1" applyBorder="1" applyAlignment="1">
      <alignment horizontal="center"/>
    </xf>
    <xf numFmtId="4" fontId="15" fillId="2" borderId="16" xfId="0" applyNumberFormat="1" applyFont="1" applyFill="1" applyBorder="1" applyAlignment="1">
      <alignment horizontal="center"/>
    </xf>
    <xf numFmtId="4" fontId="15" fillId="2" borderId="10" xfId="0" applyNumberFormat="1" applyFont="1" applyFill="1" applyBorder="1" applyAlignment="1">
      <alignment horizontal="center"/>
    </xf>
    <xf numFmtId="0" fontId="0" fillId="0" borderId="10" xfId="0" applyBorder="1" applyAlignment="1">
      <alignment horizontal="center"/>
    </xf>
    <xf numFmtId="4" fontId="15" fillId="2" borderId="18" xfId="0" applyNumberFormat="1" applyFont="1" applyFill="1" applyBorder="1" applyAlignment="1">
      <alignment horizontal="center"/>
    </xf>
    <xf numFmtId="4" fontId="15" fillId="2" borderId="0" xfId="0" applyNumberFormat="1" applyFont="1" applyFill="1" applyBorder="1" applyAlignment="1">
      <alignment horizontal="center"/>
    </xf>
    <xf numFmtId="0" fontId="0" fillId="0" borderId="0" xfId="0" applyAlignment="1">
      <alignment horizontal="center"/>
    </xf>
    <xf numFmtId="9" fontId="13" fillId="5" borderId="3" xfId="0" applyNumberFormat="1" applyFont="1" applyFill="1" applyBorder="1" applyAlignment="1">
      <alignment horizontal="center"/>
    </xf>
    <xf numFmtId="9" fontId="13" fillId="5" borderId="0" xfId="0" applyNumberFormat="1" applyFont="1" applyFill="1" applyBorder="1" applyAlignment="1">
      <alignment horizontal="center"/>
    </xf>
    <xf numFmtId="9" fontId="13" fillId="5" borderId="8" xfId="0" applyNumberFormat="1" applyFont="1" applyFill="1" applyBorder="1" applyAlignment="1">
      <alignment horizontal="center"/>
    </xf>
    <xf numFmtId="9" fontId="13" fillId="4" borderId="3" xfId="0" applyNumberFormat="1" applyFont="1" applyFill="1" applyBorder="1" applyAlignment="1">
      <alignment horizontal="center"/>
    </xf>
    <xf numFmtId="9" fontId="13" fillId="4" borderId="0" xfId="0" applyNumberFormat="1" applyFont="1" applyFill="1" applyBorder="1" applyAlignment="1">
      <alignment horizontal="center"/>
    </xf>
    <xf numFmtId="9" fontId="13" fillId="3" borderId="3" xfId="0" applyNumberFormat="1" applyFont="1" applyFill="1" applyBorder="1" applyAlignment="1">
      <alignment horizontal="center"/>
    </xf>
    <xf numFmtId="9" fontId="13" fillId="3" borderId="0" xfId="0" applyNumberFormat="1" applyFont="1" applyFill="1" applyBorder="1" applyAlignment="1">
      <alignment horizontal="center"/>
    </xf>
    <xf numFmtId="9" fontId="13" fillId="3" borderId="8" xfId="0" applyNumberFormat="1" applyFont="1" applyFill="1" applyBorder="1" applyAlignment="1">
      <alignment horizontal="center"/>
    </xf>
    <xf numFmtId="9" fontId="13" fillId="9" borderId="3" xfId="0" applyNumberFormat="1" applyFont="1" applyFill="1" applyBorder="1" applyAlignment="1">
      <alignment horizontal="center"/>
    </xf>
    <xf numFmtId="9" fontId="13" fillId="9" borderId="0" xfId="0" applyNumberFormat="1" applyFont="1" applyFill="1" applyBorder="1" applyAlignment="1">
      <alignment horizontal="center"/>
    </xf>
    <xf numFmtId="9" fontId="13" fillId="9" borderId="8" xfId="0" applyNumberFormat="1" applyFont="1" applyFill="1" applyBorder="1" applyAlignment="1">
      <alignment horizontal="center"/>
    </xf>
    <xf numFmtId="0" fontId="13" fillId="7" borderId="3" xfId="0" applyFont="1" applyFill="1" applyBorder="1" applyAlignment="1">
      <alignment horizontal="center"/>
    </xf>
    <xf numFmtId="0" fontId="13" fillId="7" borderId="0" xfId="0" applyFont="1" applyFill="1" applyBorder="1" applyAlignment="1">
      <alignment horizontal="center"/>
    </xf>
    <xf numFmtId="0" fontId="14" fillId="7" borderId="4" xfId="0" applyFont="1" applyFill="1" applyBorder="1" applyAlignment="1">
      <alignment horizontal="center" wrapText="1"/>
    </xf>
    <xf numFmtId="0" fontId="14" fillId="7" borderId="1" xfId="0" applyFont="1" applyFill="1" applyBorder="1" applyAlignment="1">
      <alignment horizontal="center" wrapText="1"/>
    </xf>
    <xf numFmtId="0" fontId="23" fillId="7" borderId="20" xfId="0" applyFont="1" applyFill="1" applyBorder="1" applyAlignment="1">
      <alignment horizontal="center"/>
    </xf>
    <xf numFmtId="0" fontId="23" fillId="7" borderId="9" xfId="0" applyFont="1" applyFill="1" applyBorder="1" applyAlignment="1">
      <alignment horizontal="center"/>
    </xf>
    <xf numFmtId="0" fontId="23" fillId="7" borderId="23" xfId="0" applyFont="1" applyFill="1" applyBorder="1" applyAlignment="1">
      <alignment horizontal="center"/>
    </xf>
    <xf numFmtId="0" fontId="23" fillId="7" borderId="24" xfId="0" applyFont="1" applyFill="1" applyBorder="1" applyAlignment="1">
      <alignment horizontal="center"/>
    </xf>
    <xf numFmtId="6" fontId="14" fillId="7" borderId="22" xfId="0" applyNumberFormat="1" applyFont="1" applyFill="1" applyBorder="1" applyAlignment="1">
      <alignment horizontal="center" wrapText="1"/>
    </xf>
    <xf numFmtId="6" fontId="14" fillId="7" borderId="23" xfId="0" applyNumberFormat="1" applyFont="1" applyFill="1" applyBorder="1" applyAlignment="1">
      <alignment horizontal="center" wrapText="1"/>
    </xf>
    <xf numFmtId="6" fontId="14" fillId="7" borderId="24" xfId="0" applyNumberFormat="1" applyFont="1" applyFill="1" applyBorder="1" applyAlignment="1">
      <alignment horizontal="center" wrapText="1"/>
    </xf>
    <xf numFmtId="0" fontId="23" fillId="7" borderId="18" xfId="0" applyFont="1" applyFill="1" applyBorder="1" applyAlignment="1">
      <alignment horizontal="center"/>
    </xf>
    <xf numFmtId="0" fontId="23" fillId="7" borderId="0" xfId="0" applyFont="1" applyFill="1" applyBorder="1" applyAlignment="1">
      <alignment horizontal="center"/>
    </xf>
    <xf numFmtId="0" fontId="23" fillId="7" borderId="19" xfId="0" applyFont="1" applyFill="1" applyBorder="1" applyAlignment="1">
      <alignment horizontal="center"/>
    </xf>
    <xf numFmtId="0" fontId="15" fillId="7" borderId="25" xfId="0" applyFont="1" applyFill="1" applyBorder="1" applyAlignment="1">
      <alignment horizontal="left" wrapText="1"/>
    </xf>
    <xf numFmtId="0" fontId="15" fillId="7" borderId="35" xfId="0" applyFont="1" applyFill="1" applyBorder="1" applyAlignment="1">
      <alignment horizontal="left" wrapText="1"/>
    </xf>
    <xf numFmtId="9" fontId="13" fillId="5" borderId="18" xfId="0" applyNumberFormat="1" applyFont="1" applyFill="1" applyBorder="1" applyAlignment="1">
      <alignment horizontal="center"/>
    </xf>
    <xf numFmtId="9" fontId="13" fillId="5" borderId="19" xfId="0" applyNumberFormat="1" applyFont="1" applyFill="1" applyBorder="1" applyAlignment="1">
      <alignment horizontal="center"/>
    </xf>
    <xf numFmtId="9" fontId="13" fillId="3" borderId="18" xfId="0" applyNumberFormat="1" applyFont="1" applyFill="1" applyBorder="1" applyAlignment="1">
      <alignment horizontal="center"/>
    </xf>
    <xf numFmtId="9" fontId="13" fillId="4" borderId="16" xfId="0" applyNumberFormat="1" applyFont="1" applyFill="1" applyBorder="1" applyAlignment="1">
      <alignment horizontal="center"/>
    </xf>
    <xf numFmtId="9" fontId="13" fillId="4" borderId="10" xfId="0" applyNumberFormat="1" applyFont="1" applyFill="1" applyBorder="1" applyAlignment="1">
      <alignment horizontal="center"/>
    </xf>
    <xf numFmtId="9" fontId="13" fillId="4" borderId="17" xfId="0" applyNumberFormat="1" applyFont="1" applyFill="1" applyBorder="1" applyAlignment="1">
      <alignment horizontal="center"/>
    </xf>
    <xf numFmtId="9" fontId="13" fillId="9" borderId="18" xfId="0" applyNumberFormat="1" applyFont="1" applyFill="1" applyBorder="1" applyAlignment="1">
      <alignment horizontal="center"/>
    </xf>
    <xf numFmtId="0" fontId="14" fillId="0" borderId="18" xfId="0" applyFont="1" applyBorder="1" applyAlignment="1">
      <alignment horizontal="center" wrapText="1"/>
    </xf>
    <xf numFmtId="0" fontId="14" fillId="0" borderId="0" xfId="0" applyFont="1" applyBorder="1" applyAlignment="1">
      <alignment horizontal="center" wrapText="1"/>
    </xf>
    <xf numFmtId="0" fontId="14" fillId="0" borderId="19" xfId="0" applyFont="1" applyBorder="1" applyAlignment="1">
      <alignment horizontal="center" wrapText="1"/>
    </xf>
    <xf numFmtId="0" fontId="12" fillId="0" borderId="22"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2" fillId="0" borderId="7"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52" fillId="17" borderId="7" xfId="0" applyFont="1" applyFill="1" applyBorder="1" applyAlignment="1">
      <alignment horizontal="center"/>
    </xf>
    <xf numFmtId="0" fontId="52" fillId="17" borderId="0" xfId="0" applyFont="1" applyFill="1" applyBorder="1" applyAlignment="1">
      <alignment horizontal="center"/>
    </xf>
    <xf numFmtId="0" fontId="52" fillId="17" borderId="1" xfId="0" applyFont="1" applyFill="1" applyBorder="1" applyAlignment="1">
      <alignment horizontal="center"/>
    </xf>
    <xf numFmtId="0" fontId="52" fillId="17" borderId="7" xfId="0" applyFont="1" applyFill="1" applyBorder="1" applyAlignment="1">
      <alignment horizontal="left" wrapText="1"/>
    </xf>
    <xf numFmtId="0" fontId="52" fillId="17" borderId="29" xfId="0" applyFont="1" applyFill="1" applyBorder="1" applyAlignment="1">
      <alignment horizontal="left" wrapText="1"/>
    </xf>
    <xf numFmtId="0" fontId="52" fillId="17" borderId="1" xfId="0" applyFont="1" applyFill="1" applyBorder="1" applyAlignment="1">
      <alignment horizontal="left" wrapText="1"/>
    </xf>
    <xf numFmtId="0" fontId="52" fillId="17" borderId="11" xfId="0" applyFont="1" applyFill="1" applyBorder="1" applyAlignment="1">
      <alignment horizontal="left" wrapText="1"/>
    </xf>
    <xf numFmtId="0" fontId="52" fillId="18" borderId="7" xfId="0" applyFont="1" applyFill="1" applyBorder="1" applyAlignment="1">
      <alignment horizontal="center"/>
    </xf>
    <xf numFmtId="0" fontId="52" fillId="18" borderId="0" xfId="0" applyFont="1" applyFill="1" applyBorder="1" applyAlignment="1">
      <alignment horizontal="center"/>
    </xf>
    <xf numFmtId="0" fontId="52" fillId="18" borderId="1" xfId="0" applyFont="1" applyFill="1" applyBorder="1" applyAlignment="1">
      <alignment horizontal="center"/>
    </xf>
    <xf numFmtId="0" fontId="52" fillId="18" borderId="7" xfId="0" applyFont="1" applyFill="1" applyBorder="1" applyAlignment="1">
      <alignment horizontal="left" wrapText="1"/>
    </xf>
    <xf numFmtId="0" fontId="52" fillId="18" borderId="29" xfId="0" applyFont="1" applyFill="1" applyBorder="1" applyAlignment="1">
      <alignment horizontal="left" wrapText="1"/>
    </xf>
    <xf numFmtId="0" fontId="52" fillId="18" borderId="1" xfId="0" applyFont="1" applyFill="1" applyBorder="1" applyAlignment="1">
      <alignment horizontal="left" wrapText="1"/>
    </xf>
    <xf numFmtId="0" fontId="52" fillId="18" borderId="11" xfId="0" applyFont="1" applyFill="1" applyBorder="1" applyAlignment="1">
      <alignment horizontal="left" wrapText="1"/>
    </xf>
    <xf numFmtId="0" fontId="52" fillId="20" borderId="3" xfId="0" applyFont="1" applyFill="1" applyBorder="1" applyAlignment="1">
      <alignment horizontal="center"/>
    </xf>
    <xf numFmtId="0" fontId="52" fillId="20" borderId="0" xfId="0" applyFont="1" applyFill="1" applyBorder="1" applyAlignment="1">
      <alignment horizontal="center"/>
    </xf>
    <xf numFmtId="0" fontId="52" fillId="20" borderId="7" xfId="0" applyFont="1" applyFill="1" applyBorder="1" applyAlignment="1">
      <alignment horizontal="center"/>
    </xf>
    <xf numFmtId="0" fontId="52" fillId="20" borderId="29" xfId="0" applyFont="1" applyFill="1" applyBorder="1" applyAlignment="1">
      <alignment horizontal="center"/>
    </xf>
    <xf numFmtId="0" fontId="52" fillId="20" borderId="4" xfId="0" applyFont="1" applyFill="1" applyBorder="1" applyAlignment="1">
      <alignment horizontal="center"/>
    </xf>
    <xf numFmtId="0" fontId="52" fillId="20" borderId="1" xfId="0" applyFont="1" applyFill="1" applyBorder="1" applyAlignment="1">
      <alignment horizontal="center"/>
    </xf>
    <xf numFmtId="0" fontId="52" fillId="20" borderId="11" xfId="0" applyFont="1" applyFill="1" applyBorder="1" applyAlignment="1">
      <alignment horizontal="center"/>
    </xf>
    <xf numFmtId="0" fontId="52" fillId="16" borderId="7" xfId="0" applyFont="1" applyFill="1" applyBorder="1" applyAlignment="1">
      <alignment horizontal="center"/>
    </xf>
    <xf numFmtId="0" fontId="52" fillId="16" borderId="0" xfId="0" applyFont="1" applyFill="1" applyBorder="1" applyAlignment="1">
      <alignment horizontal="center"/>
    </xf>
    <xf numFmtId="0" fontId="52" fillId="16" borderId="1" xfId="0" applyFont="1" applyFill="1" applyBorder="1" applyAlignment="1">
      <alignment horizontal="center"/>
    </xf>
    <xf numFmtId="0" fontId="52" fillId="16" borderId="7" xfId="0" applyFont="1" applyFill="1" applyBorder="1" applyAlignment="1">
      <alignment horizontal="left" wrapText="1"/>
    </xf>
    <xf numFmtId="0" fontId="52" fillId="16" borderId="29" xfId="0" applyFont="1" applyFill="1" applyBorder="1" applyAlignment="1">
      <alignment horizontal="left" wrapText="1"/>
    </xf>
    <xf numFmtId="0" fontId="52" fillId="16" borderId="1" xfId="0" applyFont="1" applyFill="1" applyBorder="1" applyAlignment="1">
      <alignment horizontal="left" wrapText="1"/>
    </xf>
    <xf numFmtId="0" fontId="52" fillId="16" borderId="11" xfId="0" applyFont="1" applyFill="1" applyBorder="1" applyAlignment="1">
      <alignment horizontal="left" wrapText="1"/>
    </xf>
    <xf numFmtId="0" fontId="52" fillId="19" borderId="7" xfId="0" applyFont="1" applyFill="1" applyBorder="1" applyAlignment="1">
      <alignment horizontal="center"/>
    </xf>
    <xf numFmtId="0" fontId="52" fillId="19" borderId="0" xfId="0" applyFont="1" applyFill="1" applyBorder="1" applyAlignment="1">
      <alignment horizontal="center"/>
    </xf>
    <xf numFmtId="0" fontId="52" fillId="19" borderId="1" xfId="0" applyFont="1" applyFill="1" applyBorder="1" applyAlignment="1">
      <alignment horizontal="center"/>
    </xf>
    <xf numFmtId="0" fontId="52" fillId="19" borderId="7" xfId="0" applyFont="1" applyFill="1" applyBorder="1" applyAlignment="1">
      <alignment horizontal="left" wrapText="1"/>
    </xf>
    <xf numFmtId="0" fontId="52" fillId="19" borderId="29" xfId="0" applyFont="1" applyFill="1" applyBorder="1" applyAlignment="1">
      <alignment horizontal="left" wrapText="1"/>
    </xf>
    <xf numFmtId="0" fontId="52" fillId="19" borderId="1" xfId="0" applyFont="1" applyFill="1" applyBorder="1" applyAlignment="1">
      <alignment horizontal="left" wrapText="1"/>
    </xf>
    <xf numFmtId="0" fontId="52" fillId="19" borderId="11" xfId="0" applyFont="1" applyFill="1" applyBorder="1" applyAlignment="1">
      <alignment horizontal="left" wrapText="1"/>
    </xf>
    <xf numFmtId="0" fontId="52" fillId="18" borderId="6" xfId="0" applyFont="1" applyFill="1" applyBorder="1" applyAlignment="1">
      <alignment horizontal="center"/>
    </xf>
    <xf numFmtId="0" fontId="52" fillId="18" borderId="3" xfId="0" applyFont="1" applyFill="1" applyBorder="1" applyAlignment="1">
      <alignment horizontal="center"/>
    </xf>
    <xf numFmtId="0" fontId="52" fillId="18" borderId="4" xfId="0" applyFont="1" applyFill="1" applyBorder="1" applyAlignment="1">
      <alignment horizontal="center"/>
    </xf>
    <xf numFmtId="0" fontId="52" fillId="18" borderId="29" xfId="0" applyFont="1" applyFill="1" applyBorder="1" applyAlignment="1">
      <alignment horizontal="center"/>
    </xf>
    <xf numFmtId="0" fontId="52" fillId="18" borderId="11" xfId="0" applyFont="1" applyFill="1" applyBorder="1" applyAlignment="1">
      <alignment horizontal="center"/>
    </xf>
    <xf numFmtId="0" fontId="52" fillId="21" borderId="6" xfId="0" applyFont="1" applyFill="1" applyBorder="1" applyAlignment="1">
      <alignment horizontal="center"/>
    </xf>
    <xf numFmtId="0" fontId="52" fillId="21" borderId="7" xfId="0" applyFont="1" applyFill="1" applyBorder="1" applyAlignment="1">
      <alignment horizontal="center"/>
    </xf>
    <xf numFmtId="0" fontId="52" fillId="21" borderId="3" xfId="0" applyFont="1" applyFill="1" applyBorder="1" applyAlignment="1">
      <alignment horizontal="center"/>
    </xf>
    <xf numFmtId="0" fontId="52" fillId="21" borderId="0" xfId="0" applyFont="1" applyFill="1" applyBorder="1" applyAlignment="1">
      <alignment horizontal="center"/>
    </xf>
    <xf numFmtId="0" fontId="52" fillId="21" borderId="4" xfId="0" applyFont="1" applyFill="1" applyBorder="1" applyAlignment="1">
      <alignment horizontal="center"/>
    </xf>
    <xf numFmtId="0" fontId="52" fillId="21" borderId="1" xfId="0" applyFont="1" applyFill="1" applyBorder="1" applyAlignment="1">
      <alignment horizontal="center"/>
    </xf>
    <xf numFmtId="0" fontId="55" fillId="0" borderId="1" xfId="0" applyFont="1" applyBorder="1" applyAlignment="1">
      <alignment horizontal="center"/>
    </xf>
    <xf numFmtId="0" fontId="52" fillId="20" borderId="6" xfId="0" applyFont="1" applyFill="1" applyBorder="1" applyAlignment="1">
      <alignment horizontal="center"/>
    </xf>
    <xf numFmtId="0" fontId="52" fillId="20" borderId="8" xfId="0" applyFont="1" applyFill="1" applyBorder="1" applyAlignment="1">
      <alignment horizontal="center"/>
    </xf>
    <xf numFmtId="44" fontId="52" fillId="21" borderId="2" xfId="3" applyFont="1" applyFill="1" applyBorder="1" applyAlignment="1">
      <alignment horizontal="center"/>
    </xf>
    <xf numFmtId="44" fontId="52" fillId="21" borderId="43" xfId="3" applyFont="1" applyFill="1" applyBorder="1" applyAlignment="1">
      <alignment horizontal="center"/>
    </xf>
    <xf numFmtId="0" fontId="52" fillId="22" borderId="6" xfId="0" applyFont="1" applyFill="1" applyBorder="1" applyAlignment="1">
      <alignment horizontal="center"/>
    </xf>
    <xf numFmtId="0" fontId="52" fillId="22" borderId="7" xfId="0" applyFont="1" applyFill="1" applyBorder="1" applyAlignment="1">
      <alignment horizontal="center"/>
    </xf>
    <xf numFmtId="0" fontId="52" fillId="22" borderId="3" xfId="0" applyFont="1" applyFill="1" applyBorder="1" applyAlignment="1">
      <alignment horizontal="center"/>
    </xf>
    <xf numFmtId="0" fontId="52" fillId="22" borderId="0" xfId="0" applyFont="1" applyFill="1" applyBorder="1" applyAlignment="1">
      <alignment horizontal="center"/>
    </xf>
    <xf numFmtId="0" fontId="52" fillId="22" borderId="29" xfId="0" applyFont="1" applyFill="1" applyBorder="1" applyAlignment="1">
      <alignment horizontal="center"/>
    </xf>
    <xf numFmtId="0" fontId="52" fillId="22" borderId="8" xfId="0" applyFont="1" applyFill="1" applyBorder="1" applyAlignment="1">
      <alignment horizontal="center"/>
    </xf>
    <xf numFmtId="0" fontId="0" fillId="8" borderId="6" xfId="0" applyFill="1" applyBorder="1" applyAlignment="1">
      <alignment horizontal="center"/>
    </xf>
    <xf numFmtId="0" fontId="0" fillId="8" borderId="7" xfId="0" applyFill="1" applyBorder="1" applyAlignment="1">
      <alignment horizontal="center"/>
    </xf>
    <xf numFmtId="0" fontId="0" fillId="8" borderId="3" xfId="0" applyFill="1" applyBorder="1" applyAlignment="1">
      <alignment horizontal="center"/>
    </xf>
    <xf numFmtId="0" fontId="0" fillId="8" borderId="0" xfId="0" applyFill="1" applyBorder="1" applyAlignment="1">
      <alignment horizontal="center"/>
    </xf>
    <xf numFmtId="0" fontId="0" fillId="8" borderId="4" xfId="0" applyFill="1" applyBorder="1" applyAlignment="1">
      <alignment horizontal="center"/>
    </xf>
    <xf numFmtId="0" fontId="0" fillId="8" borderId="1" xfId="0" applyFill="1" applyBorder="1" applyAlignment="1">
      <alignment horizontal="center"/>
    </xf>
    <xf numFmtId="0" fontId="0" fillId="17" borderId="6" xfId="0" applyFill="1" applyBorder="1" applyAlignment="1">
      <alignment horizontal="center"/>
    </xf>
    <xf numFmtId="0" fontId="0" fillId="17" borderId="7" xfId="0" applyFill="1" applyBorder="1" applyAlignment="1">
      <alignment horizontal="center"/>
    </xf>
    <xf numFmtId="0" fontId="0" fillId="17" borderId="3" xfId="0" applyFill="1" applyBorder="1" applyAlignment="1">
      <alignment horizontal="center"/>
    </xf>
    <xf numFmtId="0" fontId="0" fillId="17" borderId="0" xfId="0" applyFill="1" applyBorder="1" applyAlignment="1">
      <alignment horizontal="center"/>
    </xf>
    <xf numFmtId="0" fontId="0" fillId="17" borderId="4" xfId="0" applyFill="1" applyBorder="1" applyAlignment="1">
      <alignment horizontal="center"/>
    </xf>
    <xf numFmtId="0" fontId="0" fillId="17" borderId="1" xfId="0" applyFill="1" applyBorder="1" applyAlignment="1">
      <alignment horizontal="center"/>
    </xf>
    <xf numFmtId="44" fontId="52" fillId="21" borderId="75" xfId="3" applyFont="1" applyFill="1" applyBorder="1" applyAlignment="1">
      <alignment horizontal="left" vertical="top" wrapText="1"/>
    </xf>
    <xf numFmtId="44" fontId="52" fillId="21" borderId="73" xfId="3" applyFont="1" applyFill="1" applyBorder="1" applyAlignment="1">
      <alignment horizontal="left" vertical="top" wrapText="1"/>
    </xf>
    <xf numFmtId="44" fontId="52" fillId="20" borderId="75" xfId="3" applyFont="1" applyFill="1" applyBorder="1" applyAlignment="1">
      <alignment horizontal="left" vertical="top" wrapText="1"/>
    </xf>
    <xf numFmtId="44" fontId="52" fillId="20" borderId="74" xfId="3" applyFont="1" applyFill="1" applyBorder="1" applyAlignment="1">
      <alignment horizontal="left" vertical="top" wrapText="1"/>
    </xf>
    <xf numFmtId="44" fontId="52" fillId="20" borderId="73" xfId="3" applyFont="1" applyFill="1" applyBorder="1" applyAlignment="1">
      <alignment horizontal="left" vertical="top" wrapText="1"/>
    </xf>
    <xf numFmtId="0" fontId="52" fillId="21" borderId="3" xfId="0" applyFont="1" applyFill="1" applyBorder="1" applyAlignment="1">
      <alignment wrapText="1"/>
    </xf>
    <xf numFmtId="0" fontId="52" fillId="21" borderId="0" xfId="0" applyFont="1" applyFill="1" applyBorder="1" applyAlignment="1">
      <alignment wrapText="1"/>
    </xf>
    <xf numFmtId="0" fontId="52" fillId="21" borderId="8" xfId="0" applyFont="1" applyFill="1" applyBorder="1" applyAlignment="1">
      <alignment wrapText="1"/>
    </xf>
    <xf numFmtId="37" fontId="0" fillId="24" borderId="41" xfId="3" applyNumberFormat="1" applyFont="1" applyFill="1" applyBorder="1"/>
    <xf numFmtId="39" fontId="0" fillId="0" borderId="0" xfId="0" applyNumberFormat="1"/>
    <xf numFmtId="42" fontId="0" fillId="0" borderId="0" xfId="0" applyNumberFormat="1"/>
    <xf numFmtId="44" fontId="0" fillId="0" borderId="0" xfId="0" applyNumberFormat="1"/>
    <xf numFmtId="4" fontId="0" fillId="0" borderId="0" xfId="0" applyNumberFormat="1"/>
    <xf numFmtId="3" fontId="0" fillId="0" borderId="0" xfId="0" applyNumberFormat="1"/>
    <xf numFmtId="2" fontId="43" fillId="0" borderId="0" xfId="0" applyNumberFormat="1" applyFont="1"/>
    <xf numFmtId="4" fontId="43" fillId="0" borderId="0" xfId="0" applyNumberFormat="1" applyFont="1"/>
    <xf numFmtId="3" fontId="43" fillId="0" borderId="0" xfId="0" applyNumberFormat="1" applyFont="1"/>
  </cellXfs>
  <cellStyles count="10">
    <cellStyle name="20% - Accent1" xfId="6" builtinId="30"/>
    <cellStyle name="20% - Accent1 2" xfId="7"/>
    <cellStyle name="Comma" xfId="2" builtinId="3"/>
    <cellStyle name="Currency" xfId="3" builtinId="4"/>
    <cellStyle name="Hyperlink" xfId="4" builtinId="8"/>
    <cellStyle name="Normal" xfId="0" builtinId="0"/>
    <cellStyle name="Normal 2" xfId="1"/>
    <cellStyle name="Normal 3" xfId="8"/>
    <cellStyle name="Percent" xfId="5" builtinId="5"/>
    <cellStyle name="Percent 2" xfId="9"/>
  </cellStyles>
  <dxfs count="0"/>
  <tableStyles count="0" defaultTableStyle="TableStyleMedium2" defaultPivotStyle="PivotStyleLight16"/>
  <colors>
    <mruColors>
      <color rgb="FFCC0099"/>
      <color rgb="FFD50909"/>
      <color rgb="FFCCCCCC"/>
      <color rgb="FF2C84A9"/>
      <color rgb="FF2884A9"/>
      <color rgb="FF605E5E"/>
      <color rgb="FFFF33CC"/>
      <color rgb="FF13771D"/>
      <color rgb="FF37770B"/>
      <color rgb="FFF0EF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7.xml"/><Relationship Id="rId18" Type="http://schemas.openxmlformats.org/officeDocument/2006/relationships/worksheet" Target="worksheets/sheet8.xml"/><Relationship Id="rId26" Type="http://schemas.openxmlformats.org/officeDocument/2006/relationships/worksheet" Target="worksheets/sheet12.xml"/><Relationship Id="rId39" Type="http://schemas.openxmlformats.org/officeDocument/2006/relationships/worksheet" Target="worksheets/sheet19.xml"/><Relationship Id="rId21" Type="http://schemas.openxmlformats.org/officeDocument/2006/relationships/chartsheet" Target="chartsheets/sheet12.xml"/><Relationship Id="rId34" Type="http://schemas.openxmlformats.org/officeDocument/2006/relationships/chartsheet" Target="chartsheets/sheet16.xml"/><Relationship Id="rId42" Type="http://schemas.openxmlformats.org/officeDocument/2006/relationships/worksheet" Target="worksheets/sheet22.xml"/><Relationship Id="rId47" Type="http://schemas.openxmlformats.org/officeDocument/2006/relationships/worksheet" Target="worksheets/sheet27.xml"/><Relationship Id="rId50" Type="http://schemas.openxmlformats.org/officeDocument/2006/relationships/worksheet" Target="worksheets/sheet30.xml"/><Relationship Id="rId55" Type="http://schemas.openxmlformats.org/officeDocument/2006/relationships/worksheet" Target="worksheets/sheet35.xml"/><Relationship Id="rId7" Type="http://schemas.openxmlformats.org/officeDocument/2006/relationships/worksheet" Target="worksheets/sheet4.xml"/><Relationship Id="rId12" Type="http://schemas.openxmlformats.org/officeDocument/2006/relationships/worksheet" Target="worksheets/sheet6.xml"/><Relationship Id="rId17" Type="http://schemas.openxmlformats.org/officeDocument/2006/relationships/worksheet" Target="worksheets/sheet7.xml"/><Relationship Id="rId25" Type="http://schemas.openxmlformats.org/officeDocument/2006/relationships/chartsheet" Target="chartsheets/sheet14.xml"/><Relationship Id="rId33" Type="http://schemas.openxmlformats.org/officeDocument/2006/relationships/worksheet" Target="worksheets/sheet18.xml"/><Relationship Id="rId38" Type="http://schemas.openxmlformats.org/officeDocument/2006/relationships/chartsheet" Target="chartsheets/sheet20.xml"/><Relationship Id="rId46" Type="http://schemas.openxmlformats.org/officeDocument/2006/relationships/worksheet" Target="worksheets/sheet2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hartsheet" Target="chartsheets/sheet10.xml"/><Relationship Id="rId20" Type="http://schemas.openxmlformats.org/officeDocument/2006/relationships/chartsheet" Target="chartsheets/sheet11.xml"/><Relationship Id="rId29" Type="http://schemas.openxmlformats.org/officeDocument/2006/relationships/worksheet" Target="worksheets/sheet14.xml"/><Relationship Id="rId41" Type="http://schemas.openxmlformats.org/officeDocument/2006/relationships/worksheet" Target="worksheets/sheet21.xml"/><Relationship Id="rId54" Type="http://schemas.openxmlformats.org/officeDocument/2006/relationships/worksheet" Target="worksheets/sheet34.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chartsheet" Target="chartsheets/sheet6.xml"/><Relationship Id="rId24" Type="http://schemas.openxmlformats.org/officeDocument/2006/relationships/chartsheet" Target="chartsheets/sheet13.xml"/><Relationship Id="rId32" Type="http://schemas.openxmlformats.org/officeDocument/2006/relationships/worksheet" Target="worksheets/sheet17.xml"/><Relationship Id="rId37" Type="http://schemas.openxmlformats.org/officeDocument/2006/relationships/chartsheet" Target="chartsheets/sheet19.xml"/><Relationship Id="rId40" Type="http://schemas.openxmlformats.org/officeDocument/2006/relationships/worksheet" Target="worksheets/sheet20.xml"/><Relationship Id="rId45" Type="http://schemas.openxmlformats.org/officeDocument/2006/relationships/worksheet" Target="worksheets/sheet25.xml"/><Relationship Id="rId53" Type="http://schemas.openxmlformats.org/officeDocument/2006/relationships/worksheet" Target="worksheets/sheet33.xml"/><Relationship Id="rId58" Type="http://schemas.openxmlformats.org/officeDocument/2006/relationships/styles" Target="styles.xml"/><Relationship Id="rId5" Type="http://schemas.openxmlformats.org/officeDocument/2006/relationships/chartsheet" Target="chartsheets/sheet2.xml"/><Relationship Id="rId15" Type="http://schemas.openxmlformats.org/officeDocument/2006/relationships/chartsheet" Target="chartsheets/sheet9.xml"/><Relationship Id="rId23" Type="http://schemas.openxmlformats.org/officeDocument/2006/relationships/worksheet" Target="worksheets/sheet11.xml"/><Relationship Id="rId28" Type="http://schemas.openxmlformats.org/officeDocument/2006/relationships/chartsheet" Target="chartsheets/sheet15.xml"/><Relationship Id="rId36" Type="http://schemas.openxmlformats.org/officeDocument/2006/relationships/chartsheet" Target="chartsheets/sheet18.xml"/><Relationship Id="rId49" Type="http://schemas.openxmlformats.org/officeDocument/2006/relationships/worksheet" Target="worksheets/sheet29.xml"/><Relationship Id="rId57" Type="http://schemas.openxmlformats.org/officeDocument/2006/relationships/theme" Target="theme/theme1.xml"/><Relationship Id="rId10" Type="http://schemas.openxmlformats.org/officeDocument/2006/relationships/worksheet" Target="worksheets/sheet5.xml"/><Relationship Id="rId19" Type="http://schemas.openxmlformats.org/officeDocument/2006/relationships/worksheet" Target="worksheets/sheet9.xml"/><Relationship Id="rId31" Type="http://schemas.openxmlformats.org/officeDocument/2006/relationships/worksheet" Target="worksheets/sheet16.xml"/><Relationship Id="rId44" Type="http://schemas.openxmlformats.org/officeDocument/2006/relationships/worksheet" Target="worksheets/sheet24.xml"/><Relationship Id="rId52" Type="http://schemas.openxmlformats.org/officeDocument/2006/relationships/worksheet" Target="worksheets/sheet32.xml"/><Relationship Id="rId60"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chartsheet" Target="chartsheets/sheet5.xml"/><Relationship Id="rId14" Type="http://schemas.openxmlformats.org/officeDocument/2006/relationships/chartsheet" Target="chartsheets/sheet8.xml"/><Relationship Id="rId22" Type="http://schemas.openxmlformats.org/officeDocument/2006/relationships/worksheet" Target="worksheets/sheet10.xml"/><Relationship Id="rId27" Type="http://schemas.openxmlformats.org/officeDocument/2006/relationships/worksheet" Target="worksheets/sheet13.xml"/><Relationship Id="rId30" Type="http://schemas.openxmlformats.org/officeDocument/2006/relationships/worksheet" Target="worksheets/sheet15.xml"/><Relationship Id="rId35" Type="http://schemas.openxmlformats.org/officeDocument/2006/relationships/chartsheet" Target="chartsheets/sheet17.xml"/><Relationship Id="rId43" Type="http://schemas.openxmlformats.org/officeDocument/2006/relationships/worksheet" Target="worksheets/sheet23.xml"/><Relationship Id="rId48" Type="http://schemas.openxmlformats.org/officeDocument/2006/relationships/worksheet" Target="worksheets/sheet28.xml"/><Relationship Id="rId56" Type="http://schemas.openxmlformats.org/officeDocument/2006/relationships/worksheet" Target="worksheets/sheet36.xml"/><Relationship Id="rId8" Type="http://schemas.openxmlformats.org/officeDocument/2006/relationships/chartsheet" Target="chartsheets/sheet4.xml"/><Relationship Id="rId51" Type="http://schemas.openxmlformats.org/officeDocument/2006/relationships/worksheet" Target="worksheets/sheet31.xml"/><Relationship Id="rId3"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latin typeface="Arial Narrow" pitchFamily="34" charset="0"/>
              </a:rPr>
              <a:t>Washington County Population Projections </a:t>
            </a:r>
          </a:p>
          <a:p>
            <a:pPr>
              <a:defRPr sz="1600"/>
            </a:pPr>
            <a:r>
              <a:rPr lang="en-US" sz="1600" baseline="0">
                <a:latin typeface="Arial Narrow" pitchFamily="34" charset="0"/>
              </a:rPr>
              <a:t>Based on Governor's Office Estimates and Selected Growth Rate</a:t>
            </a:r>
          </a:p>
        </c:rich>
      </c:tx>
      <c:layout>
        <c:manualLayout>
          <c:xMode val="edge"/>
          <c:yMode val="edge"/>
          <c:x val="0.17072218509981757"/>
          <c:y val="0.11518268125997347"/>
        </c:manualLayout>
      </c:layout>
      <c:overlay val="0"/>
      <c:spPr>
        <a:noFill/>
        <a:ln>
          <a:noFill/>
        </a:ln>
      </c:spPr>
    </c:title>
    <c:autoTitleDeleted val="0"/>
    <c:plotArea>
      <c:layout>
        <c:manualLayout>
          <c:layoutTarget val="inner"/>
          <c:xMode val="edge"/>
          <c:yMode val="edge"/>
          <c:x val="8.1887046246764864E-2"/>
          <c:y val="0.21666225973956096"/>
          <c:w val="0.91802387397351093"/>
          <c:h val="0.73137231596428143"/>
        </c:manualLayout>
      </c:layout>
      <c:lineChart>
        <c:grouping val="standard"/>
        <c:varyColors val="0"/>
        <c:ser>
          <c:idx val="1"/>
          <c:order val="0"/>
          <c:tx>
            <c:strRef>
              <c:f>'Summary Baseline Data'!$D$8</c:f>
              <c:strCache>
                <c:ptCount val="1"/>
                <c:pt idx="0">
                  <c:v>Population  (Based on Census &amp; GOPB Estimates)</c:v>
                </c:pt>
              </c:strCache>
            </c:strRef>
          </c:tx>
          <c:spPr>
            <a:ln w="63500">
              <a:solidFill>
                <a:schemeClr val="accent2">
                  <a:lumMod val="50000"/>
                </a:schemeClr>
              </a:solidFill>
            </a:ln>
          </c:spPr>
          <c:marker>
            <c:symbol val="none"/>
          </c:marker>
          <c:cat>
            <c:numRef>
              <c:f>'Summary Baseline Data'!$A$27:$A$79</c:f>
              <c:numCache>
                <c:formatCode>General</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'Summary Baseline Data'!$D$27:$D$79</c:f>
              <c:numCache>
                <c:formatCode>#,##0</c:formatCode>
                <c:ptCount val="53"/>
                <c:pt idx="0">
                  <c:v>135552</c:v>
                </c:pt>
                <c:pt idx="1">
                  <c:v>137088</c:v>
                </c:pt>
                <c:pt idx="2">
                  <c:v>138516</c:v>
                </c:pt>
                <c:pt idx="3">
                  <c:v>141666</c:v>
                </c:pt>
                <c:pt idx="4">
                  <c:v>144809</c:v>
                </c:pt>
                <c:pt idx="5">
                  <c:v>151303.125</c:v>
                </c:pt>
                <c:pt idx="6">
                  <c:v>157797.25</c:v>
                </c:pt>
                <c:pt idx="7">
                  <c:v>164291.375</c:v>
                </c:pt>
                <c:pt idx="8">
                  <c:v>170785.5</c:v>
                </c:pt>
                <c:pt idx="9">
                  <c:v>177279.625</c:v>
                </c:pt>
                <c:pt idx="10">
                  <c:v>183773.75</c:v>
                </c:pt>
                <c:pt idx="11">
                  <c:v>190267.875</c:v>
                </c:pt>
                <c:pt idx="12">
                  <c:v>196762</c:v>
                </c:pt>
                <c:pt idx="13">
                  <c:v>205141.6</c:v>
                </c:pt>
                <c:pt idx="14">
                  <c:v>213521.2</c:v>
                </c:pt>
                <c:pt idx="15">
                  <c:v>221900.80000000002</c:v>
                </c:pt>
                <c:pt idx="16">
                  <c:v>230280.40000000002</c:v>
                </c:pt>
                <c:pt idx="17">
                  <c:v>238660.00000000003</c:v>
                </c:pt>
                <c:pt idx="18">
                  <c:v>247039.60000000003</c:v>
                </c:pt>
                <c:pt idx="19">
                  <c:v>255419.20000000004</c:v>
                </c:pt>
                <c:pt idx="20">
                  <c:v>263798.80000000005</c:v>
                </c:pt>
                <c:pt idx="21">
                  <c:v>272178.40000000002</c:v>
                </c:pt>
                <c:pt idx="22">
                  <c:v>280558</c:v>
                </c:pt>
                <c:pt idx="23">
                  <c:v>289676.5</c:v>
                </c:pt>
                <c:pt idx="24">
                  <c:v>298795</c:v>
                </c:pt>
                <c:pt idx="25">
                  <c:v>307913.5</c:v>
                </c:pt>
                <c:pt idx="26">
                  <c:v>317032</c:v>
                </c:pt>
                <c:pt idx="27">
                  <c:v>326150.5</c:v>
                </c:pt>
                <c:pt idx="28">
                  <c:v>335269</c:v>
                </c:pt>
                <c:pt idx="29">
                  <c:v>344387.5</c:v>
                </c:pt>
                <c:pt idx="30">
                  <c:v>353506</c:v>
                </c:pt>
                <c:pt idx="31">
                  <c:v>362624.5</c:v>
                </c:pt>
                <c:pt idx="32">
                  <c:v>371743</c:v>
                </c:pt>
                <c:pt idx="33">
                  <c:v>381825.4</c:v>
                </c:pt>
                <c:pt idx="34">
                  <c:v>391907.80000000005</c:v>
                </c:pt>
                <c:pt idx="35">
                  <c:v>401990.20000000007</c:v>
                </c:pt>
                <c:pt idx="36">
                  <c:v>412072.60000000009</c:v>
                </c:pt>
                <c:pt idx="37">
                  <c:v>422155.00000000012</c:v>
                </c:pt>
                <c:pt idx="38">
                  <c:v>432237.40000000014</c:v>
                </c:pt>
                <c:pt idx="39">
                  <c:v>442319.80000000016</c:v>
                </c:pt>
                <c:pt idx="40">
                  <c:v>452402.20000000019</c:v>
                </c:pt>
                <c:pt idx="41">
                  <c:v>462484.60000000021</c:v>
                </c:pt>
                <c:pt idx="42">
                  <c:v>472567</c:v>
                </c:pt>
                <c:pt idx="43">
                  <c:v>483483.4</c:v>
                </c:pt>
                <c:pt idx="44">
                  <c:v>494399.80000000005</c:v>
                </c:pt>
                <c:pt idx="45">
                  <c:v>505316.20000000007</c:v>
                </c:pt>
                <c:pt idx="46">
                  <c:v>516232.60000000009</c:v>
                </c:pt>
                <c:pt idx="47">
                  <c:v>527149.00000000012</c:v>
                </c:pt>
                <c:pt idx="48">
                  <c:v>538065.40000000014</c:v>
                </c:pt>
                <c:pt idx="49">
                  <c:v>548981.80000000016</c:v>
                </c:pt>
                <c:pt idx="50">
                  <c:v>559898.20000000019</c:v>
                </c:pt>
                <c:pt idx="51">
                  <c:v>570814.60000000021</c:v>
                </c:pt>
                <c:pt idx="52">
                  <c:v>581731</c:v>
                </c:pt>
              </c:numCache>
            </c:numRef>
          </c:val>
          <c:smooth val="0"/>
        </c:ser>
        <c:ser>
          <c:idx val="2"/>
          <c:order val="1"/>
          <c:tx>
            <c:v>Anticipated Population under Selected Growth Rate</c:v>
          </c:tx>
          <c:spPr>
            <a:ln w="63500">
              <a:solidFill>
                <a:schemeClr val="accent6">
                  <a:lumMod val="75000"/>
                </a:schemeClr>
              </a:solidFill>
            </a:ln>
          </c:spPr>
          <c:marker>
            <c:symbol val="none"/>
          </c:marker>
          <c:cat>
            <c:numRef>
              <c:f>'Summary Baseline Data'!$A$27:$A$79</c:f>
              <c:numCache>
                <c:formatCode>General</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Population'!$C$14:$C$66</c:f>
              <c:numCache>
                <c:formatCode>_(* #,##0_);_(* \(#,##0\);_(* "-"??_);_(@_)</c:formatCode>
                <c:ptCount val="53"/>
                <c:pt idx="0">
                  <c:v>135552</c:v>
                </c:pt>
                <c:pt idx="1">
                  <c:v>137088</c:v>
                </c:pt>
                <c:pt idx="2">
                  <c:v>138516</c:v>
                </c:pt>
                <c:pt idx="3">
                  <c:v>141666</c:v>
                </c:pt>
                <c:pt idx="4">
                  <c:v>144809</c:v>
                </c:pt>
                <c:pt idx="5">
                  <c:v>151303.125</c:v>
                </c:pt>
                <c:pt idx="6" formatCode="#,##0">
                  <c:v>155615.26406250001</c:v>
                </c:pt>
                <c:pt idx="7" formatCode="#,##0">
                  <c:v>160050.29908828126</c:v>
                </c:pt>
                <c:pt idx="8" formatCode="#,##0">
                  <c:v>164611.73261229726</c:v>
                </c:pt>
                <c:pt idx="9" formatCode="#,##0">
                  <c:v>169303.16699174771</c:v>
                </c:pt>
                <c:pt idx="10" formatCode="#,##0">
                  <c:v>174128.30725101251</c:v>
                </c:pt>
                <c:pt idx="11" formatCode="#,##0">
                  <c:v>179090.96400766636</c:v>
                </c:pt>
                <c:pt idx="12" formatCode="#,##0">
                  <c:v>184195.05648188485</c:v>
                </c:pt>
                <c:pt idx="13" formatCode="#,##0">
                  <c:v>189444.61559161855</c:v>
                </c:pt>
                <c:pt idx="14" formatCode="#,##0">
                  <c:v>194843.78713597968</c:v>
                </c:pt>
                <c:pt idx="15" formatCode="#,##0">
                  <c:v>200396.83506935509</c:v>
                </c:pt>
                <c:pt idx="16" formatCode="#,##0">
                  <c:v>206108.1448688317</c:v>
                </c:pt>
                <c:pt idx="17" formatCode="#,##0">
                  <c:v>211982.22699759339</c:v>
                </c:pt>
                <c:pt idx="18" formatCode="#,##0">
                  <c:v>218023.7204670248</c:v>
                </c:pt>
                <c:pt idx="19" formatCode="#,##0">
                  <c:v>224237.39650033502</c:v>
                </c:pt>
                <c:pt idx="20" formatCode="#,##0">
                  <c:v>230628.16230059456</c:v>
                </c:pt>
                <c:pt idx="21" formatCode="#,##0">
                  <c:v>237201.06492616149</c:v>
                </c:pt>
                <c:pt idx="22" formatCode="#,##0">
                  <c:v>243961.2952765571</c:v>
                </c:pt>
                <c:pt idx="23" formatCode="#,##0">
                  <c:v>250914.19219193896</c:v>
                </c:pt>
                <c:pt idx="24" formatCode="#,##0">
                  <c:v>258065.24666940921</c:v>
                </c:pt>
                <c:pt idx="25" formatCode="#,##0">
                  <c:v>265420.10619948735</c:v>
                </c:pt>
                <c:pt idx="26" formatCode="#,##0">
                  <c:v>272984.5792261727</c:v>
                </c:pt>
                <c:pt idx="27" formatCode="#,##0">
                  <c:v>280764.63973411859</c:v>
                </c:pt>
                <c:pt idx="28" formatCode="#,##0">
                  <c:v>288766.43196654099</c:v>
                </c:pt>
                <c:pt idx="29" formatCode="#,##0">
                  <c:v>296996.27527758741</c:v>
                </c:pt>
                <c:pt idx="30" formatCode="#,##0">
                  <c:v>305460.66912299866</c:v>
                </c:pt>
                <c:pt idx="31" formatCode="#,##0">
                  <c:v>314166.2981930041</c:v>
                </c:pt>
                <c:pt idx="32" formatCode="#,##0">
                  <c:v>323120.03769150469</c:v>
                </c:pt>
                <c:pt idx="33" formatCode="#,##0">
                  <c:v>332328.95876571257</c:v>
                </c:pt>
                <c:pt idx="34" formatCode="#,##0">
                  <c:v>341800.33409053535</c:v>
                </c:pt>
                <c:pt idx="35" formatCode="#,##0">
                  <c:v>351541.64361211559</c:v>
                </c:pt>
                <c:pt idx="36" formatCode="#,##0">
                  <c:v>361560.58045506087</c:v>
                </c:pt>
                <c:pt idx="37" formatCode="#,##0">
                  <c:v>371865.05699803011</c:v>
                </c:pt>
                <c:pt idx="38" formatCode="#,##0">
                  <c:v>382463.21112247393</c:v>
                </c:pt>
                <c:pt idx="39" formatCode="#,##0">
                  <c:v>393363.41263946443</c:v>
                </c:pt>
                <c:pt idx="40" formatCode="#,##0">
                  <c:v>404574.26989968913</c:v>
                </c:pt>
                <c:pt idx="41" formatCode="#,##0">
                  <c:v>416104.63659183023</c:v>
                </c:pt>
                <c:pt idx="42" formatCode="#,##0">
                  <c:v>427963.6187346974</c:v>
                </c:pt>
                <c:pt idx="43" formatCode="#,##0">
                  <c:v>440160.58186863625</c:v>
                </c:pt>
                <c:pt idx="44" formatCode="#,##0">
                  <c:v>452705.15845189238</c:v>
                </c:pt>
                <c:pt idx="45" formatCode="#,##0">
                  <c:v>465607.25546777132</c:v>
                </c:pt>
                <c:pt idx="46" formatCode="#,##0">
                  <c:v>478877.0622486028</c:v>
                </c:pt>
                <c:pt idx="47" formatCode="#,##0">
                  <c:v>492525.05852268799</c:v>
                </c:pt>
                <c:pt idx="48" formatCode="#,##0">
                  <c:v>506562.02269058459</c:v>
                </c:pt>
                <c:pt idx="49" formatCode="#,##0">
                  <c:v>520999.04033726623</c:v>
                </c:pt>
                <c:pt idx="50" formatCode="#,##0">
                  <c:v>535847.51298687828</c:v>
                </c:pt>
                <c:pt idx="51" formatCode="#,##0">
                  <c:v>551119.16710700432</c:v>
                </c:pt>
                <c:pt idx="52" formatCode="#,##0">
                  <c:v>566826.06336955389</c:v>
                </c:pt>
              </c:numCache>
            </c:numRef>
          </c:val>
          <c:smooth val="0"/>
        </c:ser>
        <c:ser>
          <c:idx val="3"/>
          <c:order val="2"/>
          <c:marker>
            <c:symbol val="none"/>
          </c:marker>
          <c:dLbls>
            <c:spPr>
              <a:noFill/>
              <a:ln>
                <a:noFill/>
              </a:ln>
              <a:effectLst/>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Baseline Data'!$A$27:$A$79</c:f>
              <c:numCache>
                <c:formatCode>General</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Population'!$E$14:$E$66</c:f>
              <c:numCache>
                <c:formatCode>0%</c:formatCode>
                <c:ptCount val="53"/>
                <c:pt idx="52" formatCode="#,##0">
                  <c:v>581731</c:v>
                </c:pt>
              </c:numCache>
            </c:numRef>
          </c:val>
          <c:smooth val="0"/>
        </c:ser>
        <c:ser>
          <c:idx val="0"/>
          <c:order val="3"/>
          <c:marker>
            <c:symbol val="none"/>
          </c:marker>
          <c:dLbls>
            <c:dLbl>
              <c:idx val="77"/>
              <c:spPr/>
              <c:txPr>
                <a:bodyPr rot="0" vert="horz" anchor="t" anchorCtr="0"/>
                <a:lstStyle/>
                <a:p>
                  <a:pPr>
                    <a:defRPr b="1"/>
                  </a:pPr>
                  <a:endParaRPr lang="en-US"/>
                </a:p>
              </c:txPr>
              <c:dLblPos val="t"/>
              <c:showLegendKey val="0"/>
              <c:showVal val="1"/>
              <c:showCatName val="0"/>
              <c:showSerName val="0"/>
              <c:showPercent val="0"/>
              <c:showBubbleSize val="0"/>
            </c:dLbl>
            <c:spPr>
              <a:noFill/>
              <a:ln>
                <a:noFill/>
              </a:ln>
              <a:effectLst/>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Baseline Data'!$A$27:$A$79</c:f>
              <c:numCache>
                <c:formatCode>General</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Population'!$D$14:$D$66</c:f>
              <c:numCache>
                <c:formatCode>0%</c:formatCode>
                <c:ptCount val="53"/>
                <c:pt idx="0" formatCode="_(* #,##0_);_(* \(#,##0\);_(* &quot;-&quot;??_);_(@_)">
                  <c:v>135552</c:v>
                </c:pt>
                <c:pt idx="52" formatCode="#,##0">
                  <c:v>566826.06336955389</c:v>
                </c:pt>
              </c:numCache>
            </c:numRef>
          </c:val>
          <c:smooth val="0"/>
        </c:ser>
        <c:dLbls>
          <c:showLegendKey val="0"/>
          <c:showVal val="0"/>
          <c:showCatName val="0"/>
          <c:showSerName val="0"/>
          <c:showPercent val="0"/>
          <c:showBubbleSize val="0"/>
        </c:dLbls>
        <c:smooth val="0"/>
        <c:axId val="398992872"/>
        <c:axId val="398990912"/>
      </c:lineChart>
      <c:dateAx>
        <c:axId val="398992872"/>
        <c:scaling>
          <c:orientation val="minMax"/>
        </c:scaling>
        <c:delete val="0"/>
        <c:axPos val="b"/>
        <c:numFmt formatCode="General" sourceLinked="1"/>
        <c:majorTickMark val="out"/>
        <c:minorTickMark val="out"/>
        <c:tickLblPos val="nextTo"/>
        <c:txPr>
          <a:bodyPr/>
          <a:lstStyle/>
          <a:p>
            <a:pPr>
              <a:defRPr sz="1200" b="1">
                <a:latin typeface="Arial Narrow" pitchFamily="34" charset="0"/>
              </a:defRPr>
            </a:pPr>
            <a:endParaRPr lang="en-US"/>
          </a:p>
        </c:txPr>
        <c:crossAx val="398990912"/>
        <c:crosses val="autoZero"/>
        <c:auto val="0"/>
        <c:lblOffset val="100"/>
        <c:baseTimeUnit val="days"/>
      </c:dateAx>
      <c:valAx>
        <c:axId val="398990912"/>
        <c:scaling>
          <c:orientation val="minMax"/>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8992872"/>
        <c:crosses val="autoZero"/>
        <c:crossBetween val="between"/>
      </c:valAx>
    </c:plotArea>
    <c:legend>
      <c:legendPos val="r"/>
      <c:layout>
        <c:manualLayout>
          <c:xMode val="edge"/>
          <c:yMode val="edge"/>
          <c:x val="9.1635905218471564E-2"/>
          <c:y val="0.21843389219324405"/>
          <c:w val="0.4239746949048489"/>
          <c:h val="7.9038645468216248E-2"/>
        </c:manualLayout>
      </c:layout>
      <c:overlay val="0"/>
      <c:txPr>
        <a:bodyPr/>
        <a:lstStyle/>
        <a:p>
          <a:pPr>
            <a:defRPr sz="1400">
              <a:latin typeface="Arial Narrow" pitchFamily="34" charset="0"/>
            </a:defRPr>
          </a:pPr>
          <a:endParaRPr lang="en-US"/>
        </a:p>
      </c:txPr>
    </c:legend>
    <c:plotVisOnly val="0"/>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4276251071838"/>
          <c:y val="0.17977604689590204"/>
          <c:w val="0.8758371182534791"/>
          <c:h val="0.7533679255447463"/>
        </c:manualLayout>
      </c:layout>
      <c:barChart>
        <c:barDir val="col"/>
        <c:grouping val="clustered"/>
        <c:varyColors val="0"/>
        <c:ser>
          <c:idx val="1"/>
          <c:order val="0"/>
          <c:invertIfNegative val="0"/>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Population'!$N$14:$N$66</c:f>
              <c:numCache>
                <c:formatCode>_(* #,##0_);_(* \(#,##0\);_(* "-"??_);_(@_)</c:formatCode>
                <c:ptCount val="53"/>
                <c:pt idx="0">
                  <c:v>0</c:v>
                </c:pt>
                <c:pt idx="1">
                  <c:v>0</c:v>
                </c:pt>
                <c:pt idx="2">
                  <c:v>0</c:v>
                </c:pt>
                <c:pt idx="3">
                  <c:v>0</c:v>
                </c:pt>
                <c:pt idx="4">
                  <c:v>0</c:v>
                </c:pt>
                <c:pt idx="5">
                  <c:v>0</c:v>
                </c:pt>
                <c:pt idx="6">
                  <c:v>1426639.18221215</c:v>
                </c:pt>
                <c:pt idx="7">
                  <c:v>6560296.0481469566</c:v>
                </c:pt>
                <c:pt idx="8">
                  <c:v>11985412.567764405</c:v>
                </c:pt>
                <c:pt idx="9">
                  <c:v>17714432.128534507</c:v>
                </c:pt>
                <c:pt idx="10">
                  <c:v>23760270.652910635</c:v>
                </c:pt>
                <c:pt idx="11">
                  <c:v>30136333.42567965</c:v>
                </c:pt>
                <c:pt idx="12">
                  <c:v>36856532.496658728</c:v>
                </c:pt>
                <c:pt idx="13">
                  <c:v>43935304.677858621</c:v>
                </c:pt>
                <c:pt idx="14">
                  <c:v>51387630.15486645</c:v>
                </c:pt>
                <c:pt idx="15">
                  <c:v>59229051.732839055</c:v>
                </c:pt>
                <c:pt idx="16">
                  <c:v>67475694.738163084</c:v>
                </c:pt>
                <c:pt idx="17">
                  <c:v>76144287.597520277</c:v>
                </c:pt>
                <c:pt idx="18">
                  <c:v>79867623.81062381</c:v>
                </c:pt>
                <c:pt idx="19">
                  <c:v>83741341.990273505</c:v>
                </c:pt>
                <c:pt idx="20">
                  <c:v>87770989.628722817</c:v>
                </c:pt>
                <c:pt idx="21">
                  <c:v>91962308.277532026</c:v>
                </c:pt>
                <c:pt idx="22">
                  <c:v>96321240.102997437</c:v>
                </c:pt>
                <c:pt idx="23">
                  <c:v>100853934.65761611</c:v>
                </c:pt>
                <c:pt idx="24">
                  <c:v>105566755.87457436</c:v>
                </c:pt>
                <c:pt idx="25">
                  <c:v>110466289.29247352</c:v>
                </c:pt>
                <c:pt idx="26">
                  <c:v>115559349.51773369</c:v>
                </c:pt>
                <c:pt idx="27">
                  <c:v>120852987.93235628</c:v>
                </c:pt>
                <c:pt idx="28">
                  <c:v>126354500.65496644</c:v>
                </c:pt>
                <c:pt idx="29">
                  <c:v>132071436.76331694</c:v>
                </c:pt>
                <c:pt idx="30">
                  <c:v>138011606.78668693</c:v>
                </c:pt>
                <c:pt idx="31">
                  <c:v>144183091.47687763</c:v>
                </c:pt>
                <c:pt idx="32">
                  <c:v>150594250.86679658</c:v>
                </c:pt>
                <c:pt idx="33">
                  <c:v>157253733.62588945</c:v>
                </c:pt>
                <c:pt idx="34">
                  <c:v>164170486.72198346</c:v>
                </c:pt>
                <c:pt idx="35">
                  <c:v>171353765.39941764</c:v>
                </c:pt>
                <c:pt idx="36">
                  <c:v>178813143.48362553</c:v>
                </c:pt>
                <c:pt idx="37">
                  <c:v>186558524.02268714</c:v>
                </c:pt>
                <c:pt idx="38">
                  <c:v>194600150.27668107</c:v>
                </c:pt>
                <c:pt idx="39">
                  <c:v>202948617.06601542</c:v>
                </c:pt>
                <c:pt idx="40">
                  <c:v>211614882.49027917</c:v>
                </c:pt>
                <c:pt idx="41">
                  <c:v>220610280.02951401</c:v>
                </c:pt>
                <c:pt idx="42">
                  <c:v>229946531.04018345</c:v>
                </c:pt>
                <c:pt idx="43">
                  <c:v>236500007.17482835</c:v>
                </c:pt>
                <c:pt idx="44">
                  <c:v>243240257.37931097</c:v>
                </c:pt>
                <c:pt idx="45">
                  <c:v>250172604.71462101</c:v>
                </c:pt>
                <c:pt idx="46">
                  <c:v>257302523.94898808</c:v>
                </c:pt>
                <c:pt idx="47">
                  <c:v>264635645.88153446</c:v>
                </c:pt>
                <c:pt idx="48">
                  <c:v>272177761.78915787</c:v>
                </c:pt>
                <c:pt idx="49">
                  <c:v>279934828.00014871</c:v>
                </c:pt>
                <c:pt idx="50">
                  <c:v>287912970.59815294</c:v>
                </c:pt>
                <c:pt idx="51">
                  <c:v>296118490.26020044</c:v>
                </c:pt>
                <c:pt idx="52">
                  <c:v>304557867.23261595</c:v>
                </c:pt>
              </c:numCache>
            </c:numRef>
          </c:val>
        </c:ser>
        <c:dLbls>
          <c:showLegendKey val="0"/>
          <c:showVal val="0"/>
          <c:showCatName val="0"/>
          <c:showSerName val="0"/>
          <c:showPercent val="0"/>
          <c:showBubbleSize val="0"/>
        </c:dLbls>
        <c:gapWidth val="16"/>
        <c:axId val="398868544"/>
        <c:axId val="398863056"/>
      </c:barChart>
      <c:catAx>
        <c:axId val="398868544"/>
        <c:scaling>
          <c:orientation val="minMax"/>
        </c:scaling>
        <c:delete val="0"/>
        <c:axPos val="b"/>
        <c:numFmt formatCode="0" sourceLinked="1"/>
        <c:majorTickMark val="out"/>
        <c:minorTickMark val="none"/>
        <c:tickLblPos val="nextTo"/>
        <c:txPr>
          <a:bodyPr/>
          <a:lstStyle/>
          <a:p>
            <a:pPr>
              <a:defRPr sz="1200" b="1">
                <a:latin typeface="Arial Narrow" panose="020B0606020202030204" pitchFamily="34" charset="0"/>
              </a:defRPr>
            </a:pPr>
            <a:endParaRPr lang="en-US"/>
          </a:p>
        </c:txPr>
        <c:crossAx val="398863056"/>
        <c:crosses val="autoZero"/>
        <c:auto val="1"/>
        <c:lblAlgn val="ctr"/>
        <c:lblOffset val="100"/>
        <c:tickLblSkip val="5"/>
        <c:tickMarkSkip val="5"/>
        <c:noMultiLvlLbl val="0"/>
      </c:catAx>
      <c:valAx>
        <c:axId val="398863056"/>
        <c:scaling>
          <c:orientation val="minMax"/>
        </c:scaling>
        <c:delete val="0"/>
        <c:axPos val="l"/>
        <c:majorGridlines/>
        <c:numFmt formatCode="&quot;$&quot;#,##0_);[Red]\(&quot;$&quot;#,##0\)" sourceLinked="0"/>
        <c:majorTickMark val="out"/>
        <c:minorTickMark val="none"/>
        <c:tickLblPos val="nextTo"/>
        <c:txPr>
          <a:bodyPr/>
          <a:lstStyle/>
          <a:p>
            <a:pPr>
              <a:defRPr sz="1200" b="1">
                <a:latin typeface="Arial Narrow" panose="020B0606020202030204" pitchFamily="34" charset="0"/>
              </a:defRPr>
            </a:pPr>
            <a:endParaRPr lang="en-US"/>
          </a:p>
        </c:txPr>
        <c:crossAx val="398868544"/>
        <c:crosses val="autoZero"/>
        <c:crossBetween val="between"/>
      </c:valAx>
    </c:plotArea>
    <c:plotVisOnly val="1"/>
    <c:dispBlanksAs val="gap"/>
    <c:showDLblsOverMax val="0"/>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Costs under Economists' Plan</a:t>
            </a:r>
          </a:p>
        </c:rich>
      </c:tx>
      <c:layout>
        <c:manualLayout>
          <c:xMode val="edge"/>
          <c:yMode val="edge"/>
          <c:x val="0.34876970244245192"/>
          <c:y val="0.11114623779685427"/>
        </c:manualLayout>
      </c:layout>
      <c:overlay val="0"/>
    </c:title>
    <c:autoTitleDeleted val="0"/>
    <c:plotArea>
      <c:layout>
        <c:manualLayout>
          <c:layoutTarget val="inner"/>
          <c:xMode val="edge"/>
          <c:yMode val="edge"/>
          <c:x val="7.4231627602670797E-2"/>
          <c:y val="0.18635106707469881"/>
          <c:w val="0.92059717414103259"/>
          <c:h val="0.75966279908076617"/>
        </c:manualLayout>
      </c:layout>
      <c:barChart>
        <c:barDir val="col"/>
        <c:grouping val="clustered"/>
        <c:varyColors val="0"/>
        <c:ser>
          <c:idx val="4"/>
          <c:order val="0"/>
          <c:tx>
            <c:v>7% Interest</c:v>
          </c:tx>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Costs'!$I$34:$I$80</c:f>
              <c:numCache>
                <c:formatCode>"$"#,##0_);[Red]\("$"#,##0\)</c:formatCode>
                <c:ptCount val="47"/>
                <c:pt idx="0">
                  <c:v>70213594.203879833</c:v>
                </c:pt>
                <c:pt idx="1">
                  <c:v>70213594.203879833</c:v>
                </c:pt>
                <c:pt idx="2">
                  <c:v>70213594.203879833</c:v>
                </c:pt>
                <c:pt idx="3">
                  <c:v>70213594.203879833</c:v>
                </c:pt>
                <c:pt idx="4">
                  <c:v>70213594.203879833</c:v>
                </c:pt>
                <c:pt idx="5">
                  <c:v>70213594.203879833</c:v>
                </c:pt>
                <c:pt idx="6">
                  <c:v>70213594.203879833</c:v>
                </c:pt>
                <c:pt idx="7">
                  <c:v>70213594.203879833</c:v>
                </c:pt>
                <c:pt idx="8">
                  <c:v>70213594.203879833</c:v>
                </c:pt>
                <c:pt idx="9">
                  <c:v>70213594.203879833</c:v>
                </c:pt>
                <c:pt idx="10">
                  <c:v>70213594.203879833</c:v>
                </c:pt>
                <c:pt idx="11">
                  <c:v>70213594.203879833</c:v>
                </c:pt>
                <c:pt idx="12">
                  <c:v>70213594.203879833</c:v>
                </c:pt>
                <c:pt idx="13">
                  <c:v>70213594.203879833</c:v>
                </c:pt>
                <c:pt idx="14">
                  <c:v>70213594.203879833</c:v>
                </c:pt>
                <c:pt idx="15">
                  <c:v>70213594.203879833</c:v>
                </c:pt>
                <c:pt idx="16">
                  <c:v>70213594.203879833</c:v>
                </c:pt>
                <c:pt idx="17">
                  <c:v>70213594.203879833</c:v>
                </c:pt>
                <c:pt idx="18">
                  <c:v>70213594.203879833</c:v>
                </c:pt>
                <c:pt idx="19">
                  <c:v>70213594.203879833</c:v>
                </c:pt>
                <c:pt idx="20">
                  <c:v>70213594.203879833</c:v>
                </c:pt>
                <c:pt idx="21">
                  <c:v>70213594.203879833</c:v>
                </c:pt>
                <c:pt idx="22">
                  <c:v>70213594.203879833</c:v>
                </c:pt>
                <c:pt idx="23">
                  <c:v>70213594.203879833</c:v>
                </c:pt>
                <c:pt idx="24">
                  <c:v>70213594.203879833</c:v>
                </c:pt>
                <c:pt idx="25">
                  <c:v>70213594.203879833</c:v>
                </c:pt>
                <c:pt idx="26">
                  <c:v>70213594.203879833</c:v>
                </c:pt>
                <c:pt idx="27">
                  <c:v>70213594.203879833</c:v>
                </c:pt>
                <c:pt idx="28">
                  <c:v>70213594.203879833</c:v>
                </c:pt>
                <c:pt idx="29">
                  <c:v>70213594.203879833</c:v>
                </c:pt>
                <c:pt idx="30">
                  <c:v>70213594.203879833</c:v>
                </c:pt>
                <c:pt idx="31">
                  <c:v>70213594.203879833</c:v>
                </c:pt>
                <c:pt idx="32">
                  <c:v>70213594.203879833</c:v>
                </c:pt>
                <c:pt idx="33">
                  <c:v>70213594.203879833</c:v>
                </c:pt>
                <c:pt idx="34">
                  <c:v>70213594.203879833</c:v>
                </c:pt>
                <c:pt idx="35">
                  <c:v>70213594.203879833</c:v>
                </c:pt>
                <c:pt idx="36">
                  <c:v>70213594.203879833</c:v>
                </c:pt>
                <c:pt idx="37">
                  <c:v>70213594.203879833</c:v>
                </c:pt>
                <c:pt idx="38">
                  <c:v>70213594.203879833</c:v>
                </c:pt>
                <c:pt idx="39">
                  <c:v>70213594.203879833</c:v>
                </c:pt>
                <c:pt idx="40">
                  <c:v>70213594.203879833</c:v>
                </c:pt>
                <c:pt idx="41">
                  <c:v>70213594.203879833</c:v>
                </c:pt>
                <c:pt idx="42">
                  <c:v>70213594.203879833</c:v>
                </c:pt>
                <c:pt idx="43">
                  <c:v>70213594.203879833</c:v>
                </c:pt>
                <c:pt idx="44">
                  <c:v>70213594.203879833</c:v>
                </c:pt>
                <c:pt idx="45">
                  <c:v>70213594.203879833</c:v>
                </c:pt>
                <c:pt idx="46">
                  <c:v>70213594.203879833</c:v>
                </c:pt>
              </c:numCache>
            </c:numRef>
          </c:val>
        </c:ser>
        <c:ser>
          <c:idx val="3"/>
          <c:order val="1"/>
          <c:tx>
            <c:v>5%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Costs'!$G$34:$G$80</c:f>
              <c:numCache>
                <c:formatCode>"$"#,##0_);[Red]\("$"#,##0\)</c:formatCode>
                <c:ptCount val="47"/>
                <c:pt idx="0">
                  <c:v>53078656.685678646</c:v>
                </c:pt>
                <c:pt idx="1">
                  <c:v>53078656.685678646</c:v>
                </c:pt>
                <c:pt idx="2">
                  <c:v>53078656.685678646</c:v>
                </c:pt>
                <c:pt idx="3">
                  <c:v>53078656.685678646</c:v>
                </c:pt>
                <c:pt idx="4">
                  <c:v>53078656.685678646</c:v>
                </c:pt>
                <c:pt idx="5">
                  <c:v>53078656.685678646</c:v>
                </c:pt>
                <c:pt idx="6">
                  <c:v>53078656.685678646</c:v>
                </c:pt>
                <c:pt idx="7">
                  <c:v>53078656.685678646</c:v>
                </c:pt>
                <c:pt idx="8">
                  <c:v>53078656.685678646</c:v>
                </c:pt>
                <c:pt idx="9">
                  <c:v>53078656.685678646</c:v>
                </c:pt>
                <c:pt idx="10">
                  <c:v>53078656.685678646</c:v>
                </c:pt>
                <c:pt idx="11">
                  <c:v>53078656.685678646</c:v>
                </c:pt>
                <c:pt idx="12">
                  <c:v>53078656.685678646</c:v>
                </c:pt>
                <c:pt idx="13">
                  <c:v>53078656.685678646</c:v>
                </c:pt>
                <c:pt idx="14">
                  <c:v>53078656.685678646</c:v>
                </c:pt>
                <c:pt idx="15">
                  <c:v>53078656.685678646</c:v>
                </c:pt>
                <c:pt idx="16">
                  <c:v>53078656.685678646</c:v>
                </c:pt>
                <c:pt idx="17">
                  <c:v>53078656.685678646</c:v>
                </c:pt>
                <c:pt idx="18">
                  <c:v>53078656.685678646</c:v>
                </c:pt>
                <c:pt idx="19">
                  <c:v>53078656.685678646</c:v>
                </c:pt>
                <c:pt idx="20">
                  <c:v>53078656.685678646</c:v>
                </c:pt>
                <c:pt idx="21">
                  <c:v>53078656.685678646</c:v>
                </c:pt>
                <c:pt idx="22">
                  <c:v>53078656.685678646</c:v>
                </c:pt>
                <c:pt idx="23">
                  <c:v>53078656.685678646</c:v>
                </c:pt>
                <c:pt idx="24">
                  <c:v>53078656.685678646</c:v>
                </c:pt>
                <c:pt idx="25">
                  <c:v>53078656.685678646</c:v>
                </c:pt>
                <c:pt idx="26">
                  <c:v>53078656.685678646</c:v>
                </c:pt>
                <c:pt idx="27">
                  <c:v>53078656.685678646</c:v>
                </c:pt>
                <c:pt idx="28">
                  <c:v>53078656.685678646</c:v>
                </c:pt>
                <c:pt idx="29">
                  <c:v>53078656.685678646</c:v>
                </c:pt>
                <c:pt idx="30">
                  <c:v>53078656.685678646</c:v>
                </c:pt>
                <c:pt idx="31">
                  <c:v>53078656.685678646</c:v>
                </c:pt>
                <c:pt idx="32">
                  <c:v>53078656.685678646</c:v>
                </c:pt>
                <c:pt idx="33">
                  <c:v>53078656.685678646</c:v>
                </c:pt>
                <c:pt idx="34">
                  <c:v>53078656.685678646</c:v>
                </c:pt>
                <c:pt idx="35">
                  <c:v>53078656.685678646</c:v>
                </c:pt>
                <c:pt idx="36">
                  <c:v>53078656.685678646</c:v>
                </c:pt>
                <c:pt idx="37">
                  <c:v>53078656.685678646</c:v>
                </c:pt>
                <c:pt idx="38">
                  <c:v>53078656.685678646</c:v>
                </c:pt>
                <c:pt idx="39">
                  <c:v>53078656.685678646</c:v>
                </c:pt>
                <c:pt idx="40">
                  <c:v>53078656.685678646</c:v>
                </c:pt>
                <c:pt idx="41">
                  <c:v>53078656.685678646</c:v>
                </c:pt>
                <c:pt idx="42">
                  <c:v>53078656.685678646</c:v>
                </c:pt>
                <c:pt idx="43">
                  <c:v>53078656.685678646</c:v>
                </c:pt>
                <c:pt idx="44">
                  <c:v>53078656.685678646</c:v>
                </c:pt>
                <c:pt idx="45">
                  <c:v>53078656.685678646</c:v>
                </c:pt>
                <c:pt idx="46">
                  <c:v>53078656.685678646</c:v>
                </c:pt>
              </c:numCache>
            </c:numRef>
          </c:val>
        </c:ser>
        <c:ser>
          <c:idx val="2"/>
          <c:order val="2"/>
          <c:tx>
            <c:v>4%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Costs'!$E$34:$E$80</c:f>
              <c:numCache>
                <c:formatCode>"$"#,##0_);[Red]\("$"#,##0\)</c:formatCode>
                <c:ptCount val="47"/>
                <c:pt idx="0">
                  <c:v>45107144.235605747</c:v>
                </c:pt>
                <c:pt idx="1">
                  <c:v>45107144.235605747</c:v>
                </c:pt>
                <c:pt idx="2">
                  <c:v>45107144.235605747</c:v>
                </c:pt>
                <c:pt idx="3">
                  <c:v>45107144.235605747</c:v>
                </c:pt>
                <c:pt idx="4">
                  <c:v>45107144.235605747</c:v>
                </c:pt>
                <c:pt idx="5">
                  <c:v>45107144.235605747</c:v>
                </c:pt>
                <c:pt idx="6">
                  <c:v>45107144.235605747</c:v>
                </c:pt>
                <c:pt idx="7">
                  <c:v>45107144.235605747</c:v>
                </c:pt>
                <c:pt idx="8">
                  <c:v>45107144.235605747</c:v>
                </c:pt>
                <c:pt idx="9">
                  <c:v>45107144.235605747</c:v>
                </c:pt>
                <c:pt idx="10">
                  <c:v>45107144.235605747</c:v>
                </c:pt>
                <c:pt idx="11">
                  <c:v>45107144.235605747</c:v>
                </c:pt>
                <c:pt idx="12">
                  <c:v>45107144.235605747</c:v>
                </c:pt>
                <c:pt idx="13">
                  <c:v>45107144.235605747</c:v>
                </c:pt>
                <c:pt idx="14">
                  <c:v>45107144.235605747</c:v>
                </c:pt>
                <c:pt idx="15">
                  <c:v>45107144.235605747</c:v>
                </c:pt>
                <c:pt idx="16">
                  <c:v>45107144.235605747</c:v>
                </c:pt>
                <c:pt idx="17">
                  <c:v>45107144.235605747</c:v>
                </c:pt>
                <c:pt idx="18">
                  <c:v>45107144.235605747</c:v>
                </c:pt>
                <c:pt idx="19">
                  <c:v>45107144.235605747</c:v>
                </c:pt>
                <c:pt idx="20">
                  <c:v>45107144.235605747</c:v>
                </c:pt>
                <c:pt idx="21">
                  <c:v>45107144.235605747</c:v>
                </c:pt>
                <c:pt idx="22">
                  <c:v>45107144.235605747</c:v>
                </c:pt>
                <c:pt idx="23">
                  <c:v>45107144.235605747</c:v>
                </c:pt>
                <c:pt idx="24">
                  <c:v>45107144.235605747</c:v>
                </c:pt>
                <c:pt idx="25">
                  <c:v>45107144.235605747</c:v>
                </c:pt>
                <c:pt idx="26">
                  <c:v>45107144.235605747</c:v>
                </c:pt>
                <c:pt idx="27">
                  <c:v>45107144.235605747</c:v>
                </c:pt>
                <c:pt idx="28">
                  <c:v>45107144.235605747</c:v>
                </c:pt>
                <c:pt idx="29">
                  <c:v>45107144.235605747</c:v>
                </c:pt>
                <c:pt idx="30">
                  <c:v>45107144.235605747</c:v>
                </c:pt>
                <c:pt idx="31">
                  <c:v>45107144.235605747</c:v>
                </c:pt>
                <c:pt idx="32">
                  <c:v>45107144.235605747</c:v>
                </c:pt>
                <c:pt idx="33">
                  <c:v>45107144.235605747</c:v>
                </c:pt>
                <c:pt idx="34">
                  <c:v>45107144.235605747</c:v>
                </c:pt>
                <c:pt idx="35">
                  <c:v>45107144.235605747</c:v>
                </c:pt>
                <c:pt idx="36">
                  <c:v>45107144.235605747</c:v>
                </c:pt>
                <c:pt idx="37">
                  <c:v>45107144.235605747</c:v>
                </c:pt>
                <c:pt idx="38">
                  <c:v>45107144.235605747</c:v>
                </c:pt>
                <c:pt idx="39">
                  <c:v>45107144.235605747</c:v>
                </c:pt>
                <c:pt idx="40">
                  <c:v>45107144.235605747</c:v>
                </c:pt>
                <c:pt idx="41">
                  <c:v>45107144.235605747</c:v>
                </c:pt>
                <c:pt idx="42">
                  <c:v>45107144.235605747</c:v>
                </c:pt>
                <c:pt idx="43">
                  <c:v>45107144.235605747</c:v>
                </c:pt>
                <c:pt idx="44">
                  <c:v>45107144.235605747</c:v>
                </c:pt>
                <c:pt idx="45">
                  <c:v>45107144.235605747</c:v>
                </c:pt>
                <c:pt idx="46">
                  <c:v>45107144.235605747</c:v>
                </c:pt>
              </c:numCache>
            </c:numRef>
          </c:val>
        </c:ser>
        <c:ser>
          <c:idx val="1"/>
          <c:order val="3"/>
          <c:tx>
            <c:v>3%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Costs'!$C$34:$C$80</c:f>
              <c:numCache>
                <c:formatCode>"$"#,##0_);[Red]\("$"#,##0\)</c:formatCode>
                <c:ptCount val="47"/>
                <c:pt idx="0">
                  <c:v>37660664.113983564</c:v>
                </c:pt>
                <c:pt idx="1">
                  <c:v>37660664.113983564</c:v>
                </c:pt>
                <c:pt idx="2">
                  <c:v>37660664.113983564</c:v>
                </c:pt>
                <c:pt idx="3">
                  <c:v>37660664.113983564</c:v>
                </c:pt>
                <c:pt idx="4">
                  <c:v>37660664.113983564</c:v>
                </c:pt>
                <c:pt idx="5">
                  <c:v>37660664.113983564</c:v>
                </c:pt>
                <c:pt idx="6">
                  <c:v>37660664.113983564</c:v>
                </c:pt>
                <c:pt idx="7">
                  <c:v>37660664.113983564</c:v>
                </c:pt>
                <c:pt idx="8">
                  <c:v>37660664.113983564</c:v>
                </c:pt>
                <c:pt idx="9">
                  <c:v>37660664.113983564</c:v>
                </c:pt>
                <c:pt idx="10">
                  <c:v>37660664.113983564</c:v>
                </c:pt>
                <c:pt idx="11">
                  <c:v>37660664.113983564</c:v>
                </c:pt>
                <c:pt idx="12">
                  <c:v>37660664.113983564</c:v>
                </c:pt>
                <c:pt idx="13">
                  <c:v>37660664.113983564</c:v>
                </c:pt>
                <c:pt idx="14">
                  <c:v>37660664.113983564</c:v>
                </c:pt>
                <c:pt idx="15">
                  <c:v>37660664.113983564</c:v>
                </c:pt>
                <c:pt idx="16">
                  <c:v>37660664.113983564</c:v>
                </c:pt>
                <c:pt idx="17">
                  <c:v>37660664.113983564</c:v>
                </c:pt>
                <c:pt idx="18">
                  <c:v>37660664.113983564</c:v>
                </c:pt>
                <c:pt idx="19">
                  <c:v>37660664.113983564</c:v>
                </c:pt>
                <c:pt idx="20">
                  <c:v>37660664.113983564</c:v>
                </c:pt>
                <c:pt idx="21">
                  <c:v>37660664.113983564</c:v>
                </c:pt>
                <c:pt idx="22">
                  <c:v>37660664.113983564</c:v>
                </c:pt>
                <c:pt idx="23">
                  <c:v>37660664.113983564</c:v>
                </c:pt>
                <c:pt idx="24">
                  <c:v>37660664.113983564</c:v>
                </c:pt>
                <c:pt idx="25">
                  <c:v>37660664.113983564</c:v>
                </c:pt>
                <c:pt idx="26">
                  <c:v>37660664.113983564</c:v>
                </c:pt>
                <c:pt idx="27">
                  <c:v>37660664.113983564</c:v>
                </c:pt>
                <c:pt idx="28">
                  <c:v>37660664.113983564</c:v>
                </c:pt>
                <c:pt idx="29">
                  <c:v>37660664.113983564</c:v>
                </c:pt>
                <c:pt idx="30">
                  <c:v>37660664.113983564</c:v>
                </c:pt>
                <c:pt idx="31">
                  <c:v>37660664.113983564</c:v>
                </c:pt>
                <c:pt idx="32">
                  <c:v>37660664.113983564</c:v>
                </c:pt>
                <c:pt idx="33">
                  <c:v>37660664.113983564</c:v>
                </c:pt>
                <c:pt idx="34">
                  <c:v>37660664.113983564</c:v>
                </c:pt>
                <c:pt idx="35">
                  <c:v>37660664.113983564</c:v>
                </c:pt>
                <c:pt idx="36">
                  <c:v>37660664.113983564</c:v>
                </c:pt>
                <c:pt idx="37">
                  <c:v>37660664.113983564</c:v>
                </c:pt>
                <c:pt idx="38">
                  <c:v>37660664.113983564</c:v>
                </c:pt>
                <c:pt idx="39">
                  <c:v>37660664.113983564</c:v>
                </c:pt>
                <c:pt idx="40">
                  <c:v>37660664.113983564</c:v>
                </c:pt>
                <c:pt idx="41">
                  <c:v>37660664.113983564</c:v>
                </c:pt>
                <c:pt idx="42">
                  <c:v>37660664.113983564</c:v>
                </c:pt>
                <c:pt idx="43">
                  <c:v>37660664.113983564</c:v>
                </c:pt>
                <c:pt idx="44">
                  <c:v>37660664.113983564</c:v>
                </c:pt>
                <c:pt idx="45">
                  <c:v>37660664.113983564</c:v>
                </c:pt>
                <c:pt idx="46">
                  <c:v>37660664.113983564</c:v>
                </c:pt>
              </c:numCache>
            </c:numRef>
          </c:val>
        </c:ser>
        <c:dLbls>
          <c:showLegendKey val="0"/>
          <c:showVal val="0"/>
          <c:showCatName val="0"/>
          <c:showSerName val="0"/>
          <c:showPercent val="0"/>
          <c:showBubbleSize val="0"/>
        </c:dLbls>
        <c:gapWidth val="1"/>
        <c:overlap val="98"/>
        <c:axId val="275235520"/>
        <c:axId val="275238656"/>
      </c:barChart>
      <c:dateAx>
        <c:axId val="275235520"/>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275238656"/>
        <c:crosses val="autoZero"/>
        <c:auto val="0"/>
        <c:lblOffset val="100"/>
        <c:baseTimeUnit val="days"/>
        <c:majorUnit val="5"/>
      </c:dateAx>
      <c:valAx>
        <c:axId val="275238656"/>
        <c:scaling>
          <c:orientation val="minMax"/>
          <c:max val="900000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275235520"/>
        <c:crosses val="autoZero"/>
        <c:crossBetween val="between"/>
      </c:valAx>
    </c:plotArea>
    <c:legend>
      <c:legendPos val="r"/>
      <c:layout>
        <c:manualLayout>
          <c:xMode val="edge"/>
          <c:yMode val="edge"/>
          <c:x val="0.10626052530027884"/>
          <c:y val="0.19418449389394782"/>
          <c:w val="0.11481384533138329"/>
          <c:h val="0.12670814414090881"/>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Cumulative Costs under Economists' Plan</a:t>
            </a:r>
            <a:endParaRPr lang="en-US" sz="1600">
              <a:effectLst/>
              <a:latin typeface="Arial Narrow" panose="020B0606020202030204" pitchFamily="34" charset="0"/>
            </a:endParaRPr>
          </a:p>
        </c:rich>
      </c:tx>
      <c:layout>
        <c:manualLayout>
          <c:xMode val="edge"/>
          <c:yMode val="edge"/>
          <c:x val="0.30186521434046731"/>
          <c:y val="0.1111462309141351"/>
        </c:manualLayout>
      </c:layout>
      <c:overlay val="0"/>
    </c:title>
    <c:autoTitleDeleted val="0"/>
    <c:plotArea>
      <c:layout>
        <c:manualLayout>
          <c:layoutTarget val="inner"/>
          <c:xMode val="edge"/>
          <c:yMode val="edge"/>
          <c:x val="7.4231627602670797E-2"/>
          <c:y val="0.18635106707469881"/>
          <c:w val="0.92059717414103259"/>
          <c:h val="0.75966279908076617"/>
        </c:manualLayout>
      </c:layout>
      <c:barChart>
        <c:barDir val="col"/>
        <c:grouping val="clustered"/>
        <c:varyColors val="0"/>
        <c:ser>
          <c:idx val="3"/>
          <c:order val="0"/>
          <c:tx>
            <c:v>7%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Costs'!$J$34:$J$80</c:f>
              <c:numCache>
                <c:formatCode>"$"#,##0_);[Red]\("$"#,##0\)</c:formatCode>
                <c:ptCount val="47"/>
                <c:pt idx="0">
                  <c:v>70213594.203879833</c:v>
                </c:pt>
                <c:pt idx="1">
                  <c:v>140427188.40775967</c:v>
                </c:pt>
                <c:pt idx="2">
                  <c:v>210640782.6116395</c:v>
                </c:pt>
                <c:pt idx="3">
                  <c:v>280854376.81551933</c:v>
                </c:pt>
                <c:pt idx="4">
                  <c:v>351067971.01939917</c:v>
                </c:pt>
                <c:pt idx="5">
                  <c:v>421281565.223279</c:v>
                </c:pt>
                <c:pt idx="6">
                  <c:v>491495159.42715883</c:v>
                </c:pt>
                <c:pt idx="7">
                  <c:v>561708753.63103867</c:v>
                </c:pt>
                <c:pt idx="8">
                  <c:v>631922347.8349185</c:v>
                </c:pt>
                <c:pt idx="9">
                  <c:v>702135942.03879833</c:v>
                </c:pt>
                <c:pt idx="10">
                  <c:v>772349536.24267817</c:v>
                </c:pt>
                <c:pt idx="11">
                  <c:v>842563130.446558</c:v>
                </c:pt>
                <c:pt idx="12">
                  <c:v>912776724.65043783</c:v>
                </c:pt>
                <c:pt idx="13">
                  <c:v>982990318.85431767</c:v>
                </c:pt>
                <c:pt idx="14">
                  <c:v>1053203913.0581975</c:v>
                </c:pt>
                <c:pt idx="15">
                  <c:v>1123417507.2620773</c:v>
                </c:pt>
                <c:pt idx="16">
                  <c:v>1193631101.4659572</c:v>
                </c:pt>
                <c:pt idx="17">
                  <c:v>1263844695.669837</c:v>
                </c:pt>
                <c:pt idx="18">
                  <c:v>1334058289.8737168</c:v>
                </c:pt>
                <c:pt idx="19">
                  <c:v>1404271884.0775967</c:v>
                </c:pt>
                <c:pt idx="20">
                  <c:v>1474485478.2814765</c:v>
                </c:pt>
                <c:pt idx="21">
                  <c:v>1544699072.4853563</c:v>
                </c:pt>
                <c:pt idx="22">
                  <c:v>1614912666.6892362</c:v>
                </c:pt>
                <c:pt idx="23">
                  <c:v>1685126260.893116</c:v>
                </c:pt>
                <c:pt idx="24">
                  <c:v>1755339855.0969958</c:v>
                </c:pt>
                <c:pt idx="25">
                  <c:v>1825553449.3008757</c:v>
                </c:pt>
                <c:pt idx="26">
                  <c:v>1895767043.5047555</c:v>
                </c:pt>
                <c:pt idx="27">
                  <c:v>1965980637.7086353</c:v>
                </c:pt>
                <c:pt idx="28">
                  <c:v>2036194231.9125152</c:v>
                </c:pt>
                <c:pt idx="29">
                  <c:v>2106407826.116395</c:v>
                </c:pt>
                <c:pt idx="30">
                  <c:v>2176621420.3202748</c:v>
                </c:pt>
                <c:pt idx="31">
                  <c:v>2246835014.5241547</c:v>
                </c:pt>
                <c:pt idx="32">
                  <c:v>2317048608.7280345</c:v>
                </c:pt>
                <c:pt idx="33">
                  <c:v>2387262202.9319143</c:v>
                </c:pt>
                <c:pt idx="34">
                  <c:v>2457475797.1357942</c:v>
                </c:pt>
                <c:pt idx="35">
                  <c:v>2527689391.339674</c:v>
                </c:pt>
                <c:pt idx="36">
                  <c:v>2597902985.5435538</c:v>
                </c:pt>
                <c:pt idx="37">
                  <c:v>2668116579.7474337</c:v>
                </c:pt>
                <c:pt idx="38">
                  <c:v>2738330173.9513135</c:v>
                </c:pt>
                <c:pt idx="39">
                  <c:v>2808543768.1551933</c:v>
                </c:pt>
                <c:pt idx="40">
                  <c:v>2878757362.3590732</c:v>
                </c:pt>
                <c:pt idx="41">
                  <c:v>2948970956.562953</c:v>
                </c:pt>
                <c:pt idx="42">
                  <c:v>3019184550.7668328</c:v>
                </c:pt>
                <c:pt idx="43">
                  <c:v>3089398144.9707127</c:v>
                </c:pt>
                <c:pt idx="44">
                  <c:v>3159611739.1745925</c:v>
                </c:pt>
                <c:pt idx="45">
                  <c:v>3229825333.3784723</c:v>
                </c:pt>
                <c:pt idx="46">
                  <c:v>3300038927.5823522</c:v>
                </c:pt>
              </c:numCache>
            </c:numRef>
          </c:val>
        </c:ser>
        <c:ser>
          <c:idx val="2"/>
          <c:order val="1"/>
          <c:tx>
            <c:v>5%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Costs'!$H$34:$H$80</c:f>
              <c:numCache>
                <c:formatCode>"$"#,##0_);[Red]\("$"#,##0\)</c:formatCode>
                <c:ptCount val="47"/>
                <c:pt idx="0">
                  <c:v>53078656.685678646</c:v>
                </c:pt>
                <c:pt idx="1">
                  <c:v>106157313.37135729</c:v>
                </c:pt>
                <c:pt idx="2">
                  <c:v>159235970.05703592</c:v>
                </c:pt>
                <c:pt idx="3">
                  <c:v>212314626.74271458</c:v>
                </c:pt>
                <c:pt idx="4">
                  <c:v>265393283.42839324</c:v>
                </c:pt>
                <c:pt idx="5">
                  <c:v>318471940.11407191</c:v>
                </c:pt>
                <c:pt idx="6">
                  <c:v>371550596.79975057</c:v>
                </c:pt>
                <c:pt idx="7">
                  <c:v>424629253.48542923</c:v>
                </c:pt>
                <c:pt idx="8">
                  <c:v>477707910.17110789</c:v>
                </c:pt>
                <c:pt idx="9">
                  <c:v>530786566.85678655</c:v>
                </c:pt>
                <c:pt idx="10">
                  <c:v>583865223.54246521</c:v>
                </c:pt>
                <c:pt idx="11">
                  <c:v>636943880.22814381</c:v>
                </c:pt>
                <c:pt idx="12">
                  <c:v>690022536.91382241</c:v>
                </c:pt>
                <c:pt idx="13">
                  <c:v>743101193.59950101</c:v>
                </c:pt>
                <c:pt idx="14">
                  <c:v>796179850.28517962</c:v>
                </c:pt>
                <c:pt idx="15">
                  <c:v>849258506.97085822</c:v>
                </c:pt>
                <c:pt idx="16">
                  <c:v>902337163.65653682</c:v>
                </c:pt>
                <c:pt idx="17">
                  <c:v>955415820.34221542</c:v>
                </c:pt>
                <c:pt idx="18">
                  <c:v>1008494477.027894</c:v>
                </c:pt>
                <c:pt idx="19">
                  <c:v>1061573133.7135726</c:v>
                </c:pt>
                <c:pt idx="20">
                  <c:v>1114651790.3992512</c:v>
                </c:pt>
                <c:pt idx="21">
                  <c:v>1167730447.0849299</c:v>
                </c:pt>
                <c:pt idx="22">
                  <c:v>1220809103.7706087</c:v>
                </c:pt>
                <c:pt idx="23">
                  <c:v>1273887760.4562874</c:v>
                </c:pt>
                <c:pt idx="24">
                  <c:v>1326966417.1419661</c:v>
                </c:pt>
                <c:pt idx="25">
                  <c:v>1380045073.8276448</c:v>
                </c:pt>
                <c:pt idx="26">
                  <c:v>1433123730.5133235</c:v>
                </c:pt>
                <c:pt idx="27">
                  <c:v>1486202387.1990023</c:v>
                </c:pt>
                <c:pt idx="28">
                  <c:v>1539281043.884681</c:v>
                </c:pt>
                <c:pt idx="29">
                  <c:v>1592359700.5703597</c:v>
                </c:pt>
                <c:pt idx="30">
                  <c:v>1645438357.2560384</c:v>
                </c:pt>
                <c:pt idx="31">
                  <c:v>1698517013.9417171</c:v>
                </c:pt>
                <c:pt idx="32">
                  <c:v>1751595670.6273959</c:v>
                </c:pt>
                <c:pt idx="33">
                  <c:v>1804674327.3130746</c:v>
                </c:pt>
                <c:pt idx="34">
                  <c:v>1857752983.9987533</c:v>
                </c:pt>
                <c:pt idx="35">
                  <c:v>1910831640.684432</c:v>
                </c:pt>
                <c:pt idx="36">
                  <c:v>1963910297.3701108</c:v>
                </c:pt>
                <c:pt idx="37">
                  <c:v>2016988954.0557895</c:v>
                </c:pt>
                <c:pt idx="38">
                  <c:v>2070067610.7414682</c:v>
                </c:pt>
                <c:pt idx="39">
                  <c:v>2123146267.4271469</c:v>
                </c:pt>
                <c:pt idx="40">
                  <c:v>2176224924.1128254</c:v>
                </c:pt>
                <c:pt idx="41">
                  <c:v>2229303580.7985039</c:v>
                </c:pt>
                <c:pt idx="42">
                  <c:v>2282382237.4841824</c:v>
                </c:pt>
                <c:pt idx="43">
                  <c:v>2335460894.1698608</c:v>
                </c:pt>
                <c:pt idx="44">
                  <c:v>2388539550.8555393</c:v>
                </c:pt>
                <c:pt idx="45">
                  <c:v>2441618207.5412178</c:v>
                </c:pt>
                <c:pt idx="46">
                  <c:v>2494696864.2268963</c:v>
                </c:pt>
              </c:numCache>
            </c:numRef>
          </c:val>
        </c:ser>
        <c:ser>
          <c:idx val="1"/>
          <c:order val="2"/>
          <c:tx>
            <c:v>4%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Costs'!$F$34:$F$80</c:f>
              <c:numCache>
                <c:formatCode>"$"#,##0_);[Red]\("$"#,##0\)</c:formatCode>
                <c:ptCount val="47"/>
                <c:pt idx="0">
                  <c:v>45107144.235605747</c:v>
                </c:pt>
                <c:pt idx="1">
                  <c:v>90214288.471211493</c:v>
                </c:pt>
                <c:pt idx="2">
                  <c:v>135321432.70681724</c:v>
                </c:pt>
                <c:pt idx="3">
                  <c:v>180428576.94242299</c:v>
                </c:pt>
                <c:pt idx="4">
                  <c:v>225535721.17802873</c:v>
                </c:pt>
                <c:pt idx="5">
                  <c:v>270642865.41363448</c:v>
                </c:pt>
                <c:pt idx="6">
                  <c:v>315750009.64924026</c:v>
                </c:pt>
                <c:pt idx="7">
                  <c:v>360857153.88484597</c:v>
                </c:pt>
                <c:pt idx="8">
                  <c:v>405964298.12045169</c:v>
                </c:pt>
                <c:pt idx="9">
                  <c:v>451071442.35605741</c:v>
                </c:pt>
                <c:pt idx="10">
                  <c:v>496178586.59166312</c:v>
                </c:pt>
                <c:pt idx="11">
                  <c:v>541285730.82726884</c:v>
                </c:pt>
                <c:pt idx="12">
                  <c:v>586392875.06287456</c:v>
                </c:pt>
                <c:pt idx="13">
                  <c:v>631500019.29848027</c:v>
                </c:pt>
                <c:pt idx="14">
                  <c:v>676607163.53408599</c:v>
                </c:pt>
                <c:pt idx="15">
                  <c:v>721714307.76969171</c:v>
                </c:pt>
                <c:pt idx="16">
                  <c:v>766821452.00529742</c:v>
                </c:pt>
                <c:pt idx="17">
                  <c:v>811928596.24090314</c:v>
                </c:pt>
                <c:pt idx="18">
                  <c:v>857035740.47650886</c:v>
                </c:pt>
                <c:pt idx="19">
                  <c:v>902142884.71211457</c:v>
                </c:pt>
                <c:pt idx="20">
                  <c:v>947250028.94772029</c:v>
                </c:pt>
                <c:pt idx="21">
                  <c:v>992357173.18332601</c:v>
                </c:pt>
                <c:pt idx="22">
                  <c:v>1037464317.4189317</c:v>
                </c:pt>
                <c:pt idx="23">
                  <c:v>1082571461.6545374</c:v>
                </c:pt>
                <c:pt idx="24">
                  <c:v>1127678605.8901432</c:v>
                </c:pt>
                <c:pt idx="25">
                  <c:v>1172785750.1257489</c:v>
                </c:pt>
                <c:pt idx="26">
                  <c:v>1217892894.3613546</c:v>
                </c:pt>
                <c:pt idx="27">
                  <c:v>1263000038.5969603</c:v>
                </c:pt>
                <c:pt idx="28">
                  <c:v>1308107182.832566</c:v>
                </c:pt>
                <c:pt idx="29">
                  <c:v>1353214327.0681717</c:v>
                </c:pt>
                <c:pt idx="30">
                  <c:v>1398321471.3037775</c:v>
                </c:pt>
                <c:pt idx="31">
                  <c:v>1443428615.5393832</c:v>
                </c:pt>
                <c:pt idx="32">
                  <c:v>1488535759.7749889</c:v>
                </c:pt>
                <c:pt idx="33">
                  <c:v>1533642904.0105946</c:v>
                </c:pt>
                <c:pt idx="34">
                  <c:v>1578750048.2462003</c:v>
                </c:pt>
                <c:pt idx="35">
                  <c:v>1623857192.481806</c:v>
                </c:pt>
                <c:pt idx="36">
                  <c:v>1668964336.7174118</c:v>
                </c:pt>
                <c:pt idx="37">
                  <c:v>1714071480.9530175</c:v>
                </c:pt>
                <c:pt idx="38">
                  <c:v>1759178625.1886232</c:v>
                </c:pt>
                <c:pt idx="39">
                  <c:v>1804285769.4242289</c:v>
                </c:pt>
                <c:pt idx="40">
                  <c:v>1849392913.6598346</c:v>
                </c:pt>
                <c:pt idx="41">
                  <c:v>1894500057.8954403</c:v>
                </c:pt>
                <c:pt idx="42">
                  <c:v>1939607202.1310461</c:v>
                </c:pt>
                <c:pt idx="43">
                  <c:v>1984714346.3666518</c:v>
                </c:pt>
                <c:pt idx="44">
                  <c:v>2029821490.6022575</c:v>
                </c:pt>
                <c:pt idx="45">
                  <c:v>2074928634.8378632</c:v>
                </c:pt>
                <c:pt idx="46">
                  <c:v>2120035779.0734689</c:v>
                </c:pt>
              </c:numCache>
            </c:numRef>
          </c:val>
        </c:ser>
        <c:ser>
          <c:idx val="0"/>
          <c:order val="3"/>
          <c:tx>
            <c:v>3% Interest</c:v>
          </c:tx>
          <c:spPr>
            <a:ln w="63500"/>
          </c:spPr>
          <c:invertIfNegative val="0"/>
          <c:cat>
            <c:numRef>
              <c:f>'LPP Annual Financing Costs'!$A$34:$A$80</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'LPP Annual Financing Costs'!$D$34:$D$80</c:f>
              <c:numCache>
                <c:formatCode>"$"#,##0_);[Red]\("$"#,##0\)</c:formatCode>
                <c:ptCount val="47"/>
                <c:pt idx="0">
                  <c:v>37660664.113983564</c:v>
                </c:pt>
                <c:pt idx="1">
                  <c:v>75321328.227967128</c:v>
                </c:pt>
                <c:pt idx="2">
                  <c:v>112981992.34195068</c:v>
                </c:pt>
                <c:pt idx="3">
                  <c:v>150642656.45593426</c:v>
                </c:pt>
                <c:pt idx="4">
                  <c:v>188303320.56991783</c:v>
                </c:pt>
                <c:pt idx="5">
                  <c:v>225963984.6839014</c:v>
                </c:pt>
                <c:pt idx="6">
                  <c:v>263624648.79788497</c:v>
                </c:pt>
                <c:pt idx="7">
                  <c:v>301285312.91186851</c:v>
                </c:pt>
                <c:pt idx="8">
                  <c:v>338945977.02585208</c:v>
                </c:pt>
                <c:pt idx="9">
                  <c:v>376606641.13983566</c:v>
                </c:pt>
                <c:pt idx="10">
                  <c:v>414267305.25381923</c:v>
                </c:pt>
                <c:pt idx="11">
                  <c:v>451927969.3678028</c:v>
                </c:pt>
                <c:pt idx="12">
                  <c:v>489588633.48178637</c:v>
                </c:pt>
                <c:pt idx="13">
                  <c:v>527249297.59576994</c:v>
                </c:pt>
                <c:pt idx="14">
                  <c:v>564909961.70975351</c:v>
                </c:pt>
                <c:pt idx="15">
                  <c:v>602570625.82373703</c:v>
                </c:pt>
                <c:pt idx="16">
                  <c:v>640231289.93772054</c:v>
                </c:pt>
                <c:pt idx="17">
                  <c:v>677891954.05170405</c:v>
                </c:pt>
                <c:pt idx="18">
                  <c:v>715552618.16568756</c:v>
                </c:pt>
                <c:pt idx="19">
                  <c:v>753213282.27967107</c:v>
                </c:pt>
                <c:pt idx="20">
                  <c:v>790873946.39365458</c:v>
                </c:pt>
                <c:pt idx="21">
                  <c:v>828534610.5076381</c:v>
                </c:pt>
                <c:pt idx="22">
                  <c:v>866195274.62162161</c:v>
                </c:pt>
                <c:pt idx="23">
                  <c:v>903855938.73560512</c:v>
                </c:pt>
                <c:pt idx="24">
                  <c:v>941516602.84958863</c:v>
                </c:pt>
                <c:pt idx="25">
                  <c:v>979177266.96357214</c:v>
                </c:pt>
                <c:pt idx="26">
                  <c:v>1016837931.0775557</c:v>
                </c:pt>
                <c:pt idx="27">
                  <c:v>1054498595.1915392</c:v>
                </c:pt>
                <c:pt idx="28">
                  <c:v>1092159259.3055227</c:v>
                </c:pt>
                <c:pt idx="29">
                  <c:v>1129819923.4195063</c:v>
                </c:pt>
                <c:pt idx="30">
                  <c:v>1167480587.5334899</c:v>
                </c:pt>
                <c:pt idx="31">
                  <c:v>1205141251.6474736</c:v>
                </c:pt>
                <c:pt idx="32">
                  <c:v>1242801915.7614572</c:v>
                </c:pt>
                <c:pt idx="33">
                  <c:v>1280462579.8754408</c:v>
                </c:pt>
                <c:pt idx="34">
                  <c:v>1318123243.9894245</c:v>
                </c:pt>
                <c:pt idx="35">
                  <c:v>1355783908.1034081</c:v>
                </c:pt>
                <c:pt idx="36">
                  <c:v>1393444572.2173917</c:v>
                </c:pt>
                <c:pt idx="37">
                  <c:v>1431105236.3313754</c:v>
                </c:pt>
                <c:pt idx="38">
                  <c:v>1468765900.445359</c:v>
                </c:pt>
                <c:pt idx="39">
                  <c:v>1506426564.5593426</c:v>
                </c:pt>
                <c:pt idx="40">
                  <c:v>1544087228.6733263</c:v>
                </c:pt>
                <c:pt idx="41">
                  <c:v>1581747892.7873099</c:v>
                </c:pt>
                <c:pt idx="42">
                  <c:v>1619408556.9012935</c:v>
                </c:pt>
                <c:pt idx="43">
                  <c:v>1657069221.0152771</c:v>
                </c:pt>
                <c:pt idx="44">
                  <c:v>1694729885.1292608</c:v>
                </c:pt>
                <c:pt idx="45">
                  <c:v>1732390549.2432444</c:v>
                </c:pt>
                <c:pt idx="46">
                  <c:v>1770051213.357228</c:v>
                </c:pt>
              </c:numCache>
            </c:numRef>
          </c:val>
        </c:ser>
        <c:dLbls>
          <c:showLegendKey val="0"/>
          <c:showVal val="0"/>
          <c:showCatName val="0"/>
          <c:showSerName val="0"/>
          <c:showPercent val="0"/>
          <c:showBubbleSize val="0"/>
        </c:dLbls>
        <c:gapWidth val="0"/>
        <c:overlap val="90"/>
        <c:axId val="404734136"/>
        <c:axId val="404731392"/>
      </c:barChart>
      <c:dateAx>
        <c:axId val="404734136"/>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4731392"/>
        <c:crosses val="autoZero"/>
        <c:auto val="0"/>
        <c:lblOffset val="100"/>
        <c:baseTimeUnit val="days"/>
        <c:majorUnit val="5"/>
      </c:dateAx>
      <c:valAx>
        <c:axId val="404731392"/>
        <c:scaling>
          <c:orientation val="minMax"/>
          <c:max val="30000000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4734136"/>
        <c:crosses val="autoZero"/>
        <c:crossBetween val="between"/>
      </c:valAx>
      <c:spPr>
        <a:solidFill>
          <a:schemeClr val="bg1"/>
        </a:solidFill>
      </c:spPr>
    </c:plotArea>
    <c:legend>
      <c:legendPos val="r"/>
      <c:layout>
        <c:manualLayout>
          <c:xMode val="edge"/>
          <c:yMode val="edge"/>
          <c:x val="0.12531234235836386"/>
          <c:y val="0.19418704086811067"/>
          <c:w val="0.11481384533138329"/>
          <c:h val="0.12871752788240284"/>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Costs under Economists' Plan 2 Expectations</a:t>
            </a:r>
            <a:endParaRPr lang="en-US" sz="1600">
              <a:effectLst/>
              <a:latin typeface="Arial Narrow" panose="020B0606020202030204" pitchFamily="34" charset="0"/>
            </a:endParaRPr>
          </a:p>
        </c:rich>
      </c:tx>
      <c:layout>
        <c:manualLayout>
          <c:xMode val="edge"/>
          <c:yMode val="edge"/>
          <c:x val="0.30186521434046731"/>
          <c:y val="0.1111462309141351"/>
        </c:manualLayout>
      </c:layout>
      <c:overlay val="0"/>
    </c:title>
    <c:autoTitleDeleted val="0"/>
    <c:plotArea>
      <c:layout>
        <c:manualLayout>
          <c:layoutTarget val="inner"/>
          <c:xMode val="edge"/>
          <c:yMode val="edge"/>
          <c:x val="0.10991475501495022"/>
          <c:y val="0.17826447270312279"/>
          <c:w val="0.87983241173164006"/>
          <c:h val="0.75966279908076617"/>
        </c:manualLayout>
      </c:layout>
      <c:barChart>
        <c:barDir val="col"/>
        <c:grouping val="stacked"/>
        <c:varyColors val="0"/>
        <c:ser>
          <c:idx val="0"/>
          <c:order val="0"/>
          <c:tx>
            <c:v>Prepayment</c:v>
          </c:tx>
          <c:spPr>
            <a:ln w="63500"/>
          </c:spPr>
          <c:invertIfNegative val="0"/>
          <c:cat>
            <c:numRef>
              <c:f>'Economist Plan 2'!$D$5:$AX$5</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'Economist Plan 2'!$D$16:$AX$16</c:f>
              <c:numCache>
                <c:formatCode>_("$"* #,##0_);_("$"* \(#,##0\);_("$"* "-"??_);_(@_)</c:formatCode>
                <c:ptCount val="47"/>
                <c:pt idx="0">
                  <c:v>125000000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er>
        <c:ser>
          <c:idx val="1"/>
          <c:order val="1"/>
          <c:tx>
            <c:v>Annual Payments</c:v>
          </c:tx>
          <c:spPr>
            <a:solidFill>
              <a:schemeClr val="accent6">
                <a:lumMod val="75000"/>
              </a:schemeClr>
            </a:solidFill>
            <a:ln w="63500"/>
          </c:spPr>
          <c:invertIfNegative val="0"/>
          <c:cat>
            <c:numRef>
              <c:f>'Economist Plan 2'!$D$5:$AX$5</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'Economist Plan 2'!$D$34:$AX$34</c:f>
              <c:numCache>
                <c:formatCode>_("$"* #,##0_);_("$"* \(#,##0\);_("$"* "-"??_);_(@_)</c:formatCode>
                <c:ptCount val="47"/>
                <c:pt idx="0">
                  <c:v>0</c:v>
                </c:pt>
                <c:pt idx="1">
                  <c:v>0</c:v>
                </c:pt>
                <c:pt idx="2">
                  <c:v>0</c:v>
                </c:pt>
                <c:pt idx="3">
                  <c:v>0</c:v>
                </c:pt>
                <c:pt idx="4">
                  <c:v>0</c:v>
                </c:pt>
                <c:pt idx="5">
                  <c:v>0</c:v>
                </c:pt>
                <c:pt idx="6">
                  <c:v>20000000</c:v>
                </c:pt>
                <c:pt idx="7">
                  <c:v>20000000</c:v>
                </c:pt>
                <c:pt idx="8">
                  <c:v>20000000</c:v>
                </c:pt>
                <c:pt idx="9">
                  <c:v>20000000</c:v>
                </c:pt>
                <c:pt idx="10">
                  <c:v>20000000</c:v>
                </c:pt>
                <c:pt idx="11">
                  <c:v>20000000</c:v>
                </c:pt>
                <c:pt idx="12">
                  <c:v>20000000</c:v>
                </c:pt>
                <c:pt idx="13">
                  <c:v>20000000</c:v>
                </c:pt>
                <c:pt idx="14">
                  <c:v>20000000</c:v>
                </c:pt>
                <c:pt idx="15">
                  <c:v>20000000</c:v>
                </c:pt>
                <c:pt idx="16">
                  <c:v>20000000</c:v>
                </c:pt>
                <c:pt idx="17">
                  <c:v>20000000</c:v>
                </c:pt>
                <c:pt idx="18">
                  <c:v>20000000</c:v>
                </c:pt>
                <c:pt idx="19">
                  <c:v>76464838.187777191</c:v>
                </c:pt>
                <c:pt idx="20">
                  <c:v>76464838.187777191</c:v>
                </c:pt>
                <c:pt idx="21">
                  <c:v>76464838.187777191</c:v>
                </c:pt>
                <c:pt idx="22">
                  <c:v>76464838.187777191</c:v>
                </c:pt>
                <c:pt idx="23">
                  <c:v>76464838.187777191</c:v>
                </c:pt>
                <c:pt idx="24">
                  <c:v>76464838.187777191</c:v>
                </c:pt>
                <c:pt idx="25">
                  <c:v>76464838.187777191</c:v>
                </c:pt>
                <c:pt idx="26">
                  <c:v>76464838.187777191</c:v>
                </c:pt>
                <c:pt idx="27">
                  <c:v>76464838.187777191</c:v>
                </c:pt>
                <c:pt idx="28">
                  <c:v>76464838.187777191</c:v>
                </c:pt>
                <c:pt idx="29">
                  <c:v>76464838.187777191</c:v>
                </c:pt>
                <c:pt idx="30">
                  <c:v>76464838.187777191</c:v>
                </c:pt>
                <c:pt idx="31">
                  <c:v>76464838.187777191</c:v>
                </c:pt>
                <c:pt idx="32">
                  <c:v>76464838.187777191</c:v>
                </c:pt>
                <c:pt idx="33">
                  <c:v>76464838.187777191</c:v>
                </c:pt>
                <c:pt idx="34">
                  <c:v>76464838.187777191</c:v>
                </c:pt>
                <c:pt idx="35">
                  <c:v>76464838.187777191</c:v>
                </c:pt>
                <c:pt idx="36">
                  <c:v>76464838.187777191</c:v>
                </c:pt>
                <c:pt idx="37">
                  <c:v>76464838.187777191</c:v>
                </c:pt>
                <c:pt idx="38">
                  <c:v>76464838.187777191</c:v>
                </c:pt>
                <c:pt idx="39">
                  <c:v>76464838.187777191</c:v>
                </c:pt>
                <c:pt idx="40">
                  <c:v>76464838.187777191</c:v>
                </c:pt>
                <c:pt idx="41">
                  <c:v>76464838.187777191</c:v>
                </c:pt>
                <c:pt idx="42">
                  <c:v>76464838.187777191</c:v>
                </c:pt>
                <c:pt idx="43">
                  <c:v>76464838.187777191</c:v>
                </c:pt>
                <c:pt idx="44">
                  <c:v>76464838.187777191</c:v>
                </c:pt>
                <c:pt idx="45">
                  <c:v>76464838.187777191</c:v>
                </c:pt>
                <c:pt idx="46">
                  <c:v>76464838.187777191</c:v>
                </c:pt>
              </c:numCache>
            </c:numRef>
          </c:val>
        </c:ser>
        <c:dLbls>
          <c:showLegendKey val="0"/>
          <c:showVal val="0"/>
          <c:showCatName val="0"/>
          <c:showSerName val="0"/>
          <c:showPercent val="0"/>
          <c:showBubbleSize val="0"/>
        </c:dLbls>
        <c:gapWidth val="15"/>
        <c:overlap val="100"/>
        <c:axId val="404738056"/>
        <c:axId val="404732176"/>
      </c:barChart>
      <c:dateAx>
        <c:axId val="404738056"/>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4732176"/>
        <c:crosses val="autoZero"/>
        <c:auto val="0"/>
        <c:lblOffset val="100"/>
        <c:baseTimeUnit val="days"/>
        <c:majorUnit val="5"/>
      </c:dateAx>
      <c:valAx>
        <c:axId val="404732176"/>
        <c:scaling>
          <c:orientation val="minMax"/>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4738056"/>
        <c:crosses val="autoZero"/>
        <c:crossBetween val="between"/>
      </c:valAx>
    </c:plotArea>
    <c:legend>
      <c:legendPos val="r"/>
      <c:layout>
        <c:manualLayout>
          <c:xMode val="edge"/>
          <c:yMode val="edge"/>
          <c:x val="0.11360808158533482"/>
          <c:y val="0.19812800582747689"/>
          <c:w val="0.17041339100753866"/>
          <c:h val="7.9498206552223602E-2"/>
        </c:manualLayout>
      </c:layout>
      <c:overlay val="0"/>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Cumulative Costs under Economists' Plan 2 Expectations</a:t>
            </a:r>
            <a:endParaRPr lang="en-US" sz="1600">
              <a:effectLst/>
              <a:latin typeface="Arial Narrow" panose="020B0606020202030204" pitchFamily="34" charset="0"/>
            </a:endParaRPr>
          </a:p>
        </c:rich>
      </c:tx>
      <c:layout>
        <c:manualLayout>
          <c:xMode val="edge"/>
          <c:yMode val="edge"/>
          <c:x val="0.25643578740320572"/>
          <c:y val="0.1091280340887746"/>
        </c:manualLayout>
      </c:layout>
      <c:overlay val="0"/>
    </c:title>
    <c:autoTitleDeleted val="0"/>
    <c:plotArea>
      <c:layout>
        <c:manualLayout>
          <c:layoutTarget val="inner"/>
          <c:xMode val="edge"/>
          <c:yMode val="edge"/>
          <c:x val="7.4231627602670797E-2"/>
          <c:y val="0.18635106707469881"/>
          <c:w val="0.87220125908021595"/>
          <c:h val="0.75966279908076617"/>
        </c:manualLayout>
      </c:layout>
      <c:barChart>
        <c:barDir val="col"/>
        <c:grouping val="clustered"/>
        <c:varyColors val="0"/>
        <c:ser>
          <c:idx val="0"/>
          <c:order val="0"/>
          <c:tx>
            <c:v>Cumulative Payments</c:v>
          </c:tx>
          <c:spPr>
            <a:solidFill>
              <a:schemeClr val="accent6">
                <a:lumMod val="75000"/>
              </a:schemeClr>
            </a:solidFill>
            <a:ln w="63500"/>
          </c:spPr>
          <c:invertIfNegative val="0"/>
          <c:cat>
            <c:numRef>
              <c:f>'Economist Plan 2'!$D$5:$AX$5</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'Economist Plan 2'!$D$47:$AX$47</c:f>
              <c:numCache>
                <c:formatCode>_("$"* #,##0_);_("$"* \(#,##0\);_("$"* "-"??_);_(@_)</c:formatCode>
                <c:ptCount val="47"/>
                <c:pt idx="0">
                  <c:v>125000000</c:v>
                </c:pt>
                <c:pt idx="1">
                  <c:v>125000000</c:v>
                </c:pt>
                <c:pt idx="2">
                  <c:v>125000000</c:v>
                </c:pt>
                <c:pt idx="3">
                  <c:v>125000000</c:v>
                </c:pt>
                <c:pt idx="4">
                  <c:v>125000000</c:v>
                </c:pt>
                <c:pt idx="5">
                  <c:v>125000000</c:v>
                </c:pt>
                <c:pt idx="6">
                  <c:v>145000000</c:v>
                </c:pt>
                <c:pt idx="7">
                  <c:v>165000000</c:v>
                </c:pt>
                <c:pt idx="8">
                  <c:v>185000000</c:v>
                </c:pt>
                <c:pt idx="9">
                  <c:v>205000000</c:v>
                </c:pt>
                <c:pt idx="10">
                  <c:v>225000000</c:v>
                </c:pt>
                <c:pt idx="11">
                  <c:v>245000000</c:v>
                </c:pt>
                <c:pt idx="12">
                  <c:v>265000000</c:v>
                </c:pt>
                <c:pt idx="13">
                  <c:v>285000000</c:v>
                </c:pt>
                <c:pt idx="14">
                  <c:v>305000000</c:v>
                </c:pt>
                <c:pt idx="15">
                  <c:v>325000000</c:v>
                </c:pt>
                <c:pt idx="16">
                  <c:v>345000000</c:v>
                </c:pt>
                <c:pt idx="17">
                  <c:v>365000000</c:v>
                </c:pt>
                <c:pt idx="18">
                  <c:v>385000000</c:v>
                </c:pt>
                <c:pt idx="19">
                  <c:v>461464838.18777716</c:v>
                </c:pt>
                <c:pt idx="20">
                  <c:v>537929676.37555432</c:v>
                </c:pt>
                <c:pt idx="21">
                  <c:v>614394514.56333148</c:v>
                </c:pt>
                <c:pt idx="22">
                  <c:v>690859352.75110865</c:v>
                </c:pt>
                <c:pt idx="23">
                  <c:v>767324190.93888581</c:v>
                </c:pt>
                <c:pt idx="24">
                  <c:v>843789029.12666297</c:v>
                </c:pt>
                <c:pt idx="25">
                  <c:v>920253867.31444013</c:v>
                </c:pt>
                <c:pt idx="26">
                  <c:v>996718705.50221729</c:v>
                </c:pt>
                <c:pt idx="27">
                  <c:v>1073183543.6899945</c:v>
                </c:pt>
                <c:pt idx="28">
                  <c:v>1149648381.8777716</c:v>
                </c:pt>
                <c:pt idx="29">
                  <c:v>1226113220.0655489</c:v>
                </c:pt>
                <c:pt idx="30">
                  <c:v>1302578058.2533262</c:v>
                </c:pt>
                <c:pt idx="31">
                  <c:v>1379042896.4411035</c:v>
                </c:pt>
                <c:pt idx="32">
                  <c:v>1455507734.6288807</c:v>
                </c:pt>
                <c:pt idx="33">
                  <c:v>1531972572.816658</c:v>
                </c:pt>
                <c:pt idx="34">
                  <c:v>1608437411.0044353</c:v>
                </c:pt>
                <c:pt idx="35">
                  <c:v>1684902249.1922126</c:v>
                </c:pt>
                <c:pt idx="36">
                  <c:v>1761367087.3799899</c:v>
                </c:pt>
                <c:pt idx="37">
                  <c:v>1837831925.5677671</c:v>
                </c:pt>
                <c:pt idx="38">
                  <c:v>1914296763.7555444</c:v>
                </c:pt>
                <c:pt idx="39">
                  <c:v>1990761601.9433217</c:v>
                </c:pt>
                <c:pt idx="40">
                  <c:v>2067226440.131099</c:v>
                </c:pt>
                <c:pt idx="41">
                  <c:v>2143691278.3188763</c:v>
                </c:pt>
                <c:pt idx="42">
                  <c:v>2220156116.5066533</c:v>
                </c:pt>
                <c:pt idx="43">
                  <c:v>2296620954.6944304</c:v>
                </c:pt>
                <c:pt idx="44">
                  <c:v>2373085792.8822074</c:v>
                </c:pt>
                <c:pt idx="45">
                  <c:v>2449550631.0699844</c:v>
                </c:pt>
                <c:pt idx="46">
                  <c:v>2526015469.2577615</c:v>
                </c:pt>
              </c:numCache>
            </c:numRef>
          </c:val>
        </c:ser>
        <c:dLbls>
          <c:showLegendKey val="0"/>
          <c:showVal val="0"/>
          <c:showCatName val="0"/>
          <c:showSerName val="0"/>
          <c:showPercent val="0"/>
          <c:showBubbleSize val="0"/>
        </c:dLbls>
        <c:gapWidth val="15"/>
        <c:axId val="404727080"/>
        <c:axId val="404736096"/>
      </c:barChart>
      <c:dateAx>
        <c:axId val="404727080"/>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4736096"/>
        <c:crosses val="autoZero"/>
        <c:auto val="0"/>
        <c:lblOffset val="100"/>
        <c:baseTimeUnit val="days"/>
        <c:majorUnit val="5"/>
      </c:dateAx>
      <c:valAx>
        <c:axId val="404736096"/>
        <c:scaling>
          <c:orientation val="minMax"/>
          <c:max val="25000000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4727080"/>
        <c:crosses val="autoZero"/>
        <c:crossBetween val="between"/>
      </c:valAx>
    </c:plotArea>
    <c:legend>
      <c:legendPos val="r"/>
      <c:layout>
        <c:manualLayout>
          <c:xMode val="edge"/>
          <c:yMode val="edge"/>
          <c:x val="0.11798888761830606"/>
          <c:y val="0.19013336943839779"/>
          <c:w val="0.19321686433244292"/>
          <c:h val="4.3798324393969648E-2"/>
        </c:manualLayout>
      </c:layout>
      <c:overlay val="0"/>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WCWCD Water Demand and Buffer at Anticipated Demand Reduction</a:t>
            </a:r>
            <a:endParaRPr lang="en-US" sz="1600">
              <a:effectLst/>
              <a:latin typeface="Arial Narrow" panose="020B0606020202030204" pitchFamily="34" charset="0"/>
            </a:endParaRPr>
          </a:p>
        </c:rich>
      </c:tx>
      <c:layout>
        <c:manualLayout>
          <c:xMode val="edge"/>
          <c:yMode val="edge"/>
          <c:x val="0.18462798353463097"/>
          <c:y val="0.1111462309141351"/>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ser>
          <c:idx val="7"/>
          <c:order val="7"/>
          <c:tx>
            <c:strRef>
              <c:f>'Dynamic Population'!$W$13</c:f>
              <c:strCache>
                <c:ptCount val="1"/>
                <c:pt idx="0">
                  <c:v>LPP Capacity Added (AF)</c:v>
                </c:pt>
              </c:strCache>
            </c:strRef>
          </c:tx>
          <c:spPr>
            <a:solidFill>
              <a:srgbClr val="CC0099"/>
            </a:solidFill>
            <a:ln w="25400">
              <a:solidFill>
                <a:srgbClr val="002060"/>
              </a:solidFill>
            </a:ln>
          </c:spPr>
          <c:val>
            <c:numRef>
              <c:f>'Dynamic Population'!$W$14:$W$66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962.88352321833372</c:v>
                </c:pt>
                <c:pt idx="25">
                  <c:v>2818.6720578406967</c:v>
                </c:pt>
                <c:pt idx="26">
                  <c:v>4721.9726776648458</c:v>
                </c:pt>
                <c:pt idx="27">
                  <c:v>6673.9862073099794</c:v>
                </c:pt>
                <c:pt idx="28">
                  <c:v>8675.9433267074346</c:v>
                </c:pt>
                <c:pt idx="29">
                  <c:v>10729.105297483664</c:v>
                </c:pt>
                <c:pt idx="30">
                  <c:v>12834.764706497022</c:v>
                </c:pt>
                <c:pt idx="31">
                  <c:v>14994.246226916235</c:v>
                </c:pt>
                <c:pt idx="32">
                  <c:v>17208.90739723653</c:v>
                </c:pt>
                <c:pt idx="33">
                  <c:v>19480.139418637234</c:v>
                </c:pt>
                <c:pt idx="34">
                  <c:v>21809.367971094412</c:v>
                </c:pt>
                <c:pt idx="35">
                  <c:v>24198.054048668841</c:v>
                </c:pt>
                <c:pt idx="36">
                  <c:v>26647.694814400485</c:v>
                </c:pt>
                <c:pt idx="37">
                  <c:v>29159.824475247791</c:v>
                </c:pt>
                <c:pt idx="38">
                  <c:v>31736.015177520429</c:v>
                </c:pt>
                <c:pt idx="39">
                  <c:v>34377.877923262567</c:v>
                </c:pt>
                <c:pt idx="40">
                  <c:v>37087.063508054081</c:v>
                </c:pt>
                <c:pt idx="41">
                  <c:v>40161.088998033607</c:v>
                </c:pt>
                <c:pt idx="42">
                  <c:v>43322.724214477566</c:v>
                </c:pt>
                <c:pt idx="43">
                  <c:v>46574.466034590179</c:v>
                </c:pt>
                <c:pt idx="44">
                  <c:v>49918.882496576</c:v>
                </c:pt>
                <c:pt idx="45">
                  <c:v>53358.614827728423</c:v>
                </c:pt>
                <c:pt idx="46">
                  <c:v>56896.379530318693</c:v>
                </c:pt>
                <c:pt idx="47">
                  <c:v>60534.970526932753</c:v>
                </c:pt>
                <c:pt idx="48">
                  <c:v>64277.261366950333</c:v>
                </c:pt>
                <c:pt idx="49">
                  <c:v>68126.207495908413</c:v>
                </c:pt>
                <c:pt idx="50">
                  <c:v>72084.848589541813</c:v>
                </c:pt>
                <c:pt idx="51">
                  <c:v>76156.310954343717</c:v>
                </c:pt>
                <c:pt idx="52">
                  <c:v>80343.809996542535</c:v>
                </c:pt>
              </c:numCache>
            </c:numRef>
          </c:val>
        </c:ser>
        <c:dLbls>
          <c:showLegendKey val="0"/>
          <c:showVal val="0"/>
          <c:showCatName val="0"/>
          <c:showSerName val="0"/>
          <c:showPercent val="0"/>
          <c:showBubbleSize val="0"/>
        </c:dLbls>
        <c:axId val="404729040"/>
        <c:axId val="404729824"/>
      </c:areaChart>
      <c:lineChart>
        <c:grouping val="standard"/>
        <c:varyColors val="0"/>
        <c:ser>
          <c:idx val="6"/>
          <c:order val="4"/>
          <c:tx>
            <c:strRef>
              <c:f>'Dynamic Population'!$S$13</c:f>
              <c:strCache>
                <c:ptCount val="1"/>
                <c:pt idx="0">
                  <c:v>Anticipated Supply after Evaporation</c:v>
                </c:pt>
              </c:strCache>
            </c:strRef>
          </c:tx>
          <c:spPr>
            <a:ln w="63500" cap="sq">
              <a:solidFill>
                <a:srgbClr val="D50909"/>
              </a:solidFill>
              <a:prstDash val="sysDot"/>
              <a:beve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ser>
          <c:idx val="4"/>
          <c:order val="5"/>
          <c:tx>
            <c:strRef>
              <c:f>'Dynamic Population'!$K$13</c:f>
              <c:strCache>
                <c:ptCount val="1"/>
                <c:pt idx="0">
                  <c:v>Demand with Conservation(AF)</c:v>
                </c:pt>
              </c:strCache>
            </c:strRef>
          </c:tx>
          <c:spPr>
            <a:ln w="63500">
              <a:solidFill>
                <a:srgbClr val="13771D"/>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Population'!$K$14:$K$66</c:f>
              <c:numCache>
                <c:formatCode>_(* #,##0_);_(* \(#,##0\);_(* "-"??_);_(@_)</c:formatCode>
                <c:ptCount val="53"/>
                <c:pt idx="0">
                  <c:v>40966.094557823133</c:v>
                </c:pt>
                <c:pt idx="1">
                  <c:v>41225.405442176867</c:v>
                </c:pt>
                <c:pt idx="2">
                  <c:v>42005.880952380954</c:v>
                </c:pt>
                <c:pt idx="3">
                  <c:v>43498.820368485714</c:v>
                </c:pt>
                <c:pt idx="4">
                  <c:v>45044.820642966151</c:v>
                </c:pt>
                <c:pt idx="5">
                  <c:v>46126</c:v>
                </c:pt>
                <c:pt idx="6">
                  <c:v>46973.433512062671</c:v>
                </c:pt>
                <c:pt idx="7">
                  <c:v>47831.7048908129</c:v>
                </c:pt>
                <c:pt idx="8">
                  <c:v>48700.743566781719</c:v>
                </c:pt>
                <c:pt idx="9">
                  <c:v>49580.466144983198</c:v>
                </c:pt>
                <c:pt idx="10">
                  <c:v>50470.775731180045</c:v>
                </c:pt>
                <c:pt idx="11">
                  <c:v>51371.561230163854</c:v>
                </c:pt>
                <c:pt idx="12">
                  <c:v>52282.696615002089</c:v>
                </c:pt>
                <c:pt idx="13">
                  <c:v>53204.040166166902</c:v>
                </c:pt>
                <c:pt idx="14">
                  <c:v>54135.433679422567</c:v>
                </c:pt>
                <c:pt idx="15">
                  <c:v>55076.70164130885</c:v>
                </c:pt>
                <c:pt idx="16">
                  <c:v>56027.650371016527</c:v>
                </c:pt>
                <c:pt idx="17">
                  <c:v>56988.067127409391</c:v>
                </c:pt>
                <c:pt idx="18">
                  <c:v>58465.696472939213</c:v>
                </c:pt>
                <c:pt idx="19">
                  <c:v>59981.26213363999</c:v>
                </c:pt>
                <c:pt idx="20">
                  <c:v>61535.726275040572</c:v>
                </c:pt>
                <c:pt idx="21">
                  <c:v>63130.075092332925</c:v>
                </c:pt>
                <c:pt idx="22">
                  <c:v>64765.319398544059</c:v>
                </c:pt>
                <c:pt idx="23">
                  <c:v>66442.495226715459</c:v>
                </c:pt>
                <c:pt idx="24">
                  <c:v>68162.664446411174</c:v>
                </c:pt>
                <c:pt idx="25">
                  <c:v>69926.915394881638</c:v>
                </c:pt>
                <c:pt idx="26">
                  <c:v>71736.36352321833</c:v>
                </c:pt>
                <c:pt idx="27">
                  <c:v>73592.152057840693</c:v>
                </c:pt>
                <c:pt idx="28">
                  <c:v>75495.452677664842</c:v>
                </c:pt>
                <c:pt idx="29">
                  <c:v>77447.466207309975</c:v>
                </c:pt>
                <c:pt idx="30">
                  <c:v>79449.423326707431</c:v>
                </c:pt>
                <c:pt idx="31">
                  <c:v>81502.58529748366</c:v>
                </c:pt>
                <c:pt idx="32">
                  <c:v>83608.244706497018</c:v>
                </c:pt>
                <c:pt idx="33">
                  <c:v>85767.726226916231</c:v>
                </c:pt>
                <c:pt idx="34">
                  <c:v>87982.387397236525</c:v>
                </c:pt>
                <c:pt idx="35">
                  <c:v>90253.61941863723</c:v>
                </c:pt>
                <c:pt idx="36">
                  <c:v>92582.847971094408</c:v>
                </c:pt>
                <c:pt idx="37">
                  <c:v>94971.534048668836</c:v>
                </c:pt>
                <c:pt idx="38">
                  <c:v>97421.174814400481</c:v>
                </c:pt>
                <c:pt idx="39">
                  <c:v>99933.304475247787</c:v>
                </c:pt>
                <c:pt idx="40">
                  <c:v>102509.49517752042</c:v>
                </c:pt>
                <c:pt idx="41">
                  <c:v>105151.35792326256</c:v>
                </c:pt>
                <c:pt idx="42">
                  <c:v>107860.54350805408</c:v>
                </c:pt>
                <c:pt idx="43">
                  <c:v>110934.5689980336</c:v>
                </c:pt>
                <c:pt idx="44">
                  <c:v>114096.20421447756</c:v>
                </c:pt>
                <c:pt idx="45">
                  <c:v>117347.94603459018</c:v>
                </c:pt>
                <c:pt idx="46">
                  <c:v>120692.362496576</c:v>
                </c:pt>
                <c:pt idx="47">
                  <c:v>124132.09482772842</c:v>
                </c:pt>
                <c:pt idx="48">
                  <c:v>127669.85953031869</c:v>
                </c:pt>
                <c:pt idx="49">
                  <c:v>131308.45052693275</c:v>
                </c:pt>
                <c:pt idx="50">
                  <c:v>135050.74136695033</c:v>
                </c:pt>
                <c:pt idx="51">
                  <c:v>138899.68749590841</c:v>
                </c:pt>
                <c:pt idx="52">
                  <c:v>142858.32858954181</c:v>
                </c:pt>
              </c:numCache>
            </c:numRef>
          </c:val>
          <c:smooth val="0"/>
        </c:ser>
        <c:ser>
          <c:idx val="5"/>
          <c:order val="6"/>
          <c:tx>
            <c:strRef>
              <c:f>'Dynamic Population'!$L$13</c:f>
              <c:strCache>
                <c:ptCount val="1"/>
                <c:pt idx="0">
                  <c:v>Demand Buffer (AF)</c:v>
                </c:pt>
              </c:strCache>
            </c:strRef>
          </c:tx>
          <c:spPr>
            <a:ln w="63500">
              <a:solidFill>
                <a:srgbClr val="13771D"/>
              </a:solidFill>
              <a:prstDash val="sysDash"/>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Population'!$L$14:$L$66</c:f>
              <c:numCache>
                <c:formatCode>_(* #,##0_);_(* \(#,##0\);_(* "-"??_);_(@_)</c:formatCode>
                <c:ptCount val="53"/>
                <c:pt idx="0">
                  <c:v>42005.880952380954</c:v>
                </c:pt>
                <c:pt idx="1">
                  <c:v>43498.820368485714</c:v>
                </c:pt>
                <c:pt idx="2">
                  <c:v>45044.820642966151</c:v>
                </c:pt>
                <c:pt idx="3">
                  <c:v>46126</c:v>
                </c:pt>
                <c:pt idx="4">
                  <c:v>46973.433512062671</c:v>
                </c:pt>
                <c:pt idx="5">
                  <c:v>47831.7048908129</c:v>
                </c:pt>
                <c:pt idx="6">
                  <c:v>48700.743566781719</c:v>
                </c:pt>
                <c:pt idx="7">
                  <c:v>49580.466144983198</c:v>
                </c:pt>
                <c:pt idx="8">
                  <c:v>50470.775731180045</c:v>
                </c:pt>
                <c:pt idx="9">
                  <c:v>51371.561230163854</c:v>
                </c:pt>
                <c:pt idx="10">
                  <c:v>52282.696615002089</c:v>
                </c:pt>
                <c:pt idx="11">
                  <c:v>53204.040166166902</c:v>
                </c:pt>
                <c:pt idx="12">
                  <c:v>54135.433679422567</c:v>
                </c:pt>
                <c:pt idx="13">
                  <c:v>55076.70164130885</c:v>
                </c:pt>
                <c:pt idx="14">
                  <c:v>56027.650371016527</c:v>
                </c:pt>
                <c:pt idx="15">
                  <c:v>56988.067127409391</c:v>
                </c:pt>
                <c:pt idx="16">
                  <c:v>58465.696472939213</c:v>
                </c:pt>
                <c:pt idx="17">
                  <c:v>59981.26213363999</c:v>
                </c:pt>
                <c:pt idx="18">
                  <c:v>61535.726275040572</c:v>
                </c:pt>
                <c:pt idx="19">
                  <c:v>63130.075092332925</c:v>
                </c:pt>
                <c:pt idx="20">
                  <c:v>64765.319398544059</c:v>
                </c:pt>
                <c:pt idx="21">
                  <c:v>66442.495226715459</c:v>
                </c:pt>
                <c:pt idx="22">
                  <c:v>68162.664446411174</c:v>
                </c:pt>
                <c:pt idx="23">
                  <c:v>69926.915394881638</c:v>
                </c:pt>
                <c:pt idx="24">
                  <c:v>71736.36352321833</c:v>
                </c:pt>
                <c:pt idx="25">
                  <c:v>73592.152057840693</c:v>
                </c:pt>
                <c:pt idx="26">
                  <c:v>75495.452677664842</c:v>
                </c:pt>
                <c:pt idx="27">
                  <c:v>77447.466207309975</c:v>
                </c:pt>
                <c:pt idx="28">
                  <c:v>79449.423326707431</c:v>
                </c:pt>
                <c:pt idx="29">
                  <c:v>81502.58529748366</c:v>
                </c:pt>
                <c:pt idx="30">
                  <c:v>83608.244706497018</c:v>
                </c:pt>
                <c:pt idx="31">
                  <c:v>85767.726226916231</c:v>
                </c:pt>
                <c:pt idx="32">
                  <c:v>87982.387397236525</c:v>
                </c:pt>
                <c:pt idx="33">
                  <c:v>90253.61941863723</c:v>
                </c:pt>
                <c:pt idx="34">
                  <c:v>92582.847971094408</c:v>
                </c:pt>
                <c:pt idx="35">
                  <c:v>94971.534048668836</c:v>
                </c:pt>
                <c:pt idx="36">
                  <c:v>97421.174814400481</c:v>
                </c:pt>
                <c:pt idx="37">
                  <c:v>99933.304475247787</c:v>
                </c:pt>
                <c:pt idx="38">
                  <c:v>102509.49517752042</c:v>
                </c:pt>
                <c:pt idx="39">
                  <c:v>105151.35792326256</c:v>
                </c:pt>
                <c:pt idx="40">
                  <c:v>107860.54350805408</c:v>
                </c:pt>
                <c:pt idx="41">
                  <c:v>110934.5689980336</c:v>
                </c:pt>
                <c:pt idx="42">
                  <c:v>114096.20421447756</c:v>
                </c:pt>
                <c:pt idx="43">
                  <c:v>117347.94603459018</c:v>
                </c:pt>
                <c:pt idx="44">
                  <c:v>120692.362496576</c:v>
                </c:pt>
                <c:pt idx="45">
                  <c:v>124132.09482772842</c:v>
                </c:pt>
                <c:pt idx="46">
                  <c:v>127669.85953031869</c:v>
                </c:pt>
                <c:pt idx="47">
                  <c:v>131308.45052693275</c:v>
                </c:pt>
                <c:pt idx="48">
                  <c:v>135050.74136695033</c:v>
                </c:pt>
                <c:pt idx="49">
                  <c:v>138899.68749590841</c:v>
                </c:pt>
                <c:pt idx="50">
                  <c:v>142858.32858954181</c:v>
                </c:pt>
                <c:pt idx="51">
                  <c:v>146929.79095434371</c:v>
                </c:pt>
                <c:pt idx="52">
                  <c:v>151117.28999654253</c:v>
                </c:pt>
              </c:numCache>
            </c:numRef>
          </c:val>
          <c:smooth val="0"/>
        </c:ser>
        <c:dLbls>
          <c:showLegendKey val="0"/>
          <c:showVal val="0"/>
          <c:showCatName val="0"/>
          <c:showSerName val="0"/>
          <c:showPercent val="0"/>
          <c:showBubbleSize val="0"/>
        </c:dLbls>
        <c:marker val="1"/>
        <c:smooth val="0"/>
        <c:axId val="404729040"/>
        <c:axId val="404729824"/>
      </c:lineChart>
      <c:dateAx>
        <c:axId val="404729040"/>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4729824"/>
        <c:crosses val="autoZero"/>
        <c:auto val="0"/>
        <c:lblOffset val="100"/>
        <c:baseTimeUnit val="days"/>
        <c:majorUnit val="5"/>
      </c:dateAx>
      <c:valAx>
        <c:axId val="404729824"/>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404729040"/>
        <c:crosses val="autoZero"/>
        <c:crossBetween val="between"/>
      </c:valAx>
    </c:plotArea>
    <c:legend>
      <c:legendPos val="r"/>
      <c:legendEntry>
        <c:idx val="4"/>
        <c:txPr>
          <a:bodyPr/>
          <a:lstStyle/>
          <a:p>
            <a:pPr>
              <a:defRPr sz="1400">
                <a:latin typeface="Arial Narrow" pitchFamily="34" charset="0"/>
              </a:defRPr>
            </a:pPr>
            <a:endParaRPr lang="en-US"/>
          </a:p>
        </c:txPr>
      </c:legendEntry>
      <c:layout>
        <c:manualLayout>
          <c:xMode val="edge"/>
          <c:yMode val="edge"/>
          <c:x val="8.1341411966221244E-2"/>
          <c:y val="0.19014371938457464"/>
          <c:w val="0.34374523914386301"/>
          <c:h val="0.30789986446821299"/>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a:t>
            </a:r>
            <a:r>
              <a:rPr lang="en-US" baseline="0"/>
              <a:t> per person per year (current dollars, not 2015 dollars)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adding interest and w/ O&amp;M for LPP &amp; existing</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 (3)'!$F$142:$CC$142</c:f>
              <c:numCache>
                <c:formatCode>_("$"* #,##0_);_("$"* \(#,##0\);_("$"* "-"_);_(@_)</c:formatCode>
                <c:ptCount val="76"/>
                <c:pt idx="0">
                  <c:v>101.85056346841415</c:v>
                </c:pt>
                <c:pt idx="1">
                  <c:v>101.31911320507972</c:v>
                </c:pt>
                <c:pt idx="2">
                  <c:v>98.511534472610336</c:v>
                </c:pt>
                <c:pt idx="3">
                  <c:v>95.781754470209364</c:v>
                </c:pt>
                <c:pt idx="4">
                  <c:v>93.127617375021259</c:v>
                </c:pt>
                <c:pt idx="5">
                  <c:v>90.547027102597241</c:v>
                </c:pt>
                <c:pt idx="6">
                  <c:v>88.037945651528688</c:v>
                </c:pt>
                <c:pt idx="7">
                  <c:v>85.598391493951084</c:v>
                </c:pt>
                <c:pt idx="8">
                  <c:v>83.226438010647627</c:v>
                </c:pt>
                <c:pt idx="9">
                  <c:v>80.920211969516416</c:v>
                </c:pt>
                <c:pt idx="10">
                  <c:v>78.67789204619973</c:v>
                </c:pt>
                <c:pt idx="11">
                  <c:v>76.497707385707074</c:v>
                </c:pt>
                <c:pt idx="12">
                  <c:v>74.377936203896041</c:v>
                </c:pt>
                <c:pt idx="13">
                  <c:v>72.316904427706405</c:v>
                </c:pt>
                <c:pt idx="14">
                  <c:v>70.312984373073803</c:v>
                </c:pt>
                <c:pt idx="15">
                  <c:v>68.36459345947867</c:v>
                </c:pt>
                <c:pt idx="16">
                  <c:v>66.470192960115384</c:v>
                </c:pt>
                <c:pt idx="17">
                  <c:v>204.52593019556761</c:v>
                </c:pt>
                <c:pt idx="18">
                  <c:v>301.26634725959411</c:v>
                </c:pt>
                <c:pt idx="19">
                  <c:v>401.02141151450263</c:v>
                </c:pt>
                <c:pt idx="20">
                  <c:v>496.83561890904679</c:v>
                </c:pt>
                <c:pt idx="21">
                  <c:v>581.83299207058803</c:v>
                </c:pt>
                <c:pt idx="22">
                  <c:v>650.04631015874645</c:v>
                </c:pt>
                <c:pt idx="23">
                  <c:v>697.17498469380826</c:v>
                </c:pt>
                <c:pt idx="24">
                  <c:v>721.1326454823535</c:v>
                </c:pt>
                <c:pt idx="25">
                  <c:v>722.27356576904674</c:v>
                </c:pt>
                <c:pt idx="26">
                  <c:v>703.24430110602498</c:v>
                </c:pt>
                <c:pt idx="27">
                  <c:v>668.48228677111331</c:v>
                </c:pt>
                <c:pt idx="28">
                  <c:v>623.45857598976158</c:v>
                </c:pt>
                <c:pt idx="29">
                  <c:v>565.3272483278314</c:v>
                </c:pt>
                <c:pt idx="30">
                  <c:v>516.32646702335342</c:v>
                </c:pt>
                <c:pt idx="31">
                  <c:v>471.54808444510945</c:v>
                </c:pt>
                <c:pt idx="32">
                  <c:v>433.33699431651598</c:v>
                </c:pt>
                <c:pt idx="33">
                  <c:v>402.5892103374519</c:v>
                </c:pt>
                <c:pt idx="34">
                  <c:v>379.26014810753708</c:v>
                </c:pt>
                <c:pt idx="35">
                  <c:v>361.74295561664735</c:v>
                </c:pt>
                <c:pt idx="36">
                  <c:v>348.93264510007435</c:v>
                </c:pt>
                <c:pt idx="37">
                  <c:v>339.54975832907007</c:v>
                </c:pt>
                <c:pt idx="38">
                  <c:v>332.43475369195522</c:v>
                </c:pt>
                <c:pt idx="39">
                  <c:v>326.6999919572466</c:v>
                </c:pt>
                <c:pt idx="40">
                  <c:v>321.75682887878588</c:v>
                </c:pt>
                <c:pt idx="41">
                  <c:v>317.26450824249639</c:v>
                </c:pt>
                <c:pt idx="42">
                  <c:v>313.05080571712745</c:v>
                </c:pt>
                <c:pt idx="43">
                  <c:v>309.03968481400386</c:v>
                </c:pt>
                <c:pt idx="44">
                  <c:v>305.20125104862029</c:v>
                </c:pt>
                <c:pt idx="45">
                  <c:v>301.52399955179447</c:v>
                </c:pt>
                <c:pt idx="46">
                  <c:v>298.0023915401739</c:v>
                </c:pt>
                <c:pt idx="47">
                  <c:v>293.41605470860594</c:v>
                </c:pt>
                <c:pt idx="48">
                  <c:v>286.65231558815537</c:v>
                </c:pt>
                <c:pt idx="49">
                  <c:v>277.82936900466143</c:v>
                </c:pt>
                <c:pt idx="50">
                  <c:v>267.22842168323677</c:v>
                </c:pt>
                <c:pt idx="51">
                  <c:v>255.27803417633979</c:v>
                </c:pt>
                <c:pt idx="52">
                  <c:v>242.51913442045662</c:v>
                </c:pt>
                <c:pt idx="53">
                  <c:v>229.55410119367599</c:v>
                </c:pt>
                <c:pt idx="54">
                  <c:v>216.98648985032787</c:v>
                </c:pt>
                <c:pt idx="55">
                  <c:v>205.36018104918898</c:v>
                </c:pt>
                <c:pt idx="56">
                  <c:v>200.66788998426733</c:v>
                </c:pt>
                <c:pt idx="57">
                  <c:v>191.82879895179164</c:v>
                </c:pt>
                <c:pt idx="58">
                  <c:v>184.82415250818133</c:v>
                </c:pt>
                <c:pt idx="59">
                  <c:v>179.62696894320985</c:v>
                </c:pt>
                <c:pt idx="60">
                  <c:v>176.08375082143385</c:v>
                </c:pt>
                <c:pt idx="61">
                  <c:v>173.95583297436826</c:v>
                </c:pt>
                <c:pt idx="62">
                  <c:v>172.96439847579501</c:v>
                </c:pt>
                <c:pt idx="63">
                  <c:v>172.83095149824288</c:v>
                </c:pt>
                <c:pt idx="64">
                  <c:v>173.30137835510769</c:v>
                </c:pt>
                <c:pt idx="65">
                  <c:v>174.18390578395108</c:v>
                </c:pt>
                <c:pt idx="66">
                  <c:v>175.33102248681331</c:v>
                </c:pt>
                <c:pt idx="67">
                  <c:v>176.64023509924633</c:v>
                </c:pt>
                <c:pt idx="68">
                  <c:v>178.04722308640766</c:v>
                </c:pt>
                <c:pt idx="69">
                  <c:v>179.51567671285491</c:v>
                </c:pt>
                <c:pt idx="70">
                  <c:v>181.02729430716778</c:v>
                </c:pt>
                <c:pt idx="71">
                  <c:v>182.57392767592302</c:v>
                </c:pt>
                <c:pt idx="72">
                  <c:v>184.15241863029487</c:v>
                </c:pt>
                <c:pt idx="73">
                  <c:v>185.76172117619839</c:v>
                </c:pt>
                <c:pt idx="74">
                  <c:v>187.40154656989984</c:v>
                </c:pt>
                <c:pt idx="75">
                  <c:v>189.07183259806442</c:v>
                </c:pt>
              </c:numCache>
            </c:numRef>
          </c:yVal>
          <c:smooth val="0"/>
        </c:ser>
        <c:ser>
          <c:idx val="1"/>
          <c:order val="1"/>
          <c:tx>
            <c:v>original WCWCD</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Plan'!$F$137:$CC$137</c:f>
              <c:numCache>
                <c:formatCode>_("$"* #,##0_);_("$"* \(#,##0\);_("$"* "-"_);_(@_)</c:formatCode>
                <c:ptCount val="76"/>
                <c:pt idx="0">
                  <c:v>19.178827924192298</c:v>
                </c:pt>
                <c:pt idx="1">
                  <c:v>18.647377660857853</c:v>
                </c:pt>
                <c:pt idx="2">
                  <c:v>18.130654021252166</c:v>
                </c:pt>
                <c:pt idx="3">
                  <c:v>17.628248926837305</c:v>
                </c:pt>
                <c:pt idx="4">
                  <c:v>17.139765607036757</c:v>
                </c:pt>
                <c:pt idx="5">
                  <c:v>16.664818285888924</c:v>
                </c:pt>
                <c:pt idx="6">
                  <c:v>16.203031877383495</c:v>
                </c:pt>
                <c:pt idx="7">
                  <c:v>15.75404168924015</c:v>
                </c:pt>
                <c:pt idx="8">
                  <c:v>15.317493134895626</c:v>
                </c:pt>
                <c:pt idx="9">
                  <c:v>14.893041453471684</c:v>
                </c:pt>
                <c:pt idx="10">
                  <c:v>14.480351437502854</c:v>
                </c:pt>
                <c:pt idx="11">
                  <c:v>14.0790971682089</c:v>
                </c:pt>
                <c:pt idx="12">
                  <c:v>13.688961758102966</c:v>
                </c:pt>
                <c:pt idx="13">
                  <c:v>13.3096371007321</c:v>
                </c:pt>
                <c:pt idx="14">
                  <c:v>12.940823627352554</c:v>
                </c:pt>
                <c:pt idx="15">
                  <c:v>12.582230070347645</c:v>
                </c:pt>
                <c:pt idx="16">
                  <c:v>12.233573233201406</c:v>
                </c:pt>
                <c:pt idx="17">
                  <c:v>34.01917207764749</c:v>
                </c:pt>
                <c:pt idx="18">
                  <c:v>54.268876848210887</c:v>
                </c:pt>
                <c:pt idx="19">
                  <c:v>56.128715344278227</c:v>
                </c:pt>
                <c:pt idx="20">
                  <c:v>57.927210701425786</c:v>
                </c:pt>
                <c:pt idx="21">
                  <c:v>59.666062753839</c:v>
                </c:pt>
                <c:pt idx="22">
                  <c:v>61.346924232859934</c:v>
                </c:pt>
                <c:pt idx="23">
                  <c:v>62.971402072218964</c:v>
                </c:pt>
                <c:pt idx="24">
                  <c:v>64.541058677097979</c:v>
                </c:pt>
                <c:pt idx="25">
                  <c:v>66.057413158031139</c:v>
                </c:pt>
                <c:pt idx="26">
                  <c:v>67.521942530604491</c:v>
                </c:pt>
                <c:pt idx="27">
                  <c:v>68.936082881925898</c:v>
                </c:pt>
                <c:pt idx="28">
                  <c:v>70.301230504755239</c:v>
                </c:pt>
                <c:pt idx="29">
                  <c:v>63.128942642103425</c:v>
                </c:pt>
                <c:pt idx="30">
                  <c:v>64.635394547241319</c:v>
                </c:pt>
                <c:pt idx="31">
                  <c:v>66.0902957469483</c:v>
                </c:pt>
                <c:pt idx="32">
                  <c:v>67.495074724551998</c:v>
                </c:pt>
                <c:pt idx="33">
                  <c:v>68.851120379743207</c:v>
                </c:pt>
                <c:pt idx="34">
                  <c:v>74.375429379613678</c:v>
                </c:pt>
                <c:pt idx="35">
                  <c:v>75.99191769056803</c:v>
                </c:pt>
                <c:pt idx="36">
                  <c:v>77.563612693926189</c:v>
                </c:pt>
                <c:pt idx="37">
                  <c:v>79.0917556237832</c:v>
                </c:pt>
                <c:pt idx="38">
                  <c:v>80.577553319317872</c:v>
                </c:pt>
                <c:pt idx="39">
                  <c:v>82.02217917788326</c:v>
                </c:pt>
                <c:pt idx="40">
                  <c:v>83.426774081689516</c:v>
                </c:pt>
                <c:pt idx="41">
                  <c:v>84.792447298809051</c:v>
                </c:pt>
                <c:pt idx="42">
                  <c:v>86.120277359206398</c:v>
                </c:pt>
                <c:pt idx="43">
                  <c:v>87.411312906506197</c:v>
                </c:pt>
                <c:pt idx="44">
                  <c:v>88.666573526145768</c:v>
                </c:pt>
                <c:pt idx="45">
                  <c:v>89.887050550589436</c:v>
                </c:pt>
                <c:pt idx="46">
                  <c:v>66.645722823475907</c:v>
                </c:pt>
                <c:pt idx="47">
                  <c:v>46.496682468972118</c:v>
                </c:pt>
                <c:pt idx="48">
                  <c:v>44.176128361445421</c:v>
                </c:pt>
                <c:pt idx="49">
                  <c:v>41.922785502348397</c:v>
                </c:pt>
                <c:pt idx="50">
                  <c:v>39.734791450669633</c:v>
                </c:pt>
                <c:pt idx="51">
                  <c:v>37.610335374118016</c:v>
                </c:pt>
                <c:pt idx="52">
                  <c:v>35.547656619031777</c:v>
                </c:pt>
                <c:pt idx="53">
                  <c:v>33.54504331991577</c:v>
                </c:pt>
                <c:pt idx="54">
                  <c:v>31.600831047508791</c:v>
                </c:pt>
                <c:pt idx="55">
                  <c:v>29.713401494313299</c:v>
                </c:pt>
                <c:pt idx="56">
                  <c:v>28.675794860651152</c:v>
                </c:pt>
                <c:pt idx="57">
                  <c:v>26.846565539832756</c:v>
                </c:pt>
                <c:pt idx="58">
                  <c:v>25.071015611753001</c:v>
                </c:pt>
                <c:pt idx="59">
                  <c:v>23.347657606608248</c:v>
                </c:pt>
                <c:pt idx="60">
                  <c:v>21.675045272766354</c:v>
                </c:pt>
                <c:pt idx="61">
                  <c:v>20.051772434600537</c:v>
                </c:pt>
                <c:pt idx="62">
                  <c:v>18.476471881972977</c:v>
                </c:pt>
                <c:pt idx="63">
                  <c:v>16.94781429049101</c:v>
                </c:pt>
                <c:pt idx="64">
                  <c:v>15.356569635249588</c:v>
                </c:pt>
                <c:pt idx="65">
                  <c:v>13.809418779399868</c:v>
                </c:pt>
                <c:pt idx="66">
                  <c:v>12.305139872399653</c:v>
                </c:pt>
                <c:pt idx="67">
                  <c:v>10.84254492150008</c:v>
                </c:pt>
                <c:pt idx="68">
                  <c:v>9.4204788535374373</c:v>
                </c:pt>
                <c:pt idx="69">
                  <c:v>8.0378186027230036</c:v>
                </c:pt>
                <c:pt idx="70">
                  <c:v>6.6934722237104456</c:v>
                </c:pt>
                <c:pt idx="71">
                  <c:v>5.3863780292402712</c:v>
                </c:pt>
                <c:pt idx="72">
                  <c:v>4.1155037516805564</c:v>
                </c:pt>
                <c:pt idx="73">
                  <c:v>2.8798457278013929</c:v>
                </c:pt>
                <c:pt idx="74">
                  <c:v>1.6784281061395976</c:v>
                </c:pt>
                <c:pt idx="75">
                  <c:v>0.51030207632743707</c:v>
                </c:pt>
              </c:numCache>
            </c:numRef>
          </c:yVal>
          <c:smooth val="0"/>
        </c:ser>
        <c:ser>
          <c:idx val="2"/>
          <c:order val="2"/>
          <c:tx>
            <c:v>adding interest and O&amp;M for LPP</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 (2)'!$F$141:$CC$141</c:f>
              <c:numCache>
                <c:formatCode>_("$"* #,##0_);_("$"* \(#,##0\);_("$"* "-"_);_(@_)</c:formatCode>
                <c:ptCount val="76"/>
                <c:pt idx="0">
                  <c:v>19.178827924192298</c:v>
                </c:pt>
                <c:pt idx="1">
                  <c:v>18.647377660857853</c:v>
                </c:pt>
                <c:pt idx="2">
                  <c:v>18.130654021252166</c:v>
                </c:pt>
                <c:pt idx="3">
                  <c:v>17.628248926837305</c:v>
                </c:pt>
                <c:pt idx="4">
                  <c:v>17.139765607036757</c:v>
                </c:pt>
                <c:pt idx="5">
                  <c:v>16.664818285888924</c:v>
                </c:pt>
                <c:pt idx="6">
                  <c:v>16.203031877383495</c:v>
                </c:pt>
                <c:pt idx="7">
                  <c:v>15.75404168924015</c:v>
                </c:pt>
                <c:pt idx="8">
                  <c:v>15.317493134895626</c:v>
                </c:pt>
                <c:pt idx="9">
                  <c:v>14.893041453471684</c:v>
                </c:pt>
                <c:pt idx="10">
                  <c:v>14.480351437502854</c:v>
                </c:pt>
                <c:pt idx="11">
                  <c:v>14.0790971682089</c:v>
                </c:pt>
                <c:pt idx="12">
                  <c:v>13.688961758102966</c:v>
                </c:pt>
                <c:pt idx="13">
                  <c:v>13.3096371007321</c:v>
                </c:pt>
                <c:pt idx="14">
                  <c:v>12.940823627352554</c:v>
                </c:pt>
                <c:pt idx="15">
                  <c:v>12.582230070347645</c:v>
                </c:pt>
                <c:pt idx="16">
                  <c:v>12.233573233201406</c:v>
                </c:pt>
                <c:pt idx="17">
                  <c:v>151.79222117571931</c:v>
                </c:pt>
                <c:pt idx="18">
                  <c:v>249.99390290388357</c:v>
                </c:pt>
                <c:pt idx="19">
                  <c:v>351.16973980258183</c:v>
                </c:pt>
                <c:pt idx="20">
                  <c:v>448.36534986488459</c:v>
                </c:pt>
                <c:pt idx="21">
                  <c:v>534.70584667033313</c:v>
                </c:pt>
                <c:pt idx="22">
                  <c:v>604.22507010016125</c:v>
                </c:pt>
                <c:pt idx="23">
                  <c:v>652.62346300339971</c:v>
                </c:pt>
                <c:pt idx="24">
                  <c:v>677.8156579369878</c:v>
                </c:pt>
                <c:pt idx="25">
                  <c:v>680.15690310947878</c:v>
                </c:pt>
                <c:pt idx="26">
                  <c:v>662.29470202039738</c:v>
                </c:pt>
                <c:pt idx="27">
                  <c:v>628.66741162709036</c:v>
                </c:pt>
                <c:pt idx="28">
                  <c:v>584.74698129455214</c:v>
                </c:pt>
                <c:pt idx="29">
                  <c:v>527.68836189593117</c:v>
                </c:pt>
                <c:pt idx="30">
                  <c:v>479.73056383239543</c:v>
                </c:pt>
                <c:pt idx="31">
                  <c:v>435.96626316075555</c:v>
                </c:pt>
                <c:pt idx="32">
                  <c:v>398.74115446784907</c:v>
                </c:pt>
                <c:pt idx="33">
                  <c:v>368.95203012484433</c:v>
                </c:pt>
                <c:pt idx="34">
                  <c:v>346.55506282546844</c:v>
                </c:pt>
                <c:pt idx="35">
                  <c:v>329.94413667443183</c:v>
                </c:pt>
                <c:pt idx="36">
                  <c:v>318.01497962392904</c:v>
                </c:pt>
                <c:pt idx="37">
                  <c:v>309.4888293294149</c:v>
                </c:pt>
                <c:pt idx="38">
                  <c:v>303.20682078028267</c:v>
                </c:pt>
                <c:pt idx="39">
                  <c:v>298.28197259733167</c:v>
                </c:pt>
                <c:pt idx="40">
                  <c:v>294.12628015742956</c:v>
                </c:pt>
                <c:pt idx="41">
                  <c:v>290.39960914540711</c:v>
                </c:pt>
                <c:pt idx="42">
                  <c:v>286.93033989594198</c:v>
                </c:pt>
                <c:pt idx="43">
                  <c:v>283.64302383083862</c:v>
                </c:pt>
                <c:pt idx="44">
                  <c:v>280.50833808492047</c:v>
                </c:pt>
                <c:pt idx="45">
                  <c:v>277.51533356861529</c:v>
                </c:pt>
                <c:pt idx="46">
                  <c:v>274.65901187738416</c:v>
                </c:pt>
                <c:pt idx="47">
                  <c:v>270.71952611085226</c:v>
                </c:pt>
                <c:pt idx="48">
                  <c:v>264.58471364575996</c:v>
                </c:pt>
                <c:pt idx="49">
                  <c:v>256.37326599795711</c:v>
                </c:pt>
                <c:pt idx="50">
                  <c:v>246.36687281915863</c:v>
                </c:pt>
                <c:pt idx="51">
                  <c:v>234.99456420640479</c:v>
                </c:pt>
                <c:pt idx="52">
                  <c:v>222.79772462956211</c:v>
                </c:pt>
                <c:pt idx="53">
                  <c:v>210.37917674944214</c:v>
                </c:pt>
                <c:pt idx="54">
                  <c:v>198.34290750299306</c:v>
                </c:pt>
                <c:pt idx="55">
                  <c:v>187.23321717234424</c:v>
                </c:pt>
                <c:pt idx="56">
                  <c:v>182.54092610742262</c:v>
                </c:pt>
                <c:pt idx="57">
                  <c:v>174.20413791450946</c:v>
                </c:pt>
                <c:pt idx="58">
                  <c:v>167.68787536935565</c:v>
                </c:pt>
                <c:pt idx="59">
                  <c:v>162.96554245917906</c:v>
                </c:pt>
                <c:pt idx="60">
                  <c:v>159.88401675820509</c:v>
                </c:pt>
                <c:pt idx="61">
                  <c:v>158.20499771600294</c:v>
                </c:pt>
                <c:pt idx="62">
                  <c:v>157.65002292074848</c:v>
                </c:pt>
                <c:pt idx="63">
                  <c:v>157.94094123567942</c:v>
                </c:pt>
                <c:pt idx="64">
                  <c:v>158.82397411343197</c:v>
                </c:pt>
                <c:pt idx="65">
                  <c:v>160.1076741440136</c:v>
                </c:pt>
                <c:pt idx="66">
                  <c:v>161.64484685245503</c:v>
                </c:pt>
                <c:pt idx="67">
                  <c:v>163.3333069180521</c:v>
                </c:pt>
                <c:pt idx="68">
                  <c:v>165.10903331373461</c:v>
                </c:pt>
                <c:pt idx="69">
                  <c:v>166.93600751239495</c:v>
                </c:pt>
                <c:pt idx="70">
                  <c:v>168.79621098148965</c:v>
                </c:pt>
                <c:pt idx="71">
                  <c:v>170.68177082062098</c:v>
                </c:pt>
                <c:pt idx="72">
                  <c:v>172.58979650554812</c:v>
                </c:pt>
                <c:pt idx="73">
                  <c:v>174.5195022897164</c:v>
                </c:pt>
                <c:pt idx="74">
                  <c:v>176.47085246539618</c:v>
                </c:pt>
                <c:pt idx="75">
                  <c:v>178.44403084356404</c:v>
                </c:pt>
              </c:numCache>
            </c:numRef>
          </c:yVal>
          <c:smooth val="0"/>
        </c:ser>
        <c:ser>
          <c:idx val="3"/>
          <c:order val="3"/>
          <c:tx>
            <c:v>adding interest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 (2)'!$F$132:$CC$132</c:f>
              <c:numCache>
                <c:formatCode>_("$"* #,##0_);_("$"* \(#,##0\);_("$"* "-"_);_(@_)</c:formatCode>
                <c:ptCount val="76"/>
                <c:pt idx="0">
                  <c:v>19.178827924192298</c:v>
                </c:pt>
                <c:pt idx="1">
                  <c:v>18.647377660857853</c:v>
                </c:pt>
                <c:pt idx="2">
                  <c:v>18.130654021252166</c:v>
                </c:pt>
                <c:pt idx="3">
                  <c:v>17.628248926837305</c:v>
                </c:pt>
                <c:pt idx="4">
                  <c:v>17.139765607036757</c:v>
                </c:pt>
                <c:pt idx="5">
                  <c:v>16.664818285888924</c:v>
                </c:pt>
                <c:pt idx="6">
                  <c:v>16.203031877383495</c:v>
                </c:pt>
                <c:pt idx="7">
                  <c:v>15.75404168924015</c:v>
                </c:pt>
                <c:pt idx="8">
                  <c:v>15.317493134895626</c:v>
                </c:pt>
                <c:pt idx="9">
                  <c:v>14.893041453471684</c:v>
                </c:pt>
                <c:pt idx="10">
                  <c:v>14.480351437502854</c:v>
                </c:pt>
                <c:pt idx="11">
                  <c:v>14.0790971682089</c:v>
                </c:pt>
                <c:pt idx="12">
                  <c:v>13.688961758102966</c:v>
                </c:pt>
                <c:pt idx="13">
                  <c:v>13.3096371007321</c:v>
                </c:pt>
                <c:pt idx="14">
                  <c:v>12.940823627352554</c:v>
                </c:pt>
                <c:pt idx="15">
                  <c:v>12.582230070347645</c:v>
                </c:pt>
                <c:pt idx="16">
                  <c:v>12.233573233201406</c:v>
                </c:pt>
                <c:pt idx="17">
                  <c:v>60.756210252000145</c:v>
                </c:pt>
                <c:pt idx="18">
                  <c:v>157.93998811470715</c:v>
                </c:pt>
                <c:pt idx="19">
                  <c:v>258.08653962684673</c:v>
                </c:pt>
                <c:pt idx="20">
                  <c:v>354.24135552092309</c:v>
                </c:pt>
                <c:pt idx="21">
                  <c:v>439.52942069296796</c:v>
                </c:pt>
                <c:pt idx="22">
                  <c:v>507.98444490185335</c:v>
                </c:pt>
                <c:pt idx="23">
                  <c:v>555.30673941930604</c:v>
                </c:pt>
                <c:pt idx="24">
                  <c:v>579.41080375375259</c:v>
                </c:pt>
                <c:pt idx="25">
                  <c:v>580.65175157757346</c:v>
                </c:pt>
                <c:pt idx="26">
                  <c:v>561.67695034982717</c:v>
                </c:pt>
                <c:pt idx="27">
                  <c:v>526.92461946628043</c:v>
                </c:pt>
                <c:pt idx="28">
                  <c:v>481.86656919222611</c:v>
                </c:pt>
                <c:pt idx="29">
                  <c:v>423.65760974579098</c:v>
                </c:pt>
                <c:pt idx="30">
                  <c:v>374.53660930041121</c:v>
                </c:pt>
                <c:pt idx="31">
                  <c:v>329.59610009486966</c:v>
                </c:pt>
                <c:pt idx="32">
                  <c:v>291.18163128989937</c:v>
                </c:pt>
                <c:pt idx="33">
                  <c:v>260.18984820450623</c:v>
                </c:pt>
                <c:pt idx="34">
                  <c:v>236.57677483601623</c:v>
                </c:pt>
                <c:pt idx="35">
                  <c:v>218.73614493011462</c:v>
                </c:pt>
                <c:pt idx="36">
                  <c:v>205.5635343987565</c:v>
                </c:pt>
                <c:pt idx="37">
                  <c:v>195.7800271571451</c:v>
                </c:pt>
                <c:pt idx="38">
                  <c:v>188.22660273540126</c:v>
                </c:pt>
                <c:pt idx="39">
                  <c:v>182.01612255680982</c:v>
                </c:pt>
                <c:pt idx="40">
                  <c:v>176.5604230430468</c:v>
                </c:pt>
                <c:pt idx="41">
                  <c:v>171.51920914642017</c:v>
                </c:pt>
                <c:pt idx="42">
                  <c:v>166.72069867188122</c:v>
                </c:pt>
                <c:pt idx="43">
                  <c:v>162.08927869420936</c:v>
                </c:pt>
                <c:pt idx="44">
                  <c:v>157.59546016358416</c:v>
                </c:pt>
                <c:pt idx="45">
                  <c:v>153.22812594762374</c:v>
                </c:pt>
                <c:pt idx="46">
                  <c:v>148.98210772003736</c:v>
                </c:pt>
                <c:pt idx="47">
                  <c:v>143.63738675874654</c:v>
                </c:pt>
                <c:pt idx="48">
                  <c:v>136.08162669759275</c:v>
                </c:pt>
                <c:pt idx="49">
                  <c:v>126.43334336684978</c:v>
                </c:pt>
                <c:pt idx="50">
                  <c:v>114.97404876825767</c:v>
                </c:pt>
                <c:pt idx="51">
                  <c:v>102.13259336251855</c:v>
                </c:pt>
                <c:pt idx="52">
                  <c:v>88.450179974587215</c:v>
                </c:pt>
                <c:pt idx="53">
                  <c:v>74.529447589331383</c:v>
                </c:pt>
                <c:pt idx="54">
                  <c:v>60.974197414013751</c:v>
                </c:pt>
                <c:pt idx="55">
                  <c:v>48.328541924372935</c:v>
                </c:pt>
                <c:pt idx="56">
                  <c:v>38.080063849532422</c:v>
                </c:pt>
                <c:pt idx="57">
                  <c:v>28.128010789370123</c:v>
                </c:pt>
                <c:pt idx="58">
                  <c:v>19.978422564158844</c:v>
                </c:pt>
                <c:pt idx="59">
                  <c:v>13.604501217171578</c:v>
                </c:pt>
                <c:pt idx="60">
                  <c:v>8.8529201206865711</c:v>
                </c:pt>
                <c:pt idx="61">
                  <c:v>5.4851722390760749</c:v>
                </c:pt>
                <c:pt idx="62">
                  <c:v>3.2225863665394683</c:v>
                </c:pt>
                <c:pt idx="63">
                  <c:v>1.7868002377432044</c:v>
                </c:pt>
                <c:pt idx="64">
                  <c:v>0.92382181605358604</c:v>
                </c:pt>
                <c:pt idx="65">
                  <c:v>0.44198781511374319</c:v>
                </c:pt>
                <c:pt idx="66">
                  <c:v>0.19388546980468685</c:v>
                </c:pt>
                <c:pt idx="67">
                  <c:v>7.7108728498046369E-2</c:v>
                </c:pt>
                <c:pt idx="68">
                  <c:v>2.7413365133495248E-2</c:v>
                </c:pt>
                <c:pt idx="69">
                  <c:v>8.5551579514153257E-3</c:v>
                </c:pt>
                <c:pt idx="70">
                  <c:v>2.2873561894209034E-3</c:v>
                </c:pt>
                <c:pt idx="71">
                  <c:v>5.0628944719386E-4</c:v>
                </c:pt>
                <c:pt idx="72">
                  <c:v>8.808316525937181E-5</c:v>
                </c:pt>
                <c:pt idx="73">
                  <c:v>1.1031302992424443E-5</c:v>
                </c:pt>
                <c:pt idx="74">
                  <c:v>8.283034047549532E-7</c:v>
                </c:pt>
                <c:pt idx="75">
                  <c:v>1.9474066588226928E-8</c:v>
                </c:pt>
              </c:numCache>
            </c:numRef>
          </c:yVal>
          <c:smooth val="0"/>
        </c:ser>
        <c:dLbls>
          <c:showLegendKey val="0"/>
          <c:showVal val="0"/>
          <c:showCatName val="0"/>
          <c:showSerName val="0"/>
          <c:showPercent val="0"/>
          <c:showBubbleSize val="0"/>
        </c:dLbls>
        <c:axId val="404732960"/>
        <c:axId val="404737272"/>
      </c:scatterChart>
      <c:valAx>
        <c:axId val="404732960"/>
        <c:scaling>
          <c:orientation val="minMax"/>
          <c:max val="209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7272"/>
        <c:crossesAt val="0"/>
        <c:crossBetween val="midCat"/>
      </c:valAx>
      <c:valAx>
        <c:axId val="4047372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296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Population (left axis)</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 (3)'!$E$6:$CC$6</c:f>
              <c:numCache>
                <c:formatCode>_(* #,##0_);_(* \(#,##0\);_(* "-"??_);_(@_)</c:formatCode>
                <c:ptCount val="77"/>
                <c:pt idx="0">
                  <c:v>155615.26406250001</c:v>
                </c:pt>
                <c:pt idx="1">
                  <c:v>160050.29908828126</c:v>
                </c:pt>
                <c:pt idx="2">
                  <c:v>164611.73261229726</c:v>
                </c:pt>
                <c:pt idx="3">
                  <c:v>169303.16699174771</c:v>
                </c:pt>
                <c:pt idx="4">
                  <c:v>174128.30725101251</c:v>
                </c:pt>
                <c:pt idx="5">
                  <c:v>179090.96400766636</c:v>
                </c:pt>
                <c:pt idx="6">
                  <c:v>184195.05648188485</c:v>
                </c:pt>
                <c:pt idx="7">
                  <c:v>189444.61559161855</c:v>
                </c:pt>
                <c:pt idx="8">
                  <c:v>194843.78713597968</c:v>
                </c:pt>
                <c:pt idx="9">
                  <c:v>200396.83506935509</c:v>
                </c:pt>
                <c:pt idx="10">
                  <c:v>206108.1448688317</c:v>
                </c:pt>
                <c:pt idx="11">
                  <c:v>211982.22699759339</c:v>
                </c:pt>
                <c:pt idx="12">
                  <c:v>218023.7204670248</c:v>
                </c:pt>
                <c:pt idx="13">
                  <c:v>224237.39650033502</c:v>
                </c:pt>
                <c:pt idx="14">
                  <c:v>230628.16230059456</c:v>
                </c:pt>
                <c:pt idx="15">
                  <c:v>237201.06492616149</c:v>
                </c:pt>
                <c:pt idx="16">
                  <c:v>243961.2952765571</c:v>
                </c:pt>
                <c:pt idx="17">
                  <c:v>250914.19219193896</c:v>
                </c:pt>
                <c:pt idx="18">
                  <c:v>258065.24666940921</c:v>
                </c:pt>
                <c:pt idx="19">
                  <c:v>265420.10619948735</c:v>
                </c:pt>
                <c:pt idx="20">
                  <c:v>272984.5792261727</c:v>
                </c:pt>
                <c:pt idx="21">
                  <c:v>280764.63973411859</c:v>
                </c:pt>
                <c:pt idx="22">
                  <c:v>288766.43196654099</c:v>
                </c:pt>
                <c:pt idx="23">
                  <c:v>296996.27527758741</c:v>
                </c:pt>
                <c:pt idx="24">
                  <c:v>305460.66912299866</c:v>
                </c:pt>
                <c:pt idx="25">
                  <c:v>314166.2981930041</c:v>
                </c:pt>
                <c:pt idx="26">
                  <c:v>323120.03769150469</c:v>
                </c:pt>
                <c:pt idx="27">
                  <c:v>332328.95876571257</c:v>
                </c:pt>
                <c:pt idx="28">
                  <c:v>341800.33409053535</c:v>
                </c:pt>
                <c:pt idx="29">
                  <c:v>351541.64361211559</c:v>
                </c:pt>
                <c:pt idx="30">
                  <c:v>361560.58045506087</c:v>
                </c:pt>
                <c:pt idx="31">
                  <c:v>371865.05699803011</c:v>
                </c:pt>
                <c:pt idx="32">
                  <c:v>382463.21112247393</c:v>
                </c:pt>
                <c:pt idx="33">
                  <c:v>393363.41263946443</c:v>
                </c:pt>
                <c:pt idx="34">
                  <c:v>404574.26989968913</c:v>
                </c:pt>
                <c:pt idx="35">
                  <c:v>416104.63659183023</c:v>
                </c:pt>
                <c:pt idx="36">
                  <c:v>427963.6187346974</c:v>
                </c:pt>
                <c:pt idx="37">
                  <c:v>440160.58186863625</c:v>
                </c:pt>
                <c:pt idx="38">
                  <c:v>452705.15845189238</c:v>
                </c:pt>
                <c:pt idx="39">
                  <c:v>465607.25546777132</c:v>
                </c:pt>
                <c:pt idx="40">
                  <c:v>478877.0622486028</c:v>
                </c:pt>
                <c:pt idx="41">
                  <c:v>492525.05852268799</c:v>
                </c:pt>
                <c:pt idx="42">
                  <c:v>506562.02269058459</c:v>
                </c:pt>
                <c:pt idx="43">
                  <c:v>520999.04033726623</c:v>
                </c:pt>
                <c:pt idx="44">
                  <c:v>535847.51298687828</c:v>
                </c:pt>
                <c:pt idx="45">
                  <c:v>551119.16710700432</c:v>
                </c:pt>
                <c:pt idx="46">
                  <c:v>566826.06336955389</c:v>
                </c:pt>
                <c:pt idx="47">
                  <c:v>582980.60617558612</c:v>
                </c:pt>
                <c:pt idx="48">
                  <c:v>599595.55345159036</c:v>
                </c:pt>
                <c:pt idx="49">
                  <c:v>616684.02672496065</c:v>
                </c:pt>
                <c:pt idx="50">
                  <c:v>634259.52148662205</c:v>
                </c:pt>
                <c:pt idx="51">
                  <c:v>652335.91784899076</c:v>
                </c:pt>
                <c:pt idx="52">
                  <c:v>670927.49150768702</c:v>
                </c:pt>
                <c:pt idx="53">
                  <c:v>690048.92501565604</c:v>
                </c:pt>
                <c:pt idx="54">
                  <c:v>709715.3193786022</c:v>
                </c:pt>
                <c:pt idx="55">
                  <c:v>729942.20598089229</c:v>
                </c:pt>
                <c:pt idx="56">
                  <c:v>750745.55885134765</c:v>
                </c:pt>
                <c:pt idx="57">
                  <c:v>750745.55885134765</c:v>
                </c:pt>
                <c:pt idx="58">
                  <c:v>772141.807278611</c:v>
                </c:pt>
                <c:pt idx="59">
                  <c:v>794147.84878605139</c:v>
                </c:pt>
                <c:pt idx="60">
                  <c:v>816781.06247645384</c:v>
                </c:pt>
                <c:pt idx="61">
                  <c:v>840059.3227570327</c:v>
                </c:pt>
                <c:pt idx="62">
                  <c:v>864001.01345560816</c:v>
                </c:pt>
                <c:pt idx="63">
                  <c:v>888625.04233909294</c:v>
                </c:pt>
                <c:pt idx="64">
                  <c:v>913950.85604575707</c:v>
                </c:pt>
                <c:pt idx="65">
                  <c:v>939998.45544306107</c:v>
                </c:pt>
                <c:pt idx="66">
                  <c:v>966788.41142318828</c:v>
                </c:pt>
                <c:pt idx="67">
                  <c:v>994341.88114874915</c:v>
                </c:pt>
                <c:pt idx="68">
                  <c:v>1022680.6247614885</c:v>
                </c:pt>
                <c:pt idx="69">
                  <c:v>1051827.0225671909</c:v>
                </c:pt>
                <c:pt idx="70">
                  <c:v>1081804.0927103558</c:v>
                </c:pt>
                <c:pt idx="71">
                  <c:v>1112635.5093526009</c:v>
                </c:pt>
                <c:pt idx="72">
                  <c:v>1144345.62136915</c:v>
                </c:pt>
                <c:pt idx="73">
                  <c:v>1176959.4715781708</c:v>
                </c:pt>
                <c:pt idx="74">
                  <c:v>1210502.8165181486</c:v>
                </c:pt>
                <c:pt idx="75">
                  <c:v>1245002.1467889159</c:v>
                </c:pt>
                <c:pt idx="76">
                  <c:v>1280484.7079723999</c:v>
                </c:pt>
              </c:numCache>
            </c:numRef>
          </c:yVal>
          <c:smooth val="0"/>
        </c:ser>
        <c:dLbls>
          <c:showLegendKey val="0"/>
          <c:showVal val="0"/>
          <c:showCatName val="0"/>
          <c:showSerName val="0"/>
          <c:showPercent val="0"/>
          <c:showBubbleSize val="0"/>
        </c:dLbls>
        <c:axId val="404733352"/>
        <c:axId val="404733744"/>
      </c:scatterChart>
      <c:scatterChart>
        <c:scatterStyle val="lineMarker"/>
        <c:varyColors val="0"/>
        <c:ser>
          <c:idx val="1"/>
          <c:order val="1"/>
          <c:tx>
            <c:v>Prop. of LPP utilized (right axis)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'LPP Act Financing Plan (3)'!$E$4:$CC$4</c:f>
              <c:numCache>
                <c:formatCode>General</c:formatCode>
                <c:ptCount val="7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pt idx="47">
                  <c:v>2061</c:v>
                </c:pt>
                <c:pt idx="48">
                  <c:v>2062</c:v>
                </c:pt>
                <c:pt idx="49">
                  <c:v>2063</c:v>
                </c:pt>
                <c:pt idx="50">
                  <c:v>2064</c:v>
                </c:pt>
                <c:pt idx="51">
                  <c:v>2065</c:v>
                </c:pt>
                <c:pt idx="52">
                  <c:v>2066</c:v>
                </c:pt>
                <c:pt idx="53">
                  <c:v>2067</c:v>
                </c:pt>
                <c:pt idx="54">
                  <c:v>2068</c:v>
                </c:pt>
                <c:pt idx="55">
                  <c:v>2069</c:v>
                </c:pt>
                <c:pt idx="56">
                  <c:v>2070</c:v>
                </c:pt>
                <c:pt idx="57">
                  <c:v>2071</c:v>
                </c:pt>
                <c:pt idx="58">
                  <c:v>2072</c:v>
                </c:pt>
                <c:pt idx="59">
                  <c:v>2073</c:v>
                </c:pt>
                <c:pt idx="60">
                  <c:v>2074</c:v>
                </c:pt>
                <c:pt idx="61">
                  <c:v>2075</c:v>
                </c:pt>
                <c:pt idx="62">
                  <c:v>2076</c:v>
                </c:pt>
                <c:pt idx="63">
                  <c:v>2077</c:v>
                </c:pt>
                <c:pt idx="64">
                  <c:v>2078</c:v>
                </c:pt>
                <c:pt idx="65">
                  <c:v>2079</c:v>
                </c:pt>
                <c:pt idx="66">
                  <c:v>2080</c:v>
                </c:pt>
                <c:pt idx="67">
                  <c:v>2081</c:v>
                </c:pt>
                <c:pt idx="68">
                  <c:v>2082</c:v>
                </c:pt>
                <c:pt idx="69">
                  <c:v>2083</c:v>
                </c:pt>
                <c:pt idx="70">
                  <c:v>2084</c:v>
                </c:pt>
                <c:pt idx="71">
                  <c:v>2085</c:v>
                </c:pt>
                <c:pt idx="72">
                  <c:v>2086</c:v>
                </c:pt>
                <c:pt idx="73">
                  <c:v>2087</c:v>
                </c:pt>
                <c:pt idx="74">
                  <c:v>2088</c:v>
                </c:pt>
                <c:pt idx="75">
                  <c:v>2089</c:v>
                </c:pt>
                <c:pt idx="76">
                  <c:v>2090</c:v>
                </c:pt>
              </c:numCache>
            </c:numRef>
          </c:xVal>
          <c:yVal>
            <c:numRef>
              <c:f>'LPP Act Financing Plan (3)'!$E$24:$CC$24</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1.1706932889376494E-2</c:v>
                </c:pt>
                <c:pt idx="19">
                  <c:v>3.4269985748649798E-2</c:v>
                </c:pt>
                <c:pt idx="20">
                  <c:v>5.7410700162492431E-2</c:v>
                </c:pt>
                <c:pt idx="21">
                  <c:v>8.1143675999829482E-2</c:v>
                </c:pt>
                <c:pt idx="22">
                  <c:v>0.10548387611651736</c:v>
                </c:pt>
                <c:pt idx="23">
                  <c:v>0.13044663518685529</c:v>
                </c:pt>
                <c:pt idx="24">
                  <c:v>0.15604766874365672</c:v>
                </c:pt>
                <c:pt idx="25">
                  <c:v>0.18230308243159474</c:v>
                </c:pt>
                <c:pt idx="26">
                  <c:v>0.20922938147863837</c:v>
                </c:pt>
                <c:pt idx="27">
                  <c:v>0.23684348039048789</c:v>
                </c:pt>
                <c:pt idx="28">
                  <c:v>0.26516271287303694</c:v>
                </c:pt>
                <c:pt idx="29">
                  <c:v>0.29420484198797353</c:v>
                </c:pt>
                <c:pt idx="30">
                  <c:v>0.32398807054676021</c:v>
                </c:pt>
                <c:pt idx="31">
                  <c:v>0.35453105174832261</c:v>
                </c:pt>
                <c:pt idx="32">
                  <c:v>0.38585290006590273</c:v>
                </c:pt>
                <c:pt idx="33">
                  <c:v>0.41797320238863173</c:v>
                </c:pt>
                <c:pt idx="34">
                  <c:v>0.45091202942350772</c:v>
                </c:pt>
                <c:pt idx="35">
                  <c:v>0.48828665391717341</c:v>
                </c:pt>
                <c:pt idx="36">
                  <c:v>0.52672645520890904</c:v>
                </c:pt>
                <c:pt idx="37">
                  <c:v>0.5662617908374592</c:v>
                </c:pt>
                <c:pt idx="38">
                  <c:v>0.60692388353142279</c:v>
                </c:pt>
                <c:pt idx="39">
                  <c:v>0.64874484586716452</c:v>
                </c:pt>
                <c:pt idx="40">
                  <c:v>0.69175770562947503</c:v>
                </c:pt>
                <c:pt idx="41">
                  <c:v>0.73599643189501074</c:v>
                </c:pt>
                <c:pt idx="42">
                  <c:v>0.78149596185911474</c:v>
                </c:pt>
                <c:pt idx="43">
                  <c:v>0.82829222842719552</c:v>
                </c:pt>
                <c:pt idx="44">
                  <c:v>0.8764221885924669</c:v>
                </c:pt>
                <c:pt idx="45">
                  <c:v>0.92592385262244803</c:v>
                </c:pt>
                <c:pt idx="46">
                  <c:v>0.97683631407728411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numCache>
            </c:numRef>
          </c:yVal>
          <c:smooth val="0"/>
        </c:ser>
        <c:ser>
          <c:idx val="2"/>
          <c:order val="2"/>
          <c:tx>
            <c:v>Post-LPP water demand (% of LPP, right axis)</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'LPP Act Financing Plan (3)'!$AZ$4:$CC$4</c:f>
              <c:numCache>
                <c:formatCode>General</c:formatCode>
                <c:ptCount val="30"/>
                <c:pt idx="0">
                  <c:v>2061</c:v>
                </c:pt>
                <c:pt idx="1">
                  <c:v>2062</c:v>
                </c:pt>
                <c:pt idx="2">
                  <c:v>2063</c:v>
                </c:pt>
                <c:pt idx="3">
                  <c:v>2064</c:v>
                </c:pt>
                <c:pt idx="4">
                  <c:v>2065</c:v>
                </c:pt>
                <c:pt idx="5">
                  <c:v>2066</c:v>
                </c:pt>
                <c:pt idx="6">
                  <c:v>2067</c:v>
                </c:pt>
                <c:pt idx="7">
                  <c:v>2068</c:v>
                </c:pt>
                <c:pt idx="8">
                  <c:v>2069</c:v>
                </c:pt>
                <c:pt idx="9">
                  <c:v>2070</c:v>
                </c:pt>
                <c:pt idx="10">
                  <c:v>2071</c:v>
                </c:pt>
                <c:pt idx="11">
                  <c:v>2072</c:v>
                </c:pt>
                <c:pt idx="12">
                  <c:v>2073</c:v>
                </c:pt>
                <c:pt idx="13">
                  <c:v>2074</c:v>
                </c:pt>
                <c:pt idx="14">
                  <c:v>2075</c:v>
                </c:pt>
                <c:pt idx="15">
                  <c:v>2076</c:v>
                </c:pt>
                <c:pt idx="16">
                  <c:v>2077</c:v>
                </c:pt>
                <c:pt idx="17">
                  <c:v>2078</c:v>
                </c:pt>
                <c:pt idx="18">
                  <c:v>2079</c:v>
                </c:pt>
                <c:pt idx="19">
                  <c:v>2080</c:v>
                </c:pt>
                <c:pt idx="20">
                  <c:v>2081</c:v>
                </c:pt>
                <c:pt idx="21">
                  <c:v>2082</c:v>
                </c:pt>
                <c:pt idx="22">
                  <c:v>2083</c:v>
                </c:pt>
                <c:pt idx="23">
                  <c:v>2084</c:v>
                </c:pt>
                <c:pt idx="24">
                  <c:v>2085</c:v>
                </c:pt>
                <c:pt idx="25">
                  <c:v>2086</c:v>
                </c:pt>
                <c:pt idx="26">
                  <c:v>2087</c:v>
                </c:pt>
                <c:pt idx="27">
                  <c:v>2088</c:v>
                </c:pt>
                <c:pt idx="28">
                  <c:v>2089</c:v>
                </c:pt>
                <c:pt idx="29">
                  <c:v>2090</c:v>
                </c:pt>
              </c:numCache>
            </c:numRef>
          </c:xVal>
          <c:yVal>
            <c:numRef>
              <c:f>'LPP Act Financing Plan (3)'!$AZ$25:$CC$25</c:f>
              <c:numCache>
                <c:formatCode>0.0%</c:formatCode>
                <c:ptCount val="30"/>
                <c:pt idx="0">
                  <c:v>1.0291997806835822</c:v>
                </c:pt>
                <c:pt idx="1">
                  <c:v>1.0830556060881606</c:v>
                </c:pt>
                <c:pt idx="2">
                  <c:v>1.1384463225167698</c:v>
                </c:pt>
                <c:pt idx="3">
                  <c:v>1.1954156743635937</c:v>
                </c:pt>
                <c:pt idx="4">
                  <c:v>1.2540086527380514</c:v>
                </c:pt>
                <c:pt idx="5">
                  <c:v>1.3142715309961819</c:v>
                </c:pt>
                <c:pt idx="6">
                  <c:v>1.3762519012846692</c:v>
                </c:pt>
                <c:pt idx="7">
                  <c:v>1.4399987121263786</c:v>
                </c:pt>
                <c:pt idx="8">
                  <c:v>1.5055623070770761</c:v>
                </c:pt>
                <c:pt idx="9">
                  <c:v>1.5729944644838689</c:v>
                </c:pt>
                <c:pt idx="10">
                  <c:v>1.6423484383767553</c:v>
                </c:pt>
                <c:pt idx="11">
                  <c:v>1.7136790005255886</c:v>
                </c:pt>
                <c:pt idx="12">
                  <c:v>1.7870424836956638</c:v>
                </c:pt>
                <c:pt idx="13">
                  <c:v>1.8624968261360861</c:v>
                </c:pt>
                <c:pt idx="14">
                  <c:v>1.9401016173360606</c:v>
                </c:pt>
                <c:pt idx="15">
                  <c:v>2.0199181450852346</c:v>
                </c:pt>
                <c:pt idx="16">
                  <c:v>2.1020094438752599</c:v>
                </c:pt>
                <c:pt idx="17">
                  <c:v>2.1864403446808001</c:v>
                </c:pt>
                <c:pt idx="18">
                  <c:v>2.2732775261592999</c:v>
                </c:pt>
                <c:pt idx="19">
                  <c:v>2.3625895673099362</c:v>
                </c:pt>
                <c:pt idx="20">
                  <c:v>2.4544470016333646</c:v>
                </c:pt>
                <c:pt idx="21">
                  <c:v>2.5489223728350119</c:v>
                </c:pt>
                <c:pt idx="22">
                  <c:v>2.6460902921159053</c:v>
                </c:pt>
                <c:pt idx="23">
                  <c:v>2.7460274970963052</c:v>
                </c:pt>
                <c:pt idx="24">
                  <c:v>2.8488129124186461</c:v>
                </c:pt>
                <c:pt idx="25">
                  <c:v>2.9545277120776738</c:v>
                </c:pt>
                <c:pt idx="26">
                  <c:v>3.0632553835269825</c:v>
                </c:pt>
                <c:pt idx="27">
                  <c:v>3.1750817936125975</c:v>
                </c:pt>
                <c:pt idx="28">
                  <c:v>3.2900952563856523</c:v>
                </c:pt>
              </c:numCache>
            </c:numRef>
          </c:yVal>
          <c:smooth val="0"/>
        </c:ser>
        <c:dLbls>
          <c:showLegendKey val="0"/>
          <c:showVal val="0"/>
          <c:showCatName val="0"/>
          <c:showSerName val="0"/>
          <c:showPercent val="0"/>
          <c:showBubbleSize val="0"/>
        </c:dLbls>
        <c:axId val="404739624"/>
        <c:axId val="404740800"/>
      </c:scatterChart>
      <c:valAx>
        <c:axId val="404733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3744"/>
        <c:crosses val="autoZero"/>
        <c:crossBetween val="midCat"/>
      </c:valAx>
      <c:valAx>
        <c:axId val="40473374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3352"/>
        <c:crosses val="autoZero"/>
        <c:crossBetween val="midCat"/>
      </c:valAx>
      <c:valAx>
        <c:axId val="404740800"/>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9624"/>
        <c:crosses val="max"/>
        <c:crossBetween val="midCat"/>
      </c:valAx>
      <c:valAx>
        <c:axId val="404739624"/>
        <c:scaling>
          <c:orientation val="minMax"/>
        </c:scaling>
        <c:delete val="1"/>
        <c:axPos val="b"/>
        <c:numFmt formatCode="General" sourceLinked="1"/>
        <c:majorTickMark val="out"/>
        <c:minorTickMark val="none"/>
        <c:tickLblPos val="nextTo"/>
        <c:crossAx val="40474080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correct TR minus WCWCD TR</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'LPP Act Financing Plan (3)'!$F$4:$CC$4</c:f>
              <c:numCache>
                <c:formatCode>General</c:formatCode>
                <c:ptCount val="7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pt idx="36">
                  <c:v>2051</c:v>
                </c:pt>
                <c:pt idx="37">
                  <c:v>2052</c:v>
                </c:pt>
                <c:pt idx="38">
                  <c:v>2053</c:v>
                </c:pt>
                <c:pt idx="39">
                  <c:v>2054</c:v>
                </c:pt>
                <c:pt idx="40">
                  <c:v>2055</c:v>
                </c:pt>
                <c:pt idx="41">
                  <c:v>2056</c:v>
                </c:pt>
                <c:pt idx="42">
                  <c:v>2057</c:v>
                </c:pt>
                <c:pt idx="43">
                  <c:v>2058</c:v>
                </c:pt>
                <c:pt idx="44">
                  <c:v>2059</c:v>
                </c:pt>
                <c:pt idx="45">
                  <c:v>2060</c:v>
                </c:pt>
                <c:pt idx="46">
                  <c:v>2061</c:v>
                </c:pt>
                <c:pt idx="47">
                  <c:v>2062</c:v>
                </c:pt>
                <c:pt idx="48">
                  <c:v>2063</c:v>
                </c:pt>
                <c:pt idx="49">
                  <c:v>2064</c:v>
                </c:pt>
                <c:pt idx="50">
                  <c:v>2065</c:v>
                </c:pt>
                <c:pt idx="51">
                  <c:v>2066</c:v>
                </c:pt>
                <c:pt idx="52">
                  <c:v>2067</c:v>
                </c:pt>
                <c:pt idx="53">
                  <c:v>2068</c:v>
                </c:pt>
                <c:pt idx="54">
                  <c:v>2069</c:v>
                </c:pt>
                <c:pt idx="55">
                  <c:v>2070</c:v>
                </c:pt>
                <c:pt idx="56">
                  <c:v>2071</c:v>
                </c:pt>
                <c:pt idx="57">
                  <c:v>2072</c:v>
                </c:pt>
                <c:pt idx="58">
                  <c:v>2073</c:v>
                </c:pt>
                <c:pt idx="59">
                  <c:v>2074</c:v>
                </c:pt>
                <c:pt idx="60">
                  <c:v>2075</c:v>
                </c:pt>
                <c:pt idx="61">
                  <c:v>2076</c:v>
                </c:pt>
                <c:pt idx="62">
                  <c:v>2077</c:v>
                </c:pt>
                <c:pt idx="63">
                  <c:v>2078</c:v>
                </c:pt>
                <c:pt idx="64">
                  <c:v>2079</c:v>
                </c:pt>
                <c:pt idx="65">
                  <c:v>2080</c:v>
                </c:pt>
                <c:pt idx="66">
                  <c:v>2081</c:v>
                </c:pt>
                <c:pt idx="67">
                  <c:v>2082</c:v>
                </c:pt>
                <c:pt idx="68">
                  <c:v>2083</c:v>
                </c:pt>
                <c:pt idx="69">
                  <c:v>2084</c:v>
                </c:pt>
                <c:pt idx="70">
                  <c:v>2085</c:v>
                </c:pt>
                <c:pt idx="71">
                  <c:v>2086</c:v>
                </c:pt>
                <c:pt idx="72">
                  <c:v>2087</c:v>
                </c:pt>
                <c:pt idx="73">
                  <c:v>2088</c:v>
                </c:pt>
                <c:pt idx="74">
                  <c:v>2089</c:v>
                </c:pt>
                <c:pt idx="75">
                  <c:v>2090</c:v>
                </c:pt>
              </c:numCache>
            </c:numRef>
          </c:xVal>
          <c:yVal>
            <c:numRef>
              <c:f>'LPP Act Financing Plan (3)'!$F$153:$CC$153</c:f>
              <c:numCache>
                <c:formatCode>_("$"* #,##0_);_("$"* \(#,##0\);_("$"* "-"_);_(@_)</c:formatCode>
                <c:ptCount val="76"/>
                <c:pt idx="0">
                  <c:v>4423781.4780247258</c:v>
                </c:pt>
                <c:pt idx="1">
                  <c:v>4715544.0670099389</c:v>
                </c:pt>
                <c:pt idx="2">
                  <c:v>5019499.629209483</c:v>
                </c:pt>
                <c:pt idx="3">
                  <c:v>5336205.8726995084</c:v>
                </c:pt>
                <c:pt idx="4">
                  <c:v>5666249.0031415429</c:v>
                </c:pt>
                <c:pt idx="5">
                  <c:v>6010245.3791158441</c:v>
                </c:pt>
                <c:pt idx="6">
                  <c:v>6368843.2778938487</c:v>
                </c:pt>
                <c:pt idx="7">
                  <c:v>6742724.780125726</c:v>
                </c:pt>
                <c:pt idx="8">
                  <c:v>7132607.7826632205</c:v>
                </c:pt>
                <c:pt idx="9">
                  <c:v>7539248.1495562494</c:v>
                </c:pt>
                <c:pt idx="10">
                  <c:v>7963442.0121623091</c:v>
                </c:pt>
                <c:pt idx="11">
                  <c:v>8306322.8080373444</c:v>
                </c:pt>
                <c:pt idx="12">
                  <c:v>8659933.2258120105</c:v>
                </c:pt>
                <c:pt idx="13">
                  <c:v>9024611.6805027816</c:v>
                </c:pt>
                <c:pt idx="14">
                  <c:v>9400707.3580203187</c:v>
                </c:pt>
                <c:pt idx="15">
                  <c:v>9788580.5615883842</c:v>
                </c:pt>
                <c:pt idx="16">
                  <c:v>10188603.069440603</c:v>
                </c:pt>
                <c:pt idx="17">
                  <c:v>9871817.8523580711</c:v>
                </c:pt>
                <c:pt idx="18">
                  <c:v>8092329.1674926011</c:v>
                </c:pt>
                <c:pt idx="19">
                  <c:v>4803336.9691684786</c:v>
                </c:pt>
                <c:pt idx="20">
                  <c:v>66066.927614878863</c:v>
                </c:pt>
                <c:pt idx="21">
                  <c:v>-5945296.1709277648</c:v>
                </c:pt>
                <c:pt idx="22">
                  <c:v>-12952492.862849889</c:v>
                </c:pt>
                <c:pt idx="23">
                  <c:v>-20596231.762689292</c:v>
                </c:pt>
                <c:pt idx="24">
                  <c:v>-28471176.700637877</c:v>
                </c:pt>
                <c:pt idx="25">
                  <c:v>-36168196.272938102</c:v>
                </c:pt>
                <c:pt idx="26">
                  <c:v>-43317427.538422674</c:v>
                </c:pt>
                <c:pt idx="27">
                  <c:v>-49625174.144408949</c:v>
                </c:pt>
                <c:pt idx="28">
                  <c:v>-54898633.783732578</c:v>
                </c:pt>
                <c:pt idx="29">
                  <c:v>-55985234.443252057</c:v>
                </c:pt>
                <c:pt idx="30">
                  <c:v>-59043621.119007125</c:v>
                </c:pt>
                <c:pt idx="31">
                  <c:v>-61105485.209680103</c:v>
                </c:pt>
                <c:pt idx="32">
                  <c:v>-62325088.776109204</c:v>
                </c:pt>
                <c:pt idx="33">
                  <c:v>-62879157.485990956</c:v>
                </c:pt>
                <c:pt idx="34">
                  <c:v>-62945969.754611589</c:v>
                </c:pt>
                <c:pt idx="35">
                  <c:v>-62667242.397572383</c:v>
                </c:pt>
                <c:pt idx="36">
                  <c:v>-62224627.505395055</c:v>
                </c:pt>
                <c:pt idx="37">
                  <c:v>-61642124.84679573</c:v>
                </c:pt>
                <c:pt idx="38">
                  <c:v>-60975866.47775238</c:v>
                </c:pt>
                <c:pt idx="39">
                  <c:v>-60258749.704818912</c:v>
                </c:pt>
                <c:pt idx="40">
                  <c:v>-59507767.996952064</c:v>
                </c:pt>
                <c:pt idx="41">
                  <c:v>-58730447.687532872</c:v>
                </c:pt>
                <c:pt idx="42">
                  <c:v>-57929427.805211984</c:v>
                </c:pt>
                <c:pt idx="43">
                  <c:v>-57105179.915896662</c:v>
                </c:pt>
                <c:pt idx="44">
                  <c:v>-56257360.392995954</c:v>
                </c:pt>
                <c:pt idx="45">
                  <c:v>-55385366.346629761</c:v>
                </c:pt>
                <c:pt idx="46">
                  <c:v>-54488519.459895469</c:v>
                </c:pt>
                <c:pt idx="47">
                  <c:v>-52836771.759432942</c:v>
                </c:pt>
                <c:pt idx="48">
                  <c:v>-49683103.215096831</c:v>
                </c:pt>
                <c:pt idx="49">
                  <c:v>-44979556.088202707</c:v>
                </c:pt>
                <c:pt idx="50">
                  <c:v>-38786163.976841912</c:v>
                </c:pt>
                <c:pt idx="51">
                  <c:v>-31275884.187501535</c:v>
                </c:pt>
                <c:pt idx="52">
                  <c:v>-22725712.236883476</c:v>
                </c:pt>
                <c:pt idx="53">
                  <c:v>-13493638.004848763</c:v>
                </c:pt>
                <c:pt idx="54">
                  <c:v>-3983657.4723927155</c:v>
                </c:pt>
                <c:pt idx="55">
                  <c:v>5396477.9872561023</c:v>
                </c:pt>
                <c:pt idx="56">
                  <c:v>15500029.310169894</c:v>
                </c:pt>
                <c:pt idx="57">
                  <c:v>23626176.381516092</c:v>
                </c:pt>
                <c:pt idx="58">
                  <c:v>30771500.365932986</c:v>
                </c:pt>
                <c:pt idx="59">
                  <c:v>36854586.376295671</c:v>
                </c:pt>
                <c:pt idx="60">
                  <c:v>41896552.085958421</c:v>
                </c:pt>
                <c:pt idx="61">
                  <c:v>46000341.403182678</c:v>
                </c:pt>
                <c:pt idx="62">
                  <c:v>49321941.599952072</c:v>
                </c:pt>
                <c:pt idx="63">
                  <c:v>52039854.897062682</c:v>
                </c:pt>
                <c:pt idx="64">
                  <c:v>54334189.145097904</c:v>
                </c:pt>
                <c:pt idx="65">
                  <c:v>56348545.064071499</c:v>
                </c:pt>
                <c:pt idx="66">
                  <c:v>58201177.151149571</c:v>
                </c:pt>
                <c:pt idx="67">
                  <c:v>59979336.010714419</c:v>
                </c:pt>
                <c:pt idx="68">
                  <c:v>61741018.013102904</c:v>
                </c:pt>
                <c:pt idx="69">
                  <c:v>63521037.912187092</c:v>
                </c:pt>
                <c:pt idx="70">
                  <c:v>65338361.271490395</c:v>
                </c:pt>
                <c:pt idx="71">
                  <c:v>67202542.723655716</c:v>
                </c:pt>
                <c:pt idx="72">
                  <c:v>69118307.403124496</c:v>
                </c:pt>
                <c:pt idx="73">
                  <c:v>71088272.435609847</c:v>
                </c:pt>
                <c:pt idx="74">
                  <c:v>73114300.902781099</c:v>
                </c:pt>
                <c:pt idx="75">
                  <c:v>75198059.514203966</c:v>
                </c:pt>
              </c:numCache>
            </c:numRef>
          </c:yVal>
          <c:smooth val="0"/>
        </c:ser>
        <c:dLbls>
          <c:showLegendKey val="0"/>
          <c:showVal val="0"/>
          <c:showCatName val="0"/>
          <c:showSerName val="0"/>
          <c:showPercent val="0"/>
          <c:showBubbleSize val="0"/>
        </c:dLbls>
        <c:axId val="404739232"/>
        <c:axId val="404740408"/>
      </c:scatterChart>
      <c:valAx>
        <c:axId val="404739232"/>
        <c:scaling>
          <c:orientation val="minMax"/>
          <c:max val="209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40408"/>
        <c:crossesAt val="0"/>
        <c:crossBetween val="midCat"/>
      </c:valAx>
      <c:valAx>
        <c:axId val="4047404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73923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Anticipated Annual LPP Construction Payments under Selected Assumptions</a:t>
            </a:r>
            <a:endParaRPr lang="en-US" sz="1600">
              <a:effectLst/>
              <a:latin typeface="Arial Narrow" panose="020B0606020202030204" pitchFamily="34" charset="0"/>
            </a:endParaRPr>
          </a:p>
        </c:rich>
      </c:tx>
      <c:layout>
        <c:manualLayout>
          <c:xMode val="edge"/>
          <c:yMode val="edge"/>
          <c:x val="0.17730065660926617"/>
          <c:y val="0.1111462309141351"/>
        </c:manualLayout>
      </c:layout>
      <c:overlay val="0"/>
    </c:title>
    <c:autoTitleDeleted val="0"/>
    <c:plotArea>
      <c:layout>
        <c:manualLayout>
          <c:layoutTarget val="inner"/>
          <c:xMode val="edge"/>
          <c:yMode val="edge"/>
          <c:x val="7.4231627602670797E-2"/>
          <c:y val="0.18635106707469881"/>
          <c:w val="0.92059717414103259"/>
          <c:h val="0.75966279908076617"/>
        </c:manualLayout>
      </c:layout>
      <c:barChart>
        <c:barDir val="col"/>
        <c:grouping val="stacked"/>
        <c:varyColors val="0"/>
        <c:ser>
          <c:idx val="0"/>
          <c:order val="0"/>
          <c:tx>
            <c:v>Water Rates</c:v>
          </c:tx>
          <c:invertIfNegative val="0"/>
          <c:cat>
            <c:numRef>
              <c:f>'LPP Act Financing Plan'!$E$4:$AY$4</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#REF!</c:f>
              <c:numCache>
                <c:formatCode>General</c:formatCode>
                <c:ptCount val="1"/>
                <c:pt idx="0">
                  <c:v>1</c:v>
                </c:pt>
              </c:numCache>
            </c:numRef>
          </c:val>
        </c:ser>
        <c:ser>
          <c:idx val="1"/>
          <c:order val="1"/>
          <c:tx>
            <c:v>Impact Fees</c:v>
          </c:tx>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5"/>
        <c:overlap val="100"/>
        <c:axId val="404742368"/>
        <c:axId val="404741584"/>
      </c:barChart>
      <c:dateAx>
        <c:axId val="404742368"/>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4741584"/>
        <c:crosses val="autoZero"/>
        <c:auto val="0"/>
        <c:lblOffset val="100"/>
        <c:baseTimeUnit val="days"/>
        <c:majorUnit val="5"/>
      </c:dateAx>
      <c:valAx>
        <c:axId val="404741584"/>
        <c:scaling>
          <c:orientation val="minMax"/>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4742368"/>
        <c:crosses val="autoZero"/>
        <c:crossBetween val="between"/>
      </c:valAx>
      <c:spPr>
        <a:noFill/>
        <a:ln w="25400">
          <a:noFill/>
        </a:ln>
      </c:spPr>
    </c:plotArea>
    <c:legend>
      <c:legendPos val="r"/>
      <c:layout>
        <c:manualLayout>
          <c:xMode val="edge"/>
          <c:yMode val="edge"/>
          <c:x val="0.10773155891273374"/>
          <c:y val="0.19409503142647747"/>
          <c:w val="0.12320541691942485"/>
          <c:h val="8.7572575944768777E-2"/>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latin typeface="Arial Narrow" pitchFamily="34" charset="0"/>
              </a:rPr>
              <a:t>Existing WCWCD</a:t>
            </a:r>
            <a:r>
              <a:rPr lang="en-US" sz="1600" baseline="0">
                <a:latin typeface="Arial Narrow" pitchFamily="34" charset="0"/>
              </a:rPr>
              <a:t> Water Supply, Planned, and Selected Additional Capacity</a:t>
            </a:r>
          </a:p>
        </c:rich>
      </c:tx>
      <c:layout>
        <c:manualLayout>
          <c:xMode val="edge"/>
          <c:yMode val="edge"/>
          <c:x val="0.14359497987015948"/>
          <c:y val="0.11518268125997347"/>
        </c:manualLayout>
      </c:layout>
      <c:overlay val="0"/>
    </c:title>
    <c:autoTitleDeleted val="0"/>
    <c:plotArea>
      <c:layout>
        <c:manualLayout>
          <c:layoutTarget val="inner"/>
          <c:xMode val="edge"/>
          <c:yMode val="edge"/>
          <c:x val="6.9877134133111002E-2"/>
          <c:y val="0.18635106707469881"/>
          <c:w val="0.90527800629887234"/>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98988952"/>
        <c:axId val="398988168"/>
      </c:areaChart>
      <c:catAx>
        <c:axId val="398988952"/>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8988168"/>
        <c:crosses val="autoZero"/>
        <c:auto val="0"/>
        <c:lblAlgn val="ctr"/>
        <c:lblOffset val="100"/>
        <c:tickLblSkip val="5"/>
        <c:noMultiLvlLbl val="1"/>
      </c:catAx>
      <c:valAx>
        <c:axId val="398988168"/>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8988952"/>
        <c:crosses val="autoZero"/>
        <c:crossBetween val="midCat"/>
      </c:valAx>
    </c:plotArea>
    <c:legend>
      <c:legendPos val="r"/>
      <c:legendEntry>
        <c:idx val="3"/>
        <c:txPr>
          <a:bodyPr/>
          <a:lstStyle/>
          <a:p>
            <a:pPr>
              <a:defRPr sz="1400">
                <a:latin typeface="Arial Narrow" pitchFamily="34" charset="0"/>
              </a:defRPr>
            </a:pPr>
            <a:endParaRPr lang="en-US"/>
          </a:p>
        </c:txPr>
      </c:legendEntry>
      <c:layout>
        <c:manualLayout>
          <c:xMode val="edge"/>
          <c:yMode val="edge"/>
          <c:x val="7.6947340571902806E-2"/>
          <c:y val="0.19418704086811067"/>
          <c:w val="0.32165636705935363"/>
          <c:h val="0.15310402130601153"/>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Water Cost per 1,000 Gallons to Fund Lake Powell Pipeline</a:t>
            </a:r>
          </a:p>
          <a:p>
            <a:pPr>
              <a:defRPr sz="1600"/>
            </a:pPr>
            <a:r>
              <a:rPr lang="en-US" sz="1600" b="1" i="0" baseline="0">
                <a:effectLst/>
                <a:latin typeface="Arial Narrow" panose="020B0606020202030204" pitchFamily="34" charset="0"/>
              </a:rPr>
              <a:t>Under Selected Assumptions</a:t>
            </a:r>
            <a:endParaRPr lang="en-US" sz="1600">
              <a:effectLst/>
              <a:latin typeface="Arial Narrow" panose="020B0606020202030204" pitchFamily="34" charset="0"/>
            </a:endParaRPr>
          </a:p>
        </c:rich>
      </c:tx>
      <c:layout>
        <c:manualLayout>
          <c:xMode val="edge"/>
          <c:yMode val="edge"/>
          <c:x val="0.22566101431667365"/>
          <c:y val="0.1071098372634141"/>
        </c:manualLayout>
      </c:layout>
      <c:overlay val="0"/>
    </c:title>
    <c:autoTitleDeleted val="0"/>
    <c:plotArea>
      <c:layout>
        <c:manualLayout>
          <c:layoutTarget val="inner"/>
          <c:xMode val="edge"/>
          <c:yMode val="edge"/>
          <c:x val="7.4231627602670797E-2"/>
          <c:y val="0.18635106707469881"/>
          <c:w val="0.92059717414103259"/>
          <c:h val="0.75966279908076617"/>
        </c:manualLayout>
      </c:layout>
      <c:lineChart>
        <c:grouping val="standard"/>
        <c:varyColors val="0"/>
        <c:ser>
          <c:idx val="0"/>
          <c:order val="0"/>
          <c:tx>
            <c:v>LPP Plan</c:v>
          </c:tx>
          <c:spPr>
            <a:ln w="63500"/>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Economist Plan 2</c:v>
          </c:tx>
          <c:spPr>
            <a:ln w="63500"/>
          </c:spPr>
          <c:marker>
            <c:symbol val="none"/>
          </c:marker>
          <c:val>
            <c:numRef>
              <c:f>'Economist Plan 2'!$D$38:$AX$38</c:f>
              <c:numCache>
                <c:formatCode>_("$"* #,##0.000_);_("$"* \(#,##0.000\);_("$"* "-"??_);_(@_)</c:formatCode>
                <c:ptCount val="47"/>
                <c:pt idx="0">
                  <c:v>0</c:v>
                </c:pt>
                <c:pt idx="1">
                  <c:v>0</c:v>
                </c:pt>
                <c:pt idx="2">
                  <c:v>0</c:v>
                </c:pt>
                <c:pt idx="3">
                  <c:v>0</c:v>
                </c:pt>
                <c:pt idx="4">
                  <c:v>0</c:v>
                </c:pt>
                <c:pt idx="5">
                  <c:v>0</c:v>
                </c:pt>
                <c:pt idx="6">
                  <c:v>1.1739575331454071</c:v>
                </c:pt>
                <c:pt idx="7">
                  <c:v>1.1536279078175795</c:v>
                </c:pt>
                <c:pt idx="8">
                  <c:v>1.1337798808041668</c:v>
                </c:pt>
                <c:pt idx="9">
                  <c:v>1.1144034358495949</c:v>
                </c:pt>
                <c:pt idx="10">
                  <c:v>1.0954888369919695</c:v>
                </c:pt>
                <c:pt idx="11">
                  <c:v>1.0770266239617197</c:v>
                </c:pt>
                <c:pt idx="12">
                  <c:v>1.0498064548456407</c:v>
                </c:pt>
                <c:pt idx="13">
                  <c:v>1.023280660676769</c:v>
                </c:pt>
                <c:pt idx="14">
                  <c:v>0.99743139895681898</c:v>
                </c:pt>
                <c:pt idx="15">
                  <c:v>0.97224128839650059</c:v>
                </c:pt>
                <c:pt idx="16">
                  <c:v>0.94769339693424537</c:v>
                </c:pt>
                <c:pt idx="17">
                  <c:v>0.92377123006750983</c:v>
                </c:pt>
                <c:pt idx="18">
                  <c:v>0.90045871948846878</c:v>
                </c:pt>
                <c:pt idx="19">
                  <c:v>3.3558131641359421</c:v>
                </c:pt>
                <c:pt idx="20">
                  <c:v>3.2711675318419653</c:v>
                </c:pt>
                <c:pt idx="21">
                  <c:v>3.1886778229440651</c:v>
                </c:pt>
                <c:pt idx="22">
                  <c:v>3.108288709936939</c:v>
                </c:pt>
                <c:pt idx="23">
                  <c:v>3.0299462939358919</c:v>
                </c:pt>
                <c:pt idx="24">
                  <c:v>2.9535980675983216</c:v>
                </c:pt>
                <c:pt idx="25">
                  <c:v>2.8791928790117667</c:v>
                </c:pt>
                <c:pt idx="26">
                  <c:v>2.8066808965232233</c:v>
                </c:pt>
                <c:pt idx="27">
                  <c:v>2.7360135744850949</c:v>
                </c:pt>
                <c:pt idx="28">
                  <c:v>2.6671436198938001</c:v>
                </c:pt>
                <c:pt idx="29">
                  <c:v>2.6000249598976946</c:v>
                </c:pt>
                <c:pt idx="30">
                  <c:v>2.5346127101515452</c:v>
                </c:pt>
                <c:pt idx="31">
                  <c:v>2.4708631439954427</c:v>
                </c:pt>
                <c:pt idx="32">
                  <c:v>2.4087336624365689</c:v>
                </c:pt>
                <c:pt idx="33">
                  <c:v>2.3481827649128406</c:v>
                </c:pt>
                <c:pt idx="34">
                  <c:v>2.2891700208179704</c:v>
                </c:pt>
                <c:pt idx="35">
                  <c:v>2.231656041768054</c:v>
                </c:pt>
                <c:pt idx="36">
                  <c:v>2.1756024545902797</c:v>
                </c:pt>
                <c:pt idx="37">
                  <c:v>2.1153159500148564</c:v>
                </c:pt>
                <c:pt idx="38">
                  <c:v>2.0567000000144446</c:v>
                </c:pt>
                <c:pt idx="39">
                  <c:v>1.9997083130913413</c:v>
                </c:pt>
                <c:pt idx="40">
                  <c:v>1.9442958804971719</c:v>
                </c:pt>
                <c:pt idx="41">
                  <c:v>1.890418940687576</c:v>
                </c:pt>
                <c:pt idx="42">
                  <c:v>1.8380349447618629</c:v>
                </c:pt>
                <c:pt idx="43">
                  <c:v>1.7871025228603432</c:v>
                </c:pt>
                <c:pt idx="44">
                  <c:v>1.7375814514927985</c:v>
                </c:pt>
                <c:pt idx="45">
                  <c:v>1.6894326217722881</c:v>
                </c:pt>
                <c:pt idx="46">
                  <c:v>1.6426180085292059</c:v>
                </c:pt>
              </c:numCache>
            </c:numRef>
          </c:val>
          <c:smooth val="0"/>
        </c:ser>
        <c:ser>
          <c:idx val="2"/>
          <c:order val="2"/>
          <c:tx>
            <c:v>Economist Plan 1</c:v>
          </c:tx>
          <c:spPr>
            <a:ln w="63500"/>
          </c:spPr>
          <c:marker>
            <c:symbol val="none"/>
          </c:marker>
          <c:val>
            <c:numRef>
              <c:f>'Economist Plan 1'!$D$21:$AX$21</c:f>
              <c:numCache>
                <c:formatCode>_("$"* #,##0.00_);_("$"* \(#,##0.00\);_("$"* "-"??_);_(@_)</c:formatCode>
                <c:ptCount val="47"/>
                <c:pt idx="0">
                  <c:v>3.2034708451123572</c:v>
                </c:pt>
                <c:pt idx="1">
                  <c:v>3.2034708451123572</c:v>
                </c:pt>
                <c:pt idx="2">
                  <c:v>3.2034708451123572</c:v>
                </c:pt>
                <c:pt idx="3">
                  <c:v>3.2034708451123572</c:v>
                </c:pt>
                <c:pt idx="4">
                  <c:v>3.2034708451123572</c:v>
                </c:pt>
                <c:pt idx="5">
                  <c:v>3.2034708451123572</c:v>
                </c:pt>
                <c:pt idx="6">
                  <c:v>3.2034708451123572</c:v>
                </c:pt>
                <c:pt idx="7">
                  <c:v>3.2034708451123572</c:v>
                </c:pt>
                <c:pt idx="8">
                  <c:v>3.2034708451123572</c:v>
                </c:pt>
                <c:pt idx="9">
                  <c:v>3.2034708451123572</c:v>
                </c:pt>
                <c:pt idx="10">
                  <c:v>3.2034708451123572</c:v>
                </c:pt>
                <c:pt idx="11">
                  <c:v>3.2034708451123572</c:v>
                </c:pt>
                <c:pt idx="12">
                  <c:v>3.2034708451123572</c:v>
                </c:pt>
                <c:pt idx="13">
                  <c:v>3.2034708451123572</c:v>
                </c:pt>
                <c:pt idx="14">
                  <c:v>3.2034708451123572</c:v>
                </c:pt>
                <c:pt idx="15">
                  <c:v>3.2034708451123572</c:v>
                </c:pt>
                <c:pt idx="16">
                  <c:v>3.2034708451123572</c:v>
                </c:pt>
                <c:pt idx="17">
                  <c:v>3.2034708451123572</c:v>
                </c:pt>
                <c:pt idx="18">
                  <c:v>3.2034708451123572</c:v>
                </c:pt>
                <c:pt idx="19">
                  <c:v>3.2034708451123572</c:v>
                </c:pt>
                <c:pt idx="20">
                  <c:v>3.2034708451123572</c:v>
                </c:pt>
                <c:pt idx="21">
                  <c:v>3.2034708451123572</c:v>
                </c:pt>
                <c:pt idx="22">
                  <c:v>3.2034708451123572</c:v>
                </c:pt>
                <c:pt idx="23">
                  <c:v>3.2034708451123572</c:v>
                </c:pt>
                <c:pt idx="24">
                  <c:v>3.2034708451123572</c:v>
                </c:pt>
                <c:pt idx="25">
                  <c:v>3.2034708451123572</c:v>
                </c:pt>
                <c:pt idx="26">
                  <c:v>3.2034708451123572</c:v>
                </c:pt>
                <c:pt idx="27">
                  <c:v>3.2034708451123572</c:v>
                </c:pt>
                <c:pt idx="28">
                  <c:v>3.2034708451123572</c:v>
                </c:pt>
                <c:pt idx="29">
                  <c:v>3.2034708451123572</c:v>
                </c:pt>
                <c:pt idx="30">
                  <c:v>3.2034708451123572</c:v>
                </c:pt>
                <c:pt idx="31">
                  <c:v>3.2034708451123572</c:v>
                </c:pt>
                <c:pt idx="32">
                  <c:v>3.2034708451123572</c:v>
                </c:pt>
                <c:pt idx="33">
                  <c:v>3.2034708451123572</c:v>
                </c:pt>
                <c:pt idx="34">
                  <c:v>3.2034708451123572</c:v>
                </c:pt>
                <c:pt idx="35">
                  <c:v>3.2034708451123572</c:v>
                </c:pt>
                <c:pt idx="36">
                  <c:v>3.2034708451123572</c:v>
                </c:pt>
                <c:pt idx="37">
                  <c:v>3.2034708451123572</c:v>
                </c:pt>
                <c:pt idx="38">
                  <c:v>3.2034708451123572</c:v>
                </c:pt>
                <c:pt idx="39">
                  <c:v>3.2034708451123572</c:v>
                </c:pt>
                <c:pt idx="40">
                  <c:v>3.2034708451123572</c:v>
                </c:pt>
                <c:pt idx="41">
                  <c:v>3.2034708451123572</c:v>
                </c:pt>
                <c:pt idx="42">
                  <c:v>3.2034708451123572</c:v>
                </c:pt>
                <c:pt idx="43">
                  <c:v>3.2034708451123572</c:v>
                </c:pt>
                <c:pt idx="44">
                  <c:v>3.2034708451123572</c:v>
                </c:pt>
                <c:pt idx="45">
                  <c:v>3.2034708451123572</c:v>
                </c:pt>
                <c:pt idx="46">
                  <c:v>3.2034708451123572</c:v>
                </c:pt>
              </c:numCache>
            </c:numRef>
          </c:val>
          <c:smooth val="0"/>
        </c:ser>
        <c:dLbls>
          <c:showLegendKey val="0"/>
          <c:showVal val="0"/>
          <c:showCatName val="0"/>
          <c:showSerName val="0"/>
          <c:showPercent val="0"/>
          <c:showBubbleSize val="0"/>
        </c:dLbls>
        <c:smooth val="0"/>
        <c:axId val="403154104"/>
        <c:axId val="403154496"/>
      </c:lineChart>
      <c:dateAx>
        <c:axId val="403154104"/>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3154496"/>
        <c:crosses val="autoZero"/>
        <c:auto val="0"/>
        <c:lblOffset val="100"/>
        <c:baseTimeUnit val="days"/>
        <c:majorUnit val="5"/>
      </c:dateAx>
      <c:valAx>
        <c:axId val="403154496"/>
        <c:scaling>
          <c:orientation val="minMax"/>
          <c:max val="5"/>
          <c:min val="0"/>
        </c:scaling>
        <c:delete val="0"/>
        <c:axPos val="l"/>
        <c:majorGridlines/>
        <c:numFmt formatCode="&quot;$&quot;#,##0.00_);[Red]\(&quot;$&quot;#,##0.00\)" sourceLinked="0"/>
        <c:majorTickMark val="out"/>
        <c:minorTickMark val="none"/>
        <c:tickLblPos val="nextTo"/>
        <c:txPr>
          <a:bodyPr/>
          <a:lstStyle/>
          <a:p>
            <a:pPr>
              <a:defRPr sz="1200" b="1">
                <a:latin typeface="Arial Narrow" pitchFamily="34" charset="0"/>
              </a:defRPr>
            </a:pPr>
            <a:endParaRPr lang="en-US"/>
          </a:p>
        </c:txPr>
        <c:crossAx val="403154104"/>
        <c:crosses val="autoZero"/>
        <c:crossBetween val="between"/>
      </c:valAx>
    </c:plotArea>
    <c:legend>
      <c:legendPos val="r"/>
      <c:layout>
        <c:manualLayout>
          <c:xMode val="edge"/>
          <c:yMode val="edge"/>
          <c:x val="0.11652976873686922"/>
          <c:y val="0.20629086252647097"/>
          <c:w val="0.17488183098706941"/>
          <c:h val="0.13133312547495163"/>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Annual Per Capita Water Rate Costs to Fund Lake Powell Pipeline</a:t>
            </a:r>
          </a:p>
          <a:p>
            <a:pPr>
              <a:defRPr sz="1600"/>
            </a:pPr>
            <a:r>
              <a:rPr lang="en-US" sz="1600" b="1" i="0" baseline="0">
                <a:effectLst/>
                <a:latin typeface="Arial Narrow" panose="020B0606020202030204" pitchFamily="34" charset="0"/>
              </a:rPr>
              <a:t>Under Selected Assumptions</a:t>
            </a:r>
            <a:endParaRPr lang="en-US" sz="1600">
              <a:effectLst/>
              <a:latin typeface="Arial Narrow" panose="020B0606020202030204" pitchFamily="34" charset="0"/>
            </a:endParaRPr>
          </a:p>
        </c:rich>
      </c:tx>
      <c:layout>
        <c:manualLayout>
          <c:xMode val="edge"/>
          <c:yMode val="edge"/>
          <c:x val="0.22566101431667365"/>
          <c:y val="0.1071098372634141"/>
        </c:manualLayout>
      </c:layout>
      <c:overlay val="0"/>
    </c:title>
    <c:autoTitleDeleted val="0"/>
    <c:plotArea>
      <c:layout>
        <c:manualLayout>
          <c:layoutTarget val="inner"/>
          <c:xMode val="edge"/>
          <c:yMode val="edge"/>
          <c:x val="7.4231627602670797E-2"/>
          <c:y val="0.18635106707469881"/>
          <c:w val="0.92059717414103259"/>
          <c:h val="0.75966279908076617"/>
        </c:manualLayout>
      </c:layout>
      <c:lineChart>
        <c:grouping val="standard"/>
        <c:varyColors val="0"/>
        <c:ser>
          <c:idx val="0"/>
          <c:order val="0"/>
          <c:tx>
            <c:v>LPP Plan</c:v>
          </c:tx>
          <c:spPr>
            <a:ln w="63500"/>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tx>
            <c:v>Economist Plan 2</c:v>
          </c:tx>
          <c:spPr>
            <a:ln w="63500"/>
          </c:spPr>
          <c:marker>
            <c:symbol val="none"/>
          </c:marker>
          <c:val>
            <c:numRef>
              <c:f>'Economist Plan 2'!$D$39:$AX$39</c:f>
              <c:numCache>
                <c:formatCode>_("$"* #,##0.00_);_("$"* \(#,##0.00\);_("$"* "-"??_);_(@_)</c:formatCode>
                <c:ptCount val="47"/>
                <c:pt idx="0">
                  <c:v>0</c:v>
                </c:pt>
                <c:pt idx="1">
                  <c:v>0</c:v>
                </c:pt>
                <c:pt idx="2">
                  <c:v>0</c:v>
                </c:pt>
                <c:pt idx="3">
                  <c:v>0</c:v>
                </c:pt>
                <c:pt idx="4">
                  <c:v>0</c:v>
                </c:pt>
                <c:pt idx="5">
                  <c:v>0</c:v>
                </c:pt>
                <c:pt idx="6">
                  <c:v>108.58054706786852</c:v>
                </c:pt>
                <c:pt idx="7">
                  <c:v>105.57175213210358</c:v>
                </c:pt>
                <c:pt idx="8">
                  <c:v>102.64633167924509</c:v>
                </c:pt>
                <c:pt idx="9">
                  <c:v>99.801975380889743</c:v>
                </c:pt>
                <c:pt idx="10">
                  <c:v>97.036436928429509</c:v>
                </c:pt>
                <c:pt idx="11">
                  <c:v>94.347532259046687</c:v>
                </c:pt>
                <c:pt idx="12">
                  <c:v>91.73313783086698</c:v>
                </c:pt>
                <c:pt idx="13">
                  <c:v>89.191188945908578</c:v>
                </c:pt>
                <c:pt idx="14">
                  <c:v>86.71967811950276</c:v>
                </c:pt>
                <c:pt idx="15">
                  <c:v>84.316653494898162</c:v>
                </c:pt>
                <c:pt idx="16">
                  <c:v>81.980217301796941</c:v>
                </c:pt>
                <c:pt idx="17">
                  <c:v>79.708524357605199</c:v>
                </c:pt>
                <c:pt idx="18">
                  <c:v>77.499780610214103</c:v>
                </c:pt>
                <c:pt idx="19">
                  <c:v>288.08984851474258</c:v>
                </c:pt>
                <c:pt idx="20">
                  <c:v>280.10680458409587</c:v>
                </c:pt>
                <c:pt idx="21">
                  <c:v>272.34497285765281</c:v>
                </c:pt>
                <c:pt idx="22">
                  <c:v>264.79822348823797</c:v>
                </c:pt>
                <c:pt idx="23">
                  <c:v>257.46059648832085</c:v>
                </c:pt>
                <c:pt idx="24">
                  <c:v>250.32629702316075</c:v>
                </c:pt>
                <c:pt idx="25">
                  <c:v>243.38969083438093</c:v>
                </c:pt>
                <c:pt idx="26">
                  <c:v>236.64529979035578</c:v>
                </c:pt>
                <c:pt idx="27">
                  <c:v>230.08779755989869</c:v>
                </c:pt>
                <c:pt idx="28">
                  <c:v>223.71200540583249</c:v>
                </c:pt>
                <c:pt idx="29">
                  <c:v>217.51288809512153</c:v>
                </c:pt>
                <c:pt idx="30">
                  <c:v>211.485549922335</c:v>
                </c:pt>
                <c:pt idx="31">
                  <c:v>205.6252308433009</c:v>
                </c:pt>
                <c:pt idx="32">
                  <c:v>199.92730271589784</c:v>
                </c:pt>
                <c:pt idx="33">
                  <c:v>194.38726564501493</c:v>
                </c:pt>
                <c:pt idx="34">
                  <c:v>189.00074442879429</c:v>
                </c:pt>
                <c:pt idx="35">
                  <c:v>183.76348510334887</c:v>
                </c:pt>
                <c:pt idx="36">
                  <c:v>178.67135158322691</c:v>
                </c:pt>
                <c:pt idx="37">
                  <c:v>173.72032239497025</c:v>
                </c:pt>
                <c:pt idx="38">
                  <c:v>168.90648750118646</c:v>
                </c:pt>
                <c:pt idx="39">
                  <c:v>164.22604521262659</c:v>
                </c:pt>
                <c:pt idx="40">
                  <c:v>159.67529918583043</c:v>
                </c:pt>
                <c:pt idx="41">
                  <c:v>155.25065550396735</c:v>
                </c:pt>
                <c:pt idx="42">
                  <c:v>150.94861983856816</c:v>
                </c:pt>
                <c:pt idx="43">
                  <c:v>146.76579468990585</c:v>
                </c:pt>
                <c:pt idx="44">
                  <c:v>142.69887670384625</c:v>
                </c:pt>
                <c:pt idx="45">
                  <c:v>138.74465406304932</c:v>
                </c:pt>
                <c:pt idx="46">
                  <c:v>134.90000395046121</c:v>
                </c:pt>
              </c:numCache>
            </c:numRef>
          </c:val>
          <c:smooth val="0"/>
        </c:ser>
        <c:ser>
          <c:idx val="2"/>
          <c:order val="2"/>
          <c:tx>
            <c:v>Economist Plan 1</c:v>
          </c:tx>
          <c:spPr>
            <a:ln w="63500"/>
          </c:spPr>
          <c:marker>
            <c:symbol val="none"/>
          </c:marker>
          <c:val>
            <c:numRef>
              <c:f>'Economist Plan 1'!$D$22:$BA$22</c:f>
              <c:numCache>
                <c:formatCode>_("$"* #,##0.00_);_("$"* \(#,##0.00\);_("$"* "-"??_);_(@_)</c:formatCode>
                <c:ptCount val="50"/>
                <c:pt idx="0">
                  <c:v>315.09427837316827</c:v>
                </c:pt>
                <c:pt idx="1">
                  <c:v>315.09427837316827</c:v>
                </c:pt>
                <c:pt idx="2">
                  <c:v>315.09427837316827</c:v>
                </c:pt>
                <c:pt idx="3">
                  <c:v>315.09427837316827</c:v>
                </c:pt>
                <c:pt idx="4">
                  <c:v>315.09427837316827</c:v>
                </c:pt>
                <c:pt idx="5">
                  <c:v>315.09427837316827</c:v>
                </c:pt>
                <c:pt idx="6">
                  <c:v>315.09427837316827</c:v>
                </c:pt>
                <c:pt idx="7">
                  <c:v>315.09427837316827</c:v>
                </c:pt>
                <c:pt idx="8">
                  <c:v>315.09427837316827</c:v>
                </c:pt>
                <c:pt idx="9">
                  <c:v>315.09427837316827</c:v>
                </c:pt>
                <c:pt idx="10">
                  <c:v>315.09427837316827</c:v>
                </c:pt>
                <c:pt idx="11">
                  <c:v>315.09427837316827</c:v>
                </c:pt>
                <c:pt idx="12">
                  <c:v>315.09427837316827</c:v>
                </c:pt>
                <c:pt idx="13">
                  <c:v>315.09427837316827</c:v>
                </c:pt>
                <c:pt idx="14">
                  <c:v>315.09427837316827</c:v>
                </c:pt>
                <c:pt idx="15">
                  <c:v>315.09427837316827</c:v>
                </c:pt>
                <c:pt idx="16">
                  <c:v>315.09427837316827</c:v>
                </c:pt>
                <c:pt idx="17">
                  <c:v>315.09427837316827</c:v>
                </c:pt>
                <c:pt idx="18">
                  <c:v>315.09427837316827</c:v>
                </c:pt>
                <c:pt idx="19">
                  <c:v>315.09427837316827</c:v>
                </c:pt>
                <c:pt idx="20">
                  <c:v>315.09427837316827</c:v>
                </c:pt>
                <c:pt idx="21">
                  <c:v>315.09427837316827</c:v>
                </c:pt>
                <c:pt idx="22">
                  <c:v>315.09427837316827</c:v>
                </c:pt>
                <c:pt idx="23">
                  <c:v>315.09427837316827</c:v>
                </c:pt>
                <c:pt idx="24">
                  <c:v>315.09427837316827</c:v>
                </c:pt>
                <c:pt idx="25">
                  <c:v>315.09427837316827</c:v>
                </c:pt>
                <c:pt idx="26">
                  <c:v>315.09427837316827</c:v>
                </c:pt>
                <c:pt idx="27">
                  <c:v>315.09427837316827</c:v>
                </c:pt>
                <c:pt idx="28">
                  <c:v>315.09427837316827</c:v>
                </c:pt>
                <c:pt idx="29">
                  <c:v>315.09427837316827</c:v>
                </c:pt>
                <c:pt idx="30">
                  <c:v>315.09427837316827</c:v>
                </c:pt>
                <c:pt idx="31">
                  <c:v>315.09427837316827</c:v>
                </c:pt>
                <c:pt idx="32">
                  <c:v>315.09427837316827</c:v>
                </c:pt>
                <c:pt idx="33">
                  <c:v>315.09427837316827</c:v>
                </c:pt>
                <c:pt idx="34">
                  <c:v>315.09427837316827</c:v>
                </c:pt>
                <c:pt idx="35">
                  <c:v>315.09427837316827</c:v>
                </c:pt>
                <c:pt idx="36">
                  <c:v>315.09427837316827</c:v>
                </c:pt>
                <c:pt idx="37">
                  <c:v>315.09427837316827</c:v>
                </c:pt>
                <c:pt idx="38">
                  <c:v>315.09427837316827</c:v>
                </c:pt>
                <c:pt idx="39">
                  <c:v>315.09427837316827</c:v>
                </c:pt>
                <c:pt idx="40">
                  <c:v>315.09427837316827</c:v>
                </c:pt>
                <c:pt idx="41">
                  <c:v>315.09427837316827</c:v>
                </c:pt>
                <c:pt idx="42">
                  <c:v>315.09427837316827</c:v>
                </c:pt>
                <c:pt idx="43">
                  <c:v>315.09427837316827</c:v>
                </c:pt>
                <c:pt idx="44">
                  <c:v>315.09427837316827</c:v>
                </c:pt>
                <c:pt idx="45">
                  <c:v>315.09427837316827</c:v>
                </c:pt>
                <c:pt idx="46">
                  <c:v>315.09427837316827</c:v>
                </c:pt>
                <c:pt idx="47">
                  <c:v>315.09427837316827</c:v>
                </c:pt>
                <c:pt idx="48">
                  <c:v>315.09427837316827</c:v>
                </c:pt>
                <c:pt idx="49">
                  <c:v>315.09427837316827</c:v>
                </c:pt>
              </c:numCache>
            </c:numRef>
          </c:val>
          <c:smooth val="0"/>
        </c:ser>
        <c:dLbls>
          <c:showLegendKey val="0"/>
          <c:showVal val="0"/>
          <c:showCatName val="0"/>
          <c:showSerName val="0"/>
          <c:showPercent val="0"/>
          <c:showBubbleSize val="0"/>
        </c:dLbls>
        <c:smooth val="0"/>
        <c:axId val="403146656"/>
        <c:axId val="403155280"/>
      </c:lineChart>
      <c:dateAx>
        <c:axId val="403146656"/>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3155280"/>
        <c:crosses val="autoZero"/>
        <c:auto val="0"/>
        <c:lblOffset val="100"/>
        <c:baseTimeUnit val="days"/>
        <c:majorUnit val="5"/>
      </c:dateAx>
      <c:valAx>
        <c:axId val="403155280"/>
        <c:scaling>
          <c:orientation val="minMax"/>
          <c:max val="5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3146656"/>
        <c:crosses val="autoZero"/>
        <c:crossBetween val="between"/>
      </c:valAx>
    </c:plotArea>
    <c:legend>
      <c:legendPos val="r"/>
      <c:layout>
        <c:manualLayout>
          <c:xMode val="edge"/>
          <c:yMode val="edge"/>
          <c:x val="0.11652976873686922"/>
          <c:y val="0.20629086252647097"/>
          <c:w val="0.17488183098706941"/>
          <c:h val="0.13133312547495163"/>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Annual Costs Per Household to Fund Pipeline </a:t>
            </a:r>
          </a:p>
          <a:p>
            <a:pPr>
              <a:defRPr sz="1600"/>
            </a:pPr>
            <a:r>
              <a:rPr lang="en-US" sz="1600" b="1" i="0" baseline="0">
                <a:effectLst/>
                <a:latin typeface="Arial Narrow" panose="020B0606020202030204" pitchFamily="34" charset="0"/>
              </a:rPr>
              <a:t>Under Selected Assumptions</a:t>
            </a:r>
            <a:endParaRPr lang="en-US" sz="1600">
              <a:effectLst/>
              <a:latin typeface="Arial Narrow" panose="020B0606020202030204" pitchFamily="34" charset="0"/>
            </a:endParaRPr>
          </a:p>
        </c:rich>
      </c:tx>
      <c:layout>
        <c:manualLayout>
          <c:xMode val="edge"/>
          <c:yMode val="edge"/>
          <c:x val="0.26522857971364344"/>
          <c:y val="0.10105524678733259"/>
        </c:manualLayout>
      </c:layout>
      <c:overlay val="0"/>
    </c:title>
    <c:autoTitleDeleted val="0"/>
    <c:plotArea>
      <c:layout>
        <c:manualLayout>
          <c:layoutTarget val="inner"/>
          <c:xMode val="edge"/>
          <c:yMode val="edge"/>
          <c:x val="7.4231627602670797E-2"/>
          <c:y val="0.18635106707469881"/>
          <c:w val="0.92059717414103259"/>
          <c:h val="0.75966279908076617"/>
        </c:manualLayout>
      </c:layout>
      <c:lineChart>
        <c:grouping val="standard"/>
        <c:varyColors val="0"/>
        <c:ser>
          <c:idx val="2"/>
          <c:order val="0"/>
          <c:tx>
            <c:v>LPP Act Plan</c:v>
          </c:tx>
          <c:spPr>
            <a:ln w="63500">
              <a:solidFill>
                <a:schemeClr val="tx2">
                  <a:lumMod val="60000"/>
                  <a:lumOff val="40000"/>
                </a:schemeClr>
              </a:solidFill>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0"/>
          <c:order val="1"/>
          <c:tx>
            <c:v>Economist Plan 2</c:v>
          </c:tx>
          <c:spPr>
            <a:ln w="63500">
              <a:solidFill>
                <a:srgbClr val="D50909"/>
              </a:solidFill>
            </a:ln>
          </c:spPr>
          <c:marker>
            <c:symbol val="none"/>
          </c:marker>
          <c:val>
            <c:numRef>
              <c:f>'Economist Plan 2'!$D$40:$BH$40</c:f>
              <c:numCache>
                <c:formatCode>_("$"* #,##0.00_);_("$"* \(#,##0.00\);_("$"* "-"??_);_(@_)</c:formatCode>
                <c:ptCount val="57"/>
                <c:pt idx="0">
                  <c:v>0</c:v>
                </c:pt>
                <c:pt idx="1">
                  <c:v>0</c:v>
                </c:pt>
                <c:pt idx="2">
                  <c:v>0</c:v>
                </c:pt>
                <c:pt idx="3">
                  <c:v>0</c:v>
                </c:pt>
                <c:pt idx="4">
                  <c:v>0</c:v>
                </c:pt>
                <c:pt idx="5">
                  <c:v>0</c:v>
                </c:pt>
                <c:pt idx="6">
                  <c:v>25.335460982502653</c:v>
                </c:pt>
                <c:pt idx="7">
                  <c:v>24.63340883082417</c:v>
                </c:pt>
                <c:pt idx="8">
                  <c:v>23.950810725157186</c:v>
                </c:pt>
                <c:pt idx="9">
                  <c:v>23.287127588874274</c:v>
                </c:pt>
                <c:pt idx="10">
                  <c:v>22.641835283300217</c:v>
                </c:pt>
                <c:pt idx="11">
                  <c:v>22.014424193777558</c:v>
                </c:pt>
                <c:pt idx="12">
                  <c:v>21.404398827202296</c:v>
                </c:pt>
                <c:pt idx="13">
                  <c:v>20.811277420711999</c:v>
                </c:pt>
                <c:pt idx="14">
                  <c:v>20.234591561217307</c:v>
                </c:pt>
                <c:pt idx="15">
                  <c:v>19.673885815476236</c:v>
                </c:pt>
                <c:pt idx="16">
                  <c:v>19.128717370419285</c:v>
                </c:pt>
                <c:pt idx="17">
                  <c:v>18.598655683441212</c:v>
                </c:pt>
                <c:pt idx="18">
                  <c:v>18.08328214238329</c:v>
                </c:pt>
                <c:pt idx="19">
                  <c:v>67.220964653439935</c:v>
                </c:pt>
                <c:pt idx="20">
                  <c:v>65.358254402955694</c:v>
                </c:pt>
                <c:pt idx="21">
                  <c:v>63.547160333452311</c:v>
                </c:pt>
                <c:pt idx="22">
                  <c:v>61.786252147255524</c:v>
                </c:pt>
                <c:pt idx="23">
                  <c:v>60.074139180608199</c:v>
                </c:pt>
                <c:pt idx="24">
                  <c:v>58.409469305404166</c:v>
                </c:pt>
                <c:pt idx="25">
                  <c:v>56.790927861355549</c:v>
                </c:pt>
                <c:pt idx="26">
                  <c:v>55.217236617749677</c:v>
                </c:pt>
                <c:pt idx="27">
                  <c:v>53.687152763976364</c:v>
                </c:pt>
                <c:pt idx="28">
                  <c:v>52.19946792802758</c:v>
                </c:pt>
                <c:pt idx="29">
                  <c:v>50.753007222195016</c:v>
                </c:pt>
                <c:pt idx="30">
                  <c:v>49.346628315211497</c:v>
                </c:pt>
                <c:pt idx="31">
                  <c:v>47.979220530103539</c:v>
                </c:pt>
                <c:pt idx="32">
                  <c:v>46.649703967042832</c:v>
                </c:pt>
                <c:pt idx="33">
                  <c:v>45.35702865050348</c:v>
                </c:pt>
                <c:pt idx="34">
                  <c:v>44.100173700052004</c:v>
                </c:pt>
                <c:pt idx="35">
                  <c:v>42.878146524114733</c:v>
                </c:pt>
                <c:pt idx="36">
                  <c:v>41.689982036086278</c:v>
                </c:pt>
                <c:pt idx="37">
                  <c:v>40.534741892159722</c:v>
                </c:pt>
                <c:pt idx="38">
                  <c:v>39.411513750276839</c:v>
                </c:pt>
                <c:pt idx="39">
                  <c:v>38.319410549612869</c:v>
                </c:pt>
                <c:pt idx="40">
                  <c:v>37.257569810027093</c:v>
                </c:pt>
                <c:pt idx="41">
                  <c:v>36.225152950925711</c:v>
                </c:pt>
                <c:pt idx="42">
                  <c:v>35.22134462899924</c:v>
                </c:pt>
                <c:pt idx="43">
                  <c:v>34.245352094311357</c:v>
                </c:pt>
                <c:pt idx="44">
                  <c:v>33.296404564230791</c:v>
                </c:pt>
                <c:pt idx="45">
                  <c:v>32.373752614711506</c:v>
                </c:pt>
                <c:pt idx="46">
                  <c:v>31.476667588440947</c:v>
                </c:pt>
                <c:pt idx="47">
                  <c:v>30.604441019388378</c:v>
                </c:pt>
                <c:pt idx="48">
                  <c:v>29.756384073299351</c:v>
                </c:pt>
                <c:pt idx="49">
                  <c:v>28.931827003694067</c:v>
                </c:pt>
                <c:pt idx="50">
                  <c:v>28.13011862294027</c:v>
                </c:pt>
                <c:pt idx="51">
                  <c:v>27.350625787982757</c:v>
                </c:pt>
                <c:pt idx="52">
                  <c:v>26.592732900323544</c:v>
                </c:pt>
                <c:pt idx="53">
                  <c:v>25.855841419857601</c:v>
                </c:pt>
                <c:pt idx="54">
                  <c:v>25.139369392180456</c:v>
                </c:pt>
                <c:pt idx="55">
                  <c:v>24.442750988994124</c:v>
                </c:pt>
                <c:pt idx="56">
                  <c:v>23.765436061248547</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2"/>
          <c:tx>
            <c:v>Economist Plan 1</c:v>
          </c:tx>
          <c:spPr>
            <a:ln w="63500">
              <a:solidFill>
                <a:schemeClr val="accent3">
                  <a:shade val="95000"/>
                  <a:satMod val="105000"/>
                </a:schemeClr>
              </a:solidFill>
            </a:ln>
          </c:spPr>
          <c:marker>
            <c:symbol val="none"/>
          </c:marker>
          <c:val>
            <c:numRef>
              <c:f>'Economist Plan 1'!$D$23:$AX$23</c:f>
              <c:numCache>
                <c:formatCode>_("$"* #,##0.00_);_("$"* \(#,##0.00\);_("$"* "-"??_);_(@_)</c:formatCode>
                <c:ptCount val="47"/>
                <c:pt idx="0">
                  <c:v>73.521998287072591</c:v>
                </c:pt>
                <c:pt idx="1">
                  <c:v>73.521998287072591</c:v>
                </c:pt>
                <c:pt idx="2">
                  <c:v>73.521998287072591</c:v>
                </c:pt>
                <c:pt idx="3">
                  <c:v>73.521998287072591</c:v>
                </c:pt>
                <c:pt idx="4">
                  <c:v>73.521998287072591</c:v>
                </c:pt>
                <c:pt idx="5">
                  <c:v>73.521998287072591</c:v>
                </c:pt>
                <c:pt idx="6">
                  <c:v>73.521998287072591</c:v>
                </c:pt>
                <c:pt idx="7">
                  <c:v>73.521998287072591</c:v>
                </c:pt>
                <c:pt idx="8">
                  <c:v>73.521998287072591</c:v>
                </c:pt>
                <c:pt idx="9">
                  <c:v>73.521998287072591</c:v>
                </c:pt>
                <c:pt idx="10">
                  <c:v>73.521998287072591</c:v>
                </c:pt>
                <c:pt idx="11">
                  <c:v>73.521998287072591</c:v>
                </c:pt>
                <c:pt idx="12">
                  <c:v>73.521998287072591</c:v>
                </c:pt>
                <c:pt idx="13">
                  <c:v>73.521998287072591</c:v>
                </c:pt>
                <c:pt idx="14">
                  <c:v>73.521998287072591</c:v>
                </c:pt>
                <c:pt idx="15">
                  <c:v>73.521998287072591</c:v>
                </c:pt>
                <c:pt idx="16">
                  <c:v>73.521998287072591</c:v>
                </c:pt>
                <c:pt idx="17">
                  <c:v>73.521998287072591</c:v>
                </c:pt>
                <c:pt idx="18">
                  <c:v>73.521998287072591</c:v>
                </c:pt>
                <c:pt idx="19">
                  <c:v>73.521998287072591</c:v>
                </c:pt>
                <c:pt idx="20">
                  <c:v>73.521998287072591</c:v>
                </c:pt>
                <c:pt idx="21">
                  <c:v>73.521998287072591</c:v>
                </c:pt>
                <c:pt idx="22">
                  <c:v>73.521998287072591</c:v>
                </c:pt>
                <c:pt idx="23">
                  <c:v>73.521998287072591</c:v>
                </c:pt>
                <c:pt idx="24">
                  <c:v>73.521998287072591</c:v>
                </c:pt>
                <c:pt idx="25">
                  <c:v>73.521998287072591</c:v>
                </c:pt>
                <c:pt idx="26">
                  <c:v>73.521998287072591</c:v>
                </c:pt>
                <c:pt idx="27">
                  <c:v>73.521998287072591</c:v>
                </c:pt>
                <c:pt idx="28">
                  <c:v>73.521998287072591</c:v>
                </c:pt>
                <c:pt idx="29">
                  <c:v>73.521998287072591</c:v>
                </c:pt>
                <c:pt idx="30">
                  <c:v>73.521998287072591</c:v>
                </c:pt>
                <c:pt idx="31">
                  <c:v>73.521998287072591</c:v>
                </c:pt>
                <c:pt idx="32">
                  <c:v>73.521998287072591</c:v>
                </c:pt>
                <c:pt idx="33">
                  <c:v>73.521998287072591</c:v>
                </c:pt>
                <c:pt idx="34">
                  <c:v>73.521998287072591</c:v>
                </c:pt>
                <c:pt idx="35">
                  <c:v>73.521998287072591</c:v>
                </c:pt>
                <c:pt idx="36">
                  <c:v>73.521998287072591</c:v>
                </c:pt>
                <c:pt idx="37">
                  <c:v>73.521998287072591</c:v>
                </c:pt>
                <c:pt idx="38">
                  <c:v>73.521998287072591</c:v>
                </c:pt>
                <c:pt idx="39">
                  <c:v>73.521998287072591</c:v>
                </c:pt>
                <c:pt idx="40">
                  <c:v>73.521998287072591</c:v>
                </c:pt>
                <c:pt idx="41">
                  <c:v>73.521998287072591</c:v>
                </c:pt>
                <c:pt idx="42">
                  <c:v>73.521998287072591</c:v>
                </c:pt>
                <c:pt idx="43">
                  <c:v>73.521998287072591</c:v>
                </c:pt>
                <c:pt idx="44">
                  <c:v>73.521998287072591</c:v>
                </c:pt>
                <c:pt idx="45">
                  <c:v>73.521998287072591</c:v>
                </c:pt>
                <c:pt idx="46">
                  <c:v>73.521998287072591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smooth val="0"/>
        <c:axId val="403147048"/>
        <c:axId val="403153712"/>
      </c:lineChart>
      <c:dateAx>
        <c:axId val="403147048"/>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3153712"/>
        <c:crosses val="autoZero"/>
        <c:auto val="0"/>
        <c:lblOffset val="100"/>
        <c:baseTimeUnit val="days"/>
        <c:majorUnit val="5"/>
      </c:dateAx>
      <c:valAx>
        <c:axId val="403153712"/>
        <c:scaling>
          <c:orientation val="minMax"/>
          <c:max val="2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3147048"/>
        <c:crosses val="autoZero"/>
        <c:crossBetween val="between"/>
      </c:valAx>
    </c:plotArea>
    <c:legend>
      <c:legendPos val="r"/>
      <c:layout>
        <c:manualLayout>
          <c:xMode val="edge"/>
          <c:yMode val="edge"/>
          <c:x val="0.10920244181150446"/>
          <c:y val="0.20830905935183147"/>
          <c:w val="0.17488183098706941"/>
          <c:h val="0.13133312547495163"/>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Anticipated Impact Fees under Selected Assumptions</a:t>
            </a:r>
            <a:endParaRPr lang="en-US" sz="1600">
              <a:effectLst/>
              <a:latin typeface="Arial Narrow" panose="020B0606020202030204" pitchFamily="34" charset="0"/>
            </a:endParaRPr>
          </a:p>
        </c:rich>
      </c:tx>
      <c:layout>
        <c:manualLayout>
          <c:xMode val="edge"/>
          <c:yMode val="edge"/>
          <c:x val="0.25790125278827869"/>
          <c:y val="0.11720082139021661"/>
        </c:manualLayout>
      </c:layout>
      <c:overlay val="0"/>
    </c:title>
    <c:autoTitleDeleted val="0"/>
    <c:plotArea>
      <c:layout>
        <c:manualLayout>
          <c:layoutTarget val="inner"/>
          <c:xMode val="edge"/>
          <c:yMode val="edge"/>
          <c:x val="7.4231627602670797E-2"/>
          <c:y val="0.18635106707469881"/>
          <c:w val="0.92059717414103259"/>
          <c:h val="0.75966279908076617"/>
        </c:manualLayout>
      </c:layout>
      <c:lineChart>
        <c:grouping val="standard"/>
        <c:varyColors val="0"/>
        <c:ser>
          <c:idx val="2"/>
          <c:order val="0"/>
          <c:tx>
            <c:v>Economists' Plan 1</c:v>
          </c:tx>
          <c:spPr>
            <a:ln w="63500"/>
          </c:spPr>
          <c:marker>
            <c:symbol val="none"/>
          </c:marker>
          <c:cat>
            <c:numRef>
              <c:f>'Economist Plan 1'!$D$5:$AX$5</c:f>
              <c:numCache>
                <c:formatCode>General</c:formatCode>
                <c:ptCount val="4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pt idx="37">
                  <c:v>2051</c:v>
                </c:pt>
                <c:pt idx="38">
                  <c:v>2052</c:v>
                </c:pt>
                <c:pt idx="39">
                  <c:v>2053</c:v>
                </c:pt>
                <c:pt idx="40">
                  <c:v>2054</c:v>
                </c:pt>
                <c:pt idx="41">
                  <c:v>2055</c:v>
                </c:pt>
                <c:pt idx="42">
                  <c:v>2056</c:v>
                </c:pt>
                <c:pt idx="43">
                  <c:v>2057</c:v>
                </c:pt>
                <c:pt idx="44">
                  <c:v>2058</c:v>
                </c:pt>
                <c:pt idx="45">
                  <c:v>2059</c:v>
                </c:pt>
                <c:pt idx="46">
                  <c:v>2060</c:v>
                </c:pt>
              </c:numCache>
            </c:numRef>
          </c:cat>
          <c:val>
            <c:numRef>
              <c:f>'Economist Plan 1'!$D$24:$AX$24</c:f>
              <c:numCache>
                <c:formatCode>_("$"* #,##0_);_("$"* \(#,##0\);_("$"* "-"??_);_(@_)</c:formatCode>
                <c:ptCount val="47"/>
                <c:pt idx="0">
                  <c:v>33430.839579017585</c:v>
                </c:pt>
                <c:pt idx="1">
                  <c:v>33430.839579017585</c:v>
                </c:pt>
                <c:pt idx="2">
                  <c:v>33430.839579017585</c:v>
                </c:pt>
                <c:pt idx="3">
                  <c:v>33430.839579017585</c:v>
                </c:pt>
                <c:pt idx="4">
                  <c:v>33430.839579017585</c:v>
                </c:pt>
                <c:pt idx="5">
                  <c:v>33430.839579017585</c:v>
                </c:pt>
                <c:pt idx="6">
                  <c:v>33430.839579017585</c:v>
                </c:pt>
                <c:pt idx="7">
                  <c:v>33430.839579017585</c:v>
                </c:pt>
                <c:pt idx="8">
                  <c:v>33430.839579017585</c:v>
                </c:pt>
                <c:pt idx="9">
                  <c:v>33430.839579017585</c:v>
                </c:pt>
                <c:pt idx="10">
                  <c:v>33430.839579017585</c:v>
                </c:pt>
                <c:pt idx="11">
                  <c:v>33430.839579017585</c:v>
                </c:pt>
                <c:pt idx="12">
                  <c:v>33430.839579017585</c:v>
                </c:pt>
                <c:pt idx="13">
                  <c:v>33430.839579017585</c:v>
                </c:pt>
                <c:pt idx="14">
                  <c:v>33430.839579017585</c:v>
                </c:pt>
                <c:pt idx="15">
                  <c:v>33430.839579017585</c:v>
                </c:pt>
                <c:pt idx="16">
                  <c:v>33430.839579017585</c:v>
                </c:pt>
                <c:pt idx="17">
                  <c:v>33430.839579017585</c:v>
                </c:pt>
                <c:pt idx="18">
                  <c:v>33430.839579017585</c:v>
                </c:pt>
                <c:pt idx="19">
                  <c:v>33430.839579017585</c:v>
                </c:pt>
                <c:pt idx="20">
                  <c:v>33430.839579017585</c:v>
                </c:pt>
                <c:pt idx="21">
                  <c:v>33430.839579017585</c:v>
                </c:pt>
                <c:pt idx="22">
                  <c:v>33430.839579017585</c:v>
                </c:pt>
                <c:pt idx="23">
                  <c:v>33430.839579017585</c:v>
                </c:pt>
                <c:pt idx="24">
                  <c:v>33430.839579017585</c:v>
                </c:pt>
                <c:pt idx="25">
                  <c:v>33430.839579017585</c:v>
                </c:pt>
                <c:pt idx="26">
                  <c:v>33430.839579017585</c:v>
                </c:pt>
                <c:pt idx="27">
                  <c:v>33430.839579017585</c:v>
                </c:pt>
                <c:pt idx="28">
                  <c:v>33430.839579017585</c:v>
                </c:pt>
                <c:pt idx="29">
                  <c:v>33430.839579017585</c:v>
                </c:pt>
                <c:pt idx="30">
                  <c:v>33430.839579017585</c:v>
                </c:pt>
                <c:pt idx="31">
                  <c:v>33430.839579017585</c:v>
                </c:pt>
                <c:pt idx="32">
                  <c:v>33430.839579017585</c:v>
                </c:pt>
                <c:pt idx="33">
                  <c:v>33430.839579017585</c:v>
                </c:pt>
                <c:pt idx="34">
                  <c:v>33430.839579017585</c:v>
                </c:pt>
                <c:pt idx="35">
                  <c:v>33430.839579017585</c:v>
                </c:pt>
                <c:pt idx="36">
                  <c:v>33430.839579017585</c:v>
                </c:pt>
                <c:pt idx="37">
                  <c:v>33430.839579017585</c:v>
                </c:pt>
                <c:pt idx="38">
                  <c:v>33430.839579017585</c:v>
                </c:pt>
                <c:pt idx="39">
                  <c:v>33430.839579017585</c:v>
                </c:pt>
                <c:pt idx="40">
                  <c:v>33430.839579017585</c:v>
                </c:pt>
                <c:pt idx="41">
                  <c:v>33430.839579017585</c:v>
                </c:pt>
                <c:pt idx="42">
                  <c:v>33430.839579017585</c:v>
                </c:pt>
                <c:pt idx="43">
                  <c:v>33430.839579017585</c:v>
                </c:pt>
                <c:pt idx="44">
                  <c:v>33430.839579017585</c:v>
                </c:pt>
                <c:pt idx="45">
                  <c:v>33430.839579017585</c:v>
                </c:pt>
                <c:pt idx="46">
                  <c:v>33430.839579017585</c:v>
                </c:pt>
              </c:numCache>
            </c:numRef>
          </c:val>
          <c:smooth val="0"/>
        </c:ser>
        <c:ser>
          <c:idx val="1"/>
          <c:order val="1"/>
          <c:tx>
            <c:v>Economists' Plan 2</c:v>
          </c:tx>
          <c:spPr>
            <a:ln w="63500"/>
          </c:spPr>
          <c:marker>
            <c:symbol val="none"/>
          </c:marker>
          <c:val>
            <c:numRef>
              <c:f>'Economist Plan 2'!$D$41:$AX$41</c:f>
              <c:numCache>
                <c:formatCode>_("$"* #,##0_);_("$"* \(#,##0\);_("$"* "-"??_);_(@_)</c:formatCode>
                <c:ptCount val="47"/>
                <c:pt idx="0">
                  <c:v>0</c:v>
                </c:pt>
                <c:pt idx="1">
                  <c:v>0</c:v>
                </c:pt>
                <c:pt idx="2">
                  <c:v>0</c:v>
                </c:pt>
                <c:pt idx="3">
                  <c:v>0</c:v>
                </c:pt>
                <c:pt idx="4">
                  <c:v>0</c:v>
                </c:pt>
                <c:pt idx="5">
                  <c:v>0</c:v>
                </c:pt>
                <c:pt idx="6">
                  <c:v>11520.167453275453</c:v>
                </c:pt>
                <c:pt idx="7">
                  <c:v>11200.940644895947</c:v>
                </c:pt>
                <c:pt idx="8">
                  <c:v>10890.559693627521</c:v>
                </c:pt>
                <c:pt idx="9">
                  <c:v>10588.779478490578</c:v>
                </c:pt>
                <c:pt idx="10">
                  <c:v>10295.361670870743</c:v>
                </c:pt>
                <c:pt idx="11">
                  <c:v>10010.074546301181</c:v>
                </c:pt>
                <c:pt idx="12">
                  <c:v>9732.6928014595469</c:v>
                </c:pt>
                <c:pt idx="13">
                  <c:v>9462.9973762367936</c:v>
                </c:pt>
                <c:pt idx="14">
                  <c:v>9200.7752807358411</c:v>
                </c:pt>
                <c:pt idx="15">
                  <c:v>8945.8194270645145</c:v>
                </c:pt>
                <c:pt idx="16">
                  <c:v>8697.9284657894896</c:v>
                </c:pt>
                <c:pt idx="17">
                  <c:v>8456.9066269222294</c:v>
                </c:pt>
                <c:pt idx="18">
                  <c:v>8222.5635653108566</c:v>
                </c:pt>
                <c:pt idx="19">
                  <c:v>30565.72642247007</c:v>
                </c:pt>
                <c:pt idx="20">
                  <c:v>29718.742267836718</c:v>
                </c:pt>
                <c:pt idx="21">
                  <c:v>28895.228262359477</c:v>
                </c:pt>
                <c:pt idx="22">
                  <c:v>28094.534042157829</c:v>
                </c:pt>
                <c:pt idx="23">
                  <c:v>27316.027265102424</c:v>
                </c:pt>
                <c:pt idx="24">
                  <c:v>26559.093111426751</c:v>
                </c:pt>
                <c:pt idx="25">
                  <c:v>25823.133798178758</c:v>
                </c:pt>
                <c:pt idx="26">
                  <c:v>25107.568107125666</c:v>
                </c:pt>
                <c:pt idx="27">
                  <c:v>24411.830925741997</c:v>
                </c:pt>
                <c:pt idx="28">
                  <c:v>23735.372800915917</c:v>
                </c:pt>
                <c:pt idx="29">
                  <c:v>23077.659505022781</c:v>
                </c:pt>
                <c:pt idx="30">
                  <c:v>22438.171614023075</c:v>
                </c:pt>
                <c:pt idx="31">
                  <c:v>21816.404097251398</c:v>
                </c:pt>
                <c:pt idx="32">
                  <c:v>21211.865918572155</c:v>
                </c:pt>
                <c:pt idx="33">
                  <c:v>20624.079648587387</c:v>
                </c:pt>
                <c:pt idx="34">
                  <c:v>20052.581087591076</c:v>
                </c:pt>
                <c:pt idx="35">
                  <c:v>19496.918898970416</c:v>
                </c:pt>
                <c:pt idx="36">
                  <c:v>18956.654252766501</c:v>
                </c:pt>
                <c:pt idx="37">
                  <c:v>18431.360479111874</c:v>
                </c:pt>
                <c:pt idx="38">
                  <c:v>17920.622731270621</c:v>
                </c:pt>
                <c:pt idx="39">
                  <c:v>17424.037658017114</c:v>
                </c:pt>
                <c:pt idx="40">
                  <c:v>16941.213085092008</c:v>
                </c:pt>
                <c:pt idx="41">
                  <c:v>16471.76770548565</c:v>
                </c:pt>
                <c:pt idx="42">
                  <c:v>16015.330778304009</c:v>
                </c:pt>
                <c:pt idx="43">
                  <c:v>15571.541835978638</c:v>
                </c:pt>
                <c:pt idx="44">
                  <c:v>15140.050399590318</c:v>
                </c:pt>
                <c:pt idx="45">
                  <c:v>14720.515702080971</c:v>
                </c:pt>
                <c:pt idx="46">
                  <c:v>14312.606419135671</c:v>
                </c:pt>
              </c:numCache>
            </c:numRef>
          </c:val>
          <c:smooth val="0"/>
        </c:ser>
        <c:ser>
          <c:idx val="0"/>
          <c:order val="2"/>
          <c:tx>
            <c:v>LPP Act Plan</c:v>
          </c:tx>
          <c:spPr>
            <a:ln w="63500"/>
          </c:spPr>
          <c:marker>
            <c:symbol val="none"/>
          </c:marker>
          <c:val>
            <c:numRef>
              <c:f>#REF!</c:f>
              <c:numCache>
                <c:formatCode>General</c:formatCode>
                <c:ptCount val="1"/>
                <c:pt idx="0">
                  <c:v>1</c:v>
                </c:pt>
              </c:numCache>
            </c:numRef>
          </c:val>
          <c:smooth val="0"/>
        </c:ser>
        <c:dLbls>
          <c:showLegendKey val="0"/>
          <c:showVal val="0"/>
          <c:showCatName val="0"/>
          <c:showSerName val="0"/>
          <c:showPercent val="0"/>
          <c:showBubbleSize val="0"/>
        </c:dLbls>
        <c:smooth val="0"/>
        <c:axId val="403148616"/>
        <c:axId val="403157632"/>
      </c:lineChart>
      <c:dateAx>
        <c:axId val="403148616"/>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403157632"/>
        <c:crosses val="autoZero"/>
        <c:auto val="0"/>
        <c:lblOffset val="100"/>
        <c:baseTimeUnit val="days"/>
        <c:majorUnit val="5"/>
      </c:dateAx>
      <c:valAx>
        <c:axId val="403157632"/>
        <c:scaling>
          <c:orientation val="minMax"/>
          <c:max val="50000"/>
          <c:min val="0"/>
        </c:scaling>
        <c:delete val="0"/>
        <c:axPos val="l"/>
        <c:majorGridlines/>
        <c:numFmt formatCode="&quot;$&quot;#,##0_);[Red]\(&quot;$&quot;#,##0\)" sourceLinked="0"/>
        <c:majorTickMark val="out"/>
        <c:minorTickMark val="none"/>
        <c:tickLblPos val="nextTo"/>
        <c:txPr>
          <a:bodyPr/>
          <a:lstStyle/>
          <a:p>
            <a:pPr>
              <a:defRPr sz="1200" b="1">
                <a:latin typeface="Arial Narrow" pitchFamily="34" charset="0"/>
              </a:defRPr>
            </a:pPr>
            <a:endParaRPr lang="en-US"/>
          </a:p>
        </c:txPr>
        <c:crossAx val="403148616"/>
        <c:crosses val="autoZero"/>
        <c:crossBetween val="between"/>
      </c:valAx>
    </c:plotArea>
    <c:legend>
      <c:legendPos val="r"/>
      <c:layout>
        <c:manualLayout>
          <c:xMode val="edge"/>
          <c:yMode val="edge"/>
          <c:x val="0.12825349181745285"/>
          <c:y val="0.20830905935183147"/>
          <c:w val="0.18651762614454867"/>
          <c:h val="0.13133312547495163"/>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'Dynamic Summary Financial'!$A$20</c:f>
              <c:strCache>
                <c:ptCount val="1"/>
                <c:pt idx="0">
                  <c:v>Operational Expenses</c:v>
                </c:pt>
              </c:strCache>
            </c:strRef>
          </c:tx>
          <c:val>
            <c:numRef>
              <c:f>'Dynamic Summary Financial'!$B$20:$CH$20</c:f>
              <c:numCache>
                <c:formatCode>"$"#,##0_);[Red]\("$"#,##0\)</c:formatCode>
                <c:ptCount val="85"/>
                <c:pt idx="0">
                  <c:v>6.8610058637611313E-2</c:v>
                </c:pt>
                <c:pt idx="1">
                  <c:v>-7034976</c:v>
                </c:pt>
                <c:pt idx="2">
                  <c:v>-7852042</c:v>
                </c:pt>
                <c:pt idx="3">
                  <c:v>-8228012</c:v>
                </c:pt>
                <c:pt idx="4">
                  <c:v>-8968367</c:v>
                </c:pt>
                <c:pt idx="5">
                  <c:v>-8763801</c:v>
                </c:pt>
                <c:pt idx="6">
                  <c:v>-9812530</c:v>
                </c:pt>
                <c:pt idx="7">
                  <c:v>-10484110.733290145</c:v>
                </c:pt>
                <c:pt idx="8">
                  <c:v>-11195981.852080546</c:v>
                </c:pt>
                <c:pt idx="9">
                  <c:v>-11956189.019836817</c:v>
                </c:pt>
                <c:pt idx="10">
                  <c:v>-12768014.254283737</c:v>
                </c:pt>
                <c:pt idx="11">
                  <c:v>-13634962.422149604</c:v>
                </c:pt>
                <c:pt idx="12">
                  <c:v>-14560776.370613564</c:v>
                </c:pt>
                <c:pt idx="13">
                  <c:v>-15549453.086178226</c:v>
                </c:pt>
                <c:pt idx="14">
                  <c:v>-16605260.95072973</c:v>
                </c:pt>
                <c:pt idx="15">
                  <c:v>-17732758.16928428</c:v>
                </c:pt>
                <c:pt idx="16">
                  <c:v>-18936812.448978685</c:v>
                </c:pt>
                <c:pt idx="17">
                  <c:v>-20222622.014264338</c:v>
                </c:pt>
                <c:pt idx="18">
                  <c:v>-21595738.049032889</c:v>
                </c:pt>
                <c:pt idx="19">
                  <c:v>-23062088.662562225</c:v>
                </c:pt>
                <c:pt idx="20">
                  <c:v>-24628004.482750203</c:v>
                </c:pt>
                <c:pt idx="21">
                  <c:v>-26300245.987128943</c:v>
                </c:pt>
                <c:pt idx="22">
                  <c:v>-28086032.689654998</c:v>
                </c:pt>
                <c:pt idx="23">
                  <c:v>-30434255.76793291</c:v>
                </c:pt>
                <c:pt idx="24">
                  <c:v>-32484020.957292709</c:v>
                </c:pt>
                <c:pt idx="25">
                  <c:v>-34672463.579691559</c:v>
                </c:pt>
                <c:pt idx="26">
                  <c:v>-37008984.784133248</c:v>
                </c:pt>
                <c:pt idx="27">
                  <c:v>-39503623.606177941</c:v>
                </c:pt>
                <c:pt idx="28">
                  <c:v>-42167100.266895533</c:v>
                </c:pt>
                <c:pt idx="29">
                  <c:v>-45010862.411411598</c:v>
                </c:pt>
                <c:pt idx="30">
                  <c:v>-48301334.290895849</c:v>
                </c:pt>
                <c:pt idx="31">
                  <c:v>-51979330.75609532</c:v>
                </c:pt>
                <c:pt idx="32">
                  <c:v>-55915748.681569725</c:v>
                </c:pt>
                <c:pt idx="33">
                  <c:v>-60128198.65432696</c:v>
                </c:pt>
                <c:pt idx="34">
                  <c:v>-64635477.070122987</c:v>
                </c:pt>
                <c:pt idx="35">
                  <c:v>-69457645.63623476</c:v>
                </c:pt>
                <c:pt idx="36">
                  <c:v>-74616116.198952317</c:v>
                </c:pt>
                <c:pt idx="37">
                  <c:v>-80133741.252534062</c:v>
                </c:pt>
                <c:pt idx="38">
                  <c:v>-86034910.510291472</c:v>
                </c:pt>
                <c:pt idx="39">
                  <c:v>-92345653.943997547</c:v>
                </c:pt>
                <c:pt idx="40">
                  <c:v>-99093751.725054845</c:v>
                </c:pt>
                <c:pt idx="41">
                  <c:v>-106308851.52992985</c:v>
                </c:pt>
                <c:pt idx="42">
                  <c:v>-114022593.70338261</c:v>
                </c:pt>
                <c:pt idx="43">
                  <c:v>-122268744.80612677</c:v>
                </c:pt>
                <c:pt idx="44">
                  <c:v>-131083340.10888292</c:v>
                </c:pt>
                <c:pt idx="45">
                  <c:v>-140504835.63249019</c:v>
                </c:pt>
                <c:pt idx="46">
                  <c:v>-150574270.37397328</c:v>
                </c:pt>
                <c:pt idx="47">
                  <c:v>-161335439.40139833</c:v>
                </c:pt>
                <c:pt idx="48">
                  <c:v>-172835078.54616967</c:v>
                </c:pt>
                <c:pt idx="49">
                  <c:v>-185123061.47031671</c:v>
                </c:pt>
                <c:pt idx="50">
                  <c:v>-198252609.9385021</c:v>
                </c:pt>
                <c:pt idx="51">
                  <c:v>-212280518.1801706</c:v>
                </c:pt>
                <c:pt idx="52">
                  <c:v>-227267392.28668472</c:v>
                </c:pt>
                <c:pt idx="53">
                  <c:v>-243277905.65171903</c:v>
                </c:pt>
                <c:pt idx="54">
                  <c:v>-260102966.8596175</c:v>
                </c:pt>
                <c:pt idx="55">
                  <c:v>-276617865.46834093</c:v>
                </c:pt>
                <c:pt idx="56">
                  <c:v>-294219742.90736532</c:v>
                </c:pt>
                <c:pt idx="57">
                  <c:v>-312981373.55571127</c:v>
                </c:pt>
                <c:pt idx="58">
                  <c:v>-332980442.22822791</c:v>
                </c:pt>
                <c:pt idx="59">
                  <c:v>-354299876.665851</c:v>
                </c:pt>
                <c:pt idx="60">
                  <c:v>-377028202.57409847</c:v>
                </c:pt>
                <c:pt idx="61">
                  <c:v>-401259922.739995</c:v>
                </c:pt>
                <c:pt idx="62">
                  <c:v>-427095921.86148942</c:v>
                </c:pt>
                <c:pt idx="63">
                  <c:v>-454643898.83435667</c:v>
                </c:pt>
                <c:pt idx="64">
                  <c:v>-484018828.3600359</c:v>
                </c:pt>
                <c:pt idx="65">
                  <c:v>-515343453.86435348</c:v>
                </c:pt>
                <c:pt idx="66">
                  <c:v>-548748813.85217428</c:v>
                </c:pt>
                <c:pt idx="67">
                  <c:v>-584374803.9672811</c:v>
                </c:pt>
                <c:pt idx="68">
                  <c:v>-622370777.18084013</c:v>
                </c:pt>
                <c:pt idx="69">
                  <c:v>-662896184.69632518</c:v>
                </c:pt>
                <c:pt idx="70">
                  <c:v>-706121260.33445883</c:v>
                </c:pt>
                <c:pt idx="71">
                  <c:v>-752227751.34933937</c:v>
                </c:pt>
                <c:pt idx="72">
                  <c:v>-801409698.82727551</c:v>
                </c:pt>
                <c:pt idx="73">
                  <c:v>-853874271.03380275</c:v>
                </c:pt>
                <c:pt idx="74">
                  <c:v>-909842653.30283797</c:v>
                </c:pt>
                <c:pt idx="75">
                  <c:v>-969550998.30591595</c:v>
                </c:pt>
                <c:pt idx="76">
                  <c:v>-1033251440.8000174</c:v>
                </c:pt>
                <c:pt idx="77">
                  <c:v>-1101213181.230742</c:v>
                </c:pt>
                <c:pt idx="78">
                  <c:v>-1173723642.8647251</c:v>
                </c:pt>
                <c:pt idx="79">
                  <c:v>-1251089707.442508</c:v>
                </c:pt>
                <c:pt idx="80">
                  <c:v>-1333639034.6819406</c:v>
                </c:pt>
                <c:pt idx="81">
                  <c:v>-1421721471.324053</c:v>
                </c:pt>
                <c:pt idx="82">
                  <c:v>-1515710555.7997813</c:v>
                </c:pt>
                <c:pt idx="83">
                  <c:v>-1616005125.0085962</c:v>
                </c:pt>
                <c:pt idx="84">
                  <c:v>0</c:v>
                </c:pt>
              </c:numCache>
            </c:numRef>
          </c:val>
        </c:ser>
        <c:ser>
          <c:idx val="1"/>
          <c:order val="1"/>
          <c:tx>
            <c:strRef>
              <c:f>'Dynamic Summary Financial'!$A$21</c:f>
              <c:strCache>
                <c:ptCount val="1"/>
                <c:pt idx="0">
                  <c:v>Wholesale Impact Fees - LPP</c:v>
                </c:pt>
              </c:strCache>
            </c:strRef>
          </c:tx>
          <c:val>
            <c:numRef>
              <c:f>'Dynamic Summary Financial'!$B$21:$CH$21</c:f>
              <c:numCache>
                <c:formatCode>"$"#,##0_);[Red]\("$"#,##0\)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27711409.441855557</c:v>
                </c:pt>
                <c:pt idx="25">
                  <c:v>28526124.879446242</c:v>
                </c:pt>
                <c:pt idx="26">
                  <c:v>29364792.950901795</c:v>
                </c:pt>
                <c:pt idx="27">
                  <c:v>30228117.863658451</c:v>
                </c:pt>
                <c:pt idx="28">
                  <c:v>31116824.528849855</c:v>
                </c:pt>
                <c:pt idx="29">
                  <c:v>32031659.169998225</c:v>
                </c:pt>
                <c:pt idx="30">
                  <c:v>32973389.949595936</c:v>
                </c:pt>
                <c:pt idx="31">
                  <c:v>33942807.614114247</c:v>
                </c:pt>
                <c:pt idx="32">
                  <c:v>34940726.1579694</c:v>
                </c:pt>
                <c:pt idx="33">
                  <c:v>35967983.507013418</c:v>
                </c:pt>
                <c:pt idx="34">
                  <c:v>37025442.222119734</c:v>
                </c:pt>
                <c:pt idx="35">
                  <c:v>38113990.223449923</c:v>
                </c:pt>
                <c:pt idx="36">
                  <c:v>39234541.53601931</c:v>
                </c:pt>
                <c:pt idx="37">
                  <c:v>40388037.057178423</c:v>
                </c:pt>
                <c:pt idx="38">
                  <c:v>41575445.346659333</c:v>
                </c:pt>
                <c:pt idx="39">
                  <c:v>42797763.439851396</c:v>
                </c:pt>
                <c:pt idx="40">
                  <c:v>44056017.684982948</c:v>
                </c:pt>
                <c:pt idx="41">
                  <c:v>45351264.604921252</c:v>
                </c:pt>
                <c:pt idx="42">
                  <c:v>46684591.78430599</c:v>
                </c:pt>
                <c:pt idx="43">
                  <c:v>48057118.782764509</c:v>
                </c:pt>
                <c:pt idx="44">
                  <c:v>49469998.074978024</c:v>
                </c:pt>
                <c:pt idx="45">
                  <c:v>50924416.018382132</c:v>
                </c:pt>
                <c:pt idx="46">
                  <c:v>52421593.849323049</c:v>
                </c:pt>
                <c:pt idx="47">
                  <c:v>53962788.708492532</c:v>
                </c:pt>
                <c:pt idx="48">
                  <c:v>55549294.696522683</c:v>
                </c:pt>
                <c:pt idx="49">
                  <c:v>47526532.367659196</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2"/>
          <c:order val="2"/>
          <c:tx>
            <c:strRef>
              <c:f>'Dynamic Summary Financial'!$A$22</c:f>
              <c:strCache>
                <c:ptCount val="1"/>
                <c:pt idx="0">
                  <c:v>Water Development Connection Fees</c:v>
                </c:pt>
              </c:strCache>
            </c:strRef>
          </c:tx>
          <c:val>
            <c:numRef>
              <c:f>'Dynamic Summary Financial'!$B$22:$CH$22</c:f>
              <c:numCache>
                <c:formatCode>"$"#,##0_);[Red]\("$"#,##0\)</c:formatCode>
                <c:ptCount val="85"/>
                <c:pt idx="0">
                  <c:v>0</c:v>
                </c:pt>
                <c:pt idx="1">
                  <c:v>1123375</c:v>
                </c:pt>
                <c:pt idx="2">
                  <c:v>1171713</c:v>
                </c:pt>
                <c:pt idx="3">
                  <c:v>1167061</c:v>
                </c:pt>
                <c:pt idx="4">
                  <c:v>1425484</c:v>
                </c:pt>
                <c:pt idx="5">
                  <c:v>1243147</c:v>
                </c:pt>
                <c:pt idx="6">
                  <c:v>1150405</c:v>
                </c:pt>
                <c:pt idx="7">
                  <c:v>1150405</c:v>
                </c:pt>
                <c:pt idx="8">
                  <c:v>1150405</c:v>
                </c:pt>
                <c:pt idx="9">
                  <c:v>632722.75</c:v>
                </c:pt>
                <c:pt idx="10">
                  <c:v>632722.75</c:v>
                </c:pt>
                <c:pt idx="11">
                  <c:v>632722.75</c:v>
                </c:pt>
                <c:pt idx="12">
                  <c:v>632722.75</c:v>
                </c:pt>
                <c:pt idx="13">
                  <c:v>632722.75</c:v>
                </c:pt>
                <c:pt idx="14">
                  <c:v>632722.75</c:v>
                </c:pt>
                <c:pt idx="15">
                  <c:v>632722.75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c:v>
                </c:pt>
                <c:pt idx="84">
                  <c:v>0</c:v>
                </c:pt>
              </c:numCache>
            </c:numRef>
          </c:val>
        </c:ser>
        <c:ser>
          <c:idx val="3"/>
          <c:order val="3"/>
          <c:tx>
            <c:strRef>
              <c:f>'Dynamic Summary Financial'!$A$23</c:f>
              <c:strCache>
                <c:ptCount val="1"/>
                <c:pt idx="0">
                  <c:v>R&amp;R</c:v>
                </c:pt>
              </c:strCache>
            </c:strRef>
          </c:tx>
          <c:val>
            <c:numRef>
              <c:f>'Dynamic Summary Financial'!$B$23:$CH$23</c:f>
              <c:numCache>
                <c:formatCode>"$"#,##0_);[Red]\("$"#,##0\)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4"/>
          <c:order val="4"/>
          <c:tx>
            <c:strRef>
              <c:f>'Dynamic Summary Financial'!$A$24</c:f>
              <c:strCache>
                <c:ptCount val="1"/>
                <c:pt idx="0">
                  <c:v>Cash Available for Capital &amp; Maintenance Expense</c:v>
                </c:pt>
              </c:strCache>
            </c:strRef>
          </c:tx>
          <c:val>
            <c:numRef>
              <c:f>'Dynamic Summary Financial'!$B$24:$CH$24</c:f>
              <c:numCache>
                <c:formatCode>"$"#,##0_);[Red]\("$"#,##0\)</c:formatCode>
                <c:ptCount val="85"/>
                <c:pt idx="0">
                  <c:v>0</c:v>
                </c:pt>
                <c:pt idx="1">
                  <c:v>9467250</c:v>
                </c:pt>
                <c:pt idx="2">
                  <c:v>14043259</c:v>
                </c:pt>
                <c:pt idx="3">
                  <c:v>10465488</c:v>
                </c:pt>
                <c:pt idx="4">
                  <c:v>6297480.8499999996</c:v>
                </c:pt>
                <c:pt idx="5">
                  <c:v>5571570</c:v>
                </c:pt>
                <c:pt idx="6">
                  <c:v>3482591.9970039986</c:v>
                </c:pt>
                <c:pt idx="7">
                  <c:v>6148980.3713222388</c:v>
                </c:pt>
                <c:pt idx="8">
                  <c:v>6098315.182740951</c:v>
                </c:pt>
                <c:pt idx="9">
                  <c:v>-10496381.295456242</c:v>
                </c:pt>
                <c:pt idx="10">
                  <c:v>-10621875.973880837</c:v>
                </c:pt>
                <c:pt idx="11">
                  <c:v>-11399673.572871136</c:v>
                </c:pt>
                <c:pt idx="12">
                  <c:v>-11541692.523892269</c:v>
                </c:pt>
                <c:pt idx="13">
                  <c:v>-11587249.268181503</c:v>
                </c:pt>
                <c:pt idx="14">
                  <c:v>-11436310.144843668</c:v>
                </c:pt>
                <c:pt idx="15">
                  <c:v>-10554590.673389815</c:v>
                </c:pt>
                <c:pt idx="16">
                  <c:v>-15536227.545015678</c:v>
                </c:pt>
                <c:pt idx="17">
                  <c:v>-15697676.777270097</c:v>
                </c:pt>
                <c:pt idx="18">
                  <c:v>-94565707.265157938</c:v>
                </c:pt>
                <c:pt idx="19">
                  <c:v>-19749312.542972811</c:v>
                </c:pt>
                <c:pt idx="20">
                  <c:v>-19765771.20917356</c:v>
                </c:pt>
                <c:pt idx="21">
                  <c:v>-19775140.387675546</c:v>
                </c:pt>
                <c:pt idx="22">
                  <c:v>-21363853.537102792</c:v>
                </c:pt>
                <c:pt idx="23">
                  <c:v>-20103731.767297979</c:v>
                </c:pt>
                <c:pt idx="24">
                  <c:v>37211369.814865172</c:v>
                </c:pt>
                <c:pt idx="25">
                  <c:v>-658392.00378763676</c:v>
                </c:pt>
                <c:pt idx="26">
                  <c:v>-21008822.623602156</c:v>
                </c:pt>
                <c:pt idx="27">
                  <c:v>-19974343.192239232</c:v>
                </c:pt>
                <c:pt idx="28">
                  <c:v>-18804026.265306279</c:v>
                </c:pt>
                <c:pt idx="29">
                  <c:v>-17370999.896704953</c:v>
                </c:pt>
                <c:pt idx="30">
                  <c:v>-16023609.458345465</c:v>
                </c:pt>
                <c:pt idx="31">
                  <c:v>-14676557.532256551</c:v>
                </c:pt>
                <c:pt idx="32">
                  <c:v>-13171659.376874626</c:v>
                </c:pt>
                <c:pt idx="33">
                  <c:v>-11493577.53104277</c:v>
                </c:pt>
                <c:pt idx="34">
                  <c:v>-9625540.6284094751</c:v>
                </c:pt>
                <c:pt idx="35">
                  <c:v>-7549212.1603365913</c:v>
                </c:pt>
                <c:pt idx="36">
                  <c:v>-5134087.4116185755</c:v>
                </c:pt>
                <c:pt idx="37">
                  <c:v>-6523106.6910051182</c:v>
                </c:pt>
                <c:pt idx="38">
                  <c:v>-3732343.3519238159</c:v>
                </c:pt>
                <c:pt idx="39">
                  <c:v>18338522.229581565</c:v>
                </c:pt>
                <c:pt idx="40">
                  <c:v>18002567.188767262</c:v>
                </c:pt>
                <c:pt idx="41">
                  <c:v>21933861.441459805</c:v>
                </c:pt>
                <c:pt idx="42">
                  <c:v>26260547.839733362</c:v>
                </c:pt>
                <c:pt idx="43">
                  <c:v>21164978.418170683</c:v>
                </c:pt>
                <c:pt idx="44">
                  <c:v>26299103.901092537</c:v>
                </c:pt>
                <c:pt idx="45">
                  <c:v>32047460.182962723</c:v>
                </c:pt>
                <c:pt idx="46">
                  <c:v>43406573.705592848</c:v>
                </c:pt>
                <c:pt idx="47">
                  <c:v>50396719.000548698</c:v>
                </c:pt>
                <c:pt idx="48">
                  <c:v>53136192.023302779</c:v>
                </c:pt>
                <c:pt idx="49">
                  <c:v>62101570.058146566</c:v>
                </c:pt>
                <c:pt idx="50">
                  <c:v>67587123.554356039</c:v>
                </c:pt>
                <c:pt idx="51">
                  <c:v>58796560.797145948</c:v>
                </c:pt>
                <c:pt idx="52">
                  <c:v>68762676.553533971</c:v>
                </c:pt>
                <c:pt idx="53">
                  <c:v>70926856.102235317</c:v>
                </c:pt>
                <c:pt idx="54">
                  <c:v>78950319.955935627</c:v>
                </c:pt>
                <c:pt idx="55">
                  <c:v>102696075.00115804</c:v>
                </c:pt>
                <c:pt idx="56">
                  <c:v>15509229.772513479</c:v>
                </c:pt>
                <c:pt idx="57">
                  <c:v>27094769.272650093</c:v>
                </c:pt>
                <c:pt idx="58">
                  <c:v>39915433.360179484</c:v>
                </c:pt>
                <c:pt idx="59">
                  <c:v>54094107.199236155</c:v>
                </c:pt>
                <c:pt idx="60">
                  <c:v>69765477.786126643</c:v>
                </c:pt>
                <c:pt idx="61">
                  <c:v>87077133.087146759</c:v>
                </c:pt>
                <c:pt idx="62">
                  <c:v>106190761.12409094</c:v>
                </c:pt>
                <c:pt idx="63">
                  <c:v>127283457.9359816</c:v>
                </c:pt>
                <c:pt idx="64">
                  <c:v>150549154.13275144</c:v>
                </c:pt>
                <c:pt idx="65">
                  <c:v>176200170.6125311</c:v>
                </c:pt>
                <c:pt idx="66">
                  <c:v>204468914.94480678</c:v>
                </c:pt>
                <c:pt idx="67">
                  <c:v>240354764.7085444</c:v>
                </c:pt>
                <c:pt idx="68">
                  <c:v>274693399.08658028</c:v>
                </c:pt>
                <c:pt idx="69">
                  <c:v>312487322.96666825</c:v>
                </c:pt>
                <c:pt idx="70">
                  <c:v>358814568.04146481</c:v>
                </c:pt>
                <c:pt idx="71">
                  <c:v>404596672.19846928</c:v>
                </c:pt>
                <c:pt idx="72">
                  <c:v>405616928.67608309</c:v>
                </c:pt>
                <c:pt idx="73">
                  <c:v>463705528.19245958</c:v>
                </c:pt>
                <c:pt idx="74">
                  <c:v>474708770.25867361</c:v>
                </c:pt>
                <c:pt idx="75">
                  <c:v>540509141.15898132</c:v>
                </c:pt>
                <c:pt idx="76">
                  <c:v>612849944.61782742</c:v>
                </c:pt>
                <c:pt idx="77">
                  <c:v>692351694.08211565</c:v>
                </c:pt>
                <c:pt idx="78">
                  <c:v>785623485.05730259</c:v>
                </c:pt>
                <c:pt idx="79">
                  <c:v>881602318.2101531</c:v>
                </c:pt>
                <c:pt idx="80">
                  <c:v>986969146.86058903</c:v>
                </c:pt>
                <c:pt idx="81">
                  <c:v>1120400484.28159</c:v>
                </c:pt>
                <c:pt idx="82">
                  <c:v>1247450088.7673643</c:v>
                </c:pt>
                <c:pt idx="83">
                  <c:v>1392718759.4128709</c:v>
                </c:pt>
                <c:pt idx="84">
                  <c:v>0</c:v>
                </c:pt>
              </c:numCache>
            </c:numRef>
          </c:val>
        </c:ser>
        <c:ser>
          <c:idx val="5"/>
          <c:order val="5"/>
          <c:tx>
            <c:strRef>
              <c:f>'Dynamic Summary Financial'!$A$25</c:f>
              <c:strCache>
                <c:ptCount val="1"/>
                <c:pt idx="0">
                  <c:v>Future Capital Projects</c:v>
                </c:pt>
              </c:strCache>
            </c:strRef>
          </c:tx>
          <c:val>
            <c:numRef>
              <c:f>'Dynamic Summary Financial'!$B$25:$CH$25</c:f>
              <c:numCache>
                <c:formatCode>"$"#,##0_);[Red]\("$"#,##0\)</c:formatCode>
                <c:ptCount val="85"/>
                <c:pt idx="0">
                  <c:v>0</c:v>
                </c:pt>
                <c:pt idx="1">
                  <c:v>0</c:v>
                </c:pt>
                <c:pt idx="2">
                  <c:v>0</c:v>
                </c:pt>
                <c:pt idx="3">
                  <c:v>0</c:v>
                </c:pt>
                <c:pt idx="4">
                  <c:v>0</c:v>
                </c:pt>
                <c:pt idx="5">
                  <c:v>0</c:v>
                </c:pt>
                <c:pt idx="6">
                  <c:v>-3997128</c:v>
                </c:pt>
                <c:pt idx="7">
                  <c:v>-22602825.708319999</c:v>
                </c:pt>
                <c:pt idx="8">
                  <c:v>-44232421.874828801</c:v>
                </c:pt>
                <c:pt idx="9">
                  <c:v>-12388439.332529277</c:v>
                </c:pt>
                <c:pt idx="10">
                  <c:v>-77847195.995328158</c:v>
                </c:pt>
                <c:pt idx="11">
                  <c:v>-74707249.30469273</c:v>
                </c:pt>
                <c:pt idx="12">
                  <c:v>-4839047.698790866</c:v>
                </c:pt>
                <c:pt idx="13">
                  <c:v>-18154344.433622975</c:v>
                </c:pt>
                <c:pt idx="14">
                  <c:v>-18841536.674579106</c:v>
                </c:pt>
                <c:pt idx="15">
                  <c:v>-19555047.15908182</c:v>
                </c:pt>
                <c:pt idx="16">
                  <c:v>-15646112.230723059</c:v>
                </c:pt>
                <c:pt idx="17">
                  <c:v>-16229360.542638468</c:v>
                </c:pt>
                <c:pt idx="18">
                  <c:v>-4519028.4511904642</c:v>
                </c:pt>
                <c:pt idx="19">
                  <c:v>-4654599.3047261778</c:v>
                </c:pt>
                <c:pt idx="20">
                  <c:v>-4794237.2838679636</c:v>
                </c:pt>
                <c:pt idx="21">
                  <c:v>-11864770.192795221</c:v>
                </c:pt>
                <c:pt idx="22">
                  <c:v>-5086206.3344555218</c:v>
                </c:pt>
                <c:pt idx="23">
                  <c:v>-42698417.439033054</c:v>
                </c:pt>
                <c:pt idx="24">
                  <c:v>-44353966.211349495</c:v>
                </c:pt>
                <c:pt idx="25">
                  <c:v>-46074165.296801232</c:v>
                </c:pt>
                <c:pt idx="26">
                  <c:v>-16258815.918875866</c:v>
                </c:pt>
                <c:pt idx="27">
                  <c:v>-16851922.855241828</c:v>
                </c:pt>
                <c:pt idx="28">
                  <c:v>-6073196.3542769626</c:v>
                </c:pt>
                <c:pt idx="29">
                  <c:v>-6255392.2449052716</c:v>
                </c:pt>
                <c:pt idx="30">
                  <c:v>-6443054.0122524295</c:v>
                </c:pt>
                <c:pt idx="31">
                  <c:v>-6636345.6326200021</c:v>
                </c:pt>
                <c:pt idx="32">
                  <c:v>-6835436.0015986031</c:v>
                </c:pt>
                <c:pt idx="33">
                  <c:v>-7040499.0816465598</c:v>
                </c:pt>
                <c:pt idx="34">
                  <c:v>-7251714.0540959565</c:v>
                </c:pt>
                <c:pt idx="35">
                  <c:v>-7469265.4757188344</c:v>
                </c:pt>
                <c:pt idx="36">
                  <c:v>-7693343.4399904003</c:v>
                </c:pt>
                <c:pt idx="37">
                  <c:v>-7924143.7431901135</c:v>
                </c:pt>
                <c:pt idx="38">
                  <c:v>-8161868.0554858148</c:v>
                </c:pt>
                <c:pt idx="39">
                  <c:v>-8406724.0971503891</c:v>
                </c:pt>
                <c:pt idx="40">
                  <c:v>-8658925.8200649004</c:v>
                </c:pt>
                <c:pt idx="41">
                  <c:v>-8918693.594666848</c:v>
                </c:pt>
                <c:pt idx="42">
                  <c:v>-9186254.4025068544</c:v>
                </c:pt>
                <c:pt idx="43">
                  <c:v>-9461842.034582058</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er>
        <c:ser>
          <c:idx val="6"/>
          <c:order val="6"/>
          <c:tx>
            <c:strRef>
              <c:f>'Dynamic Summary Financial'!$A$26</c:f>
              <c:strCache>
                <c:ptCount val="1"/>
                <c:pt idx="0">
                  <c:v>Total Net Revenues Prior to General Obligation Bonds</c:v>
                </c:pt>
              </c:strCache>
            </c:strRef>
          </c:tx>
          <c:val>
            <c:numRef>
              <c:f>'Dynamic Summary Financial'!$B$26:$CH$26</c:f>
              <c:numCache>
                <c:formatCode>"$"#,##0_);[Red]\("$"#,##0\)</c:formatCode>
                <c:ptCount val="85"/>
                <c:pt idx="0">
                  <c:v>0</c:v>
                </c:pt>
                <c:pt idx="1">
                  <c:v>13577455</c:v>
                </c:pt>
                <c:pt idx="2">
                  <c:v>17236329</c:v>
                </c:pt>
                <c:pt idx="3">
                  <c:v>14525639</c:v>
                </c:pt>
                <c:pt idx="4">
                  <c:v>12814687</c:v>
                </c:pt>
                <c:pt idx="5">
                  <c:v>10638844</c:v>
                </c:pt>
                <c:pt idx="6">
                  <c:v>8601702.9970039986</c:v>
                </c:pt>
                <c:pt idx="7">
                  <c:v>11267855.371322239</c:v>
                </c:pt>
                <c:pt idx="8">
                  <c:v>11203625.182740951</c:v>
                </c:pt>
                <c:pt idx="9">
                  <c:v>13606509.804822352</c:v>
                </c:pt>
                <c:pt idx="10">
                  <c:v>13481662.126397757</c:v>
                </c:pt>
                <c:pt idx="11">
                  <c:v>12703642.527407458</c:v>
                </c:pt>
                <c:pt idx="12">
                  <c:v>11963538.576386325</c:v>
                </c:pt>
                <c:pt idx="13">
                  <c:v>11925259.832097091</c:v>
                </c:pt>
                <c:pt idx="14">
                  <c:v>11758854.955434926</c:v>
                </c:pt>
                <c:pt idx="15">
                  <c:v>11593624.426888779</c:v>
                </c:pt>
                <c:pt idx="16">
                  <c:v>11655095.941274419</c:v>
                </c:pt>
                <c:pt idx="17">
                  <c:v>11500341.70902</c:v>
                </c:pt>
                <c:pt idx="18">
                  <c:v>-67377258.778867841</c:v>
                </c:pt>
                <c:pt idx="19">
                  <c:v>8637029.3870847002</c:v>
                </c:pt>
                <c:pt idx="20">
                  <c:v>8621215.7208839525</c:v>
                </c:pt>
                <c:pt idx="21">
                  <c:v>8621726.5423819628</c:v>
                </c:pt>
                <c:pt idx="22">
                  <c:v>9168408.2558603734</c:v>
                </c:pt>
                <c:pt idx="23">
                  <c:v>8752700.0256651863</c:v>
                </c:pt>
                <c:pt idx="24">
                  <c:v>66067801.607828334</c:v>
                </c:pt>
                <c:pt idx="25">
                  <c:v>34525954.400429547</c:v>
                </c:pt>
                <c:pt idx="26">
                  <c:v>14175523.780615028</c:v>
                </c:pt>
                <c:pt idx="27">
                  <c:v>15210003.211977951</c:v>
                </c:pt>
                <c:pt idx="28">
                  <c:v>16380320.138910905</c:v>
                </c:pt>
                <c:pt idx="29">
                  <c:v>17813346.50751223</c:v>
                </c:pt>
                <c:pt idx="30">
                  <c:v>19160736.945871718</c:v>
                </c:pt>
                <c:pt idx="31">
                  <c:v>20507788.871960633</c:v>
                </c:pt>
                <c:pt idx="32">
                  <c:v>22012687.027342558</c:v>
                </c:pt>
                <c:pt idx="33">
                  <c:v>23690768.873174414</c:v>
                </c:pt>
                <c:pt idx="34">
                  <c:v>25558805.775807709</c:v>
                </c:pt>
                <c:pt idx="35">
                  <c:v>27635134.243880592</c:v>
                </c:pt>
                <c:pt idx="36">
                  <c:v>29939798.992598608</c:v>
                </c:pt>
                <c:pt idx="37">
                  <c:v>33295813.488281712</c:v>
                </c:pt>
                <c:pt idx="38">
                  <c:v>36086576.827363014</c:v>
                </c:pt>
                <c:pt idx="39">
                  <c:v>39177307.308589794</c:v>
                </c:pt>
                <c:pt idx="40">
                  <c:v>43586386.042845137</c:v>
                </c:pt>
                <c:pt idx="41">
                  <c:v>47517680.29553768</c:v>
                </c:pt>
                <c:pt idx="42">
                  <c:v>51844366.693811238</c:v>
                </c:pt>
                <c:pt idx="43">
                  <c:v>57153704.297444299</c:v>
                </c:pt>
                <c:pt idx="44">
                  <c:v>62287829.780366153</c:v>
                </c:pt>
                <c:pt idx="45">
                  <c:v>68036186.062236339</c:v>
                </c:pt>
                <c:pt idx="46">
                  <c:v>74353701.198854968</c:v>
                </c:pt>
                <c:pt idx="47">
                  <c:v>81343846.493810818</c:v>
                </c:pt>
                <c:pt idx="48">
                  <c:v>90014611.735401958</c:v>
                </c:pt>
                <c:pt idx="49">
                  <c:v>97793731.326478332</c:v>
                </c:pt>
                <c:pt idx="50">
                  <c:v>103279284.8226878</c:v>
                </c:pt>
                <c:pt idx="51">
                  <c:v>112282598.7219889</c:v>
                </c:pt>
                <c:pt idx="52">
                  <c:v>118710734.61547127</c:v>
                </c:pt>
                <c:pt idx="53">
                  <c:v>126806206.38300967</c:v>
                </c:pt>
                <c:pt idx="54">
                  <c:v>134829670.23670998</c:v>
                </c:pt>
                <c:pt idx="55">
                  <c:v>145104814.36584303</c:v>
                </c:pt>
                <c:pt idx="56">
                  <c:v>176543813.51393968</c:v>
                </c:pt>
                <c:pt idx="57">
                  <c:v>188129353.01407629</c:v>
                </c:pt>
                <c:pt idx="58">
                  <c:v>200950017.10160568</c:v>
                </c:pt>
                <c:pt idx="59">
                  <c:v>215128690.94066235</c:v>
                </c:pt>
                <c:pt idx="60">
                  <c:v>230800061.52755284</c:v>
                </c:pt>
                <c:pt idx="61">
                  <c:v>248111716.82857296</c:v>
                </c:pt>
                <c:pt idx="62">
                  <c:v>267225344.86551714</c:v>
                </c:pt>
                <c:pt idx="63">
                  <c:v>288318041.6774078</c:v>
                </c:pt>
                <c:pt idx="64">
                  <c:v>311583737.87417763</c:v>
                </c:pt>
                <c:pt idx="65">
                  <c:v>337234754.3539573</c:v>
                </c:pt>
                <c:pt idx="66">
                  <c:v>365503498.68623298</c:v>
                </c:pt>
                <c:pt idx="67">
                  <c:v>396644314.67490095</c:v>
                </c:pt>
                <c:pt idx="68">
                  <c:v>430982949.05293685</c:v>
                </c:pt>
                <c:pt idx="69">
                  <c:v>468776872.93302476</c:v>
                </c:pt>
                <c:pt idx="70">
                  <c:v>510359084.23275173</c:v>
                </c:pt>
                <c:pt idx="71">
                  <c:v>556141188.3897562</c:v>
                </c:pt>
                <c:pt idx="72">
                  <c:v>616474367.05574059</c:v>
                </c:pt>
                <c:pt idx="73">
                  <c:v>671300755.85175669</c:v>
                </c:pt>
                <c:pt idx="74">
                  <c:v>741616920.10634136</c:v>
                </c:pt>
                <c:pt idx="75">
                  <c:v>807417291.00664914</c:v>
                </c:pt>
                <c:pt idx="76">
                  <c:v>879758094.46549523</c:v>
                </c:pt>
                <c:pt idx="77">
                  <c:v>959259843.92978346</c:v>
                </c:pt>
                <c:pt idx="78">
                  <c:v>1046600342.6861333</c:v>
                </c:pt>
                <c:pt idx="79">
                  <c:v>1142579175.8389838</c:v>
                </c:pt>
                <c:pt idx="80">
                  <c:v>1247946004.4894197</c:v>
                </c:pt>
                <c:pt idx="81">
                  <c:v>1363583465.2539096</c:v>
                </c:pt>
                <c:pt idx="82">
                  <c:v>1490633069.7396839</c:v>
                </c:pt>
                <c:pt idx="83">
                  <c:v>1629970448.1663532</c:v>
                </c:pt>
                <c:pt idx="84">
                  <c:v>0</c:v>
                </c:pt>
              </c:numCache>
            </c:numRef>
          </c:val>
        </c:ser>
        <c:ser>
          <c:idx val="7"/>
          <c:order val="7"/>
          <c:tx>
            <c:strRef>
              <c:f>'Dynamic Summary Financial'!$A$27</c:f>
              <c:strCache>
                <c:ptCount val="1"/>
                <c:pt idx="0">
                  <c:v>Total Net Revenues After General Obligation Bonds</c:v>
                </c:pt>
              </c:strCache>
            </c:strRef>
          </c:tx>
          <c:val>
            <c:numRef>
              <c:f>'Dynamic Summary Financial'!$B$27:$CH$27</c:f>
              <c:numCache>
                <c:formatCode>"$"#,##0_);[Red]\("$"#,##0\)</c:formatCode>
                <c:ptCount val="85"/>
                <c:pt idx="0">
                  <c:v>0</c:v>
                </c:pt>
                <c:pt idx="1">
                  <c:v>13577455</c:v>
                </c:pt>
                <c:pt idx="2">
                  <c:v>17236329</c:v>
                </c:pt>
                <c:pt idx="3">
                  <c:v>14525639</c:v>
                </c:pt>
                <c:pt idx="4">
                  <c:v>10701464.85</c:v>
                </c:pt>
                <c:pt idx="5">
                  <c:v>10055294</c:v>
                </c:pt>
                <c:pt idx="6">
                  <c:v>7995452.9970039986</c:v>
                </c:pt>
                <c:pt idx="7">
                  <c:v>10669405.371322239</c:v>
                </c:pt>
                <c:pt idx="8">
                  <c:v>10616250.182740951</c:v>
                </c:pt>
                <c:pt idx="9">
                  <c:v>13007409.804822352</c:v>
                </c:pt>
                <c:pt idx="10">
                  <c:v>12880462.126397757</c:v>
                </c:pt>
                <c:pt idx="11">
                  <c:v>12109142.527407458</c:v>
                </c:pt>
                <c:pt idx="12">
                  <c:v>11963538.576386325</c:v>
                </c:pt>
                <c:pt idx="13">
                  <c:v>11925259.832097091</c:v>
                </c:pt>
                <c:pt idx="14">
                  <c:v>11758854.955434926</c:v>
                </c:pt>
                <c:pt idx="15">
                  <c:v>11593624.426888779</c:v>
                </c:pt>
                <c:pt idx="16">
                  <c:v>11655095.941274419</c:v>
                </c:pt>
                <c:pt idx="17">
                  <c:v>11500341.70902</c:v>
                </c:pt>
                <c:pt idx="18">
                  <c:v>-67377258.778867841</c:v>
                </c:pt>
                <c:pt idx="19">
                  <c:v>8637029.3870847002</c:v>
                </c:pt>
                <c:pt idx="20">
                  <c:v>8621215.7208839525</c:v>
                </c:pt>
                <c:pt idx="21">
                  <c:v>8621726.5423819628</c:v>
                </c:pt>
                <c:pt idx="22">
                  <c:v>9168408.2558603734</c:v>
                </c:pt>
                <c:pt idx="23">
                  <c:v>8752700.0256651863</c:v>
                </c:pt>
                <c:pt idx="24">
                  <c:v>66067801.607828334</c:v>
                </c:pt>
                <c:pt idx="25">
                  <c:v>34525954.400429547</c:v>
                </c:pt>
                <c:pt idx="26">
                  <c:v>14175523.780615028</c:v>
                </c:pt>
                <c:pt idx="27">
                  <c:v>15210003.211977951</c:v>
                </c:pt>
                <c:pt idx="28">
                  <c:v>16380320.138910905</c:v>
                </c:pt>
                <c:pt idx="29">
                  <c:v>17813346.50751223</c:v>
                </c:pt>
                <c:pt idx="30">
                  <c:v>19160736.945871718</c:v>
                </c:pt>
                <c:pt idx="31">
                  <c:v>20507788.871960633</c:v>
                </c:pt>
                <c:pt idx="32">
                  <c:v>22012687.027342558</c:v>
                </c:pt>
                <c:pt idx="33">
                  <c:v>23690768.873174414</c:v>
                </c:pt>
                <c:pt idx="34">
                  <c:v>25558805.775807709</c:v>
                </c:pt>
                <c:pt idx="35">
                  <c:v>27635134.243880592</c:v>
                </c:pt>
                <c:pt idx="36">
                  <c:v>29939798.992598608</c:v>
                </c:pt>
                <c:pt idx="37">
                  <c:v>33295813.488281712</c:v>
                </c:pt>
                <c:pt idx="38">
                  <c:v>36086576.827363014</c:v>
                </c:pt>
                <c:pt idx="39">
                  <c:v>39177307.308589794</c:v>
                </c:pt>
                <c:pt idx="40">
                  <c:v>43586386.042845137</c:v>
                </c:pt>
                <c:pt idx="41">
                  <c:v>47517680.29553768</c:v>
                </c:pt>
                <c:pt idx="42">
                  <c:v>51844366.693811238</c:v>
                </c:pt>
                <c:pt idx="43">
                  <c:v>57153704.297444299</c:v>
                </c:pt>
                <c:pt idx="44">
                  <c:v>62287829.780366153</c:v>
                </c:pt>
                <c:pt idx="45">
                  <c:v>68036186.062236339</c:v>
                </c:pt>
                <c:pt idx="46">
                  <c:v>74353701.198854968</c:v>
                </c:pt>
                <c:pt idx="47">
                  <c:v>81343846.493810818</c:v>
                </c:pt>
                <c:pt idx="48">
                  <c:v>90014611.735401958</c:v>
                </c:pt>
                <c:pt idx="49">
                  <c:v>97793731.326478332</c:v>
                </c:pt>
                <c:pt idx="50">
                  <c:v>103279284.8226878</c:v>
                </c:pt>
                <c:pt idx="51">
                  <c:v>112282598.7219889</c:v>
                </c:pt>
                <c:pt idx="52">
                  <c:v>118710734.61547127</c:v>
                </c:pt>
                <c:pt idx="53">
                  <c:v>126806206.38300967</c:v>
                </c:pt>
                <c:pt idx="54">
                  <c:v>134829670.23670998</c:v>
                </c:pt>
                <c:pt idx="55">
                  <c:v>145104814.36584303</c:v>
                </c:pt>
                <c:pt idx="56">
                  <c:v>176543813.51393968</c:v>
                </c:pt>
                <c:pt idx="57">
                  <c:v>188129353.01407629</c:v>
                </c:pt>
                <c:pt idx="58">
                  <c:v>200950017.10160568</c:v>
                </c:pt>
                <c:pt idx="59">
                  <c:v>215128690.94066235</c:v>
                </c:pt>
                <c:pt idx="60">
                  <c:v>230800061.52755284</c:v>
                </c:pt>
                <c:pt idx="61">
                  <c:v>248111716.82857296</c:v>
                </c:pt>
                <c:pt idx="62">
                  <c:v>267225344.86551714</c:v>
                </c:pt>
                <c:pt idx="63">
                  <c:v>288318041.6774078</c:v>
                </c:pt>
                <c:pt idx="64">
                  <c:v>311583737.87417763</c:v>
                </c:pt>
                <c:pt idx="65">
                  <c:v>337234754.3539573</c:v>
                </c:pt>
                <c:pt idx="66">
                  <c:v>365503498.68623298</c:v>
                </c:pt>
                <c:pt idx="67">
                  <c:v>396644314.67490095</c:v>
                </c:pt>
                <c:pt idx="68">
                  <c:v>430982949.05293685</c:v>
                </c:pt>
                <c:pt idx="69">
                  <c:v>468776872.93302476</c:v>
                </c:pt>
                <c:pt idx="70">
                  <c:v>510359084.23275173</c:v>
                </c:pt>
                <c:pt idx="71">
                  <c:v>556141188.3897562</c:v>
                </c:pt>
                <c:pt idx="72">
                  <c:v>616474367.05574059</c:v>
                </c:pt>
                <c:pt idx="73">
                  <c:v>671300755.85175669</c:v>
                </c:pt>
                <c:pt idx="74">
                  <c:v>741616920.10634136</c:v>
                </c:pt>
                <c:pt idx="75">
                  <c:v>807417291.00664914</c:v>
                </c:pt>
                <c:pt idx="76">
                  <c:v>879758094.46549523</c:v>
                </c:pt>
                <c:pt idx="77">
                  <c:v>959259843.92978346</c:v>
                </c:pt>
                <c:pt idx="78">
                  <c:v>1046600342.6861333</c:v>
                </c:pt>
                <c:pt idx="79">
                  <c:v>1142579175.8389838</c:v>
                </c:pt>
                <c:pt idx="80">
                  <c:v>1247946004.4894197</c:v>
                </c:pt>
                <c:pt idx="81">
                  <c:v>1363583465.2539096</c:v>
                </c:pt>
                <c:pt idx="82">
                  <c:v>1490633069.7396839</c:v>
                </c:pt>
                <c:pt idx="83">
                  <c:v>1629970448.1663532</c:v>
                </c:pt>
                <c:pt idx="84">
                  <c:v>0</c:v>
                </c:pt>
              </c:numCache>
            </c:numRef>
          </c:val>
        </c:ser>
        <c:dLbls>
          <c:showLegendKey val="0"/>
          <c:showVal val="0"/>
          <c:showCatName val="0"/>
          <c:showSerName val="0"/>
          <c:showPercent val="0"/>
          <c:showBubbleSize val="0"/>
        </c:dLbls>
        <c:axId val="403149008"/>
        <c:axId val="403149400"/>
      </c:areaChart>
      <c:catAx>
        <c:axId val="403149008"/>
        <c:scaling>
          <c:orientation val="minMax"/>
        </c:scaling>
        <c:delete val="0"/>
        <c:axPos val="b"/>
        <c:majorTickMark val="out"/>
        <c:minorTickMark val="none"/>
        <c:tickLblPos val="nextTo"/>
        <c:crossAx val="403149400"/>
        <c:crossesAt val="0"/>
        <c:auto val="1"/>
        <c:lblAlgn val="ctr"/>
        <c:lblOffset val="100"/>
        <c:noMultiLvlLbl val="0"/>
      </c:catAx>
      <c:valAx>
        <c:axId val="403149400"/>
        <c:scaling>
          <c:orientation val="minMax"/>
        </c:scaling>
        <c:delete val="0"/>
        <c:axPos val="l"/>
        <c:majorGridlines/>
        <c:numFmt formatCode="&quot;$&quot;#,##0_);[Red]\(&quot;$&quot;#,##0\)" sourceLinked="1"/>
        <c:majorTickMark val="out"/>
        <c:minorTickMark val="none"/>
        <c:tickLblPos val="nextTo"/>
        <c:crossAx val="403149008"/>
        <c:crosses val="autoZero"/>
        <c:crossBetween val="midCat"/>
      </c:valAx>
    </c:plotArea>
    <c:legend>
      <c:legendPos val="r"/>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latin typeface="Arial Narrow" pitchFamily="34" charset="0"/>
              </a:rPr>
              <a:t>Existing WCWCD</a:t>
            </a:r>
            <a:r>
              <a:rPr lang="en-US" sz="1600" baseline="0">
                <a:latin typeface="Arial Narrow" pitchFamily="34" charset="0"/>
              </a:rPr>
              <a:t> Water Supply and Planned and Anticipated Additional Capacity</a:t>
            </a:r>
          </a:p>
        </c:rich>
      </c:tx>
      <c:layout>
        <c:manualLayout>
          <c:xMode val="edge"/>
          <c:yMode val="edge"/>
          <c:x val="0.14359497987015948"/>
          <c:y val="0.11518268125997347"/>
        </c:manualLayout>
      </c:layout>
      <c:overlay val="0"/>
    </c:title>
    <c:autoTitleDeleted val="0"/>
    <c:plotArea>
      <c:layout>
        <c:manualLayout>
          <c:layoutTarget val="inner"/>
          <c:xMode val="edge"/>
          <c:yMode val="edge"/>
          <c:x val="6.9877134133111002E-2"/>
          <c:y val="0.18635106707469881"/>
          <c:w val="0.9139994330830218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v>Anticipated Additional Capacity (AF)</c:v>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98996400"/>
        <c:axId val="398995224"/>
      </c:areaChart>
      <c:lineChart>
        <c:grouping val="standard"/>
        <c:varyColors val="0"/>
        <c:ser>
          <c:idx val="4"/>
          <c:order val="4"/>
          <c:tx>
            <c:v>Anticipated Demand (AF)</c:v>
          </c:tx>
          <c:spPr>
            <a:ln w="63500">
              <a:solidFill>
                <a:schemeClr val="accent6">
                  <a:lumMod val="75000"/>
                </a:schemeClr>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Population'!$G$14:$G$66</c:f>
              <c:numCache>
                <c:formatCode>_(* #,##0_);_(* \(#,##0\);_(* "-"??_);_(@_)</c:formatCode>
                <c:ptCount val="53"/>
                <c:pt idx="0">
                  <c:v>40966.094557823133</c:v>
                </c:pt>
                <c:pt idx="1">
                  <c:v>41225.405442176867</c:v>
                </c:pt>
                <c:pt idx="2">
                  <c:v>42005.880952380954</c:v>
                </c:pt>
                <c:pt idx="3">
                  <c:v>43498.820368485714</c:v>
                </c:pt>
                <c:pt idx="4">
                  <c:v>45044.820642966151</c:v>
                </c:pt>
                <c:pt idx="5">
                  <c:v>46126</c:v>
                </c:pt>
                <c:pt idx="6">
                  <c:v>47108.022114158157</c:v>
                </c:pt>
                <c:pt idx="7">
                  <c:v>48450.600744411669</c:v>
                </c:pt>
                <c:pt idx="8">
                  <c:v>49831.442865627418</c:v>
                </c:pt>
                <c:pt idx="9">
                  <c:v>51251.638987297774</c:v>
                </c:pt>
                <c:pt idx="10">
                  <c:v>52712.310698435766</c:v>
                </c:pt>
                <c:pt idx="11">
                  <c:v>54214.611553341179</c:v>
                </c:pt>
                <c:pt idx="12">
                  <c:v>55759.727982611403</c:v>
                </c:pt>
                <c:pt idx="13">
                  <c:v>57348.880230115828</c:v>
                </c:pt>
                <c:pt idx="14">
                  <c:v>58983.323316674119</c:v>
                </c:pt>
                <c:pt idx="15">
                  <c:v>60664.348031199326</c:v>
                </c:pt>
                <c:pt idx="16">
                  <c:v>62393.281950088516</c:v>
                </c:pt>
                <c:pt idx="17">
                  <c:v>64171.490485666021</c:v>
                </c:pt>
                <c:pt idx="18">
                  <c:v>66000.377964507497</c:v>
                </c:pt>
                <c:pt idx="19">
                  <c:v>67881.388736495981</c:v>
                </c:pt>
                <c:pt idx="20">
                  <c:v>69816.00831548612</c:v>
                </c:pt>
                <c:pt idx="21">
                  <c:v>71805.764552477456</c:v>
                </c:pt>
                <c:pt idx="22">
                  <c:v>73852.228842223063</c:v>
                </c:pt>
                <c:pt idx="23">
                  <c:v>75957.017364226413</c:v>
                </c:pt>
                <c:pt idx="24">
                  <c:v>78121.792359106868</c:v>
                </c:pt>
                <c:pt idx="25">
                  <c:v>80348.263441341405</c:v>
                </c:pt>
                <c:pt idx="26">
                  <c:v>82638.188949419622</c:v>
                </c:pt>
                <c:pt idx="27">
                  <c:v>84993.377334478078</c:v>
                </c:pt>
                <c:pt idx="28">
                  <c:v>87415.688588510733</c:v>
                </c:pt>
                <c:pt idx="29">
                  <c:v>89907.035713283272</c:v>
                </c:pt>
                <c:pt idx="30">
                  <c:v>92469.386231111857</c:v>
                </c:pt>
                <c:pt idx="31">
                  <c:v>95104.76373869853</c:v>
                </c:pt>
                <c:pt idx="32">
                  <c:v>97815.249505251413</c:v>
                </c:pt>
                <c:pt idx="33">
                  <c:v>100602.98411615108</c:v>
                </c:pt>
                <c:pt idx="34">
                  <c:v>103470.16916346138</c:v>
                </c:pt>
                <c:pt idx="35">
                  <c:v>106419.06898462003</c:v>
                </c:pt>
                <c:pt idx="36">
                  <c:v>109452.01245068172</c:v>
                </c:pt>
                <c:pt idx="37">
                  <c:v>112571.39480552611</c:v>
                </c:pt>
                <c:pt idx="38">
                  <c:v>115779.6795574836</c:v>
                </c:pt>
                <c:pt idx="39">
                  <c:v>119079.40042487188</c:v>
                </c:pt>
                <c:pt idx="40">
                  <c:v>122473.16333698072</c:v>
                </c:pt>
                <c:pt idx="41">
                  <c:v>125963.64849208464</c:v>
                </c:pt>
                <c:pt idx="42">
                  <c:v>129553.61247410912</c:v>
                </c:pt>
                <c:pt idx="43">
                  <c:v>133245.89042962118</c:v>
                </c:pt>
                <c:pt idx="44">
                  <c:v>137043.39830686539</c:v>
                </c:pt>
                <c:pt idx="45">
                  <c:v>140949.13515861102</c:v>
                </c:pt>
                <c:pt idx="46">
                  <c:v>144966.18551063148</c:v>
                </c:pt>
                <c:pt idx="47">
                  <c:v>149097.7217976845</c:v>
                </c:pt>
                <c:pt idx="48">
                  <c:v>153347.00686891848</c:v>
                </c:pt>
                <c:pt idx="49">
                  <c:v>157717.39656468263</c:v>
                </c:pt>
                <c:pt idx="50">
                  <c:v>162212.34236677608</c:v>
                </c:pt>
                <c:pt idx="51">
                  <c:v>166835.39412422921</c:v>
                </c:pt>
                <c:pt idx="52">
                  <c:v>171590.20285676973</c:v>
                </c:pt>
              </c:numCache>
            </c:numRef>
          </c:val>
          <c:smooth val="0"/>
        </c:ser>
        <c:dLbls>
          <c:showLegendKey val="0"/>
          <c:showVal val="0"/>
          <c:showCatName val="0"/>
          <c:showSerName val="0"/>
          <c:showPercent val="0"/>
          <c:showBubbleSize val="0"/>
        </c:dLbls>
        <c:marker val="1"/>
        <c:smooth val="0"/>
        <c:axId val="398996400"/>
        <c:axId val="398995224"/>
      </c:lineChart>
      <c:catAx>
        <c:axId val="398996400"/>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8995224"/>
        <c:crosses val="autoZero"/>
        <c:auto val="0"/>
        <c:lblAlgn val="ctr"/>
        <c:lblOffset val="100"/>
        <c:tickLblSkip val="5"/>
        <c:noMultiLvlLbl val="1"/>
      </c:catAx>
      <c:valAx>
        <c:axId val="398995224"/>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8996400"/>
        <c:crossesAt val="1"/>
        <c:crossBetween val="midCat"/>
      </c:valAx>
    </c:plotArea>
    <c:legend>
      <c:legendPos val="r"/>
      <c:legendEntry>
        <c:idx val="3"/>
        <c:txPr>
          <a:bodyPr/>
          <a:lstStyle/>
          <a:p>
            <a:pPr>
              <a:defRPr sz="1400">
                <a:latin typeface="Arial Narrow" pitchFamily="34" charset="0"/>
              </a:defRPr>
            </a:pPr>
            <a:endParaRPr lang="en-US"/>
          </a:p>
        </c:txPr>
      </c:legendEntry>
      <c:layout>
        <c:manualLayout>
          <c:xMode val="edge"/>
          <c:yMode val="edge"/>
          <c:x val="8.1341411966221244E-2"/>
          <c:y val="0.19216538012634266"/>
          <c:w val="0.33484810912847618"/>
          <c:h val="0.19091061358586536"/>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latin typeface="Arial Narrow" pitchFamily="34" charset="0"/>
              </a:rPr>
              <a:t>Existing WCWCD</a:t>
            </a:r>
            <a:r>
              <a:rPr lang="en-US" sz="1600" baseline="0">
                <a:latin typeface="Arial Narrow" pitchFamily="34" charset="0"/>
              </a:rPr>
              <a:t> Water Supply and Planned and Selected Additional Capacity</a:t>
            </a:r>
          </a:p>
        </c:rich>
      </c:tx>
      <c:layout>
        <c:manualLayout>
          <c:xMode val="edge"/>
          <c:yMode val="edge"/>
          <c:x val="0.14359497987015948"/>
          <c:y val="0.11518268125997347"/>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solidFill>
              <a:schemeClr val="accent3">
                <a:lumMod val="75000"/>
              </a:schemeClr>
            </a:solidFill>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98999928"/>
        <c:axId val="399002672"/>
      </c:areaChart>
      <c:lineChart>
        <c:grouping val="standard"/>
        <c:varyColors val="0"/>
        <c:ser>
          <c:idx val="4"/>
          <c:order val="4"/>
          <c:tx>
            <c:strRef>
              <c:f>'Dynamic Population'!$S$13</c:f>
              <c:strCache>
                <c:ptCount val="1"/>
                <c:pt idx="0">
                  <c:v>Anticipated Supply after Evaporation</c:v>
                </c:pt>
              </c:strCache>
            </c:strRef>
          </c:tx>
          <c:spPr>
            <a:ln w="88900" cap="sq">
              <a:solidFill>
                <a:srgbClr val="D50909"/>
              </a:solidFill>
              <a:prstDash val="sysDot"/>
              <a:miter lim="800000"/>
            </a:ln>
          </c:spPr>
          <c:marker>
            <c:symbol val="none"/>
          </c:marker>
          <c:cat>
            <c:numRef>
              <c:f>'Dynamic Population'!$A$14:$A$72</c:f>
              <c:numCache>
                <c:formatCode>0</c:formatCode>
                <c:ptCount val="5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dLbls>
          <c:showLegendKey val="0"/>
          <c:showVal val="0"/>
          <c:showCatName val="0"/>
          <c:showSerName val="0"/>
          <c:showPercent val="0"/>
          <c:showBubbleSize val="0"/>
        </c:dLbls>
        <c:marker val="1"/>
        <c:smooth val="0"/>
        <c:axId val="398999928"/>
        <c:axId val="399002672"/>
      </c:lineChart>
      <c:catAx>
        <c:axId val="398999928"/>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9002672"/>
        <c:crosses val="autoZero"/>
        <c:auto val="0"/>
        <c:lblAlgn val="ctr"/>
        <c:lblOffset val="100"/>
        <c:tickLblSkip val="5"/>
        <c:noMultiLvlLbl val="1"/>
      </c:catAx>
      <c:valAx>
        <c:axId val="399002672"/>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8999928"/>
        <c:crosses val="autoZero"/>
        <c:crossBetween val="midCat"/>
      </c:valAx>
    </c:plotArea>
    <c:legend>
      <c:legendPos val="r"/>
      <c:legendEntry>
        <c:idx val="3"/>
        <c:txPr>
          <a:bodyPr/>
          <a:lstStyle/>
          <a:p>
            <a:pPr>
              <a:defRPr sz="1400">
                <a:latin typeface="Arial Narrow" pitchFamily="34" charset="0"/>
              </a:defRPr>
            </a:pPr>
            <a:endParaRPr lang="en-US"/>
          </a:p>
        </c:txPr>
      </c:legendEntry>
      <c:layout>
        <c:manualLayout>
          <c:xMode val="edge"/>
          <c:yMode val="edge"/>
          <c:x val="7.6947340571902806E-2"/>
          <c:y val="0.19014371938457464"/>
          <c:w val="0.34401038334151263"/>
          <c:h val="0.19091061358586536"/>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latin typeface="Arial Narrow" pitchFamily="34" charset="0"/>
              </a:rPr>
              <a:t>WCWCD</a:t>
            </a:r>
            <a:r>
              <a:rPr lang="en-US" sz="1600" baseline="0">
                <a:latin typeface="Arial Narrow" pitchFamily="34" charset="0"/>
              </a:rPr>
              <a:t> Water Supply, and Anticipated Capacity and Demand</a:t>
            </a:r>
          </a:p>
        </c:rich>
      </c:tx>
      <c:layout>
        <c:manualLayout>
          <c:xMode val="edge"/>
          <c:yMode val="edge"/>
          <c:x val="0.20074810277043348"/>
          <c:y val="0.11720082139021661"/>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solidFill>
              <a:schemeClr val="accent3">
                <a:lumMod val="75000"/>
              </a:schemeClr>
            </a:solidFill>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99000320"/>
        <c:axId val="399000712"/>
      </c:areaChart>
      <c:lineChart>
        <c:grouping val="standard"/>
        <c:varyColors val="0"/>
        <c:ser>
          <c:idx val="4"/>
          <c:order val="4"/>
          <c:tx>
            <c:strRef>
              <c:f>'Dynamic Population'!$S$13</c:f>
              <c:strCache>
                <c:ptCount val="1"/>
                <c:pt idx="0">
                  <c:v>Anticipated Supply after Evaporation</c:v>
                </c:pt>
              </c:strCache>
            </c:strRef>
          </c:tx>
          <c:spPr>
            <a:ln w="88900" cap="sq">
              <a:solidFill>
                <a:srgbClr val="D50909"/>
              </a:solidFill>
              <a:prstDash val="sysDot"/>
              <a:miter lim="800000"/>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ser>
          <c:idx val="5"/>
          <c:order val="5"/>
          <c:tx>
            <c:v>Anticipated Demand (AF)</c:v>
          </c:tx>
          <c:spPr>
            <a:ln w="63500">
              <a:solidFill>
                <a:schemeClr val="accent6">
                  <a:lumMod val="75000"/>
                </a:schemeClr>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Population'!$G$14:$G$66</c:f>
              <c:numCache>
                <c:formatCode>_(* #,##0_);_(* \(#,##0\);_(* "-"??_);_(@_)</c:formatCode>
                <c:ptCount val="53"/>
                <c:pt idx="0">
                  <c:v>40966.094557823133</c:v>
                </c:pt>
                <c:pt idx="1">
                  <c:v>41225.405442176867</c:v>
                </c:pt>
                <c:pt idx="2">
                  <c:v>42005.880952380954</c:v>
                </c:pt>
                <c:pt idx="3">
                  <c:v>43498.820368485714</c:v>
                </c:pt>
                <c:pt idx="4">
                  <c:v>45044.820642966151</c:v>
                </c:pt>
                <c:pt idx="5">
                  <c:v>46126</c:v>
                </c:pt>
                <c:pt idx="6">
                  <c:v>47108.022114158157</c:v>
                </c:pt>
                <c:pt idx="7">
                  <c:v>48450.600744411669</c:v>
                </c:pt>
                <c:pt idx="8">
                  <c:v>49831.442865627418</c:v>
                </c:pt>
                <c:pt idx="9">
                  <c:v>51251.638987297774</c:v>
                </c:pt>
                <c:pt idx="10">
                  <c:v>52712.310698435766</c:v>
                </c:pt>
                <c:pt idx="11">
                  <c:v>54214.611553341179</c:v>
                </c:pt>
                <c:pt idx="12">
                  <c:v>55759.727982611403</c:v>
                </c:pt>
                <c:pt idx="13">
                  <c:v>57348.880230115828</c:v>
                </c:pt>
                <c:pt idx="14">
                  <c:v>58983.323316674119</c:v>
                </c:pt>
                <c:pt idx="15">
                  <c:v>60664.348031199326</c:v>
                </c:pt>
                <c:pt idx="16">
                  <c:v>62393.281950088516</c:v>
                </c:pt>
                <c:pt idx="17">
                  <c:v>64171.490485666021</c:v>
                </c:pt>
                <c:pt idx="18">
                  <c:v>66000.377964507497</c:v>
                </c:pt>
                <c:pt idx="19">
                  <c:v>67881.388736495981</c:v>
                </c:pt>
                <c:pt idx="20">
                  <c:v>69816.00831548612</c:v>
                </c:pt>
                <c:pt idx="21">
                  <c:v>71805.764552477456</c:v>
                </c:pt>
                <c:pt idx="22">
                  <c:v>73852.228842223063</c:v>
                </c:pt>
                <c:pt idx="23">
                  <c:v>75957.017364226413</c:v>
                </c:pt>
                <c:pt idx="24">
                  <c:v>78121.792359106868</c:v>
                </c:pt>
                <c:pt idx="25">
                  <c:v>80348.263441341405</c:v>
                </c:pt>
                <c:pt idx="26">
                  <c:v>82638.188949419622</c:v>
                </c:pt>
                <c:pt idx="27">
                  <c:v>84993.377334478078</c:v>
                </c:pt>
                <c:pt idx="28">
                  <c:v>87415.688588510733</c:v>
                </c:pt>
                <c:pt idx="29">
                  <c:v>89907.035713283272</c:v>
                </c:pt>
                <c:pt idx="30">
                  <c:v>92469.386231111857</c:v>
                </c:pt>
                <c:pt idx="31">
                  <c:v>95104.76373869853</c:v>
                </c:pt>
                <c:pt idx="32">
                  <c:v>97815.249505251413</c:v>
                </c:pt>
                <c:pt idx="33">
                  <c:v>100602.98411615108</c:v>
                </c:pt>
                <c:pt idx="34">
                  <c:v>103470.16916346138</c:v>
                </c:pt>
                <c:pt idx="35">
                  <c:v>106419.06898462003</c:v>
                </c:pt>
                <c:pt idx="36">
                  <c:v>109452.01245068172</c:v>
                </c:pt>
                <c:pt idx="37">
                  <c:v>112571.39480552611</c:v>
                </c:pt>
                <c:pt idx="38">
                  <c:v>115779.6795574836</c:v>
                </c:pt>
                <c:pt idx="39">
                  <c:v>119079.40042487188</c:v>
                </c:pt>
                <c:pt idx="40">
                  <c:v>122473.16333698072</c:v>
                </c:pt>
                <c:pt idx="41">
                  <c:v>125963.64849208464</c:v>
                </c:pt>
                <c:pt idx="42">
                  <c:v>129553.61247410912</c:v>
                </c:pt>
                <c:pt idx="43">
                  <c:v>133245.89042962118</c:v>
                </c:pt>
                <c:pt idx="44">
                  <c:v>137043.39830686539</c:v>
                </c:pt>
                <c:pt idx="45">
                  <c:v>140949.13515861102</c:v>
                </c:pt>
                <c:pt idx="46">
                  <c:v>144966.18551063148</c:v>
                </c:pt>
                <c:pt idx="47">
                  <c:v>149097.7217976845</c:v>
                </c:pt>
                <c:pt idx="48">
                  <c:v>153347.00686891848</c:v>
                </c:pt>
                <c:pt idx="49">
                  <c:v>157717.39656468263</c:v>
                </c:pt>
                <c:pt idx="50">
                  <c:v>162212.34236677608</c:v>
                </c:pt>
                <c:pt idx="51">
                  <c:v>166835.39412422921</c:v>
                </c:pt>
                <c:pt idx="52">
                  <c:v>171590.20285676973</c:v>
                </c:pt>
              </c:numCache>
            </c:numRef>
          </c:val>
          <c:smooth val="0"/>
        </c:ser>
        <c:dLbls>
          <c:showLegendKey val="0"/>
          <c:showVal val="0"/>
          <c:showCatName val="0"/>
          <c:showSerName val="0"/>
          <c:showPercent val="0"/>
          <c:showBubbleSize val="0"/>
        </c:dLbls>
        <c:marker val="1"/>
        <c:smooth val="0"/>
        <c:axId val="399000320"/>
        <c:axId val="399000712"/>
      </c:lineChart>
      <c:dateAx>
        <c:axId val="399000320"/>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9000712"/>
        <c:crosses val="autoZero"/>
        <c:auto val="0"/>
        <c:lblOffset val="100"/>
        <c:baseTimeUnit val="days"/>
        <c:majorUnit val="5"/>
      </c:dateAx>
      <c:valAx>
        <c:axId val="399000712"/>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9000320"/>
        <c:crosses val="autoZero"/>
        <c:crossBetween val="midCat"/>
      </c:valAx>
    </c:plotArea>
    <c:legend>
      <c:legendPos val="r"/>
      <c:legendEntry>
        <c:idx val="3"/>
        <c:txPr>
          <a:bodyPr/>
          <a:lstStyle/>
          <a:p>
            <a:pPr>
              <a:defRPr sz="1400">
                <a:latin typeface="Arial Narrow" pitchFamily="34" charset="0"/>
              </a:defRPr>
            </a:pPr>
            <a:endParaRPr lang="en-US"/>
          </a:p>
        </c:txPr>
      </c:legendEntry>
      <c:layout>
        <c:manualLayout>
          <c:xMode val="edge"/>
          <c:yMode val="edge"/>
          <c:x val="7.5482650107129998E-2"/>
          <c:y val="0.19216538012634266"/>
          <c:w val="0.34514006098874606"/>
          <c:h val="0.22633870809341422"/>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WCWCD Water Supply, Anticipated Capacity, and Demand and Buffer</a:t>
            </a:r>
            <a:endParaRPr lang="en-US" sz="1600">
              <a:effectLst/>
              <a:latin typeface="Arial Narrow" panose="020B0606020202030204" pitchFamily="34" charset="0"/>
            </a:endParaRPr>
          </a:p>
        </c:rich>
      </c:tx>
      <c:layout>
        <c:manualLayout>
          <c:xMode val="edge"/>
          <c:yMode val="edge"/>
          <c:x val="0.17291025538040222"/>
          <c:y val="0.11518262777172995"/>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ln w="25400">
              <a:noFill/>
            </a:ln>
          </c:spPr>
          <c:cat>
            <c:numRef>
              <c:f>'Dynamic Population'!$A$14:$A$97</c:f>
              <c:numCache>
                <c:formatCode>0</c:formatCode>
                <c:ptCount val="8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pt idx="53">
                  <c:v>2061</c:v>
                </c:pt>
                <c:pt idx="54">
                  <c:v>2062</c:v>
                </c:pt>
                <c:pt idx="55">
                  <c:v>2063</c:v>
                </c:pt>
                <c:pt idx="56">
                  <c:v>2064</c:v>
                </c:pt>
                <c:pt idx="57">
                  <c:v>2065</c:v>
                </c:pt>
                <c:pt idx="58">
                  <c:v>2066</c:v>
                </c:pt>
                <c:pt idx="59">
                  <c:v>2067</c:v>
                </c:pt>
                <c:pt idx="60">
                  <c:v>2068</c:v>
                </c:pt>
                <c:pt idx="61">
                  <c:v>2069</c:v>
                </c:pt>
                <c:pt idx="62">
                  <c:v>2070</c:v>
                </c:pt>
                <c:pt idx="63">
                  <c:v>2071</c:v>
                </c:pt>
                <c:pt idx="64">
                  <c:v>2072</c:v>
                </c:pt>
                <c:pt idx="65">
                  <c:v>2073</c:v>
                </c:pt>
                <c:pt idx="66">
                  <c:v>2074</c:v>
                </c:pt>
                <c:pt idx="67">
                  <c:v>2075</c:v>
                </c:pt>
                <c:pt idx="68">
                  <c:v>2076</c:v>
                </c:pt>
                <c:pt idx="69">
                  <c:v>2077</c:v>
                </c:pt>
                <c:pt idx="70">
                  <c:v>2078</c:v>
                </c:pt>
                <c:pt idx="71">
                  <c:v>2079</c:v>
                </c:pt>
                <c:pt idx="72">
                  <c:v>2080</c:v>
                </c:pt>
                <c:pt idx="73">
                  <c:v>2081</c:v>
                </c:pt>
                <c:pt idx="74">
                  <c:v>2082</c:v>
                </c:pt>
                <c:pt idx="75">
                  <c:v>2083</c:v>
                </c:pt>
                <c:pt idx="76">
                  <c:v>2084</c:v>
                </c:pt>
                <c:pt idx="77">
                  <c:v>2085</c:v>
                </c:pt>
                <c:pt idx="78">
                  <c:v>2086</c:v>
                </c:pt>
                <c:pt idx="79">
                  <c:v>2087</c:v>
                </c:pt>
                <c:pt idx="80">
                  <c:v>2088</c:v>
                </c:pt>
                <c:pt idx="81">
                  <c:v>2089</c:v>
                </c:pt>
                <c:pt idx="82">
                  <c:v>2090</c:v>
                </c:pt>
                <c:pt idx="83">
                  <c:v>2091</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99001888"/>
        <c:axId val="399002280"/>
      </c:areaChart>
      <c:lineChart>
        <c:grouping val="standard"/>
        <c:varyColors val="0"/>
        <c:ser>
          <c:idx val="4"/>
          <c:order val="4"/>
          <c:tx>
            <c:strRef>
              <c:f>'Dynamic Population'!$G$13</c:f>
              <c:strCache>
                <c:ptCount val="1"/>
                <c:pt idx="0">
                  <c:v>Total WCWCD Demand (AF)</c:v>
                </c:pt>
              </c:strCache>
            </c:strRef>
          </c:tx>
          <c:spPr>
            <a:ln w="63500">
              <a:solidFill>
                <a:schemeClr val="accent6">
                  <a:lumMod val="75000"/>
                </a:schemeClr>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Population'!$G$14:$G$66</c:f>
              <c:numCache>
                <c:formatCode>_(* #,##0_);_(* \(#,##0\);_(* "-"??_);_(@_)</c:formatCode>
                <c:ptCount val="53"/>
                <c:pt idx="0">
                  <c:v>40966.094557823133</c:v>
                </c:pt>
                <c:pt idx="1">
                  <c:v>41225.405442176867</c:v>
                </c:pt>
                <c:pt idx="2">
                  <c:v>42005.880952380954</c:v>
                </c:pt>
                <c:pt idx="3">
                  <c:v>43498.820368485714</c:v>
                </c:pt>
                <c:pt idx="4">
                  <c:v>45044.820642966151</c:v>
                </c:pt>
                <c:pt idx="5">
                  <c:v>46126</c:v>
                </c:pt>
                <c:pt idx="6">
                  <c:v>47108.022114158157</c:v>
                </c:pt>
                <c:pt idx="7">
                  <c:v>48450.600744411669</c:v>
                </c:pt>
                <c:pt idx="8">
                  <c:v>49831.442865627418</c:v>
                </c:pt>
                <c:pt idx="9">
                  <c:v>51251.638987297774</c:v>
                </c:pt>
                <c:pt idx="10">
                  <c:v>52712.310698435766</c:v>
                </c:pt>
                <c:pt idx="11">
                  <c:v>54214.611553341179</c:v>
                </c:pt>
                <c:pt idx="12">
                  <c:v>55759.727982611403</c:v>
                </c:pt>
                <c:pt idx="13">
                  <c:v>57348.880230115828</c:v>
                </c:pt>
                <c:pt idx="14">
                  <c:v>58983.323316674119</c:v>
                </c:pt>
                <c:pt idx="15">
                  <c:v>60664.348031199326</c:v>
                </c:pt>
                <c:pt idx="16">
                  <c:v>62393.281950088516</c:v>
                </c:pt>
                <c:pt idx="17">
                  <c:v>64171.490485666021</c:v>
                </c:pt>
                <c:pt idx="18">
                  <c:v>66000.377964507497</c:v>
                </c:pt>
                <c:pt idx="19">
                  <c:v>67881.388736495981</c:v>
                </c:pt>
                <c:pt idx="20">
                  <c:v>69816.00831548612</c:v>
                </c:pt>
                <c:pt idx="21">
                  <c:v>71805.764552477456</c:v>
                </c:pt>
                <c:pt idx="22">
                  <c:v>73852.228842223063</c:v>
                </c:pt>
                <c:pt idx="23">
                  <c:v>75957.017364226413</c:v>
                </c:pt>
                <c:pt idx="24">
                  <c:v>78121.792359106868</c:v>
                </c:pt>
                <c:pt idx="25">
                  <c:v>80348.263441341405</c:v>
                </c:pt>
                <c:pt idx="26">
                  <c:v>82638.188949419622</c:v>
                </c:pt>
                <c:pt idx="27">
                  <c:v>84993.377334478078</c:v>
                </c:pt>
                <c:pt idx="28">
                  <c:v>87415.688588510733</c:v>
                </c:pt>
                <c:pt idx="29">
                  <c:v>89907.035713283272</c:v>
                </c:pt>
                <c:pt idx="30">
                  <c:v>92469.386231111857</c:v>
                </c:pt>
                <c:pt idx="31">
                  <c:v>95104.76373869853</c:v>
                </c:pt>
                <c:pt idx="32">
                  <c:v>97815.249505251413</c:v>
                </c:pt>
                <c:pt idx="33">
                  <c:v>100602.98411615108</c:v>
                </c:pt>
                <c:pt idx="34">
                  <c:v>103470.16916346138</c:v>
                </c:pt>
                <c:pt idx="35">
                  <c:v>106419.06898462003</c:v>
                </c:pt>
                <c:pt idx="36">
                  <c:v>109452.01245068172</c:v>
                </c:pt>
                <c:pt idx="37">
                  <c:v>112571.39480552611</c:v>
                </c:pt>
                <c:pt idx="38">
                  <c:v>115779.6795574836</c:v>
                </c:pt>
                <c:pt idx="39">
                  <c:v>119079.40042487188</c:v>
                </c:pt>
                <c:pt idx="40">
                  <c:v>122473.16333698072</c:v>
                </c:pt>
                <c:pt idx="41">
                  <c:v>125963.64849208464</c:v>
                </c:pt>
                <c:pt idx="42">
                  <c:v>129553.61247410912</c:v>
                </c:pt>
                <c:pt idx="43">
                  <c:v>133245.89042962118</c:v>
                </c:pt>
                <c:pt idx="44">
                  <c:v>137043.39830686539</c:v>
                </c:pt>
                <c:pt idx="45">
                  <c:v>140949.13515861102</c:v>
                </c:pt>
                <c:pt idx="46">
                  <c:v>144966.18551063148</c:v>
                </c:pt>
                <c:pt idx="47">
                  <c:v>149097.7217976845</c:v>
                </c:pt>
                <c:pt idx="48">
                  <c:v>153347.00686891848</c:v>
                </c:pt>
                <c:pt idx="49">
                  <c:v>157717.39656468263</c:v>
                </c:pt>
                <c:pt idx="50">
                  <c:v>162212.34236677608</c:v>
                </c:pt>
                <c:pt idx="51">
                  <c:v>166835.39412422921</c:v>
                </c:pt>
                <c:pt idx="52">
                  <c:v>171590.20285676973</c:v>
                </c:pt>
              </c:numCache>
            </c:numRef>
          </c:val>
          <c:smooth val="0"/>
        </c:ser>
        <c:ser>
          <c:idx val="5"/>
          <c:order val="5"/>
          <c:tx>
            <c:strRef>
              <c:f>'Dynamic Population'!$I$13</c:f>
              <c:strCache>
                <c:ptCount val="1"/>
                <c:pt idx="0">
                  <c:v>Demand Buffer (AF)</c:v>
                </c:pt>
              </c:strCache>
            </c:strRef>
          </c:tx>
          <c:spPr>
            <a:ln w="63500">
              <a:solidFill>
                <a:schemeClr val="accent6">
                  <a:lumMod val="75000"/>
                </a:schemeClr>
              </a:solidFill>
              <a:prstDash val="sysDash"/>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Population'!$I$14:$I$66</c:f>
              <c:numCache>
                <c:formatCode>_(* #,##0_);_(* \(#,##0\);_(* "-"??_);_(@_)</c:formatCode>
                <c:ptCount val="53"/>
                <c:pt idx="0">
                  <c:v>42005.880952380954</c:v>
                </c:pt>
                <c:pt idx="1">
                  <c:v>43498.820368485714</c:v>
                </c:pt>
                <c:pt idx="2">
                  <c:v>45044.820642966151</c:v>
                </c:pt>
                <c:pt idx="3">
                  <c:v>46126</c:v>
                </c:pt>
                <c:pt idx="4">
                  <c:v>47108.022114158157</c:v>
                </c:pt>
                <c:pt idx="5">
                  <c:v>48450.600744411669</c:v>
                </c:pt>
                <c:pt idx="6">
                  <c:v>49831.442865627418</c:v>
                </c:pt>
                <c:pt idx="7">
                  <c:v>51251.638987297774</c:v>
                </c:pt>
                <c:pt idx="8">
                  <c:v>52712.310698435766</c:v>
                </c:pt>
                <c:pt idx="9">
                  <c:v>54214.611553341179</c:v>
                </c:pt>
                <c:pt idx="10">
                  <c:v>55759.727982611403</c:v>
                </c:pt>
                <c:pt idx="11">
                  <c:v>57348.880230115828</c:v>
                </c:pt>
                <c:pt idx="12">
                  <c:v>58983.323316674119</c:v>
                </c:pt>
                <c:pt idx="13">
                  <c:v>60664.348031199326</c:v>
                </c:pt>
                <c:pt idx="14">
                  <c:v>62393.281950088516</c:v>
                </c:pt>
                <c:pt idx="15">
                  <c:v>64171.490485666021</c:v>
                </c:pt>
                <c:pt idx="16">
                  <c:v>66000.377964507497</c:v>
                </c:pt>
                <c:pt idx="17">
                  <c:v>67881.388736495981</c:v>
                </c:pt>
                <c:pt idx="18">
                  <c:v>69816.00831548612</c:v>
                </c:pt>
                <c:pt idx="19">
                  <c:v>71805.764552477456</c:v>
                </c:pt>
                <c:pt idx="20">
                  <c:v>73852.228842223063</c:v>
                </c:pt>
                <c:pt idx="21">
                  <c:v>75957.017364226413</c:v>
                </c:pt>
                <c:pt idx="22">
                  <c:v>78121.792359106868</c:v>
                </c:pt>
                <c:pt idx="23">
                  <c:v>80348.263441341405</c:v>
                </c:pt>
                <c:pt idx="24">
                  <c:v>82638.188949419622</c:v>
                </c:pt>
                <c:pt idx="25">
                  <c:v>84993.377334478078</c:v>
                </c:pt>
                <c:pt idx="26">
                  <c:v>87415.688588510733</c:v>
                </c:pt>
                <c:pt idx="27">
                  <c:v>89907.035713283272</c:v>
                </c:pt>
                <c:pt idx="28">
                  <c:v>92469.386231111857</c:v>
                </c:pt>
                <c:pt idx="29">
                  <c:v>95104.76373869853</c:v>
                </c:pt>
                <c:pt idx="30">
                  <c:v>97815.249505251413</c:v>
                </c:pt>
                <c:pt idx="31">
                  <c:v>100602.98411615108</c:v>
                </c:pt>
                <c:pt idx="32">
                  <c:v>103470.16916346138</c:v>
                </c:pt>
                <c:pt idx="33">
                  <c:v>106419.06898462003</c:v>
                </c:pt>
                <c:pt idx="34">
                  <c:v>109452.01245068172</c:v>
                </c:pt>
                <c:pt idx="35">
                  <c:v>112571.39480552611</c:v>
                </c:pt>
                <c:pt idx="36">
                  <c:v>115779.6795574836</c:v>
                </c:pt>
                <c:pt idx="37">
                  <c:v>119079.40042487188</c:v>
                </c:pt>
                <c:pt idx="38">
                  <c:v>122473.16333698072</c:v>
                </c:pt>
                <c:pt idx="39">
                  <c:v>125963.64849208464</c:v>
                </c:pt>
                <c:pt idx="40">
                  <c:v>129553.61247410912</c:v>
                </c:pt>
                <c:pt idx="41">
                  <c:v>133245.89042962118</c:v>
                </c:pt>
                <c:pt idx="42">
                  <c:v>137043.39830686539</c:v>
                </c:pt>
                <c:pt idx="43">
                  <c:v>140949.13515861102</c:v>
                </c:pt>
                <c:pt idx="44">
                  <c:v>144966.18551063148</c:v>
                </c:pt>
                <c:pt idx="45">
                  <c:v>149097.7217976845</c:v>
                </c:pt>
                <c:pt idx="46">
                  <c:v>153347.00686891848</c:v>
                </c:pt>
                <c:pt idx="47">
                  <c:v>157717.39656468263</c:v>
                </c:pt>
                <c:pt idx="48">
                  <c:v>162212.34236677608</c:v>
                </c:pt>
                <c:pt idx="49">
                  <c:v>166835.39412422921</c:v>
                </c:pt>
                <c:pt idx="50">
                  <c:v>171590.20285676973</c:v>
                </c:pt>
                <c:pt idx="51">
                  <c:v>176480.52363818762</c:v>
                </c:pt>
                <c:pt idx="52">
                  <c:v>181510.21856187598</c:v>
                </c:pt>
              </c:numCache>
            </c:numRef>
          </c:val>
          <c:smooth val="0"/>
        </c:ser>
        <c:ser>
          <c:idx val="6"/>
          <c:order val="6"/>
          <c:tx>
            <c:strRef>
              <c:f>'Dynamic Population'!$S$13</c:f>
              <c:strCache>
                <c:ptCount val="1"/>
                <c:pt idx="0">
                  <c:v>Anticipated Supply after Evaporation</c:v>
                </c:pt>
              </c:strCache>
            </c:strRef>
          </c:tx>
          <c:spPr>
            <a:ln w="63500" cap="sq">
              <a:solidFill>
                <a:srgbClr val="D50909"/>
              </a:solidFill>
              <a:prstDash val="sysDot"/>
              <a:beve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dLbls>
          <c:showLegendKey val="0"/>
          <c:showVal val="0"/>
          <c:showCatName val="0"/>
          <c:showSerName val="0"/>
          <c:showPercent val="0"/>
          <c:showBubbleSize val="0"/>
        </c:dLbls>
        <c:marker val="1"/>
        <c:smooth val="0"/>
        <c:axId val="399001888"/>
        <c:axId val="399002280"/>
      </c:lineChart>
      <c:dateAx>
        <c:axId val="399001888"/>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9002280"/>
        <c:crosses val="autoZero"/>
        <c:auto val="0"/>
        <c:lblOffset val="100"/>
        <c:baseTimeUnit val="days"/>
        <c:majorUnit val="5"/>
      </c:dateAx>
      <c:valAx>
        <c:axId val="399002280"/>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99001888"/>
        <c:crosses val="autoZero"/>
        <c:crossBetween val="midCat"/>
      </c:valAx>
    </c:plotArea>
    <c:legend>
      <c:legendPos val="r"/>
      <c:legendEntry>
        <c:idx val="3"/>
        <c:txPr>
          <a:bodyPr/>
          <a:lstStyle/>
          <a:p>
            <a:pPr>
              <a:defRPr sz="1400">
                <a:latin typeface="Arial Narrow" pitchFamily="34" charset="0"/>
              </a:defRPr>
            </a:pPr>
            <a:endParaRPr lang="en-US"/>
          </a:p>
        </c:txPr>
      </c:legendEntry>
      <c:layout>
        <c:manualLayout>
          <c:xMode val="edge"/>
          <c:yMode val="edge"/>
          <c:x val="8.4270792895766861E-2"/>
          <c:y val="0.18812205864280662"/>
          <c:w val="0.34660552637381897"/>
          <c:h val="0.26002543245826232"/>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WCWCD Water Supply and Conservation</a:t>
            </a:r>
          </a:p>
        </c:rich>
      </c:tx>
      <c:layout>
        <c:manualLayout>
          <c:xMode val="edge"/>
          <c:yMode val="edge"/>
          <c:x val="0.29600335280017548"/>
          <c:y val="0.1151826245648561"/>
        </c:manualLayout>
      </c:layout>
      <c:overlay val="0"/>
    </c:title>
    <c:autoTitleDeleted val="0"/>
    <c:plotArea>
      <c:layout>
        <c:manualLayout>
          <c:layoutTarget val="inner"/>
          <c:xMode val="edge"/>
          <c:yMode val="edge"/>
          <c:x val="7.4231627602670797E-2"/>
          <c:y val="0.18635106707469881"/>
          <c:w val="0.92059717414103259"/>
          <c:h val="0.75966279908076617"/>
        </c:manualLayout>
      </c:layout>
      <c:lineChart>
        <c:grouping val="standard"/>
        <c:varyColors val="0"/>
        <c:ser>
          <c:idx val="4"/>
          <c:order val="0"/>
          <c:tx>
            <c:v>Demand without Conservation (GPCD)</c:v>
          </c:tx>
          <c:spPr>
            <a:ln w="63500">
              <a:solidFill>
                <a:schemeClr val="accent6">
                  <a:lumMod val="75000"/>
                </a:schemeClr>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Population'!$F$14:$F$66</c:f>
              <c:numCache>
                <c:formatCode>#,##0</c:formatCode>
                <c:ptCount val="53"/>
                <c:pt idx="0">
                  <c:v>269.80214507292601</c:v>
                </c:pt>
                <c:pt idx="1">
                  <c:v>268.46783461495187</c:v>
                </c:pt>
                <c:pt idx="2">
                  <c:v>270.73033483167154</c:v>
                </c:pt>
                <c:pt idx="3">
                  <c:v>274.11866805062385</c:v>
                </c:pt>
                <c:pt idx="4">
                  <c:v>277.70012319965753</c:v>
                </c:pt>
                <c:pt idx="5">
                  <c:v>272.16022891150294</c:v>
                </c:pt>
                <c:pt idx="6">
                  <c:v>270.25232637083775</c:v>
                </c:pt>
                <c:pt idx="7">
                  <c:v>270.25232637083775</c:v>
                </c:pt>
                <c:pt idx="8">
                  <c:v>270.25232637083781</c:v>
                </c:pt>
                <c:pt idx="9">
                  <c:v>270.25232637083775</c:v>
                </c:pt>
                <c:pt idx="10">
                  <c:v>270.25232637083775</c:v>
                </c:pt>
                <c:pt idx="11">
                  <c:v>270.25232637083775</c:v>
                </c:pt>
                <c:pt idx="12">
                  <c:v>270.25232637083775</c:v>
                </c:pt>
                <c:pt idx="13">
                  <c:v>270.25232637083781</c:v>
                </c:pt>
                <c:pt idx="14">
                  <c:v>270.25232637083775</c:v>
                </c:pt>
                <c:pt idx="15">
                  <c:v>270.25232637083775</c:v>
                </c:pt>
                <c:pt idx="16">
                  <c:v>270.25232637083775</c:v>
                </c:pt>
                <c:pt idx="17">
                  <c:v>270.25232637083775</c:v>
                </c:pt>
                <c:pt idx="18">
                  <c:v>270.25232637083775</c:v>
                </c:pt>
                <c:pt idx="19">
                  <c:v>270.25232637083781</c:v>
                </c:pt>
                <c:pt idx="20">
                  <c:v>270.25232637083781</c:v>
                </c:pt>
                <c:pt idx="21">
                  <c:v>270.25232637083775</c:v>
                </c:pt>
                <c:pt idx="22">
                  <c:v>270.25232637083775</c:v>
                </c:pt>
                <c:pt idx="23">
                  <c:v>270.25232637083775</c:v>
                </c:pt>
                <c:pt idx="24">
                  <c:v>270.25232637083775</c:v>
                </c:pt>
                <c:pt idx="25">
                  <c:v>270.25232637083775</c:v>
                </c:pt>
                <c:pt idx="26">
                  <c:v>270.25232637083775</c:v>
                </c:pt>
                <c:pt idx="27">
                  <c:v>270.25232637083775</c:v>
                </c:pt>
                <c:pt idx="28">
                  <c:v>270.25232637083781</c:v>
                </c:pt>
                <c:pt idx="29">
                  <c:v>270.25232637083775</c:v>
                </c:pt>
                <c:pt idx="30">
                  <c:v>270.25232637083781</c:v>
                </c:pt>
                <c:pt idx="31">
                  <c:v>270.25232637083781</c:v>
                </c:pt>
                <c:pt idx="32">
                  <c:v>270.25232637083775</c:v>
                </c:pt>
                <c:pt idx="33">
                  <c:v>270.25232637083775</c:v>
                </c:pt>
                <c:pt idx="34">
                  <c:v>270.25232637083775</c:v>
                </c:pt>
                <c:pt idx="35">
                  <c:v>270.25232637083775</c:v>
                </c:pt>
                <c:pt idx="36">
                  <c:v>270.25232637083781</c:v>
                </c:pt>
                <c:pt idx="37">
                  <c:v>270.25232637083775</c:v>
                </c:pt>
                <c:pt idx="38">
                  <c:v>270.25232637083775</c:v>
                </c:pt>
                <c:pt idx="39">
                  <c:v>270.25232637083775</c:v>
                </c:pt>
                <c:pt idx="40">
                  <c:v>270.25232637083775</c:v>
                </c:pt>
                <c:pt idx="41">
                  <c:v>270.25232637083775</c:v>
                </c:pt>
                <c:pt idx="42">
                  <c:v>270.25232637083781</c:v>
                </c:pt>
                <c:pt idx="43">
                  <c:v>270.25232637083775</c:v>
                </c:pt>
                <c:pt idx="44">
                  <c:v>270.25232637083781</c:v>
                </c:pt>
                <c:pt idx="45">
                  <c:v>270.25232637083775</c:v>
                </c:pt>
                <c:pt idx="46">
                  <c:v>270.25232637083775</c:v>
                </c:pt>
                <c:pt idx="47">
                  <c:v>270.25232637083781</c:v>
                </c:pt>
                <c:pt idx="48">
                  <c:v>270.25232637083781</c:v>
                </c:pt>
                <c:pt idx="49">
                  <c:v>270.25232637083775</c:v>
                </c:pt>
                <c:pt idx="50">
                  <c:v>270.25232637083781</c:v>
                </c:pt>
                <c:pt idx="51">
                  <c:v>270.25232637083775</c:v>
                </c:pt>
                <c:pt idx="52">
                  <c:v>270.25232637083775</c:v>
                </c:pt>
              </c:numCache>
            </c:numRef>
          </c:val>
          <c:smooth val="0"/>
        </c:ser>
        <c:ser>
          <c:idx val="6"/>
          <c:order val="1"/>
          <c:tx>
            <c:v>Demand with Conservation (GPCD)</c:v>
          </c:tx>
          <c:spPr>
            <a:ln w="63500">
              <a:solidFill>
                <a:srgbClr val="13771D"/>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Population'!$J$14:$J$66</c:f>
              <c:numCache>
                <c:formatCode>0</c:formatCode>
                <c:ptCount val="53"/>
                <c:pt idx="0">
                  <c:v>269.80214507292601</c:v>
                </c:pt>
                <c:pt idx="1">
                  <c:v>268.46783461495187</c:v>
                </c:pt>
                <c:pt idx="2">
                  <c:v>270.73033483167154</c:v>
                </c:pt>
                <c:pt idx="3">
                  <c:v>274.11866805062385</c:v>
                </c:pt>
                <c:pt idx="4">
                  <c:v>277.70012319965753</c:v>
                </c:pt>
                <c:pt idx="5">
                  <c:v>272.16022891150294</c:v>
                </c:pt>
                <c:pt idx="6">
                  <c:v>269.48020983554437</c:v>
                </c:pt>
                <c:pt idx="7">
                  <c:v>266.8001907595858</c:v>
                </c:pt>
                <c:pt idx="8">
                  <c:v>264.12017168362723</c:v>
                </c:pt>
                <c:pt idx="9">
                  <c:v>261.44015260766867</c:v>
                </c:pt>
                <c:pt idx="10">
                  <c:v>258.7601335317101</c:v>
                </c:pt>
                <c:pt idx="11">
                  <c:v>256.08011445575153</c:v>
                </c:pt>
                <c:pt idx="12">
                  <c:v>253.40009537979296</c:v>
                </c:pt>
                <c:pt idx="13">
                  <c:v>250.72007630383439</c:v>
                </c:pt>
                <c:pt idx="14">
                  <c:v>248.04005722787582</c:v>
                </c:pt>
                <c:pt idx="15">
                  <c:v>245.36003815191725</c:v>
                </c:pt>
                <c:pt idx="16">
                  <c:v>242.68001907595868</c:v>
                </c:pt>
                <c:pt idx="17">
                  <c:v>240.00000000000011</c:v>
                </c:pt>
                <c:pt idx="18">
                  <c:v>239.40000000000012</c:v>
                </c:pt>
                <c:pt idx="19">
                  <c:v>238.80000000000013</c:v>
                </c:pt>
                <c:pt idx="20">
                  <c:v>238.20000000000013</c:v>
                </c:pt>
                <c:pt idx="21">
                  <c:v>237.60000000000014</c:v>
                </c:pt>
                <c:pt idx="22">
                  <c:v>237.00000000000014</c:v>
                </c:pt>
                <c:pt idx="23">
                  <c:v>236.40000000000015</c:v>
                </c:pt>
                <c:pt idx="24">
                  <c:v>235.80000000000015</c:v>
                </c:pt>
                <c:pt idx="25">
                  <c:v>235.20000000000016</c:v>
                </c:pt>
                <c:pt idx="26">
                  <c:v>234.60000000000016</c:v>
                </c:pt>
                <c:pt idx="27">
                  <c:v>234.00000000000017</c:v>
                </c:pt>
                <c:pt idx="28">
                  <c:v>233.40000000000018</c:v>
                </c:pt>
                <c:pt idx="29">
                  <c:v>232.80000000000018</c:v>
                </c:pt>
                <c:pt idx="30">
                  <c:v>232.20000000000019</c:v>
                </c:pt>
                <c:pt idx="31">
                  <c:v>231.60000000000019</c:v>
                </c:pt>
                <c:pt idx="32">
                  <c:v>231.0000000000002</c:v>
                </c:pt>
                <c:pt idx="33">
                  <c:v>230.4000000000002</c:v>
                </c:pt>
                <c:pt idx="34">
                  <c:v>229.80000000000021</c:v>
                </c:pt>
                <c:pt idx="35">
                  <c:v>229.20000000000022</c:v>
                </c:pt>
                <c:pt idx="36">
                  <c:v>228.60000000000022</c:v>
                </c:pt>
                <c:pt idx="37">
                  <c:v>228.00000000000023</c:v>
                </c:pt>
                <c:pt idx="38">
                  <c:v>227.40000000000023</c:v>
                </c:pt>
                <c:pt idx="39">
                  <c:v>226.80000000000024</c:v>
                </c:pt>
                <c:pt idx="40">
                  <c:v>226.20000000000024</c:v>
                </c:pt>
                <c:pt idx="41">
                  <c:v>225.60000000000025</c:v>
                </c:pt>
                <c:pt idx="42">
                  <c:v>225.00000000000026</c:v>
                </c:pt>
                <c:pt idx="43">
                  <c:v>225.00000000000026</c:v>
                </c:pt>
                <c:pt idx="44">
                  <c:v>225.00000000000026</c:v>
                </c:pt>
                <c:pt idx="45">
                  <c:v>225.00000000000026</c:v>
                </c:pt>
                <c:pt idx="46">
                  <c:v>225.00000000000026</c:v>
                </c:pt>
                <c:pt idx="47">
                  <c:v>225.00000000000026</c:v>
                </c:pt>
                <c:pt idx="48">
                  <c:v>225.00000000000026</c:v>
                </c:pt>
                <c:pt idx="49">
                  <c:v>225.00000000000026</c:v>
                </c:pt>
                <c:pt idx="50">
                  <c:v>225.00000000000026</c:v>
                </c:pt>
                <c:pt idx="51">
                  <c:v>225.00000000000026</c:v>
                </c:pt>
                <c:pt idx="52">
                  <c:v>225.00000000000026</c:v>
                </c:pt>
              </c:numCache>
            </c:numRef>
          </c:val>
          <c:smooth val="0"/>
        </c:ser>
        <c:dLbls>
          <c:showLegendKey val="0"/>
          <c:showVal val="0"/>
          <c:showCatName val="0"/>
          <c:showSerName val="0"/>
          <c:showPercent val="0"/>
          <c:showBubbleSize val="0"/>
        </c:dLbls>
        <c:smooth val="0"/>
        <c:axId val="345690568"/>
        <c:axId val="345689392"/>
      </c:lineChart>
      <c:dateAx>
        <c:axId val="345690568"/>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45689392"/>
        <c:crosses val="autoZero"/>
        <c:auto val="0"/>
        <c:lblOffset val="100"/>
        <c:baseTimeUnit val="days"/>
        <c:majorUnit val="5"/>
      </c:dateAx>
      <c:valAx>
        <c:axId val="345689392"/>
        <c:scaling>
          <c:orientation val="minMax"/>
          <c:max val="320"/>
          <c:min val="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45690568"/>
        <c:crosses val="autoZero"/>
        <c:crossBetween val="between"/>
      </c:valAx>
    </c:plotArea>
    <c:legend>
      <c:legendPos val="r"/>
      <c:layout>
        <c:manualLayout>
          <c:xMode val="edge"/>
          <c:yMode val="edge"/>
          <c:x val="7.4024926066117408E-2"/>
          <c:y val="0.18609697578767678"/>
          <c:w val="0.33378293503638107"/>
          <c:h val="8.755541698330109E-2"/>
        </c:manualLayout>
      </c:layout>
      <c:overlay val="0"/>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WCWCD Water Supply and Conservation</a:t>
            </a:r>
          </a:p>
        </c:rich>
      </c:tx>
      <c:layout>
        <c:manualLayout>
          <c:xMode val="edge"/>
          <c:yMode val="edge"/>
          <c:x val="0.29600335280017548"/>
          <c:y val="0.1151826245648561"/>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2"/>
          <c:tx>
            <c:strRef>
              <c:f>'Dynamic Population'!$O$13</c:f>
              <c:strCache>
                <c:ptCount val="1"/>
                <c:pt idx="0">
                  <c:v>Existing Capacity (AF)</c:v>
                </c:pt>
              </c:strCache>
            </c:strRef>
          </c:tx>
          <c:spPr>
            <a:solidFill>
              <a:srgbClr val="1F497D">
                <a:lumMod val="50000"/>
              </a:srgbClr>
            </a:solidFill>
            <a:ln w="635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3"/>
          <c:tx>
            <c:strRef>
              <c:f>'Dynamic Population'!$P$13</c:f>
              <c:strCache>
                <c:ptCount val="1"/>
                <c:pt idx="0">
                  <c:v>Ash Creek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4"/>
          <c:tx>
            <c:strRef>
              <c:f>'Dynamic Population'!$Q$13</c:f>
              <c:strCache>
                <c:ptCount val="1"/>
                <c:pt idx="0">
                  <c:v>Agricultural Conversion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6"/>
          <c:tx>
            <c:strRef>
              <c:f>'Dynamic Population'!$R$13</c:f>
              <c:strCache>
                <c:ptCount val="1"/>
                <c:pt idx="0">
                  <c:v>Anticipated Additional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45691744"/>
        <c:axId val="345689784"/>
      </c:areaChart>
      <c:lineChart>
        <c:grouping val="standard"/>
        <c:varyColors val="0"/>
        <c:ser>
          <c:idx val="6"/>
          <c:order val="0"/>
          <c:tx>
            <c:strRef>
              <c:f>'Dynamic Population'!$S$13</c:f>
              <c:strCache>
                <c:ptCount val="1"/>
                <c:pt idx="0">
                  <c:v>Anticipated Supply after Evaporation</c:v>
                </c:pt>
              </c:strCache>
            </c:strRef>
          </c:tx>
          <c:spPr>
            <a:ln w="63500" cap="sq">
              <a:solidFill>
                <a:srgbClr val="D50909"/>
              </a:solidFill>
              <a:prstDash val="sysDot"/>
              <a:beve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ser>
          <c:idx val="4"/>
          <c:order val="1"/>
          <c:tx>
            <c:v>Demand Without Conservation (AF)</c:v>
          </c:tx>
          <c:spPr>
            <a:ln w="63500">
              <a:solidFill>
                <a:schemeClr val="accent6">
                  <a:lumMod val="75000"/>
                </a:schemeClr>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Population'!$G$14:$G$66</c:f>
              <c:numCache>
                <c:formatCode>_(* #,##0_);_(* \(#,##0\);_(* "-"??_);_(@_)</c:formatCode>
                <c:ptCount val="53"/>
                <c:pt idx="0">
                  <c:v>40966.094557823133</c:v>
                </c:pt>
                <c:pt idx="1">
                  <c:v>41225.405442176867</c:v>
                </c:pt>
                <c:pt idx="2">
                  <c:v>42005.880952380954</c:v>
                </c:pt>
                <c:pt idx="3">
                  <c:v>43498.820368485714</c:v>
                </c:pt>
                <c:pt idx="4">
                  <c:v>45044.820642966151</c:v>
                </c:pt>
                <c:pt idx="5">
                  <c:v>46126</c:v>
                </c:pt>
                <c:pt idx="6">
                  <c:v>47108.022114158157</c:v>
                </c:pt>
                <c:pt idx="7">
                  <c:v>48450.600744411669</c:v>
                </c:pt>
                <c:pt idx="8">
                  <c:v>49831.442865627418</c:v>
                </c:pt>
                <c:pt idx="9">
                  <c:v>51251.638987297774</c:v>
                </c:pt>
                <c:pt idx="10">
                  <c:v>52712.310698435766</c:v>
                </c:pt>
                <c:pt idx="11">
                  <c:v>54214.611553341179</c:v>
                </c:pt>
                <c:pt idx="12">
                  <c:v>55759.727982611403</c:v>
                </c:pt>
                <c:pt idx="13">
                  <c:v>57348.880230115828</c:v>
                </c:pt>
                <c:pt idx="14">
                  <c:v>58983.323316674119</c:v>
                </c:pt>
                <c:pt idx="15">
                  <c:v>60664.348031199326</c:v>
                </c:pt>
                <c:pt idx="16">
                  <c:v>62393.281950088516</c:v>
                </c:pt>
                <c:pt idx="17">
                  <c:v>64171.490485666021</c:v>
                </c:pt>
                <c:pt idx="18">
                  <c:v>66000.377964507497</c:v>
                </c:pt>
                <c:pt idx="19">
                  <c:v>67881.388736495981</c:v>
                </c:pt>
                <c:pt idx="20">
                  <c:v>69816.00831548612</c:v>
                </c:pt>
                <c:pt idx="21">
                  <c:v>71805.764552477456</c:v>
                </c:pt>
                <c:pt idx="22">
                  <c:v>73852.228842223063</c:v>
                </c:pt>
                <c:pt idx="23">
                  <c:v>75957.017364226413</c:v>
                </c:pt>
                <c:pt idx="24">
                  <c:v>78121.792359106868</c:v>
                </c:pt>
                <c:pt idx="25">
                  <c:v>80348.263441341405</c:v>
                </c:pt>
                <c:pt idx="26">
                  <c:v>82638.188949419622</c:v>
                </c:pt>
                <c:pt idx="27">
                  <c:v>84993.377334478078</c:v>
                </c:pt>
                <c:pt idx="28">
                  <c:v>87415.688588510733</c:v>
                </c:pt>
                <c:pt idx="29">
                  <c:v>89907.035713283272</c:v>
                </c:pt>
                <c:pt idx="30">
                  <c:v>92469.386231111857</c:v>
                </c:pt>
                <c:pt idx="31">
                  <c:v>95104.76373869853</c:v>
                </c:pt>
                <c:pt idx="32">
                  <c:v>97815.249505251413</c:v>
                </c:pt>
                <c:pt idx="33">
                  <c:v>100602.98411615108</c:v>
                </c:pt>
                <c:pt idx="34">
                  <c:v>103470.16916346138</c:v>
                </c:pt>
                <c:pt idx="35">
                  <c:v>106419.06898462003</c:v>
                </c:pt>
                <c:pt idx="36">
                  <c:v>109452.01245068172</c:v>
                </c:pt>
                <c:pt idx="37">
                  <c:v>112571.39480552611</c:v>
                </c:pt>
                <c:pt idx="38">
                  <c:v>115779.6795574836</c:v>
                </c:pt>
                <c:pt idx="39">
                  <c:v>119079.40042487188</c:v>
                </c:pt>
                <c:pt idx="40">
                  <c:v>122473.16333698072</c:v>
                </c:pt>
                <c:pt idx="41">
                  <c:v>125963.64849208464</c:v>
                </c:pt>
                <c:pt idx="42">
                  <c:v>129553.61247410912</c:v>
                </c:pt>
                <c:pt idx="43">
                  <c:v>133245.89042962118</c:v>
                </c:pt>
                <c:pt idx="44">
                  <c:v>137043.39830686539</c:v>
                </c:pt>
                <c:pt idx="45">
                  <c:v>140949.13515861102</c:v>
                </c:pt>
                <c:pt idx="46">
                  <c:v>144966.18551063148</c:v>
                </c:pt>
                <c:pt idx="47">
                  <c:v>149097.7217976845</c:v>
                </c:pt>
                <c:pt idx="48">
                  <c:v>153347.00686891848</c:v>
                </c:pt>
                <c:pt idx="49">
                  <c:v>157717.39656468263</c:v>
                </c:pt>
                <c:pt idx="50">
                  <c:v>162212.34236677608</c:v>
                </c:pt>
                <c:pt idx="51">
                  <c:v>166835.39412422921</c:v>
                </c:pt>
                <c:pt idx="52">
                  <c:v>171590.20285676973</c:v>
                </c:pt>
              </c:numCache>
            </c:numRef>
          </c:val>
          <c:smooth val="0"/>
        </c:ser>
        <c:ser>
          <c:idx val="5"/>
          <c:order val="5"/>
          <c:tx>
            <c:v>Demand with Conservation (AF)</c:v>
          </c:tx>
          <c:spPr>
            <a:ln w="63500">
              <a:solidFill>
                <a:srgbClr val="13771D"/>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Population'!$K$14:$K$66</c:f>
              <c:numCache>
                <c:formatCode>_(* #,##0_);_(* \(#,##0\);_(* "-"??_);_(@_)</c:formatCode>
                <c:ptCount val="53"/>
                <c:pt idx="0">
                  <c:v>40966.094557823133</c:v>
                </c:pt>
                <c:pt idx="1">
                  <c:v>41225.405442176867</c:v>
                </c:pt>
                <c:pt idx="2">
                  <c:v>42005.880952380954</c:v>
                </c:pt>
                <c:pt idx="3">
                  <c:v>43498.820368485714</c:v>
                </c:pt>
                <c:pt idx="4">
                  <c:v>45044.820642966151</c:v>
                </c:pt>
                <c:pt idx="5">
                  <c:v>46126</c:v>
                </c:pt>
                <c:pt idx="6">
                  <c:v>46973.433512062671</c:v>
                </c:pt>
                <c:pt idx="7">
                  <c:v>47831.7048908129</c:v>
                </c:pt>
                <c:pt idx="8">
                  <c:v>48700.743566781719</c:v>
                </c:pt>
                <c:pt idx="9">
                  <c:v>49580.466144983198</c:v>
                </c:pt>
                <c:pt idx="10">
                  <c:v>50470.775731180045</c:v>
                </c:pt>
                <c:pt idx="11">
                  <c:v>51371.561230163854</c:v>
                </c:pt>
                <c:pt idx="12">
                  <c:v>52282.696615002089</c:v>
                </c:pt>
                <c:pt idx="13">
                  <c:v>53204.040166166902</c:v>
                </c:pt>
                <c:pt idx="14">
                  <c:v>54135.433679422567</c:v>
                </c:pt>
                <c:pt idx="15">
                  <c:v>55076.70164130885</c:v>
                </c:pt>
                <c:pt idx="16">
                  <c:v>56027.650371016527</c:v>
                </c:pt>
                <c:pt idx="17">
                  <c:v>56988.067127409391</c:v>
                </c:pt>
                <c:pt idx="18">
                  <c:v>58465.696472939213</c:v>
                </c:pt>
                <c:pt idx="19">
                  <c:v>59981.26213363999</c:v>
                </c:pt>
                <c:pt idx="20">
                  <c:v>61535.726275040572</c:v>
                </c:pt>
                <c:pt idx="21">
                  <c:v>63130.075092332925</c:v>
                </c:pt>
                <c:pt idx="22">
                  <c:v>64765.319398544059</c:v>
                </c:pt>
                <c:pt idx="23">
                  <c:v>66442.495226715459</c:v>
                </c:pt>
                <c:pt idx="24">
                  <c:v>68162.664446411174</c:v>
                </c:pt>
                <c:pt idx="25">
                  <c:v>69926.915394881638</c:v>
                </c:pt>
                <c:pt idx="26">
                  <c:v>71736.36352321833</c:v>
                </c:pt>
                <c:pt idx="27">
                  <c:v>73592.152057840693</c:v>
                </c:pt>
                <c:pt idx="28">
                  <c:v>75495.452677664842</c:v>
                </c:pt>
                <c:pt idx="29">
                  <c:v>77447.466207309975</c:v>
                </c:pt>
                <c:pt idx="30">
                  <c:v>79449.423326707431</c:v>
                </c:pt>
                <c:pt idx="31">
                  <c:v>81502.58529748366</c:v>
                </c:pt>
                <c:pt idx="32">
                  <c:v>83608.244706497018</c:v>
                </c:pt>
                <c:pt idx="33">
                  <c:v>85767.726226916231</c:v>
                </c:pt>
                <c:pt idx="34">
                  <c:v>87982.387397236525</c:v>
                </c:pt>
                <c:pt idx="35">
                  <c:v>90253.61941863723</c:v>
                </c:pt>
                <c:pt idx="36">
                  <c:v>92582.847971094408</c:v>
                </c:pt>
                <c:pt idx="37">
                  <c:v>94971.534048668836</c:v>
                </c:pt>
                <c:pt idx="38">
                  <c:v>97421.174814400481</c:v>
                </c:pt>
                <c:pt idx="39">
                  <c:v>99933.304475247787</c:v>
                </c:pt>
                <c:pt idx="40">
                  <c:v>102509.49517752042</c:v>
                </c:pt>
                <c:pt idx="41">
                  <c:v>105151.35792326256</c:v>
                </c:pt>
                <c:pt idx="42">
                  <c:v>107860.54350805408</c:v>
                </c:pt>
                <c:pt idx="43">
                  <c:v>110934.5689980336</c:v>
                </c:pt>
                <c:pt idx="44">
                  <c:v>114096.20421447756</c:v>
                </c:pt>
                <c:pt idx="45">
                  <c:v>117347.94603459018</c:v>
                </c:pt>
                <c:pt idx="46">
                  <c:v>120692.362496576</c:v>
                </c:pt>
                <c:pt idx="47">
                  <c:v>124132.09482772842</c:v>
                </c:pt>
                <c:pt idx="48">
                  <c:v>127669.85953031869</c:v>
                </c:pt>
                <c:pt idx="49">
                  <c:v>131308.45052693275</c:v>
                </c:pt>
                <c:pt idx="50">
                  <c:v>135050.74136695033</c:v>
                </c:pt>
                <c:pt idx="51">
                  <c:v>138899.68749590841</c:v>
                </c:pt>
                <c:pt idx="52">
                  <c:v>142858.32858954181</c:v>
                </c:pt>
              </c:numCache>
            </c:numRef>
          </c:val>
          <c:smooth val="0"/>
        </c:ser>
        <c:dLbls>
          <c:showLegendKey val="0"/>
          <c:showVal val="0"/>
          <c:showCatName val="0"/>
          <c:showSerName val="0"/>
          <c:showPercent val="0"/>
          <c:showBubbleSize val="0"/>
        </c:dLbls>
        <c:marker val="1"/>
        <c:smooth val="0"/>
        <c:axId val="345691744"/>
        <c:axId val="345689784"/>
      </c:lineChart>
      <c:dateAx>
        <c:axId val="345691744"/>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45689784"/>
        <c:crosses val="autoZero"/>
        <c:auto val="0"/>
        <c:lblOffset val="100"/>
        <c:baseTimeUnit val="days"/>
        <c:majorUnit val="5"/>
      </c:dateAx>
      <c:valAx>
        <c:axId val="345689784"/>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45691744"/>
        <c:crosses val="autoZero"/>
        <c:crossBetween val="between"/>
      </c:valAx>
    </c:plotArea>
    <c:legend>
      <c:legendPos val="r"/>
      <c:legendEntry>
        <c:idx val="3"/>
        <c:txPr>
          <a:bodyPr/>
          <a:lstStyle/>
          <a:p>
            <a:pPr>
              <a:defRPr sz="1400">
                <a:latin typeface="Arial Narrow" pitchFamily="34" charset="0"/>
              </a:defRPr>
            </a:pPr>
            <a:endParaRPr lang="en-US"/>
          </a:p>
        </c:txPr>
      </c:legendEntry>
      <c:layout>
        <c:manualLayout>
          <c:xMode val="edge"/>
          <c:yMode val="edge"/>
          <c:x val="7.6947340571902806E-2"/>
          <c:y val="0.19216538012634266"/>
          <c:w val="0.34807099175889195"/>
          <c:h val="0.26204362928362279"/>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latin typeface="Arial Narrow" panose="020B0606020202030204" pitchFamily="34" charset="0"/>
              </a:rPr>
              <a:t>WCWCD Water Demand and Buffer at Anticipated Demand Reduction</a:t>
            </a:r>
            <a:endParaRPr lang="en-US" sz="1600">
              <a:effectLst/>
              <a:latin typeface="Arial Narrow" panose="020B0606020202030204" pitchFamily="34" charset="0"/>
            </a:endParaRPr>
          </a:p>
        </c:rich>
      </c:tx>
      <c:layout>
        <c:manualLayout>
          <c:xMode val="edge"/>
          <c:yMode val="edge"/>
          <c:x val="0.18462798353463097"/>
          <c:y val="0.1111462309141351"/>
        </c:manualLayout>
      </c:layout>
      <c:overlay val="0"/>
    </c:title>
    <c:autoTitleDeleted val="0"/>
    <c:plotArea>
      <c:layout>
        <c:manualLayout>
          <c:layoutTarget val="inner"/>
          <c:xMode val="edge"/>
          <c:yMode val="edge"/>
          <c:x val="7.4231627602670797E-2"/>
          <c:y val="0.18635106707469881"/>
          <c:w val="0.92059717414103259"/>
          <c:h val="0.75966279908076617"/>
        </c:manualLayout>
      </c:layout>
      <c:areaChart>
        <c:grouping val="stacked"/>
        <c:varyColors val="0"/>
        <c:ser>
          <c:idx val="3"/>
          <c:order val="0"/>
          <c:tx>
            <c:strRef>
              <c:f>'Dynamic Population'!$O$13</c:f>
              <c:strCache>
                <c:ptCount val="1"/>
                <c:pt idx="0">
                  <c:v>Existing Capacity (AF)</c:v>
                </c:pt>
              </c:strCache>
            </c:strRef>
          </c:tx>
          <c:spPr>
            <a:solidFill>
              <a:srgbClr val="1F497D">
                <a:lumMod val="50000"/>
              </a:srgbClr>
            </a:solidFill>
            <a:ln w="635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Population'!$O$14:$O$66</c:f>
              <c:numCache>
                <c:formatCode>#,##0</c:formatCode>
                <c:ptCount val="53"/>
                <c:pt idx="0">
                  <c:v>65498.400000000001</c:v>
                </c:pt>
                <c:pt idx="1">
                  <c:v>65498.400000000001</c:v>
                </c:pt>
                <c:pt idx="2">
                  <c:v>65498.400000000001</c:v>
                </c:pt>
                <c:pt idx="3">
                  <c:v>65498.400000000001</c:v>
                </c:pt>
                <c:pt idx="4">
                  <c:v>65498.400000000001</c:v>
                </c:pt>
                <c:pt idx="5">
                  <c:v>65498.400000000001</c:v>
                </c:pt>
                <c:pt idx="6">
                  <c:v>65498.400000000001</c:v>
                </c:pt>
                <c:pt idx="7">
                  <c:v>65498.400000000001</c:v>
                </c:pt>
                <c:pt idx="8">
                  <c:v>65498.400000000001</c:v>
                </c:pt>
                <c:pt idx="9">
                  <c:v>65498.400000000001</c:v>
                </c:pt>
                <c:pt idx="10">
                  <c:v>65498.400000000001</c:v>
                </c:pt>
                <c:pt idx="11">
                  <c:v>65498.400000000001</c:v>
                </c:pt>
                <c:pt idx="12">
                  <c:v>65498.400000000001</c:v>
                </c:pt>
                <c:pt idx="13">
                  <c:v>65498.400000000001</c:v>
                </c:pt>
                <c:pt idx="14">
                  <c:v>65498.400000000001</c:v>
                </c:pt>
                <c:pt idx="15">
                  <c:v>65498.400000000001</c:v>
                </c:pt>
                <c:pt idx="16">
                  <c:v>65498.400000000001</c:v>
                </c:pt>
                <c:pt idx="17">
                  <c:v>65498.400000000001</c:v>
                </c:pt>
                <c:pt idx="18">
                  <c:v>65498.400000000001</c:v>
                </c:pt>
                <c:pt idx="19">
                  <c:v>65498.400000000001</c:v>
                </c:pt>
                <c:pt idx="20">
                  <c:v>65498.400000000001</c:v>
                </c:pt>
                <c:pt idx="21">
                  <c:v>65498.400000000001</c:v>
                </c:pt>
                <c:pt idx="22">
                  <c:v>65498.400000000001</c:v>
                </c:pt>
                <c:pt idx="23">
                  <c:v>65498.400000000001</c:v>
                </c:pt>
                <c:pt idx="24">
                  <c:v>65498.400000000001</c:v>
                </c:pt>
                <c:pt idx="25">
                  <c:v>65498.400000000001</c:v>
                </c:pt>
                <c:pt idx="26">
                  <c:v>65498.400000000001</c:v>
                </c:pt>
                <c:pt idx="27">
                  <c:v>65498.400000000001</c:v>
                </c:pt>
                <c:pt idx="28">
                  <c:v>65498.400000000001</c:v>
                </c:pt>
                <c:pt idx="29">
                  <c:v>65498.400000000001</c:v>
                </c:pt>
                <c:pt idx="30">
                  <c:v>65498.400000000001</c:v>
                </c:pt>
                <c:pt idx="31">
                  <c:v>65498.400000000001</c:v>
                </c:pt>
                <c:pt idx="32">
                  <c:v>65498.400000000001</c:v>
                </c:pt>
                <c:pt idx="33">
                  <c:v>65498.400000000001</c:v>
                </c:pt>
                <c:pt idx="34">
                  <c:v>65498.400000000001</c:v>
                </c:pt>
                <c:pt idx="35">
                  <c:v>65498.400000000001</c:v>
                </c:pt>
                <c:pt idx="36">
                  <c:v>65498.400000000001</c:v>
                </c:pt>
                <c:pt idx="37">
                  <c:v>65498.400000000001</c:v>
                </c:pt>
                <c:pt idx="38">
                  <c:v>65498.400000000001</c:v>
                </c:pt>
                <c:pt idx="39">
                  <c:v>65498.400000000001</c:v>
                </c:pt>
                <c:pt idx="40">
                  <c:v>65498.400000000001</c:v>
                </c:pt>
                <c:pt idx="41">
                  <c:v>65498.400000000001</c:v>
                </c:pt>
                <c:pt idx="42">
                  <c:v>65498.400000000001</c:v>
                </c:pt>
                <c:pt idx="43">
                  <c:v>65498.400000000001</c:v>
                </c:pt>
                <c:pt idx="44">
                  <c:v>65498.400000000001</c:v>
                </c:pt>
                <c:pt idx="45">
                  <c:v>65498.400000000001</c:v>
                </c:pt>
                <c:pt idx="46">
                  <c:v>65498.400000000001</c:v>
                </c:pt>
                <c:pt idx="47">
                  <c:v>65498.400000000001</c:v>
                </c:pt>
                <c:pt idx="48">
                  <c:v>65498.400000000001</c:v>
                </c:pt>
                <c:pt idx="49">
                  <c:v>65498.400000000001</c:v>
                </c:pt>
                <c:pt idx="50">
                  <c:v>65498.400000000001</c:v>
                </c:pt>
                <c:pt idx="51">
                  <c:v>65498.400000000001</c:v>
                </c:pt>
                <c:pt idx="52">
                  <c:v>65498.400000000001</c:v>
                </c:pt>
              </c:numCache>
            </c:numRef>
          </c:val>
        </c:ser>
        <c:ser>
          <c:idx val="0"/>
          <c:order val="1"/>
          <c:tx>
            <c:strRef>
              <c:f>'Dynamic Population'!$P$13</c:f>
              <c:strCache>
                <c:ptCount val="1"/>
                <c:pt idx="0">
                  <c:v>Ash Creek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Population'!$P$14:$P$66</c:f>
              <c:numCache>
                <c:formatCode>#,##0</c:formatCode>
                <c:ptCount val="53"/>
                <c:pt idx="0">
                  <c:v>0</c:v>
                </c:pt>
                <c:pt idx="1">
                  <c:v>0</c:v>
                </c:pt>
                <c:pt idx="2">
                  <c:v>0</c:v>
                </c:pt>
                <c:pt idx="3">
                  <c:v>0</c:v>
                </c:pt>
                <c:pt idx="4">
                  <c:v>0</c:v>
                </c:pt>
                <c:pt idx="5">
                  <c:v>0</c:v>
                </c:pt>
                <c:pt idx="6">
                  <c:v>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numCache>
            </c:numRef>
          </c:val>
        </c:ser>
        <c:ser>
          <c:idx val="1"/>
          <c:order val="2"/>
          <c:tx>
            <c:strRef>
              <c:f>'Dynamic Population'!$Q$13</c:f>
              <c:strCache>
                <c:ptCount val="1"/>
                <c:pt idx="0">
                  <c:v>Agricultural Conversion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Population'!$Q$14:$Q$66</c:f>
              <c:numCache>
                <c:formatCode>#,##0</c:formatCode>
                <c:ptCount val="53"/>
                <c:pt idx="0">
                  <c:v>0</c:v>
                </c:pt>
                <c:pt idx="1">
                  <c:v>0</c:v>
                </c:pt>
                <c:pt idx="2">
                  <c:v>0</c:v>
                </c:pt>
                <c:pt idx="3">
                  <c:v>0</c:v>
                </c:pt>
                <c:pt idx="4">
                  <c:v>0</c:v>
                </c:pt>
                <c:pt idx="5">
                  <c:v>0</c:v>
                </c:pt>
                <c:pt idx="6">
                  <c:v>0</c:v>
                </c:pt>
                <c:pt idx="7">
                  <c:v>0</c:v>
                </c:pt>
                <c:pt idx="8">
                  <c:v>0</c:v>
                </c:pt>
                <c:pt idx="9">
                  <c:v>0</c:v>
                </c:pt>
                <c:pt idx="10">
                  <c:v>0</c:v>
                </c:pt>
                <c:pt idx="11">
                  <c:v>4000</c:v>
                </c:pt>
                <c:pt idx="12">
                  <c:v>4000</c:v>
                </c:pt>
                <c:pt idx="13">
                  <c:v>4000</c:v>
                </c:pt>
                <c:pt idx="14">
                  <c:v>4000</c:v>
                </c:pt>
                <c:pt idx="15">
                  <c:v>4000</c:v>
                </c:pt>
                <c:pt idx="16">
                  <c:v>4000</c:v>
                </c:pt>
                <c:pt idx="17">
                  <c:v>4000</c:v>
                </c:pt>
                <c:pt idx="18">
                  <c:v>4000</c:v>
                </c:pt>
                <c:pt idx="19">
                  <c:v>4000</c:v>
                </c:pt>
                <c:pt idx="20">
                  <c:v>4000</c:v>
                </c:pt>
                <c:pt idx="21">
                  <c:v>4000</c:v>
                </c:pt>
                <c:pt idx="22">
                  <c:v>4000</c:v>
                </c:pt>
                <c:pt idx="23">
                  <c:v>4000</c:v>
                </c:pt>
                <c:pt idx="24">
                  <c:v>4000</c:v>
                </c:pt>
                <c:pt idx="25">
                  <c:v>4000</c:v>
                </c:pt>
                <c:pt idx="26">
                  <c:v>4000</c:v>
                </c:pt>
                <c:pt idx="27">
                  <c:v>4000</c:v>
                </c:pt>
                <c:pt idx="28">
                  <c:v>4000</c:v>
                </c:pt>
                <c:pt idx="29">
                  <c:v>4000</c:v>
                </c:pt>
                <c:pt idx="30">
                  <c:v>4000</c:v>
                </c:pt>
                <c:pt idx="31">
                  <c:v>4000</c:v>
                </c:pt>
                <c:pt idx="32">
                  <c:v>4000</c:v>
                </c:pt>
                <c:pt idx="33">
                  <c:v>4000</c:v>
                </c:pt>
                <c:pt idx="34">
                  <c:v>4000</c:v>
                </c:pt>
                <c:pt idx="35">
                  <c:v>4000</c:v>
                </c:pt>
                <c:pt idx="36">
                  <c:v>4000</c:v>
                </c:pt>
                <c:pt idx="37">
                  <c:v>4000</c:v>
                </c:pt>
                <c:pt idx="38">
                  <c:v>4000</c:v>
                </c:pt>
                <c:pt idx="39">
                  <c:v>4000</c:v>
                </c:pt>
                <c:pt idx="40">
                  <c:v>4000</c:v>
                </c:pt>
                <c:pt idx="41">
                  <c:v>4000</c:v>
                </c:pt>
                <c:pt idx="42">
                  <c:v>4000</c:v>
                </c:pt>
                <c:pt idx="43">
                  <c:v>4000</c:v>
                </c:pt>
                <c:pt idx="44">
                  <c:v>4000</c:v>
                </c:pt>
                <c:pt idx="45">
                  <c:v>4000</c:v>
                </c:pt>
                <c:pt idx="46">
                  <c:v>4000</c:v>
                </c:pt>
                <c:pt idx="47">
                  <c:v>4000</c:v>
                </c:pt>
                <c:pt idx="48">
                  <c:v>4000</c:v>
                </c:pt>
                <c:pt idx="49">
                  <c:v>4000</c:v>
                </c:pt>
                <c:pt idx="50">
                  <c:v>4000</c:v>
                </c:pt>
                <c:pt idx="51">
                  <c:v>4000</c:v>
                </c:pt>
                <c:pt idx="52">
                  <c:v>4000</c:v>
                </c:pt>
              </c:numCache>
            </c:numRef>
          </c:val>
        </c:ser>
        <c:ser>
          <c:idx val="2"/>
          <c:order val="3"/>
          <c:tx>
            <c:strRef>
              <c:f>'Dynamic Population'!$R$13</c:f>
              <c:strCache>
                <c:ptCount val="1"/>
                <c:pt idx="0">
                  <c:v>Anticipated Additional Capacity (AF)</c:v>
                </c:pt>
              </c:strCache>
            </c:strRef>
          </c:tx>
          <c:spPr>
            <a:ln w="25400">
              <a:noFill/>
            </a:ln>
          </c:spP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Population'!$R$14:$R$66</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er>
        <c:dLbls>
          <c:showLegendKey val="0"/>
          <c:showVal val="0"/>
          <c:showCatName val="0"/>
          <c:showSerName val="0"/>
          <c:showPercent val="0"/>
          <c:showBubbleSize val="0"/>
        </c:dLbls>
        <c:axId val="345687432"/>
        <c:axId val="398861880"/>
      </c:areaChart>
      <c:lineChart>
        <c:grouping val="standard"/>
        <c:varyColors val="0"/>
        <c:ser>
          <c:idx val="6"/>
          <c:order val="4"/>
          <c:tx>
            <c:strRef>
              <c:f>'Dynamic Population'!$S$13</c:f>
              <c:strCache>
                <c:ptCount val="1"/>
                <c:pt idx="0">
                  <c:v>Anticipated Supply after Evaporation</c:v>
                </c:pt>
              </c:strCache>
            </c:strRef>
          </c:tx>
          <c:spPr>
            <a:ln w="63500" cap="sq">
              <a:solidFill>
                <a:srgbClr val="D50909"/>
              </a:solidFill>
              <a:prstDash val="sysDot"/>
              <a:beve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Population'!$S$14:$S$66</c:f>
              <c:numCache>
                <c:formatCode>#,##0</c:formatCode>
                <c:ptCount val="53"/>
                <c:pt idx="0">
                  <c:v>62223.479999999996</c:v>
                </c:pt>
                <c:pt idx="1">
                  <c:v>62223.479999999996</c:v>
                </c:pt>
                <c:pt idx="2">
                  <c:v>62223.479999999996</c:v>
                </c:pt>
                <c:pt idx="3">
                  <c:v>62223.479999999996</c:v>
                </c:pt>
                <c:pt idx="4">
                  <c:v>62223.479999999996</c:v>
                </c:pt>
                <c:pt idx="5">
                  <c:v>62223.479999999996</c:v>
                </c:pt>
                <c:pt idx="6">
                  <c:v>62223.479999999996</c:v>
                </c:pt>
                <c:pt idx="7">
                  <c:v>66973.48</c:v>
                </c:pt>
                <c:pt idx="8">
                  <c:v>66973.48</c:v>
                </c:pt>
                <c:pt idx="9">
                  <c:v>66973.48</c:v>
                </c:pt>
                <c:pt idx="10">
                  <c:v>66973.48</c:v>
                </c:pt>
                <c:pt idx="11">
                  <c:v>70773.48</c:v>
                </c:pt>
                <c:pt idx="12">
                  <c:v>70773.48</c:v>
                </c:pt>
                <c:pt idx="13">
                  <c:v>70773.48</c:v>
                </c:pt>
                <c:pt idx="14">
                  <c:v>70773.48</c:v>
                </c:pt>
                <c:pt idx="15">
                  <c:v>70773.48</c:v>
                </c:pt>
                <c:pt idx="16">
                  <c:v>70773.48</c:v>
                </c:pt>
                <c:pt idx="17">
                  <c:v>70773.48</c:v>
                </c:pt>
                <c:pt idx="18">
                  <c:v>70773.48</c:v>
                </c:pt>
                <c:pt idx="19">
                  <c:v>70773.48</c:v>
                </c:pt>
                <c:pt idx="20">
                  <c:v>70773.48</c:v>
                </c:pt>
                <c:pt idx="21">
                  <c:v>70773.48</c:v>
                </c:pt>
                <c:pt idx="22">
                  <c:v>70773.48</c:v>
                </c:pt>
                <c:pt idx="23">
                  <c:v>70773.48</c:v>
                </c:pt>
                <c:pt idx="24">
                  <c:v>70773.48</c:v>
                </c:pt>
                <c:pt idx="25">
                  <c:v>70773.48</c:v>
                </c:pt>
                <c:pt idx="26">
                  <c:v>70773.48</c:v>
                </c:pt>
                <c:pt idx="27">
                  <c:v>70773.48</c:v>
                </c:pt>
                <c:pt idx="28">
                  <c:v>70773.48</c:v>
                </c:pt>
                <c:pt idx="29">
                  <c:v>70773.48</c:v>
                </c:pt>
                <c:pt idx="30">
                  <c:v>70773.48</c:v>
                </c:pt>
                <c:pt idx="31">
                  <c:v>70773.48</c:v>
                </c:pt>
                <c:pt idx="32">
                  <c:v>70773.48</c:v>
                </c:pt>
                <c:pt idx="33">
                  <c:v>70773.48</c:v>
                </c:pt>
                <c:pt idx="34">
                  <c:v>70773.48</c:v>
                </c:pt>
                <c:pt idx="35">
                  <c:v>70773.48</c:v>
                </c:pt>
                <c:pt idx="36">
                  <c:v>70773.48</c:v>
                </c:pt>
                <c:pt idx="37">
                  <c:v>70773.48</c:v>
                </c:pt>
                <c:pt idx="38">
                  <c:v>70773.48</c:v>
                </c:pt>
                <c:pt idx="39">
                  <c:v>70773.48</c:v>
                </c:pt>
                <c:pt idx="40">
                  <c:v>70773.48</c:v>
                </c:pt>
                <c:pt idx="41">
                  <c:v>70773.48</c:v>
                </c:pt>
                <c:pt idx="42">
                  <c:v>70773.48</c:v>
                </c:pt>
                <c:pt idx="43">
                  <c:v>70773.48</c:v>
                </c:pt>
                <c:pt idx="44">
                  <c:v>70773.48</c:v>
                </c:pt>
                <c:pt idx="45">
                  <c:v>70773.48</c:v>
                </c:pt>
                <c:pt idx="46">
                  <c:v>70773.48</c:v>
                </c:pt>
                <c:pt idx="47">
                  <c:v>70773.48</c:v>
                </c:pt>
                <c:pt idx="48">
                  <c:v>70773.48</c:v>
                </c:pt>
                <c:pt idx="49">
                  <c:v>70773.48</c:v>
                </c:pt>
                <c:pt idx="50">
                  <c:v>70773.48</c:v>
                </c:pt>
                <c:pt idx="51">
                  <c:v>70773.48</c:v>
                </c:pt>
                <c:pt idx="52">
                  <c:v>70773.48</c:v>
                </c:pt>
              </c:numCache>
            </c:numRef>
          </c:val>
          <c:smooth val="0"/>
        </c:ser>
        <c:ser>
          <c:idx val="4"/>
          <c:order val="5"/>
          <c:tx>
            <c:strRef>
              <c:f>'Dynamic Population'!$K$13</c:f>
              <c:strCache>
                <c:ptCount val="1"/>
                <c:pt idx="0">
                  <c:v>Demand with Conservation(AF)</c:v>
                </c:pt>
              </c:strCache>
            </c:strRef>
          </c:tx>
          <c:spPr>
            <a:ln w="63500">
              <a:solidFill>
                <a:srgbClr val="13771D"/>
              </a:solidFill>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Population'!$K$14:$K$66</c:f>
              <c:numCache>
                <c:formatCode>_(* #,##0_);_(* \(#,##0\);_(* "-"??_);_(@_)</c:formatCode>
                <c:ptCount val="53"/>
                <c:pt idx="0">
                  <c:v>40966.094557823133</c:v>
                </c:pt>
                <c:pt idx="1">
                  <c:v>41225.405442176867</c:v>
                </c:pt>
                <c:pt idx="2">
                  <c:v>42005.880952380954</c:v>
                </c:pt>
                <c:pt idx="3">
                  <c:v>43498.820368485714</c:v>
                </c:pt>
                <c:pt idx="4">
                  <c:v>45044.820642966151</c:v>
                </c:pt>
                <c:pt idx="5">
                  <c:v>46126</c:v>
                </c:pt>
                <c:pt idx="6">
                  <c:v>46973.433512062671</c:v>
                </c:pt>
                <c:pt idx="7">
                  <c:v>47831.7048908129</c:v>
                </c:pt>
                <c:pt idx="8">
                  <c:v>48700.743566781719</c:v>
                </c:pt>
                <c:pt idx="9">
                  <c:v>49580.466144983198</c:v>
                </c:pt>
                <c:pt idx="10">
                  <c:v>50470.775731180045</c:v>
                </c:pt>
                <c:pt idx="11">
                  <c:v>51371.561230163854</c:v>
                </c:pt>
                <c:pt idx="12">
                  <c:v>52282.696615002089</c:v>
                </c:pt>
                <c:pt idx="13">
                  <c:v>53204.040166166902</c:v>
                </c:pt>
                <c:pt idx="14">
                  <c:v>54135.433679422567</c:v>
                </c:pt>
                <c:pt idx="15">
                  <c:v>55076.70164130885</c:v>
                </c:pt>
                <c:pt idx="16">
                  <c:v>56027.650371016527</c:v>
                </c:pt>
                <c:pt idx="17">
                  <c:v>56988.067127409391</c:v>
                </c:pt>
                <c:pt idx="18">
                  <c:v>58465.696472939213</c:v>
                </c:pt>
                <c:pt idx="19">
                  <c:v>59981.26213363999</c:v>
                </c:pt>
                <c:pt idx="20">
                  <c:v>61535.726275040572</c:v>
                </c:pt>
                <c:pt idx="21">
                  <c:v>63130.075092332925</c:v>
                </c:pt>
                <c:pt idx="22">
                  <c:v>64765.319398544059</c:v>
                </c:pt>
                <c:pt idx="23">
                  <c:v>66442.495226715459</c:v>
                </c:pt>
                <c:pt idx="24">
                  <c:v>68162.664446411174</c:v>
                </c:pt>
                <c:pt idx="25">
                  <c:v>69926.915394881638</c:v>
                </c:pt>
                <c:pt idx="26">
                  <c:v>71736.36352321833</c:v>
                </c:pt>
                <c:pt idx="27">
                  <c:v>73592.152057840693</c:v>
                </c:pt>
                <c:pt idx="28">
                  <c:v>75495.452677664842</c:v>
                </c:pt>
                <c:pt idx="29">
                  <c:v>77447.466207309975</c:v>
                </c:pt>
                <c:pt idx="30">
                  <c:v>79449.423326707431</c:v>
                </c:pt>
                <c:pt idx="31">
                  <c:v>81502.58529748366</c:v>
                </c:pt>
                <c:pt idx="32">
                  <c:v>83608.244706497018</c:v>
                </c:pt>
                <c:pt idx="33">
                  <c:v>85767.726226916231</c:v>
                </c:pt>
                <c:pt idx="34">
                  <c:v>87982.387397236525</c:v>
                </c:pt>
                <c:pt idx="35">
                  <c:v>90253.61941863723</c:v>
                </c:pt>
                <c:pt idx="36">
                  <c:v>92582.847971094408</c:v>
                </c:pt>
                <c:pt idx="37">
                  <c:v>94971.534048668836</c:v>
                </c:pt>
                <c:pt idx="38">
                  <c:v>97421.174814400481</c:v>
                </c:pt>
                <c:pt idx="39">
                  <c:v>99933.304475247787</c:v>
                </c:pt>
                <c:pt idx="40">
                  <c:v>102509.49517752042</c:v>
                </c:pt>
                <c:pt idx="41">
                  <c:v>105151.35792326256</c:v>
                </c:pt>
                <c:pt idx="42">
                  <c:v>107860.54350805408</c:v>
                </c:pt>
                <c:pt idx="43">
                  <c:v>110934.5689980336</c:v>
                </c:pt>
                <c:pt idx="44">
                  <c:v>114096.20421447756</c:v>
                </c:pt>
                <c:pt idx="45">
                  <c:v>117347.94603459018</c:v>
                </c:pt>
                <c:pt idx="46">
                  <c:v>120692.362496576</c:v>
                </c:pt>
                <c:pt idx="47">
                  <c:v>124132.09482772842</c:v>
                </c:pt>
                <c:pt idx="48">
                  <c:v>127669.85953031869</c:v>
                </c:pt>
                <c:pt idx="49">
                  <c:v>131308.45052693275</c:v>
                </c:pt>
                <c:pt idx="50">
                  <c:v>135050.74136695033</c:v>
                </c:pt>
                <c:pt idx="51">
                  <c:v>138899.68749590841</c:v>
                </c:pt>
                <c:pt idx="52">
                  <c:v>142858.32858954181</c:v>
                </c:pt>
              </c:numCache>
            </c:numRef>
          </c:val>
          <c:smooth val="0"/>
        </c:ser>
        <c:ser>
          <c:idx val="5"/>
          <c:order val="6"/>
          <c:tx>
            <c:strRef>
              <c:f>'Dynamic Population'!$L$13</c:f>
              <c:strCache>
                <c:ptCount val="1"/>
                <c:pt idx="0">
                  <c:v>Demand Buffer (AF)</c:v>
                </c:pt>
              </c:strCache>
            </c:strRef>
          </c:tx>
          <c:spPr>
            <a:ln w="63500">
              <a:solidFill>
                <a:srgbClr val="13771D"/>
              </a:solidFill>
              <a:prstDash val="sysDash"/>
            </a:ln>
          </c:spPr>
          <c:marker>
            <c:symbol val="none"/>
          </c:marker>
          <c:cat>
            <c:numRef>
              <c:f>'Dynamic Population'!$A$14:$A$66</c:f>
              <c:numCache>
                <c:formatCode>0</c:formatCode>
                <c:ptCount val="5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pt idx="43">
                  <c:v>2051</c:v>
                </c:pt>
                <c:pt idx="44">
                  <c:v>2052</c:v>
                </c:pt>
                <c:pt idx="45">
                  <c:v>2053</c:v>
                </c:pt>
                <c:pt idx="46">
                  <c:v>2054</c:v>
                </c:pt>
                <c:pt idx="47">
                  <c:v>2055</c:v>
                </c:pt>
                <c:pt idx="48">
                  <c:v>2056</c:v>
                </c:pt>
                <c:pt idx="49">
                  <c:v>2057</c:v>
                </c:pt>
                <c:pt idx="50">
                  <c:v>2058</c:v>
                </c:pt>
                <c:pt idx="51">
                  <c:v>2059</c:v>
                </c:pt>
                <c:pt idx="52">
                  <c:v>2060</c:v>
                </c:pt>
              </c:numCache>
            </c:numRef>
          </c:cat>
          <c:val>
            <c:numRef>
              <c:f>'Dynamic Population'!$L$14:$L$66</c:f>
              <c:numCache>
                <c:formatCode>_(* #,##0_);_(* \(#,##0\);_(* "-"??_);_(@_)</c:formatCode>
                <c:ptCount val="53"/>
                <c:pt idx="0">
                  <c:v>42005.880952380954</c:v>
                </c:pt>
                <c:pt idx="1">
                  <c:v>43498.820368485714</c:v>
                </c:pt>
                <c:pt idx="2">
                  <c:v>45044.820642966151</c:v>
                </c:pt>
                <c:pt idx="3">
                  <c:v>46126</c:v>
                </c:pt>
                <c:pt idx="4">
                  <c:v>46973.433512062671</c:v>
                </c:pt>
                <c:pt idx="5">
                  <c:v>47831.7048908129</c:v>
                </c:pt>
                <c:pt idx="6">
                  <c:v>48700.743566781719</c:v>
                </c:pt>
                <c:pt idx="7">
                  <c:v>49580.466144983198</c:v>
                </c:pt>
                <c:pt idx="8">
                  <c:v>50470.775731180045</c:v>
                </c:pt>
                <c:pt idx="9">
                  <c:v>51371.561230163854</c:v>
                </c:pt>
                <c:pt idx="10">
                  <c:v>52282.696615002089</c:v>
                </c:pt>
                <c:pt idx="11">
                  <c:v>53204.040166166902</c:v>
                </c:pt>
                <c:pt idx="12">
                  <c:v>54135.433679422567</c:v>
                </c:pt>
                <c:pt idx="13">
                  <c:v>55076.70164130885</c:v>
                </c:pt>
                <c:pt idx="14">
                  <c:v>56027.650371016527</c:v>
                </c:pt>
                <c:pt idx="15">
                  <c:v>56988.067127409391</c:v>
                </c:pt>
                <c:pt idx="16">
                  <c:v>58465.696472939213</c:v>
                </c:pt>
                <c:pt idx="17">
                  <c:v>59981.26213363999</c:v>
                </c:pt>
                <c:pt idx="18">
                  <c:v>61535.726275040572</c:v>
                </c:pt>
                <c:pt idx="19">
                  <c:v>63130.075092332925</c:v>
                </c:pt>
                <c:pt idx="20">
                  <c:v>64765.319398544059</c:v>
                </c:pt>
                <c:pt idx="21">
                  <c:v>66442.495226715459</c:v>
                </c:pt>
                <c:pt idx="22">
                  <c:v>68162.664446411174</c:v>
                </c:pt>
                <c:pt idx="23">
                  <c:v>69926.915394881638</c:v>
                </c:pt>
                <c:pt idx="24">
                  <c:v>71736.36352321833</c:v>
                </c:pt>
                <c:pt idx="25">
                  <c:v>73592.152057840693</c:v>
                </c:pt>
                <c:pt idx="26">
                  <c:v>75495.452677664842</c:v>
                </c:pt>
                <c:pt idx="27">
                  <c:v>77447.466207309975</c:v>
                </c:pt>
                <c:pt idx="28">
                  <c:v>79449.423326707431</c:v>
                </c:pt>
                <c:pt idx="29">
                  <c:v>81502.58529748366</c:v>
                </c:pt>
                <c:pt idx="30">
                  <c:v>83608.244706497018</c:v>
                </c:pt>
                <c:pt idx="31">
                  <c:v>85767.726226916231</c:v>
                </c:pt>
                <c:pt idx="32">
                  <c:v>87982.387397236525</c:v>
                </c:pt>
                <c:pt idx="33">
                  <c:v>90253.61941863723</c:v>
                </c:pt>
                <c:pt idx="34">
                  <c:v>92582.847971094408</c:v>
                </c:pt>
                <c:pt idx="35">
                  <c:v>94971.534048668836</c:v>
                </c:pt>
                <c:pt idx="36">
                  <c:v>97421.174814400481</c:v>
                </c:pt>
                <c:pt idx="37">
                  <c:v>99933.304475247787</c:v>
                </c:pt>
                <c:pt idx="38">
                  <c:v>102509.49517752042</c:v>
                </c:pt>
                <c:pt idx="39">
                  <c:v>105151.35792326256</c:v>
                </c:pt>
                <c:pt idx="40">
                  <c:v>107860.54350805408</c:v>
                </c:pt>
                <c:pt idx="41">
                  <c:v>110934.5689980336</c:v>
                </c:pt>
                <c:pt idx="42">
                  <c:v>114096.20421447756</c:v>
                </c:pt>
                <c:pt idx="43">
                  <c:v>117347.94603459018</c:v>
                </c:pt>
                <c:pt idx="44">
                  <c:v>120692.362496576</c:v>
                </c:pt>
                <c:pt idx="45">
                  <c:v>124132.09482772842</c:v>
                </c:pt>
                <c:pt idx="46">
                  <c:v>127669.85953031869</c:v>
                </c:pt>
                <c:pt idx="47">
                  <c:v>131308.45052693275</c:v>
                </c:pt>
                <c:pt idx="48">
                  <c:v>135050.74136695033</c:v>
                </c:pt>
                <c:pt idx="49">
                  <c:v>138899.68749590841</c:v>
                </c:pt>
                <c:pt idx="50">
                  <c:v>142858.32858954181</c:v>
                </c:pt>
                <c:pt idx="51">
                  <c:v>146929.79095434371</c:v>
                </c:pt>
                <c:pt idx="52">
                  <c:v>151117.28999654253</c:v>
                </c:pt>
              </c:numCache>
            </c:numRef>
          </c:val>
          <c:smooth val="0"/>
        </c:ser>
        <c:dLbls>
          <c:showLegendKey val="0"/>
          <c:showVal val="0"/>
          <c:showCatName val="0"/>
          <c:showSerName val="0"/>
          <c:showPercent val="0"/>
          <c:showBubbleSize val="0"/>
        </c:dLbls>
        <c:marker val="1"/>
        <c:smooth val="0"/>
        <c:axId val="345687432"/>
        <c:axId val="398861880"/>
      </c:lineChart>
      <c:dateAx>
        <c:axId val="345687432"/>
        <c:scaling>
          <c:orientation val="minMax"/>
        </c:scaling>
        <c:delete val="0"/>
        <c:axPos val="b"/>
        <c:numFmt formatCode="0" sourceLinked="0"/>
        <c:majorTickMark val="out"/>
        <c:minorTickMark val="out"/>
        <c:tickLblPos val="nextTo"/>
        <c:txPr>
          <a:bodyPr/>
          <a:lstStyle/>
          <a:p>
            <a:pPr>
              <a:defRPr sz="1200" b="1">
                <a:latin typeface="Arial Narrow" pitchFamily="34" charset="0"/>
              </a:defRPr>
            </a:pPr>
            <a:endParaRPr lang="en-US"/>
          </a:p>
        </c:txPr>
        <c:crossAx val="398861880"/>
        <c:crosses val="autoZero"/>
        <c:auto val="0"/>
        <c:lblOffset val="100"/>
        <c:baseTimeUnit val="days"/>
        <c:majorUnit val="5"/>
      </c:dateAx>
      <c:valAx>
        <c:axId val="398861880"/>
        <c:scaling>
          <c:orientation val="minMax"/>
          <c:max val="200000"/>
        </c:scaling>
        <c:delete val="0"/>
        <c:axPos val="l"/>
        <c:majorGridlines/>
        <c:numFmt formatCode="#,##0" sourceLinked="1"/>
        <c:majorTickMark val="out"/>
        <c:minorTickMark val="none"/>
        <c:tickLblPos val="nextTo"/>
        <c:txPr>
          <a:bodyPr/>
          <a:lstStyle/>
          <a:p>
            <a:pPr>
              <a:defRPr sz="1200" b="1">
                <a:latin typeface="Arial Narrow" pitchFamily="34" charset="0"/>
              </a:defRPr>
            </a:pPr>
            <a:endParaRPr lang="en-US"/>
          </a:p>
        </c:txPr>
        <c:crossAx val="345687432"/>
        <c:crosses val="autoZero"/>
        <c:crossBetween val="between"/>
      </c:valAx>
    </c:plotArea>
    <c:legend>
      <c:legendPos val="r"/>
      <c:legendEntry>
        <c:idx val="3"/>
        <c:txPr>
          <a:bodyPr/>
          <a:lstStyle/>
          <a:p>
            <a:pPr>
              <a:defRPr sz="1400">
                <a:latin typeface="Arial Narrow" pitchFamily="34" charset="0"/>
              </a:defRPr>
            </a:pPr>
            <a:endParaRPr lang="en-US"/>
          </a:p>
        </c:txPr>
      </c:legendEntry>
      <c:layout>
        <c:manualLayout>
          <c:xMode val="edge"/>
          <c:yMode val="edge"/>
          <c:x val="7.5476247194268778E-2"/>
          <c:y val="0.19014376986902831"/>
          <c:w val="0.35100192252903784"/>
          <c:h val="0.26296691460294119"/>
        </c:manualLayout>
      </c:layout>
      <c:overlay val="0"/>
      <c:spPr>
        <a:solidFill>
          <a:schemeClr val="bg1"/>
        </a:solidFill>
      </c:spPr>
      <c:txPr>
        <a:bodyPr/>
        <a:lstStyle/>
        <a:p>
          <a:pPr>
            <a:defRPr sz="1400">
              <a:latin typeface="Arial Narrow" pitchFamily="34" charset="0"/>
            </a:defRPr>
          </a:pPr>
          <a:endParaRPr lang="en-US"/>
        </a:p>
      </c:txPr>
    </c:legend>
    <c:plotVisOnly val="0"/>
    <c:dispBlanksAs val="gap"/>
    <c:showDLblsOverMax val="0"/>
  </c:chart>
  <c:spPr>
    <a:noFill/>
  </c:sp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10.xml><?xml version="1.0" encoding="utf-8"?>
<chartsheet xmlns="http://schemas.openxmlformats.org/spreadsheetml/2006/main" xmlns:r="http://schemas.openxmlformats.org/officeDocument/2006/relationships">
  <sheetPr>
    <tabColor theme="1" tint="4.9989318521683403E-2"/>
  </sheetPr>
  <sheetViews>
    <sheetView zoomScale="117" workbookViewId="0" zoomToFit="1"/>
  </sheetViews>
  <pageMargins left="0.7" right="0.7" top="0.75" bottom="0.7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sheetPr>
    <tabColor theme="1"/>
  </sheetPr>
  <sheetViews>
    <sheetView zoomScale="119" workbookViewId="0" zoomToFit="1"/>
  </sheetViews>
  <pageMargins left="0.7" right="0.7" top="0.75" bottom="0.7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sheetPr>
    <tabColor theme="1"/>
  </sheetPr>
  <sheetViews>
    <sheetView zoomScale="119" workbookViewId="0" zoomToFit="1"/>
  </sheetViews>
  <pageMargins left="0.7" right="0.7" top="0.75" bottom="0.7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sheetPr>
    <tabColor theme="1"/>
  </sheetPr>
  <sheetViews>
    <sheetView zoomScale="132" workbookViewId="0" zoomToFit="1"/>
  </sheetViews>
  <pageMargins left="0.7" right="0.7" top="0.75" bottom="0.7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sheetPr>
    <tabColor theme="1"/>
  </sheetPr>
  <sheetViews>
    <sheetView zoomScale="119" workbookViewId="0" zoomToFit="1"/>
  </sheetViews>
  <pageMargins left="0.7" right="0.7" top="0.75" bottom="0.7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20.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tabColor theme="1"/>
  </sheetPr>
  <sheetViews>
    <sheetView zoomScale="115" workbookViewId="0"/>
  </sheetViews>
  <pageMargins left="0.7" right="0.7" top="0.75" bottom="0.7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sheetPr>
    <tabColor theme="1"/>
  </sheetPr>
  <sheetViews>
    <sheetView zoomScale="119" workbookViewId="0" zoomToFit="1"/>
  </sheetViews>
  <pageMargins left="0.7" right="0.7" top="0.75" bottom="0.7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sheetPr>
    <tabColor theme="1"/>
  </sheetPr>
  <sheetViews>
    <sheetView zoomScale="117"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jpeg"/><Relationship Id="rId4"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285751</xdr:colOff>
      <xdr:row>0</xdr:row>
      <xdr:rowOff>0</xdr:rowOff>
    </xdr:from>
    <xdr:to>
      <xdr:col>17</xdr:col>
      <xdr:colOff>457201</xdr:colOff>
      <xdr:row>39</xdr:row>
      <xdr:rowOff>14287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1" y="0"/>
          <a:ext cx="9925050" cy="74437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8254</xdr:colOff>
      <xdr:row>0</xdr:row>
      <xdr:rowOff>8260</xdr:rowOff>
    </xdr:from>
    <xdr:to>
      <xdr:col>13</xdr:col>
      <xdr:colOff>160020</xdr:colOff>
      <xdr:row>4</xdr:row>
      <xdr:rowOff>32332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4" y="8260"/>
          <a:ext cx="9150986" cy="6641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8254</xdr:colOff>
      <xdr:row>0</xdr:row>
      <xdr:rowOff>0</xdr:rowOff>
    </xdr:from>
    <xdr:to>
      <xdr:col>13</xdr:col>
      <xdr:colOff>205740</xdr:colOff>
      <xdr:row>4</xdr:row>
      <xdr:rowOff>24072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4" y="0"/>
          <a:ext cx="9714866" cy="664152"/>
        </a:xfrm>
        <a:prstGeom prst="rect">
          <a:avLst/>
        </a:prstGeom>
      </xdr:spPr>
    </xdr:pic>
    <xdr:clientData/>
  </xdr:twoCellAnchor>
  <xdr:twoCellAnchor editAs="oneCell">
    <xdr:from>
      <xdr:col>2</xdr:col>
      <xdr:colOff>358140</xdr:colOff>
      <xdr:row>13</xdr:row>
      <xdr:rowOff>167640</xdr:rowOff>
    </xdr:from>
    <xdr:to>
      <xdr:col>4</xdr:col>
      <xdr:colOff>40005</xdr:colOff>
      <xdr:row>17</xdr:row>
      <xdr:rowOff>136758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920" y="3185160"/>
          <a:ext cx="901065" cy="9063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851374</xdr:colOff>
      <xdr:row>3</xdr:row>
      <xdr:rowOff>100965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57545" cy="586740"/>
        </a:xfrm>
        <a:prstGeom prst="rect">
          <a:avLst/>
        </a:prstGeom>
      </xdr:spPr>
    </xdr:pic>
    <xdr:clientData/>
  </xdr:twoCellAnchor>
  <xdr:twoCellAnchor editAs="oneCell">
    <xdr:from>
      <xdr:col>1</xdr:col>
      <xdr:colOff>550546</xdr:colOff>
      <xdr:row>15</xdr:row>
      <xdr:rowOff>127636</xdr:rowOff>
    </xdr:from>
    <xdr:to>
      <xdr:col>3</xdr:col>
      <xdr:colOff>353950</xdr:colOff>
      <xdr:row>19</xdr:row>
      <xdr:rowOff>72529</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146" y="3449956"/>
          <a:ext cx="969264" cy="978442"/>
        </a:xfrm>
        <a:prstGeom prst="rect">
          <a:avLst/>
        </a:prstGeom>
      </xdr:spPr>
    </xdr:pic>
    <xdr:clientData/>
  </xdr:twoCellAnchor>
  <xdr:twoCellAnchor editAs="oneCell">
    <xdr:from>
      <xdr:col>2</xdr:col>
      <xdr:colOff>1906</xdr:colOff>
      <xdr:row>21</xdr:row>
      <xdr:rowOff>53341</xdr:rowOff>
    </xdr:from>
    <xdr:to>
      <xdr:col>3</xdr:col>
      <xdr:colOff>361570</xdr:colOff>
      <xdr:row>23</xdr:row>
      <xdr:rowOff>125004</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1106" y="4968241"/>
          <a:ext cx="969264" cy="978442"/>
        </a:xfrm>
        <a:prstGeom prst="rect">
          <a:avLst/>
        </a:prstGeom>
      </xdr:spPr>
    </xdr:pic>
    <xdr:clientData/>
  </xdr:twoCellAnchor>
  <xdr:twoCellAnchor editAs="oneCell">
    <xdr:from>
      <xdr:col>2</xdr:col>
      <xdr:colOff>91440</xdr:colOff>
      <xdr:row>24</xdr:row>
      <xdr:rowOff>38100</xdr:rowOff>
    </xdr:from>
    <xdr:to>
      <xdr:col>3</xdr:col>
      <xdr:colOff>371867</xdr:colOff>
      <xdr:row>28</xdr:row>
      <xdr:rowOff>166127</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0640" y="4968240"/>
          <a:ext cx="890027" cy="8900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absoluteAnchor>
    <xdr:pos x="-535354" y="0"/>
    <xdr:ext cx="9197405" cy="628617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1</xdr:col>
      <xdr:colOff>458804</xdr:colOff>
      <xdr:row>13</xdr:row>
      <xdr:rowOff>76201</xdr:rowOff>
    </xdr:from>
    <xdr:to>
      <xdr:col>3</xdr:col>
      <xdr:colOff>202289</xdr:colOff>
      <xdr:row>17</xdr:row>
      <xdr:rowOff>121540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404" y="2619376"/>
          <a:ext cx="962685" cy="969264"/>
        </a:xfrm>
        <a:prstGeom prst="rect">
          <a:avLst/>
        </a:prstGeom>
      </xdr:spPr>
    </xdr:pic>
    <xdr:clientData/>
  </xdr:twoCellAnchor>
  <xdr:twoCellAnchor editAs="oneCell">
    <xdr:from>
      <xdr:col>0</xdr:col>
      <xdr:colOff>8254</xdr:colOff>
      <xdr:row>0</xdr:row>
      <xdr:rowOff>8260</xdr:rowOff>
    </xdr:from>
    <xdr:to>
      <xdr:col>14</xdr:col>
      <xdr:colOff>142816</xdr:colOff>
      <xdr:row>3</xdr:row>
      <xdr:rowOff>108532</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 y="8260"/>
          <a:ext cx="10055802" cy="5803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absoluteAnchor>
    <xdr:pos x="-535354" y="0"/>
    <xdr:ext cx="9197405" cy="628617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0.00063</cdr:y>
    </cdr:from>
    <cdr:to>
      <cdr:x>1</cdr:x>
      <cdr:y>0.09399</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3956"/>
          <a:ext cx="8666189" cy="587491"/>
        </a:xfrm>
        <a:prstGeom xmlns:a="http://schemas.openxmlformats.org/drawingml/2006/main" prst="rect">
          <a:avLst/>
        </a:prstGeom>
      </cdr:spPr>
    </cdr:pic>
  </cdr:relSizeAnchor>
  <cdr:relSizeAnchor xmlns:cdr="http://schemas.openxmlformats.org/drawingml/2006/chartDrawing">
    <cdr:from>
      <cdr:x>0.28737</cdr:x>
      <cdr:y>0.09429</cdr:y>
    </cdr:from>
    <cdr:to>
      <cdr:x>0.76374</cdr:x>
      <cdr:y>0.18194</cdr:y>
    </cdr:to>
    <cdr:sp macro="" textlink="">
      <cdr:nvSpPr>
        <cdr:cNvPr id="3" name="TextBox 2"/>
        <cdr:cNvSpPr txBox="1"/>
      </cdr:nvSpPr>
      <cdr:spPr>
        <a:xfrm xmlns:a="http://schemas.openxmlformats.org/drawingml/2006/main">
          <a:off x="2489869" y="593224"/>
          <a:ext cx="4127500" cy="55144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1">
              <a:latin typeface="Arial Narrow" panose="020B0606020202030204" pitchFamily="34" charset="0"/>
            </a:rPr>
            <a:t>Cumulative Costs of Water Conservation</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193630</xdr:colOff>
      <xdr:row>3</xdr:row>
      <xdr:rowOff>100965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57545" cy="586740"/>
        </a:xfrm>
        <a:prstGeom prst="rect">
          <a:avLst/>
        </a:prstGeom>
      </xdr:spPr>
    </xdr:pic>
    <xdr:clientData/>
  </xdr:twoCellAnchor>
  <xdr:twoCellAnchor editAs="oneCell">
    <xdr:from>
      <xdr:col>0</xdr:col>
      <xdr:colOff>0</xdr:colOff>
      <xdr:row>15</xdr:row>
      <xdr:rowOff>13727</xdr:rowOff>
    </xdr:from>
    <xdr:to>
      <xdr:col>4</xdr:col>
      <xdr:colOff>213359</xdr:colOff>
      <xdr:row>18</xdr:row>
      <xdr:rowOff>112786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695967"/>
          <a:ext cx="1181099" cy="118109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14</xdr:col>
      <xdr:colOff>264115</xdr:colOff>
      <xdr:row>3</xdr:row>
      <xdr:rowOff>108585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
          <a:ext cx="8661355" cy="581025"/>
        </a:xfrm>
        <a:prstGeom prst="rect">
          <a:avLst/>
        </a:prstGeom>
      </xdr:spPr>
    </xdr:pic>
    <xdr:clientData/>
  </xdr:twoCellAnchor>
  <xdr:twoCellAnchor editAs="oneCell">
    <xdr:from>
      <xdr:col>2</xdr:col>
      <xdr:colOff>7621</xdr:colOff>
      <xdr:row>14</xdr:row>
      <xdr:rowOff>110882</xdr:rowOff>
    </xdr:from>
    <xdr:to>
      <xdr:col>5</xdr:col>
      <xdr:colOff>22860</xdr:colOff>
      <xdr:row>16</xdr:row>
      <xdr:rowOff>65161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6821" y="2991242"/>
          <a:ext cx="1104899" cy="110489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812696" cy="639549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31.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528204</xdr:colOff>
      <xdr:row>3</xdr:row>
      <xdr:rowOff>100965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29454" cy="594533"/>
        </a:xfrm>
        <a:prstGeom prst="rect">
          <a:avLst/>
        </a:prstGeom>
      </xdr:spPr>
    </xdr:pic>
    <xdr:clientData/>
  </xdr:twoCellAnchor>
  <xdr:twoCellAnchor editAs="oneCell">
    <xdr:from>
      <xdr:col>2</xdr:col>
      <xdr:colOff>38100</xdr:colOff>
      <xdr:row>13</xdr:row>
      <xdr:rowOff>15240</xdr:rowOff>
    </xdr:from>
    <xdr:to>
      <xdr:col>3</xdr:col>
      <xdr:colOff>67067</xdr:colOff>
      <xdr:row>13</xdr:row>
      <xdr:rowOff>905267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960" y="2804160"/>
          <a:ext cx="890027" cy="890027"/>
        </a:xfrm>
        <a:prstGeom prst="rect">
          <a:avLst/>
        </a:prstGeom>
      </xdr:spPr>
    </xdr:pic>
    <xdr:clientData/>
  </xdr:twoCellAnchor>
  <xdr:twoCellAnchor editAs="oneCell">
    <xdr:from>
      <xdr:col>2</xdr:col>
      <xdr:colOff>22860</xdr:colOff>
      <xdr:row>15</xdr:row>
      <xdr:rowOff>22860</xdr:rowOff>
    </xdr:from>
    <xdr:to>
      <xdr:col>3</xdr:col>
      <xdr:colOff>62865</xdr:colOff>
      <xdr:row>15</xdr:row>
      <xdr:rowOff>929238</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20" y="3916680"/>
          <a:ext cx="901065" cy="906378"/>
        </a:xfrm>
        <a:prstGeom prst="rect">
          <a:avLst/>
        </a:prstGeom>
      </xdr:spPr>
    </xdr:pic>
    <xdr:clientData/>
  </xdr:twoCellAnchor>
  <xdr:twoCellAnchor editAs="oneCell">
    <xdr:from>
      <xdr:col>0</xdr:col>
      <xdr:colOff>281940</xdr:colOff>
      <xdr:row>19</xdr:row>
      <xdr:rowOff>30480</xdr:rowOff>
    </xdr:from>
    <xdr:to>
      <xdr:col>3</xdr:col>
      <xdr:colOff>121919</xdr:colOff>
      <xdr:row>21</xdr:row>
      <xdr:rowOff>114299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1940" y="4556760"/>
          <a:ext cx="1104899" cy="110489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2133600</xdr:colOff>
      <xdr:row>1</xdr:row>
      <xdr:rowOff>396240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58500" cy="5867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17</xdr:col>
      <xdr:colOff>19050</xdr:colOff>
      <xdr:row>3</xdr:row>
      <xdr:rowOff>110490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0858500" cy="586740"/>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1</cdr:x>
      <cdr:y>0.09336</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657545" cy="586740"/>
        </a:xfrm>
        <a:prstGeom xmlns:a="http://schemas.openxmlformats.org/drawingml/2006/main" prst="rect">
          <a:avLst/>
        </a:prstGeom>
      </cdr:spPr>
    </cdr:pic>
  </cdr:relSizeAnchor>
</c:userShapes>
</file>

<file path=xl/drawings/drawing40.xml><?xml version="1.0" encoding="utf-8"?>
<xdr:wsDr xmlns:xdr="http://schemas.openxmlformats.org/drawingml/2006/spreadsheetDrawing" xmlns:a="http://schemas.openxmlformats.org/drawingml/2006/main">
  <xdr:absoluteAnchor>
    <xdr:pos x="0" y="0"/>
    <xdr:ext cx="8659091" cy="62850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42.xml><?xml version="1.0" encoding="utf-8"?>
<xdr:wsDr xmlns:xdr="http://schemas.openxmlformats.org/drawingml/2006/spreadsheetDrawing" xmlns:a="http://schemas.openxmlformats.org/drawingml/2006/main">
  <xdr:twoCellAnchor>
    <xdr:from>
      <xdr:col>2</xdr:col>
      <xdr:colOff>18521</xdr:colOff>
      <xdr:row>162</xdr:row>
      <xdr:rowOff>52917</xdr:rowOff>
    </xdr:from>
    <xdr:to>
      <xdr:col>6</xdr:col>
      <xdr:colOff>550335</xdr:colOff>
      <xdr:row>185</xdr:row>
      <xdr:rowOff>84666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973666</xdr:colOff>
      <xdr:row>162</xdr:row>
      <xdr:rowOff>84666</xdr:rowOff>
    </xdr:from>
    <xdr:to>
      <xdr:col>14</xdr:col>
      <xdr:colOff>74083</xdr:colOff>
      <xdr:row>185</xdr:row>
      <xdr:rowOff>21166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338668</xdr:colOff>
      <xdr:row>162</xdr:row>
      <xdr:rowOff>127000</xdr:rowOff>
    </xdr:from>
    <xdr:to>
      <xdr:col>21</xdr:col>
      <xdr:colOff>902231</xdr:colOff>
      <xdr:row>179</xdr:row>
      <xdr:rowOff>10582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2999101</xdr:colOff>
      <xdr:row>3</xdr:row>
      <xdr:rowOff>100965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368893" cy="590822"/>
        </a:xfrm>
        <a:prstGeom prst="rect">
          <a:avLst/>
        </a:prstGeom>
      </xdr:spPr>
    </xdr:pic>
    <xdr:clientData/>
  </xdr:twoCellAnchor>
  <xdr:twoCellAnchor editAs="oneCell">
    <xdr:from>
      <xdr:col>0</xdr:col>
      <xdr:colOff>22860</xdr:colOff>
      <xdr:row>11</xdr:row>
      <xdr:rowOff>22860</xdr:rowOff>
    </xdr:from>
    <xdr:to>
      <xdr:col>1</xdr:col>
      <xdr:colOff>517212</xdr:colOff>
      <xdr:row>11</xdr:row>
      <xdr:rowOff>22860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10" y="3975735"/>
          <a:ext cx="897255" cy="9063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125050</xdr:colOff>
      <xdr:row>3</xdr:row>
      <xdr:rowOff>100965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57545" cy="58674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47.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49.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8254</xdr:colOff>
      <xdr:row>0</xdr:row>
      <xdr:rowOff>8260</xdr:rowOff>
    </xdr:from>
    <xdr:to>
      <xdr:col>14</xdr:col>
      <xdr:colOff>417136</xdr:colOff>
      <xdr:row>1</xdr:row>
      <xdr:rowOff>9472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4" y="8260"/>
          <a:ext cx="10055802" cy="580332"/>
        </a:xfrm>
        <a:prstGeom prst="rect">
          <a:avLst/>
        </a:prstGeom>
      </xdr:spPr>
    </xdr:pic>
    <xdr:clientData/>
  </xdr:twoCellAnchor>
  <xdr:twoCellAnchor editAs="oneCell">
    <xdr:from>
      <xdr:col>2</xdr:col>
      <xdr:colOff>340995</xdr:colOff>
      <xdr:row>15</xdr:row>
      <xdr:rowOff>483869</xdr:rowOff>
    </xdr:from>
    <xdr:to>
      <xdr:col>4</xdr:col>
      <xdr:colOff>22860</xdr:colOff>
      <xdr:row>19</xdr:row>
      <xdr:rowOff>292967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0195" y="4606289"/>
          <a:ext cx="901065" cy="906378"/>
        </a:xfrm>
        <a:prstGeom prst="rect">
          <a:avLst/>
        </a:prstGeom>
      </xdr:spPr>
    </xdr:pic>
    <xdr:clientData/>
  </xdr:twoCellAnchor>
  <xdr:twoCellAnchor editAs="oneCell">
    <xdr:from>
      <xdr:col>2</xdr:col>
      <xdr:colOff>358140</xdr:colOff>
      <xdr:row>11</xdr:row>
      <xdr:rowOff>63580</xdr:rowOff>
    </xdr:from>
    <xdr:to>
      <xdr:col>3</xdr:col>
      <xdr:colOff>601980</xdr:colOff>
      <xdr:row>14</xdr:row>
      <xdr:rowOff>163101</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340" y="2890600"/>
          <a:ext cx="853440" cy="861521"/>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5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53.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1771650</xdr:colOff>
      <xdr:row>1</xdr:row>
      <xdr:rowOff>396240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58500" cy="58674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8</xdr:col>
      <xdr:colOff>2305050</xdr:colOff>
      <xdr:row>1</xdr:row>
      <xdr:rowOff>405765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0858500" cy="58674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87</xdr:col>
      <xdr:colOff>57150</xdr:colOff>
      <xdr:row>11</xdr:row>
      <xdr:rowOff>66675</xdr:rowOff>
    </xdr:from>
    <xdr:to>
      <xdr:col>94</xdr:col>
      <xdr:colOff>361950</xdr:colOff>
      <xdr:row>25</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cdr:x>
      <cdr:y>0</cdr:y>
    </cdr:from>
    <cdr:to>
      <cdr:x>1</cdr:x>
      <cdr:y>0.09336</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10058400" cy="586740"/>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wcwcd.org/wp-content/uploads/2013/01/2013-FACTS-LPP-Costs-reliability-2013-01.07.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sandiego.gov/water/rates/rates/index.shtml" TargetMode="External"/><Relationship Id="rId13" Type="http://schemas.openxmlformats.org/officeDocument/2006/relationships/hyperlink" Target="http://www.sbcity.org/water/residents/rates.asp" TargetMode="External"/><Relationship Id="rId18" Type="http://schemas.openxmlformats.org/officeDocument/2006/relationships/hyperlink" Target="http://www.cityofhenderson.com/utility_services/docs/servicerulesupdate2012-8-25_surchgcredit_.pdf" TargetMode="External"/><Relationship Id="rId3" Type="http://schemas.openxmlformats.org/officeDocument/2006/relationships/hyperlink" Target="http://cms3.tucsonaz.gov/water/rates/potable" TargetMode="External"/><Relationship Id="rId21" Type="http://schemas.openxmlformats.org/officeDocument/2006/relationships/printerSettings" Target="../printerSettings/printerSettings55.bin"/><Relationship Id="rId7" Type="http://schemas.openxmlformats.org/officeDocument/2006/relationships/hyperlink" Target="http://www.lvvwd.com/custserv/billing_rates_snwa_charges.html" TargetMode="External"/><Relationship Id="rId12" Type="http://schemas.openxmlformats.org/officeDocument/2006/relationships/hyperlink" Target="https://www.ladwp.com/ladwp/faces/wcnav_externalId/a-fr-schedul-a-res?_adf.ctrl-state=uj6inlrzs_663&amp;_afrLoop=408447866240455&amp;_afrWindowMode=0&amp;_afrWindowId=null" TargetMode="External"/><Relationship Id="rId17" Type="http://schemas.openxmlformats.org/officeDocument/2006/relationships/hyperlink" Target="http://www.cityofhenderson.com/utility_services/rates.php" TargetMode="External"/><Relationship Id="rId2" Type="http://schemas.openxmlformats.org/officeDocument/2006/relationships/hyperlink" Target="http://www.seattle.gov/util/MyServices/Rates/WaterRates/ResidentialRates/index.htm" TargetMode="External"/><Relationship Id="rId16" Type="http://schemas.openxmlformats.org/officeDocument/2006/relationships/hyperlink" Target="http://www.abcwua.org/Water_Rates.aspx" TargetMode="External"/><Relationship Id="rId20" Type="http://schemas.openxmlformats.org/officeDocument/2006/relationships/hyperlink" Target="http://www.unitedwater.com/uploadedFiles/Localized_Content/UW_Idaho/RB/2013%20rates.pdf" TargetMode="External"/><Relationship Id="rId1" Type="http://schemas.openxmlformats.org/officeDocument/2006/relationships/hyperlink" Target="http://www.sgcity.org/utilities/rates.php" TargetMode="External"/><Relationship Id="rId6" Type="http://schemas.openxmlformats.org/officeDocument/2006/relationships/hyperlink" Target="http://www.lvvwd.com/custserv/billing_rates_thresholds.html" TargetMode="External"/><Relationship Id="rId11" Type="http://schemas.openxmlformats.org/officeDocument/2006/relationships/hyperlink" Target="https://www.csu.org/Pages/tiered-water-rates.aspx" TargetMode="External"/><Relationship Id="rId5" Type="http://schemas.openxmlformats.org/officeDocument/2006/relationships/hyperlink" Target="http://phoenix.gov/waterservices/customerservices/rates/" TargetMode="External"/><Relationship Id="rId15" Type="http://schemas.openxmlformats.org/officeDocument/2006/relationships/hyperlink" Target="http://www.sfwater.org/index.aspx?page=168" TargetMode="External"/><Relationship Id="rId10" Type="http://schemas.openxmlformats.org/officeDocument/2006/relationships/hyperlink" Target="http://www.portlandoregon.gov/water/article/27449" TargetMode="External"/><Relationship Id="rId19" Type="http://schemas.openxmlformats.org/officeDocument/2006/relationships/hyperlink" Target="http://www.slcdocs.com/utilities/PDF%20Files/UtilityRates/Waterratesweb2013.pdf" TargetMode="External"/><Relationship Id="rId4" Type="http://schemas.openxmlformats.org/officeDocument/2006/relationships/hyperlink" Target="http://www.denverwater.org/BillingRates/RatesCharges/2013Rates/InsideCity/" TargetMode="External"/><Relationship Id="rId9" Type="http://schemas.openxmlformats.org/officeDocument/2006/relationships/hyperlink" Target="http://www.portlandoregon.gov/water/article/27451" TargetMode="External"/><Relationship Id="rId14" Type="http://schemas.openxmlformats.org/officeDocument/2006/relationships/hyperlink" Target="http://www.sjwater.com/for_your_home/home_customer_care/rates_regulations/general_rate_schedules_for_billing/"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sandiego.gov/water/rates/rates/index.shtml" TargetMode="External"/><Relationship Id="rId13" Type="http://schemas.openxmlformats.org/officeDocument/2006/relationships/hyperlink" Target="http://www.sbcity.org/water/residents/rates.asp" TargetMode="External"/><Relationship Id="rId18" Type="http://schemas.openxmlformats.org/officeDocument/2006/relationships/hyperlink" Target="http://www.cityofhenderson.com/utility_services/docs/servicerulesupdate2012-8-25_surchgcredit_.pdf" TargetMode="External"/><Relationship Id="rId3" Type="http://schemas.openxmlformats.org/officeDocument/2006/relationships/hyperlink" Target="http://cms3.tucsonaz.gov/water/rates/potable" TargetMode="External"/><Relationship Id="rId21" Type="http://schemas.openxmlformats.org/officeDocument/2006/relationships/printerSettings" Target="../printerSettings/printerSettings56.bin"/><Relationship Id="rId7" Type="http://schemas.openxmlformats.org/officeDocument/2006/relationships/hyperlink" Target="http://www.lvvwd.com/custserv/billing_rates_snwa_charges.html" TargetMode="External"/><Relationship Id="rId12" Type="http://schemas.openxmlformats.org/officeDocument/2006/relationships/hyperlink" Target="https://www.ladwp.com/ladwp/faces/wcnav_externalId/a-fr-schedul-a-res?_adf.ctrl-state=uj6inlrzs_663&amp;_afrLoop=408447866240455&amp;_afrWindowMode=0&amp;_afrWindowId=null" TargetMode="External"/><Relationship Id="rId17" Type="http://schemas.openxmlformats.org/officeDocument/2006/relationships/hyperlink" Target="http://www.cityofhenderson.com/utility_services/rates.php" TargetMode="External"/><Relationship Id="rId2" Type="http://schemas.openxmlformats.org/officeDocument/2006/relationships/hyperlink" Target="http://www.seattle.gov/util/MyServices/Rates/WaterRates/ResidentialRates/index.htm" TargetMode="External"/><Relationship Id="rId16" Type="http://schemas.openxmlformats.org/officeDocument/2006/relationships/hyperlink" Target="http://www.abcwua.org/Water_Rates.aspx" TargetMode="External"/><Relationship Id="rId20" Type="http://schemas.openxmlformats.org/officeDocument/2006/relationships/hyperlink" Target="http://www.unitedwater.com/uploadedFiles/Localized_Content/UW_Idaho/RB/2013%20rates.pdf" TargetMode="External"/><Relationship Id="rId1" Type="http://schemas.openxmlformats.org/officeDocument/2006/relationships/hyperlink" Target="http://www.sgcity.org/utilities/rates.php" TargetMode="External"/><Relationship Id="rId6" Type="http://schemas.openxmlformats.org/officeDocument/2006/relationships/hyperlink" Target="http://www.lvvwd.com/custserv/billing_rates_thresholds.html" TargetMode="External"/><Relationship Id="rId11" Type="http://schemas.openxmlformats.org/officeDocument/2006/relationships/hyperlink" Target="https://www.csu.org/Pages/tiered-water-rates.aspx" TargetMode="External"/><Relationship Id="rId5" Type="http://schemas.openxmlformats.org/officeDocument/2006/relationships/hyperlink" Target="http://phoenix.gov/waterservices/customerservices/rates/" TargetMode="External"/><Relationship Id="rId15" Type="http://schemas.openxmlformats.org/officeDocument/2006/relationships/hyperlink" Target="http://www.sfwater.org/index.aspx?page=168" TargetMode="External"/><Relationship Id="rId10" Type="http://schemas.openxmlformats.org/officeDocument/2006/relationships/hyperlink" Target="http://www.portlandoregon.gov/water/article/27449" TargetMode="External"/><Relationship Id="rId19" Type="http://schemas.openxmlformats.org/officeDocument/2006/relationships/hyperlink" Target="http://www.slcdocs.com/utilities/PDF%20Files/UtilityRates/Waterratesweb2013.pdf" TargetMode="External"/><Relationship Id="rId4" Type="http://schemas.openxmlformats.org/officeDocument/2006/relationships/hyperlink" Target="http://www.denverwater.org/BillingRates/RatesCharges/2013Rates/InsideCity/" TargetMode="External"/><Relationship Id="rId9" Type="http://schemas.openxmlformats.org/officeDocument/2006/relationships/hyperlink" Target="http://www.portlandoregon.gov/water/article/27451" TargetMode="External"/><Relationship Id="rId14" Type="http://schemas.openxmlformats.org/officeDocument/2006/relationships/hyperlink" Target="http://www.sjwater.com/for_your_home/home_customer_care/rates_regulations/general_rate_schedules_for_bill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
  <sheetViews>
    <sheetView showGridLines="0" zoomScaleNormal="100" zoomScaleSheetLayoutView="110" workbookViewId="0">
      <selection activeCell="B3" sqref="A1:Y40"/>
    </sheetView>
  </sheetViews>
  <sheetFormatPr defaultRowHeight="15" x14ac:dyDescent="0.25"/>
  <cols>
    <col min="1" max="1" width="9.28515625" style="410" customWidth="1"/>
    <col min="2" max="16384" width="9.140625" style="410"/>
  </cols>
  <sheetData/>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C5:O22"/>
  <sheetViews>
    <sheetView showGridLines="0" zoomScale="110" zoomScaleNormal="110" workbookViewId="0">
      <selection activeCell="I16" sqref="I16:O16"/>
    </sheetView>
  </sheetViews>
  <sheetFormatPr defaultRowHeight="12.75" x14ac:dyDescent="0.2"/>
  <cols>
    <col min="1" max="1" width="4.28515625" style="438" customWidth="1"/>
    <col min="2" max="2" width="1.7109375" style="438" customWidth="1"/>
    <col min="3" max="3" width="12.85546875" style="438" customWidth="1"/>
    <col min="4" max="4" width="10.28515625" style="438" customWidth="1"/>
    <col min="5" max="5" width="9.140625" style="438"/>
    <col min="6" max="6" width="16.140625" style="438" customWidth="1"/>
    <col min="7" max="7" width="15.140625" style="438" customWidth="1"/>
    <col min="8" max="8" width="12.5703125" style="438" customWidth="1"/>
    <col min="9" max="9" width="17.42578125" style="438" customWidth="1"/>
    <col min="10" max="10" width="16.5703125" style="438" bestFit="1" customWidth="1"/>
    <col min="11" max="11" width="9.140625" style="438"/>
    <col min="12" max="12" width="8.85546875" style="438" customWidth="1"/>
    <col min="13" max="13" width="4.42578125" style="438" customWidth="1"/>
    <col min="14" max="14" width="2.140625" style="438" customWidth="1"/>
    <col min="15" max="15" width="9.28515625" style="438" customWidth="1"/>
    <col min="16" max="16384" width="9.140625" style="438"/>
  </cols>
  <sheetData>
    <row r="5" spans="3:15" ht="15" customHeight="1" x14ac:dyDescent="0.2">
      <c r="C5" s="861" t="s">
        <v>355</v>
      </c>
      <c r="D5" s="861"/>
      <c r="E5" s="861"/>
      <c r="F5" s="861"/>
      <c r="G5" s="861"/>
      <c r="H5" s="861"/>
      <c r="I5" s="861"/>
      <c r="J5" s="861"/>
      <c r="K5" s="861"/>
      <c r="L5" s="861"/>
      <c r="M5" s="861"/>
      <c r="N5" s="861"/>
      <c r="O5" s="861"/>
    </row>
    <row r="6" spans="3:15" ht="15" customHeight="1" x14ac:dyDescent="0.2">
      <c r="C6" s="861"/>
      <c r="D6" s="861"/>
      <c r="E6" s="861"/>
      <c r="F6" s="861"/>
      <c r="G6" s="861"/>
      <c r="H6" s="861"/>
      <c r="I6" s="861"/>
      <c r="J6" s="861"/>
      <c r="K6" s="861"/>
      <c r="L6" s="861"/>
      <c r="M6" s="861"/>
      <c r="N6" s="861"/>
      <c r="O6" s="861"/>
    </row>
    <row r="7" spans="3:15" ht="15" customHeight="1" x14ac:dyDescent="0.2">
      <c r="C7" s="861"/>
      <c r="D7" s="861"/>
      <c r="E7" s="861"/>
      <c r="F7" s="861"/>
      <c r="G7" s="861"/>
      <c r="H7" s="861"/>
      <c r="I7" s="861"/>
      <c r="J7" s="861"/>
      <c r="K7" s="861"/>
      <c r="L7" s="861"/>
      <c r="M7" s="861"/>
      <c r="N7" s="861"/>
      <c r="O7" s="861"/>
    </row>
    <row r="8" spans="3:15" ht="12.75" customHeight="1" x14ac:dyDescent="0.2">
      <c r="C8" s="861"/>
      <c r="D8" s="861"/>
      <c r="E8" s="861"/>
      <c r="F8" s="861"/>
      <c r="G8" s="861"/>
      <c r="H8" s="861"/>
      <c r="I8" s="861"/>
      <c r="J8" s="861"/>
      <c r="K8" s="861"/>
      <c r="L8" s="861"/>
      <c r="M8" s="861"/>
      <c r="N8" s="861"/>
      <c r="O8" s="861"/>
    </row>
    <row r="9" spans="3:15" ht="12.75" customHeight="1" x14ac:dyDescent="0.2">
      <c r="C9" s="861"/>
      <c r="D9" s="861"/>
      <c r="E9" s="861"/>
      <c r="F9" s="861"/>
      <c r="G9" s="861"/>
      <c r="H9" s="861"/>
      <c r="I9" s="861"/>
      <c r="J9" s="861"/>
      <c r="K9" s="861"/>
      <c r="L9" s="861"/>
      <c r="M9" s="861"/>
      <c r="N9" s="861"/>
      <c r="O9" s="861"/>
    </row>
    <row r="10" spans="3:15" ht="12.75" customHeight="1" x14ac:dyDescent="0.2">
      <c r="C10" s="861"/>
      <c r="D10" s="861"/>
      <c r="E10" s="861"/>
      <c r="F10" s="861"/>
      <c r="G10" s="861"/>
      <c r="H10" s="861"/>
      <c r="I10" s="861"/>
      <c r="J10" s="861"/>
      <c r="K10" s="861"/>
      <c r="L10" s="861"/>
      <c r="M10" s="861"/>
      <c r="N10" s="861"/>
      <c r="O10" s="861"/>
    </row>
    <row r="11" spans="3:15" ht="12.75" customHeight="1" x14ac:dyDescent="0.2">
      <c r="C11" s="861"/>
      <c r="D11" s="861"/>
      <c r="E11" s="861"/>
      <c r="F11" s="861"/>
      <c r="G11" s="861"/>
      <c r="H11" s="861"/>
      <c r="I11" s="861"/>
      <c r="J11" s="861"/>
      <c r="K11" s="861"/>
      <c r="L11" s="861"/>
      <c r="M11" s="861"/>
      <c r="N11" s="861"/>
      <c r="O11" s="861"/>
    </row>
    <row r="12" spans="3:15" ht="30.75" customHeight="1" x14ac:dyDescent="0.2">
      <c r="C12" s="861"/>
      <c r="D12" s="861"/>
      <c r="E12" s="861"/>
      <c r="F12" s="861"/>
      <c r="G12" s="861"/>
      <c r="H12" s="861"/>
      <c r="I12" s="861"/>
      <c r="J12" s="861"/>
      <c r="K12" s="861"/>
      <c r="L12" s="861"/>
      <c r="M12" s="861"/>
      <c r="N12" s="861"/>
      <c r="O12" s="861"/>
    </row>
    <row r="13" spans="3:15" ht="3" customHeight="1" thickBot="1" x14ac:dyDescent="0.45">
      <c r="D13" s="880" t="s">
        <v>356</v>
      </c>
      <c r="E13" s="880"/>
      <c r="F13" s="880"/>
      <c r="G13" s="880"/>
      <c r="H13" s="880"/>
      <c r="I13" s="442"/>
      <c r="J13" s="439"/>
    </row>
    <row r="14" spans="3:15" ht="75.75" thickTop="1" thickBot="1" x14ac:dyDescent="1">
      <c r="D14" s="880"/>
      <c r="E14" s="880"/>
      <c r="F14" s="880"/>
      <c r="G14" s="880"/>
      <c r="H14" s="880"/>
      <c r="I14" s="888">
        <v>125000000</v>
      </c>
      <c r="J14" s="889"/>
      <c r="K14" s="889"/>
      <c r="L14" s="889"/>
      <c r="M14" s="889"/>
      <c r="N14" s="889"/>
      <c r="O14" s="890"/>
    </row>
    <row r="15" spans="3:15" ht="14.25" thickTop="1" thickBot="1" x14ac:dyDescent="0.25">
      <c r="G15" s="439"/>
      <c r="H15" s="439"/>
      <c r="I15" s="570"/>
      <c r="J15" s="570"/>
      <c r="K15" s="560"/>
      <c r="L15" s="560"/>
      <c r="M15" s="560"/>
      <c r="N15" s="560"/>
      <c r="O15" s="560"/>
    </row>
    <row r="16" spans="3:15" ht="74.25" customHeight="1" thickTop="1" thickBot="1" x14ac:dyDescent="1">
      <c r="D16" s="887" t="s">
        <v>369</v>
      </c>
      <c r="E16" s="887"/>
      <c r="F16" s="887"/>
      <c r="G16" s="887"/>
      <c r="H16" s="887"/>
      <c r="I16" s="884">
        <v>2025</v>
      </c>
      <c r="J16" s="885"/>
      <c r="K16" s="885"/>
      <c r="L16" s="885"/>
      <c r="M16" s="885"/>
      <c r="N16" s="885"/>
      <c r="O16" s="886"/>
    </row>
    <row r="17" spans="4:15" ht="13.5" hidden="1" customHeight="1" thickBot="1" x14ac:dyDescent="0.3">
      <c r="D17" s="556"/>
      <c r="E17" s="556"/>
      <c r="F17" s="556"/>
      <c r="G17" s="557"/>
      <c r="H17" s="558"/>
      <c r="I17" s="541"/>
      <c r="J17" s="541"/>
      <c r="K17" s="541"/>
      <c r="L17" s="541"/>
      <c r="M17" s="541"/>
      <c r="N17" s="541"/>
      <c r="O17" s="560"/>
    </row>
    <row r="18" spans="4:15" ht="12.75" hidden="1" customHeight="1" x14ac:dyDescent="0.2">
      <c r="D18" s="556"/>
      <c r="E18" s="556"/>
      <c r="F18" s="556"/>
      <c r="I18" s="560"/>
      <c r="J18" s="560"/>
      <c r="K18" s="560"/>
      <c r="L18" s="560"/>
      <c r="M18" s="560"/>
      <c r="N18" s="560"/>
      <c r="O18" s="560"/>
    </row>
    <row r="19" spans="4:15" ht="7.5" customHeight="1" thickTop="1" x14ac:dyDescent="0.2">
      <c r="D19" s="556"/>
      <c r="E19" s="556"/>
      <c r="F19" s="556"/>
      <c r="I19" s="560"/>
      <c r="J19" s="560"/>
      <c r="K19" s="560"/>
      <c r="L19" s="560"/>
      <c r="M19" s="560"/>
      <c r="N19" s="560"/>
      <c r="O19" s="560"/>
    </row>
    <row r="20" spans="4:15" ht="4.5" customHeight="1" thickBot="1" x14ac:dyDescent="0.45">
      <c r="D20" s="880" t="s">
        <v>350</v>
      </c>
      <c r="E20" s="880"/>
      <c r="F20" s="880"/>
      <c r="G20" s="880"/>
      <c r="H20" s="880"/>
      <c r="I20" s="571"/>
      <c r="J20" s="560"/>
      <c r="K20" s="560"/>
      <c r="L20" s="560"/>
      <c r="M20" s="560"/>
      <c r="N20" s="560"/>
      <c r="O20" s="560"/>
    </row>
    <row r="21" spans="4:15" ht="75.75" thickTop="1" thickBot="1" x14ac:dyDescent="1">
      <c r="D21" s="880"/>
      <c r="E21" s="880"/>
      <c r="F21" s="880"/>
      <c r="G21" s="880"/>
      <c r="H21" s="880"/>
      <c r="I21" s="881">
        <f>'Interest Rate'!J16</f>
        <v>4.4999999999999998E-2</v>
      </c>
      <c r="J21" s="882"/>
      <c r="K21" s="882"/>
      <c r="L21" s="882"/>
      <c r="M21" s="882"/>
      <c r="N21" s="882"/>
      <c r="O21" s="883"/>
    </row>
    <row r="22" spans="4:15" ht="13.5" thickTop="1" x14ac:dyDescent="0.2"/>
  </sheetData>
  <mergeCells count="7">
    <mergeCell ref="D20:H21"/>
    <mergeCell ref="I21:O21"/>
    <mergeCell ref="C5:O12"/>
    <mergeCell ref="I16:O16"/>
    <mergeCell ref="D16:H16"/>
    <mergeCell ref="D13:H14"/>
    <mergeCell ref="I14:O14"/>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CY47"/>
  <sheetViews>
    <sheetView view="pageBreakPreview" topLeftCell="BL1" zoomScale="85" zoomScaleNormal="100" zoomScaleSheetLayoutView="85" workbookViewId="0">
      <selection activeCell="BS8" sqref="BS8"/>
    </sheetView>
  </sheetViews>
  <sheetFormatPr defaultColWidth="9" defaultRowHeight="15" x14ac:dyDescent="0.25"/>
  <cols>
    <col min="1" max="1" width="1.85546875" customWidth="1"/>
    <col min="2" max="2" width="47.85546875" customWidth="1"/>
    <col min="3" max="3" width="13.42578125" hidden="1" customWidth="1"/>
    <col min="4" max="9" width="13.7109375" bestFit="1" customWidth="1"/>
    <col min="10" max="21" width="15.28515625" bestFit="1" customWidth="1"/>
    <col min="22" max="22" width="19.140625" customWidth="1"/>
    <col min="23" max="23" width="15.28515625" bestFit="1" customWidth="1"/>
    <col min="24" max="24" width="16.28515625" customWidth="1"/>
    <col min="25" max="44" width="15.28515625" bestFit="1" customWidth="1"/>
    <col min="45" max="46" width="14.42578125" bestFit="1" customWidth="1"/>
    <col min="47" max="52" width="16" bestFit="1" customWidth="1"/>
    <col min="53" max="60" width="16" customWidth="1"/>
    <col min="61" max="80" width="13.42578125" customWidth="1"/>
  </cols>
  <sheetData>
    <row r="1" spans="1:103" s="481" customFormat="1" ht="21" x14ac:dyDescent="0.35">
      <c r="A1" s="891" t="s">
        <v>385</v>
      </c>
      <c r="B1" s="891"/>
      <c r="C1" s="891"/>
      <c r="D1" s="891"/>
      <c r="E1" s="891"/>
      <c r="F1" s="891"/>
    </row>
    <row r="2" spans="1:103" s="481" customFormat="1" ht="21" x14ac:dyDescent="0.35">
      <c r="A2" s="603" t="s">
        <v>386</v>
      </c>
      <c r="C2" s="602"/>
      <c r="D2" s="602"/>
      <c r="E2" s="602"/>
      <c r="F2" s="602"/>
    </row>
    <row r="3" spans="1:103" ht="15.75" thickBot="1" x14ac:dyDescent="0.3">
      <c r="A3" s="591"/>
      <c r="B3" s="591"/>
      <c r="C3" s="591"/>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c r="AY3" s="591"/>
      <c r="AZ3" s="591"/>
      <c r="BA3" s="591"/>
      <c r="BB3" s="591"/>
      <c r="BC3" s="591"/>
      <c r="BD3" s="591"/>
      <c r="BE3" s="591"/>
      <c r="BF3" s="591"/>
      <c r="BG3" s="591"/>
      <c r="BH3" s="591"/>
    </row>
    <row r="4" spans="1:103" s="472" customFormat="1" x14ac:dyDescent="0.25">
      <c r="D4" s="473" t="s">
        <v>170</v>
      </c>
      <c r="E4" s="473" t="s">
        <v>171</v>
      </c>
      <c r="F4" s="473" t="s">
        <v>172</v>
      </c>
      <c r="G4" s="473" t="s">
        <v>173</v>
      </c>
      <c r="H4" s="473" t="s">
        <v>174</v>
      </c>
      <c r="I4" s="473" t="s">
        <v>175</v>
      </c>
      <c r="J4" s="473" t="s">
        <v>176</v>
      </c>
      <c r="K4" s="473" t="s">
        <v>177</v>
      </c>
      <c r="L4" s="473" t="s">
        <v>178</v>
      </c>
      <c r="M4" s="473" t="s">
        <v>179</v>
      </c>
      <c r="N4" s="473" t="s">
        <v>180</v>
      </c>
      <c r="O4" s="473" t="s">
        <v>181</v>
      </c>
      <c r="P4" s="473" t="s">
        <v>182</v>
      </c>
      <c r="Q4" s="473" t="s">
        <v>183</v>
      </c>
      <c r="R4" s="473" t="s">
        <v>184</v>
      </c>
      <c r="S4" s="473" t="s">
        <v>185</v>
      </c>
      <c r="T4" s="473" t="s">
        <v>186</v>
      </c>
      <c r="U4" s="473" t="s">
        <v>187</v>
      </c>
      <c r="V4" s="473" t="s">
        <v>188</v>
      </c>
      <c r="W4" s="473" t="s">
        <v>189</v>
      </c>
      <c r="X4" s="473" t="s">
        <v>190</v>
      </c>
      <c r="Y4" s="473" t="s">
        <v>191</v>
      </c>
      <c r="Z4" s="473" t="s">
        <v>192</v>
      </c>
      <c r="AA4" s="473" t="s">
        <v>193</v>
      </c>
      <c r="AB4" s="473" t="s">
        <v>194</v>
      </c>
      <c r="AC4" s="473" t="s">
        <v>195</v>
      </c>
      <c r="AD4" s="473" t="s">
        <v>196</v>
      </c>
      <c r="AE4" s="473" t="s">
        <v>197</v>
      </c>
      <c r="AF4" s="473" t="s">
        <v>198</v>
      </c>
      <c r="AG4" s="473" t="s">
        <v>199</v>
      </c>
      <c r="AH4" s="473" t="s">
        <v>200</v>
      </c>
      <c r="AI4" s="473" t="s">
        <v>201</v>
      </c>
      <c r="AJ4" s="473" t="s">
        <v>202</v>
      </c>
      <c r="AK4" s="473" t="s">
        <v>203</v>
      </c>
      <c r="AL4" s="473" t="s">
        <v>204</v>
      </c>
      <c r="AM4" s="473" t="s">
        <v>205</v>
      </c>
      <c r="AN4" s="473" t="s">
        <v>206</v>
      </c>
      <c r="AO4" s="473" t="s">
        <v>207</v>
      </c>
      <c r="AP4" s="473" t="s">
        <v>208</v>
      </c>
      <c r="AQ4" s="473" t="s">
        <v>209</v>
      </c>
      <c r="AR4" s="473" t="s">
        <v>210</v>
      </c>
      <c r="AS4" s="473" t="s">
        <v>211</v>
      </c>
      <c r="AT4" s="473" t="s">
        <v>212</v>
      </c>
      <c r="AU4" s="473" t="s">
        <v>213</v>
      </c>
      <c r="AV4" s="473" t="s">
        <v>214</v>
      </c>
      <c r="AW4" s="473" t="s">
        <v>215</v>
      </c>
      <c r="AX4" s="473" t="s">
        <v>216</v>
      </c>
      <c r="AY4" s="473" t="s">
        <v>217</v>
      </c>
      <c r="AZ4" s="473" t="s">
        <v>218</v>
      </c>
      <c r="BA4" s="473" t="s">
        <v>219</v>
      </c>
      <c r="BB4" s="473" t="s">
        <v>225</v>
      </c>
      <c r="BC4" s="473" t="s">
        <v>226</v>
      </c>
      <c r="BD4" s="473" t="s">
        <v>227</v>
      </c>
      <c r="BE4" s="473" t="s">
        <v>228</v>
      </c>
      <c r="BF4" s="473" t="s">
        <v>229</v>
      </c>
      <c r="BG4" s="473" t="s">
        <v>230</v>
      </c>
      <c r="BH4" s="473" t="s">
        <v>231</v>
      </c>
      <c r="BI4" s="473" t="s">
        <v>232</v>
      </c>
      <c r="BJ4" s="473" t="s">
        <v>233</v>
      </c>
      <c r="BK4" s="473" t="s">
        <v>234</v>
      </c>
      <c r="BL4" s="473" t="s">
        <v>235</v>
      </c>
      <c r="BM4" s="473" t="s">
        <v>236</v>
      </c>
      <c r="BN4" s="473" t="s">
        <v>237</v>
      </c>
      <c r="BO4" s="473" t="s">
        <v>238</v>
      </c>
      <c r="BP4" s="473" t="s">
        <v>239</v>
      </c>
      <c r="BQ4" s="473" t="s">
        <v>240</v>
      </c>
      <c r="BR4" s="473" t="s">
        <v>241</v>
      </c>
      <c r="BS4" s="473" t="s">
        <v>242</v>
      </c>
      <c r="BT4" s="473" t="s">
        <v>243</v>
      </c>
      <c r="BU4" s="473" t="s">
        <v>244</v>
      </c>
      <c r="BV4" s="473" t="s">
        <v>245</v>
      </c>
      <c r="BW4" s="473" t="s">
        <v>246</v>
      </c>
      <c r="BX4" s="473" t="s">
        <v>247</v>
      </c>
      <c r="BY4" s="473" t="s">
        <v>248</v>
      </c>
      <c r="BZ4" s="473" t="s">
        <v>249</v>
      </c>
      <c r="CA4" s="473" t="s">
        <v>250</v>
      </c>
      <c r="CB4" s="473" t="s">
        <v>251</v>
      </c>
      <c r="CC4" s="473" t="s">
        <v>252</v>
      </c>
      <c r="CD4" s="473" t="s">
        <v>253</v>
      </c>
      <c r="CE4" s="473" t="s">
        <v>254</v>
      </c>
      <c r="CF4" s="473" t="s">
        <v>255</v>
      </c>
      <c r="CG4" s="473" t="s">
        <v>256</v>
      </c>
      <c r="CH4" s="473" t="s">
        <v>257</v>
      </c>
      <c r="CI4" s="473" t="s">
        <v>258</v>
      </c>
      <c r="CJ4" s="473" t="s">
        <v>259</v>
      </c>
      <c r="CK4" s="473" t="s">
        <v>260</v>
      </c>
      <c r="CL4" s="473" t="s">
        <v>261</v>
      </c>
      <c r="CM4" s="473" t="s">
        <v>262</v>
      </c>
      <c r="CN4" s="473" t="s">
        <v>263</v>
      </c>
      <c r="CO4" s="473" t="s">
        <v>264</v>
      </c>
      <c r="CP4" s="473" t="s">
        <v>265</v>
      </c>
      <c r="CQ4" s="473" t="s">
        <v>266</v>
      </c>
      <c r="CR4" s="473" t="s">
        <v>267</v>
      </c>
      <c r="CS4" s="473" t="s">
        <v>268</v>
      </c>
      <c r="CT4" s="473" t="s">
        <v>269</v>
      </c>
      <c r="CU4" s="473" t="s">
        <v>270</v>
      </c>
      <c r="CV4" s="473" t="s">
        <v>271</v>
      </c>
      <c r="CW4" s="473" t="s">
        <v>272</v>
      </c>
      <c r="CX4" s="473" t="s">
        <v>273</v>
      </c>
      <c r="CY4" s="473" t="s">
        <v>274</v>
      </c>
    </row>
    <row r="5" spans="1:103" x14ac:dyDescent="0.25">
      <c r="A5" s="590"/>
      <c r="B5" s="590"/>
      <c r="C5" s="590"/>
      <c r="D5" s="590">
        <v>2014</v>
      </c>
      <c r="E5" s="590">
        <f>D5+1</f>
        <v>2015</v>
      </c>
      <c r="F5" s="590">
        <f t="shared" ref="F5:BQ5" si="0">E5+1</f>
        <v>2016</v>
      </c>
      <c r="G5" s="590">
        <f t="shared" si="0"/>
        <v>2017</v>
      </c>
      <c r="H5" s="590">
        <f t="shared" si="0"/>
        <v>2018</v>
      </c>
      <c r="I5" s="590">
        <f t="shared" si="0"/>
        <v>2019</v>
      </c>
      <c r="J5" s="590">
        <f t="shared" si="0"/>
        <v>2020</v>
      </c>
      <c r="K5" s="590">
        <f t="shared" si="0"/>
        <v>2021</v>
      </c>
      <c r="L5" s="590">
        <f t="shared" si="0"/>
        <v>2022</v>
      </c>
      <c r="M5" s="590">
        <f t="shared" si="0"/>
        <v>2023</v>
      </c>
      <c r="N5" s="590">
        <f t="shared" si="0"/>
        <v>2024</v>
      </c>
      <c r="O5" s="590">
        <f t="shared" si="0"/>
        <v>2025</v>
      </c>
      <c r="P5" s="590">
        <f t="shared" si="0"/>
        <v>2026</v>
      </c>
      <c r="Q5" s="590">
        <f t="shared" si="0"/>
        <v>2027</v>
      </c>
      <c r="R5" s="590">
        <f t="shared" si="0"/>
        <v>2028</v>
      </c>
      <c r="S5" s="590">
        <f t="shared" si="0"/>
        <v>2029</v>
      </c>
      <c r="T5" s="590">
        <f t="shared" si="0"/>
        <v>2030</v>
      </c>
      <c r="U5" s="590">
        <f t="shared" si="0"/>
        <v>2031</v>
      </c>
      <c r="V5" s="590">
        <f t="shared" si="0"/>
        <v>2032</v>
      </c>
      <c r="W5" s="590">
        <f t="shared" si="0"/>
        <v>2033</v>
      </c>
      <c r="X5" s="590">
        <f t="shared" si="0"/>
        <v>2034</v>
      </c>
      <c r="Y5" s="590">
        <f t="shared" si="0"/>
        <v>2035</v>
      </c>
      <c r="Z5" s="590">
        <f t="shared" si="0"/>
        <v>2036</v>
      </c>
      <c r="AA5" s="590">
        <f t="shared" si="0"/>
        <v>2037</v>
      </c>
      <c r="AB5" s="590">
        <f t="shared" si="0"/>
        <v>2038</v>
      </c>
      <c r="AC5" s="590">
        <f t="shared" si="0"/>
        <v>2039</v>
      </c>
      <c r="AD5" s="590">
        <f t="shared" si="0"/>
        <v>2040</v>
      </c>
      <c r="AE5" s="590">
        <f t="shared" si="0"/>
        <v>2041</v>
      </c>
      <c r="AF5" s="590">
        <f t="shared" si="0"/>
        <v>2042</v>
      </c>
      <c r="AG5" s="590">
        <f t="shared" si="0"/>
        <v>2043</v>
      </c>
      <c r="AH5" s="590">
        <f t="shared" si="0"/>
        <v>2044</v>
      </c>
      <c r="AI5" s="590">
        <f t="shared" si="0"/>
        <v>2045</v>
      </c>
      <c r="AJ5" s="590">
        <f t="shared" si="0"/>
        <v>2046</v>
      </c>
      <c r="AK5" s="590">
        <f t="shared" si="0"/>
        <v>2047</v>
      </c>
      <c r="AL5" s="590">
        <f t="shared" si="0"/>
        <v>2048</v>
      </c>
      <c r="AM5" s="590">
        <f t="shared" si="0"/>
        <v>2049</v>
      </c>
      <c r="AN5" s="590">
        <f t="shared" si="0"/>
        <v>2050</v>
      </c>
      <c r="AO5" s="590">
        <f t="shared" si="0"/>
        <v>2051</v>
      </c>
      <c r="AP5" s="590">
        <f t="shared" si="0"/>
        <v>2052</v>
      </c>
      <c r="AQ5" s="590">
        <f t="shared" si="0"/>
        <v>2053</v>
      </c>
      <c r="AR5" s="590">
        <f t="shared" si="0"/>
        <v>2054</v>
      </c>
      <c r="AS5" s="590">
        <f t="shared" si="0"/>
        <v>2055</v>
      </c>
      <c r="AT5" s="590">
        <f t="shared" si="0"/>
        <v>2056</v>
      </c>
      <c r="AU5" s="590">
        <f t="shared" si="0"/>
        <v>2057</v>
      </c>
      <c r="AV5" s="590">
        <f t="shared" si="0"/>
        <v>2058</v>
      </c>
      <c r="AW5" s="590">
        <f t="shared" si="0"/>
        <v>2059</v>
      </c>
      <c r="AX5" s="590">
        <f t="shared" si="0"/>
        <v>2060</v>
      </c>
      <c r="AY5" s="590">
        <f t="shared" si="0"/>
        <v>2061</v>
      </c>
      <c r="AZ5" s="590">
        <f t="shared" si="0"/>
        <v>2062</v>
      </c>
      <c r="BA5" s="590">
        <f t="shared" si="0"/>
        <v>2063</v>
      </c>
      <c r="BB5" s="590">
        <f t="shared" si="0"/>
        <v>2064</v>
      </c>
      <c r="BC5" s="590">
        <f t="shared" si="0"/>
        <v>2065</v>
      </c>
      <c r="BD5" s="590">
        <f t="shared" si="0"/>
        <v>2066</v>
      </c>
      <c r="BE5" s="590">
        <f t="shared" si="0"/>
        <v>2067</v>
      </c>
      <c r="BF5" s="590">
        <f t="shared" si="0"/>
        <v>2068</v>
      </c>
      <c r="BG5" s="590">
        <f t="shared" si="0"/>
        <v>2069</v>
      </c>
      <c r="BH5" s="590">
        <f t="shared" si="0"/>
        <v>2070</v>
      </c>
      <c r="BI5">
        <f t="shared" si="0"/>
        <v>2071</v>
      </c>
      <c r="BJ5">
        <f t="shared" si="0"/>
        <v>2072</v>
      </c>
      <c r="BK5">
        <f t="shared" si="0"/>
        <v>2073</v>
      </c>
      <c r="BL5">
        <f t="shared" si="0"/>
        <v>2074</v>
      </c>
      <c r="BM5">
        <f t="shared" si="0"/>
        <v>2075</v>
      </c>
      <c r="BN5">
        <f t="shared" si="0"/>
        <v>2076</v>
      </c>
      <c r="BO5">
        <f t="shared" si="0"/>
        <v>2077</v>
      </c>
      <c r="BP5">
        <f t="shared" si="0"/>
        <v>2078</v>
      </c>
      <c r="BQ5">
        <f t="shared" si="0"/>
        <v>2079</v>
      </c>
      <c r="BR5">
        <f t="shared" ref="BR5:CY5" si="1">BQ5+1</f>
        <v>2080</v>
      </c>
      <c r="BS5">
        <f t="shared" si="1"/>
        <v>2081</v>
      </c>
      <c r="BT5">
        <f t="shared" si="1"/>
        <v>2082</v>
      </c>
      <c r="BU5">
        <f t="shared" si="1"/>
        <v>2083</v>
      </c>
      <c r="BV5">
        <f t="shared" si="1"/>
        <v>2084</v>
      </c>
      <c r="BW5">
        <f t="shared" si="1"/>
        <v>2085</v>
      </c>
      <c r="BX5">
        <f t="shared" si="1"/>
        <v>2086</v>
      </c>
      <c r="BY5">
        <f t="shared" si="1"/>
        <v>2087</v>
      </c>
      <c r="BZ5">
        <f t="shared" si="1"/>
        <v>2088</v>
      </c>
      <c r="CA5">
        <f t="shared" si="1"/>
        <v>2089</v>
      </c>
      <c r="CB5">
        <f t="shared" si="1"/>
        <v>2090</v>
      </c>
      <c r="CC5">
        <f t="shared" si="1"/>
        <v>2091</v>
      </c>
      <c r="CD5">
        <f t="shared" si="1"/>
        <v>2092</v>
      </c>
      <c r="CE5">
        <f t="shared" si="1"/>
        <v>2093</v>
      </c>
      <c r="CF5">
        <f t="shared" si="1"/>
        <v>2094</v>
      </c>
      <c r="CG5">
        <f t="shared" si="1"/>
        <v>2095</v>
      </c>
      <c r="CH5">
        <f t="shared" si="1"/>
        <v>2096</v>
      </c>
      <c r="CI5">
        <f t="shared" si="1"/>
        <v>2097</v>
      </c>
      <c r="CJ5">
        <f t="shared" si="1"/>
        <v>2098</v>
      </c>
      <c r="CK5">
        <f t="shared" si="1"/>
        <v>2099</v>
      </c>
      <c r="CL5">
        <f t="shared" si="1"/>
        <v>2100</v>
      </c>
      <c r="CM5">
        <f t="shared" si="1"/>
        <v>2101</v>
      </c>
      <c r="CN5">
        <f t="shared" si="1"/>
        <v>2102</v>
      </c>
      <c r="CO5">
        <f t="shared" si="1"/>
        <v>2103</v>
      </c>
      <c r="CP5">
        <f t="shared" si="1"/>
        <v>2104</v>
      </c>
      <c r="CQ5">
        <f t="shared" si="1"/>
        <v>2105</v>
      </c>
      <c r="CR5">
        <f t="shared" si="1"/>
        <v>2106</v>
      </c>
      <c r="CS5">
        <f t="shared" si="1"/>
        <v>2107</v>
      </c>
      <c r="CT5">
        <f t="shared" si="1"/>
        <v>2108</v>
      </c>
      <c r="CU5">
        <f t="shared" si="1"/>
        <v>2109</v>
      </c>
      <c r="CV5">
        <f t="shared" si="1"/>
        <v>2110</v>
      </c>
      <c r="CW5">
        <f t="shared" si="1"/>
        <v>2111</v>
      </c>
      <c r="CX5">
        <f t="shared" si="1"/>
        <v>2112</v>
      </c>
      <c r="CY5">
        <f t="shared" si="1"/>
        <v>2113</v>
      </c>
    </row>
    <row r="6" spans="1:103" x14ac:dyDescent="0.25">
      <c r="A6" s="472" t="s">
        <v>222</v>
      </c>
    </row>
    <row r="7" spans="1:103" x14ac:dyDescent="0.25">
      <c r="B7" t="s">
        <v>66</v>
      </c>
      <c r="D7" s="414">
        <f>'Economist Plan 1'!D7</f>
        <v>155615.26406250001</v>
      </c>
      <c r="E7" s="414">
        <f>'Economist Plan 1'!E7</f>
        <v>160050.29908828126</v>
      </c>
      <c r="F7" s="414">
        <f>'Economist Plan 1'!F7</f>
        <v>164611.73261229726</v>
      </c>
      <c r="G7" s="414">
        <f>'Economist Plan 1'!G7</f>
        <v>169303.16699174771</v>
      </c>
      <c r="H7" s="414">
        <f>'Economist Plan 1'!H7</f>
        <v>174128.30725101251</v>
      </c>
      <c r="I7" s="414">
        <f>'Economist Plan 1'!I7</f>
        <v>179090.96400766636</v>
      </c>
      <c r="J7" s="414">
        <f>'Economist Plan 1'!J7</f>
        <v>184195.05648188485</v>
      </c>
      <c r="K7" s="414">
        <f>'Economist Plan 1'!K7</f>
        <v>189444.61559161855</v>
      </c>
      <c r="L7" s="414">
        <f>'Economist Plan 1'!L7</f>
        <v>194843.78713597968</v>
      </c>
      <c r="M7" s="414">
        <f>'Economist Plan 1'!M7</f>
        <v>200396.83506935509</v>
      </c>
      <c r="N7" s="414">
        <f>'Economist Plan 1'!N7</f>
        <v>206108.1448688317</v>
      </c>
      <c r="O7" s="414">
        <f>'Economist Plan 1'!O7</f>
        <v>211982.22699759339</v>
      </c>
      <c r="P7" s="414">
        <f>'Economist Plan 1'!P7</f>
        <v>218023.7204670248</v>
      </c>
      <c r="Q7" s="414">
        <f>'Economist Plan 1'!Q7</f>
        <v>224237.39650033502</v>
      </c>
      <c r="R7" s="414">
        <f>'Economist Plan 1'!R7</f>
        <v>230628.16230059456</v>
      </c>
      <c r="S7" s="414">
        <f>'Economist Plan 1'!S7</f>
        <v>237201.06492616149</v>
      </c>
      <c r="T7" s="414">
        <f>'Economist Plan 1'!T7</f>
        <v>243961.2952765571</v>
      </c>
      <c r="U7" s="414">
        <f>'Economist Plan 1'!U7</f>
        <v>250914.19219193896</v>
      </c>
      <c r="V7" s="414">
        <f>'Economist Plan 1'!V7</f>
        <v>258065.24666940921</v>
      </c>
      <c r="W7" s="414">
        <f>'Economist Plan 1'!W7</f>
        <v>265420.10619948735</v>
      </c>
      <c r="X7" s="414">
        <f>'Economist Plan 1'!X7</f>
        <v>272984.5792261727</v>
      </c>
      <c r="Y7" s="414">
        <f>'Economist Plan 1'!Y7</f>
        <v>280764.63973411859</v>
      </c>
      <c r="Z7" s="414">
        <f>'Economist Plan 1'!Z7</f>
        <v>288766.43196654099</v>
      </c>
      <c r="AA7" s="414">
        <f>'Economist Plan 1'!AA7</f>
        <v>296996.27527758741</v>
      </c>
      <c r="AB7" s="414">
        <f>'Economist Plan 1'!AB7</f>
        <v>305460.66912299866</v>
      </c>
      <c r="AC7" s="414">
        <f>'Economist Plan 1'!AC7</f>
        <v>314166.2981930041</v>
      </c>
      <c r="AD7" s="414">
        <f>'Economist Plan 1'!AD7</f>
        <v>323120.03769150469</v>
      </c>
      <c r="AE7" s="414">
        <f>'Economist Plan 1'!AE7</f>
        <v>332328.95876571257</v>
      </c>
      <c r="AF7" s="414">
        <f>'Economist Plan 1'!AF7</f>
        <v>341800.33409053535</v>
      </c>
      <c r="AG7" s="414">
        <f>'Economist Plan 1'!AG7</f>
        <v>351541.64361211559</v>
      </c>
      <c r="AH7" s="414">
        <f>'Economist Plan 1'!AH7</f>
        <v>361560.58045506087</v>
      </c>
      <c r="AI7" s="414">
        <f>'Economist Plan 1'!AI7</f>
        <v>371865.05699803011</v>
      </c>
      <c r="AJ7" s="414">
        <f>'Economist Plan 1'!AJ7</f>
        <v>382463.21112247393</v>
      </c>
      <c r="AK7" s="414">
        <f>'Economist Plan 1'!AK7</f>
        <v>393363.41263946443</v>
      </c>
      <c r="AL7" s="414">
        <f>'Economist Plan 1'!AL7</f>
        <v>404574.26989968913</v>
      </c>
      <c r="AM7" s="414">
        <f>'Economist Plan 1'!AM7</f>
        <v>416104.63659183023</v>
      </c>
      <c r="AN7" s="414">
        <f>'Economist Plan 1'!AN7</f>
        <v>427963.6187346974</v>
      </c>
      <c r="AO7" s="414">
        <f>'Economist Plan 1'!AO7</f>
        <v>440160.58186863625</v>
      </c>
      <c r="AP7" s="414">
        <f>'Economist Plan 1'!AP7</f>
        <v>452705.15845189238</v>
      </c>
      <c r="AQ7" s="414">
        <f>'Economist Plan 1'!AQ7</f>
        <v>465607.25546777132</v>
      </c>
      <c r="AR7" s="414">
        <f>'Economist Plan 1'!AR7</f>
        <v>478877.0622486028</v>
      </c>
      <c r="AS7" s="414">
        <f>'Economist Plan 1'!AS7</f>
        <v>492525.05852268799</v>
      </c>
      <c r="AT7" s="414">
        <f>'Economist Plan 1'!AT7</f>
        <v>506562.02269058459</v>
      </c>
      <c r="AU7" s="414">
        <f>'Economist Plan 1'!AU7</f>
        <v>520999.04033726623</v>
      </c>
      <c r="AV7" s="414">
        <f>'Economist Plan 1'!AV7</f>
        <v>535847.51298687828</v>
      </c>
      <c r="AW7" s="414">
        <f>'Economist Plan 1'!AW7</f>
        <v>551119.16710700432</v>
      </c>
      <c r="AX7" s="414">
        <f>'Economist Plan 1'!AX7</f>
        <v>566826.06336955389</v>
      </c>
      <c r="AY7" s="414">
        <f>'Economist Plan 1'!AY7</f>
        <v>582980.60617558612</v>
      </c>
      <c r="AZ7" s="414">
        <f>'Economist Plan 1'!AZ7</f>
        <v>599595.55345159036</v>
      </c>
      <c r="BA7" s="414">
        <f>'Economist Plan 1'!BA7</f>
        <v>616684.02672496065</v>
      </c>
      <c r="BB7" s="611">
        <f>'Economist Plan 1'!BB7</f>
        <v>634259.52148662205</v>
      </c>
      <c r="BC7" s="611">
        <f>'Economist Plan 1'!BC7</f>
        <v>652335.91784899076</v>
      </c>
      <c r="BD7" s="611">
        <f>'Economist Plan 1'!BD7</f>
        <v>670927.49150768702</v>
      </c>
      <c r="BE7" s="611">
        <f>'Economist Plan 1'!BE7</f>
        <v>690048.92501565604</v>
      </c>
      <c r="BF7" s="611">
        <f>'Economist Plan 1'!BF7</f>
        <v>709715.3193786022</v>
      </c>
      <c r="BG7" s="611">
        <f>'Economist Plan 1'!BG7</f>
        <v>729942.20598089229</v>
      </c>
      <c r="BH7" s="611">
        <f>'Economist Plan 1'!BH7</f>
        <v>750745.55885134765</v>
      </c>
      <c r="BI7" s="414">
        <f>'Economist Plan 1'!BH7</f>
        <v>750745.55885134765</v>
      </c>
      <c r="BJ7" s="414">
        <f>'Economist Plan 1'!BI7</f>
        <v>772141.807278611</v>
      </c>
      <c r="BK7" s="414">
        <f>'Economist Plan 1'!BJ7</f>
        <v>794147.84878605139</v>
      </c>
      <c r="BL7" s="414">
        <f>'Economist Plan 1'!BK7</f>
        <v>816781.06247645384</v>
      </c>
      <c r="BM7" s="414">
        <f>'Economist Plan 1'!BL7</f>
        <v>840059.3227570327</v>
      </c>
      <c r="BN7" s="414">
        <f>'Economist Plan 1'!BM7</f>
        <v>864001.01345560816</v>
      </c>
      <c r="BO7" s="414">
        <f>'Economist Plan 1'!BN7</f>
        <v>888625.04233909294</v>
      </c>
      <c r="BP7" s="414">
        <f>'Economist Plan 1'!BO7</f>
        <v>913950.85604575707</v>
      </c>
      <c r="BQ7" s="414">
        <f>'Economist Plan 1'!BP7</f>
        <v>939998.45544306107</v>
      </c>
      <c r="BR7" s="414">
        <f>'Economist Plan 1'!BQ7</f>
        <v>966788.41142318828</v>
      </c>
      <c r="BS7" s="414">
        <f>'Economist Plan 1'!BR7</f>
        <v>994341.88114874915</v>
      </c>
      <c r="BT7" s="414">
        <f>'Economist Plan 1'!BS7</f>
        <v>1022680.6247614885</v>
      </c>
      <c r="BU7" s="414">
        <f>'Economist Plan 1'!BT7</f>
        <v>1051827.0225671909</v>
      </c>
      <c r="BV7" s="414">
        <f>'Economist Plan 1'!BU7</f>
        <v>1081804.0927103558</v>
      </c>
      <c r="BW7" s="414">
        <f>'Economist Plan 1'!BV7</f>
        <v>1112635.5093526009</v>
      </c>
      <c r="BX7" s="414">
        <f>'Economist Plan 1'!BW7</f>
        <v>1144345.62136915</v>
      </c>
      <c r="BY7" s="414">
        <f>'Economist Plan 1'!BX7</f>
        <v>1176959.4715781708</v>
      </c>
      <c r="BZ7" s="414">
        <f>'Economist Plan 1'!BY7</f>
        <v>1210502.8165181486</v>
      </c>
      <c r="CA7" s="414">
        <f>'Economist Plan 1'!BZ7</f>
        <v>1245002.1467889159</v>
      </c>
      <c r="CB7" s="414">
        <f>'Economist Plan 1'!CA7</f>
        <v>1280484.7079723999</v>
      </c>
    </row>
    <row r="8" spans="1:103" x14ac:dyDescent="0.25">
      <c r="B8" t="s">
        <v>281</v>
      </c>
      <c r="D8" s="414">
        <f>'Economist Plan 1'!D8</f>
        <v>1466.7139668367367</v>
      </c>
      <c r="E8" s="414">
        <f>'Economist Plan 1'!E8</f>
        <v>1508.5153148915829</v>
      </c>
      <c r="F8" s="414">
        <f>'Economist Plan 1'!F8</f>
        <v>1551.5080013659863</v>
      </c>
      <c r="G8" s="414">
        <f>'Economist Plan 1'!G8</f>
        <v>1595.725979404916</v>
      </c>
      <c r="H8" s="414">
        <f>'Economist Plan 1'!H8</f>
        <v>1641.2041698179571</v>
      </c>
      <c r="I8" s="414">
        <f>'Economist Plan 1'!I8</f>
        <v>1687.9784886577747</v>
      </c>
      <c r="J8" s="414">
        <f>'Economist Plan 1'!J8</f>
        <v>1736.0858755845195</v>
      </c>
      <c r="K8" s="414">
        <f>'Economist Plan 1'!K8</f>
        <v>1785.564323038674</v>
      </c>
      <c r="L8" s="414">
        <f>'Economist Plan 1'!L8</f>
        <v>1836.452906245283</v>
      </c>
      <c r="M8" s="414">
        <f>'Economist Plan 1'!M8</f>
        <v>1888.791814073267</v>
      </c>
      <c r="N8" s="414">
        <f>'Economist Plan 1'!N8</f>
        <v>1942.6223807743586</v>
      </c>
      <c r="O8" s="414">
        <f>'Economist Plan 1'!O8</f>
        <v>1997.9871186264236</v>
      </c>
      <c r="P8" s="414">
        <f>'Economist Plan 1'!P8</f>
        <v>2054.929751507284</v>
      </c>
      <c r="Q8" s="414">
        <f>'Economist Plan 1'!Q8</f>
        <v>2113.4952494252429</v>
      </c>
      <c r="R8" s="414">
        <f>'Economist Plan 1'!R8</f>
        <v>2173.7298640338577</v>
      </c>
      <c r="S8" s="414">
        <f>'Economist Plan 1'!S8</f>
        <v>2235.68116515882</v>
      </c>
      <c r="T8" s="414">
        <f>'Economist Plan 1'!T8</f>
        <v>2299.3980783658526</v>
      </c>
      <c r="U8" s="414">
        <f>'Economist Plan 1'!U8</f>
        <v>2364.9309235992728</v>
      </c>
      <c r="V8" s="414">
        <f>'Economist Plan 1'!V8</f>
        <v>2432.3314549218562</v>
      </c>
      <c r="W8" s="414">
        <f>'Economist Plan 1'!W8</f>
        <v>2501.6529013871195</v>
      </c>
      <c r="X8" s="414">
        <f>'Economist Plan 1'!X8</f>
        <v>2572.9500090766528</v>
      </c>
      <c r="Y8" s="414">
        <f>'Economist Plan 1'!Y8</f>
        <v>2646.2790843353373</v>
      </c>
      <c r="Z8" s="414">
        <f>'Economist Plan 1'!Z8</f>
        <v>2721.6980382389083</v>
      </c>
      <c r="AA8" s="414">
        <f>'Economist Plan 1'!AA8</f>
        <v>2799.2664323287158</v>
      </c>
      <c r="AB8" s="414">
        <f>'Economist Plan 1'!AB8</f>
        <v>2879.0455256500854</v>
      </c>
      <c r="AC8" s="414">
        <f>'Economist Plan 1'!AC8</f>
        <v>2961.0983231311016</v>
      </c>
      <c r="AD8" s="414">
        <f>'Economist Plan 1'!AD8</f>
        <v>3045.489625340339</v>
      </c>
      <c r="AE8" s="414">
        <f>'Economist Plan 1'!AE8</f>
        <v>3132.2860796625414</v>
      </c>
      <c r="AF8" s="414">
        <f>'Economist Plan 1'!AF8</f>
        <v>3221.5562329329209</v>
      </c>
      <c r="AG8" s="414">
        <f>'Economist Plan 1'!AG8</f>
        <v>3313.3705855715075</v>
      </c>
      <c r="AH8" s="414">
        <f>'Economist Plan 1'!AH8</f>
        <v>3407.8016472603022</v>
      </c>
      <c r="AI8" s="414">
        <f>'Economist Plan 1'!AI8</f>
        <v>3504.9239942072227</v>
      </c>
      <c r="AJ8" s="414">
        <f>'Economist Plan 1'!AJ8</f>
        <v>3604.8143280421182</v>
      </c>
      <c r="AK8" s="414">
        <f>'Economist Plan 1'!AK8</f>
        <v>3707.5515363913237</v>
      </c>
      <c r="AL8" s="414">
        <f>'Economist Plan 1'!AL8</f>
        <v>3813.2167551784696</v>
      </c>
      <c r="AM8" s="414">
        <f>'Economist Plan 1'!AM8</f>
        <v>3921.8934327010566</v>
      </c>
      <c r="AN8" s="414">
        <f>'Economist Plan 1'!AN8</f>
        <v>4033.6673955330516</v>
      </c>
      <c r="AO8" s="414">
        <f>'Economist Plan 1'!AO8</f>
        <v>4148.6269163057295</v>
      </c>
      <c r="AP8" s="414">
        <f>'Economist Plan 1'!AP8</f>
        <v>4266.8627834204526</v>
      </c>
      <c r="AQ8" s="414">
        <f>'Economist Plan 1'!AQ8</f>
        <v>4388.4683727479396</v>
      </c>
      <c r="AR8" s="414">
        <f>'Economist Plan 1'!AR8</f>
        <v>4513.5397213712522</v>
      </c>
      <c r="AS8" s="414">
        <f>'Economist Plan 1'!AS8</f>
        <v>4642.1756034303371</v>
      </c>
      <c r="AT8" s="414">
        <f>'Economist Plan 1'!AT8</f>
        <v>4774.4776081280952</v>
      </c>
      <c r="AU8" s="414">
        <f>'Economist Plan 1'!AU8</f>
        <v>4910.5502199597395</v>
      </c>
      <c r="AV8" s="414">
        <f>'Economist Plan 1'!AV8</f>
        <v>5050.5009012285909</v>
      </c>
      <c r="AW8" s="414">
        <f>'Economist Plan 1'!AW8</f>
        <v>5194.4401769136193</v>
      </c>
      <c r="AX8" s="414">
        <f>'Economist Plan 1'!AX8</f>
        <v>5342.4817219556335</v>
      </c>
      <c r="AY8" s="414">
        <f>'Economist Plan 1'!AY8</f>
        <v>5494.7424510313713</v>
      </c>
      <c r="AZ8" s="414">
        <f>'Economist Plan 1'!AZ8</f>
        <v>5651.3426108857966</v>
      </c>
      <c r="BA8" s="414">
        <f>'Economist Plan 1'!BA8</f>
        <v>5812.40587529602</v>
      </c>
      <c r="BB8" s="611">
        <f>'Economist Plan 1'!BB8</f>
        <v>5978.059442741971</v>
      </c>
      <c r="BC8" s="611">
        <f>'Economist Plan 1'!BC8</f>
        <v>6148.4341368601072</v>
      </c>
      <c r="BD8" s="611">
        <f>'Economist Plan 1'!BD8</f>
        <v>6323.6645097606324</v>
      </c>
      <c r="BE8" s="611">
        <f>'Economist Plan 1'!BE8</f>
        <v>6503.8889482887826</v>
      </c>
      <c r="BF8" s="611">
        <f>'Economist Plan 1'!BF8</f>
        <v>6689.2497833150201</v>
      </c>
      <c r="BG8" s="611">
        <f>'Economist Plan 1'!BG8</f>
        <v>6879.8934021394871</v>
      </c>
      <c r="BH8" s="611">
        <f>'Economist Plan 1'!BH8</f>
        <v>7075.9703641004635</v>
      </c>
      <c r="BI8" s="414">
        <f>'Economist Plan 1'!BH8</f>
        <v>7075.9703641004635</v>
      </c>
      <c r="BJ8" s="414">
        <f>'Economist Plan 1'!BI8</f>
        <v>7277.6355194773287</v>
      </c>
      <c r="BK8" s="414">
        <f>'Economist Plan 1'!BJ8</f>
        <v>7485.0481317824442</v>
      </c>
      <c r="BL8" s="414">
        <f>'Economist Plan 1'!BK8</f>
        <v>7698.3720035382494</v>
      </c>
      <c r="BM8" s="414">
        <f>'Economist Plan 1'!BL8</f>
        <v>7917.775605639069</v>
      </c>
      <c r="BN8" s="414">
        <f>'Economist Plan 1'!BM8</f>
        <v>8143.4322103998165</v>
      </c>
      <c r="BO8" s="414">
        <f>'Economist Plan 1'!BN8</f>
        <v>8375.5200283961822</v>
      </c>
      <c r="BP8" s="414">
        <f>'Economist Plan 1'!BO8</f>
        <v>8614.2223492054891</v>
      </c>
      <c r="BQ8" s="414">
        <f>'Economist Plan 1'!BP8</f>
        <v>8859.7276861578248</v>
      </c>
      <c r="BR8" s="414">
        <f>'Economist Plan 1'!BQ8</f>
        <v>9112.229925213338</v>
      </c>
      <c r="BS8" s="414">
        <f>'Economist Plan 1'!BR8</f>
        <v>9371.9284780819271</v>
      </c>
      <c r="BT8" s="414">
        <f>'Economist Plan 1'!BS8</f>
        <v>9639.0284397072701</v>
      </c>
      <c r="BU8" s="414">
        <f>'Economist Plan 1'!BT8</f>
        <v>9913.7407502389142</v>
      </c>
      <c r="BV8" s="414">
        <f>'Economist Plan 1'!BU8</f>
        <v>10196.282361620692</v>
      </c>
      <c r="BW8" s="414">
        <f>'Economist Plan 1'!BV8</f>
        <v>10486.876408926917</v>
      </c>
      <c r="BX8" s="414">
        <f>'Economist Plan 1'!BW8</f>
        <v>10785.752386581327</v>
      </c>
      <c r="BY8" s="414">
        <f>'Economist Plan 1'!BX8</f>
        <v>11093.146329598903</v>
      </c>
      <c r="BZ8" s="414">
        <f>'Economist Plan 1'!BY8</f>
        <v>11409.300999992471</v>
      </c>
      <c r="CA8" s="414">
        <f>'Economist Plan 1'!BZ8</f>
        <v>11734.466078492249</v>
      </c>
      <c r="CB8" s="414">
        <f>'Economist Plan 1'!CA8</f>
        <v>12068.898361729265</v>
      </c>
    </row>
    <row r="9" spans="1:103" x14ac:dyDescent="0.25">
      <c r="B9" t="s">
        <v>220</v>
      </c>
      <c r="D9" s="414">
        <f>'Economist Plan 1'!D9</f>
        <v>269.48020983554437</v>
      </c>
      <c r="E9" s="414">
        <f>'Economist Plan 1'!E9</f>
        <v>266.8001907595858</v>
      </c>
      <c r="F9" s="414">
        <f>'Economist Plan 1'!F9</f>
        <v>264.12017168362723</v>
      </c>
      <c r="G9" s="414">
        <f>'Economist Plan 1'!G9</f>
        <v>261.44015260766867</v>
      </c>
      <c r="H9" s="414">
        <f>'Economist Plan 1'!H9</f>
        <v>258.7601335317101</v>
      </c>
      <c r="I9" s="414">
        <f>'Economist Plan 1'!I9</f>
        <v>256.08011445575153</v>
      </c>
      <c r="J9" s="414">
        <f>'Economist Plan 1'!J9</f>
        <v>253.40009537979296</v>
      </c>
      <c r="K9" s="414">
        <f>'Economist Plan 1'!K9</f>
        <v>250.72007630383439</v>
      </c>
      <c r="L9" s="414">
        <f>'Economist Plan 1'!L9</f>
        <v>248.04005722787582</v>
      </c>
      <c r="M9" s="414">
        <f>'Economist Plan 1'!M9</f>
        <v>245.36003815191725</v>
      </c>
      <c r="N9" s="414">
        <f>'Economist Plan 1'!N9</f>
        <v>242.68001907595868</v>
      </c>
      <c r="O9" s="414">
        <f>'Economist Plan 1'!O9</f>
        <v>240.00000000000011</v>
      </c>
      <c r="P9" s="414">
        <f>'Economist Plan 1'!P9</f>
        <v>239.40000000000012</v>
      </c>
      <c r="Q9" s="414">
        <f>'Economist Plan 1'!Q9</f>
        <v>238.80000000000013</v>
      </c>
      <c r="R9" s="414">
        <f>'Economist Plan 1'!R9</f>
        <v>238.20000000000013</v>
      </c>
      <c r="S9" s="414">
        <f>'Economist Plan 1'!S9</f>
        <v>237.60000000000014</v>
      </c>
      <c r="T9" s="414">
        <f>'Economist Plan 1'!T9</f>
        <v>237.00000000000014</v>
      </c>
      <c r="U9" s="414">
        <f>'Economist Plan 1'!U9</f>
        <v>236.40000000000015</v>
      </c>
      <c r="V9" s="414">
        <f>'Economist Plan 1'!V9</f>
        <v>235.80000000000015</v>
      </c>
      <c r="W9" s="414">
        <f>'Economist Plan 1'!W9</f>
        <v>235.20000000000016</v>
      </c>
      <c r="X9" s="414">
        <f>'Economist Plan 1'!X9</f>
        <v>234.60000000000016</v>
      </c>
      <c r="Y9" s="414">
        <f>'Economist Plan 1'!Y9</f>
        <v>234.00000000000017</v>
      </c>
      <c r="Z9" s="414">
        <f>'Economist Plan 1'!Z9</f>
        <v>233.40000000000018</v>
      </c>
      <c r="AA9" s="414">
        <f>'Economist Plan 1'!AA9</f>
        <v>232.80000000000018</v>
      </c>
      <c r="AB9" s="414">
        <f>'Economist Plan 1'!AB9</f>
        <v>232.20000000000019</v>
      </c>
      <c r="AC9" s="414">
        <f>'Economist Plan 1'!AC9</f>
        <v>231.60000000000019</v>
      </c>
      <c r="AD9" s="414">
        <f>'Economist Plan 1'!AD9</f>
        <v>231.0000000000002</v>
      </c>
      <c r="AE9" s="414">
        <f>'Economist Plan 1'!AE9</f>
        <v>230.4000000000002</v>
      </c>
      <c r="AF9" s="414">
        <f>'Economist Plan 1'!AF9</f>
        <v>229.80000000000021</v>
      </c>
      <c r="AG9" s="414">
        <f>'Economist Plan 1'!AG9</f>
        <v>229.20000000000022</v>
      </c>
      <c r="AH9" s="414">
        <f>'Economist Plan 1'!AH9</f>
        <v>228.60000000000022</v>
      </c>
      <c r="AI9" s="414">
        <f>'Economist Plan 1'!AI9</f>
        <v>228.00000000000023</v>
      </c>
      <c r="AJ9" s="414">
        <f>'Economist Plan 1'!AJ9</f>
        <v>227.40000000000023</v>
      </c>
      <c r="AK9" s="414">
        <f>'Economist Plan 1'!AK9</f>
        <v>226.80000000000024</v>
      </c>
      <c r="AL9" s="414">
        <f>'Economist Plan 1'!AL9</f>
        <v>226.20000000000024</v>
      </c>
      <c r="AM9" s="414">
        <f>'Economist Plan 1'!AM9</f>
        <v>225.60000000000025</v>
      </c>
      <c r="AN9" s="414">
        <f>'Economist Plan 1'!AN9</f>
        <v>225.00000000000026</v>
      </c>
      <c r="AO9" s="414">
        <f>'Economist Plan 1'!AO9</f>
        <v>225.00000000000026</v>
      </c>
      <c r="AP9" s="414">
        <f>'Economist Plan 1'!AP9</f>
        <v>225.00000000000026</v>
      </c>
      <c r="AQ9" s="414">
        <f>'Economist Plan 1'!AQ9</f>
        <v>225.00000000000026</v>
      </c>
      <c r="AR9" s="414">
        <f>'Economist Plan 1'!AR9</f>
        <v>225.00000000000026</v>
      </c>
      <c r="AS9" s="414">
        <f>'Economist Plan 1'!AS9</f>
        <v>225.00000000000026</v>
      </c>
      <c r="AT9" s="414">
        <f>'Economist Plan 1'!AT9</f>
        <v>225.00000000000026</v>
      </c>
      <c r="AU9" s="414">
        <f>'Economist Plan 1'!AU9</f>
        <v>225.00000000000026</v>
      </c>
      <c r="AV9" s="414">
        <f>'Economist Plan 1'!AV9</f>
        <v>225.00000000000026</v>
      </c>
      <c r="AW9" s="414">
        <f>'Economist Plan 1'!AW9</f>
        <v>225.00000000000026</v>
      </c>
      <c r="AX9" s="414">
        <f>'Economist Plan 1'!AX9</f>
        <v>225.00000000000026</v>
      </c>
      <c r="AY9" s="414">
        <f>'Economist Plan 1'!AY9</f>
        <v>225.00000000000026</v>
      </c>
      <c r="AZ9" s="414">
        <f>'Economist Plan 1'!AZ9</f>
        <v>225.00000000000026</v>
      </c>
      <c r="BA9" s="414">
        <f>'Economist Plan 1'!BA9</f>
        <v>225.00000000000026</v>
      </c>
      <c r="BB9" s="611">
        <f>'Economist Plan 1'!BB9</f>
        <v>225.00000000000026</v>
      </c>
      <c r="BC9" s="611">
        <f>'Economist Plan 1'!BC9</f>
        <v>225.00000000000026</v>
      </c>
      <c r="BD9" s="611">
        <f>'Economist Plan 1'!BD9</f>
        <v>225.00000000000026</v>
      </c>
      <c r="BE9" s="611">
        <f>'Economist Plan 1'!BE9</f>
        <v>225.00000000000026</v>
      </c>
      <c r="BF9" s="611">
        <f>'Economist Plan 1'!BF9</f>
        <v>225.00000000000026</v>
      </c>
      <c r="BG9" s="611">
        <f>'Economist Plan 1'!BG9</f>
        <v>225.00000000000026</v>
      </c>
      <c r="BH9" s="611">
        <f>'Economist Plan 1'!BH9</f>
        <v>225.00000000000026</v>
      </c>
      <c r="BI9" s="414">
        <f>'Economist Plan 1'!BH9</f>
        <v>225.00000000000026</v>
      </c>
      <c r="BJ9" s="414">
        <f>'Economist Plan 1'!BI9</f>
        <v>225.00000000000026</v>
      </c>
      <c r="BK9" s="414">
        <f>'Economist Plan 1'!BJ9</f>
        <v>225.00000000000026</v>
      </c>
      <c r="BL9" s="414">
        <f>'Economist Plan 1'!BK9</f>
        <v>225.00000000000026</v>
      </c>
      <c r="BM9" s="414">
        <f>'Economist Plan 1'!BL9</f>
        <v>225.00000000000026</v>
      </c>
      <c r="BN9" s="414">
        <f>'Economist Plan 1'!BM9</f>
        <v>225.00000000000026</v>
      </c>
      <c r="BO9" s="414">
        <f>'Economist Plan 1'!BN9</f>
        <v>225.00000000000026</v>
      </c>
      <c r="BP9" s="414">
        <f>'Economist Plan 1'!BO9</f>
        <v>225.00000000000026</v>
      </c>
      <c r="BQ9" s="414">
        <f>'Economist Plan 1'!BP9</f>
        <v>225.00000000000026</v>
      </c>
      <c r="BR9" s="414">
        <f>'Economist Plan 1'!BQ9</f>
        <v>225.00000000000026</v>
      </c>
      <c r="BS9" s="414">
        <f>'Economist Plan 1'!BR9</f>
        <v>225.00000000000026</v>
      </c>
      <c r="BT9" s="414">
        <f>'Economist Plan 1'!BS9</f>
        <v>225.00000000000026</v>
      </c>
      <c r="BU9" s="414">
        <f>'Economist Plan 1'!BT9</f>
        <v>225.00000000000026</v>
      </c>
      <c r="BV9" s="414">
        <f>'Economist Plan 1'!BU9</f>
        <v>225.00000000000026</v>
      </c>
      <c r="BW9" s="414">
        <f>'Economist Plan 1'!BV9</f>
        <v>225.00000000000026</v>
      </c>
      <c r="BX9" s="414">
        <f>'Economist Plan 1'!BW9</f>
        <v>225.00000000000026</v>
      </c>
      <c r="BY9" s="414">
        <f>'Economist Plan 1'!BX9</f>
        <v>225.00000000000026</v>
      </c>
      <c r="BZ9" s="414">
        <f>'Economist Plan 1'!BY9</f>
        <v>225.00000000000026</v>
      </c>
      <c r="CA9" s="414">
        <f>'Economist Plan 1'!BZ9</f>
        <v>225.00000000000026</v>
      </c>
      <c r="CB9" s="414">
        <f>'Economist Plan 1'!CA9</f>
        <v>225.00000000000026</v>
      </c>
    </row>
    <row r="10" spans="1:103" x14ac:dyDescent="0.25">
      <c r="B10" t="s">
        <v>221</v>
      </c>
      <c r="D10" s="414">
        <f>'Economist Plan 1'!D10</f>
        <v>15306.360414809296</v>
      </c>
      <c r="E10" s="414">
        <f>'Economist Plan 1'!E10</f>
        <v>15586.029369677004</v>
      </c>
      <c r="F10" s="414">
        <f>'Economist Plan 1'!F10</f>
        <v>15869.206863725241</v>
      </c>
      <c r="G10" s="414">
        <f>'Economist Plan 1'!G10</f>
        <v>16155.865722578708</v>
      </c>
      <c r="H10" s="414">
        <f>'Economist Plan 1'!H10</f>
        <v>16445.974373111763</v>
      </c>
      <c r="I10" s="414">
        <f>'Economist Plan 1'!I10</f>
        <v>16739.496614792039</v>
      </c>
      <c r="J10" s="414">
        <f>'Economist Plan 1'!J10</f>
        <v>17036.391381563531</v>
      </c>
      <c r="K10" s="414">
        <f>'Economist Plan 1'!K10</f>
        <v>17336.612493915629</v>
      </c>
      <c r="L10" s="414">
        <f>'Economist Plan 1'!L10</f>
        <v>17640.108400772126</v>
      </c>
      <c r="M10" s="414">
        <f>'Economist Plan 1'!M10</f>
        <v>17946.821910821258</v>
      </c>
      <c r="N10" s="414">
        <f>'Economist Plan 1'!N10</f>
        <v>18256.689912894664</v>
      </c>
      <c r="O10" s="414">
        <f>'Economist Plan 1'!O10</f>
        <v>18569.643084989188</v>
      </c>
      <c r="P10" s="414">
        <f>'Economist Plan 1'!P10</f>
        <v>19051.130718129105</v>
      </c>
      <c r="Q10" s="414">
        <f>'Economist Plan 1'!Q10</f>
        <v>19544.979953762209</v>
      </c>
      <c r="R10" s="414">
        <f>'Economist Plan 1'!R10</f>
        <v>20051.504314900605</v>
      </c>
      <c r="S10" s="414">
        <f>'Economist Plan 1'!S10</f>
        <v>20571.02515465644</v>
      </c>
      <c r="T10" s="414">
        <f>'Economist Plan 1'!T10</f>
        <v>21103.871847898587</v>
      </c>
      <c r="U10" s="414">
        <f>'Economist Plan 1'!U10</f>
        <v>21650.381987473658</v>
      </c>
      <c r="V10" s="414">
        <f>'Economist Plan 1'!V10</f>
        <v>22210.901585096057</v>
      </c>
      <c r="W10" s="414">
        <f>'Economist Plan 1'!W10</f>
        <v>22785.785277013601</v>
      </c>
      <c r="X10" s="414">
        <f>'Economist Plan 1'!X10</f>
        <v>23375.39653455796</v>
      </c>
      <c r="Y10" s="414">
        <f>'Economist Plan 1'!Y10</f>
        <v>23980.107879691084</v>
      </c>
      <c r="Z10" s="414">
        <f>'Economist Plan 1'!Z10</f>
        <v>24600.301105661612</v>
      </c>
      <c r="AA10" s="414">
        <f>'Economist Plan 1'!AA10</f>
        <v>25236.36750288718</v>
      </c>
      <c r="AB10" s="414">
        <f>'Economist Plan 1'!AB10</f>
        <v>25888.708090181528</v>
      </c>
      <c r="AC10" s="414">
        <f>'Economist Plan 1'!AC10</f>
        <v>26557.733851447432</v>
      </c>
      <c r="AD10" s="414">
        <f>'Economist Plan 1'!AD10</f>
        <v>27243.865977959245</v>
      </c>
      <c r="AE10" s="414">
        <f>'Economist Plan 1'!AE10</f>
        <v>27947.536116361385</v>
      </c>
      <c r="AF10" s="414">
        <f>'Economist Plan 1'!AF10</f>
        <v>28669.186622511861</v>
      </c>
      <c r="AG10" s="414">
        <f>'Economist Plan 1'!AG10</f>
        <v>29409.270821302391</v>
      </c>
      <c r="AH10" s="414">
        <f>'Economist Plan 1'!AH10</f>
        <v>30168.253272589856</v>
      </c>
      <c r="AI10" s="414">
        <f>'Economist Plan 1'!AI10</f>
        <v>30946.610043376095</v>
      </c>
      <c r="AJ10" s="414">
        <f>'Economist Plan 1'!AJ10</f>
        <v>31744.828986376491</v>
      </c>
      <c r="AK10" s="414">
        <f>'Economist Plan 1'!AK10</f>
        <v>32563.410025120174</v>
      </c>
      <c r="AL10" s="414">
        <f>'Economist Plan 1'!AL10</f>
        <v>33402.865445728072</v>
      </c>
      <c r="AM10" s="414">
        <f>'Economist Plan 1'!AM10</f>
        <v>34263.720195517708</v>
      </c>
      <c r="AN10" s="414">
        <f>'Economist Plan 1'!AN10</f>
        <v>35146.512188587069</v>
      </c>
      <c r="AO10" s="414">
        <f>'Economist Plan 1'!AO10</f>
        <v>36148.187785961789</v>
      </c>
      <c r="AP10" s="414">
        <f>'Economist Plan 1'!AP10</f>
        <v>37178.411137861702</v>
      </c>
      <c r="AQ10" s="414">
        <f>'Economist Plan 1'!AQ10</f>
        <v>38237.995855290763</v>
      </c>
      <c r="AR10" s="414">
        <f>'Economist Plan 1'!AR10</f>
        <v>39327.778737166547</v>
      </c>
      <c r="AS10" s="414">
        <f>'Economist Plan 1'!AS10</f>
        <v>40448.620431175797</v>
      </c>
      <c r="AT10" s="414">
        <f>'Economist Plan 1'!AT10</f>
        <v>41601.406113464313</v>
      </c>
      <c r="AU10" s="414">
        <f>'Economist Plan 1'!AU10</f>
        <v>42787.046187698033</v>
      </c>
      <c r="AV10" s="414">
        <f>'Economist Plan 1'!AV10</f>
        <v>44006.477004047432</v>
      </c>
      <c r="AW10" s="414">
        <f>'Economist Plan 1'!AW10</f>
        <v>45260.66159866278</v>
      </c>
      <c r="AX10" s="414">
        <f>'Economist Plan 1'!AX10</f>
        <v>46550.590454224672</v>
      </c>
      <c r="AY10" s="414">
        <f>'Economist Plan 1'!AY10</f>
        <v>47877.282282170068</v>
      </c>
      <c r="AZ10" s="414">
        <f>'Economist Plan 1'!AZ10</f>
        <v>49241.784827211915</v>
      </c>
      <c r="BA10" s="414">
        <f>'Economist Plan 1'!BA10</f>
        <v>50645.175694787453</v>
      </c>
      <c r="BB10" s="611">
        <f>'Economist Plan 1'!BB10</f>
        <v>52088.563202088895</v>
      </c>
      <c r="BC10" s="611">
        <f>'Economist Plan 1'!BC10</f>
        <v>53573.087253348436</v>
      </c>
      <c r="BD10" s="611">
        <f>'Economist Plan 1'!BD10</f>
        <v>55099.920240068866</v>
      </c>
      <c r="BE10" s="611">
        <f>'Economist Plan 1'!BE10</f>
        <v>56670.267966910811</v>
      </c>
      <c r="BF10" s="611">
        <f>'Economist Plan 1'!BF10</f>
        <v>58285.370603967771</v>
      </c>
      <c r="BG10" s="611">
        <f>'Economist Plan 1'!BG10</f>
        <v>59946.503666180848</v>
      </c>
      <c r="BH10" s="611">
        <f>'Economist Plan 1'!BH10</f>
        <v>61654.979020667</v>
      </c>
      <c r="BI10" s="414">
        <f>'Economist Plan 1'!BH10</f>
        <v>61654.979020667</v>
      </c>
      <c r="BJ10" s="414">
        <f>'Economist Plan 1'!BI10</f>
        <v>63412.145922756004</v>
      </c>
      <c r="BK10" s="414">
        <f>'Economist Plan 1'!BJ10</f>
        <v>65219.39208155455</v>
      </c>
      <c r="BL10" s="414">
        <f>'Economist Plan 1'!BK10</f>
        <v>67078.14475587885</v>
      </c>
      <c r="BM10" s="414">
        <f>'Economist Plan 1'!BL10</f>
        <v>68989.871881421393</v>
      </c>
      <c r="BN10" s="414">
        <f>'Economist Plan 1'!BM10</f>
        <v>70956.083230041899</v>
      </c>
      <c r="BO10" s="414">
        <f>'Economist Plan 1'!BN10</f>
        <v>72978.331602098086</v>
      </c>
      <c r="BP10" s="414">
        <f>'Economist Plan 1'!BO10</f>
        <v>75058.214052757874</v>
      </c>
      <c r="BQ10" s="414">
        <f>'Economist Plan 1'!BP10</f>
        <v>77197.373153261477</v>
      </c>
      <c r="BR10" s="414">
        <f>'Economist Plan 1'!BQ10</f>
        <v>79397.498288129427</v>
      </c>
      <c r="BS10" s="414">
        <f>'Economist Plan 1'!BR10</f>
        <v>0</v>
      </c>
      <c r="BT10" s="414">
        <f>'Economist Plan 1'!BS10</f>
        <v>0</v>
      </c>
      <c r="BU10" s="414">
        <f>'Economist Plan 1'!BT10</f>
        <v>0</v>
      </c>
      <c r="BV10" s="414">
        <f>'Economist Plan 1'!BU10</f>
        <v>0</v>
      </c>
      <c r="BW10" s="414">
        <f>'Economist Plan 1'!BV10</f>
        <v>0</v>
      </c>
      <c r="BX10" s="414">
        <f>'Economist Plan 1'!BW10</f>
        <v>0</v>
      </c>
      <c r="BY10" s="414">
        <f>'Economist Plan 1'!BX10</f>
        <v>0</v>
      </c>
      <c r="BZ10" s="414">
        <f>'Economist Plan 1'!BY10</f>
        <v>0</v>
      </c>
      <c r="CA10" s="414">
        <f>'Economist Plan 1'!BZ10</f>
        <v>0</v>
      </c>
      <c r="CB10" s="414">
        <f>'Economist Plan 1'!CA10</f>
        <v>0</v>
      </c>
    </row>
    <row r="11" spans="1:103" x14ac:dyDescent="0.25">
      <c r="B11" t="s">
        <v>223</v>
      </c>
      <c r="D11" s="414">
        <f>'Economist Plan 1'!D11</f>
        <v>20275.609848683933</v>
      </c>
      <c r="E11" s="414">
        <f>'Economist Plan 1'!E11</f>
        <v>21823.404134398086</v>
      </c>
      <c r="F11" s="414">
        <f>'Economist Plan 1'!F11</f>
        <v>21823.404134398086</v>
      </c>
      <c r="G11" s="414">
        <f>'Economist Plan 1'!G11</f>
        <v>21823.404134398086</v>
      </c>
      <c r="H11" s="414">
        <f>'Economist Plan 1'!H11</f>
        <v>21823.404134398086</v>
      </c>
      <c r="I11" s="414">
        <f>'Economist Plan 1'!I11</f>
        <v>23061.639562969405</v>
      </c>
      <c r="J11" s="414">
        <f>'Economist Plan 1'!J11</f>
        <v>23061.639562969405</v>
      </c>
      <c r="K11" s="414">
        <f>'Economist Plan 1'!K11</f>
        <v>23061.639562969405</v>
      </c>
      <c r="L11" s="414">
        <f>'Economist Plan 1'!L11</f>
        <v>23061.639562969405</v>
      </c>
      <c r="M11" s="414">
        <f>'Economist Plan 1'!M11</f>
        <v>23061.639562969405</v>
      </c>
      <c r="N11" s="414">
        <f>'Economist Plan 1'!N11</f>
        <v>23061.639562969405</v>
      </c>
      <c r="O11" s="414">
        <f>'Economist Plan 1'!O11</f>
        <v>23061.639562969405</v>
      </c>
      <c r="P11" s="414">
        <f>'Economist Plan 1'!P11</f>
        <v>23061.639562969405</v>
      </c>
      <c r="Q11" s="414">
        <f>'Economist Plan 1'!Q11</f>
        <v>23061.639562969405</v>
      </c>
      <c r="R11" s="414">
        <f>'Economist Plan 1'!R11</f>
        <v>23061.639562969405</v>
      </c>
      <c r="S11" s="414">
        <f>'Economist Plan 1'!S11</f>
        <v>23061.639562969405</v>
      </c>
      <c r="T11" s="414">
        <f>'Economist Plan 1'!T11</f>
        <v>23061.639562969405</v>
      </c>
      <c r="U11" s="414">
        <f>'Economist Plan 1'!U11</f>
        <v>23061.639562969405</v>
      </c>
      <c r="V11" s="414">
        <f>'Economist Plan 1'!V11</f>
        <v>23061.639562969405</v>
      </c>
      <c r="W11" s="414">
        <f>'Economist Plan 1'!W11</f>
        <v>23061.639562969405</v>
      </c>
      <c r="X11" s="414">
        <f>'Economist Plan 1'!X11</f>
        <v>23061.639562969405</v>
      </c>
      <c r="Y11" s="414">
        <f>'Economist Plan 1'!Y11</f>
        <v>23061.639562969405</v>
      </c>
      <c r="Z11" s="414">
        <f>'Economist Plan 1'!Z11</f>
        <v>23061.639562969405</v>
      </c>
      <c r="AA11" s="414">
        <f>'Economist Plan 1'!AA11</f>
        <v>23061.639562969405</v>
      </c>
      <c r="AB11" s="414">
        <f>'Economist Plan 1'!AB11</f>
        <v>23061.639562969405</v>
      </c>
      <c r="AC11" s="414">
        <f>'Economist Plan 1'!AC11</f>
        <v>23061.639562969405</v>
      </c>
      <c r="AD11" s="414">
        <f>'Economist Plan 1'!AD11</f>
        <v>23061.639562969405</v>
      </c>
      <c r="AE11" s="414">
        <f>'Economist Plan 1'!AE11</f>
        <v>23061.639562969405</v>
      </c>
      <c r="AF11" s="414">
        <f>'Economist Plan 1'!AF11</f>
        <v>23061.639562969405</v>
      </c>
      <c r="AG11" s="414">
        <f>'Economist Plan 1'!AG11</f>
        <v>23061.639562969405</v>
      </c>
      <c r="AH11" s="414">
        <f>'Economist Plan 1'!AH11</f>
        <v>23061.639562969405</v>
      </c>
      <c r="AI11" s="414">
        <f>'Economist Plan 1'!AI11</f>
        <v>23061.639562969405</v>
      </c>
      <c r="AJ11" s="414">
        <f>'Economist Plan 1'!AJ11</f>
        <v>23061.639562969405</v>
      </c>
      <c r="AK11" s="414">
        <f>'Economist Plan 1'!AK11</f>
        <v>23061.639562969405</v>
      </c>
      <c r="AL11" s="414">
        <f>'Economist Plan 1'!AL11</f>
        <v>23061.639562969405</v>
      </c>
      <c r="AM11" s="414">
        <f>'Economist Plan 1'!AM11</f>
        <v>23061.639562969405</v>
      </c>
      <c r="AN11" s="414">
        <f>'Economist Plan 1'!AN11</f>
        <v>23061.639562969405</v>
      </c>
      <c r="AO11" s="414">
        <f>'Economist Plan 1'!AO11</f>
        <v>23061.639562969405</v>
      </c>
      <c r="AP11" s="414">
        <f>'Economist Plan 1'!AP11</f>
        <v>23061.639562969405</v>
      </c>
      <c r="AQ11" s="414">
        <f>'Economist Plan 1'!AQ11</f>
        <v>23061.639562969405</v>
      </c>
      <c r="AR11" s="414">
        <f>'Economist Plan 1'!AR11</f>
        <v>23061.639562969405</v>
      </c>
      <c r="AS11" s="414">
        <f>'Economist Plan 1'!AS11</f>
        <v>23061.639562969405</v>
      </c>
      <c r="AT11" s="414">
        <f>'Economist Plan 1'!AT11</f>
        <v>23061.639562969405</v>
      </c>
      <c r="AU11" s="414">
        <f>'Economist Plan 1'!AU11</f>
        <v>23061.639562969405</v>
      </c>
      <c r="AV11" s="414">
        <f>'Economist Plan 1'!AV11</f>
        <v>23061.639562969405</v>
      </c>
      <c r="AW11" s="414">
        <f>'Economist Plan 1'!AW11</f>
        <v>23061.639562969405</v>
      </c>
      <c r="AX11" s="414">
        <f>'Economist Plan 1'!AX11</f>
        <v>23061.639562969405</v>
      </c>
      <c r="AY11" s="414">
        <f>'Economist Plan 1'!AY11</f>
        <v>23061.639562969405</v>
      </c>
      <c r="AZ11" s="414">
        <f>'Economist Plan 1'!AZ11</f>
        <v>23061.639562969405</v>
      </c>
      <c r="BA11" s="414">
        <f>'Economist Plan 1'!BA11</f>
        <v>23061.639562969405</v>
      </c>
      <c r="BB11" s="611">
        <f>'Economist Plan 1'!BB11</f>
        <v>23061.639562969405</v>
      </c>
      <c r="BC11" s="611">
        <f>'Economist Plan 1'!BC11</f>
        <v>23061.639562969405</v>
      </c>
      <c r="BD11" s="611">
        <f>'Economist Plan 1'!BD11</f>
        <v>23061.639562969405</v>
      </c>
      <c r="BE11" s="611">
        <f>'Economist Plan 1'!BE11</f>
        <v>23061.639562969405</v>
      </c>
      <c r="BF11" s="611">
        <f>'Economist Plan 1'!BF11</f>
        <v>23061.639562969405</v>
      </c>
      <c r="BG11" s="611">
        <f>'Economist Plan 1'!BG11</f>
        <v>23061.639562969405</v>
      </c>
      <c r="BH11" s="611">
        <f>'Economist Plan 1'!BH11</f>
        <v>23061.639562969405</v>
      </c>
      <c r="BI11" s="414">
        <f>'Economist Plan 1'!BH11</f>
        <v>23061.639562969405</v>
      </c>
      <c r="BJ11" s="414">
        <f>'Economist Plan 1'!BI11</f>
        <v>23061.639562969405</v>
      </c>
      <c r="BK11" s="414">
        <f>'Economist Plan 1'!BJ11</f>
        <v>23061.639562969405</v>
      </c>
      <c r="BL11" s="414">
        <f>'Economist Plan 1'!BK11</f>
        <v>23061.639562969405</v>
      </c>
      <c r="BM11" s="414">
        <f>'Economist Plan 1'!BL11</f>
        <v>23061.639562969405</v>
      </c>
      <c r="BN11" s="414">
        <f>'Economist Plan 1'!BM11</f>
        <v>23061.639562969405</v>
      </c>
      <c r="BO11" s="414">
        <f>'Economist Plan 1'!BN11</f>
        <v>23061.639562969405</v>
      </c>
      <c r="BP11" s="414">
        <f>'Economist Plan 1'!BO11</f>
        <v>23061.639562969405</v>
      </c>
      <c r="BQ11" s="414">
        <f>'Economist Plan 1'!BP11</f>
        <v>23061.639562969405</v>
      </c>
      <c r="BR11" s="414">
        <f>'Economist Plan 1'!BQ11</f>
        <v>23061.639562969405</v>
      </c>
      <c r="BS11" s="414">
        <f>'Economist Plan 1'!BR11</f>
        <v>0</v>
      </c>
      <c r="BT11" s="414">
        <f>'Economist Plan 1'!BS11</f>
        <v>0</v>
      </c>
      <c r="BU11" s="414">
        <f>'Economist Plan 1'!BT11</f>
        <v>0</v>
      </c>
      <c r="BV11" s="414">
        <f>'Economist Plan 1'!BU11</f>
        <v>0</v>
      </c>
      <c r="BW11" s="414">
        <f>'Economist Plan 1'!BV11</f>
        <v>0</v>
      </c>
      <c r="BX11" s="414">
        <f>'Economist Plan 1'!BW11</f>
        <v>0</v>
      </c>
      <c r="BY11" s="414">
        <f>'Economist Plan 1'!BX11</f>
        <v>0</v>
      </c>
      <c r="BZ11" s="414">
        <f>'Economist Plan 1'!BY11</f>
        <v>0</v>
      </c>
      <c r="CA11" s="414">
        <f>'Economist Plan 1'!BZ11</f>
        <v>0</v>
      </c>
      <c r="CB11" s="414">
        <f>'Economist Plan 1'!CA11</f>
        <v>0</v>
      </c>
    </row>
    <row r="12" spans="1:103" x14ac:dyDescent="0.25">
      <c r="B12" t="s">
        <v>224</v>
      </c>
      <c r="D12" s="414">
        <f>'Economist Plan 1'!D12</f>
        <v>4969.2494338746365</v>
      </c>
      <c r="E12" s="414">
        <f>'Economist Plan 1'!E12</f>
        <v>6237.3747647210821</v>
      </c>
      <c r="F12" s="414">
        <f>'Economist Plan 1'!F12</f>
        <v>5954.1972706728448</v>
      </c>
      <c r="G12" s="414">
        <f>'Economist Plan 1'!G12</f>
        <v>5667.5384118193779</v>
      </c>
      <c r="H12" s="414">
        <f>'Economist Plan 1'!H12</f>
        <v>5377.4297612863229</v>
      </c>
      <c r="I12" s="414">
        <f>'Economist Plan 1'!I12</f>
        <v>6322.1429481773666</v>
      </c>
      <c r="J12" s="414">
        <f>'Economist Plan 1'!J12</f>
        <v>6025.2481814058738</v>
      </c>
      <c r="K12" s="414">
        <f>'Economist Plan 1'!K12</f>
        <v>5725.0270690537764</v>
      </c>
      <c r="L12" s="414">
        <f>'Economist Plan 1'!L12</f>
        <v>5421.5311621972796</v>
      </c>
      <c r="M12" s="414">
        <f>'Economist Plan 1'!M12</f>
        <v>5114.8176521481473</v>
      </c>
      <c r="N12" s="414">
        <f>'Economist Plan 1'!N12</f>
        <v>4804.9496500747409</v>
      </c>
      <c r="O12" s="414">
        <f>'Economist Plan 1'!O12</f>
        <v>4491.9964779802176</v>
      </c>
      <c r="P12" s="414">
        <f>'Economist Plan 1'!P12</f>
        <v>4010.5088448403003</v>
      </c>
      <c r="Q12" s="414">
        <f>'Economist Plan 1'!Q12</f>
        <v>3516.6596092071959</v>
      </c>
      <c r="R12" s="414">
        <f>'Economist Plan 1'!R12</f>
        <v>3010.1352480688001</v>
      </c>
      <c r="S12" s="414">
        <f>'Economist Plan 1'!S12</f>
        <v>2490.6144083129657</v>
      </c>
      <c r="T12" s="414">
        <f>'Economist Plan 1'!T12</f>
        <v>1957.7677150708187</v>
      </c>
      <c r="U12" s="414">
        <f>'Economist Plan 1'!U12</f>
        <v>1411.257575495747</v>
      </c>
      <c r="V12" s="414">
        <f>'Economist Plan 1'!V12</f>
        <v>850.73797787334843</v>
      </c>
      <c r="W12" s="414">
        <f>'Economist Plan 1'!W12</f>
        <v>275.85428595580379</v>
      </c>
      <c r="X12" s="414">
        <f>'Economist Plan 1'!X12</f>
        <v>-313.75697158855473</v>
      </c>
      <c r="Y12" s="414">
        <f>'Economist Plan 1'!Y12</f>
        <v>-918.468316721679</v>
      </c>
      <c r="Z12" s="414">
        <f>'Economist Plan 1'!Z12</f>
        <v>-1538.6615426922071</v>
      </c>
      <c r="AA12" s="414">
        <f>'Economist Plan 1'!AA12</f>
        <v>-2174.7279399177751</v>
      </c>
      <c r="AB12" s="414">
        <f>'Economist Plan 1'!AB12</f>
        <v>-2827.0685272121227</v>
      </c>
      <c r="AC12" s="414">
        <f>'Economist Plan 1'!AC12</f>
        <v>-3496.094288478027</v>
      </c>
      <c r="AD12" s="414">
        <f>'Economist Plan 1'!AD12</f>
        <v>-4182.2264149898401</v>
      </c>
      <c r="AE12" s="414">
        <f>'Economist Plan 1'!AE12</f>
        <v>-4885.89655339198</v>
      </c>
      <c r="AF12" s="414">
        <f>'Economist Plan 1'!AF12</f>
        <v>-5607.5470595424558</v>
      </c>
      <c r="AG12" s="414">
        <f>'Economist Plan 1'!AG12</f>
        <v>-6347.6312583329855</v>
      </c>
      <c r="AH12" s="414">
        <f>'Economist Plan 1'!AH12</f>
        <v>-7106.6137096204511</v>
      </c>
      <c r="AI12" s="414">
        <f>'Economist Plan 1'!AI12</f>
        <v>-7884.9704804066896</v>
      </c>
      <c r="AJ12" s="414">
        <f>'Economist Plan 1'!AJ12</f>
        <v>-8683.189423407086</v>
      </c>
      <c r="AK12" s="414">
        <f>'Economist Plan 1'!AK12</f>
        <v>-9501.7704621507692</v>
      </c>
      <c r="AL12" s="414">
        <f>'Economist Plan 1'!AL12</f>
        <v>-10341.225882758667</v>
      </c>
      <c r="AM12" s="414">
        <f>'Economist Plan 1'!AM12</f>
        <v>-11202.080632548303</v>
      </c>
      <c r="AN12" s="414">
        <f>'Economist Plan 1'!AN12</f>
        <v>-12084.872625617663</v>
      </c>
      <c r="AO12" s="414">
        <f>'Economist Plan 1'!AO12</f>
        <v>-13086.548222992384</v>
      </c>
      <c r="AP12" s="414">
        <f>'Economist Plan 1'!AP12</f>
        <v>-14116.771574892296</v>
      </c>
      <c r="AQ12" s="414">
        <f>'Economist Plan 1'!AQ12</f>
        <v>-15176.356292321358</v>
      </c>
      <c r="AR12" s="414">
        <f>'Economist Plan 1'!AR12</f>
        <v>-16266.139174197142</v>
      </c>
      <c r="AS12" s="414">
        <f>'Economist Plan 1'!AS12</f>
        <v>-17386.980868206392</v>
      </c>
      <c r="AT12" s="414">
        <f>'Economist Plan 1'!AT12</f>
        <v>-18539.766550494907</v>
      </c>
      <c r="AU12" s="414">
        <f>'Economist Plan 1'!AU12</f>
        <v>-19725.406624728628</v>
      </c>
      <c r="AV12" s="414">
        <f>'Economist Plan 1'!AV12</f>
        <v>-20944.837441078027</v>
      </c>
      <c r="AW12" s="414">
        <f>'Economist Plan 1'!AW12</f>
        <v>-22199.022035693375</v>
      </c>
      <c r="AX12" s="414">
        <f>'Economist Plan 1'!AX12</f>
        <v>-23488.950891255266</v>
      </c>
      <c r="AY12" s="414">
        <f>'Economist Plan 1'!AY12</f>
        <v>-24815.642719200663</v>
      </c>
      <c r="AZ12" s="414">
        <f>'Economist Plan 1'!AZ12</f>
        <v>-26180.14526424251</v>
      </c>
      <c r="BA12" s="414">
        <f>'Economist Plan 1'!BA12</f>
        <v>-27583.536131818048</v>
      </c>
      <c r="BB12" s="611">
        <f>'Economist Plan 1'!BB12</f>
        <v>-29026.92363911949</v>
      </c>
      <c r="BC12" s="611">
        <f>'Economist Plan 1'!BC12</f>
        <v>-30511.447690379031</v>
      </c>
      <c r="BD12" s="611">
        <f>'Economist Plan 1'!BD12</f>
        <v>-32038.280677099461</v>
      </c>
      <c r="BE12" s="611">
        <f>'Economist Plan 1'!BE12</f>
        <v>-33608.628403941402</v>
      </c>
      <c r="BF12" s="611">
        <f>'Economist Plan 1'!BF12</f>
        <v>-35223.731040998362</v>
      </c>
      <c r="BG12" s="611">
        <f>'Economist Plan 1'!BG12</f>
        <v>-36884.864103211439</v>
      </c>
      <c r="BH12" s="611">
        <f>'Economist Plan 1'!BH12</f>
        <v>-38593.339457697599</v>
      </c>
      <c r="BI12" s="414">
        <f>'Economist Plan 1'!BH12</f>
        <v>-38593.339457697599</v>
      </c>
      <c r="BJ12" s="414">
        <f>'Economist Plan 1'!BI12</f>
        <v>-40350.506359786596</v>
      </c>
      <c r="BK12" s="414">
        <f>'Economist Plan 1'!BJ12</f>
        <v>-42157.752518585141</v>
      </c>
      <c r="BL12" s="414">
        <f>'Economist Plan 1'!BK12</f>
        <v>-44016.505192909448</v>
      </c>
      <c r="BM12" s="414">
        <f>'Economist Plan 1'!BL12</f>
        <v>-45928.232318451992</v>
      </c>
      <c r="BN12" s="414">
        <f>'Economist Plan 1'!BM12</f>
        <v>-47894.443667072497</v>
      </c>
      <c r="BO12" s="414">
        <f>'Economist Plan 1'!BN12</f>
        <v>-49916.692039128684</v>
      </c>
      <c r="BP12" s="414">
        <f>'Economist Plan 1'!BO12</f>
        <v>-51996.574489788472</v>
      </c>
      <c r="BQ12" s="414">
        <f>'Economist Plan 1'!BP12</f>
        <v>-54135.733590292075</v>
      </c>
      <c r="BR12" s="414">
        <f>'Economist Plan 1'!BQ12</f>
        <v>-56335.858725160026</v>
      </c>
      <c r="BS12" s="414">
        <f>'Economist Plan 1'!BR12</f>
        <v>0</v>
      </c>
      <c r="BT12" s="414">
        <f>'Economist Plan 1'!BS12</f>
        <v>0</v>
      </c>
      <c r="BU12" s="414">
        <f>'Economist Plan 1'!BT12</f>
        <v>0</v>
      </c>
      <c r="BV12" s="414">
        <f>'Economist Plan 1'!BU12</f>
        <v>0</v>
      </c>
      <c r="BW12" s="414">
        <f>'Economist Plan 1'!BV12</f>
        <v>0</v>
      </c>
      <c r="BX12" s="414">
        <f>'Economist Plan 1'!BW12</f>
        <v>0</v>
      </c>
      <c r="BY12" s="414">
        <f>'Economist Plan 1'!BX12</f>
        <v>0</v>
      </c>
      <c r="BZ12" s="414">
        <f>'Economist Plan 1'!BY12</f>
        <v>0</v>
      </c>
      <c r="CA12" s="414">
        <f>'Economist Plan 1'!BZ12</f>
        <v>0</v>
      </c>
      <c r="CB12" s="414">
        <f>'Economist Plan 1'!CA12</f>
        <v>0</v>
      </c>
    </row>
    <row r="14" spans="1:103" x14ac:dyDescent="0.25">
      <c r="A14" s="472" t="s">
        <v>275</v>
      </c>
    </row>
    <row r="15" spans="1:103" x14ac:dyDescent="0.25">
      <c r="B15" t="s">
        <v>284</v>
      </c>
      <c r="D15" s="477">
        <f>'Underlying Assumptions'!E5</f>
        <v>969000000</v>
      </c>
      <c r="E15" s="477">
        <v>0</v>
      </c>
      <c r="F15" s="477">
        <v>0</v>
      </c>
      <c r="G15" s="477">
        <v>0</v>
      </c>
      <c r="H15" s="477">
        <v>0</v>
      </c>
      <c r="I15" s="477">
        <v>0</v>
      </c>
      <c r="J15" s="477">
        <v>0</v>
      </c>
      <c r="K15" s="477">
        <v>0</v>
      </c>
      <c r="L15" s="477">
        <v>0</v>
      </c>
      <c r="M15" s="477">
        <v>0</v>
      </c>
      <c r="N15" s="477">
        <v>0</v>
      </c>
      <c r="O15" s="477">
        <v>0</v>
      </c>
      <c r="P15" s="477">
        <v>0</v>
      </c>
      <c r="Q15" s="477">
        <v>0</v>
      </c>
      <c r="R15" s="477">
        <v>0</v>
      </c>
      <c r="S15" s="477">
        <v>0</v>
      </c>
      <c r="T15" s="477">
        <v>0</v>
      </c>
      <c r="U15" s="477">
        <v>0</v>
      </c>
      <c r="V15" s="477">
        <v>0</v>
      </c>
      <c r="W15" s="477">
        <v>0</v>
      </c>
      <c r="X15" s="477">
        <v>0</v>
      </c>
      <c r="Y15" s="477">
        <v>0</v>
      </c>
      <c r="Z15" s="477">
        <v>0</v>
      </c>
      <c r="AA15" s="477">
        <v>0</v>
      </c>
      <c r="AB15" s="477">
        <v>0</v>
      </c>
      <c r="AC15" s="477">
        <v>0</v>
      </c>
      <c r="AD15" s="477">
        <v>0</v>
      </c>
      <c r="AE15" s="477">
        <v>0</v>
      </c>
      <c r="AF15" s="477">
        <v>0</v>
      </c>
      <c r="AG15" s="477">
        <v>0</v>
      </c>
      <c r="AH15" s="477">
        <v>0</v>
      </c>
      <c r="AI15" s="477">
        <v>0</v>
      </c>
      <c r="AJ15" s="477">
        <v>0</v>
      </c>
      <c r="AK15" s="477">
        <v>0</v>
      </c>
      <c r="AL15" s="477">
        <v>0</v>
      </c>
      <c r="AM15" s="477">
        <v>0</v>
      </c>
      <c r="AN15" s="477">
        <v>0</v>
      </c>
      <c r="AO15" s="477">
        <v>0</v>
      </c>
      <c r="AP15" s="477">
        <v>0</v>
      </c>
      <c r="AQ15" s="477">
        <v>0</v>
      </c>
      <c r="AR15" s="477">
        <v>0</v>
      </c>
      <c r="AS15" s="477">
        <v>0</v>
      </c>
      <c r="AT15" s="477">
        <v>0</v>
      </c>
      <c r="AU15" s="477">
        <v>0</v>
      </c>
      <c r="AV15" s="477">
        <v>0</v>
      </c>
      <c r="AW15" s="477">
        <v>0</v>
      </c>
      <c r="AX15" s="477">
        <v>0</v>
      </c>
      <c r="AY15" s="477">
        <v>0</v>
      </c>
      <c r="AZ15" s="477">
        <v>0</v>
      </c>
      <c r="BA15" s="477">
        <v>0</v>
      </c>
      <c r="BB15" s="477">
        <v>0</v>
      </c>
      <c r="BC15" s="477">
        <v>0</v>
      </c>
      <c r="BD15" s="477">
        <v>0</v>
      </c>
      <c r="BE15" s="477">
        <v>0</v>
      </c>
      <c r="BF15" s="477">
        <v>0</v>
      </c>
      <c r="BG15" s="477">
        <v>0</v>
      </c>
      <c r="BH15" s="477">
        <v>0</v>
      </c>
      <c r="BI15" s="477">
        <v>0</v>
      </c>
      <c r="BJ15" s="477">
        <v>0</v>
      </c>
      <c r="BK15" s="477">
        <v>0</v>
      </c>
      <c r="BL15" s="477">
        <v>0</v>
      </c>
      <c r="BM15" s="477">
        <v>0</v>
      </c>
      <c r="BN15" s="477">
        <v>0</v>
      </c>
      <c r="BO15" s="477">
        <v>0</v>
      </c>
      <c r="BP15" s="477">
        <v>0</v>
      </c>
      <c r="BQ15" s="477">
        <v>0</v>
      </c>
      <c r="BR15" s="477">
        <v>0</v>
      </c>
      <c r="BS15" s="477">
        <v>0</v>
      </c>
      <c r="BT15" s="477">
        <v>0</v>
      </c>
      <c r="BU15" s="477">
        <v>0</v>
      </c>
      <c r="BV15" s="477">
        <v>0</v>
      </c>
      <c r="BW15" s="477">
        <v>0</v>
      </c>
      <c r="BX15" s="477">
        <v>0</v>
      </c>
      <c r="BY15" s="477">
        <v>0</v>
      </c>
      <c r="BZ15" s="477">
        <v>0</v>
      </c>
      <c r="CA15" s="477">
        <v>0</v>
      </c>
      <c r="CB15" s="477">
        <v>0</v>
      </c>
      <c r="CC15" s="477">
        <v>0</v>
      </c>
      <c r="CD15" s="477">
        <v>0</v>
      </c>
      <c r="CE15" s="477">
        <v>0</v>
      </c>
      <c r="CF15" s="477">
        <v>0</v>
      </c>
      <c r="CG15" s="477">
        <v>0</v>
      </c>
      <c r="CH15" s="477">
        <v>0</v>
      </c>
      <c r="CI15" s="477">
        <v>0</v>
      </c>
      <c r="CJ15" s="477">
        <v>0</v>
      </c>
      <c r="CK15" s="477">
        <v>0</v>
      </c>
      <c r="CL15" s="477">
        <v>0</v>
      </c>
      <c r="CM15" s="477">
        <v>0</v>
      </c>
      <c r="CN15" s="477">
        <v>0</v>
      </c>
      <c r="CO15" s="477">
        <v>0</v>
      </c>
      <c r="CP15" s="477">
        <v>0</v>
      </c>
      <c r="CQ15" s="477">
        <v>0</v>
      </c>
      <c r="CR15" s="477">
        <v>0</v>
      </c>
      <c r="CS15" s="477">
        <v>0</v>
      </c>
      <c r="CT15" s="477">
        <v>0</v>
      </c>
      <c r="CU15" s="477">
        <v>0</v>
      </c>
      <c r="CV15" s="477">
        <v>0</v>
      </c>
      <c r="CW15" s="477">
        <v>0</v>
      </c>
      <c r="CX15" s="477">
        <v>0</v>
      </c>
      <c r="CY15" s="477">
        <v>0</v>
      </c>
    </row>
    <row r="16" spans="1:103" x14ac:dyDescent="0.25">
      <c r="B16" t="s">
        <v>286</v>
      </c>
      <c r="D16" s="477">
        <f>-'Underlying Assumptions'!E6</f>
        <v>125000000</v>
      </c>
      <c r="E16" s="477">
        <v>0</v>
      </c>
      <c r="F16" s="477">
        <v>0</v>
      </c>
      <c r="G16" s="477">
        <v>0</v>
      </c>
      <c r="H16" s="477">
        <v>0</v>
      </c>
      <c r="I16" s="477">
        <v>0</v>
      </c>
      <c r="J16" s="477">
        <v>0</v>
      </c>
      <c r="K16" s="477">
        <v>0</v>
      </c>
      <c r="L16" s="477">
        <v>0</v>
      </c>
      <c r="M16" s="477">
        <v>0</v>
      </c>
      <c r="N16" s="477">
        <v>0</v>
      </c>
      <c r="O16" s="477">
        <v>0</v>
      </c>
      <c r="P16" s="477">
        <v>0</v>
      </c>
      <c r="Q16" s="477">
        <v>0</v>
      </c>
      <c r="R16" s="477">
        <v>0</v>
      </c>
      <c r="S16" s="477">
        <v>0</v>
      </c>
      <c r="T16" s="477">
        <v>0</v>
      </c>
      <c r="U16" s="477">
        <v>0</v>
      </c>
      <c r="V16" s="477">
        <v>0</v>
      </c>
      <c r="W16" s="477">
        <v>0</v>
      </c>
      <c r="X16" s="477">
        <v>0</v>
      </c>
      <c r="Y16" s="477">
        <v>0</v>
      </c>
      <c r="Z16" s="477">
        <v>0</v>
      </c>
      <c r="AA16" s="477">
        <v>0</v>
      </c>
      <c r="AB16" s="477">
        <v>0</v>
      </c>
      <c r="AC16" s="477">
        <v>0</v>
      </c>
      <c r="AD16" s="477">
        <v>0</v>
      </c>
      <c r="AE16" s="477">
        <v>0</v>
      </c>
      <c r="AF16" s="477">
        <v>0</v>
      </c>
      <c r="AG16" s="477">
        <v>0</v>
      </c>
      <c r="AH16" s="477">
        <v>0</v>
      </c>
      <c r="AI16" s="477">
        <v>0</v>
      </c>
      <c r="AJ16" s="477">
        <v>0</v>
      </c>
      <c r="AK16" s="477">
        <v>0</v>
      </c>
      <c r="AL16" s="477">
        <v>0</v>
      </c>
      <c r="AM16" s="477">
        <v>0</v>
      </c>
      <c r="AN16" s="477">
        <v>0</v>
      </c>
      <c r="AO16" s="477">
        <v>0</v>
      </c>
      <c r="AP16" s="477">
        <v>0</v>
      </c>
      <c r="AQ16" s="477">
        <v>0</v>
      </c>
      <c r="AR16" s="477">
        <v>0</v>
      </c>
      <c r="AS16" s="477">
        <v>0</v>
      </c>
      <c r="AT16" s="477">
        <v>0</v>
      </c>
      <c r="AU16" s="477">
        <v>0</v>
      </c>
      <c r="AV16" s="477">
        <v>0</v>
      </c>
      <c r="AW16" s="477">
        <v>0</v>
      </c>
      <c r="AX16" s="477">
        <v>0</v>
      </c>
      <c r="AY16" s="477">
        <v>0</v>
      </c>
      <c r="AZ16" s="477">
        <v>0</v>
      </c>
      <c r="BA16" s="477">
        <v>0</v>
      </c>
      <c r="BB16" s="477">
        <v>0</v>
      </c>
      <c r="BC16" s="477">
        <v>0</v>
      </c>
      <c r="BD16" s="477">
        <v>0</v>
      </c>
      <c r="BE16" s="477">
        <v>0</v>
      </c>
      <c r="BF16" s="477">
        <v>0</v>
      </c>
      <c r="BG16" s="477">
        <v>0</v>
      </c>
      <c r="BH16" s="477">
        <v>0</v>
      </c>
      <c r="BI16" s="477">
        <v>0</v>
      </c>
      <c r="BJ16" s="477">
        <v>0</v>
      </c>
      <c r="BK16" s="477">
        <v>0</v>
      </c>
      <c r="BL16" s="477">
        <v>0</v>
      </c>
      <c r="BM16" s="477">
        <v>0</v>
      </c>
      <c r="BN16" s="477">
        <v>0</v>
      </c>
      <c r="BO16" s="477">
        <v>0</v>
      </c>
      <c r="BP16" s="477">
        <v>0</v>
      </c>
      <c r="BQ16" s="477">
        <v>0</v>
      </c>
      <c r="BR16" s="477">
        <v>0</v>
      </c>
      <c r="BS16" s="477">
        <v>0</v>
      </c>
      <c r="BT16" s="477">
        <v>0</v>
      </c>
      <c r="BU16" s="477">
        <v>0</v>
      </c>
      <c r="BV16" s="477">
        <v>0</v>
      </c>
      <c r="BW16" s="477">
        <v>0</v>
      </c>
      <c r="BX16" s="477">
        <v>0</v>
      </c>
      <c r="BY16" s="477">
        <v>0</v>
      </c>
      <c r="BZ16" s="477">
        <v>0</v>
      </c>
      <c r="CA16" s="477">
        <v>0</v>
      </c>
      <c r="CB16" s="477">
        <v>0</v>
      </c>
      <c r="CC16" s="477">
        <v>0</v>
      </c>
      <c r="CD16" s="477">
        <v>0</v>
      </c>
      <c r="CE16" s="477">
        <v>0</v>
      </c>
      <c r="CF16" s="477">
        <v>0</v>
      </c>
      <c r="CG16" s="477">
        <v>0</v>
      </c>
      <c r="CH16" s="477">
        <v>0</v>
      </c>
      <c r="CI16" s="477">
        <v>0</v>
      </c>
      <c r="CJ16" s="477">
        <v>0</v>
      </c>
      <c r="CK16" s="477">
        <v>0</v>
      </c>
      <c r="CL16" s="477">
        <v>0</v>
      </c>
      <c r="CM16" s="477">
        <v>0</v>
      </c>
      <c r="CN16" s="477">
        <v>0</v>
      </c>
      <c r="CO16" s="477">
        <v>0</v>
      </c>
      <c r="CP16" s="477">
        <v>0</v>
      </c>
      <c r="CQ16" s="477">
        <v>0</v>
      </c>
      <c r="CR16" s="477">
        <v>0</v>
      </c>
      <c r="CS16" s="477">
        <v>0</v>
      </c>
      <c r="CT16" s="477">
        <v>0</v>
      </c>
      <c r="CU16" s="477">
        <v>0</v>
      </c>
      <c r="CV16" s="477">
        <v>0</v>
      </c>
      <c r="CW16" s="477">
        <v>0</v>
      </c>
      <c r="CX16" s="477">
        <v>0</v>
      </c>
      <c r="CY16" s="477">
        <v>0</v>
      </c>
    </row>
    <row r="17" spans="1:103" x14ac:dyDescent="0.25">
      <c r="B17" t="s">
        <v>293</v>
      </c>
      <c r="D17" s="477">
        <v>0</v>
      </c>
      <c r="E17" s="477">
        <v>126000000</v>
      </c>
      <c r="F17" s="477">
        <v>0</v>
      </c>
      <c r="G17" s="477">
        <v>373000000</v>
      </c>
      <c r="H17" s="477">
        <v>0</v>
      </c>
      <c r="I17" s="477">
        <v>373000000</v>
      </c>
      <c r="J17" s="477">
        <v>0</v>
      </c>
      <c r="K17" s="477">
        <v>0</v>
      </c>
      <c r="L17" s="477">
        <v>0</v>
      </c>
      <c r="M17" s="477">
        <v>0</v>
      </c>
      <c r="N17" s="477">
        <v>0</v>
      </c>
      <c r="O17" s="477">
        <v>0</v>
      </c>
      <c r="P17" s="477">
        <v>0</v>
      </c>
      <c r="Q17" s="477">
        <v>0</v>
      </c>
      <c r="R17" s="477">
        <v>0</v>
      </c>
      <c r="S17" s="477">
        <v>0</v>
      </c>
      <c r="T17" s="477">
        <v>0</v>
      </c>
      <c r="U17" s="477">
        <v>0</v>
      </c>
      <c r="V17" s="477">
        <v>0</v>
      </c>
      <c r="W17" s="477">
        <v>0</v>
      </c>
      <c r="X17" s="477">
        <v>0</v>
      </c>
      <c r="Y17" s="477">
        <v>0</v>
      </c>
      <c r="Z17" s="477">
        <v>0</v>
      </c>
      <c r="AA17" s="477">
        <v>0</v>
      </c>
      <c r="AB17" s="477">
        <v>0</v>
      </c>
      <c r="AC17" s="477">
        <v>0</v>
      </c>
      <c r="AD17" s="477">
        <v>0</v>
      </c>
      <c r="AE17" s="477">
        <v>0</v>
      </c>
      <c r="AF17" s="477">
        <v>0</v>
      </c>
      <c r="AG17" s="477">
        <v>0</v>
      </c>
      <c r="AH17" s="477">
        <v>0</v>
      </c>
      <c r="AI17" s="477">
        <v>0</v>
      </c>
      <c r="AJ17" s="477">
        <v>0</v>
      </c>
      <c r="AK17" s="477">
        <v>0</v>
      </c>
      <c r="AL17" s="477">
        <v>0</v>
      </c>
      <c r="AM17" s="477">
        <v>0</v>
      </c>
      <c r="AN17" s="477">
        <v>0</v>
      </c>
      <c r="AO17" s="477">
        <v>0</v>
      </c>
      <c r="AP17" s="477">
        <v>0</v>
      </c>
      <c r="AQ17" s="477">
        <v>0</v>
      </c>
      <c r="AR17" s="477">
        <v>0</v>
      </c>
      <c r="AS17" s="477">
        <v>0</v>
      </c>
      <c r="AT17" s="477">
        <v>0</v>
      </c>
      <c r="AU17" s="477">
        <v>0</v>
      </c>
      <c r="AV17" s="477">
        <v>0</v>
      </c>
      <c r="AW17" s="477">
        <v>0</v>
      </c>
      <c r="AX17" s="477">
        <v>0</v>
      </c>
      <c r="AY17" s="477">
        <v>0</v>
      </c>
      <c r="AZ17" s="477">
        <v>0</v>
      </c>
      <c r="BA17" s="477">
        <v>0</v>
      </c>
      <c r="BB17" s="477">
        <v>0</v>
      </c>
      <c r="BC17" s="477">
        <v>0</v>
      </c>
      <c r="BD17" s="477">
        <v>0</v>
      </c>
      <c r="BE17" s="477">
        <v>0</v>
      </c>
      <c r="BF17" s="477">
        <v>0</v>
      </c>
      <c r="BG17" s="477">
        <v>0</v>
      </c>
      <c r="BH17" s="477">
        <v>0</v>
      </c>
      <c r="BI17" s="477">
        <v>0</v>
      </c>
      <c r="BJ17" s="477">
        <v>0</v>
      </c>
      <c r="BK17" s="477">
        <v>0</v>
      </c>
      <c r="BL17" s="477">
        <v>0</v>
      </c>
      <c r="BM17" s="477">
        <v>0</v>
      </c>
      <c r="BN17" s="477">
        <v>0</v>
      </c>
      <c r="BO17" s="477">
        <v>0</v>
      </c>
      <c r="BP17" s="477">
        <v>0</v>
      </c>
      <c r="BQ17" s="477">
        <v>0</v>
      </c>
      <c r="BR17" s="477">
        <v>0</v>
      </c>
      <c r="BS17" s="477">
        <v>0</v>
      </c>
      <c r="BT17" s="477">
        <v>0</v>
      </c>
      <c r="BU17" s="477">
        <v>0</v>
      </c>
      <c r="BV17" s="477">
        <v>0</v>
      </c>
      <c r="BW17" s="477">
        <v>0</v>
      </c>
      <c r="BX17" s="477">
        <v>0</v>
      </c>
      <c r="BY17" s="477">
        <v>0</v>
      </c>
      <c r="BZ17" s="477">
        <v>0</v>
      </c>
      <c r="CA17" s="477">
        <v>0</v>
      </c>
      <c r="CB17" s="477">
        <v>0</v>
      </c>
      <c r="CC17" s="477">
        <v>0</v>
      </c>
      <c r="CD17" s="477">
        <v>0</v>
      </c>
      <c r="CE17" s="477">
        <v>0</v>
      </c>
      <c r="CF17" s="477">
        <v>0</v>
      </c>
      <c r="CG17" s="477">
        <v>0</v>
      </c>
      <c r="CH17" s="477">
        <v>0</v>
      </c>
      <c r="CI17" s="477">
        <v>0</v>
      </c>
      <c r="CJ17" s="477">
        <v>0</v>
      </c>
      <c r="CK17" s="477">
        <v>0</v>
      </c>
      <c r="CL17" s="477">
        <v>0</v>
      </c>
      <c r="CM17" s="477">
        <v>0</v>
      </c>
      <c r="CN17" s="477">
        <v>0</v>
      </c>
      <c r="CO17" s="477">
        <v>0</v>
      </c>
      <c r="CP17" s="477">
        <v>0</v>
      </c>
      <c r="CQ17" s="477">
        <v>0</v>
      </c>
      <c r="CR17" s="477">
        <v>0</v>
      </c>
      <c r="CS17" s="477">
        <v>0</v>
      </c>
      <c r="CT17" s="477">
        <v>0</v>
      </c>
      <c r="CU17" s="477">
        <v>0</v>
      </c>
      <c r="CV17" s="477">
        <v>0</v>
      </c>
      <c r="CW17" s="477">
        <v>0</v>
      </c>
      <c r="CX17" s="477">
        <v>0</v>
      </c>
      <c r="CY17" s="477">
        <v>0</v>
      </c>
    </row>
    <row r="18" spans="1:103" x14ac:dyDescent="0.25">
      <c r="B18" t="s">
        <v>285</v>
      </c>
      <c r="D18" s="477">
        <f>D15-D16-D17</f>
        <v>844000000</v>
      </c>
      <c r="E18" s="477">
        <f t="shared" ref="E18:J18" si="2">D18-E17</f>
        <v>718000000</v>
      </c>
      <c r="F18" s="477">
        <f t="shared" si="2"/>
        <v>718000000</v>
      </c>
      <c r="G18" s="477">
        <f t="shared" si="2"/>
        <v>345000000</v>
      </c>
      <c r="H18" s="477">
        <f t="shared" si="2"/>
        <v>345000000</v>
      </c>
      <c r="I18" s="477">
        <f t="shared" si="2"/>
        <v>-28000000</v>
      </c>
      <c r="J18" s="477">
        <f t="shared" si="2"/>
        <v>-28000000</v>
      </c>
      <c r="K18" s="477">
        <f t="shared" ref="K18:BV18" si="3">J18-K17</f>
        <v>-28000000</v>
      </c>
      <c r="L18" s="477">
        <f t="shared" si="3"/>
        <v>-28000000</v>
      </c>
      <c r="M18" s="477">
        <f t="shared" si="3"/>
        <v>-28000000</v>
      </c>
      <c r="N18" s="477">
        <f t="shared" si="3"/>
        <v>-28000000</v>
      </c>
      <c r="O18" s="477">
        <f t="shared" si="3"/>
        <v>-28000000</v>
      </c>
      <c r="P18" s="477">
        <f t="shared" si="3"/>
        <v>-28000000</v>
      </c>
      <c r="Q18" s="477">
        <f t="shared" si="3"/>
        <v>-28000000</v>
      </c>
      <c r="R18" s="477">
        <f t="shared" si="3"/>
        <v>-28000000</v>
      </c>
      <c r="S18" s="477">
        <f t="shared" si="3"/>
        <v>-28000000</v>
      </c>
      <c r="T18" s="477">
        <f t="shared" si="3"/>
        <v>-28000000</v>
      </c>
      <c r="U18" s="477">
        <f t="shared" si="3"/>
        <v>-28000000</v>
      </c>
      <c r="V18" s="477">
        <f t="shared" si="3"/>
        <v>-28000000</v>
      </c>
      <c r="W18" s="477">
        <f t="shared" si="3"/>
        <v>-28000000</v>
      </c>
      <c r="X18" s="477">
        <f t="shared" si="3"/>
        <v>-28000000</v>
      </c>
      <c r="Y18" s="477">
        <f t="shared" si="3"/>
        <v>-28000000</v>
      </c>
      <c r="Z18" s="477">
        <f t="shared" si="3"/>
        <v>-28000000</v>
      </c>
      <c r="AA18" s="477">
        <f t="shared" si="3"/>
        <v>-28000000</v>
      </c>
      <c r="AB18" s="477">
        <f t="shared" si="3"/>
        <v>-28000000</v>
      </c>
      <c r="AC18" s="477">
        <f t="shared" si="3"/>
        <v>-28000000</v>
      </c>
      <c r="AD18" s="477">
        <f t="shared" si="3"/>
        <v>-28000000</v>
      </c>
      <c r="AE18" s="477">
        <f t="shared" si="3"/>
        <v>-28000000</v>
      </c>
      <c r="AF18" s="477">
        <f t="shared" si="3"/>
        <v>-28000000</v>
      </c>
      <c r="AG18" s="477">
        <f t="shared" si="3"/>
        <v>-28000000</v>
      </c>
      <c r="AH18" s="477">
        <f t="shared" si="3"/>
        <v>-28000000</v>
      </c>
      <c r="AI18" s="477">
        <f t="shared" si="3"/>
        <v>-28000000</v>
      </c>
      <c r="AJ18" s="477">
        <f t="shared" si="3"/>
        <v>-28000000</v>
      </c>
      <c r="AK18" s="477">
        <f t="shared" si="3"/>
        <v>-28000000</v>
      </c>
      <c r="AL18" s="477">
        <f t="shared" si="3"/>
        <v>-28000000</v>
      </c>
      <c r="AM18" s="477">
        <f t="shared" si="3"/>
        <v>-28000000</v>
      </c>
      <c r="AN18" s="477">
        <f t="shared" si="3"/>
        <v>-28000000</v>
      </c>
      <c r="AO18" s="477">
        <f t="shared" si="3"/>
        <v>-28000000</v>
      </c>
      <c r="AP18" s="477">
        <f t="shared" si="3"/>
        <v>-28000000</v>
      </c>
      <c r="AQ18" s="477">
        <f t="shared" si="3"/>
        <v>-28000000</v>
      </c>
      <c r="AR18" s="477">
        <f t="shared" si="3"/>
        <v>-28000000</v>
      </c>
      <c r="AS18" s="477">
        <f t="shared" si="3"/>
        <v>-28000000</v>
      </c>
      <c r="AT18" s="477">
        <f t="shared" si="3"/>
        <v>-28000000</v>
      </c>
      <c r="AU18" s="477">
        <f t="shared" si="3"/>
        <v>-28000000</v>
      </c>
      <c r="AV18" s="477">
        <f t="shared" si="3"/>
        <v>-28000000</v>
      </c>
      <c r="AW18" s="477">
        <f t="shared" si="3"/>
        <v>-28000000</v>
      </c>
      <c r="AX18" s="477">
        <f t="shared" si="3"/>
        <v>-28000000</v>
      </c>
      <c r="AY18" s="477">
        <f t="shared" si="3"/>
        <v>-28000000</v>
      </c>
      <c r="AZ18" s="477">
        <f t="shared" si="3"/>
        <v>-28000000</v>
      </c>
      <c r="BA18" s="477">
        <f t="shared" si="3"/>
        <v>-28000000</v>
      </c>
      <c r="BB18" s="477">
        <f t="shared" si="3"/>
        <v>-28000000</v>
      </c>
      <c r="BC18" s="477">
        <f t="shared" si="3"/>
        <v>-28000000</v>
      </c>
      <c r="BD18" s="477">
        <f t="shared" si="3"/>
        <v>-28000000</v>
      </c>
      <c r="BE18" s="477">
        <f t="shared" si="3"/>
        <v>-28000000</v>
      </c>
      <c r="BF18" s="477">
        <f t="shared" si="3"/>
        <v>-28000000</v>
      </c>
      <c r="BG18" s="477">
        <f t="shared" si="3"/>
        <v>-28000000</v>
      </c>
      <c r="BH18" s="477">
        <f t="shared" si="3"/>
        <v>-28000000</v>
      </c>
      <c r="BI18" s="477">
        <f t="shared" si="3"/>
        <v>-28000000</v>
      </c>
      <c r="BJ18" s="477">
        <f t="shared" si="3"/>
        <v>-28000000</v>
      </c>
      <c r="BK18" s="477">
        <f t="shared" si="3"/>
        <v>-28000000</v>
      </c>
      <c r="BL18" s="477">
        <f t="shared" si="3"/>
        <v>-28000000</v>
      </c>
      <c r="BM18" s="477">
        <f t="shared" si="3"/>
        <v>-28000000</v>
      </c>
      <c r="BN18" s="477">
        <f t="shared" si="3"/>
        <v>-28000000</v>
      </c>
      <c r="BO18" s="477">
        <f t="shared" si="3"/>
        <v>-28000000</v>
      </c>
      <c r="BP18" s="477">
        <f t="shared" si="3"/>
        <v>-28000000</v>
      </c>
      <c r="BQ18" s="477">
        <f t="shared" si="3"/>
        <v>-28000000</v>
      </c>
      <c r="BR18" s="477">
        <f t="shared" si="3"/>
        <v>-28000000</v>
      </c>
      <c r="BS18" s="477">
        <f t="shared" si="3"/>
        <v>-28000000</v>
      </c>
      <c r="BT18" s="477">
        <f t="shared" si="3"/>
        <v>-28000000</v>
      </c>
      <c r="BU18" s="477">
        <f t="shared" si="3"/>
        <v>-28000000</v>
      </c>
      <c r="BV18" s="477">
        <f t="shared" si="3"/>
        <v>-28000000</v>
      </c>
      <c r="BW18" s="477">
        <f t="shared" ref="BW18:CY18" si="4">BV18-BW17</f>
        <v>-28000000</v>
      </c>
      <c r="BX18" s="477">
        <f t="shared" si="4"/>
        <v>-28000000</v>
      </c>
      <c r="BY18" s="477">
        <f t="shared" si="4"/>
        <v>-28000000</v>
      </c>
      <c r="BZ18" s="477">
        <f t="shared" si="4"/>
        <v>-28000000</v>
      </c>
      <c r="CA18" s="477">
        <f t="shared" si="4"/>
        <v>-28000000</v>
      </c>
      <c r="CB18" s="477">
        <f t="shared" si="4"/>
        <v>-28000000</v>
      </c>
      <c r="CC18" s="477">
        <f t="shared" si="4"/>
        <v>-28000000</v>
      </c>
      <c r="CD18" s="477">
        <f t="shared" si="4"/>
        <v>-28000000</v>
      </c>
      <c r="CE18" s="477">
        <f t="shared" si="4"/>
        <v>-28000000</v>
      </c>
      <c r="CF18" s="477">
        <f t="shared" si="4"/>
        <v>-28000000</v>
      </c>
      <c r="CG18" s="477">
        <f t="shared" si="4"/>
        <v>-28000000</v>
      </c>
      <c r="CH18" s="477">
        <f t="shared" si="4"/>
        <v>-28000000</v>
      </c>
      <c r="CI18" s="477">
        <f t="shared" si="4"/>
        <v>-28000000</v>
      </c>
      <c r="CJ18" s="477">
        <f t="shared" si="4"/>
        <v>-28000000</v>
      </c>
      <c r="CK18" s="477">
        <f t="shared" si="4"/>
        <v>-28000000</v>
      </c>
      <c r="CL18" s="477">
        <f t="shared" si="4"/>
        <v>-28000000</v>
      </c>
      <c r="CM18" s="477">
        <f t="shared" si="4"/>
        <v>-28000000</v>
      </c>
      <c r="CN18" s="477">
        <f t="shared" si="4"/>
        <v>-28000000</v>
      </c>
      <c r="CO18" s="477">
        <f t="shared" si="4"/>
        <v>-28000000</v>
      </c>
      <c r="CP18" s="477">
        <f t="shared" si="4"/>
        <v>-28000000</v>
      </c>
      <c r="CQ18" s="477">
        <f t="shared" si="4"/>
        <v>-28000000</v>
      </c>
      <c r="CR18" s="477">
        <f t="shared" si="4"/>
        <v>-28000000</v>
      </c>
      <c r="CS18" s="477">
        <f t="shared" si="4"/>
        <v>-28000000</v>
      </c>
      <c r="CT18" s="477">
        <f t="shared" si="4"/>
        <v>-28000000</v>
      </c>
      <c r="CU18" s="477">
        <f t="shared" si="4"/>
        <v>-28000000</v>
      </c>
      <c r="CV18" s="477">
        <f t="shared" si="4"/>
        <v>-28000000</v>
      </c>
      <c r="CW18" s="477">
        <f t="shared" si="4"/>
        <v>-28000000</v>
      </c>
      <c r="CX18" s="477">
        <f t="shared" si="4"/>
        <v>-28000000</v>
      </c>
      <c r="CY18" s="477">
        <f t="shared" si="4"/>
        <v>-28000000</v>
      </c>
    </row>
    <row r="19" spans="1:103" x14ac:dyDescent="0.25">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77"/>
      <c r="CA19" s="477"/>
      <c r="CB19" s="477"/>
      <c r="CC19" s="477"/>
      <c r="CD19" s="477"/>
      <c r="CE19" s="477"/>
      <c r="CF19" s="477"/>
      <c r="CG19" s="477"/>
      <c r="CH19" s="477"/>
      <c r="CI19" s="477"/>
      <c r="CJ19" s="477"/>
      <c r="CK19" s="477"/>
      <c r="CL19" s="477"/>
      <c r="CM19" s="477"/>
      <c r="CN19" s="477"/>
      <c r="CO19" s="477"/>
      <c r="CP19" s="477"/>
      <c r="CQ19" s="477"/>
      <c r="CR19" s="477"/>
      <c r="CS19" s="477"/>
      <c r="CT19" s="477"/>
      <c r="CU19" s="477"/>
      <c r="CV19" s="477"/>
      <c r="CW19" s="477"/>
      <c r="CX19" s="477"/>
      <c r="CY19" s="477"/>
    </row>
    <row r="20" spans="1:103" x14ac:dyDescent="0.25">
      <c r="A20" s="472" t="s">
        <v>277</v>
      </c>
      <c r="C20" t="s">
        <v>357</v>
      </c>
    </row>
    <row r="21" spans="1:103" x14ac:dyDescent="0.25">
      <c r="B21" s="480" t="str">
        <f>CONCATENATE("Series ",$D$5,"A Bonds (at ",'Interest Rate'!$J$16*100,"% Interest)")</f>
        <v>Series 2014A Bonds (at 4.5% Interest)</v>
      </c>
      <c r="C21" s="480">
        <f>'Dynamic Assumptions'!G$5</f>
        <v>4.4999999999999998E-2</v>
      </c>
      <c r="D21" s="477">
        <f>-PMT($C$21,50,$D$16)</f>
        <v>6325268.2318915706</v>
      </c>
      <c r="E21" s="477">
        <f t="shared" ref="E21:BA21" si="5">-PMT($C$21,50,$D$16)</f>
        <v>6325268.2318915706</v>
      </c>
      <c r="F21" s="477">
        <f t="shared" si="5"/>
        <v>6325268.2318915706</v>
      </c>
      <c r="G21" s="477">
        <f t="shared" si="5"/>
        <v>6325268.2318915706</v>
      </c>
      <c r="H21" s="477">
        <f t="shared" si="5"/>
        <v>6325268.2318915706</v>
      </c>
      <c r="I21" s="477">
        <f t="shared" si="5"/>
        <v>6325268.2318915706</v>
      </c>
      <c r="J21" s="477">
        <f t="shared" si="5"/>
        <v>6325268.2318915706</v>
      </c>
      <c r="K21" s="477">
        <f t="shared" si="5"/>
        <v>6325268.2318915706</v>
      </c>
      <c r="L21" s="477">
        <f t="shared" si="5"/>
        <v>6325268.2318915706</v>
      </c>
      <c r="M21" s="477">
        <f t="shared" si="5"/>
        <v>6325268.2318915706</v>
      </c>
      <c r="N21" s="477">
        <f t="shared" si="5"/>
        <v>6325268.2318915706</v>
      </c>
      <c r="O21" s="477">
        <f t="shared" si="5"/>
        <v>6325268.2318915706</v>
      </c>
      <c r="P21" s="477">
        <f t="shared" si="5"/>
        <v>6325268.2318915706</v>
      </c>
      <c r="Q21" s="477">
        <f t="shared" si="5"/>
        <v>6325268.2318915706</v>
      </c>
      <c r="R21" s="477">
        <f t="shared" si="5"/>
        <v>6325268.2318915706</v>
      </c>
      <c r="S21" s="477">
        <f t="shared" si="5"/>
        <v>6325268.2318915706</v>
      </c>
      <c r="T21" s="477">
        <f t="shared" si="5"/>
        <v>6325268.2318915706</v>
      </c>
      <c r="U21" s="477">
        <f t="shared" si="5"/>
        <v>6325268.2318915706</v>
      </c>
      <c r="V21" s="477">
        <f t="shared" si="5"/>
        <v>6325268.2318915706</v>
      </c>
      <c r="W21" s="477">
        <f t="shared" si="5"/>
        <v>6325268.2318915706</v>
      </c>
      <c r="X21" s="477">
        <f t="shared" si="5"/>
        <v>6325268.2318915706</v>
      </c>
      <c r="Y21" s="477">
        <f t="shared" si="5"/>
        <v>6325268.2318915706</v>
      </c>
      <c r="Z21" s="477">
        <f t="shared" si="5"/>
        <v>6325268.2318915706</v>
      </c>
      <c r="AA21" s="477">
        <f t="shared" si="5"/>
        <v>6325268.2318915706</v>
      </c>
      <c r="AB21" s="477">
        <f t="shared" si="5"/>
        <v>6325268.2318915706</v>
      </c>
      <c r="AC21" s="477">
        <f t="shared" si="5"/>
        <v>6325268.2318915706</v>
      </c>
      <c r="AD21" s="477">
        <f t="shared" si="5"/>
        <v>6325268.2318915706</v>
      </c>
      <c r="AE21" s="477">
        <f t="shared" si="5"/>
        <v>6325268.2318915706</v>
      </c>
      <c r="AF21" s="477">
        <f t="shared" si="5"/>
        <v>6325268.2318915706</v>
      </c>
      <c r="AG21" s="477">
        <f t="shared" si="5"/>
        <v>6325268.2318915706</v>
      </c>
      <c r="AH21" s="477">
        <f t="shared" si="5"/>
        <v>6325268.2318915706</v>
      </c>
      <c r="AI21" s="477">
        <f t="shared" si="5"/>
        <v>6325268.2318915706</v>
      </c>
      <c r="AJ21" s="477">
        <f t="shared" si="5"/>
        <v>6325268.2318915706</v>
      </c>
      <c r="AK21" s="477">
        <f t="shared" si="5"/>
        <v>6325268.2318915706</v>
      </c>
      <c r="AL21" s="477">
        <f t="shared" si="5"/>
        <v>6325268.2318915706</v>
      </c>
      <c r="AM21" s="477">
        <f t="shared" si="5"/>
        <v>6325268.2318915706</v>
      </c>
      <c r="AN21" s="477">
        <f t="shared" si="5"/>
        <v>6325268.2318915706</v>
      </c>
      <c r="AO21" s="477">
        <f t="shared" si="5"/>
        <v>6325268.2318915706</v>
      </c>
      <c r="AP21" s="477">
        <f t="shared" si="5"/>
        <v>6325268.2318915706</v>
      </c>
      <c r="AQ21" s="477">
        <f t="shared" si="5"/>
        <v>6325268.2318915706</v>
      </c>
      <c r="AR21" s="477">
        <f t="shared" si="5"/>
        <v>6325268.2318915706</v>
      </c>
      <c r="AS21" s="477">
        <f t="shared" si="5"/>
        <v>6325268.2318915706</v>
      </c>
      <c r="AT21" s="477">
        <f t="shared" si="5"/>
        <v>6325268.2318915706</v>
      </c>
      <c r="AU21" s="477">
        <f t="shared" si="5"/>
        <v>6325268.2318915706</v>
      </c>
      <c r="AV21" s="477">
        <f t="shared" si="5"/>
        <v>6325268.2318915706</v>
      </c>
      <c r="AW21" s="477">
        <f t="shared" si="5"/>
        <v>6325268.2318915706</v>
      </c>
      <c r="AX21" s="477">
        <f t="shared" si="5"/>
        <v>6325268.2318915706</v>
      </c>
      <c r="AY21" s="477">
        <f t="shared" si="5"/>
        <v>6325268.2318915706</v>
      </c>
      <c r="AZ21" s="477">
        <f t="shared" si="5"/>
        <v>6325268.2318915706</v>
      </c>
      <c r="BA21" s="477">
        <f t="shared" si="5"/>
        <v>6325268.2318915706</v>
      </c>
      <c r="BB21" s="477">
        <v>0</v>
      </c>
      <c r="BC21" s="477">
        <v>0</v>
      </c>
      <c r="BD21" s="477">
        <v>0</v>
      </c>
      <c r="BE21" s="477">
        <v>0</v>
      </c>
      <c r="BF21" s="477">
        <v>0</v>
      </c>
      <c r="BG21" s="477">
        <v>0</v>
      </c>
      <c r="BH21" s="477">
        <v>0</v>
      </c>
      <c r="BI21" s="477">
        <v>0</v>
      </c>
      <c r="BJ21" s="477">
        <v>0</v>
      </c>
      <c r="BK21" s="477">
        <v>0</v>
      </c>
      <c r="BL21" s="477">
        <v>0</v>
      </c>
      <c r="BM21" s="477">
        <v>0</v>
      </c>
      <c r="BN21" s="477">
        <v>0</v>
      </c>
      <c r="BO21" s="477">
        <v>0</v>
      </c>
      <c r="BP21" s="477">
        <v>0</v>
      </c>
      <c r="BQ21" s="477">
        <v>0</v>
      </c>
      <c r="BR21" s="477">
        <v>0</v>
      </c>
      <c r="BS21" s="477">
        <v>0</v>
      </c>
      <c r="BT21" s="477">
        <v>0</v>
      </c>
      <c r="BU21" s="477">
        <v>0</v>
      </c>
      <c r="BV21" s="477">
        <v>0</v>
      </c>
      <c r="BW21" s="477">
        <v>0</v>
      </c>
      <c r="BX21" s="477">
        <v>0</v>
      </c>
      <c r="BY21" s="477">
        <v>0</v>
      </c>
      <c r="BZ21" s="477">
        <v>0</v>
      </c>
      <c r="CA21" s="477">
        <v>0</v>
      </c>
      <c r="CB21" s="477">
        <v>0</v>
      </c>
      <c r="CC21" s="477">
        <v>0</v>
      </c>
      <c r="CD21" s="477">
        <v>0</v>
      </c>
      <c r="CE21" s="477">
        <v>0</v>
      </c>
      <c r="CF21" s="477">
        <v>0</v>
      </c>
      <c r="CG21" s="477">
        <v>0</v>
      </c>
      <c r="CH21" s="477">
        <v>0</v>
      </c>
      <c r="CI21" s="477">
        <v>0</v>
      </c>
      <c r="CJ21" s="477">
        <v>0</v>
      </c>
      <c r="CK21" s="477">
        <v>0</v>
      </c>
      <c r="CL21" s="477">
        <v>0</v>
      </c>
      <c r="CM21" s="477">
        <v>0</v>
      </c>
      <c r="CN21" s="477">
        <v>0</v>
      </c>
      <c r="CO21" s="477">
        <v>0</v>
      </c>
      <c r="CP21" s="477">
        <v>0</v>
      </c>
      <c r="CQ21" s="477">
        <v>0</v>
      </c>
      <c r="CR21" s="477">
        <v>0</v>
      </c>
      <c r="CS21" s="477">
        <v>0</v>
      </c>
      <c r="CT21" s="477">
        <v>0</v>
      </c>
      <c r="CU21" s="477">
        <v>0</v>
      </c>
      <c r="CV21" s="477">
        <v>0</v>
      </c>
      <c r="CW21" s="477">
        <v>0</v>
      </c>
      <c r="CX21" s="477">
        <v>0</v>
      </c>
      <c r="CY21" s="477">
        <v>0</v>
      </c>
    </row>
    <row r="22" spans="1:103" x14ac:dyDescent="0.25">
      <c r="B22" s="480" t="str">
        <f>CONCATENATE("Series ",$E$5,"B Bonds (at ",'Interest Rate'!$J$16*100,"% Interest)")</f>
        <v>Series 2015B Bonds (at 4.5% Interest)</v>
      </c>
      <c r="C22" s="480">
        <f>'Dynamic Assumptions'!G$5</f>
        <v>4.4999999999999998E-2</v>
      </c>
      <c r="D22" s="477">
        <v>0</v>
      </c>
      <c r="E22" s="477">
        <f>-PMT($C22,50,$E$17)</f>
        <v>6375870.3777467031</v>
      </c>
      <c r="F22" s="477">
        <f t="shared" ref="F22:BB22" si="6">-PMT($C22,50,$E$17)</f>
        <v>6375870.3777467031</v>
      </c>
      <c r="G22" s="477">
        <f t="shared" si="6"/>
        <v>6375870.3777467031</v>
      </c>
      <c r="H22" s="477">
        <f t="shared" si="6"/>
        <v>6375870.3777467031</v>
      </c>
      <c r="I22" s="477">
        <f t="shared" si="6"/>
        <v>6375870.3777467031</v>
      </c>
      <c r="J22" s="477">
        <f t="shared" si="6"/>
        <v>6375870.3777467031</v>
      </c>
      <c r="K22" s="477">
        <f t="shared" si="6"/>
        <v>6375870.3777467031</v>
      </c>
      <c r="L22" s="477">
        <f t="shared" si="6"/>
        <v>6375870.3777467031</v>
      </c>
      <c r="M22" s="477">
        <f t="shared" si="6"/>
        <v>6375870.3777467031</v>
      </c>
      <c r="N22" s="477">
        <f t="shared" si="6"/>
        <v>6375870.3777467031</v>
      </c>
      <c r="O22" s="477">
        <f t="shared" si="6"/>
        <v>6375870.3777467031</v>
      </c>
      <c r="P22" s="477">
        <f t="shared" si="6"/>
        <v>6375870.3777467031</v>
      </c>
      <c r="Q22" s="477">
        <f t="shared" si="6"/>
        <v>6375870.3777467031</v>
      </c>
      <c r="R22" s="477">
        <f t="shared" si="6"/>
        <v>6375870.3777467031</v>
      </c>
      <c r="S22" s="477">
        <f t="shared" si="6"/>
        <v>6375870.3777467031</v>
      </c>
      <c r="T22" s="477">
        <f t="shared" si="6"/>
        <v>6375870.3777467031</v>
      </c>
      <c r="U22" s="477">
        <f t="shared" si="6"/>
        <v>6375870.3777467031</v>
      </c>
      <c r="V22" s="477">
        <f t="shared" si="6"/>
        <v>6375870.3777467031</v>
      </c>
      <c r="W22" s="477">
        <f t="shared" si="6"/>
        <v>6375870.3777467031</v>
      </c>
      <c r="X22" s="477">
        <f t="shared" si="6"/>
        <v>6375870.3777467031</v>
      </c>
      <c r="Y22" s="477">
        <f t="shared" si="6"/>
        <v>6375870.3777467031</v>
      </c>
      <c r="Z22" s="477">
        <f t="shared" si="6"/>
        <v>6375870.3777467031</v>
      </c>
      <c r="AA22" s="477">
        <f t="shared" si="6"/>
        <v>6375870.3777467031</v>
      </c>
      <c r="AB22" s="477">
        <f t="shared" si="6"/>
        <v>6375870.3777467031</v>
      </c>
      <c r="AC22" s="477">
        <f t="shared" si="6"/>
        <v>6375870.3777467031</v>
      </c>
      <c r="AD22" s="477">
        <f t="shared" si="6"/>
        <v>6375870.3777467031</v>
      </c>
      <c r="AE22" s="477">
        <f t="shared" si="6"/>
        <v>6375870.3777467031</v>
      </c>
      <c r="AF22" s="477">
        <f t="shared" si="6"/>
        <v>6375870.3777467031</v>
      </c>
      <c r="AG22" s="477">
        <f t="shared" si="6"/>
        <v>6375870.3777467031</v>
      </c>
      <c r="AH22" s="477">
        <f t="shared" si="6"/>
        <v>6375870.3777467031</v>
      </c>
      <c r="AI22" s="477">
        <f t="shared" si="6"/>
        <v>6375870.3777467031</v>
      </c>
      <c r="AJ22" s="477">
        <f t="shared" si="6"/>
        <v>6375870.3777467031</v>
      </c>
      <c r="AK22" s="477">
        <f t="shared" si="6"/>
        <v>6375870.3777467031</v>
      </c>
      <c r="AL22" s="477">
        <f t="shared" si="6"/>
        <v>6375870.3777467031</v>
      </c>
      <c r="AM22" s="477">
        <f t="shared" si="6"/>
        <v>6375870.3777467031</v>
      </c>
      <c r="AN22" s="477">
        <f t="shared" si="6"/>
        <v>6375870.3777467031</v>
      </c>
      <c r="AO22" s="477">
        <f t="shared" si="6"/>
        <v>6375870.3777467031</v>
      </c>
      <c r="AP22" s="477">
        <f t="shared" si="6"/>
        <v>6375870.3777467031</v>
      </c>
      <c r="AQ22" s="477">
        <f t="shared" si="6"/>
        <v>6375870.3777467031</v>
      </c>
      <c r="AR22" s="477">
        <f t="shared" si="6"/>
        <v>6375870.3777467031</v>
      </c>
      <c r="AS22" s="477">
        <f t="shared" si="6"/>
        <v>6375870.3777467031</v>
      </c>
      <c r="AT22" s="477">
        <f t="shared" si="6"/>
        <v>6375870.3777467031</v>
      </c>
      <c r="AU22" s="477">
        <f t="shared" si="6"/>
        <v>6375870.3777467031</v>
      </c>
      <c r="AV22" s="477">
        <f t="shared" si="6"/>
        <v>6375870.3777467031</v>
      </c>
      <c r="AW22" s="477">
        <f t="shared" si="6"/>
        <v>6375870.3777467031</v>
      </c>
      <c r="AX22" s="477">
        <f t="shared" si="6"/>
        <v>6375870.3777467031</v>
      </c>
      <c r="AY22" s="477">
        <f t="shared" si="6"/>
        <v>6375870.3777467031</v>
      </c>
      <c r="AZ22" s="477">
        <f t="shared" si="6"/>
        <v>6375870.3777467031</v>
      </c>
      <c r="BA22" s="477">
        <f t="shared" si="6"/>
        <v>6375870.3777467031</v>
      </c>
      <c r="BB22" s="477">
        <f t="shared" si="6"/>
        <v>6375870.3777467031</v>
      </c>
      <c r="BC22" s="477">
        <f>-PMT('Interest Rate'!$J$16,50,$F16)</f>
        <v>0</v>
      </c>
      <c r="BD22" s="477">
        <v>0</v>
      </c>
      <c r="BE22" s="477">
        <v>0</v>
      </c>
      <c r="BF22" s="477">
        <v>0</v>
      </c>
      <c r="BG22" s="477">
        <v>0</v>
      </c>
      <c r="BH22" s="477">
        <v>0</v>
      </c>
      <c r="BI22" s="477">
        <v>0</v>
      </c>
      <c r="BJ22" s="477">
        <v>0</v>
      </c>
      <c r="BK22" s="477">
        <v>0</v>
      </c>
      <c r="BL22" s="477">
        <v>0</v>
      </c>
      <c r="BM22" s="477">
        <v>0</v>
      </c>
      <c r="BN22" s="477">
        <v>0</v>
      </c>
      <c r="BO22" s="477">
        <v>0</v>
      </c>
      <c r="BP22" s="477">
        <v>0</v>
      </c>
      <c r="BQ22" s="477">
        <v>0</v>
      </c>
      <c r="BR22" s="477">
        <v>0</v>
      </c>
      <c r="BS22" s="477">
        <v>0</v>
      </c>
      <c r="BT22" s="477">
        <v>0</v>
      </c>
      <c r="BU22" s="477">
        <v>0</v>
      </c>
      <c r="BV22" s="477">
        <v>0</v>
      </c>
      <c r="BW22" s="477">
        <v>0</v>
      </c>
      <c r="BX22" s="477">
        <v>0</v>
      </c>
      <c r="BY22" s="477">
        <v>0</v>
      </c>
      <c r="BZ22" s="477">
        <v>0</v>
      </c>
      <c r="CA22" s="477">
        <v>0</v>
      </c>
      <c r="CB22" s="477">
        <v>0</v>
      </c>
      <c r="CC22" s="477">
        <v>0</v>
      </c>
      <c r="CD22" s="477">
        <v>0</v>
      </c>
      <c r="CE22" s="477">
        <v>0</v>
      </c>
      <c r="CF22" s="477">
        <v>0</v>
      </c>
      <c r="CG22" s="477">
        <v>0</v>
      </c>
      <c r="CH22" s="477">
        <v>0</v>
      </c>
      <c r="CI22" s="477">
        <v>0</v>
      </c>
      <c r="CJ22" s="477">
        <v>0</v>
      </c>
      <c r="CK22" s="477">
        <v>0</v>
      </c>
      <c r="CL22" s="477">
        <v>0</v>
      </c>
      <c r="CM22" s="477">
        <v>0</v>
      </c>
      <c r="CN22" s="477">
        <v>0</v>
      </c>
      <c r="CO22" s="477">
        <v>0</v>
      </c>
      <c r="CP22" s="477">
        <v>0</v>
      </c>
      <c r="CQ22" s="477">
        <v>0</v>
      </c>
      <c r="CR22" s="477">
        <v>0</v>
      </c>
      <c r="CS22" s="477">
        <v>0</v>
      </c>
      <c r="CT22" s="477">
        <v>0</v>
      </c>
      <c r="CU22" s="477">
        <v>0</v>
      </c>
      <c r="CV22" s="477">
        <v>0</v>
      </c>
      <c r="CW22" s="477">
        <v>0</v>
      </c>
      <c r="CX22" s="477">
        <v>0</v>
      </c>
      <c r="CY22" s="477">
        <v>0</v>
      </c>
    </row>
    <row r="23" spans="1:103" x14ac:dyDescent="0.25">
      <c r="B23" s="480" t="str">
        <f>CONCATENATE("Series ",$G$5,"A Bonds (at ",'Interest Rate'!$J$16*100,"% Interest)")</f>
        <v>Series 2017A Bonds (at 4.5% Interest)</v>
      </c>
      <c r="C23" s="480">
        <f>'Dynamic Assumptions'!G$5</f>
        <v>4.4999999999999998E-2</v>
      </c>
      <c r="D23" s="477">
        <v>0</v>
      </c>
      <c r="E23" s="477">
        <v>0</v>
      </c>
      <c r="F23" s="477">
        <f>-PMT('Interest Rate'!$J$16,50,$F17)</f>
        <v>0</v>
      </c>
      <c r="G23" s="477">
        <f>-PMT($C23,50,$G17)</f>
        <v>18874600.403964449</v>
      </c>
      <c r="H23" s="477">
        <f t="shared" ref="H23:I23" si="7">-PMT($C23,50,$G17)</f>
        <v>18874600.403964449</v>
      </c>
      <c r="I23" s="477">
        <f t="shared" si="7"/>
        <v>18874600.403964449</v>
      </c>
      <c r="J23" s="477">
        <f t="shared" ref="J23:P23" si="8">-PMT($C23,50,$G17)</f>
        <v>18874600.403964449</v>
      </c>
      <c r="K23" s="477">
        <f t="shared" si="8"/>
        <v>18874600.403964449</v>
      </c>
      <c r="L23" s="477">
        <f t="shared" si="8"/>
        <v>18874600.403964449</v>
      </c>
      <c r="M23" s="477">
        <f t="shared" si="8"/>
        <v>18874600.403964449</v>
      </c>
      <c r="N23" s="477">
        <f t="shared" si="8"/>
        <v>18874600.403964449</v>
      </c>
      <c r="O23" s="477">
        <f t="shared" si="8"/>
        <v>18874600.403964449</v>
      </c>
      <c r="P23" s="477">
        <f t="shared" si="8"/>
        <v>18874600.403964449</v>
      </c>
      <c r="Q23" s="477">
        <f t="shared" ref="Q23:BD23" si="9">-PMT($C23,50,$G17)</f>
        <v>18874600.403964449</v>
      </c>
      <c r="R23" s="477">
        <f t="shared" si="9"/>
        <v>18874600.403964449</v>
      </c>
      <c r="S23" s="477">
        <f t="shared" si="9"/>
        <v>18874600.403964449</v>
      </c>
      <c r="T23" s="477">
        <f t="shared" si="9"/>
        <v>18874600.403964449</v>
      </c>
      <c r="U23" s="477">
        <f t="shared" si="9"/>
        <v>18874600.403964449</v>
      </c>
      <c r="V23" s="477">
        <f t="shared" si="9"/>
        <v>18874600.403964449</v>
      </c>
      <c r="W23" s="477">
        <f t="shared" si="9"/>
        <v>18874600.403964449</v>
      </c>
      <c r="X23" s="477">
        <f t="shared" si="9"/>
        <v>18874600.403964449</v>
      </c>
      <c r="Y23" s="477">
        <f t="shared" si="9"/>
        <v>18874600.403964449</v>
      </c>
      <c r="Z23" s="477">
        <f t="shared" si="9"/>
        <v>18874600.403964449</v>
      </c>
      <c r="AA23" s="477">
        <f t="shared" si="9"/>
        <v>18874600.403964449</v>
      </c>
      <c r="AB23" s="477">
        <f t="shared" si="9"/>
        <v>18874600.403964449</v>
      </c>
      <c r="AC23" s="477">
        <f t="shared" si="9"/>
        <v>18874600.403964449</v>
      </c>
      <c r="AD23" s="477">
        <f t="shared" si="9"/>
        <v>18874600.403964449</v>
      </c>
      <c r="AE23" s="477">
        <f t="shared" si="9"/>
        <v>18874600.403964449</v>
      </c>
      <c r="AF23" s="477">
        <f t="shared" si="9"/>
        <v>18874600.403964449</v>
      </c>
      <c r="AG23" s="477">
        <f t="shared" si="9"/>
        <v>18874600.403964449</v>
      </c>
      <c r="AH23" s="477">
        <f t="shared" si="9"/>
        <v>18874600.403964449</v>
      </c>
      <c r="AI23" s="477">
        <f t="shared" si="9"/>
        <v>18874600.403964449</v>
      </c>
      <c r="AJ23" s="477">
        <f t="shared" si="9"/>
        <v>18874600.403964449</v>
      </c>
      <c r="AK23" s="477">
        <f t="shared" si="9"/>
        <v>18874600.403964449</v>
      </c>
      <c r="AL23" s="477">
        <f t="shared" si="9"/>
        <v>18874600.403964449</v>
      </c>
      <c r="AM23" s="477">
        <f t="shared" si="9"/>
        <v>18874600.403964449</v>
      </c>
      <c r="AN23" s="477">
        <f t="shared" si="9"/>
        <v>18874600.403964449</v>
      </c>
      <c r="AO23" s="477">
        <f t="shared" si="9"/>
        <v>18874600.403964449</v>
      </c>
      <c r="AP23" s="477">
        <f t="shared" si="9"/>
        <v>18874600.403964449</v>
      </c>
      <c r="AQ23" s="477">
        <f t="shared" si="9"/>
        <v>18874600.403964449</v>
      </c>
      <c r="AR23" s="477">
        <f t="shared" si="9"/>
        <v>18874600.403964449</v>
      </c>
      <c r="AS23" s="477">
        <f t="shared" si="9"/>
        <v>18874600.403964449</v>
      </c>
      <c r="AT23" s="477">
        <f t="shared" si="9"/>
        <v>18874600.403964449</v>
      </c>
      <c r="AU23" s="477">
        <f t="shared" si="9"/>
        <v>18874600.403964449</v>
      </c>
      <c r="AV23" s="477">
        <f t="shared" si="9"/>
        <v>18874600.403964449</v>
      </c>
      <c r="AW23" s="477">
        <f t="shared" si="9"/>
        <v>18874600.403964449</v>
      </c>
      <c r="AX23" s="477">
        <f t="shared" si="9"/>
        <v>18874600.403964449</v>
      </c>
      <c r="AY23" s="477">
        <f t="shared" si="9"/>
        <v>18874600.403964449</v>
      </c>
      <c r="AZ23" s="477">
        <f t="shared" si="9"/>
        <v>18874600.403964449</v>
      </c>
      <c r="BA23" s="477">
        <f t="shared" si="9"/>
        <v>18874600.403964449</v>
      </c>
      <c r="BB23" s="477">
        <f t="shared" si="9"/>
        <v>18874600.403964449</v>
      </c>
      <c r="BC23" s="477">
        <f t="shared" si="9"/>
        <v>18874600.403964449</v>
      </c>
      <c r="BD23" s="477">
        <f t="shared" si="9"/>
        <v>18874600.403964449</v>
      </c>
      <c r="BE23" s="477">
        <f>-PMT('Interest Rate'!$J$16,50,$F17)</f>
        <v>0</v>
      </c>
      <c r="BF23" s="477">
        <v>0</v>
      </c>
      <c r="BG23" s="477">
        <v>0</v>
      </c>
      <c r="BH23" s="477">
        <v>0</v>
      </c>
      <c r="BI23" s="477">
        <v>0</v>
      </c>
      <c r="BJ23" s="477">
        <v>0</v>
      </c>
      <c r="BK23" s="477">
        <v>0</v>
      </c>
      <c r="BL23" s="477">
        <v>0</v>
      </c>
      <c r="BM23" s="477">
        <v>0</v>
      </c>
      <c r="BN23" s="477">
        <v>0</v>
      </c>
      <c r="BO23" s="477">
        <v>0</v>
      </c>
      <c r="BP23" s="477">
        <v>0</v>
      </c>
      <c r="BQ23" s="477">
        <v>0</v>
      </c>
      <c r="BR23" s="477">
        <v>0</v>
      </c>
      <c r="BS23" s="477">
        <v>0</v>
      </c>
      <c r="BT23" s="477">
        <v>0</v>
      </c>
      <c r="BU23" s="477">
        <v>0</v>
      </c>
      <c r="BV23" s="477">
        <v>0</v>
      </c>
      <c r="BW23" s="477">
        <v>0</v>
      </c>
      <c r="BX23" s="477">
        <v>0</v>
      </c>
      <c r="BY23" s="477">
        <v>0</v>
      </c>
      <c r="BZ23" s="477">
        <v>0</v>
      </c>
      <c r="CA23" s="477">
        <v>0</v>
      </c>
      <c r="CB23" s="477">
        <v>0</v>
      </c>
      <c r="CC23" s="477">
        <v>0</v>
      </c>
      <c r="CD23" s="477">
        <v>0</v>
      </c>
      <c r="CE23" s="477">
        <v>0</v>
      </c>
      <c r="CF23" s="477">
        <v>0</v>
      </c>
      <c r="CG23" s="477">
        <v>0</v>
      </c>
      <c r="CH23" s="477">
        <v>0</v>
      </c>
      <c r="CI23" s="477">
        <v>0</v>
      </c>
      <c r="CJ23" s="477">
        <v>0</v>
      </c>
      <c r="CK23" s="477">
        <v>0</v>
      </c>
      <c r="CL23" s="477">
        <v>0</v>
      </c>
      <c r="CM23" s="477">
        <v>0</v>
      </c>
      <c r="CN23" s="477">
        <v>0</v>
      </c>
      <c r="CO23" s="477">
        <v>0</v>
      </c>
      <c r="CP23" s="477">
        <v>0</v>
      </c>
      <c r="CQ23" s="477">
        <v>0</v>
      </c>
      <c r="CR23" s="477">
        <v>0</v>
      </c>
      <c r="CS23" s="477">
        <v>0</v>
      </c>
      <c r="CT23" s="477">
        <v>0</v>
      </c>
      <c r="CU23" s="477">
        <v>0</v>
      </c>
      <c r="CV23" s="477">
        <v>0</v>
      </c>
      <c r="CW23" s="477">
        <v>0</v>
      </c>
      <c r="CX23" s="477">
        <v>0</v>
      </c>
      <c r="CY23" s="477">
        <v>0</v>
      </c>
    </row>
    <row r="24" spans="1:103" ht="17.25" x14ac:dyDescent="0.4">
      <c r="B24" s="480" t="str">
        <f>CONCATENATE("Series ",$I$5,"A Bonds (at ",'Interest Rate'!$J$16*100,"% Interest)")</f>
        <v>Series 2019A Bonds (at 4.5% Interest)</v>
      </c>
      <c r="C24" s="480">
        <f>'Dynamic Assumptions'!G$5</f>
        <v>4.4999999999999998E-2</v>
      </c>
      <c r="D24" s="483">
        <v>0</v>
      </c>
      <c r="E24" s="483">
        <v>0</v>
      </c>
      <c r="F24" s="483">
        <v>0</v>
      </c>
      <c r="G24" s="483">
        <v>0</v>
      </c>
      <c r="H24" s="483">
        <f>-PMT('Interest Rate'!$J$16,50,$H17)</f>
        <v>0</v>
      </c>
      <c r="I24" s="483">
        <f>-PMT($C24,50,$I17)</f>
        <v>18874600.403964449</v>
      </c>
      <c r="J24" s="483">
        <f t="shared" ref="J24:BF24" si="10">-PMT($C24,50,$I17)</f>
        <v>18874600.403964449</v>
      </c>
      <c r="K24" s="483">
        <f t="shared" si="10"/>
        <v>18874600.403964449</v>
      </c>
      <c r="L24" s="483">
        <f t="shared" si="10"/>
        <v>18874600.403964449</v>
      </c>
      <c r="M24" s="483">
        <f t="shared" si="10"/>
        <v>18874600.403964449</v>
      </c>
      <c r="N24" s="483">
        <f t="shared" si="10"/>
        <v>18874600.403964449</v>
      </c>
      <c r="O24" s="483">
        <f t="shared" si="10"/>
        <v>18874600.403964449</v>
      </c>
      <c r="P24" s="483">
        <f t="shared" si="10"/>
        <v>18874600.403964449</v>
      </c>
      <c r="Q24" s="483">
        <f t="shared" si="10"/>
        <v>18874600.403964449</v>
      </c>
      <c r="R24" s="483">
        <f t="shared" si="10"/>
        <v>18874600.403964449</v>
      </c>
      <c r="S24" s="483">
        <f t="shared" si="10"/>
        <v>18874600.403964449</v>
      </c>
      <c r="T24" s="483">
        <f t="shared" si="10"/>
        <v>18874600.403964449</v>
      </c>
      <c r="U24" s="483">
        <f t="shared" si="10"/>
        <v>18874600.403964449</v>
      </c>
      <c r="V24" s="483">
        <f t="shared" si="10"/>
        <v>18874600.403964449</v>
      </c>
      <c r="W24" s="483">
        <f t="shared" si="10"/>
        <v>18874600.403964449</v>
      </c>
      <c r="X24" s="483">
        <f t="shared" si="10"/>
        <v>18874600.403964449</v>
      </c>
      <c r="Y24" s="483">
        <f t="shared" si="10"/>
        <v>18874600.403964449</v>
      </c>
      <c r="Z24" s="483">
        <f t="shared" si="10"/>
        <v>18874600.403964449</v>
      </c>
      <c r="AA24" s="483">
        <f t="shared" si="10"/>
        <v>18874600.403964449</v>
      </c>
      <c r="AB24" s="483">
        <f t="shared" si="10"/>
        <v>18874600.403964449</v>
      </c>
      <c r="AC24" s="483">
        <f t="shared" si="10"/>
        <v>18874600.403964449</v>
      </c>
      <c r="AD24" s="483">
        <f t="shared" si="10"/>
        <v>18874600.403964449</v>
      </c>
      <c r="AE24" s="483">
        <f t="shared" si="10"/>
        <v>18874600.403964449</v>
      </c>
      <c r="AF24" s="483">
        <f t="shared" si="10"/>
        <v>18874600.403964449</v>
      </c>
      <c r="AG24" s="483">
        <f t="shared" si="10"/>
        <v>18874600.403964449</v>
      </c>
      <c r="AH24" s="483">
        <f t="shared" si="10"/>
        <v>18874600.403964449</v>
      </c>
      <c r="AI24" s="483">
        <f t="shared" si="10"/>
        <v>18874600.403964449</v>
      </c>
      <c r="AJ24" s="483">
        <f t="shared" si="10"/>
        <v>18874600.403964449</v>
      </c>
      <c r="AK24" s="483">
        <f t="shared" si="10"/>
        <v>18874600.403964449</v>
      </c>
      <c r="AL24" s="483">
        <f t="shared" si="10"/>
        <v>18874600.403964449</v>
      </c>
      <c r="AM24" s="483">
        <f t="shared" si="10"/>
        <v>18874600.403964449</v>
      </c>
      <c r="AN24" s="483">
        <f t="shared" si="10"/>
        <v>18874600.403964449</v>
      </c>
      <c r="AO24" s="483">
        <f t="shared" si="10"/>
        <v>18874600.403964449</v>
      </c>
      <c r="AP24" s="483">
        <f t="shared" si="10"/>
        <v>18874600.403964449</v>
      </c>
      <c r="AQ24" s="483">
        <f t="shared" si="10"/>
        <v>18874600.403964449</v>
      </c>
      <c r="AR24" s="483">
        <f t="shared" si="10"/>
        <v>18874600.403964449</v>
      </c>
      <c r="AS24" s="483">
        <f t="shared" si="10"/>
        <v>18874600.403964449</v>
      </c>
      <c r="AT24" s="483">
        <f t="shared" si="10"/>
        <v>18874600.403964449</v>
      </c>
      <c r="AU24" s="483">
        <f t="shared" si="10"/>
        <v>18874600.403964449</v>
      </c>
      <c r="AV24" s="483">
        <f t="shared" si="10"/>
        <v>18874600.403964449</v>
      </c>
      <c r="AW24" s="483">
        <f t="shared" si="10"/>
        <v>18874600.403964449</v>
      </c>
      <c r="AX24" s="483">
        <f t="shared" si="10"/>
        <v>18874600.403964449</v>
      </c>
      <c r="AY24" s="483">
        <f t="shared" si="10"/>
        <v>18874600.403964449</v>
      </c>
      <c r="AZ24" s="483">
        <f t="shared" si="10"/>
        <v>18874600.403964449</v>
      </c>
      <c r="BA24" s="483">
        <f t="shared" si="10"/>
        <v>18874600.403964449</v>
      </c>
      <c r="BB24" s="483">
        <f t="shared" si="10"/>
        <v>18874600.403964449</v>
      </c>
      <c r="BC24" s="483">
        <f t="shared" si="10"/>
        <v>18874600.403964449</v>
      </c>
      <c r="BD24" s="483">
        <f t="shared" si="10"/>
        <v>18874600.403964449</v>
      </c>
      <c r="BE24" s="483">
        <f t="shared" si="10"/>
        <v>18874600.403964449</v>
      </c>
      <c r="BF24" s="483">
        <f t="shared" si="10"/>
        <v>18874600.403964449</v>
      </c>
      <c r="BG24" s="483">
        <f>-PMT('Interest Rate'!$J$16,50,$H17)</f>
        <v>0</v>
      </c>
      <c r="BH24" s="483">
        <v>0</v>
      </c>
      <c r="BI24" s="483">
        <v>0</v>
      </c>
      <c r="BJ24" s="483">
        <v>0</v>
      </c>
      <c r="BK24" s="483">
        <v>0</v>
      </c>
      <c r="BL24" s="483">
        <v>0</v>
      </c>
      <c r="BM24" s="483">
        <v>0</v>
      </c>
      <c r="BN24" s="483">
        <v>0</v>
      </c>
      <c r="BO24" s="483">
        <v>0</v>
      </c>
      <c r="BP24" s="483">
        <v>0</v>
      </c>
      <c r="BQ24" s="483">
        <v>0</v>
      </c>
      <c r="BR24" s="483">
        <v>0</v>
      </c>
      <c r="BS24" s="483">
        <v>0</v>
      </c>
      <c r="BT24" s="483">
        <v>0</v>
      </c>
      <c r="BU24" s="483">
        <v>0</v>
      </c>
      <c r="BV24" s="483">
        <v>0</v>
      </c>
      <c r="BW24" s="483">
        <v>0</v>
      </c>
      <c r="BX24" s="483">
        <v>0</v>
      </c>
      <c r="BY24" s="483">
        <v>0</v>
      </c>
      <c r="BZ24" s="483">
        <v>0</v>
      </c>
      <c r="CA24" s="483">
        <v>0</v>
      </c>
      <c r="CB24" s="483">
        <v>0</v>
      </c>
      <c r="CC24" s="483">
        <v>0</v>
      </c>
      <c r="CD24" s="483">
        <v>0</v>
      </c>
      <c r="CE24" s="483">
        <v>0</v>
      </c>
      <c r="CF24" s="483">
        <v>0</v>
      </c>
      <c r="CG24" s="483">
        <v>0</v>
      </c>
      <c r="CH24" s="483">
        <v>0</v>
      </c>
      <c r="CI24" s="483">
        <v>0</v>
      </c>
      <c r="CJ24" s="483">
        <v>0</v>
      </c>
      <c r="CK24" s="483">
        <v>0</v>
      </c>
      <c r="CL24" s="483">
        <v>0</v>
      </c>
      <c r="CM24" s="483">
        <v>0</v>
      </c>
      <c r="CN24" s="483">
        <v>0</v>
      </c>
      <c r="CO24" s="483">
        <v>0</v>
      </c>
      <c r="CP24" s="483">
        <v>0</v>
      </c>
      <c r="CQ24" s="483">
        <v>0</v>
      </c>
      <c r="CR24" s="483">
        <v>0</v>
      </c>
      <c r="CS24" s="483">
        <v>0</v>
      </c>
      <c r="CT24" s="483">
        <v>0</v>
      </c>
      <c r="CU24" s="483">
        <v>0</v>
      </c>
      <c r="CV24" s="483">
        <v>0</v>
      </c>
      <c r="CW24" s="483">
        <v>0</v>
      </c>
      <c r="CX24" s="483">
        <v>0</v>
      </c>
      <c r="CY24" s="483">
        <v>0</v>
      </c>
    </row>
    <row r="25" spans="1:103" x14ac:dyDescent="0.25">
      <c r="B25" s="480" t="s">
        <v>287</v>
      </c>
      <c r="C25" s="480"/>
      <c r="D25" s="477">
        <f>SUM(D21:D24)</f>
        <v>6325268.2318915706</v>
      </c>
      <c r="E25" s="477">
        <f t="shared" ref="E25:BG25" si="11">SUM(E21:E24)</f>
        <v>12701138.609638274</v>
      </c>
      <c r="F25" s="477">
        <f t="shared" si="11"/>
        <v>12701138.609638274</v>
      </c>
      <c r="G25" s="477">
        <f t="shared" si="11"/>
        <v>31575739.013602722</v>
      </c>
      <c r="H25" s="477">
        <f t="shared" si="11"/>
        <v>31575739.013602722</v>
      </c>
      <c r="I25" s="477">
        <f t="shared" si="11"/>
        <v>50450339.417567171</v>
      </c>
      <c r="J25" s="477">
        <f t="shared" si="11"/>
        <v>50450339.417567171</v>
      </c>
      <c r="K25" s="477">
        <f t="shared" si="11"/>
        <v>50450339.417567171</v>
      </c>
      <c r="L25" s="477">
        <f t="shared" si="11"/>
        <v>50450339.417567171</v>
      </c>
      <c r="M25" s="477">
        <f t="shared" si="11"/>
        <v>50450339.417567171</v>
      </c>
      <c r="N25" s="477">
        <f t="shared" si="11"/>
        <v>50450339.417567171</v>
      </c>
      <c r="O25" s="477">
        <f t="shared" si="11"/>
        <v>50450339.417567171</v>
      </c>
      <c r="P25" s="477">
        <f t="shared" si="11"/>
        <v>50450339.417567171</v>
      </c>
      <c r="Q25" s="477">
        <f t="shared" si="11"/>
        <v>50450339.417567171</v>
      </c>
      <c r="R25" s="477">
        <f t="shared" si="11"/>
        <v>50450339.417567171</v>
      </c>
      <c r="S25" s="477">
        <f t="shared" si="11"/>
        <v>50450339.417567171</v>
      </c>
      <c r="T25" s="477">
        <f t="shared" si="11"/>
        <v>50450339.417567171</v>
      </c>
      <c r="U25" s="477">
        <f t="shared" si="11"/>
        <v>50450339.417567171</v>
      </c>
      <c r="V25" s="477">
        <f t="shared" si="11"/>
        <v>50450339.417567171</v>
      </c>
      <c r="W25" s="477">
        <f t="shared" si="11"/>
        <v>50450339.417567171</v>
      </c>
      <c r="X25" s="477">
        <f t="shared" si="11"/>
        <v>50450339.417567171</v>
      </c>
      <c r="Y25" s="477">
        <f t="shared" si="11"/>
        <v>50450339.417567171</v>
      </c>
      <c r="Z25" s="477">
        <f t="shared" si="11"/>
        <v>50450339.417567171</v>
      </c>
      <c r="AA25" s="477">
        <f t="shared" si="11"/>
        <v>50450339.417567171</v>
      </c>
      <c r="AB25" s="477">
        <f t="shared" si="11"/>
        <v>50450339.417567171</v>
      </c>
      <c r="AC25" s="477">
        <f t="shared" si="11"/>
        <v>50450339.417567171</v>
      </c>
      <c r="AD25" s="477">
        <f t="shared" si="11"/>
        <v>50450339.417567171</v>
      </c>
      <c r="AE25" s="477">
        <f t="shared" si="11"/>
        <v>50450339.417567171</v>
      </c>
      <c r="AF25" s="477">
        <f t="shared" si="11"/>
        <v>50450339.417567171</v>
      </c>
      <c r="AG25" s="477">
        <f t="shared" si="11"/>
        <v>50450339.417567171</v>
      </c>
      <c r="AH25" s="477">
        <f t="shared" si="11"/>
        <v>50450339.417567171</v>
      </c>
      <c r="AI25" s="477">
        <f t="shared" si="11"/>
        <v>50450339.417567171</v>
      </c>
      <c r="AJ25" s="477">
        <f t="shared" si="11"/>
        <v>50450339.417567171</v>
      </c>
      <c r="AK25" s="477">
        <f t="shared" si="11"/>
        <v>50450339.417567171</v>
      </c>
      <c r="AL25" s="477">
        <f t="shared" si="11"/>
        <v>50450339.417567171</v>
      </c>
      <c r="AM25" s="477">
        <f t="shared" si="11"/>
        <v>50450339.417567171</v>
      </c>
      <c r="AN25" s="477">
        <f t="shared" si="11"/>
        <v>50450339.417567171</v>
      </c>
      <c r="AO25" s="477">
        <f t="shared" si="11"/>
        <v>50450339.417567171</v>
      </c>
      <c r="AP25" s="477">
        <f t="shared" si="11"/>
        <v>50450339.417567171</v>
      </c>
      <c r="AQ25" s="477">
        <f t="shared" si="11"/>
        <v>50450339.417567171</v>
      </c>
      <c r="AR25" s="477">
        <f t="shared" si="11"/>
        <v>50450339.417567171</v>
      </c>
      <c r="AS25" s="477">
        <f t="shared" si="11"/>
        <v>50450339.417567171</v>
      </c>
      <c r="AT25" s="477">
        <f t="shared" si="11"/>
        <v>50450339.417567171</v>
      </c>
      <c r="AU25" s="477">
        <f t="shared" si="11"/>
        <v>50450339.417567171</v>
      </c>
      <c r="AV25" s="477">
        <f t="shared" si="11"/>
        <v>50450339.417567171</v>
      </c>
      <c r="AW25" s="477">
        <f t="shared" si="11"/>
        <v>50450339.417567171</v>
      </c>
      <c r="AX25" s="477">
        <f t="shared" si="11"/>
        <v>50450339.417567171</v>
      </c>
      <c r="AY25" s="477">
        <f t="shared" si="11"/>
        <v>50450339.417567171</v>
      </c>
      <c r="AZ25" s="477">
        <f t="shared" si="11"/>
        <v>50450339.417567171</v>
      </c>
      <c r="BA25" s="477">
        <f t="shared" si="11"/>
        <v>50450339.417567171</v>
      </c>
      <c r="BB25" s="477">
        <f t="shared" si="11"/>
        <v>44125071.185675606</v>
      </c>
      <c r="BC25" s="477">
        <f t="shared" si="11"/>
        <v>37749200.807928897</v>
      </c>
      <c r="BD25" s="477">
        <f t="shared" si="11"/>
        <v>37749200.807928897</v>
      </c>
      <c r="BE25" s="477">
        <f t="shared" si="11"/>
        <v>18874600.403964449</v>
      </c>
      <c r="BF25" s="477">
        <f t="shared" si="11"/>
        <v>18874600.403964449</v>
      </c>
      <c r="BG25" s="477">
        <f t="shared" si="11"/>
        <v>0</v>
      </c>
      <c r="BH25" s="482">
        <f>SUM(BH21:BH24)</f>
        <v>0</v>
      </c>
      <c r="BI25" s="482">
        <f t="shared" ref="BI25:CY25" si="12">SUM(BI21:BI24)</f>
        <v>0</v>
      </c>
      <c r="BJ25" s="482">
        <f t="shared" si="12"/>
        <v>0</v>
      </c>
      <c r="BK25" s="482">
        <f t="shared" si="12"/>
        <v>0</v>
      </c>
      <c r="BL25" s="482">
        <f t="shared" si="12"/>
        <v>0</v>
      </c>
      <c r="BM25" s="482">
        <f t="shared" si="12"/>
        <v>0</v>
      </c>
      <c r="BN25" s="482">
        <f t="shared" si="12"/>
        <v>0</v>
      </c>
      <c r="BO25" s="482">
        <f t="shared" si="12"/>
        <v>0</v>
      </c>
      <c r="BP25" s="482">
        <f t="shared" si="12"/>
        <v>0</v>
      </c>
      <c r="BQ25" s="482">
        <f t="shared" si="12"/>
        <v>0</v>
      </c>
      <c r="BR25" s="482">
        <f t="shared" si="12"/>
        <v>0</v>
      </c>
      <c r="BS25" s="482">
        <f t="shared" si="12"/>
        <v>0</v>
      </c>
      <c r="BT25" s="482">
        <f t="shared" si="12"/>
        <v>0</v>
      </c>
      <c r="BU25" s="482">
        <f t="shared" si="12"/>
        <v>0</v>
      </c>
      <c r="BV25" s="482">
        <f t="shared" si="12"/>
        <v>0</v>
      </c>
      <c r="BW25" s="482">
        <f t="shared" si="12"/>
        <v>0</v>
      </c>
      <c r="BX25" s="482">
        <f t="shared" si="12"/>
        <v>0</v>
      </c>
      <c r="BY25" s="482">
        <f t="shared" si="12"/>
        <v>0</v>
      </c>
      <c r="BZ25" s="482">
        <f t="shared" si="12"/>
        <v>0</v>
      </c>
      <c r="CA25" s="482">
        <f t="shared" si="12"/>
        <v>0</v>
      </c>
      <c r="CB25" s="482">
        <f t="shared" si="12"/>
        <v>0</v>
      </c>
      <c r="CC25" s="482">
        <f t="shared" si="12"/>
        <v>0</v>
      </c>
      <c r="CD25" s="482">
        <f t="shared" si="12"/>
        <v>0</v>
      </c>
      <c r="CE25" s="482">
        <f t="shared" si="12"/>
        <v>0</v>
      </c>
      <c r="CF25" s="482">
        <f t="shared" si="12"/>
        <v>0</v>
      </c>
      <c r="CG25" s="482">
        <f t="shared" si="12"/>
        <v>0</v>
      </c>
      <c r="CH25" s="482">
        <f t="shared" si="12"/>
        <v>0</v>
      </c>
      <c r="CI25" s="482">
        <f t="shared" si="12"/>
        <v>0</v>
      </c>
      <c r="CJ25" s="482">
        <f t="shared" si="12"/>
        <v>0</v>
      </c>
      <c r="CK25" s="482">
        <f t="shared" si="12"/>
        <v>0</v>
      </c>
      <c r="CL25" s="482">
        <f t="shared" si="12"/>
        <v>0</v>
      </c>
      <c r="CM25" s="482">
        <f t="shared" si="12"/>
        <v>0</v>
      </c>
      <c r="CN25" s="482">
        <f t="shared" si="12"/>
        <v>0</v>
      </c>
      <c r="CO25" s="482">
        <f t="shared" si="12"/>
        <v>0</v>
      </c>
      <c r="CP25" s="482">
        <f t="shared" si="12"/>
        <v>0</v>
      </c>
      <c r="CQ25" s="482">
        <f t="shared" si="12"/>
        <v>0</v>
      </c>
      <c r="CR25" s="482">
        <f t="shared" si="12"/>
        <v>0</v>
      </c>
      <c r="CS25" s="482">
        <f t="shared" si="12"/>
        <v>0</v>
      </c>
      <c r="CT25" s="482">
        <f t="shared" si="12"/>
        <v>0</v>
      </c>
      <c r="CU25" s="482">
        <f t="shared" si="12"/>
        <v>0</v>
      </c>
      <c r="CV25" s="482">
        <f t="shared" si="12"/>
        <v>0</v>
      </c>
      <c r="CW25" s="482">
        <f t="shared" si="12"/>
        <v>0</v>
      </c>
      <c r="CX25" s="482">
        <f t="shared" si="12"/>
        <v>0</v>
      </c>
      <c r="CY25" s="482">
        <f t="shared" si="12"/>
        <v>0</v>
      </c>
    </row>
    <row r="26" spans="1:103" x14ac:dyDescent="0.25">
      <c r="D26" s="477"/>
    </row>
    <row r="27" spans="1:103" x14ac:dyDescent="0.25">
      <c r="B27" t="s">
        <v>288</v>
      </c>
      <c r="D27" s="477">
        <v>0</v>
      </c>
      <c r="E27" s="477">
        <v>0</v>
      </c>
      <c r="F27" s="477">
        <v>0</v>
      </c>
      <c r="G27" s="477">
        <v>0</v>
      </c>
      <c r="H27" s="477">
        <v>0</v>
      </c>
      <c r="I27" s="477">
        <v>0</v>
      </c>
      <c r="J27" s="477">
        <v>20000000</v>
      </c>
      <c r="K27" s="477">
        <v>20000000</v>
      </c>
      <c r="L27" s="477">
        <v>20000000</v>
      </c>
      <c r="M27" s="477">
        <v>20000000</v>
      </c>
      <c r="N27" s="477">
        <v>20000000</v>
      </c>
      <c r="O27" s="477">
        <v>20000000</v>
      </c>
      <c r="P27" s="477">
        <v>20000000</v>
      </c>
      <c r="Q27" s="477">
        <v>20000000</v>
      </c>
      <c r="R27" s="477">
        <v>20000000</v>
      </c>
      <c r="S27" s="477">
        <v>20000000</v>
      </c>
      <c r="T27" s="477">
        <v>20000000</v>
      </c>
      <c r="U27" s="477">
        <v>20000000</v>
      </c>
      <c r="V27" s="477">
        <v>20000000</v>
      </c>
      <c r="W27" s="477">
        <v>0</v>
      </c>
      <c r="X27" s="477">
        <v>0</v>
      </c>
      <c r="Y27" s="477">
        <v>0</v>
      </c>
      <c r="Z27" s="477">
        <v>0</v>
      </c>
      <c r="AA27" s="477">
        <v>0</v>
      </c>
      <c r="AB27" s="477">
        <v>0</v>
      </c>
      <c r="AC27" s="477">
        <v>0</v>
      </c>
      <c r="AD27" s="477">
        <v>0</v>
      </c>
      <c r="AE27" s="477">
        <v>0</v>
      </c>
      <c r="AF27" s="477">
        <v>0</v>
      </c>
      <c r="AG27" s="477">
        <v>0</v>
      </c>
      <c r="AH27" s="477">
        <v>0</v>
      </c>
      <c r="AI27" s="477">
        <v>0</v>
      </c>
      <c r="AJ27" s="477">
        <v>0</v>
      </c>
      <c r="AK27" s="477">
        <v>0</v>
      </c>
      <c r="AL27" s="477">
        <v>0</v>
      </c>
      <c r="AM27" s="477">
        <v>0</v>
      </c>
      <c r="AN27" s="477">
        <v>0</v>
      </c>
      <c r="AO27" s="477">
        <v>0</v>
      </c>
      <c r="AP27" s="477">
        <v>0</v>
      </c>
      <c r="AQ27" s="477">
        <v>0</v>
      </c>
      <c r="AR27" s="477">
        <v>0</v>
      </c>
      <c r="AS27" s="477">
        <v>0</v>
      </c>
      <c r="AT27" s="477">
        <v>0</v>
      </c>
    </row>
    <row r="28" spans="1:103" x14ac:dyDescent="0.25">
      <c r="D28" s="477"/>
    </row>
    <row r="29" spans="1:103" x14ac:dyDescent="0.25">
      <c r="B29" s="485" t="s">
        <v>292</v>
      </c>
      <c r="C29" s="485"/>
      <c r="D29" s="477"/>
    </row>
    <row r="30" spans="1:103" hidden="1" x14ac:dyDescent="0.25">
      <c r="B30" s="486" t="s">
        <v>294</v>
      </c>
      <c r="C30" s="486"/>
      <c r="D30" s="477"/>
      <c r="W30">
        <v>1</v>
      </c>
      <c r="X30">
        <v>2</v>
      </c>
      <c r="Y30">
        <v>3</v>
      </c>
      <c r="Z30">
        <v>4</v>
      </c>
      <c r="AA30">
        <v>5</v>
      </c>
      <c r="AB30">
        <v>6</v>
      </c>
      <c r="AC30">
        <v>7</v>
      </c>
      <c r="AD30">
        <v>8</v>
      </c>
      <c r="AE30">
        <v>9</v>
      </c>
      <c r="AF30">
        <v>10</v>
      </c>
      <c r="AG30">
        <v>11</v>
      </c>
      <c r="AH30">
        <v>12</v>
      </c>
      <c r="AI30">
        <v>13</v>
      </c>
      <c r="AJ30">
        <v>14</v>
      </c>
      <c r="AK30">
        <v>15</v>
      </c>
      <c r="AL30">
        <v>16</v>
      </c>
      <c r="AM30">
        <v>17</v>
      </c>
      <c r="AN30">
        <v>18</v>
      </c>
      <c r="AO30">
        <v>19</v>
      </c>
      <c r="AP30">
        <v>20</v>
      </c>
      <c r="AQ30">
        <v>21</v>
      </c>
      <c r="AR30">
        <v>22</v>
      </c>
      <c r="AS30">
        <v>23</v>
      </c>
      <c r="AT30">
        <v>24</v>
      </c>
      <c r="AU30">
        <v>25</v>
      </c>
      <c r="AV30">
        <v>26</v>
      </c>
      <c r="AW30">
        <v>27</v>
      </c>
      <c r="AX30">
        <v>28</v>
      </c>
      <c r="AY30">
        <v>29</v>
      </c>
      <c r="AZ30">
        <v>30</v>
      </c>
      <c r="BA30">
        <v>31</v>
      </c>
      <c r="BB30">
        <v>32</v>
      </c>
      <c r="BC30">
        <v>33</v>
      </c>
      <c r="BD30">
        <v>34</v>
      </c>
      <c r="BE30">
        <v>35</v>
      </c>
      <c r="BF30">
        <v>36</v>
      </c>
      <c r="BG30">
        <v>37</v>
      </c>
      <c r="BH30">
        <v>38</v>
      </c>
      <c r="BI30">
        <v>39</v>
      </c>
      <c r="BJ30">
        <v>40</v>
      </c>
      <c r="BK30">
        <v>41</v>
      </c>
      <c r="BL30">
        <v>42</v>
      </c>
      <c r="BM30">
        <v>43</v>
      </c>
      <c r="BN30">
        <v>44</v>
      </c>
      <c r="BO30">
        <v>45</v>
      </c>
      <c r="BP30">
        <v>46</v>
      </c>
      <c r="BQ30">
        <v>47</v>
      </c>
      <c r="BR30">
        <v>48</v>
      </c>
      <c r="BS30">
        <v>49</v>
      </c>
      <c r="BT30">
        <v>50</v>
      </c>
      <c r="BU30">
        <v>51</v>
      </c>
      <c r="BV30">
        <v>52</v>
      </c>
      <c r="BW30">
        <v>53</v>
      </c>
      <c r="BX30">
        <v>54</v>
      </c>
      <c r="BY30">
        <v>55</v>
      </c>
      <c r="BZ30">
        <v>56</v>
      </c>
      <c r="CA30">
        <v>57</v>
      </c>
      <c r="CB30">
        <v>58</v>
      </c>
      <c r="CC30">
        <v>59</v>
      </c>
      <c r="CD30">
        <v>60</v>
      </c>
      <c r="CE30">
        <v>61</v>
      </c>
      <c r="CF30">
        <v>62</v>
      </c>
      <c r="CG30">
        <v>63</v>
      </c>
      <c r="CH30">
        <v>64</v>
      </c>
      <c r="CI30">
        <v>65</v>
      </c>
      <c r="CJ30">
        <v>66</v>
      </c>
      <c r="CK30">
        <v>67</v>
      </c>
      <c r="CL30">
        <v>68</v>
      </c>
      <c r="CM30">
        <v>69</v>
      </c>
      <c r="CN30">
        <v>70</v>
      </c>
      <c r="CO30">
        <v>71</v>
      </c>
      <c r="CP30">
        <v>72</v>
      </c>
      <c r="CQ30">
        <v>73</v>
      </c>
      <c r="CR30">
        <v>74</v>
      </c>
      <c r="CS30">
        <v>75</v>
      </c>
      <c r="CT30">
        <v>76</v>
      </c>
      <c r="CU30">
        <v>77</v>
      </c>
      <c r="CV30">
        <v>78</v>
      </c>
      <c r="CW30">
        <v>79</v>
      </c>
      <c r="CX30">
        <v>80</v>
      </c>
      <c r="CY30">
        <v>81</v>
      </c>
    </row>
    <row r="31" spans="1:103" x14ac:dyDescent="0.25">
      <c r="B31" t="s">
        <v>541</v>
      </c>
      <c r="D31" s="477">
        <f>D17</f>
        <v>0</v>
      </c>
      <c r="E31" s="482">
        <f t="shared" ref="E31:V31" si="13">D35+E17</f>
        <v>126000000</v>
      </c>
      <c r="F31" s="482">
        <f t="shared" si="13"/>
        <v>131670000</v>
      </c>
      <c r="G31" s="482">
        <f t="shared" si="13"/>
        <v>510595150</v>
      </c>
      <c r="H31" s="482">
        <f t="shared" si="13"/>
        <v>533571931.75</v>
      </c>
      <c r="I31" s="482">
        <f t="shared" si="13"/>
        <v>930582668.67875004</v>
      </c>
      <c r="J31" s="482">
        <f t="shared" si="13"/>
        <v>972458888.76929379</v>
      </c>
      <c r="K31" s="482">
        <f t="shared" si="13"/>
        <v>996219538.76391196</v>
      </c>
      <c r="L31" s="482">
        <f t="shared" si="13"/>
        <v>1021049418.008288</v>
      </c>
      <c r="M31" s="482">
        <f t="shared" si="13"/>
        <v>1046996641.818661</v>
      </c>
      <c r="N31" s="482">
        <f t="shared" si="13"/>
        <v>1074111490.7005007</v>
      </c>
      <c r="O31" s="482">
        <f t="shared" si="13"/>
        <v>1102446507.7820232</v>
      </c>
      <c r="P31" s="482">
        <f t="shared" si="13"/>
        <v>1132056600.6322143</v>
      </c>
      <c r="Q31" s="482">
        <f t="shared" si="13"/>
        <v>1162999147.6606638</v>
      </c>
      <c r="R31" s="482">
        <f t="shared" si="13"/>
        <v>1195334109.3053937</v>
      </c>
      <c r="S31" s="482">
        <f t="shared" si="13"/>
        <v>1229124144.2241364</v>
      </c>
      <c r="T31" s="482">
        <f t="shared" si="13"/>
        <v>1264434730.7142224</v>
      </c>
      <c r="U31" s="482">
        <f t="shared" si="13"/>
        <v>1301334293.5963624</v>
      </c>
      <c r="V31" s="482">
        <f t="shared" si="13"/>
        <v>1339894336.8081987</v>
      </c>
      <c r="W31" s="482">
        <f t="shared" ref="W31" si="14">V35</f>
        <v>1380189581.9645677</v>
      </c>
      <c r="X31" s="482">
        <f t="shared" ref="X31:BH31" si="15">W35</f>
        <v>1365833274.9651959</v>
      </c>
      <c r="Y31" s="482">
        <f t="shared" si="15"/>
        <v>1350830934.1508524</v>
      </c>
      <c r="Z31" s="482">
        <f t="shared" si="15"/>
        <v>1335153487.9998636</v>
      </c>
      <c r="AA31" s="482">
        <f t="shared" si="15"/>
        <v>1318770556.7720802</v>
      </c>
      <c r="AB31" s="482">
        <f t="shared" si="15"/>
        <v>1301650393.6390467</v>
      </c>
      <c r="AC31" s="482">
        <f t="shared" si="15"/>
        <v>1283759823.1650267</v>
      </c>
      <c r="AD31" s="482">
        <f t="shared" si="15"/>
        <v>1265064177.0196757</v>
      </c>
      <c r="AE31" s="482">
        <f t="shared" si="15"/>
        <v>1245527226.7977839</v>
      </c>
      <c r="AF31" s="482">
        <f t="shared" si="15"/>
        <v>1225111113.815907</v>
      </c>
      <c r="AG31" s="482">
        <f t="shared" si="15"/>
        <v>1203776275.7498457</v>
      </c>
      <c r="AH31" s="482">
        <f t="shared" si="15"/>
        <v>1181481369.9708116</v>
      </c>
      <c r="AI31" s="482">
        <f t="shared" si="15"/>
        <v>1158183193.431721</v>
      </c>
      <c r="AJ31" s="482">
        <f t="shared" si="15"/>
        <v>1133836598.9483712</v>
      </c>
      <c r="AK31" s="482">
        <f t="shared" si="15"/>
        <v>1108394407.7132707</v>
      </c>
      <c r="AL31" s="482">
        <f t="shared" si="15"/>
        <v>1081807317.8725905</v>
      </c>
      <c r="AM31" s="482">
        <f t="shared" si="15"/>
        <v>1054023808.98908</v>
      </c>
      <c r="AN31" s="482">
        <f t="shared" si="15"/>
        <v>1024990042.2058114</v>
      </c>
      <c r="AO31" s="482">
        <f t="shared" si="15"/>
        <v>994649755.91729569</v>
      </c>
      <c r="AP31" s="482">
        <f t="shared" si="15"/>
        <v>962944156.7457968</v>
      </c>
      <c r="AQ31" s="482">
        <f t="shared" si="15"/>
        <v>929811805.61158049</v>
      </c>
      <c r="AR31" s="482">
        <f t="shared" si="15"/>
        <v>895188498.67632437</v>
      </c>
      <c r="AS31" s="482">
        <f t="shared" si="15"/>
        <v>859007142.92898178</v>
      </c>
      <c r="AT31" s="482">
        <f t="shared" si="15"/>
        <v>821197626.1730088</v>
      </c>
      <c r="AU31" s="482">
        <f t="shared" si="15"/>
        <v>781686681.16301703</v>
      </c>
      <c r="AV31" s="482">
        <f t="shared" si="15"/>
        <v>740397743.62757564</v>
      </c>
      <c r="AW31" s="482">
        <f t="shared" si="15"/>
        <v>697250803.90303934</v>
      </c>
      <c r="AX31" s="482">
        <f t="shared" si="15"/>
        <v>652162251.89089894</v>
      </c>
      <c r="AY31" s="482">
        <f t="shared" si="15"/>
        <v>605044715.03821218</v>
      </c>
      <c r="AZ31" s="482">
        <f t="shared" si="15"/>
        <v>555806889.02715456</v>
      </c>
      <c r="BA31" s="482">
        <f t="shared" si="15"/>
        <v>504353360.84559929</v>
      </c>
      <c r="BB31" s="482">
        <f t="shared" si="15"/>
        <v>450584423.89587408</v>
      </c>
      <c r="BC31" s="482">
        <f t="shared" si="15"/>
        <v>394395884.7834112</v>
      </c>
      <c r="BD31" s="482">
        <f t="shared" si="15"/>
        <v>335678861.41088754</v>
      </c>
      <c r="BE31" s="482">
        <f t="shared" si="15"/>
        <v>274319571.98660028</v>
      </c>
      <c r="BF31" s="482">
        <f t="shared" si="15"/>
        <v>210199114.53822011</v>
      </c>
      <c r="BG31" s="482">
        <f t="shared" si="15"/>
        <v>143193236.50466281</v>
      </c>
      <c r="BH31" s="482">
        <f t="shared" si="15"/>
        <v>73172093.959595442</v>
      </c>
      <c r="BI31" s="482">
        <v>0</v>
      </c>
      <c r="BJ31" s="482">
        <v>0</v>
      </c>
      <c r="BK31" s="482">
        <v>0</v>
      </c>
      <c r="BL31" s="482">
        <v>0</v>
      </c>
      <c r="BM31" s="482">
        <v>0</v>
      </c>
      <c r="BN31" s="482">
        <v>0</v>
      </c>
      <c r="BO31" s="482">
        <v>0</v>
      </c>
      <c r="BP31" s="482">
        <v>0</v>
      </c>
      <c r="BQ31" s="482">
        <v>0</v>
      </c>
      <c r="BR31" s="482">
        <v>0</v>
      </c>
      <c r="BS31" s="482">
        <v>0</v>
      </c>
      <c r="BT31" s="482">
        <v>0</v>
      </c>
      <c r="BU31" s="482">
        <v>0</v>
      </c>
      <c r="BV31" s="482">
        <v>0</v>
      </c>
      <c r="BW31" s="482">
        <v>0</v>
      </c>
      <c r="BX31" s="482">
        <v>0</v>
      </c>
      <c r="BY31" s="482">
        <v>0</v>
      </c>
      <c r="BZ31" s="482">
        <v>0</v>
      </c>
      <c r="CA31" s="482">
        <v>0</v>
      </c>
      <c r="CB31" s="482">
        <v>0</v>
      </c>
      <c r="CC31" s="482">
        <v>0</v>
      </c>
      <c r="CD31" s="482">
        <v>0</v>
      </c>
      <c r="CE31" s="482">
        <v>0</v>
      </c>
      <c r="CF31" s="482">
        <v>0</v>
      </c>
      <c r="CG31" s="482">
        <v>0</v>
      </c>
      <c r="CH31" s="482">
        <v>0</v>
      </c>
      <c r="CI31" s="482">
        <v>0</v>
      </c>
      <c r="CJ31" s="482">
        <v>0</v>
      </c>
      <c r="CK31" s="482">
        <v>0</v>
      </c>
      <c r="CL31" s="482">
        <v>0</v>
      </c>
      <c r="CM31" s="482">
        <v>0</v>
      </c>
      <c r="CN31" s="482">
        <v>0</v>
      </c>
      <c r="CO31" s="482">
        <v>0</v>
      </c>
      <c r="CP31" s="482">
        <v>0</v>
      </c>
      <c r="CQ31" s="482">
        <v>0</v>
      </c>
      <c r="CR31" s="482">
        <v>0</v>
      </c>
      <c r="CS31" s="482">
        <v>0</v>
      </c>
      <c r="CT31" s="482">
        <v>0</v>
      </c>
      <c r="CU31" s="482">
        <v>0</v>
      </c>
      <c r="CV31" s="482">
        <v>0</v>
      </c>
      <c r="CW31" s="482">
        <v>0</v>
      </c>
      <c r="CX31" s="482">
        <v>0</v>
      </c>
      <c r="CY31" s="482">
        <v>0</v>
      </c>
    </row>
    <row r="32" spans="1:103" x14ac:dyDescent="0.25">
      <c r="B32" t="s">
        <v>289</v>
      </c>
      <c r="D32" s="477">
        <v>0</v>
      </c>
      <c r="E32" s="477">
        <v>0</v>
      </c>
      <c r="F32" s="477">
        <v>0</v>
      </c>
      <c r="G32" s="477">
        <v>0</v>
      </c>
      <c r="H32" s="477">
        <v>0</v>
      </c>
      <c r="I32" s="477">
        <v>0</v>
      </c>
      <c r="J32" s="477">
        <f t="shared" ref="J32:V32" si="16">J27</f>
        <v>20000000</v>
      </c>
      <c r="K32" s="477">
        <f t="shared" si="16"/>
        <v>20000000</v>
      </c>
      <c r="L32" s="477">
        <f t="shared" si="16"/>
        <v>20000000</v>
      </c>
      <c r="M32" s="477">
        <f t="shared" si="16"/>
        <v>20000000</v>
      </c>
      <c r="N32" s="477">
        <f t="shared" si="16"/>
        <v>20000000</v>
      </c>
      <c r="O32" s="477">
        <f t="shared" si="16"/>
        <v>20000000</v>
      </c>
      <c r="P32" s="477">
        <f t="shared" si="16"/>
        <v>20000000</v>
      </c>
      <c r="Q32" s="477">
        <f t="shared" si="16"/>
        <v>20000000</v>
      </c>
      <c r="R32" s="477">
        <f t="shared" si="16"/>
        <v>20000000</v>
      </c>
      <c r="S32" s="477">
        <f t="shared" si="16"/>
        <v>20000000</v>
      </c>
      <c r="T32" s="477">
        <f t="shared" si="16"/>
        <v>20000000</v>
      </c>
      <c r="U32" s="477">
        <f t="shared" si="16"/>
        <v>20000000</v>
      </c>
      <c r="V32" s="477">
        <f t="shared" si="16"/>
        <v>20000000</v>
      </c>
      <c r="W32" s="477">
        <f>-PPMT('Interest Rate'!$J$16,'Economist Plan 2'!W$30,38,'Economist Plan 2'!$W$31)</f>
        <v>14356306.99937165</v>
      </c>
      <c r="X32" s="477">
        <f>-PPMT('Interest Rate'!$J$16,'Economist Plan 2'!X$30,38,'Economist Plan 2'!$W$31)</f>
        <v>15002340.814343378</v>
      </c>
      <c r="Y32" s="477">
        <f>-PPMT('Interest Rate'!$J$16,'Economist Plan 2'!Y$30,38,'Economist Plan 2'!$W$31)</f>
        <v>15677446.150988827</v>
      </c>
      <c r="Z32" s="477">
        <f>-PPMT('Interest Rate'!$J$16,'Economist Plan 2'!Z$30,38,'Economist Plan 2'!$W$31)</f>
        <v>16382931.227783324</v>
      </c>
      <c r="AA32" s="477">
        <f>-PPMT('Interest Rate'!$J$16,'Economist Plan 2'!AA$30,38,'Economist Plan 2'!$W$31)</f>
        <v>17120163.133033577</v>
      </c>
      <c r="AB32" s="477">
        <f>-PPMT('Interest Rate'!$J$16,'Economist Plan 2'!AB$30,38,'Economist Plan 2'!$W$31)</f>
        <v>17890570.474020086</v>
      </c>
      <c r="AC32" s="477">
        <f>-PPMT('Interest Rate'!$J$16,'Economist Plan 2'!AC$30,38,'Economist Plan 2'!$W$31)</f>
        <v>18695646.145350989</v>
      </c>
      <c r="AD32" s="477">
        <f>-PPMT('Interest Rate'!$J$16,'Economist Plan 2'!AD$30,38,'Economist Plan 2'!$W$31)</f>
        <v>19536950.221891783</v>
      </c>
      <c r="AE32" s="477">
        <f>-PPMT('Interest Rate'!$J$16,'Economist Plan 2'!AE$30,38,'Economist Plan 2'!$W$31)</f>
        <v>20416112.98187691</v>
      </c>
      <c r="AF32" s="477">
        <f>-PPMT('Interest Rate'!$J$16,'Economist Plan 2'!AF$30,38,'Economist Plan 2'!$W$31)</f>
        <v>21334838.066061374</v>
      </c>
      <c r="AG32" s="477">
        <f>-PPMT('Interest Rate'!$J$16,'Economist Plan 2'!AG$30,38,'Economist Plan 2'!$W$31)</f>
        <v>22294905.779034138</v>
      </c>
      <c r="AH32" s="477">
        <f>-PPMT('Interest Rate'!$J$16,'Economist Plan 2'!AH$30,38,'Economist Plan 2'!$W$31)</f>
        <v>23298176.539090671</v>
      </c>
      <c r="AI32" s="477">
        <f>-PPMT('Interest Rate'!$J$16,'Economist Plan 2'!AI$30,38,'Economist Plan 2'!$W$31)</f>
        <v>24346594.483349755</v>
      </c>
      <c r="AJ32" s="477">
        <f>-PPMT('Interest Rate'!$J$16,'Economist Plan 2'!AJ$30,38,'Economist Plan 2'!$W$31)</f>
        <v>25442191.235100497</v>
      </c>
      <c r="AK32" s="477">
        <f>-PPMT('Interest Rate'!$J$16,'Economist Plan 2'!AK$30,38,'Economist Plan 2'!$W$31)</f>
        <v>26587089.840680018</v>
      </c>
      <c r="AL32" s="477">
        <f>-PPMT('Interest Rate'!$J$16,'Economist Plan 2'!AL$30,38,'Economist Plan 2'!$W$31)</f>
        <v>27783508.883510612</v>
      </c>
      <c r="AM32" s="477">
        <f>-PPMT('Interest Rate'!$J$16,'Economist Plan 2'!AM$30,38,'Economist Plan 2'!$W$31)</f>
        <v>29033766.783268593</v>
      </c>
      <c r="AN32" s="477">
        <f>-PPMT('Interest Rate'!$J$16,'Economist Plan 2'!AN$30,38,'Economist Plan 2'!$W$31)</f>
        <v>30340286.28851568</v>
      </c>
      <c r="AO32" s="477">
        <f>-PPMT('Interest Rate'!$J$16,'Economist Plan 2'!AO$30,38,'Economist Plan 2'!$W$31)</f>
        <v>31705599.171498887</v>
      </c>
      <c r="AP32" s="477">
        <f>-PPMT('Interest Rate'!$J$16,'Economist Plan 2'!AP$30,38,'Economist Plan 2'!$W$31)</f>
        <v>33132351.134216335</v>
      </c>
      <c r="AQ32" s="477">
        <f>-PPMT('Interest Rate'!$J$16,'Economist Plan 2'!AQ$30,38,'Economist Plan 2'!$W$31)</f>
        <v>34623306.935256071</v>
      </c>
      <c r="AR32" s="477">
        <f>-PPMT('Interest Rate'!$J$16,'Economist Plan 2'!AR$30,38,'Economist Plan 2'!$W$31)</f>
        <v>36181355.747342594</v>
      </c>
      <c r="AS32" s="477">
        <f>-PPMT('Interest Rate'!$J$16,'Economist Plan 2'!AS$30,38,'Economist Plan 2'!$W$31)</f>
        <v>37809516.755973004</v>
      </c>
      <c r="AT32" s="477">
        <f>-PPMT('Interest Rate'!$J$16,'Economist Plan 2'!AT$30,38,'Economist Plan 2'!$W$31)</f>
        <v>39510945.009991787</v>
      </c>
      <c r="AU32" s="477">
        <f>-PPMT('Interest Rate'!$J$16,'Economist Plan 2'!AU$30,38,'Economist Plan 2'!$W$31)</f>
        <v>41288937.535441428</v>
      </c>
      <c r="AV32" s="477">
        <f>-PPMT('Interest Rate'!$J$16,'Economist Plan 2'!AV$30,38,'Economist Plan 2'!$W$31)</f>
        <v>43146939.724536285</v>
      </c>
      <c r="AW32" s="477">
        <f>-PPMT('Interest Rate'!$J$16,'Economist Plan 2'!AW$30,38,'Economist Plan 2'!$W$31)</f>
        <v>45088552.012140423</v>
      </c>
      <c r="AX32" s="477">
        <f>-PPMT('Interest Rate'!$J$16,'Economist Plan 2'!AX$30,38,'Economist Plan 2'!$W$31)</f>
        <v>47117536.85268674</v>
      </c>
      <c r="AY32" s="477">
        <f>-PPMT('Interest Rate'!$J$16,'Economist Plan 2'!AY$30,38,'Economist Plan 2'!$W$31)</f>
        <v>49237826.011057645</v>
      </c>
      <c r="AZ32" s="477">
        <f>-PPMT('Interest Rate'!$J$16,'Economist Plan 2'!AZ$30,38,'Economist Plan 2'!$W$31)</f>
        <v>51453528.181555249</v>
      </c>
      <c r="BA32" s="477">
        <f>-PPMT('Interest Rate'!$J$16,'Economist Plan 2'!BA$30,38,'Economist Plan 2'!$W$31)</f>
        <v>53768936.949725226</v>
      </c>
      <c r="BB32" s="477">
        <f>-PPMT('Interest Rate'!$J$16,'Economist Plan 2'!BB$30,38,'Economist Plan 2'!$W$31)</f>
        <v>56188539.112462863</v>
      </c>
      <c r="BC32" s="477">
        <f>-PPMT('Interest Rate'!$J$16,'Economist Plan 2'!BC$30,38,'Economist Plan 2'!$W$31)</f>
        <v>58717023.372523688</v>
      </c>
      <c r="BD32" s="477">
        <f>-PPMT('Interest Rate'!$J$16,'Economist Plan 2'!BD$30,38,'Economist Plan 2'!$W$31)</f>
        <v>61359289.42428726</v>
      </c>
      <c r="BE32" s="477">
        <f>-PPMT('Interest Rate'!$J$16,'Economist Plan 2'!BE$30,38,'Economist Plan 2'!$W$31)</f>
        <v>64120457.448380187</v>
      </c>
      <c r="BF32" s="477">
        <f>-PPMT('Interest Rate'!$J$16,'Economist Plan 2'!BF$30,38,'Economist Plan 2'!$W$31)</f>
        <v>67005878.033557288</v>
      </c>
      <c r="BG32" s="477">
        <f>-PPMT('Interest Rate'!$J$16,'Economist Plan 2'!BG$30,38,'Economist Plan 2'!$W$31)</f>
        <v>70021142.54506737</v>
      </c>
      <c r="BH32" s="477">
        <f>-PPMT('Interest Rate'!$J$16,'Economist Plan 2'!BH$30,38,'Economist Plan 2'!$W$31)</f>
        <v>73172093.959595397</v>
      </c>
      <c r="BI32" s="477">
        <v>0</v>
      </c>
      <c r="BJ32" s="477">
        <v>0</v>
      </c>
      <c r="BK32" s="477">
        <v>0</v>
      </c>
      <c r="BL32" s="477">
        <v>0</v>
      </c>
      <c r="BM32" s="477">
        <v>0</v>
      </c>
      <c r="BN32" s="477">
        <v>0</v>
      </c>
      <c r="BO32" s="477">
        <v>0</v>
      </c>
      <c r="BP32" s="477">
        <v>0</v>
      </c>
      <c r="BQ32" s="477">
        <v>0</v>
      </c>
      <c r="BR32" s="477">
        <v>0</v>
      </c>
      <c r="BS32" s="477">
        <v>0</v>
      </c>
      <c r="BT32" s="477">
        <v>0</v>
      </c>
      <c r="BU32" s="477">
        <v>0</v>
      </c>
      <c r="BV32" s="477">
        <v>0</v>
      </c>
      <c r="BW32" s="477">
        <v>0</v>
      </c>
      <c r="BX32" s="477">
        <v>0</v>
      </c>
      <c r="BY32" s="477">
        <v>0</v>
      </c>
      <c r="BZ32" s="477">
        <v>0</v>
      </c>
      <c r="CA32" s="477">
        <v>0</v>
      </c>
      <c r="CB32" s="477">
        <v>0</v>
      </c>
      <c r="CC32" s="477">
        <v>0</v>
      </c>
      <c r="CD32" s="477">
        <v>0</v>
      </c>
      <c r="CE32" s="477">
        <v>0</v>
      </c>
      <c r="CF32" s="477">
        <v>0</v>
      </c>
      <c r="CG32" s="477">
        <v>0</v>
      </c>
      <c r="CH32" s="477">
        <v>0</v>
      </c>
      <c r="CI32" s="477">
        <v>0</v>
      </c>
      <c r="CJ32" s="477">
        <v>0</v>
      </c>
      <c r="CK32" s="477">
        <v>0</v>
      </c>
      <c r="CL32" s="477">
        <v>0</v>
      </c>
      <c r="CM32" s="477">
        <v>0</v>
      </c>
      <c r="CN32" s="477">
        <v>0</v>
      </c>
      <c r="CO32" s="477">
        <v>0</v>
      </c>
      <c r="CP32" s="477">
        <v>0</v>
      </c>
      <c r="CQ32" s="477">
        <v>0</v>
      </c>
      <c r="CR32" s="477">
        <v>0</v>
      </c>
      <c r="CS32" s="477">
        <v>0</v>
      </c>
      <c r="CT32" s="477">
        <v>0</v>
      </c>
      <c r="CU32" s="477">
        <v>0</v>
      </c>
      <c r="CV32" s="477">
        <v>0</v>
      </c>
      <c r="CW32" s="477">
        <v>0</v>
      </c>
      <c r="CX32" s="477">
        <v>0</v>
      </c>
      <c r="CY32" s="477">
        <v>0</v>
      </c>
    </row>
    <row r="33" spans="1:103" ht="17.25" x14ac:dyDescent="0.4">
      <c r="B33" t="s">
        <v>290</v>
      </c>
      <c r="D33" s="483">
        <f>D31*'Interest Rate'!$J$16</f>
        <v>0</v>
      </c>
      <c r="E33" s="483">
        <f>E31*'Interest Rate'!$J$16</f>
        <v>5670000</v>
      </c>
      <c r="F33" s="483">
        <f>F31*'Interest Rate'!$J$16</f>
        <v>5925150</v>
      </c>
      <c r="G33" s="483">
        <f>G31*'Interest Rate'!$J$16</f>
        <v>22976781.75</v>
      </c>
      <c r="H33" s="483">
        <f>H31*'Interest Rate'!$J$16</f>
        <v>24010736.928750001</v>
      </c>
      <c r="I33" s="483">
        <f>I31*'Interest Rate'!$J$16</f>
        <v>41876220.090543747</v>
      </c>
      <c r="J33" s="483">
        <f>J31*'Interest Rate'!$J$16</f>
        <v>43760649.994618222</v>
      </c>
      <c r="K33" s="483">
        <f>K31*'Interest Rate'!$J$16</f>
        <v>44829879.244376034</v>
      </c>
      <c r="L33" s="483">
        <f>L31*'Interest Rate'!$J$16</f>
        <v>45947223.810372956</v>
      </c>
      <c r="M33" s="483">
        <f>M31*'Interest Rate'!$J$16</f>
        <v>47114848.881839745</v>
      </c>
      <c r="N33" s="483">
        <f>N31*'Interest Rate'!$J$16</f>
        <v>48335017.081522532</v>
      </c>
      <c r="O33" s="483">
        <f>O31*'Interest Rate'!$J$16</f>
        <v>49610092.850191042</v>
      </c>
      <c r="P33" s="483">
        <f>P31*'Interest Rate'!$J$16</f>
        <v>50942547.02844964</v>
      </c>
      <c r="Q33" s="483">
        <f>Q31*'Interest Rate'!$J$16</f>
        <v>52334961.644729868</v>
      </c>
      <c r="R33" s="483">
        <f>R31*'Interest Rate'!$J$16</f>
        <v>53790034.918742716</v>
      </c>
      <c r="S33" s="483">
        <f>S31*'Interest Rate'!$J$16</f>
        <v>55310586.490086131</v>
      </c>
      <c r="T33" s="483">
        <f>T31*'Interest Rate'!$J$16</f>
        <v>56899562.882140011</v>
      </c>
      <c r="U33" s="483">
        <f>U31*'Interest Rate'!$J$16</f>
        <v>58560043.211836301</v>
      </c>
      <c r="V33" s="483">
        <f>V31*'Interest Rate'!$J$16</f>
        <v>60295245.156368941</v>
      </c>
      <c r="W33" s="483">
        <f>-IPMT('Interest Rate'!$J$16,'Economist Plan 2'!W$30,38,'Economist Plan 2'!$W$31)</f>
        <v>62108531.188405544</v>
      </c>
      <c r="X33" s="483">
        <f>-IPMT('Interest Rate'!$J$16,'Economist Plan 2'!X$30,38,'Economist Plan 2'!$W$31)</f>
        <v>61462497.373433821</v>
      </c>
      <c r="Y33" s="483">
        <f>-IPMT('Interest Rate'!$J$16,'Economist Plan 2'!Y$30,38,'Economist Plan 2'!$W$31)</f>
        <v>60787392.036788367</v>
      </c>
      <c r="Z33" s="483">
        <f>-IPMT('Interest Rate'!$J$16,'Economist Plan 2'!Z$30,38,'Economist Plan 2'!$W$31)</f>
        <v>60081906.959993869</v>
      </c>
      <c r="AA33" s="483">
        <f>-IPMT('Interest Rate'!$J$16,'Economist Plan 2'!AA$30,38,'Economist Plan 2'!$W$31)</f>
        <v>59344675.054743618</v>
      </c>
      <c r="AB33" s="483">
        <f>-IPMT('Interest Rate'!$J$16,'Economist Plan 2'!AB$30,38,'Economist Plan 2'!$W$31)</f>
        <v>58574267.713757105</v>
      </c>
      <c r="AC33" s="483">
        <f>-IPMT('Interest Rate'!$J$16,'Economist Plan 2'!AC$30,38,'Economist Plan 2'!$W$31)</f>
        <v>57769192.042426199</v>
      </c>
      <c r="AD33" s="483">
        <f>-IPMT('Interest Rate'!$J$16,'Economist Plan 2'!AD$30,38,'Economist Plan 2'!$W$31)</f>
        <v>56927887.965885416</v>
      </c>
      <c r="AE33" s="483">
        <f>-IPMT('Interest Rate'!$J$16,'Economist Plan 2'!AE$30,38,'Economist Plan 2'!$W$31)</f>
        <v>56048725.205900282</v>
      </c>
      <c r="AF33" s="483">
        <f>-IPMT('Interest Rate'!$J$16,'Economist Plan 2'!AF$30,38,'Economist Plan 2'!$W$31)</f>
        <v>55130000.121715821</v>
      </c>
      <c r="AG33" s="483">
        <f>-IPMT('Interest Rate'!$J$16,'Economist Plan 2'!AG$30,38,'Economist Plan 2'!$W$31)</f>
        <v>54169932.408743054</v>
      </c>
      <c r="AH33" s="483">
        <f>-IPMT('Interest Rate'!$J$16,'Economist Plan 2'!AH$30,38,'Economist Plan 2'!$W$31)</f>
        <v>53166661.648686521</v>
      </c>
      <c r="AI33" s="483">
        <f>-IPMT('Interest Rate'!$J$16,'Economist Plan 2'!AI$30,38,'Economist Plan 2'!$W$31)</f>
        <v>52118243.704427443</v>
      </c>
      <c r="AJ33" s="483">
        <f>-IPMT('Interest Rate'!$J$16,'Economist Plan 2'!AJ$30,38,'Economist Plan 2'!$W$31)</f>
        <v>51022646.952676699</v>
      </c>
      <c r="AK33" s="483">
        <f>-IPMT('Interest Rate'!$J$16,'Economist Plan 2'!AK$30,38,'Economist Plan 2'!$W$31)</f>
        <v>49877748.347097181</v>
      </c>
      <c r="AL33" s="483">
        <f>-IPMT('Interest Rate'!$J$16,'Economist Plan 2'!AL$30,38,'Economist Plan 2'!$W$31)</f>
        <v>48681329.304266572</v>
      </c>
      <c r="AM33" s="483">
        <f>-IPMT('Interest Rate'!$J$16,'Economist Plan 2'!AM$30,38,'Economist Plan 2'!$W$31)</f>
        <v>47431071.404508598</v>
      </c>
      <c r="AN33" s="483">
        <f>-IPMT('Interest Rate'!$J$16,'Economist Plan 2'!AN$30,38,'Economist Plan 2'!$W$31)</f>
        <v>46124551.899261519</v>
      </c>
      <c r="AO33" s="483">
        <f>-IPMT('Interest Rate'!$J$16,'Economist Plan 2'!AO$30,38,'Economist Plan 2'!$W$31)</f>
        <v>44759239.016278312</v>
      </c>
      <c r="AP33" s="483">
        <f>-IPMT('Interest Rate'!$J$16,'Economist Plan 2'!AP$30,38,'Economist Plan 2'!$W$31)</f>
        <v>43332487.05356086</v>
      </c>
      <c r="AQ33" s="483">
        <f>-IPMT('Interest Rate'!$J$16,'Economist Plan 2'!AQ$30,38,'Economist Plan 2'!$W$31)</f>
        <v>41841531.252521127</v>
      </c>
      <c r="AR33" s="483">
        <f>-IPMT('Interest Rate'!$J$16,'Economist Plan 2'!AR$30,38,'Economist Plan 2'!$W$31)</f>
        <v>40283482.440434597</v>
      </c>
      <c r="AS33" s="483">
        <f>-IPMT('Interest Rate'!$J$16,'Economist Plan 2'!AS$30,38,'Economist Plan 2'!$W$31)</f>
        <v>38655321.431804188</v>
      </c>
      <c r="AT33" s="483">
        <f>-IPMT('Interest Rate'!$J$16,'Economist Plan 2'!AT$30,38,'Economist Plan 2'!$W$31)</f>
        <v>36953893.177785397</v>
      </c>
      <c r="AU33" s="483">
        <f>-IPMT('Interest Rate'!$J$16,'Economist Plan 2'!AU$30,38,'Economist Plan 2'!$W$31)</f>
        <v>35175900.652335763</v>
      </c>
      <c r="AV33" s="483">
        <f>-IPMT('Interest Rate'!$J$16,'Economist Plan 2'!AV$30,38,'Economist Plan 2'!$W$31)</f>
        <v>33317898.463240907</v>
      </c>
      <c r="AW33" s="483">
        <f>-IPMT('Interest Rate'!$J$16,'Economist Plan 2'!AW$30,38,'Economist Plan 2'!$W$31)</f>
        <v>31376286.175636768</v>
      </c>
      <c r="AX33" s="483">
        <f>-IPMT('Interest Rate'!$J$16,'Economist Plan 2'!AX$30,38,'Economist Plan 2'!$W$31)</f>
        <v>29347301.335090451</v>
      </c>
      <c r="AY33" s="483">
        <f>-IPMT('Interest Rate'!$J$16,'Economist Plan 2'!AY$30,38,'Economist Plan 2'!$W$31)</f>
        <v>27227012.176719546</v>
      </c>
      <c r="AZ33" s="483">
        <f>-IPMT('Interest Rate'!$J$16,'Economist Plan 2'!AZ$30,38,'Economist Plan 2'!$W$31)</f>
        <v>25011310.006221954</v>
      </c>
      <c r="BA33" s="483">
        <f>-IPMT('Interest Rate'!$J$16,'Economist Plan 2'!BA$30,38,'Economist Plan 2'!$W$31)</f>
        <v>22695901.23805197</v>
      </c>
      <c r="BB33" s="483">
        <f>-IPMT('Interest Rate'!$J$16,'Economist Plan 2'!BB$30,38,'Economist Plan 2'!$W$31)</f>
        <v>20276299.075314332</v>
      </c>
      <c r="BC33" s="483">
        <f>-IPMT('Interest Rate'!$J$16,'Economist Plan 2'!BC$30,38,'Economist Plan 2'!$W$31)</f>
        <v>17747814.8152535</v>
      </c>
      <c r="BD33" s="483">
        <f>-IPMT('Interest Rate'!$J$16,'Economist Plan 2'!BD$30,38,'Economist Plan 2'!$W$31)</f>
        <v>15105548.763489941</v>
      </c>
      <c r="BE33" s="483">
        <f>-IPMT('Interest Rate'!$J$16,'Economist Plan 2'!BE$30,38,'Economist Plan 2'!$W$31)</f>
        <v>12344380.739397012</v>
      </c>
      <c r="BF33" s="483">
        <f>-IPMT('Interest Rate'!$J$16,'Economist Plan 2'!BF$30,38,'Economist Plan 2'!$W$31)</f>
        <v>9458960.1542199012</v>
      </c>
      <c r="BG33" s="483">
        <f>-IPMT('Interest Rate'!$J$16,'Economist Plan 2'!BG$30,38,'Economist Plan 2'!$W$31)</f>
        <v>6443695.6427098252</v>
      </c>
      <c r="BH33" s="483">
        <f>-IPMT('Interest Rate'!$J$16,'Economist Plan 2'!BH$30,38,'Economist Plan 2'!$W$31)</f>
        <v>3292744.2281817934</v>
      </c>
      <c r="BI33" s="483">
        <f>-IPMT('Interest Rate'!AU16,'Economist Plan 2'!BI30,50,'Economist Plan 2'!BI31)</f>
        <v>0</v>
      </c>
      <c r="BJ33" s="483">
        <v>0</v>
      </c>
      <c r="BK33" s="483">
        <v>0</v>
      </c>
      <c r="BL33" s="483">
        <v>0</v>
      </c>
      <c r="BM33" s="483">
        <v>0</v>
      </c>
      <c r="BN33" s="483">
        <v>0</v>
      </c>
      <c r="BO33" s="483">
        <v>0</v>
      </c>
      <c r="BP33" s="483">
        <v>0</v>
      </c>
      <c r="BQ33" s="483">
        <v>0</v>
      </c>
      <c r="BR33" s="483">
        <v>0</v>
      </c>
      <c r="BS33" s="483">
        <v>0</v>
      </c>
      <c r="BT33" s="483">
        <v>0</v>
      </c>
      <c r="BU33" s="483">
        <v>0</v>
      </c>
      <c r="BV33" s="483">
        <v>0</v>
      </c>
      <c r="BW33" s="483">
        <v>0</v>
      </c>
      <c r="BX33" s="483">
        <v>0</v>
      </c>
      <c r="BY33" s="483">
        <v>0</v>
      </c>
      <c r="BZ33" s="483">
        <v>0</v>
      </c>
      <c r="CA33" s="483">
        <v>0</v>
      </c>
      <c r="CB33" s="483">
        <v>0</v>
      </c>
      <c r="CC33" s="483">
        <v>0</v>
      </c>
      <c r="CD33" s="483">
        <v>0</v>
      </c>
      <c r="CE33" s="483">
        <v>0</v>
      </c>
      <c r="CF33" s="483">
        <v>0</v>
      </c>
      <c r="CG33" s="483">
        <v>0</v>
      </c>
      <c r="CH33" s="483">
        <v>0</v>
      </c>
      <c r="CI33" s="483">
        <v>0</v>
      </c>
      <c r="CJ33" s="483">
        <v>0</v>
      </c>
      <c r="CK33" s="483">
        <v>0</v>
      </c>
      <c r="CL33" s="483">
        <v>0</v>
      </c>
      <c r="CM33" s="483">
        <v>0</v>
      </c>
      <c r="CN33" s="483">
        <v>0</v>
      </c>
      <c r="CO33" s="483">
        <v>0</v>
      </c>
      <c r="CP33" s="483">
        <v>0</v>
      </c>
      <c r="CQ33" s="483">
        <v>0</v>
      </c>
      <c r="CR33" s="483">
        <v>0</v>
      </c>
      <c r="CS33" s="483">
        <v>0</v>
      </c>
      <c r="CT33" s="483">
        <v>0</v>
      </c>
      <c r="CU33" s="483">
        <v>0</v>
      </c>
      <c r="CV33" s="483">
        <v>0</v>
      </c>
      <c r="CW33" s="483">
        <v>0</v>
      </c>
      <c r="CX33" s="483">
        <v>0</v>
      </c>
      <c r="CY33" s="483">
        <v>0</v>
      </c>
    </row>
    <row r="34" spans="1:103" x14ac:dyDescent="0.25">
      <c r="B34" t="s">
        <v>291</v>
      </c>
      <c r="D34" s="484">
        <f>SUM(D32:D33)</f>
        <v>0</v>
      </c>
      <c r="E34" s="484">
        <f>E32</f>
        <v>0</v>
      </c>
      <c r="F34" s="484">
        <f t="shared" ref="F34:BQ34" si="17">F32</f>
        <v>0</v>
      </c>
      <c r="G34" s="484">
        <f t="shared" si="17"/>
        <v>0</v>
      </c>
      <c r="H34" s="484">
        <f t="shared" si="17"/>
        <v>0</v>
      </c>
      <c r="I34" s="484">
        <f t="shared" si="17"/>
        <v>0</v>
      </c>
      <c r="J34" s="484">
        <f t="shared" si="17"/>
        <v>20000000</v>
      </c>
      <c r="K34" s="484">
        <f t="shared" si="17"/>
        <v>20000000</v>
      </c>
      <c r="L34" s="484">
        <f t="shared" si="17"/>
        <v>20000000</v>
      </c>
      <c r="M34" s="484">
        <f t="shared" si="17"/>
        <v>20000000</v>
      </c>
      <c r="N34" s="484">
        <f t="shared" si="17"/>
        <v>20000000</v>
      </c>
      <c r="O34" s="484">
        <f t="shared" si="17"/>
        <v>20000000</v>
      </c>
      <c r="P34" s="484">
        <f t="shared" si="17"/>
        <v>20000000</v>
      </c>
      <c r="Q34" s="484">
        <f t="shared" si="17"/>
        <v>20000000</v>
      </c>
      <c r="R34" s="484">
        <f t="shared" si="17"/>
        <v>20000000</v>
      </c>
      <c r="S34" s="484">
        <f t="shared" si="17"/>
        <v>20000000</v>
      </c>
      <c r="T34" s="484">
        <f t="shared" si="17"/>
        <v>20000000</v>
      </c>
      <c r="U34" s="484">
        <f t="shared" si="17"/>
        <v>20000000</v>
      </c>
      <c r="V34" s="484">
        <f t="shared" si="17"/>
        <v>20000000</v>
      </c>
      <c r="W34" s="484">
        <f>W33+W32</f>
        <v>76464838.187777191</v>
      </c>
      <c r="X34" s="484">
        <f t="shared" ref="X34:BH34" si="18">X33+X32</f>
        <v>76464838.187777191</v>
      </c>
      <c r="Y34" s="484">
        <f t="shared" si="18"/>
        <v>76464838.187777191</v>
      </c>
      <c r="Z34" s="484">
        <f t="shared" si="18"/>
        <v>76464838.187777191</v>
      </c>
      <c r="AA34" s="484">
        <f t="shared" si="18"/>
        <v>76464838.187777191</v>
      </c>
      <c r="AB34" s="484">
        <f t="shared" si="18"/>
        <v>76464838.187777191</v>
      </c>
      <c r="AC34" s="484">
        <f t="shared" si="18"/>
        <v>76464838.187777191</v>
      </c>
      <c r="AD34" s="484">
        <f t="shared" si="18"/>
        <v>76464838.187777191</v>
      </c>
      <c r="AE34" s="484">
        <f t="shared" si="18"/>
        <v>76464838.187777191</v>
      </c>
      <c r="AF34" s="484">
        <f t="shared" si="18"/>
        <v>76464838.187777191</v>
      </c>
      <c r="AG34" s="484">
        <f t="shared" si="18"/>
        <v>76464838.187777191</v>
      </c>
      <c r="AH34" s="484">
        <f t="shared" si="18"/>
        <v>76464838.187777191</v>
      </c>
      <c r="AI34" s="484">
        <f t="shared" si="18"/>
        <v>76464838.187777191</v>
      </c>
      <c r="AJ34" s="484">
        <f t="shared" si="18"/>
        <v>76464838.187777191</v>
      </c>
      <c r="AK34" s="484">
        <f t="shared" si="18"/>
        <v>76464838.187777191</v>
      </c>
      <c r="AL34" s="484">
        <f t="shared" si="18"/>
        <v>76464838.187777191</v>
      </c>
      <c r="AM34" s="484">
        <f t="shared" si="18"/>
        <v>76464838.187777191</v>
      </c>
      <c r="AN34" s="484">
        <f t="shared" si="18"/>
        <v>76464838.187777191</v>
      </c>
      <c r="AO34" s="484">
        <f t="shared" si="18"/>
        <v>76464838.187777191</v>
      </c>
      <c r="AP34" s="484">
        <f t="shared" si="18"/>
        <v>76464838.187777191</v>
      </c>
      <c r="AQ34" s="484">
        <f t="shared" si="18"/>
        <v>76464838.187777191</v>
      </c>
      <c r="AR34" s="484">
        <f t="shared" si="18"/>
        <v>76464838.187777191</v>
      </c>
      <c r="AS34" s="484">
        <f t="shared" si="18"/>
        <v>76464838.187777191</v>
      </c>
      <c r="AT34" s="484">
        <f t="shared" si="18"/>
        <v>76464838.187777191</v>
      </c>
      <c r="AU34" s="484">
        <f t="shared" si="18"/>
        <v>76464838.187777191</v>
      </c>
      <c r="AV34" s="484">
        <f t="shared" si="18"/>
        <v>76464838.187777191</v>
      </c>
      <c r="AW34" s="484">
        <f t="shared" si="18"/>
        <v>76464838.187777191</v>
      </c>
      <c r="AX34" s="484">
        <f t="shared" si="18"/>
        <v>76464838.187777191</v>
      </c>
      <c r="AY34" s="484">
        <f t="shared" si="18"/>
        <v>76464838.187777191</v>
      </c>
      <c r="AZ34" s="484">
        <f t="shared" si="18"/>
        <v>76464838.187777206</v>
      </c>
      <c r="BA34" s="484">
        <f t="shared" si="18"/>
        <v>76464838.187777191</v>
      </c>
      <c r="BB34" s="484">
        <f t="shared" si="18"/>
        <v>76464838.187777191</v>
      </c>
      <c r="BC34" s="484">
        <f t="shared" si="18"/>
        <v>76464838.187777191</v>
      </c>
      <c r="BD34" s="484">
        <f t="shared" si="18"/>
        <v>76464838.187777206</v>
      </c>
      <c r="BE34" s="484">
        <f t="shared" si="18"/>
        <v>76464838.187777191</v>
      </c>
      <c r="BF34" s="484">
        <f t="shared" si="18"/>
        <v>76464838.187777191</v>
      </c>
      <c r="BG34" s="484">
        <f t="shared" si="18"/>
        <v>76464838.187777191</v>
      </c>
      <c r="BH34" s="484">
        <f t="shared" si="18"/>
        <v>76464838.187777191</v>
      </c>
      <c r="BI34" s="484">
        <f t="shared" si="17"/>
        <v>0</v>
      </c>
      <c r="BJ34" s="484">
        <f t="shared" si="17"/>
        <v>0</v>
      </c>
      <c r="BK34" s="484">
        <f t="shared" si="17"/>
        <v>0</v>
      </c>
      <c r="BL34" s="484">
        <f t="shared" si="17"/>
        <v>0</v>
      </c>
      <c r="BM34" s="484">
        <f t="shared" si="17"/>
        <v>0</v>
      </c>
      <c r="BN34" s="484">
        <f t="shared" si="17"/>
        <v>0</v>
      </c>
      <c r="BO34" s="484">
        <f t="shared" si="17"/>
        <v>0</v>
      </c>
      <c r="BP34" s="484">
        <f t="shared" si="17"/>
        <v>0</v>
      </c>
      <c r="BQ34" s="484">
        <f t="shared" si="17"/>
        <v>0</v>
      </c>
      <c r="BR34" s="484">
        <f t="shared" ref="BR34:CY34" si="19">BR32</f>
        <v>0</v>
      </c>
      <c r="BS34" s="484">
        <f t="shared" si="19"/>
        <v>0</v>
      </c>
      <c r="BT34" s="484">
        <f t="shared" si="19"/>
        <v>0</v>
      </c>
      <c r="BU34" s="484">
        <f t="shared" si="19"/>
        <v>0</v>
      </c>
      <c r="BV34" s="484">
        <f t="shared" si="19"/>
        <v>0</v>
      </c>
      <c r="BW34" s="484">
        <f t="shared" si="19"/>
        <v>0</v>
      </c>
      <c r="BX34" s="484">
        <f t="shared" si="19"/>
        <v>0</v>
      </c>
      <c r="BY34" s="484">
        <f t="shared" si="19"/>
        <v>0</v>
      </c>
      <c r="BZ34" s="484">
        <f t="shared" si="19"/>
        <v>0</v>
      </c>
      <c r="CA34" s="484">
        <f t="shared" si="19"/>
        <v>0</v>
      </c>
      <c r="CB34" s="484">
        <f t="shared" si="19"/>
        <v>0</v>
      </c>
      <c r="CC34" s="484">
        <f t="shared" si="19"/>
        <v>0</v>
      </c>
      <c r="CD34" s="484">
        <f t="shared" si="19"/>
        <v>0</v>
      </c>
      <c r="CE34" s="484">
        <f t="shared" si="19"/>
        <v>0</v>
      </c>
      <c r="CF34" s="484">
        <f t="shared" si="19"/>
        <v>0</v>
      </c>
      <c r="CG34" s="484">
        <f t="shared" si="19"/>
        <v>0</v>
      </c>
      <c r="CH34" s="484">
        <f t="shared" si="19"/>
        <v>0</v>
      </c>
      <c r="CI34" s="484">
        <f t="shared" si="19"/>
        <v>0</v>
      </c>
      <c r="CJ34" s="484">
        <f t="shared" si="19"/>
        <v>0</v>
      </c>
      <c r="CK34" s="484">
        <f t="shared" si="19"/>
        <v>0</v>
      </c>
      <c r="CL34" s="484">
        <f t="shared" si="19"/>
        <v>0</v>
      </c>
      <c r="CM34" s="484">
        <f t="shared" si="19"/>
        <v>0</v>
      </c>
      <c r="CN34" s="484">
        <f t="shared" si="19"/>
        <v>0</v>
      </c>
      <c r="CO34" s="484">
        <f t="shared" si="19"/>
        <v>0</v>
      </c>
      <c r="CP34" s="484">
        <f t="shared" si="19"/>
        <v>0</v>
      </c>
      <c r="CQ34" s="484">
        <f t="shared" si="19"/>
        <v>0</v>
      </c>
      <c r="CR34" s="484">
        <f t="shared" si="19"/>
        <v>0</v>
      </c>
      <c r="CS34" s="484">
        <f t="shared" si="19"/>
        <v>0</v>
      </c>
      <c r="CT34" s="484">
        <f t="shared" si="19"/>
        <v>0</v>
      </c>
      <c r="CU34" s="484">
        <f t="shared" si="19"/>
        <v>0</v>
      </c>
      <c r="CV34" s="484">
        <f t="shared" si="19"/>
        <v>0</v>
      </c>
      <c r="CW34" s="484">
        <f t="shared" si="19"/>
        <v>0</v>
      </c>
      <c r="CX34" s="484">
        <f t="shared" si="19"/>
        <v>0</v>
      </c>
      <c r="CY34" s="484">
        <f t="shared" si="19"/>
        <v>0</v>
      </c>
    </row>
    <row r="35" spans="1:103" x14ac:dyDescent="0.25">
      <c r="B35" t="s">
        <v>542</v>
      </c>
      <c r="D35" s="477">
        <f t="shared" ref="D35:V35" si="20">D31-D32+D33</f>
        <v>0</v>
      </c>
      <c r="E35" s="477">
        <f t="shared" si="20"/>
        <v>131670000</v>
      </c>
      <c r="F35" s="477">
        <f t="shared" si="20"/>
        <v>137595150</v>
      </c>
      <c r="G35" s="477">
        <f t="shared" si="20"/>
        <v>533571931.75</v>
      </c>
      <c r="H35" s="477">
        <f t="shared" si="20"/>
        <v>557582668.67875004</v>
      </c>
      <c r="I35" s="477">
        <f t="shared" si="20"/>
        <v>972458888.76929379</v>
      </c>
      <c r="J35" s="477">
        <f t="shared" si="20"/>
        <v>996219538.76391196</v>
      </c>
      <c r="K35" s="477">
        <f t="shared" si="20"/>
        <v>1021049418.008288</v>
      </c>
      <c r="L35" s="477">
        <f t="shared" si="20"/>
        <v>1046996641.818661</v>
      </c>
      <c r="M35" s="477">
        <f t="shared" si="20"/>
        <v>1074111490.7005007</v>
      </c>
      <c r="N35" s="477">
        <f t="shared" si="20"/>
        <v>1102446507.7820232</v>
      </c>
      <c r="O35" s="477">
        <f t="shared" si="20"/>
        <v>1132056600.6322143</v>
      </c>
      <c r="P35" s="477">
        <f t="shared" si="20"/>
        <v>1162999147.6606638</v>
      </c>
      <c r="Q35" s="477">
        <f t="shared" si="20"/>
        <v>1195334109.3053937</v>
      </c>
      <c r="R35" s="477">
        <f t="shared" si="20"/>
        <v>1229124144.2241364</v>
      </c>
      <c r="S35" s="477">
        <f t="shared" si="20"/>
        <v>1264434730.7142224</v>
      </c>
      <c r="T35" s="477">
        <f t="shared" si="20"/>
        <v>1301334293.5963624</v>
      </c>
      <c r="U35" s="477">
        <f t="shared" si="20"/>
        <v>1339894336.8081987</v>
      </c>
      <c r="V35" s="477">
        <f t="shared" si="20"/>
        <v>1380189581.9645677</v>
      </c>
      <c r="W35" s="477">
        <f t="shared" ref="W35" si="21">W31-W32</f>
        <v>1365833274.9651959</v>
      </c>
      <c r="X35" s="477">
        <f t="shared" ref="X35:BH35" si="22">X31-X32</f>
        <v>1350830934.1508524</v>
      </c>
      <c r="Y35" s="477">
        <f t="shared" si="22"/>
        <v>1335153487.9998636</v>
      </c>
      <c r="Z35" s="477">
        <f t="shared" si="22"/>
        <v>1318770556.7720802</v>
      </c>
      <c r="AA35" s="477">
        <f t="shared" si="22"/>
        <v>1301650393.6390467</v>
      </c>
      <c r="AB35" s="477">
        <f t="shared" si="22"/>
        <v>1283759823.1650267</v>
      </c>
      <c r="AC35" s="477">
        <f t="shared" si="22"/>
        <v>1265064177.0196757</v>
      </c>
      <c r="AD35" s="477">
        <f t="shared" si="22"/>
        <v>1245527226.7977839</v>
      </c>
      <c r="AE35" s="477">
        <f t="shared" si="22"/>
        <v>1225111113.815907</v>
      </c>
      <c r="AF35" s="477">
        <f t="shared" si="22"/>
        <v>1203776275.7498457</v>
      </c>
      <c r="AG35" s="477">
        <f t="shared" si="22"/>
        <v>1181481369.9708116</v>
      </c>
      <c r="AH35" s="477">
        <f t="shared" si="22"/>
        <v>1158183193.431721</v>
      </c>
      <c r="AI35" s="477">
        <f t="shared" si="22"/>
        <v>1133836598.9483712</v>
      </c>
      <c r="AJ35" s="477">
        <f t="shared" si="22"/>
        <v>1108394407.7132707</v>
      </c>
      <c r="AK35" s="477">
        <f t="shared" si="22"/>
        <v>1081807317.8725905</v>
      </c>
      <c r="AL35" s="477">
        <f t="shared" si="22"/>
        <v>1054023808.98908</v>
      </c>
      <c r="AM35" s="477">
        <f t="shared" si="22"/>
        <v>1024990042.2058114</v>
      </c>
      <c r="AN35" s="477">
        <f t="shared" si="22"/>
        <v>994649755.91729569</v>
      </c>
      <c r="AO35" s="477">
        <f t="shared" si="22"/>
        <v>962944156.7457968</v>
      </c>
      <c r="AP35" s="477">
        <f t="shared" si="22"/>
        <v>929811805.61158049</v>
      </c>
      <c r="AQ35" s="477">
        <f t="shared" si="22"/>
        <v>895188498.67632437</v>
      </c>
      <c r="AR35" s="477">
        <f t="shared" si="22"/>
        <v>859007142.92898178</v>
      </c>
      <c r="AS35" s="477">
        <f t="shared" si="22"/>
        <v>821197626.1730088</v>
      </c>
      <c r="AT35" s="477">
        <f t="shared" si="22"/>
        <v>781686681.16301703</v>
      </c>
      <c r="AU35" s="477">
        <f t="shared" si="22"/>
        <v>740397743.62757564</v>
      </c>
      <c r="AV35" s="477">
        <f t="shared" si="22"/>
        <v>697250803.90303934</v>
      </c>
      <c r="AW35" s="477">
        <f t="shared" si="22"/>
        <v>652162251.89089894</v>
      </c>
      <c r="AX35" s="477">
        <f t="shared" si="22"/>
        <v>605044715.03821218</v>
      </c>
      <c r="AY35" s="477">
        <f t="shared" si="22"/>
        <v>555806889.02715456</v>
      </c>
      <c r="AZ35" s="477">
        <f t="shared" si="22"/>
        <v>504353360.84559929</v>
      </c>
      <c r="BA35" s="477">
        <f t="shared" si="22"/>
        <v>450584423.89587408</v>
      </c>
      <c r="BB35" s="477">
        <f t="shared" si="22"/>
        <v>394395884.7834112</v>
      </c>
      <c r="BC35" s="477">
        <f t="shared" si="22"/>
        <v>335678861.41088754</v>
      </c>
      <c r="BD35" s="477">
        <f t="shared" si="22"/>
        <v>274319571.98660028</v>
      </c>
      <c r="BE35" s="477">
        <f t="shared" si="22"/>
        <v>210199114.53822011</v>
      </c>
      <c r="BF35" s="477">
        <f t="shared" si="22"/>
        <v>143193236.50466281</v>
      </c>
      <c r="BG35" s="477">
        <f t="shared" si="22"/>
        <v>73172093.959595442</v>
      </c>
      <c r="BH35" s="477">
        <f t="shared" si="22"/>
        <v>0</v>
      </c>
      <c r="BI35" s="477">
        <f t="shared" ref="BI35" si="23">BI31-BI32</f>
        <v>0</v>
      </c>
      <c r="BJ35" s="477">
        <f t="shared" ref="BJ35:CY35" si="24">BJ31-BJ32</f>
        <v>0</v>
      </c>
      <c r="BK35" s="477">
        <f t="shared" si="24"/>
        <v>0</v>
      </c>
      <c r="BL35" s="477">
        <f t="shared" si="24"/>
        <v>0</v>
      </c>
      <c r="BM35" s="477">
        <f t="shared" si="24"/>
        <v>0</v>
      </c>
      <c r="BN35" s="477">
        <f t="shared" si="24"/>
        <v>0</v>
      </c>
      <c r="BO35" s="477">
        <f t="shared" si="24"/>
        <v>0</v>
      </c>
      <c r="BP35" s="477">
        <f t="shared" si="24"/>
        <v>0</v>
      </c>
      <c r="BQ35" s="477">
        <f t="shared" si="24"/>
        <v>0</v>
      </c>
      <c r="BR35" s="477">
        <f t="shared" si="24"/>
        <v>0</v>
      </c>
      <c r="BS35" s="477">
        <f t="shared" si="24"/>
        <v>0</v>
      </c>
      <c r="BT35" s="477">
        <f t="shared" si="24"/>
        <v>0</v>
      </c>
      <c r="BU35" s="477">
        <f t="shared" si="24"/>
        <v>0</v>
      </c>
      <c r="BV35" s="477">
        <f t="shared" si="24"/>
        <v>0</v>
      </c>
      <c r="BW35" s="477">
        <f t="shared" si="24"/>
        <v>0</v>
      </c>
      <c r="BX35" s="477">
        <f t="shared" si="24"/>
        <v>0</v>
      </c>
      <c r="BY35" s="477">
        <f t="shared" si="24"/>
        <v>0</v>
      </c>
      <c r="BZ35" s="477">
        <f t="shared" si="24"/>
        <v>0</v>
      </c>
      <c r="CA35" s="477">
        <f t="shared" si="24"/>
        <v>0</v>
      </c>
      <c r="CB35" s="477">
        <f t="shared" si="24"/>
        <v>0</v>
      </c>
      <c r="CC35" s="477">
        <f t="shared" si="24"/>
        <v>0</v>
      </c>
      <c r="CD35" s="477">
        <f t="shared" si="24"/>
        <v>0</v>
      </c>
      <c r="CE35" s="477">
        <f t="shared" si="24"/>
        <v>0</v>
      </c>
      <c r="CF35" s="477">
        <f t="shared" si="24"/>
        <v>0</v>
      </c>
      <c r="CG35" s="477">
        <f t="shared" si="24"/>
        <v>0</v>
      </c>
      <c r="CH35" s="477">
        <f t="shared" si="24"/>
        <v>0</v>
      </c>
      <c r="CI35" s="477">
        <f t="shared" si="24"/>
        <v>0</v>
      </c>
      <c r="CJ35" s="477">
        <f t="shared" si="24"/>
        <v>0</v>
      </c>
      <c r="CK35" s="477">
        <f t="shared" si="24"/>
        <v>0</v>
      </c>
      <c r="CL35" s="477">
        <f t="shared" si="24"/>
        <v>0</v>
      </c>
      <c r="CM35" s="477">
        <f t="shared" si="24"/>
        <v>0</v>
      </c>
      <c r="CN35" s="477">
        <f t="shared" si="24"/>
        <v>0</v>
      </c>
      <c r="CO35" s="477">
        <f t="shared" si="24"/>
        <v>0</v>
      </c>
      <c r="CP35" s="477">
        <f t="shared" si="24"/>
        <v>0</v>
      </c>
      <c r="CQ35" s="477">
        <f t="shared" si="24"/>
        <v>0</v>
      </c>
      <c r="CR35" s="477">
        <f t="shared" si="24"/>
        <v>0</v>
      </c>
      <c r="CS35" s="477">
        <f t="shared" si="24"/>
        <v>0</v>
      </c>
      <c r="CT35" s="477">
        <f t="shared" si="24"/>
        <v>0</v>
      </c>
      <c r="CU35" s="477">
        <f t="shared" si="24"/>
        <v>0</v>
      </c>
      <c r="CV35" s="477">
        <f t="shared" si="24"/>
        <v>0</v>
      </c>
      <c r="CW35" s="477">
        <f t="shared" si="24"/>
        <v>0</v>
      </c>
      <c r="CX35" s="477">
        <f t="shared" si="24"/>
        <v>0</v>
      </c>
      <c r="CY35" s="477">
        <f t="shared" si="24"/>
        <v>0</v>
      </c>
    </row>
    <row r="36" spans="1:103" x14ac:dyDescent="0.25">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77"/>
      <c r="BM36" s="477"/>
      <c r="BN36" s="477"/>
      <c r="BO36" s="477"/>
      <c r="BP36" s="477"/>
      <c r="BQ36" s="477"/>
      <c r="BR36" s="477"/>
      <c r="BS36" s="477"/>
      <c r="BT36" s="477"/>
      <c r="BU36" s="477"/>
      <c r="BV36" s="477"/>
      <c r="BW36" s="477"/>
      <c r="BX36" s="477"/>
      <c r="BY36" s="477"/>
      <c r="BZ36" s="477"/>
      <c r="CA36" s="477"/>
      <c r="CB36" s="477"/>
      <c r="CC36" s="477"/>
      <c r="CD36" s="477"/>
      <c r="CE36" s="477"/>
      <c r="CF36" s="477"/>
      <c r="CG36" s="477"/>
      <c r="CH36" s="477"/>
      <c r="CI36" s="477"/>
      <c r="CJ36" s="477"/>
      <c r="CK36" s="477"/>
      <c r="CL36" s="477"/>
      <c r="CM36" s="477"/>
      <c r="CN36" s="477"/>
      <c r="CO36" s="477"/>
      <c r="CP36" s="477"/>
      <c r="CQ36" s="477"/>
      <c r="CR36" s="477"/>
      <c r="CS36" s="477"/>
      <c r="CT36" s="477"/>
      <c r="CU36" s="477"/>
      <c r="CV36" s="477"/>
      <c r="CW36" s="477"/>
      <c r="CX36" s="477"/>
      <c r="CY36" s="477"/>
    </row>
    <row r="37" spans="1:103" ht="15.75" thickBot="1" x14ac:dyDescent="0.3">
      <c r="A37" s="472" t="s">
        <v>278</v>
      </c>
      <c r="D37" s="477"/>
    </row>
    <row r="38" spans="1:103" x14ac:dyDescent="0.25">
      <c r="A38" s="472"/>
      <c r="B38" t="s">
        <v>283</v>
      </c>
      <c r="D38" s="593">
        <f>D34/(D10*1000000)*1000</f>
        <v>0</v>
      </c>
      <c r="E38" s="594">
        <f t="shared" ref="E38:BH38" si="25">E34/(E10*1000000)*1000</f>
        <v>0</v>
      </c>
      <c r="F38" s="594">
        <f t="shared" si="25"/>
        <v>0</v>
      </c>
      <c r="G38" s="594">
        <f t="shared" si="25"/>
        <v>0</v>
      </c>
      <c r="H38" s="594">
        <f t="shared" si="25"/>
        <v>0</v>
      </c>
      <c r="I38" s="594">
        <f t="shared" si="25"/>
        <v>0</v>
      </c>
      <c r="J38" s="594">
        <f t="shared" si="25"/>
        <v>1.1739575331454071</v>
      </c>
      <c r="K38" s="594">
        <f t="shared" si="25"/>
        <v>1.1536279078175795</v>
      </c>
      <c r="L38" s="594">
        <f t="shared" si="25"/>
        <v>1.1337798808041668</v>
      </c>
      <c r="M38" s="594">
        <f t="shared" si="25"/>
        <v>1.1144034358495949</v>
      </c>
      <c r="N38" s="594">
        <f t="shared" si="25"/>
        <v>1.0954888369919695</v>
      </c>
      <c r="O38" s="594">
        <f t="shared" si="25"/>
        <v>1.0770266239617197</v>
      </c>
      <c r="P38" s="594">
        <f t="shared" si="25"/>
        <v>1.0498064548456407</v>
      </c>
      <c r="Q38" s="594">
        <f t="shared" si="25"/>
        <v>1.023280660676769</v>
      </c>
      <c r="R38" s="594">
        <f t="shared" si="25"/>
        <v>0.99743139895681898</v>
      </c>
      <c r="S38" s="594">
        <f t="shared" si="25"/>
        <v>0.97224128839650059</v>
      </c>
      <c r="T38" s="594">
        <f t="shared" si="25"/>
        <v>0.94769339693424537</v>
      </c>
      <c r="U38" s="594">
        <f t="shared" si="25"/>
        <v>0.92377123006750983</v>
      </c>
      <c r="V38" s="594">
        <f t="shared" si="25"/>
        <v>0.90045871948846878</v>
      </c>
      <c r="W38" s="487">
        <f>W34/(W10*1000000)*1000</f>
        <v>3.3558131641359421</v>
      </c>
      <c r="X38" s="594">
        <f t="shared" si="25"/>
        <v>3.2711675318419653</v>
      </c>
      <c r="Y38" s="594">
        <f t="shared" si="25"/>
        <v>3.1886778229440651</v>
      </c>
      <c r="Z38" s="594">
        <f t="shared" si="25"/>
        <v>3.108288709936939</v>
      </c>
      <c r="AA38" s="594">
        <f t="shared" si="25"/>
        <v>3.0299462939358919</v>
      </c>
      <c r="AB38" s="594">
        <f t="shared" si="25"/>
        <v>2.9535980675983216</v>
      </c>
      <c r="AC38" s="594">
        <f t="shared" si="25"/>
        <v>2.8791928790117667</v>
      </c>
      <c r="AD38" s="594">
        <f t="shared" si="25"/>
        <v>2.8066808965232233</v>
      </c>
      <c r="AE38" s="594">
        <f t="shared" si="25"/>
        <v>2.7360135744850949</v>
      </c>
      <c r="AF38" s="594">
        <f t="shared" si="25"/>
        <v>2.6671436198938001</v>
      </c>
      <c r="AG38" s="594">
        <f t="shared" si="25"/>
        <v>2.6000249598976946</v>
      </c>
      <c r="AH38" s="594">
        <f t="shared" si="25"/>
        <v>2.5346127101515452</v>
      </c>
      <c r="AI38" s="594">
        <f t="shared" si="25"/>
        <v>2.4708631439954427</v>
      </c>
      <c r="AJ38" s="594">
        <f t="shared" si="25"/>
        <v>2.4087336624365689</v>
      </c>
      <c r="AK38" s="594">
        <f t="shared" si="25"/>
        <v>2.3481827649128406</v>
      </c>
      <c r="AL38" s="594">
        <f t="shared" si="25"/>
        <v>2.2891700208179704</v>
      </c>
      <c r="AM38" s="594">
        <f t="shared" si="25"/>
        <v>2.231656041768054</v>
      </c>
      <c r="AN38" s="594">
        <f t="shared" si="25"/>
        <v>2.1756024545902797</v>
      </c>
      <c r="AO38" s="594">
        <f t="shared" si="25"/>
        <v>2.1153159500148564</v>
      </c>
      <c r="AP38" s="594">
        <f t="shared" si="25"/>
        <v>2.0567000000144446</v>
      </c>
      <c r="AQ38" s="594">
        <f t="shared" si="25"/>
        <v>1.9997083130913413</v>
      </c>
      <c r="AR38" s="594">
        <f t="shared" si="25"/>
        <v>1.9442958804971719</v>
      </c>
      <c r="AS38" s="594">
        <f t="shared" si="25"/>
        <v>1.890418940687576</v>
      </c>
      <c r="AT38" s="594">
        <f t="shared" si="25"/>
        <v>1.8380349447618629</v>
      </c>
      <c r="AU38" s="594">
        <f t="shared" si="25"/>
        <v>1.7871025228603432</v>
      </c>
      <c r="AV38" s="594">
        <f t="shared" si="25"/>
        <v>1.7375814514927985</v>
      </c>
      <c r="AW38" s="594">
        <f t="shared" si="25"/>
        <v>1.6894326217722881</v>
      </c>
      <c r="AX38" s="594">
        <f t="shared" si="25"/>
        <v>1.6426180085292059</v>
      </c>
      <c r="AY38" s="594">
        <f t="shared" si="25"/>
        <v>1.5971006402811923</v>
      </c>
      <c r="AZ38" s="594">
        <f t="shared" si="25"/>
        <v>1.5528445700351896</v>
      </c>
      <c r="BA38" s="595">
        <f t="shared" si="25"/>
        <v>1.5098148468985799</v>
      </c>
      <c r="BB38" s="478">
        <f t="shared" si="25"/>
        <v>1.4679774884769856</v>
      </c>
      <c r="BC38" s="478">
        <f t="shared" si="25"/>
        <v>1.427299454036933</v>
      </c>
      <c r="BD38" s="478">
        <f t="shared" si="25"/>
        <v>1.3877486184121859</v>
      </c>
      <c r="BE38" s="478">
        <f t="shared" si="25"/>
        <v>1.3492937466331414</v>
      </c>
      <c r="BF38" s="478">
        <f t="shared" si="25"/>
        <v>1.3119044692592527</v>
      </c>
      <c r="BG38" s="478">
        <f t="shared" si="25"/>
        <v>1.2755512583949955</v>
      </c>
      <c r="BH38" s="478">
        <f t="shared" si="25"/>
        <v>1.240205404370438</v>
      </c>
    </row>
    <row r="39" spans="1:103" x14ac:dyDescent="0.25">
      <c r="B39" t="s">
        <v>279</v>
      </c>
      <c r="D39" s="596">
        <f>D34/D7</f>
        <v>0</v>
      </c>
      <c r="E39" s="597">
        <f t="shared" ref="E39:BH39" si="26">E34/E7</f>
        <v>0</v>
      </c>
      <c r="F39" s="597">
        <f t="shared" si="26"/>
        <v>0</v>
      </c>
      <c r="G39" s="597">
        <f t="shared" si="26"/>
        <v>0</v>
      </c>
      <c r="H39" s="597">
        <f t="shared" si="26"/>
        <v>0</v>
      </c>
      <c r="I39" s="597">
        <f t="shared" si="26"/>
        <v>0</v>
      </c>
      <c r="J39" s="597">
        <f t="shared" si="26"/>
        <v>108.58054706786852</v>
      </c>
      <c r="K39" s="597">
        <f t="shared" si="26"/>
        <v>105.57175213210358</v>
      </c>
      <c r="L39" s="597">
        <f t="shared" si="26"/>
        <v>102.64633167924509</v>
      </c>
      <c r="M39" s="597">
        <f t="shared" si="26"/>
        <v>99.801975380889743</v>
      </c>
      <c r="N39" s="597">
        <f t="shared" si="26"/>
        <v>97.036436928429509</v>
      </c>
      <c r="O39" s="597">
        <f t="shared" si="26"/>
        <v>94.347532259046687</v>
      </c>
      <c r="P39" s="597">
        <f t="shared" si="26"/>
        <v>91.73313783086698</v>
      </c>
      <c r="Q39" s="597">
        <f t="shared" si="26"/>
        <v>89.191188945908578</v>
      </c>
      <c r="R39" s="597">
        <f t="shared" si="26"/>
        <v>86.71967811950276</v>
      </c>
      <c r="S39" s="597">
        <f t="shared" si="26"/>
        <v>84.316653494898162</v>
      </c>
      <c r="T39" s="597">
        <f t="shared" si="26"/>
        <v>81.980217301796941</v>
      </c>
      <c r="U39" s="597">
        <f t="shared" si="26"/>
        <v>79.708524357605199</v>
      </c>
      <c r="V39" s="597">
        <f t="shared" si="26"/>
        <v>77.499780610214103</v>
      </c>
      <c r="W39" s="488">
        <f>W34/W7</f>
        <v>288.08984851474258</v>
      </c>
      <c r="X39" s="597">
        <f t="shared" si="26"/>
        <v>280.10680458409587</v>
      </c>
      <c r="Y39" s="597">
        <f t="shared" si="26"/>
        <v>272.34497285765281</v>
      </c>
      <c r="Z39" s="597">
        <f t="shared" si="26"/>
        <v>264.79822348823797</v>
      </c>
      <c r="AA39" s="597">
        <f t="shared" si="26"/>
        <v>257.46059648832085</v>
      </c>
      <c r="AB39" s="597">
        <f t="shared" si="26"/>
        <v>250.32629702316075</v>
      </c>
      <c r="AC39" s="597">
        <f t="shared" si="26"/>
        <v>243.38969083438093</v>
      </c>
      <c r="AD39" s="597">
        <f t="shared" si="26"/>
        <v>236.64529979035578</v>
      </c>
      <c r="AE39" s="597">
        <f t="shared" si="26"/>
        <v>230.08779755989869</v>
      </c>
      <c r="AF39" s="597">
        <f t="shared" si="26"/>
        <v>223.71200540583249</v>
      </c>
      <c r="AG39" s="597">
        <f t="shared" si="26"/>
        <v>217.51288809512153</v>
      </c>
      <c r="AH39" s="597">
        <f t="shared" si="26"/>
        <v>211.485549922335</v>
      </c>
      <c r="AI39" s="597">
        <f t="shared" si="26"/>
        <v>205.6252308433009</v>
      </c>
      <c r="AJ39" s="597">
        <f t="shared" si="26"/>
        <v>199.92730271589784</v>
      </c>
      <c r="AK39" s="597">
        <f t="shared" si="26"/>
        <v>194.38726564501493</v>
      </c>
      <c r="AL39" s="597">
        <f t="shared" si="26"/>
        <v>189.00074442879429</v>
      </c>
      <c r="AM39" s="597">
        <f t="shared" si="26"/>
        <v>183.76348510334887</v>
      </c>
      <c r="AN39" s="597">
        <f t="shared" si="26"/>
        <v>178.67135158322691</v>
      </c>
      <c r="AO39" s="597">
        <f t="shared" si="26"/>
        <v>173.72032239497025</v>
      </c>
      <c r="AP39" s="597">
        <f t="shared" si="26"/>
        <v>168.90648750118646</v>
      </c>
      <c r="AQ39" s="597">
        <f t="shared" si="26"/>
        <v>164.22604521262659</v>
      </c>
      <c r="AR39" s="597">
        <f t="shared" si="26"/>
        <v>159.67529918583043</v>
      </c>
      <c r="AS39" s="597">
        <f t="shared" si="26"/>
        <v>155.25065550396735</v>
      </c>
      <c r="AT39" s="597">
        <f t="shared" si="26"/>
        <v>150.94861983856816</v>
      </c>
      <c r="AU39" s="597">
        <f t="shared" si="26"/>
        <v>146.76579468990585</v>
      </c>
      <c r="AV39" s="597">
        <f t="shared" si="26"/>
        <v>142.69887670384625</v>
      </c>
      <c r="AW39" s="597">
        <f t="shared" si="26"/>
        <v>138.74465406304932</v>
      </c>
      <c r="AX39" s="597">
        <f t="shared" si="26"/>
        <v>134.90000395046121</v>
      </c>
      <c r="AY39" s="597">
        <f t="shared" si="26"/>
        <v>131.16189008309306</v>
      </c>
      <c r="AZ39" s="597">
        <f t="shared" si="26"/>
        <v>127.52736031414008</v>
      </c>
      <c r="BA39" s="598">
        <f t="shared" si="26"/>
        <v>123.99354430154601</v>
      </c>
      <c r="BB39" s="479">
        <f t="shared" si="26"/>
        <v>120.55765124117259</v>
      </c>
      <c r="BC39" s="479">
        <f t="shared" si="26"/>
        <v>117.21696766278326</v>
      </c>
      <c r="BD39" s="479">
        <f t="shared" si="26"/>
        <v>113.96885528710091</v>
      </c>
      <c r="BE39" s="479">
        <f t="shared" si="26"/>
        <v>110.81074894224686</v>
      </c>
      <c r="BF39" s="479">
        <f t="shared" si="26"/>
        <v>107.74015453791625</v>
      </c>
      <c r="BG39" s="479">
        <f t="shared" si="26"/>
        <v>104.75464709568912</v>
      </c>
      <c r="BH39" s="479">
        <f t="shared" si="26"/>
        <v>101.85186883392235</v>
      </c>
    </row>
    <row r="40" spans="1:103" x14ac:dyDescent="0.25">
      <c r="B40" t="s">
        <v>280</v>
      </c>
      <c r="D40" s="596">
        <f>D39/12*2.8</f>
        <v>0</v>
      </c>
      <c r="E40" s="597">
        <f t="shared" ref="E40:BH40" si="27">E39/12*2.8</f>
        <v>0</v>
      </c>
      <c r="F40" s="597">
        <f t="shared" si="27"/>
        <v>0</v>
      </c>
      <c r="G40" s="597">
        <f t="shared" si="27"/>
        <v>0</v>
      </c>
      <c r="H40" s="597">
        <f t="shared" si="27"/>
        <v>0</v>
      </c>
      <c r="I40" s="597">
        <f t="shared" si="27"/>
        <v>0</v>
      </c>
      <c r="J40" s="597">
        <f t="shared" si="27"/>
        <v>25.335460982502653</v>
      </c>
      <c r="K40" s="597">
        <f t="shared" si="27"/>
        <v>24.63340883082417</v>
      </c>
      <c r="L40" s="597">
        <f t="shared" si="27"/>
        <v>23.950810725157186</v>
      </c>
      <c r="M40" s="597">
        <f t="shared" si="27"/>
        <v>23.287127588874274</v>
      </c>
      <c r="N40" s="597">
        <f t="shared" si="27"/>
        <v>22.641835283300217</v>
      </c>
      <c r="O40" s="597">
        <f t="shared" si="27"/>
        <v>22.014424193777558</v>
      </c>
      <c r="P40" s="597">
        <f t="shared" si="27"/>
        <v>21.404398827202296</v>
      </c>
      <c r="Q40" s="597">
        <f t="shared" si="27"/>
        <v>20.811277420711999</v>
      </c>
      <c r="R40" s="597">
        <f t="shared" si="27"/>
        <v>20.234591561217307</v>
      </c>
      <c r="S40" s="597">
        <f t="shared" si="27"/>
        <v>19.673885815476236</v>
      </c>
      <c r="T40" s="597">
        <f t="shared" si="27"/>
        <v>19.128717370419285</v>
      </c>
      <c r="U40" s="597">
        <f t="shared" si="27"/>
        <v>18.598655683441212</v>
      </c>
      <c r="V40" s="597">
        <f t="shared" si="27"/>
        <v>18.08328214238329</v>
      </c>
      <c r="W40" s="488">
        <f>W39/12*2.8</f>
        <v>67.220964653439935</v>
      </c>
      <c r="X40" s="597">
        <f t="shared" si="27"/>
        <v>65.358254402955694</v>
      </c>
      <c r="Y40" s="597">
        <f t="shared" si="27"/>
        <v>63.547160333452311</v>
      </c>
      <c r="Z40" s="597">
        <f t="shared" si="27"/>
        <v>61.786252147255524</v>
      </c>
      <c r="AA40" s="597">
        <f t="shared" si="27"/>
        <v>60.074139180608199</v>
      </c>
      <c r="AB40" s="597">
        <f t="shared" si="27"/>
        <v>58.409469305404166</v>
      </c>
      <c r="AC40" s="597">
        <f t="shared" si="27"/>
        <v>56.790927861355549</v>
      </c>
      <c r="AD40" s="597">
        <f t="shared" si="27"/>
        <v>55.217236617749677</v>
      </c>
      <c r="AE40" s="597">
        <f t="shared" si="27"/>
        <v>53.687152763976364</v>
      </c>
      <c r="AF40" s="597">
        <f t="shared" si="27"/>
        <v>52.19946792802758</v>
      </c>
      <c r="AG40" s="597">
        <f t="shared" si="27"/>
        <v>50.753007222195016</v>
      </c>
      <c r="AH40" s="597">
        <f>AH39/12*2.8</f>
        <v>49.346628315211497</v>
      </c>
      <c r="AI40" s="597">
        <f t="shared" si="27"/>
        <v>47.979220530103539</v>
      </c>
      <c r="AJ40" s="597">
        <f t="shared" si="27"/>
        <v>46.649703967042832</v>
      </c>
      <c r="AK40" s="597">
        <f t="shared" si="27"/>
        <v>45.35702865050348</v>
      </c>
      <c r="AL40" s="597">
        <f t="shared" si="27"/>
        <v>44.100173700052004</v>
      </c>
      <c r="AM40" s="597">
        <f t="shared" si="27"/>
        <v>42.878146524114733</v>
      </c>
      <c r="AN40" s="597">
        <f t="shared" si="27"/>
        <v>41.689982036086278</v>
      </c>
      <c r="AO40" s="597">
        <f t="shared" si="27"/>
        <v>40.534741892159722</v>
      </c>
      <c r="AP40" s="597">
        <f t="shared" si="27"/>
        <v>39.411513750276839</v>
      </c>
      <c r="AQ40" s="597">
        <f t="shared" si="27"/>
        <v>38.319410549612869</v>
      </c>
      <c r="AR40" s="597">
        <f t="shared" si="27"/>
        <v>37.257569810027093</v>
      </c>
      <c r="AS40" s="597">
        <f t="shared" si="27"/>
        <v>36.225152950925711</v>
      </c>
      <c r="AT40" s="597">
        <f t="shared" si="27"/>
        <v>35.22134462899924</v>
      </c>
      <c r="AU40" s="597">
        <f t="shared" si="27"/>
        <v>34.245352094311357</v>
      </c>
      <c r="AV40" s="597">
        <f t="shared" si="27"/>
        <v>33.296404564230791</v>
      </c>
      <c r="AW40" s="597">
        <f t="shared" si="27"/>
        <v>32.373752614711506</v>
      </c>
      <c r="AX40" s="597">
        <f t="shared" si="27"/>
        <v>31.476667588440947</v>
      </c>
      <c r="AY40" s="597">
        <f t="shared" si="27"/>
        <v>30.604441019388378</v>
      </c>
      <c r="AZ40" s="597">
        <f t="shared" si="27"/>
        <v>29.756384073299351</v>
      </c>
      <c r="BA40" s="598">
        <f t="shared" si="27"/>
        <v>28.931827003694067</v>
      </c>
      <c r="BB40" s="479">
        <f t="shared" si="27"/>
        <v>28.13011862294027</v>
      </c>
      <c r="BC40" s="479">
        <f t="shared" si="27"/>
        <v>27.350625787982757</v>
      </c>
      <c r="BD40" s="479">
        <f t="shared" si="27"/>
        <v>26.592732900323544</v>
      </c>
      <c r="BE40" s="479">
        <f t="shared" si="27"/>
        <v>25.855841419857601</v>
      </c>
      <c r="BF40" s="479">
        <f t="shared" si="27"/>
        <v>25.139369392180456</v>
      </c>
      <c r="BG40" s="479">
        <f t="shared" si="27"/>
        <v>24.442750988994124</v>
      </c>
      <c r="BH40" s="479">
        <f t="shared" si="27"/>
        <v>23.765436061248547</v>
      </c>
    </row>
    <row r="41" spans="1:103" ht="15.75" thickBot="1" x14ac:dyDescent="0.3">
      <c r="B41" t="s">
        <v>282</v>
      </c>
      <c r="D41" s="599">
        <f>D34/D8</f>
        <v>0</v>
      </c>
      <c r="E41" s="600">
        <f t="shared" ref="E41:BH41" si="28">E34/E8</f>
        <v>0</v>
      </c>
      <c r="F41" s="600">
        <f t="shared" si="28"/>
        <v>0</v>
      </c>
      <c r="G41" s="600">
        <f t="shared" si="28"/>
        <v>0</v>
      </c>
      <c r="H41" s="600">
        <f t="shared" si="28"/>
        <v>0</v>
      </c>
      <c r="I41" s="600">
        <f t="shared" si="28"/>
        <v>0</v>
      </c>
      <c r="J41" s="600">
        <f t="shared" si="28"/>
        <v>11520.167453275453</v>
      </c>
      <c r="K41" s="600">
        <f t="shared" si="28"/>
        <v>11200.940644895947</v>
      </c>
      <c r="L41" s="600">
        <f t="shared" si="28"/>
        <v>10890.559693627521</v>
      </c>
      <c r="M41" s="600">
        <f t="shared" si="28"/>
        <v>10588.779478490578</v>
      </c>
      <c r="N41" s="600">
        <f t="shared" si="28"/>
        <v>10295.361670870743</v>
      </c>
      <c r="O41" s="600">
        <f t="shared" si="28"/>
        <v>10010.074546301181</v>
      </c>
      <c r="P41" s="600">
        <f t="shared" si="28"/>
        <v>9732.6928014595469</v>
      </c>
      <c r="Q41" s="600">
        <f t="shared" si="28"/>
        <v>9462.9973762367936</v>
      </c>
      <c r="R41" s="600">
        <f t="shared" si="28"/>
        <v>9200.7752807358411</v>
      </c>
      <c r="S41" s="600">
        <f t="shared" si="28"/>
        <v>8945.8194270645145</v>
      </c>
      <c r="T41" s="600">
        <f t="shared" si="28"/>
        <v>8697.9284657894896</v>
      </c>
      <c r="U41" s="600">
        <f t="shared" si="28"/>
        <v>8456.9066269222294</v>
      </c>
      <c r="V41" s="600">
        <f t="shared" si="28"/>
        <v>8222.5635653108566</v>
      </c>
      <c r="W41" s="489">
        <f>W34/W8</f>
        <v>30565.72642247007</v>
      </c>
      <c r="X41" s="600">
        <f t="shared" si="28"/>
        <v>29718.742267836718</v>
      </c>
      <c r="Y41" s="600">
        <f t="shared" si="28"/>
        <v>28895.228262359477</v>
      </c>
      <c r="Z41" s="600">
        <f t="shared" si="28"/>
        <v>28094.534042157829</v>
      </c>
      <c r="AA41" s="600">
        <f t="shared" si="28"/>
        <v>27316.027265102424</v>
      </c>
      <c r="AB41" s="600">
        <f t="shared" si="28"/>
        <v>26559.093111426751</v>
      </c>
      <c r="AC41" s="600">
        <f t="shared" si="28"/>
        <v>25823.133798178758</v>
      </c>
      <c r="AD41" s="600">
        <f t="shared" si="28"/>
        <v>25107.568107125666</v>
      </c>
      <c r="AE41" s="600">
        <f t="shared" si="28"/>
        <v>24411.830925741997</v>
      </c>
      <c r="AF41" s="600">
        <f t="shared" si="28"/>
        <v>23735.372800915917</v>
      </c>
      <c r="AG41" s="600">
        <f t="shared" si="28"/>
        <v>23077.659505022781</v>
      </c>
      <c r="AH41" s="600">
        <f t="shared" si="28"/>
        <v>22438.171614023075</v>
      </c>
      <c r="AI41" s="600">
        <f t="shared" si="28"/>
        <v>21816.404097251398</v>
      </c>
      <c r="AJ41" s="600">
        <f t="shared" si="28"/>
        <v>21211.865918572155</v>
      </c>
      <c r="AK41" s="600">
        <f t="shared" si="28"/>
        <v>20624.079648587387</v>
      </c>
      <c r="AL41" s="600">
        <f t="shared" si="28"/>
        <v>20052.581087591076</v>
      </c>
      <c r="AM41" s="600">
        <f t="shared" si="28"/>
        <v>19496.918898970416</v>
      </c>
      <c r="AN41" s="600">
        <f t="shared" si="28"/>
        <v>18956.654252766501</v>
      </c>
      <c r="AO41" s="600">
        <f t="shared" si="28"/>
        <v>18431.360479111874</v>
      </c>
      <c r="AP41" s="600">
        <f t="shared" si="28"/>
        <v>17920.622731270621</v>
      </c>
      <c r="AQ41" s="600">
        <f t="shared" si="28"/>
        <v>17424.037658017114</v>
      </c>
      <c r="AR41" s="600">
        <f t="shared" si="28"/>
        <v>16941.213085092008</v>
      </c>
      <c r="AS41" s="600">
        <f t="shared" si="28"/>
        <v>16471.76770548565</v>
      </c>
      <c r="AT41" s="600">
        <f t="shared" si="28"/>
        <v>16015.330778304009</v>
      </c>
      <c r="AU41" s="600">
        <f t="shared" si="28"/>
        <v>15571.541835978638</v>
      </c>
      <c r="AV41" s="600">
        <f t="shared" si="28"/>
        <v>15140.050399590318</v>
      </c>
      <c r="AW41" s="600">
        <f t="shared" si="28"/>
        <v>14720.515702080971</v>
      </c>
      <c r="AX41" s="600">
        <f t="shared" si="28"/>
        <v>14312.606419135671</v>
      </c>
      <c r="AY41" s="600">
        <f t="shared" si="28"/>
        <v>13916.000407521307</v>
      </c>
      <c r="AZ41" s="600">
        <f t="shared" si="28"/>
        <v>13530.38445067694</v>
      </c>
      <c r="BA41" s="601">
        <f t="shared" si="28"/>
        <v>13155.454011353417</v>
      </c>
      <c r="BB41" s="477">
        <f t="shared" si="28"/>
        <v>12790.912991106839</v>
      </c>
      <c r="BC41" s="477">
        <f t="shared" si="28"/>
        <v>12436.473496457813</v>
      </c>
      <c r="BD41" s="477">
        <f t="shared" si="28"/>
        <v>12091.855611529209</v>
      </c>
      <c r="BE41" s="477">
        <f t="shared" si="28"/>
        <v>11756.787176985181</v>
      </c>
      <c r="BF41" s="477">
        <f t="shared" si="28"/>
        <v>11431.003575094961</v>
      </c>
      <c r="BG41" s="477">
        <f t="shared" si="28"/>
        <v>11114.247520753504</v>
      </c>
      <c r="BH41" s="477">
        <f t="shared" si="28"/>
        <v>10806.268858292176</v>
      </c>
    </row>
    <row r="42" spans="1:103" hidden="1" x14ac:dyDescent="0.25"/>
    <row r="43" spans="1:103" hidden="1" x14ac:dyDescent="0.25">
      <c r="V43" s="473" t="s">
        <v>295</v>
      </c>
      <c r="W43" s="479">
        <f>W34/(D10*1000000)*1000</f>
        <v>4.9956250941141764</v>
      </c>
      <c r="X43" t="s">
        <v>283</v>
      </c>
    </row>
    <row r="44" spans="1:103" hidden="1" x14ac:dyDescent="0.25"/>
    <row r="46" spans="1:103" x14ac:dyDescent="0.25">
      <c r="A46" s="472" t="s">
        <v>358</v>
      </c>
    </row>
    <row r="47" spans="1:103" x14ac:dyDescent="0.25">
      <c r="B47" s="480" t="str">
        <f>CONCATENATE("Total Payments at (",'Interest Rate'!$J$16*100,"% Interest)")</f>
        <v>Total Payments at (4.5% Interest)</v>
      </c>
      <c r="D47" s="482">
        <f>D16</f>
        <v>125000000</v>
      </c>
      <c r="E47" s="482">
        <f>E34+D47</f>
        <v>125000000</v>
      </c>
      <c r="F47" s="482">
        <f t="shared" ref="F47:BH47" si="29">F34+E47</f>
        <v>125000000</v>
      </c>
      <c r="G47" s="482">
        <f t="shared" si="29"/>
        <v>125000000</v>
      </c>
      <c r="H47" s="482">
        <f t="shared" si="29"/>
        <v>125000000</v>
      </c>
      <c r="I47" s="482">
        <f t="shared" si="29"/>
        <v>125000000</v>
      </c>
      <c r="J47" s="482">
        <f t="shared" si="29"/>
        <v>145000000</v>
      </c>
      <c r="K47" s="482">
        <f t="shared" si="29"/>
        <v>165000000</v>
      </c>
      <c r="L47" s="482">
        <f t="shared" si="29"/>
        <v>185000000</v>
      </c>
      <c r="M47" s="482">
        <f t="shared" si="29"/>
        <v>205000000</v>
      </c>
      <c r="N47" s="482">
        <f t="shared" si="29"/>
        <v>225000000</v>
      </c>
      <c r="O47" s="482">
        <f t="shared" si="29"/>
        <v>245000000</v>
      </c>
      <c r="P47" s="482">
        <f t="shared" si="29"/>
        <v>265000000</v>
      </c>
      <c r="Q47" s="482">
        <f t="shared" si="29"/>
        <v>285000000</v>
      </c>
      <c r="R47" s="482">
        <f t="shared" si="29"/>
        <v>305000000</v>
      </c>
      <c r="S47" s="482">
        <f t="shared" si="29"/>
        <v>325000000</v>
      </c>
      <c r="T47" s="482">
        <f t="shared" si="29"/>
        <v>345000000</v>
      </c>
      <c r="U47" s="482">
        <f t="shared" si="29"/>
        <v>365000000</v>
      </c>
      <c r="V47" s="482">
        <f t="shared" si="29"/>
        <v>385000000</v>
      </c>
      <c r="W47" s="482">
        <f t="shared" si="29"/>
        <v>461464838.18777716</v>
      </c>
      <c r="X47" s="482">
        <f t="shared" si="29"/>
        <v>537929676.37555432</v>
      </c>
      <c r="Y47" s="482">
        <f t="shared" si="29"/>
        <v>614394514.56333148</v>
      </c>
      <c r="Z47" s="482">
        <f t="shared" si="29"/>
        <v>690859352.75110865</v>
      </c>
      <c r="AA47" s="482">
        <f t="shared" si="29"/>
        <v>767324190.93888581</v>
      </c>
      <c r="AB47" s="482">
        <f t="shared" si="29"/>
        <v>843789029.12666297</v>
      </c>
      <c r="AC47" s="482">
        <f t="shared" si="29"/>
        <v>920253867.31444013</v>
      </c>
      <c r="AD47" s="482">
        <f t="shared" si="29"/>
        <v>996718705.50221729</v>
      </c>
      <c r="AE47" s="482">
        <f t="shared" si="29"/>
        <v>1073183543.6899945</v>
      </c>
      <c r="AF47" s="482">
        <f t="shared" si="29"/>
        <v>1149648381.8777716</v>
      </c>
      <c r="AG47" s="482">
        <f t="shared" si="29"/>
        <v>1226113220.0655489</v>
      </c>
      <c r="AH47" s="482">
        <f t="shared" si="29"/>
        <v>1302578058.2533262</v>
      </c>
      <c r="AI47" s="482">
        <f t="shared" si="29"/>
        <v>1379042896.4411035</v>
      </c>
      <c r="AJ47" s="482">
        <f t="shared" si="29"/>
        <v>1455507734.6288807</v>
      </c>
      <c r="AK47" s="482">
        <f t="shared" si="29"/>
        <v>1531972572.816658</v>
      </c>
      <c r="AL47" s="482">
        <f t="shared" si="29"/>
        <v>1608437411.0044353</v>
      </c>
      <c r="AM47" s="482">
        <f t="shared" si="29"/>
        <v>1684902249.1922126</v>
      </c>
      <c r="AN47" s="482">
        <f t="shared" si="29"/>
        <v>1761367087.3799899</v>
      </c>
      <c r="AO47" s="482">
        <f t="shared" si="29"/>
        <v>1837831925.5677671</v>
      </c>
      <c r="AP47" s="482">
        <f t="shared" si="29"/>
        <v>1914296763.7555444</v>
      </c>
      <c r="AQ47" s="482">
        <f t="shared" si="29"/>
        <v>1990761601.9433217</v>
      </c>
      <c r="AR47" s="482">
        <f t="shared" si="29"/>
        <v>2067226440.131099</v>
      </c>
      <c r="AS47" s="482">
        <f t="shared" si="29"/>
        <v>2143691278.3188763</v>
      </c>
      <c r="AT47" s="482">
        <f t="shared" si="29"/>
        <v>2220156116.5066533</v>
      </c>
      <c r="AU47" s="482">
        <f t="shared" si="29"/>
        <v>2296620954.6944304</v>
      </c>
      <c r="AV47" s="482">
        <f t="shared" si="29"/>
        <v>2373085792.8822074</v>
      </c>
      <c r="AW47" s="482">
        <f t="shared" si="29"/>
        <v>2449550631.0699844</v>
      </c>
      <c r="AX47" s="482">
        <f t="shared" si="29"/>
        <v>2526015469.2577615</v>
      </c>
      <c r="AY47" s="482">
        <f t="shared" si="29"/>
        <v>2602480307.4455385</v>
      </c>
      <c r="AZ47" s="482">
        <f t="shared" si="29"/>
        <v>2678945145.6333156</v>
      </c>
      <c r="BA47" s="482">
        <f t="shared" si="29"/>
        <v>2755409983.8210926</v>
      </c>
      <c r="BB47" s="482">
        <f t="shared" si="29"/>
        <v>2831874822.0088696</v>
      </c>
      <c r="BC47" s="482">
        <f t="shared" si="29"/>
        <v>2908339660.1966467</v>
      </c>
      <c r="BD47" s="482">
        <f t="shared" si="29"/>
        <v>2984804498.3844237</v>
      </c>
      <c r="BE47" s="482">
        <f t="shared" si="29"/>
        <v>3061269336.5722008</v>
      </c>
      <c r="BF47" s="482">
        <f t="shared" si="29"/>
        <v>3137734174.7599778</v>
      </c>
      <c r="BG47" s="482">
        <f t="shared" si="29"/>
        <v>3214199012.9477549</v>
      </c>
      <c r="BH47" s="482">
        <f t="shared" si="29"/>
        <v>3290663851.1355319</v>
      </c>
    </row>
  </sheetData>
  <mergeCells count="1">
    <mergeCell ref="A1:F1"/>
  </mergeCells>
  <pageMargins left="0.7" right="0.7" top="0.75" bottom="0.75" header="0.3" footer="0.3"/>
  <pageSetup paperSize="17" scale="42" fitToWidth="4" fitToHeight="0" orientation="landscape" r:id="rId1"/>
  <headerFooter>
    <oddFooter xml:space="preserve">&amp;L&amp;"-,Bold"&amp;9This is a preliminary draft document. It is intended for discussion purposes only. </oddFooter>
  </headerFooter>
  <colBreaks count="1" manualBreakCount="1">
    <brk id="5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1"/>
  <sheetViews>
    <sheetView workbookViewId="0">
      <selection activeCell="B3" sqref="A1:Y40"/>
    </sheetView>
  </sheetViews>
  <sheetFormatPr defaultRowHeight="15" x14ac:dyDescent="0.25"/>
  <cols>
    <col min="1" max="1" width="9.140625" style="604"/>
    <col min="2" max="2" width="27.140625" style="604" customWidth="1"/>
    <col min="3" max="3" width="4.28515625" style="604" customWidth="1"/>
    <col min="4" max="4" width="6.28515625" style="604" customWidth="1"/>
    <col min="5" max="5" width="37.7109375" style="604" customWidth="1"/>
    <col min="6" max="6" width="2.85546875" style="604" customWidth="1"/>
    <col min="7" max="7" width="40.5703125" style="604" customWidth="1"/>
    <col min="8" max="8" width="2.85546875" style="604" customWidth="1"/>
    <col min="9" max="9" width="43.28515625" style="604" customWidth="1"/>
    <col min="10" max="10" width="2.85546875" style="604" customWidth="1"/>
    <col min="11" max="11" width="49.7109375" style="604" customWidth="1"/>
    <col min="12" max="16384" width="9.140625" style="604"/>
  </cols>
  <sheetData>
    <row r="1" spans="1:11" x14ac:dyDescent="0.25">
      <c r="A1" s="604">
        <v>580</v>
      </c>
    </row>
    <row r="2" spans="1:11" ht="44.25" customHeight="1" thickBot="1" x14ac:dyDescent="0.3"/>
    <row r="3" spans="1:11" ht="78" customHeight="1" thickTop="1" thickBot="1" x14ac:dyDescent="1.1499999999999999">
      <c r="B3" s="892" t="s">
        <v>503</v>
      </c>
      <c r="C3" s="892"/>
      <c r="D3" s="892"/>
      <c r="E3" s="715">
        <v>2040</v>
      </c>
      <c r="F3" s="714"/>
    </row>
    <row r="4" spans="1:11" ht="102.75" customHeight="1" thickTop="1" x14ac:dyDescent="0.55000000000000004">
      <c r="E4" s="719" t="s">
        <v>505</v>
      </c>
      <c r="F4" s="710"/>
      <c r="G4" s="607" t="s">
        <v>507</v>
      </c>
      <c r="H4" s="710"/>
      <c r="I4" s="607" t="s">
        <v>501</v>
      </c>
      <c r="J4" s="710"/>
      <c r="K4" s="607" t="s">
        <v>506</v>
      </c>
    </row>
    <row r="5" spans="1:11" ht="8.25" customHeight="1" thickBot="1" x14ac:dyDescent="0.3"/>
    <row r="6" spans="1:11" ht="75" customHeight="1" thickTop="1" thickBot="1" x14ac:dyDescent="0.95">
      <c r="B6" s="708" t="s">
        <v>504</v>
      </c>
      <c r="E6" s="716">
        <f>Sheet1!F55</f>
        <v>1.5840000000000001</v>
      </c>
      <c r="F6" s="711"/>
      <c r="G6" s="716">
        <f>(('Summary Baseline Data'!U32*365)/1000)*E6</f>
        <v>157.35215794747455</v>
      </c>
      <c r="H6" s="712"/>
      <c r="I6" s="716">
        <f>(G6*'Underlying Assumptions'!E10)/12</f>
        <v>38.551278697131266</v>
      </c>
      <c r="J6" s="712"/>
      <c r="K6" s="718">
        <v>5800</v>
      </c>
    </row>
    <row r="7" spans="1:11" ht="22.5" customHeight="1" thickTop="1" thickBot="1" x14ac:dyDescent="0.95">
      <c r="B7" s="608"/>
      <c r="E7" s="711"/>
      <c r="F7" s="711"/>
      <c r="G7" s="711"/>
      <c r="H7" s="712"/>
      <c r="I7" s="711"/>
      <c r="J7" s="712"/>
      <c r="K7" s="711"/>
    </row>
    <row r="8" spans="1:11" ht="75" customHeight="1" thickTop="1" thickBot="1" x14ac:dyDescent="0.95">
      <c r="B8" s="606" t="s">
        <v>98</v>
      </c>
      <c r="E8" s="716">
        <f>'Economist Plan 1'!C27</f>
        <v>3.2034708451123572</v>
      </c>
      <c r="F8" s="711"/>
      <c r="G8" s="716">
        <f>'Economist Plan 1'!C28</f>
        <v>315.09427837316827</v>
      </c>
      <c r="H8" s="712"/>
      <c r="I8" s="716">
        <f>'Economist Plan 1'!C29</f>
        <v>73.521998287072591</v>
      </c>
      <c r="J8" s="712"/>
      <c r="K8" s="717">
        <f>'Economist Plan 1'!C30</f>
        <v>33430.839579017585</v>
      </c>
    </row>
    <row r="9" spans="1:11" ht="22.5" customHeight="1" thickTop="1" thickBot="1" x14ac:dyDescent="0.95">
      <c r="A9" s="605"/>
      <c r="B9" s="608"/>
      <c r="E9" s="711"/>
      <c r="F9" s="711"/>
      <c r="G9" s="711"/>
      <c r="H9" s="712"/>
      <c r="I9" s="711"/>
      <c r="J9" s="712"/>
      <c r="K9" s="711"/>
    </row>
    <row r="10" spans="1:11" ht="75" customHeight="1" thickTop="1" thickBot="1" x14ac:dyDescent="0.95">
      <c r="B10" s="606" t="s">
        <v>388</v>
      </c>
      <c r="E10" s="716">
        <f t="array" ref="E10">HLOOKUP($E$3,'Economist Plan 2'!$D$5:$BH$41,34)</f>
        <v>2.8066808965232233</v>
      </c>
      <c r="F10" s="711"/>
      <c r="G10" s="716">
        <f>HLOOKUP($E$3,'Economist Plan 2'!$D$5:$BH$41,35)</f>
        <v>236.64529979035578</v>
      </c>
      <c r="H10" s="712"/>
      <c r="I10" s="716">
        <f>HLOOKUP($E$3,'Economist Plan 2'!$D$5:$BH$41,36)</f>
        <v>55.217236617749677</v>
      </c>
      <c r="J10" s="712"/>
      <c r="K10" s="716">
        <f>HLOOKUP($E$3,'Economist Plan 2'!$D$5:$BH$41,37)</f>
        <v>25107.568107125666</v>
      </c>
    </row>
    <row r="11" spans="1:11" ht="15.75" thickTop="1" x14ac:dyDescent="0.25"/>
  </sheetData>
  <mergeCells count="1">
    <mergeCell ref="B3:D3"/>
  </mergeCells>
  <pageMargins left="0.7" right="0.7" top="0.75" bottom="0.75" header="0.3" footer="0.3"/>
  <pageSetup paperSize="17" scale="84" fitToHeight="0" orientation="landscape" r:id="rId1"/>
  <headerFooter>
    <oddFooter xml:space="preserve">&amp;L&amp;"-,Bold"&amp;9This is a preliminary draft document. It is intended for discussion purposes only.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C6:T28"/>
  <sheetViews>
    <sheetView showGridLines="0" zoomScaleNormal="100" workbookViewId="0">
      <selection activeCell="I20" sqref="I20:P21"/>
    </sheetView>
  </sheetViews>
  <sheetFormatPr defaultRowHeight="12.75" x14ac:dyDescent="0.2"/>
  <cols>
    <col min="1" max="1" width="6" style="438" customWidth="1"/>
    <col min="2" max="2" width="15.28515625" style="438" customWidth="1"/>
    <col min="3" max="3" width="5.85546875" style="438" hidden="1" customWidth="1"/>
    <col min="4" max="4" width="9.140625" style="438" hidden="1" customWidth="1"/>
    <col min="5" max="6" width="9.140625" style="438"/>
    <col min="7" max="7" width="13.5703125" style="438" customWidth="1"/>
    <col min="8" max="8" width="35.140625" style="438" customWidth="1"/>
    <col min="9" max="9" width="24" style="438" bestFit="1" customWidth="1"/>
    <col min="10" max="10" width="3.42578125" style="438" customWidth="1"/>
    <col min="11" max="11" width="10.85546875" style="438" customWidth="1"/>
    <col min="12" max="12" width="2.28515625" style="438" customWidth="1"/>
    <col min="13" max="13" width="8.28515625" style="438" customWidth="1"/>
    <col min="14" max="14" width="2.85546875" style="438" customWidth="1"/>
    <col min="15" max="15" width="9" style="438" customWidth="1"/>
    <col min="16" max="16" width="4.42578125" style="438" customWidth="1"/>
    <col min="17" max="16384" width="9.140625" style="438"/>
  </cols>
  <sheetData>
    <row r="6" spans="3:16" ht="15" customHeight="1" x14ac:dyDescent="0.2">
      <c r="C6" s="893" t="s">
        <v>366</v>
      </c>
      <c r="D6" s="893"/>
      <c r="E6" s="893"/>
      <c r="F6" s="893"/>
      <c r="G6" s="893"/>
      <c r="H6" s="893"/>
      <c r="I6" s="893"/>
      <c r="J6" s="893"/>
      <c r="K6" s="893"/>
      <c r="L6" s="893"/>
      <c r="M6" s="893"/>
      <c r="N6" s="893"/>
      <c r="O6" s="893"/>
      <c r="P6" s="893"/>
    </row>
    <row r="7" spans="3:16" ht="15" customHeight="1" x14ac:dyDescent="0.2">
      <c r="C7" s="893"/>
      <c r="D7" s="893"/>
      <c r="E7" s="893"/>
      <c r="F7" s="893"/>
      <c r="G7" s="893"/>
      <c r="H7" s="893"/>
      <c r="I7" s="893"/>
      <c r="J7" s="893"/>
      <c r="K7" s="893"/>
      <c r="L7" s="893"/>
      <c r="M7" s="893"/>
      <c r="N7" s="893"/>
      <c r="O7" s="893"/>
      <c r="P7" s="893"/>
    </row>
    <row r="8" spans="3:16" ht="13.5" customHeight="1" x14ac:dyDescent="0.2">
      <c r="C8" s="893"/>
      <c r="D8" s="893"/>
      <c r="E8" s="893"/>
      <c r="F8" s="893"/>
      <c r="G8" s="893"/>
      <c r="H8" s="893"/>
      <c r="I8" s="893"/>
      <c r="J8" s="893"/>
      <c r="K8" s="893"/>
      <c r="L8" s="893"/>
      <c r="M8" s="893"/>
      <c r="N8" s="893"/>
      <c r="O8" s="893"/>
      <c r="P8" s="893"/>
    </row>
    <row r="9" spans="3:16" ht="8.25" hidden="1" customHeight="1" x14ac:dyDescent="0.2">
      <c r="C9" s="893"/>
      <c r="D9" s="893"/>
      <c r="E9" s="893"/>
      <c r="F9" s="893"/>
      <c r="G9" s="893"/>
      <c r="H9" s="893"/>
      <c r="I9" s="893"/>
      <c r="J9" s="893"/>
      <c r="K9" s="893"/>
      <c r="L9" s="893"/>
      <c r="M9" s="893"/>
      <c r="N9" s="893"/>
      <c r="O9" s="893"/>
      <c r="P9" s="893"/>
    </row>
    <row r="10" spans="3:16" ht="12.75" hidden="1" customHeight="1" x14ac:dyDescent="0.2">
      <c r="C10" s="893"/>
      <c r="D10" s="893"/>
      <c r="E10" s="893"/>
      <c r="F10" s="893"/>
      <c r="G10" s="893"/>
      <c r="H10" s="893"/>
      <c r="I10" s="893"/>
      <c r="J10" s="893"/>
      <c r="K10" s="893"/>
      <c r="L10" s="893"/>
      <c r="M10" s="893"/>
      <c r="N10" s="893"/>
      <c r="O10" s="893"/>
      <c r="P10" s="893"/>
    </row>
    <row r="11" spans="3:16" ht="18.75" customHeight="1" x14ac:dyDescent="0.2">
      <c r="C11" s="893"/>
      <c r="D11" s="893"/>
      <c r="E11" s="893"/>
      <c r="F11" s="893"/>
      <c r="G11" s="893"/>
      <c r="H11" s="893"/>
      <c r="I11" s="893"/>
      <c r="J11" s="893"/>
      <c r="K11" s="893"/>
      <c r="L11" s="893"/>
      <c r="M11" s="893"/>
      <c r="N11" s="893"/>
      <c r="O11" s="893"/>
      <c r="P11" s="893"/>
    </row>
    <row r="12" spans="3:16" ht="36" hidden="1" customHeight="1" x14ac:dyDescent="0.2">
      <c r="C12" s="893"/>
      <c r="D12" s="893"/>
      <c r="E12" s="893"/>
      <c r="F12" s="893"/>
      <c r="G12" s="893"/>
      <c r="H12" s="893"/>
      <c r="I12" s="893"/>
      <c r="J12" s="893"/>
      <c r="K12" s="893"/>
      <c r="L12" s="893"/>
      <c r="M12" s="893"/>
      <c r="N12" s="893"/>
      <c r="O12" s="893"/>
      <c r="P12" s="893"/>
    </row>
    <row r="13" spans="3:16" ht="27" hidden="1" customHeight="1" x14ac:dyDescent="0.2">
      <c r="C13" s="893"/>
      <c r="D13" s="893"/>
      <c r="E13" s="893"/>
      <c r="F13" s="893"/>
      <c r="G13" s="893"/>
      <c r="H13" s="893"/>
      <c r="I13" s="893"/>
      <c r="J13" s="893"/>
      <c r="K13" s="893"/>
      <c r="L13" s="893"/>
      <c r="M13" s="893"/>
      <c r="N13" s="893"/>
      <c r="O13" s="893"/>
      <c r="P13" s="893"/>
    </row>
    <row r="14" spans="3:16" ht="5.25" customHeight="1" x14ac:dyDescent="0.2"/>
    <row r="16" spans="3:16" ht="4.5" customHeight="1" thickBot="1" x14ac:dyDescent="0.25"/>
    <row r="17" spans="4:20" ht="30.75" customHeight="1" thickTop="1" x14ac:dyDescent="0.2">
      <c r="E17" s="887" t="s">
        <v>360</v>
      </c>
      <c r="F17" s="894"/>
      <c r="G17" s="894"/>
      <c r="H17" s="895"/>
      <c r="I17" s="904">
        <v>1</v>
      </c>
      <c r="J17" s="905"/>
      <c r="K17" s="905"/>
      <c r="L17" s="905"/>
      <c r="M17" s="905"/>
      <c r="N17" s="905"/>
      <c r="O17" s="905"/>
      <c r="P17" s="905"/>
      <c r="Q17" s="453"/>
      <c r="R17" s="453"/>
      <c r="S17" s="453"/>
      <c r="T17" s="453"/>
    </row>
    <row r="18" spans="4:20" ht="39" customHeight="1" thickBot="1" x14ac:dyDescent="0.25">
      <c r="D18" s="441"/>
      <c r="E18" s="894"/>
      <c r="F18" s="894"/>
      <c r="G18" s="894"/>
      <c r="H18" s="895"/>
      <c r="I18" s="906"/>
      <c r="J18" s="907"/>
      <c r="K18" s="907"/>
      <c r="L18" s="907"/>
      <c r="M18" s="907"/>
      <c r="N18" s="907"/>
      <c r="O18" s="907"/>
      <c r="P18" s="907"/>
      <c r="Q18" s="453"/>
      <c r="R18" s="453"/>
      <c r="S18" s="453"/>
      <c r="T18" s="453"/>
    </row>
    <row r="19" spans="4:20" ht="18" customHeight="1" thickTop="1" thickBot="1" x14ac:dyDescent="0.25">
      <c r="E19" s="555"/>
      <c r="F19" s="555"/>
      <c r="G19" s="555"/>
      <c r="H19" s="555"/>
    </row>
    <row r="20" spans="4:20" ht="30.75" customHeight="1" thickTop="1" x14ac:dyDescent="0.2">
      <c r="E20" s="887" t="s">
        <v>361</v>
      </c>
      <c r="F20" s="894"/>
      <c r="G20" s="894"/>
      <c r="H20" s="895"/>
      <c r="I20" s="908">
        <f>'Dynamic Population'!O10-I17</f>
        <v>2031</v>
      </c>
      <c r="J20" s="909"/>
      <c r="K20" s="909"/>
      <c r="L20" s="909"/>
      <c r="M20" s="909"/>
      <c r="N20" s="909"/>
      <c r="O20" s="909"/>
      <c r="P20" s="909"/>
      <c r="Q20" s="453"/>
      <c r="R20" s="453"/>
      <c r="S20" s="453"/>
      <c r="T20" s="453"/>
    </row>
    <row r="21" spans="4:20" ht="40.5" customHeight="1" thickBot="1" x14ac:dyDescent="0.25">
      <c r="D21" s="441"/>
      <c r="E21" s="894"/>
      <c r="F21" s="894"/>
      <c r="G21" s="894"/>
      <c r="H21" s="895"/>
      <c r="I21" s="910"/>
      <c r="J21" s="911"/>
      <c r="K21" s="911"/>
      <c r="L21" s="911"/>
      <c r="M21" s="911"/>
      <c r="N21" s="911"/>
      <c r="O21" s="911"/>
      <c r="P21" s="911"/>
      <c r="Q21" s="453"/>
      <c r="R21" s="453"/>
      <c r="S21" s="453"/>
      <c r="T21" s="453"/>
    </row>
    <row r="22" spans="4:20" ht="18" customHeight="1" thickTop="1" thickBot="1" x14ac:dyDescent="0.25">
      <c r="D22" s="441"/>
      <c r="E22" s="555"/>
      <c r="F22" s="555"/>
      <c r="G22" s="555"/>
      <c r="H22" s="555"/>
      <c r="Q22" s="453"/>
      <c r="R22" s="453"/>
      <c r="S22" s="453"/>
      <c r="T22" s="453"/>
    </row>
    <row r="23" spans="4:20" ht="30.75" customHeight="1" thickTop="1" x14ac:dyDescent="0.2">
      <c r="E23" s="887" t="s">
        <v>362</v>
      </c>
      <c r="F23" s="894"/>
      <c r="G23" s="894"/>
      <c r="H23" s="895"/>
      <c r="I23" s="896">
        <v>82249</v>
      </c>
      <c r="J23" s="897"/>
      <c r="K23" s="897"/>
      <c r="L23" s="897"/>
      <c r="M23" s="897"/>
      <c r="N23" s="897"/>
      <c r="O23" s="897"/>
      <c r="P23" s="897"/>
      <c r="Q23" s="453"/>
      <c r="R23" s="453"/>
      <c r="S23" s="453"/>
      <c r="T23" s="453"/>
    </row>
    <row r="24" spans="4:20" ht="40.5" customHeight="1" thickBot="1" x14ac:dyDescent="0.25">
      <c r="D24" s="441"/>
      <c r="E24" s="894"/>
      <c r="F24" s="894"/>
      <c r="G24" s="894"/>
      <c r="H24" s="895"/>
      <c r="I24" s="898"/>
      <c r="J24" s="899"/>
      <c r="K24" s="899"/>
      <c r="L24" s="899"/>
      <c r="M24" s="899"/>
      <c r="N24" s="899"/>
      <c r="O24" s="899"/>
      <c r="P24" s="899"/>
      <c r="Q24" s="453"/>
      <c r="R24" s="453"/>
      <c r="S24" s="453"/>
      <c r="T24" s="453"/>
    </row>
    <row r="25" spans="4:20" ht="18" customHeight="1" thickTop="1" thickBot="1" x14ac:dyDescent="0.25">
      <c r="E25" s="555"/>
      <c r="F25" s="555"/>
      <c r="G25" s="555"/>
      <c r="H25" s="555"/>
    </row>
    <row r="26" spans="4:20" ht="13.5" customHeight="1" thickTop="1" x14ac:dyDescent="0.2">
      <c r="E26" s="887" t="s">
        <v>363</v>
      </c>
      <c r="F26" s="894"/>
      <c r="G26" s="894"/>
      <c r="H26" s="895"/>
      <c r="I26" s="900">
        <f>I23/0.89</f>
        <v>92414.606741573036</v>
      </c>
      <c r="J26" s="901"/>
      <c r="K26" s="901"/>
      <c r="L26" s="901"/>
      <c r="M26" s="901"/>
      <c r="N26" s="901"/>
      <c r="O26" s="901"/>
      <c r="P26" s="901"/>
    </row>
    <row r="27" spans="4:20" ht="54" customHeight="1" thickBot="1" x14ac:dyDescent="0.25">
      <c r="E27" s="894"/>
      <c r="F27" s="894"/>
      <c r="G27" s="894"/>
      <c r="H27" s="895"/>
      <c r="I27" s="902"/>
      <c r="J27" s="903"/>
      <c r="K27" s="903"/>
      <c r="L27" s="903"/>
      <c r="M27" s="903"/>
      <c r="N27" s="903"/>
      <c r="O27" s="903"/>
      <c r="P27" s="903"/>
    </row>
    <row r="28" spans="4:20" ht="13.5" thickTop="1" x14ac:dyDescent="0.2"/>
  </sheetData>
  <mergeCells count="9">
    <mergeCell ref="C6:P13"/>
    <mergeCell ref="E23:H24"/>
    <mergeCell ref="I23:P24"/>
    <mergeCell ref="E26:H27"/>
    <mergeCell ref="I26:P27"/>
    <mergeCell ref="I17:P18"/>
    <mergeCell ref="E17:H18"/>
    <mergeCell ref="E20:H21"/>
    <mergeCell ref="I20:P21"/>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Z145"/>
  <sheetViews>
    <sheetView zoomScaleNormal="100" workbookViewId="0">
      <pane xSplit="3" ySplit="4" topLeftCell="AO119" activePane="bottomRight" state="frozen"/>
      <selection activeCell="B3" sqref="A1:Y40"/>
      <selection pane="topRight" activeCell="B3" sqref="A1:Y40"/>
      <selection pane="bottomLeft" activeCell="B3" sqref="A1:Y40"/>
      <selection pane="bottomRight" activeCell="AZ137" sqref="AZ137:CC137"/>
    </sheetView>
  </sheetViews>
  <sheetFormatPr defaultColWidth="9" defaultRowHeight="15" x14ac:dyDescent="0.25"/>
  <cols>
    <col min="1" max="1" width="1.85546875" customWidth="1"/>
    <col min="2" max="2" width="1.7109375" customWidth="1"/>
    <col min="3" max="3" width="54.140625" customWidth="1"/>
    <col min="4" max="4" width="11.28515625" customWidth="1"/>
    <col min="5" max="5" width="17.42578125" customWidth="1"/>
    <col min="6" max="16" width="13.42578125" bestFit="1" customWidth="1"/>
    <col min="17" max="18" width="14.42578125" bestFit="1" customWidth="1"/>
    <col min="19" max="22" width="13.7109375" bestFit="1" customWidth="1"/>
    <col min="23" max="23" width="14.28515625" bestFit="1" customWidth="1"/>
    <col min="24" max="54" width="13.7109375" bestFit="1" customWidth="1"/>
    <col min="55" max="104" width="15.28515625" bestFit="1" customWidth="1"/>
  </cols>
  <sheetData>
    <row r="1" spans="1:104" s="481" customFormat="1" ht="21" x14ac:dyDescent="0.35">
      <c r="A1" s="481" t="s">
        <v>325</v>
      </c>
      <c r="P1" s="580"/>
      <c r="Q1" s="579"/>
      <c r="V1" s="491"/>
    </row>
    <row r="2" spans="1:104" x14ac:dyDescent="0.25">
      <c r="V2" s="476"/>
    </row>
    <row r="3" spans="1:104" s="472" customFormat="1" x14ac:dyDescent="0.25">
      <c r="E3" s="473" t="s">
        <v>170</v>
      </c>
      <c r="F3" s="473" t="s">
        <v>171</v>
      </c>
      <c r="G3" s="473" t="s">
        <v>172</v>
      </c>
      <c r="H3" s="473" t="s">
        <v>173</v>
      </c>
      <c r="I3" s="473" t="s">
        <v>174</v>
      </c>
      <c r="J3" s="473" t="s">
        <v>175</v>
      </c>
      <c r="K3" s="473" t="s">
        <v>176</v>
      </c>
      <c r="L3" s="473" t="s">
        <v>177</v>
      </c>
      <c r="M3" s="473" t="s">
        <v>178</v>
      </c>
      <c r="N3" s="473" t="s">
        <v>179</v>
      </c>
      <c r="O3" s="473" t="s">
        <v>180</v>
      </c>
      <c r="P3" s="473" t="s">
        <v>181</v>
      </c>
      <c r="Q3" s="473" t="s">
        <v>182</v>
      </c>
      <c r="R3" s="473" t="s">
        <v>183</v>
      </c>
      <c r="S3" s="473" t="s">
        <v>184</v>
      </c>
      <c r="T3" s="473" t="s">
        <v>185</v>
      </c>
      <c r="U3" s="473" t="s">
        <v>186</v>
      </c>
      <c r="V3" s="473" t="s">
        <v>187</v>
      </c>
      <c r="W3" s="473" t="s">
        <v>188</v>
      </c>
      <c r="X3" s="473" t="s">
        <v>189</v>
      </c>
      <c r="Y3" s="473" t="s">
        <v>190</v>
      </c>
      <c r="Z3" s="473" t="s">
        <v>191</v>
      </c>
      <c r="AA3" s="473" t="s">
        <v>192</v>
      </c>
      <c r="AB3" s="473" t="s">
        <v>193</v>
      </c>
      <c r="AC3" s="473" t="s">
        <v>194</v>
      </c>
      <c r="AD3" s="473" t="s">
        <v>195</v>
      </c>
      <c r="AE3" s="473" t="s">
        <v>196</v>
      </c>
      <c r="AF3" s="473" t="s">
        <v>197</v>
      </c>
      <c r="AG3" s="473" t="s">
        <v>198</v>
      </c>
      <c r="AH3" s="473" t="s">
        <v>199</v>
      </c>
      <c r="AI3" s="473" t="s">
        <v>200</v>
      </c>
      <c r="AJ3" s="473" t="s">
        <v>201</v>
      </c>
      <c r="AK3" s="473" t="s">
        <v>202</v>
      </c>
      <c r="AL3" s="473" t="s">
        <v>203</v>
      </c>
      <c r="AM3" s="473" t="s">
        <v>204</v>
      </c>
      <c r="AN3" s="473" t="s">
        <v>205</v>
      </c>
      <c r="AO3" s="473" t="s">
        <v>206</v>
      </c>
      <c r="AP3" s="473" t="s">
        <v>207</v>
      </c>
      <c r="AQ3" s="473" t="s">
        <v>208</v>
      </c>
      <c r="AR3" s="473" t="s">
        <v>209</v>
      </c>
      <c r="AS3" s="473" t="s">
        <v>210</v>
      </c>
      <c r="AT3" s="473" t="s">
        <v>211</v>
      </c>
      <c r="AU3" s="473" t="s">
        <v>212</v>
      </c>
      <c r="AV3" s="473" t="s">
        <v>213</v>
      </c>
      <c r="AW3" s="473" t="s">
        <v>214</v>
      </c>
      <c r="AX3" s="473" t="s">
        <v>215</v>
      </c>
      <c r="AY3" s="473" t="s">
        <v>216</v>
      </c>
      <c r="AZ3" s="473" t="s">
        <v>217</v>
      </c>
      <c r="BA3" s="473" t="s">
        <v>218</v>
      </c>
      <c r="BB3" s="473" t="s">
        <v>219</v>
      </c>
      <c r="BC3" s="473" t="s">
        <v>225</v>
      </c>
      <c r="BD3" s="473" t="s">
        <v>226</v>
      </c>
      <c r="BE3" s="473" t="s">
        <v>227</v>
      </c>
      <c r="BF3" s="473" t="s">
        <v>228</v>
      </c>
      <c r="BG3" s="473" t="s">
        <v>229</v>
      </c>
      <c r="BH3" s="473" t="s">
        <v>230</v>
      </c>
      <c r="BI3" s="473" t="s">
        <v>231</v>
      </c>
      <c r="BJ3" s="473" t="s">
        <v>232</v>
      </c>
      <c r="BK3" s="473" t="s">
        <v>233</v>
      </c>
      <c r="BL3" s="473" t="s">
        <v>234</v>
      </c>
      <c r="BM3" s="473" t="s">
        <v>235</v>
      </c>
      <c r="BN3" s="473" t="s">
        <v>236</v>
      </c>
      <c r="BO3" s="473" t="s">
        <v>237</v>
      </c>
      <c r="BP3" s="473" t="s">
        <v>238</v>
      </c>
      <c r="BQ3" s="473" t="s">
        <v>239</v>
      </c>
      <c r="BR3" s="473" t="s">
        <v>240</v>
      </c>
      <c r="BS3" s="473" t="s">
        <v>241</v>
      </c>
      <c r="BT3" s="473" t="s">
        <v>242</v>
      </c>
      <c r="BU3" s="473" t="s">
        <v>243</v>
      </c>
      <c r="BV3" s="473" t="s">
        <v>244</v>
      </c>
      <c r="BW3" s="473" t="s">
        <v>245</v>
      </c>
      <c r="BX3" s="473" t="s">
        <v>246</v>
      </c>
      <c r="BY3" s="473" t="s">
        <v>247</v>
      </c>
      <c r="BZ3" s="473" t="s">
        <v>248</v>
      </c>
      <c r="CA3" s="473" t="s">
        <v>249</v>
      </c>
      <c r="CB3" s="473" t="s">
        <v>250</v>
      </c>
      <c r="CC3" s="473" t="s">
        <v>251</v>
      </c>
      <c r="CD3" s="473" t="s">
        <v>252</v>
      </c>
      <c r="CE3" s="473" t="s">
        <v>253</v>
      </c>
      <c r="CF3" s="473" t="s">
        <v>254</v>
      </c>
      <c r="CG3" s="473" t="s">
        <v>255</v>
      </c>
      <c r="CH3" s="473" t="s">
        <v>256</v>
      </c>
      <c r="CI3" s="473" t="s">
        <v>257</v>
      </c>
      <c r="CJ3" s="473" t="s">
        <v>258</v>
      </c>
      <c r="CK3" s="473" t="s">
        <v>259</v>
      </c>
      <c r="CL3" s="473" t="s">
        <v>260</v>
      </c>
      <c r="CM3" s="473" t="s">
        <v>261</v>
      </c>
      <c r="CN3" s="473" t="s">
        <v>262</v>
      </c>
      <c r="CO3" s="473" t="s">
        <v>263</v>
      </c>
      <c r="CP3" s="473" t="s">
        <v>264</v>
      </c>
      <c r="CQ3" s="473" t="s">
        <v>265</v>
      </c>
      <c r="CR3" s="473" t="s">
        <v>266</v>
      </c>
      <c r="CS3" s="473" t="s">
        <v>267</v>
      </c>
      <c r="CT3" s="473" t="s">
        <v>268</v>
      </c>
      <c r="CU3" s="473" t="s">
        <v>269</v>
      </c>
      <c r="CV3" s="473" t="s">
        <v>270</v>
      </c>
      <c r="CW3" s="473" t="s">
        <v>271</v>
      </c>
      <c r="CX3" s="473" t="s">
        <v>272</v>
      </c>
      <c r="CY3" s="473" t="s">
        <v>273</v>
      </c>
      <c r="CZ3" s="473" t="s">
        <v>274</v>
      </c>
    </row>
    <row r="4" spans="1:104" x14ac:dyDescent="0.25">
      <c r="E4">
        <v>2014</v>
      </c>
      <c r="F4">
        <f>E4+1</f>
        <v>2015</v>
      </c>
      <c r="G4">
        <f t="shared" ref="G4:BR4" si="0">F4+1</f>
        <v>2016</v>
      </c>
      <c r="H4">
        <f t="shared" si="0"/>
        <v>2017</v>
      </c>
      <c r="I4">
        <f t="shared" si="0"/>
        <v>2018</v>
      </c>
      <c r="J4">
        <f t="shared" si="0"/>
        <v>2019</v>
      </c>
      <c r="K4">
        <f t="shared" si="0"/>
        <v>2020</v>
      </c>
      <c r="L4">
        <f t="shared" si="0"/>
        <v>2021</v>
      </c>
      <c r="M4">
        <f t="shared" si="0"/>
        <v>2022</v>
      </c>
      <c r="N4">
        <f t="shared" si="0"/>
        <v>2023</v>
      </c>
      <c r="O4">
        <f t="shared" si="0"/>
        <v>2024</v>
      </c>
      <c r="P4">
        <f t="shared" si="0"/>
        <v>2025</v>
      </c>
      <c r="Q4">
        <f t="shared" si="0"/>
        <v>2026</v>
      </c>
      <c r="R4">
        <f t="shared" si="0"/>
        <v>2027</v>
      </c>
      <c r="S4">
        <f t="shared" si="0"/>
        <v>2028</v>
      </c>
      <c r="T4">
        <f t="shared" si="0"/>
        <v>2029</v>
      </c>
      <c r="U4">
        <f t="shared" si="0"/>
        <v>2030</v>
      </c>
      <c r="V4">
        <f t="shared" si="0"/>
        <v>2031</v>
      </c>
      <c r="W4">
        <f t="shared" si="0"/>
        <v>2032</v>
      </c>
      <c r="X4">
        <f t="shared" si="0"/>
        <v>2033</v>
      </c>
      <c r="Y4">
        <f t="shared" si="0"/>
        <v>2034</v>
      </c>
      <c r="Z4">
        <f t="shared" si="0"/>
        <v>2035</v>
      </c>
      <c r="AA4">
        <f t="shared" si="0"/>
        <v>2036</v>
      </c>
      <c r="AB4">
        <f t="shared" si="0"/>
        <v>2037</v>
      </c>
      <c r="AC4">
        <f t="shared" si="0"/>
        <v>2038</v>
      </c>
      <c r="AD4">
        <f t="shared" si="0"/>
        <v>2039</v>
      </c>
      <c r="AE4">
        <f t="shared" si="0"/>
        <v>2040</v>
      </c>
      <c r="AF4">
        <f t="shared" si="0"/>
        <v>2041</v>
      </c>
      <c r="AG4">
        <f t="shared" si="0"/>
        <v>2042</v>
      </c>
      <c r="AH4">
        <f t="shared" si="0"/>
        <v>2043</v>
      </c>
      <c r="AI4">
        <f t="shared" si="0"/>
        <v>2044</v>
      </c>
      <c r="AJ4">
        <f t="shared" si="0"/>
        <v>2045</v>
      </c>
      <c r="AK4">
        <f t="shared" si="0"/>
        <v>2046</v>
      </c>
      <c r="AL4">
        <f t="shared" si="0"/>
        <v>2047</v>
      </c>
      <c r="AM4">
        <f t="shared" si="0"/>
        <v>2048</v>
      </c>
      <c r="AN4">
        <f t="shared" si="0"/>
        <v>2049</v>
      </c>
      <c r="AO4">
        <f t="shared" si="0"/>
        <v>2050</v>
      </c>
      <c r="AP4">
        <f t="shared" si="0"/>
        <v>2051</v>
      </c>
      <c r="AQ4">
        <f t="shared" si="0"/>
        <v>2052</v>
      </c>
      <c r="AR4">
        <f t="shared" si="0"/>
        <v>2053</v>
      </c>
      <c r="AS4">
        <f t="shared" si="0"/>
        <v>2054</v>
      </c>
      <c r="AT4">
        <f t="shared" si="0"/>
        <v>2055</v>
      </c>
      <c r="AU4">
        <f t="shared" si="0"/>
        <v>2056</v>
      </c>
      <c r="AV4">
        <f t="shared" si="0"/>
        <v>2057</v>
      </c>
      <c r="AW4">
        <f t="shared" si="0"/>
        <v>2058</v>
      </c>
      <c r="AX4">
        <f t="shared" si="0"/>
        <v>2059</v>
      </c>
      <c r="AY4">
        <f t="shared" si="0"/>
        <v>2060</v>
      </c>
      <c r="AZ4">
        <f t="shared" si="0"/>
        <v>2061</v>
      </c>
      <c r="BA4">
        <f t="shared" si="0"/>
        <v>2062</v>
      </c>
      <c r="BB4">
        <f t="shared" si="0"/>
        <v>2063</v>
      </c>
      <c r="BC4">
        <f t="shared" si="0"/>
        <v>2064</v>
      </c>
      <c r="BD4">
        <f t="shared" si="0"/>
        <v>2065</v>
      </c>
      <c r="BE4">
        <f t="shared" si="0"/>
        <v>2066</v>
      </c>
      <c r="BF4">
        <f t="shared" si="0"/>
        <v>2067</v>
      </c>
      <c r="BG4">
        <f t="shared" si="0"/>
        <v>2068</v>
      </c>
      <c r="BH4">
        <f t="shared" si="0"/>
        <v>2069</v>
      </c>
      <c r="BI4">
        <f t="shared" si="0"/>
        <v>2070</v>
      </c>
      <c r="BJ4">
        <f t="shared" si="0"/>
        <v>2071</v>
      </c>
      <c r="BK4">
        <f t="shared" si="0"/>
        <v>2072</v>
      </c>
      <c r="BL4">
        <f t="shared" si="0"/>
        <v>2073</v>
      </c>
      <c r="BM4">
        <f t="shared" si="0"/>
        <v>2074</v>
      </c>
      <c r="BN4">
        <f t="shared" si="0"/>
        <v>2075</v>
      </c>
      <c r="BO4">
        <f t="shared" si="0"/>
        <v>2076</v>
      </c>
      <c r="BP4">
        <f t="shared" si="0"/>
        <v>2077</v>
      </c>
      <c r="BQ4">
        <f t="shared" si="0"/>
        <v>2078</v>
      </c>
      <c r="BR4">
        <f t="shared" si="0"/>
        <v>2079</v>
      </c>
      <c r="BS4">
        <f t="shared" ref="BS4:CZ4" si="1">BR4+1</f>
        <v>2080</v>
      </c>
      <c r="BT4">
        <f t="shared" si="1"/>
        <v>2081</v>
      </c>
      <c r="BU4">
        <f t="shared" si="1"/>
        <v>2082</v>
      </c>
      <c r="BV4">
        <f t="shared" si="1"/>
        <v>2083</v>
      </c>
      <c r="BW4">
        <f t="shared" si="1"/>
        <v>2084</v>
      </c>
      <c r="BX4">
        <f t="shared" si="1"/>
        <v>2085</v>
      </c>
      <c r="BY4">
        <f t="shared" si="1"/>
        <v>2086</v>
      </c>
      <c r="BZ4">
        <f t="shared" si="1"/>
        <v>2087</v>
      </c>
      <c r="CA4">
        <f t="shared" si="1"/>
        <v>2088</v>
      </c>
      <c r="CB4">
        <f t="shared" si="1"/>
        <v>2089</v>
      </c>
      <c r="CC4">
        <f t="shared" si="1"/>
        <v>2090</v>
      </c>
      <c r="CD4">
        <f t="shared" si="1"/>
        <v>2091</v>
      </c>
      <c r="CE4">
        <f t="shared" si="1"/>
        <v>2092</v>
      </c>
      <c r="CF4">
        <f t="shared" si="1"/>
        <v>2093</v>
      </c>
      <c r="CG4">
        <f t="shared" si="1"/>
        <v>2094</v>
      </c>
      <c r="CH4">
        <f t="shared" si="1"/>
        <v>2095</v>
      </c>
      <c r="CI4">
        <f t="shared" si="1"/>
        <v>2096</v>
      </c>
      <c r="CJ4">
        <f t="shared" si="1"/>
        <v>2097</v>
      </c>
      <c r="CK4">
        <f t="shared" si="1"/>
        <v>2098</v>
      </c>
      <c r="CL4">
        <f t="shared" si="1"/>
        <v>2099</v>
      </c>
      <c r="CM4">
        <f t="shared" si="1"/>
        <v>2100</v>
      </c>
      <c r="CN4">
        <f t="shared" si="1"/>
        <v>2101</v>
      </c>
      <c r="CO4">
        <f t="shared" si="1"/>
        <v>2102</v>
      </c>
      <c r="CP4">
        <f t="shared" si="1"/>
        <v>2103</v>
      </c>
      <c r="CQ4">
        <f t="shared" si="1"/>
        <v>2104</v>
      </c>
      <c r="CR4">
        <f t="shared" si="1"/>
        <v>2105</v>
      </c>
      <c r="CS4">
        <f t="shared" si="1"/>
        <v>2106</v>
      </c>
      <c r="CT4">
        <f t="shared" si="1"/>
        <v>2107</v>
      </c>
      <c r="CU4">
        <f t="shared" si="1"/>
        <v>2108</v>
      </c>
      <c r="CV4">
        <f t="shared" si="1"/>
        <v>2109</v>
      </c>
      <c r="CW4">
        <f t="shared" si="1"/>
        <v>2110</v>
      </c>
      <c r="CX4">
        <f t="shared" si="1"/>
        <v>2111</v>
      </c>
      <c r="CY4">
        <f t="shared" si="1"/>
        <v>2112</v>
      </c>
      <c r="CZ4">
        <f t="shared" si="1"/>
        <v>2113</v>
      </c>
    </row>
    <row r="5" spans="1:104" x14ac:dyDescent="0.25">
      <c r="A5" s="472" t="s">
        <v>222</v>
      </c>
    </row>
    <row r="6" spans="1:104" x14ac:dyDescent="0.25">
      <c r="B6" t="s">
        <v>66</v>
      </c>
      <c r="E6" s="414">
        <f>'Economist Plan 2'!D7</f>
        <v>155615.26406250001</v>
      </c>
      <c r="F6" s="414">
        <f>'Economist Plan 2'!E7</f>
        <v>160050.29908828126</v>
      </c>
      <c r="G6" s="414">
        <f>'Economist Plan 2'!F7</f>
        <v>164611.73261229726</v>
      </c>
      <c r="H6" s="414">
        <f>'Economist Plan 2'!G7</f>
        <v>169303.16699174771</v>
      </c>
      <c r="I6" s="414">
        <f>'Economist Plan 2'!H7</f>
        <v>174128.30725101251</v>
      </c>
      <c r="J6" s="414">
        <f>'Economist Plan 2'!I7</f>
        <v>179090.96400766636</v>
      </c>
      <c r="K6" s="414">
        <f>'Economist Plan 2'!J7</f>
        <v>184195.05648188485</v>
      </c>
      <c r="L6" s="414">
        <f>'Economist Plan 2'!K7</f>
        <v>189444.61559161855</v>
      </c>
      <c r="M6" s="414">
        <f>'Economist Plan 2'!L7</f>
        <v>194843.78713597968</v>
      </c>
      <c r="N6" s="414">
        <f>'Economist Plan 2'!M7</f>
        <v>200396.83506935509</v>
      </c>
      <c r="O6" s="414">
        <f>'Economist Plan 2'!N7</f>
        <v>206108.1448688317</v>
      </c>
      <c r="P6" s="414">
        <f>'Economist Plan 2'!O7</f>
        <v>211982.22699759339</v>
      </c>
      <c r="Q6" s="414">
        <f>'Economist Plan 2'!P7</f>
        <v>218023.7204670248</v>
      </c>
      <c r="R6" s="414">
        <f>'Economist Plan 2'!Q7</f>
        <v>224237.39650033502</v>
      </c>
      <c r="S6" s="414">
        <f>'Economist Plan 2'!R7</f>
        <v>230628.16230059456</v>
      </c>
      <c r="T6" s="414">
        <f>'Economist Plan 2'!S7</f>
        <v>237201.06492616149</v>
      </c>
      <c r="U6" s="414">
        <f>'Economist Plan 2'!T7</f>
        <v>243961.2952765571</v>
      </c>
      <c r="V6" s="414">
        <f>'Economist Plan 2'!U7</f>
        <v>250914.19219193896</v>
      </c>
      <c r="W6" s="414">
        <f>'Economist Plan 2'!V7</f>
        <v>258065.24666940921</v>
      </c>
      <c r="X6" s="414">
        <f>'Economist Plan 2'!W7</f>
        <v>265420.10619948735</v>
      </c>
      <c r="Y6" s="414">
        <f>'Economist Plan 2'!X7</f>
        <v>272984.5792261727</v>
      </c>
      <c r="Z6" s="414">
        <f>'Economist Plan 2'!Y7</f>
        <v>280764.63973411859</v>
      </c>
      <c r="AA6" s="414">
        <f>'Economist Plan 2'!Z7</f>
        <v>288766.43196654099</v>
      </c>
      <c r="AB6" s="414">
        <f>'Economist Plan 2'!AA7</f>
        <v>296996.27527758741</v>
      </c>
      <c r="AC6" s="414">
        <f>'Economist Plan 2'!AB7</f>
        <v>305460.66912299866</v>
      </c>
      <c r="AD6" s="414">
        <f>'Economist Plan 2'!AC7</f>
        <v>314166.2981930041</v>
      </c>
      <c r="AE6" s="414">
        <f>'Economist Plan 2'!AD7</f>
        <v>323120.03769150469</v>
      </c>
      <c r="AF6" s="414">
        <f>'Economist Plan 2'!AE7</f>
        <v>332328.95876571257</v>
      </c>
      <c r="AG6" s="414">
        <f>'Economist Plan 2'!AF7</f>
        <v>341800.33409053535</v>
      </c>
      <c r="AH6" s="414">
        <f>'Economist Plan 2'!AG7</f>
        <v>351541.64361211559</v>
      </c>
      <c r="AI6" s="414">
        <f>'Economist Plan 2'!AH7</f>
        <v>361560.58045506087</v>
      </c>
      <c r="AJ6" s="414">
        <f>'Economist Plan 2'!AI7</f>
        <v>371865.05699803011</v>
      </c>
      <c r="AK6" s="414">
        <f>'Economist Plan 2'!AJ7</f>
        <v>382463.21112247393</v>
      </c>
      <c r="AL6" s="414">
        <f>'Economist Plan 2'!AK7</f>
        <v>393363.41263946443</v>
      </c>
      <c r="AM6" s="414">
        <f>'Economist Plan 2'!AL7</f>
        <v>404574.26989968913</v>
      </c>
      <c r="AN6" s="414">
        <f>'Economist Plan 2'!AM7</f>
        <v>416104.63659183023</v>
      </c>
      <c r="AO6" s="414">
        <f>'Economist Plan 2'!AN7</f>
        <v>427963.6187346974</v>
      </c>
      <c r="AP6" s="414">
        <f>'Economist Plan 2'!AO7</f>
        <v>440160.58186863625</v>
      </c>
      <c r="AQ6" s="414">
        <f>'Economist Plan 2'!AP7</f>
        <v>452705.15845189238</v>
      </c>
      <c r="AR6" s="414">
        <f>'Economist Plan 2'!AQ7</f>
        <v>465607.25546777132</v>
      </c>
      <c r="AS6" s="414">
        <f>'Economist Plan 2'!AR7</f>
        <v>478877.0622486028</v>
      </c>
      <c r="AT6" s="414">
        <f>'Economist Plan 2'!AS7</f>
        <v>492525.05852268799</v>
      </c>
      <c r="AU6" s="414">
        <f>'Economist Plan 2'!AT7</f>
        <v>506562.02269058459</v>
      </c>
      <c r="AV6" s="414">
        <f>'Economist Plan 2'!AU7</f>
        <v>520999.04033726623</v>
      </c>
      <c r="AW6" s="414">
        <f>'Economist Plan 2'!AV7</f>
        <v>535847.51298687828</v>
      </c>
      <c r="AX6" s="414">
        <f>'Economist Plan 2'!AW7</f>
        <v>551119.16710700432</v>
      </c>
      <c r="AY6" s="414">
        <f>'Economist Plan 2'!AX7</f>
        <v>566826.06336955389</v>
      </c>
      <c r="AZ6" s="414">
        <f>'Economist Plan 2'!AY7</f>
        <v>582980.60617558612</v>
      </c>
      <c r="BA6" s="414">
        <f>'Economist Plan 2'!AZ7</f>
        <v>599595.55345159036</v>
      </c>
      <c r="BB6" s="414">
        <f>'Economist Plan 2'!BA7</f>
        <v>616684.02672496065</v>
      </c>
      <c r="BC6" s="414">
        <f>'Economist Plan 2'!BB7</f>
        <v>634259.52148662205</v>
      </c>
      <c r="BD6" s="414">
        <f>'Economist Plan 2'!BC7</f>
        <v>652335.91784899076</v>
      </c>
      <c r="BE6" s="414">
        <f>'Economist Plan 2'!BD7</f>
        <v>670927.49150768702</v>
      </c>
      <c r="BF6" s="414">
        <f>'Economist Plan 2'!BE7</f>
        <v>690048.92501565604</v>
      </c>
      <c r="BG6" s="414">
        <f>'Economist Plan 2'!BF7</f>
        <v>709715.3193786022</v>
      </c>
      <c r="BH6" s="414">
        <f>'Economist Plan 2'!BG7</f>
        <v>729942.20598089229</v>
      </c>
      <c r="BI6" s="414">
        <f>'Economist Plan 2'!BH7</f>
        <v>750745.55885134765</v>
      </c>
      <c r="BJ6" s="414">
        <f>'Economist Plan 2'!BI7</f>
        <v>750745.55885134765</v>
      </c>
      <c r="BK6" s="414">
        <f>'Economist Plan 2'!BJ7</f>
        <v>772141.807278611</v>
      </c>
      <c r="BL6" s="414">
        <f>'Economist Plan 2'!BK7</f>
        <v>794147.84878605139</v>
      </c>
      <c r="BM6" s="414">
        <f>'Economist Plan 2'!BL7</f>
        <v>816781.06247645384</v>
      </c>
      <c r="BN6" s="414">
        <f>'Economist Plan 2'!BM7</f>
        <v>840059.3227570327</v>
      </c>
      <c r="BO6" s="414">
        <f>'Economist Plan 2'!BN7</f>
        <v>864001.01345560816</v>
      </c>
      <c r="BP6" s="414">
        <f>'Economist Plan 2'!BO7</f>
        <v>888625.04233909294</v>
      </c>
      <c r="BQ6" s="414">
        <f>'Economist Plan 2'!BP7</f>
        <v>913950.85604575707</v>
      </c>
      <c r="BR6" s="414">
        <f>'Economist Plan 2'!BQ7</f>
        <v>939998.45544306107</v>
      </c>
      <c r="BS6" s="414">
        <f>'Economist Plan 2'!BR7</f>
        <v>966788.41142318828</v>
      </c>
      <c r="BT6" s="808">
        <f>'Economist Plan 2'!BS7</f>
        <v>994341.88114874915</v>
      </c>
      <c r="BU6" s="808">
        <f>'Economist Plan 2'!BT7</f>
        <v>1022680.6247614885</v>
      </c>
      <c r="BV6" s="808">
        <f>'Economist Plan 2'!BU7</f>
        <v>1051827.0225671909</v>
      </c>
      <c r="BW6" s="808">
        <f>'Economist Plan 2'!BV7</f>
        <v>1081804.0927103558</v>
      </c>
      <c r="BX6" s="808">
        <f>'Economist Plan 2'!BW7</f>
        <v>1112635.5093526009</v>
      </c>
      <c r="BY6" s="808">
        <f>'Economist Plan 2'!BX7</f>
        <v>1144345.62136915</v>
      </c>
      <c r="BZ6" s="808">
        <f>'Economist Plan 2'!BY7</f>
        <v>1176959.4715781708</v>
      </c>
      <c r="CA6" s="808">
        <f>'Economist Plan 2'!BZ7</f>
        <v>1210502.8165181486</v>
      </c>
      <c r="CB6" s="808">
        <f>'Economist Plan 2'!CA7</f>
        <v>1245002.1467889159</v>
      </c>
      <c r="CC6" s="808">
        <f>'Economist Plan 2'!CB7</f>
        <v>1280484.7079723999</v>
      </c>
      <c r="CD6" s="808">
        <f>'Economist Plan 2'!CC7</f>
        <v>0</v>
      </c>
      <c r="CE6" s="414" t="e">
        <f>VLOOKUP(CE$4,'Summary Baseline Data'!$A$9:$AA$110,4,FALSE)</f>
        <v>#N/A</v>
      </c>
      <c r="CF6" s="414" t="e">
        <f>VLOOKUP(CF$4,'Summary Baseline Data'!$A$9:$AA$110,4,FALSE)</f>
        <v>#N/A</v>
      </c>
      <c r="CG6" s="414" t="e">
        <f>VLOOKUP(CG$4,'Summary Baseline Data'!$A$9:$AA$110,4,FALSE)</f>
        <v>#N/A</v>
      </c>
      <c r="CH6" s="414" t="e">
        <f>VLOOKUP(CH$4,'Summary Baseline Data'!$A$9:$AA$110,4,FALSE)</f>
        <v>#N/A</v>
      </c>
      <c r="CI6" s="414" t="e">
        <f>VLOOKUP(CI$4,'Summary Baseline Data'!$A$9:$AA$110,4,FALSE)</f>
        <v>#N/A</v>
      </c>
      <c r="CJ6" s="414" t="e">
        <f>VLOOKUP(CJ$4,'Summary Baseline Data'!$A$9:$AA$110,4,FALSE)</f>
        <v>#N/A</v>
      </c>
      <c r="CK6" s="414" t="e">
        <f>VLOOKUP(CK$4,'Summary Baseline Data'!$A$9:$AA$110,4,FALSE)</f>
        <v>#N/A</v>
      </c>
      <c r="CL6" s="414" t="e">
        <f>VLOOKUP(CL$4,'Summary Baseline Data'!$A$9:$AA$110,4,FALSE)</f>
        <v>#N/A</v>
      </c>
      <c r="CM6" s="414" t="e">
        <f>VLOOKUP(CM$4,'Summary Baseline Data'!$A$9:$AA$110,4,FALSE)</f>
        <v>#N/A</v>
      </c>
      <c r="CN6" s="414" t="e">
        <f>VLOOKUP(CN$4,'Summary Baseline Data'!$A$9:$AA$110,4,FALSE)</f>
        <v>#N/A</v>
      </c>
      <c r="CO6" s="414" t="e">
        <f>VLOOKUP(CO$4,'Summary Baseline Data'!$A$9:$AA$110,4,FALSE)</f>
        <v>#N/A</v>
      </c>
      <c r="CP6" s="414" t="e">
        <f>VLOOKUP(CP$4,'Summary Baseline Data'!$A$9:$AA$110,4,FALSE)</f>
        <v>#N/A</v>
      </c>
      <c r="CQ6" s="414" t="e">
        <f>VLOOKUP(CQ$4,'Summary Baseline Data'!$A$9:$AA$110,4,FALSE)</f>
        <v>#N/A</v>
      </c>
      <c r="CR6" s="414" t="e">
        <f>VLOOKUP(CR$4,'Summary Baseline Data'!$A$9:$AA$110,4,FALSE)</f>
        <v>#N/A</v>
      </c>
      <c r="CS6" s="414" t="e">
        <f>VLOOKUP(CS$4,'Summary Baseline Data'!$A$9:$AA$110,4,FALSE)</f>
        <v>#N/A</v>
      </c>
      <c r="CT6" s="414" t="e">
        <f>VLOOKUP(CT$4,'Summary Baseline Data'!$A$9:$AA$110,4,FALSE)</f>
        <v>#N/A</v>
      </c>
      <c r="CU6" s="414" t="e">
        <f>VLOOKUP(CU$4,'Summary Baseline Data'!$A$9:$AA$110,4,FALSE)</f>
        <v>#N/A</v>
      </c>
      <c r="CV6" s="414" t="e">
        <f>VLOOKUP(CV$4,'Summary Baseline Data'!$A$9:$AA$110,4,FALSE)</f>
        <v>#N/A</v>
      </c>
      <c r="CW6" s="414" t="e">
        <f>VLOOKUP(CW$4,'Summary Baseline Data'!$A$9:$AA$110,4,FALSE)</f>
        <v>#N/A</v>
      </c>
      <c r="CX6" s="414" t="e">
        <f>VLOOKUP(CX$4,'Summary Baseline Data'!$A$9:$AA$110,4,FALSE)</f>
        <v>#N/A</v>
      </c>
      <c r="CY6" s="414" t="e">
        <f>VLOOKUP(CY$4,'Summary Baseline Data'!$A$9:$AA$110,4,FALSE)</f>
        <v>#N/A</v>
      </c>
      <c r="CZ6" s="414" t="e">
        <f>VLOOKUP(CZ$4,'Summary Baseline Data'!$A$9:$AA$110,4,FALSE)</f>
        <v>#N/A</v>
      </c>
    </row>
    <row r="7" spans="1:104" x14ac:dyDescent="0.25">
      <c r="B7" t="s">
        <v>281</v>
      </c>
      <c r="E7" s="414">
        <f>'Economist Plan 2'!D8</f>
        <v>1466.7139668367367</v>
      </c>
      <c r="F7" s="414">
        <f>'Economist Plan 2'!E8</f>
        <v>1508.5153148915829</v>
      </c>
      <c r="G7" s="414">
        <f>'Economist Plan 2'!F8</f>
        <v>1551.5080013659863</v>
      </c>
      <c r="H7" s="414">
        <f>'Economist Plan 2'!G8</f>
        <v>1595.725979404916</v>
      </c>
      <c r="I7" s="414">
        <f>'Economist Plan 2'!H8</f>
        <v>1641.2041698179571</v>
      </c>
      <c r="J7" s="414">
        <f>'Economist Plan 2'!I8</f>
        <v>1687.9784886577747</v>
      </c>
      <c r="K7" s="414">
        <f>'Economist Plan 2'!J8</f>
        <v>1736.0858755845195</v>
      </c>
      <c r="L7" s="414">
        <f>'Economist Plan 2'!K8</f>
        <v>1785.564323038674</v>
      </c>
      <c r="M7" s="414">
        <f>'Economist Plan 2'!L8</f>
        <v>1836.452906245283</v>
      </c>
      <c r="N7" s="414">
        <f>'Economist Plan 2'!M8</f>
        <v>1888.791814073267</v>
      </c>
      <c r="O7" s="414">
        <f>'Economist Plan 2'!N8</f>
        <v>1942.6223807743586</v>
      </c>
      <c r="P7" s="414">
        <f>'Economist Plan 2'!O8</f>
        <v>1997.9871186264236</v>
      </c>
      <c r="Q7" s="414">
        <f>'Economist Plan 2'!P8</f>
        <v>2054.929751507284</v>
      </c>
      <c r="R7" s="414">
        <f>'Economist Plan 2'!Q8</f>
        <v>2113.4952494252429</v>
      </c>
      <c r="S7" s="414">
        <f>'Economist Plan 2'!R8</f>
        <v>2173.7298640338577</v>
      </c>
      <c r="T7" s="414">
        <f>'Economist Plan 2'!S8</f>
        <v>2235.68116515882</v>
      </c>
      <c r="U7" s="414">
        <f>'Economist Plan 2'!T8</f>
        <v>2299.3980783658526</v>
      </c>
      <c r="V7" s="414">
        <f>'Economist Plan 2'!U8</f>
        <v>2364.9309235992728</v>
      </c>
      <c r="W7" s="414">
        <f>'Economist Plan 2'!V8</f>
        <v>2432.3314549218562</v>
      </c>
      <c r="X7" s="414">
        <f>'Economist Plan 2'!W8</f>
        <v>2501.6529013871195</v>
      </c>
      <c r="Y7" s="414">
        <f>'Economist Plan 2'!X8</f>
        <v>2572.9500090766528</v>
      </c>
      <c r="Z7" s="414">
        <f>'Economist Plan 2'!Y8</f>
        <v>2646.2790843353373</v>
      </c>
      <c r="AA7" s="414">
        <f>'Economist Plan 2'!Z8</f>
        <v>2721.6980382389083</v>
      </c>
      <c r="AB7" s="414">
        <f>'Economist Plan 2'!AA8</f>
        <v>2799.2664323287158</v>
      </c>
      <c r="AC7" s="414">
        <f>'Economist Plan 2'!AB8</f>
        <v>2879.0455256500854</v>
      </c>
      <c r="AD7" s="414">
        <f>'Economist Plan 2'!AC8</f>
        <v>2961.0983231311016</v>
      </c>
      <c r="AE7" s="414">
        <f>'Economist Plan 2'!AD8</f>
        <v>3045.489625340339</v>
      </c>
      <c r="AF7" s="414">
        <f>'Economist Plan 2'!AE8</f>
        <v>3132.2860796625414</v>
      </c>
      <c r="AG7" s="414">
        <f>'Economist Plan 2'!AF8</f>
        <v>3221.5562329329209</v>
      </c>
      <c r="AH7" s="414">
        <f>'Economist Plan 2'!AG8</f>
        <v>3313.3705855715075</v>
      </c>
      <c r="AI7" s="414">
        <f>'Economist Plan 2'!AH8</f>
        <v>3407.8016472603022</v>
      </c>
      <c r="AJ7" s="414">
        <f>'Economist Plan 2'!AI8</f>
        <v>3504.9239942072227</v>
      </c>
      <c r="AK7" s="414">
        <f>'Economist Plan 2'!AJ8</f>
        <v>3604.8143280421182</v>
      </c>
      <c r="AL7" s="414">
        <f>'Economist Plan 2'!AK8</f>
        <v>3707.5515363913237</v>
      </c>
      <c r="AM7" s="414">
        <f>'Economist Plan 2'!AL8</f>
        <v>3813.2167551784696</v>
      </c>
      <c r="AN7" s="414">
        <f>'Economist Plan 2'!AM8</f>
        <v>3921.8934327010566</v>
      </c>
      <c r="AO7" s="414">
        <f>'Economist Plan 2'!AN8</f>
        <v>4033.6673955330516</v>
      </c>
      <c r="AP7" s="414">
        <f>'Economist Plan 2'!AO8</f>
        <v>4148.6269163057295</v>
      </c>
      <c r="AQ7" s="414">
        <f>'Economist Plan 2'!AP8</f>
        <v>4266.8627834204526</v>
      </c>
      <c r="AR7" s="414">
        <f>'Economist Plan 2'!AQ8</f>
        <v>4388.4683727479396</v>
      </c>
      <c r="AS7" s="414">
        <f>'Economist Plan 2'!AR8</f>
        <v>4513.5397213712522</v>
      </c>
      <c r="AT7" s="414">
        <f>'Economist Plan 2'!AS8</f>
        <v>4642.1756034303371</v>
      </c>
      <c r="AU7" s="414">
        <f>'Economist Plan 2'!AT8</f>
        <v>4774.4776081280952</v>
      </c>
      <c r="AV7" s="414">
        <f>'Economist Plan 2'!AU8</f>
        <v>4910.5502199597395</v>
      </c>
      <c r="AW7" s="414">
        <f>'Economist Plan 2'!AV8</f>
        <v>5050.5009012285909</v>
      </c>
      <c r="AX7" s="414">
        <f>'Economist Plan 2'!AW8</f>
        <v>5194.4401769136193</v>
      </c>
      <c r="AY7" s="414">
        <f>'Economist Plan 2'!AX8</f>
        <v>5342.4817219556335</v>
      </c>
      <c r="AZ7" s="414">
        <f>'Economist Plan 2'!AY8</f>
        <v>5494.7424510313713</v>
      </c>
      <c r="BA7" s="414">
        <f>'Economist Plan 2'!AZ8</f>
        <v>5651.3426108857966</v>
      </c>
      <c r="BB7" s="414">
        <f>'Economist Plan 2'!BA8</f>
        <v>5812.40587529602</v>
      </c>
      <c r="BC7" s="414">
        <f>'Economist Plan 2'!BB8</f>
        <v>5978.059442741971</v>
      </c>
      <c r="BD7" s="414">
        <f>'Economist Plan 2'!BC8</f>
        <v>6148.4341368601072</v>
      </c>
      <c r="BE7" s="414">
        <f>'Economist Plan 2'!BD8</f>
        <v>6323.6645097606324</v>
      </c>
      <c r="BF7" s="414">
        <f>'Economist Plan 2'!BE8</f>
        <v>6503.8889482887826</v>
      </c>
      <c r="BG7" s="414">
        <f>'Economist Plan 2'!BF8</f>
        <v>6689.2497833150201</v>
      </c>
      <c r="BH7" s="414">
        <f>'Economist Plan 2'!BG8</f>
        <v>6879.8934021394871</v>
      </c>
      <c r="BI7" s="414">
        <f>'Economist Plan 2'!BH8</f>
        <v>7075.9703641004635</v>
      </c>
      <c r="BJ7" s="414">
        <f>'Economist Plan 2'!BI8</f>
        <v>7075.9703641004635</v>
      </c>
      <c r="BK7" s="414">
        <f>'Economist Plan 2'!BJ8</f>
        <v>7277.6355194773287</v>
      </c>
      <c r="BL7" s="414">
        <f>'Economist Plan 2'!BK8</f>
        <v>7485.0481317824442</v>
      </c>
      <c r="BM7" s="414">
        <f>'Economist Plan 2'!BL8</f>
        <v>7698.3720035382494</v>
      </c>
      <c r="BN7" s="414">
        <f>'Economist Plan 2'!BM8</f>
        <v>7917.775605639069</v>
      </c>
      <c r="BO7" s="414">
        <f>'Economist Plan 2'!BN8</f>
        <v>8143.4322103998165</v>
      </c>
      <c r="BP7" s="414">
        <f>'Economist Plan 2'!BO8</f>
        <v>8375.5200283961822</v>
      </c>
      <c r="BQ7" s="414">
        <f>'Economist Plan 2'!BP8</f>
        <v>8614.2223492054891</v>
      </c>
      <c r="BR7" s="414">
        <f>'Economist Plan 2'!BQ8</f>
        <v>8859.7276861578248</v>
      </c>
      <c r="BS7" s="414">
        <f>'Economist Plan 2'!BR8</f>
        <v>9112.229925213338</v>
      </c>
      <c r="BT7" s="611">
        <f>'Economist Plan 2'!BS8</f>
        <v>9371.9284780819271</v>
      </c>
      <c r="BU7" s="414">
        <f>'Economist Plan 2'!BT8</f>
        <v>9639.0284397072701</v>
      </c>
      <c r="BV7" s="414">
        <f>'Economist Plan 2'!BU8</f>
        <v>9913.7407502389142</v>
      </c>
      <c r="BW7" s="414">
        <f>'Economist Plan 2'!BV8</f>
        <v>10196.282361620692</v>
      </c>
      <c r="BX7" s="414">
        <f>'Economist Plan 2'!BW8</f>
        <v>10486.876408926917</v>
      </c>
      <c r="BY7" s="414">
        <f>'Economist Plan 2'!BX8</f>
        <v>10785.752386581327</v>
      </c>
      <c r="BZ7" s="414">
        <f>'Economist Plan 2'!BY8</f>
        <v>11093.146329598903</v>
      </c>
      <c r="CA7" s="414">
        <f>'Economist Plan 2'!BZ8</f>
        <v>11409.300999992471</v>
      </c>
      <c r="CB7" s="414">
        <f>'Economist Plan 2'!CA8</f>
        <v>11734.466078492249</v>
      </c>
      <c r="CC7" s="414">
        <f>'Economist Plan 2'!CB8</f>
        <v>12068.898361729265</v>
      </c>
    </row>
    <row r="8" spans="1:104" x14ac:dyDescent="0.25">
      <c r="B8" t="s">
        <v>302</v>
      </c>
      <c r="E8" s="414">
        <f>E7</f>
        <v>1466.7139668367367</v>
      </c>
      <c r="F8" s="414">
        <f>F7+E8</f>
        <v>2975.2292817283196</v>
      </c>
      <c r="G8" s="414">
        <f t="shared" ref="G8:AY8" si="2">G7+F8</f>
        <v>4526.7372830943059</v>
      </c>
      <c r="H8" s="414">
        <f t="shared" si="2"/>
        <v>6122.4632624992219</v>
      </c>
      <c r="I8" s="414">
        <f t="shared" si="2"/>
        <v>7763.6674323171792</v>
      </c>
      <c r="J8" s="414">
        <f t="shared" si="2"/>
        <v>9451.6459209749537</v>
      </c>
      <c r="K8" s="414">
        <f t="shared" si="2"/>
        <v>11187.731796559474</v>
      </c>
      <c r="L8" s="414">
        <f t="shared" si="2"/>
        <v>12973.296119598148</v>
      </c>
      <c r="M8" s="414">
        <f t="shared" si="2"/>
        <v>14809.74902584343</v>
      </c>
      <c r="N8" s="414">
        <f t="shared" si="2"/>
        <v>16698.540839916695</v>
      </c>
      <c r="O8" s="414">
        <f t="shared" si="2"/>
        <v>18641.163220691054</v>
      </c>
      <c r="P8" s="414">
        <f t="shared" si="2"/>
        <v>20639.150339317479</v>
      </c>
      <c r="Q8" s="414">
        <f t="shared" si="2"/>
        <v>22694.080090824762</v>
      </c>
      <c r="R8" s="414">
        <f t="shared" si="2"/>
        <v>24807.575340250005</v>
      </c>
      <c r="S8" s="414">
        <f t="shared" si="2"/>
        <v>26981.305204283861</v>
      </c>
      <c r="T8" s="414">
        <f t="shared" si="2"/>
        <v>29216.986369442682</v>
      </c>
      <c r="U8" s="414">
        <f t="shared" si="2"/>
        <v>31516.384447808534</v>
      </c>
      <c r="V8" s="414">
        <f t="shared" si="2"/>
        <v>33881.315371407807</v>
      </c>
      <c r="W8" s="414">
        <f t="shared" si="2"/>
        <v>36313.646826329663</v>
      </c>
      <c r="X8" s="414">
        <f t="shared" si="2"/>
        <v>38815.299727716781</v>
      </c>
      <c r="Y8" s="414">
        <f t="shared" si="2"/>
        <v>41388.249736793434</v>
      </c>
      <c r="Z8" s="414">
        <f t="shared" si="2"/>
        <v>44034.52882112877</v>
      </c>
      <c r="AA8" s="414">
        <f t="shared" si="2"/>
        <v>46756.226859367678</v>
      </c>
      <c r="AB8" s="414">
        <f t="shared" si="2"/>
        <v>49555.493291696395</v>
      </c>
      <c r="AC8" s="414">
        <f t="shared" si="2"/>
        <v>52434.538817346482</v>
      </c>
      <c r="AD8" s="414">
        <f t="shared" si="2"/>
        <v>55395.637140477585</v>
      </c>
      <c r="AE8" s="414">
        <f t="shared" si="2"/>
        <v>58441.126765817928</v>
      </c>
      <c r="AF8" s="414">
        <f t="shared" si="2"/>
        <v>61573.412845480467</v>
      </c>
      <c r="AG8" s="414">
        <f t="shared" si="2"/>
        <v>64794.969078413385</v>
      </c>
      <c r="AH8" s="414">
        <f t="shared" si="2"/>
        <v>68108.339663984894</v>
      </c>
      <c r="AI8" s="414">
        <f t="shared" si="2"/>
        <v>71516.141311245199</v>
      </c>
      <c r="AJ8" s="414">
        <f t="shared" si="2"/>
        <v>75021.065305452415</v>
      </c>
      <c r="AK8" s="414">
        <f t="shared" si="2"/>
        <v>78625.879633494536</v>
      </c>
      <c r="AL8" s="414">
        <f t="shared" si="2"/>
        <v>82333.431169885866</v>
      </c>
      <c r="AM8" s="414">
        <f t="shared" si="2"/>
        <v>86146.647925064332</v>
      </c>
      <c r="AN8" s="414">
        <f t="shared" si="2"/>
        <v>90068.541357765382</v>
      </c>
      <c r="AO8" s="414">
        <f t="shared" si="2"/>
        <v>94102.20875329843</v>
      </c>
      <c r="AP8" s="414">
        <f t="shared" si="2"/>
        <v>98250.835669604159</v>
      </c>
      <c r="AQ8" s="414">
        <f t="shared" si="2"/>
        <v>102517.69845302461</v>
      </c>
      <c r="AR8" s="414">
        <f t="shared" si="2"/>
        <v>106906.16682577255</v>
      </c>
      <c r="AS8" s="414">
        <f t="shared" si="2"/>
        <v>111419.70654714381</v>
      </c>
      <c r="AT8" s="414">
        <f t="shared" si="2"/>
        <v>116061.88215057415</v>
      </c>
      <c r="AU8" s="414">
        <f t="shared" si="2"/>
        <v>120836.35975870225</v>
      </c>
      <c r="AV8" s="414">
        <f t="shared" si="2"/>
        <v>125746.90997866199</v>
      </c>
      <c r="AW8" s="414">
        <f t="shared" si="2"/>
        <v>130797.41087989058</v>
      </c>
      <c r="AX8" s="414">
        <f t="shared" si="2"/>
        <v>135991.85105680421</v>
      </c>
      <c r="AY8" s="414">
        <f t="shared" si="2"/>
        <v>141334.33277875985</v>
      </c>
      <c r="AZ8" s="414">
        <f t="shared" ref="AZ8" si="3">AZ7+AY8</f>
        <v>146829.07522979123</v>
      </c>
      <c r="BA8" s="414">
        <f t="shared" ref="BA8" si="4">BA7+AZ8</f>
        <v>152480.41784067702</v>
      </c>
      <c r="BB8" s="414">
        <f t="shared" ref="BB8" si="5">BB7+BA8</f>
        <v>158292.82371597303</v>
      </c>
      <c r="BC8" s="414">
        <f t="shared" ref="BC8" si="6">BC7+BB8</f>
        <v>164270.88315871501</v>
      </c>
      <c r="BD8" s="414">
        <f t="shared" ref="BD8" si="7">BD7+BC8</f>
        <v>170419.31729557511</v>
      </c>
      <c r="BE8" s="414">
        <f t="shared" ref="BE8" si="8">BE7+BD8</f>
        <v>176742.98180533573</v>
      </c>
      <c r="BF8" s="414">
        <f t="shared" ref="BF8" si="9">BF7+BE8</f>
        <v>183246.87075362451</v>
      </c>
      <c r="BG8" s="414">
        <f t="shared" ref="BG8" si="10">BG7+BF8</f>
        <v>189936.12053693953</v>
      </c>
      <c r="BH8" s="414">
        <f t="shared" ref="BH8" si="11">BH7+BG8</f>
        <v>196816.01393907901</v>
      </c>
      <c r="BI8" s="414">
        <f t="shared" ref="BI8" si="12">BI7+BH8</f>
        <v>203891.98430317949</v>
      </c>
      <c r="BJ8" s="414">
        <f t="shared" ref="BJ8" si="13">BJ7+BI8</f>
        <v>210967.95466727996</v>
      </c>
      <c r="BK8" s="414">
        <f t="shared" ref="BK8" si="14">BK7+BJ8</f>
        <v>218245.5901867573</v>
      </c>
      <c r="BL8" s="414">
        <f t="shared" ref="BL8" si="15">BL7+BK8</f>
        <v>225730.63831853974</v>
      </c>
      <c r="BM8" s="414">
        <f t="shared" ref="BM8" si="16">BM7+BL8</f>
        <v>233429.01032207799</v>
      </c>
      <c r="BN8" s="414">
        <f t="shared" ref="BN8" si="17">BN7+BM8</f>
        <v>241346.78592771705</v>
      </c>
      <c r="BO8" s="414">
        <f t="shared" ref="BO8" si="18">BO7+BN8</f>
        <v>249490.21813811688</v>
      </c>
      <c r="BP8" s="414">
        <f t="shared" ref="BP8" si="19">BP7+BO8</f>
        <v>257865.73816651307</v>
      </c>
      <c r="BQ8" s="414">
        <f t="shared" ref="BQ8" si="20">BQ7+BP8</f>
        <v>266479.96051571856</v>
      </c>
      <c r="BR8" s="414">
        <f t="shared" ref="BR8" si="21">BR7+BQ8</f>
        <v>275339.68820187636</v>
      </c>
      <c r="BS8" s="414">
        <f t="shared" ref="BS8" si="22">BS7+BR8</f>
        <v>284451.91812708968</v>
      </c>
      <c r="BT8" s="414">
        <f t="shared" ref="BT8" si="23">BT7+BS8</f>
        <v>293823.84660517162</v>
      </c>
      <c r="BU8" s="414">
        <f t="shared" ref="BU8" si="24">BU7+BT8</f>
        <v>303462.87504487892</v>
      </c>
      <c r="BV8" s="414">
        <f t="shared" ref="BV8" si="25">BV7+BU8</f>
        <v>313376.61579511786</v>
      </c>
      <c r="BW8" s="414">
        <f t="shared" ref="BW8" si="26">BW7+BV8</f>
        <v>323572.89815673855</v>
      </c>
      <c r="BX8" s="414">
        <f t="shared" ref="BX8" si="27">BX7+BW8</f>
        <v>334059.77456566546</v>
      </c>
      <c r="BY8" s="414">
        <f t="shared" ref="BY8" si="28">BY7+BX8</f>
        <v>344845.52695224679</v>
      </c>
      <c r="BZ8" s="414">
        <f t="shared" ref="BZ8" si="29">BZ7+BY8</f>
        <v>355938.67328184569</v>
      </c>
      <c r="CA8" s="414">
        <f t="shared" ref="CA8" si="30">CA7+BZ8</f>
        <v>367347.97428183816</v>
      </c>
      <c r="CB8" s="414">
        <f t="shared" ref="CB8" si="31">CB7+CA8</f>
        <v>379082.44036033039</v>
      </c>
      <c r="CC8" s="414">
        <f t="shared" ref="CC8" si="32">CC7+CB8</f>
        <v>391151.33872205968</v>
      </c>
      <c r="CD8" s="414"/>
      <c r="CE8" s="414"/>
      <c r="CF8" s="414"/>
      <c r="CG8" s="414"/>
      <c r="CH8" s="414"/>
      <c r="CI8" s="414"/>
      <c r="CJ8" s="414"/>
      <c r="CK8" s="414"/>
      <c r="CL8" s="414"/>
      <c r="CM8" s="414"/>
      <c r="CN8" s="414"/>
      <c r="CO8" s="414"/>
      <c r="CP8" s="414"/>
      <c r="CQ8" s="414"/>
      <c r="CR8" s="414"/>
      <c r="CS8" s="414"/>
      <c r="CT8" s="414"/>
      <c r="CU8" s="414"/>
      <c r="CV8" s="414"/>
      <c r="CW8" s="414"/>
      <c r="CX8" s="414"/>
      <c r="CY8" s="414"/>
      <c r="CZ8" s="414"/>
    </row>
    <row r="9" spans="1:104" x14ac:dyDescent="0.25">
      <c r="B9" t="s">
        <v>220</v>
      </c>
      <c r="E9" s="474">
        <f>'Economist Plan 2'!D9</f>
        <v>269.48020983554437</v>
      </c>
      <c r="F9" s="474">
        <f>'Economist Plan 2'!E9</f>
        <v>266.8001907595858</v>
      </c>
      <c r="G9" s="474">
        <f>'Economist Plan 2'!F9</f>
        <v>264.12017168362723</v>
      </c>
      <c r="H9" s="474">
        <f>'Economist Plan 2'!G9</f>
        <v>261.44015260766867</v>
      </c>
      <c r="I9" s="474">
        <f>'Economist Plan 2'!H9</f>
        <v>258.7601335317101</v>
      </c>
      <c r="J9" s="474">
        <f>'Economist Plan 2'!I9</f>
        <v>256.08011445575153</v>
      </c>
      <c r="K9" s="474">
        <f>'Economist Plan 2'!J9</f>
        <v>253.40009537979296</v>
      </c>
      <c r="L9" s="474">
        <f>'Economist Plan 2'!K9</f>
        <v>250.72007630383439</v>
      </c>
      <c r="M9" s="474">
        <f>'Economist Plan 2'!L9</f>
        <v>248.04005722787582</v>
      </c>
      <c r="N9" s="474">
        <f>'Economist Plan 2'!M9</f>
        <v>245.36003815191725</v>
      </c>
      <c r="O9" s="474">
        <f>'Economist Plan 2'!N9</f>
        <v>242.68001907595868</v>
      </c>
      <c r="P9" s="474">
        <f>'Economist Plan 2'!O9</f>
        <v>240.00000000000011</v>
      </c>
      <c r="Q9" s="474">
        <f>'Economist Plan 2'!P9</f>
        <v>239.40000000000012</v>
      </c>
      <c r="R9" s="474">
        <f>'Economist Plan 2'!Q9</f>
        <v>238.80000000000013</v>
      </c>
      <c r="S9" s="474">
        <f>'Economist Plan 2'!R9</f>
        <v>238.20000000000013</v>
      </c>
      <c r="T9" s="474">
        <f>'Economist Plan 2'!S9</f>
        <v>237.60000000000014</v>
      </c>
      <c r="U9" s="474">
        <f>'Economist Plan 2'!T9</f>
        <v>237.00000000000014</v>
      </c>
      <c r="V9" s="474">
        <f>'Economist Plan 2'!U9</f>
        <v>236.40000000000015</v>
      </c>
      <c r="W9" s="474">
        <f>'Economist Plan 2'!V9</f>
        <v>235.80000000000015</v>
      </c>
      <c r="X9" s="474">
        <f>'Economist Plan 2'!W9</f>
        <v>235.20000000000016</v>
      </c>
      <c r="Y9" s="474">
        <f>'Economist Plan 2'!X9</f>
        <v>234.60000000000016</v>
      </c>
      <c r="Z9" s="474">
        <f>'Economist Plan 2'!Y9</f>
        <v>234.00000000000017</v>
      </c>
      <c r="AA9" s="474">
        <f>'Economist Plan 2'!Z9</f>
        <v>233.40000000000018</v>
      </c>
      <c r="AB9" s="474">
        <f>'Economist Plan 2'!AA9</f>
        <v>232.80000000000018</v>
      </c>
      <c r="AC9" s="474">
        <f>'Economist Plan 2'!AB9</f>
        <v>232.20000000000019</v>
      </c>
      <c r="AD9" s="474">
        <f>'Economist Plan 2'!AC9</f>
        <v>231.60000000000019</v>
      </c>
      <c r="AE9" s="474">
        <f>'Economist Plan 2'!AD9</f>
        <v>231.0000000000002</v>
      </c>
      <c r="AF9" s="474">
        <f>'Economist Plan 2'!AE9</f>
        <v>230.4000000000002</v>
      </c>
      <c r="AG9" s="474">
        <f>'Economist Plan 2'!AF9</f>
        <v>229.80000000000021</v>
      </c>
      <c r="AH9" s="474">
        <f>'Economist Plan 2'!AG9</f>
        <v>229.20000000000022</v>
      </c>
      <c r="AI9" s="474">
        <f>'Economist Plan 2'!AH9</f>
        <v>228.60000000000022</v>
      </c>
      <c r="AJ9" s="474">
        <f>'Economist Plan 2'!AI9</f>
        <v>228.00000000000023</v>
      </c>
      <c r="AK9" s="474">
        <f>'Economist Plan 2'!AJ9</f>
        <v>227.40000000000023</v>
      </c>
      <c r="AL9" s="474">
        <f>'Economist Plan 2'!AK9</f>
        <v>226.80000000000024</v>
      </c>
      <c r="AM9" s="474">
        <f>'Economist Plan 2'!AL9</f>
        <v>226.20000000000024</v>
      </c>
      <c r="AN9" s="474">
        <f>'Economist Plan 2'!AM9</f>
        <v>225.60000000000025</v>
      </c>
      <c r="AO9" s="474">
        <f>'Economist Plan 2'!AN9</f>
        <v>225.00000000000026</v>
      </c>
      <c r="AP9" s="474">
        <f>'Economist Plan 2'!AO9</f>
        <v>225.00000000000026</v>
      </c>
      <c r="AQ9" s="474">
        <f>'Economist Plan 2'!AP9</f>
        <v>225.00000000000026</v>
      </c>
      <c r="AR9" s="474">
        <f>'Economist Plan 2'!AQ9</f>
        <v>225.00000000000026</v>
      </c>
      <c r="AS9" s="474">
        <f>'Economist Plan 2'!AR9</f>
        <v>225.00000000000026</v>
      </c>
      <c r="AT9" s="474">
        <f>'Economist Plan 2'!AS9</f>
        <v>225.00000000000026</v>
      </c>
      <c r="AU9" s="474">
        <f>'Economist Plan 2'!AT9</f>
        <v>225.00000000000026</v>
      </c>
      <c r="AV9" s="474">
        <f>'Economist Plan 2'!AU9</f>
        <v>225.00000000000026</v>
      </c>
      <c r="AW9" s="474">
        <f>'Economist Plan 2'!AV9</f>
        <v>225.00000000000026</v>
      </c>
      <c r="AX9" s="474">
        <f>'Economist Plan 2'!AW9</f>
        <v>225.00000000000026</v>
      </c>
      <c r="AY9" s="474">
        <f>'Economist Plan 2'!AX9</f>
        <v>225.00000000000026</v>
      </c>
      <c r="AZ9" s="474">
        <f>'Economist Plan 2'!AY9</f>
        <v>225.00000000000026</v>
      </c>
      <c r="BA9" s="474">
        <f>'Economist Plan 2'!AZ9</f>
        <v>225.00000000000026</v>
      </c>
      <c r="BB9" s="474">
        <f>'Economist Plan 2'!BA9</f>
        <v>225.00000000000026</v>
      </c>
      <c r="BC9" s="474">
        <f>'Economist Plan 2'!BB9</f>
        <v>225.00000000000026</v>
      </c>
      <c r="BD9" s="474">
        <f>'Economist Plan 2'!BC9</f>
        <v>225.00000000000026</v>
      </c>
      <c r="BE9" s="474">
        <f>'Economist Plan 2'!BD9</f>
        <v>225.00000000000026</v>
      </c>
      <c r="BF9" s="474">
        <f>'Economist Plan 2'!BE9</f>
        <v>225.00000000000026</v>
      </c>
      <c r="BG9" s="474">
        <f>'Economist Plan 2'!BF9</f>
        <v>225.00000000000026</v>
      </c>
      <c r="BH9" s="474">
        <f>'Economist Plan 2'!BG9</f>
        <v>225.00000000000026</v>
      </c>
      <c r="BI9" s="474">
        <f>'Economist Plan 2'!BH9</f>
        <v>225.00000000000026</v>
      </c>
      <c r="BJ9" s="474">
        <f>'Economist Plan 2'!BI9</f>
        <v>225.00000000000026</v>
      </c>
      <c r="BK9" s="474">
        <f>'Economist Plan 2'!BJ9</f>
        <v>225.00000000000026</v>
      </c>
      <c r="BL9" s="474">
        <f>'Economist Plan 2'!BK9</f>
        <v>225.00000000000026</v>
      </c>
      <c r="BM9" s="474">
        <f>'Economist Plan 2'!BL9</f>
        <v>225.00000000000026</v>
      </c>
      <c r="BN9" s="474">
        <f>'Economist Plan 2'!BM9</f>
        <v>225.00000000000026</v>
      </c>
      <c r="BO9" s="474">
        <f>'Economist Plan 2'!BN9</f>
        <v>225.00000000000026</v>
      </c>
      <c r="BP9" s="474">
        <f>'Economist Plan 2'!BO9</f>
        <v>225.00000000000026</v>
      </c>
      <c r="BQ9" s="474">
        <f>'Economist Plan 2'!BP9</f>
        <v>225.00000000000026</v>
      </c>
      <c r="BR9" s="474">
        <f>'Economist Plan 2'!BQ9</f>
        <v>225.00000000000026</v>
      </c>
      <c r="BS9" s="474">
        <f>'Economist Plan 2'!BR9</f>
        <v>225.00000000000026</v>
      </c>
      <c r="BT9" s="474">
        <f>'Economist Plan 2'!BS9</f>
        <v>225.00000000000026</v>
      </c>
      <c r="BU9" s="474">
        <f>'Economist Plan 2'!BT9</f>
        <v>225.00000000000026</v>
      </c>
      <c r="BV9" s="474">
        <f>'Economist Plan 2'!BU9</f>
        <v>225.00000000000026</v>
      </c>
      <c r="BW9" s="474">
        <f>'Economist Plan 2'!BV9</f>
        <v>225.00000000000026</v>
      </c>
      <c r="BX9" s="474">
        <f>'Economist Plan 2'!BW9</f>
        <v>225.00000000000026</v>
      </c>
      <c r="BY9" s="474">
        <f>'Economist Plan 2'!BX9</f>
        <v>225.00000000000026</v>
      </c>
      <c r="BZ9" s="474">
        <f>'Economist Plan 2'!BY9</f>
        <v>225.00000000000026</v>
      </c>
      <c r="CA9" s="474">
        <f>'Economist Plan 2'!BZ9</f>
        <v>225.00000000000026</v>
      </c>
      <c r="CB9" s="474">
        <f>'Economist Plan 2'!CA9</f>
        <v>225.00000000000026</v>
      </c>
      <c r="CC9" s="474">
        <f>'Economist Plan 2'!CB9</f>
        <v>225.00000000000026</v>
      </c>
    </row>
    <row r="10" spans="1:104" x14ac:dyDescent="0.25">
      <c r="B10" t="s">
        <v>221</v>
      </c>
      <c r="E10" s="475">
        <f t="shared" ref="E10:AY10" si="33">E6*E9*365/1000000</f>
        <v>15306.360414809296</v>
      </c>
      <c r="F10" s="475">
        <f t="shared" si="33"/>
        <v>15586.029369677004</v>
      </c>
      <c r="G10" s="475">
        <f t="shared" si="33"/>
        <v>15869.206863725241</v>
      </c>
      <c r="H10" s="475">
        <f t="shared" si="33"/>
        <v>16155.865722578708</v>
      </c>
      <c r="I10" s="475">
        <f t="shared" si="33"/>
        <v>16445.974373111763</v>
      </c>
      <c r="J10" s="475">
        <f t="shared" si="33"/>
        <v>16739.496614792039</v>
      </c>
      <c r="K10" s="475">
        <f t="shared" si="33"/>
        <v>17036.391381563531</v>
      </c>
      <c r="L10" s="475">
        <f t="shared" si="33"/>
        <v>17336.612493915629</v>
      </c>
      <c r="M10" s="475">
        <f t="shared" si="33"/>
        <v>17640.108400772126</v>
      </c>
      <c r="N10" s="475">
        <f t="shared" si="33"/>
        <v>17946.821910821258</v>
      </c>
      <c r="O10" s="475">
        <f t="shared" si="33"/>
        <v>18256.689912894664</v>
      </c>
      <c r="P10" s="475">
        <f t="shared" si="33"/>
        <v>18569.643084989188</v>
      </c>
      <c r="Q10" s="475">
        <f t="shared" si="33"/>
        <v>19051.130718129105</v>
      </c>
      <c r="R10" s="475">
        <f>(R6*R9*365)/1000000</f>
        <v>19544.979953762209</v>
      </c>
      <c r="S10" s="475">
        <f t="shared" si="33"/>
        <v>20051.504314900605</v>
      </c>
      <c r="T10" s="475">
        <f t="shared" si="33"/>
        <v>20571.02515465644</v>
      </c>
      <c r="U10" s="475">
        <f t="shared" si="33"/>
        <v>21103.871847898587</v>
      </c>
      <c r="V10" s="475">
        <f t="shared" si="33"/>
        <v>21650.381987473658</v>
      </c>
      <c r="W10" s="475">
        <f t="shared" si="33"/>
        <v>22210.901585096057</v>
      </c>
      <c r="X10" s="475">
        <f t="shared" si="33"/>
        <v>22785.785277013601</v>
      </c>
      <c r="Y10" s="475">
        <f t="shared" si="33"/>
        <v>23375.39653455796</v>
      </c>
      <c r="Z10" s="475">
        <f t="shared" si="33"/>
        <v>23980.107879691084</v>
      </c>
      <c r="AA10" s="475">
        <f t="shared" si="33"/>
        <v>24600.301105661612</v>
      </c>
      <c r="AB10" s="475">
        <f t="shared" si="33"/>
        <v>25236.36750288718</v>
      </c>
      <c r="AC10" s="475">
        <f t="shared" si="33"/>
        <v>25888.708090181528</v>
      </c>
      <c r="AD10" s="475">
        <f t="shared" si="33"/>
        <v>26557.733851447432</v>
      </c>
      <c r="AE10" s="475">
        <f t="shared" si="33"/>
        <v>27243.865977959245</v>
      </c>
      <c r="AF10" s="475">
        <f t="shared" si="33"/>
        <v>27947.536116361385</v>
      </c>
      <c r="AG10" s="475">
        <f t="shared" si="33"/>
        <v>28669.186622511861</v>
      </c>
      <c r="AH10" s="475">
        <f t="shared" si="33"/>
        <v>29409.270821302391</v>
      </c>
      <c r="AI10" s="475">
        <f t="shared" si="33"/>
        <v>30168.253272589856</v>
      </c>
      <c r="AJ10" s="475">
        <f t="shared" si="33"/>
        <v>30946.610043376095</v>
      </c>
      <c r="AK10" s="475">
        <f t="shared" si="33"/>
        <v>31744.828986376491</v>
      </c>
      <c r="AL10" s="475">
        <f t="shared" si="33"/>
        <v>32563.410025120174</v>
      </c>
      <c r="AM10" s="475">
        <f t="shared" si="33"/>
        <v>33402.865445728072</v>
      </c>
      <c r="AN10" s="475">
        <f t="shared" si="33"/>
        <v>34263.720195517708</v>
      </c>
      <c r="AO10" s="475">
        <f t="shared" si="33"/>
        <v>35146.512188587069</v>
      </c>
      <c r="AP10" s="475">
        <f t="shared" si="33"/>
        <v>36148.187785961789</v>
      </c>
      <c r="AQ10" s="475">
        <f t="shared" si="33"/>
        <v>37178.411137861702</v>
      </c>
      <c r="AR10" s="475">
        <f t="shared" si="33"/>
        <v>38237.995855290763</v>
      </c>
      <c r="AS10" s="475">
        <f t="shared" si="33"/>
        <v>39327.778737166547</v>
      </c>
      <c r="AT10" s="475">
        <f t="shared" si="33"/>
        <v>40448.620431175797</v>
      </c>
      <c r="AU10" s="475">
        <f t="shared" si="33"/>
        <v>41601.406113464313</v>
      </c>
      <c r="AV10" s="475">
        <f t="shared" si="33"/>
        <v>42787.046187698033</v>
      </c>
      <c r="AW10" s="475">
        <f t="shared" si="33"/>
        <v>44006.477004047432</v>
      </c>
      <c r="AX10" s="475">
        <f t="shared" si="33"/>
        <v>45260.66159866278</v>
      </c>
      <c r="AY10" s="475">
        <f t="shared" si="33"/>
        <v>46550.590454224672</v>
      </c>
      <c r="AZ10" s="475">
        <f t="shared" ref="AZ10:CC10" si="34">AZ6*AZ9*365/1000000</f>
        <v>47877.282282170068</v>
      </c>
      <c r="BA10" s="475">
        <f t="shared" si="34"/>
        <v>49241.784827211915</v>
      </c>
      <c r="BB10" s="475">
        <f t="shared" si="34"/>
        <v>50645.175694787453</v>
      </c>
      <c r="BC10" s="475">
        <f t="shared" si="34"/>
        <v>52088.563202088895</v>
      </c>
      <c r="BD10" s="475">
        <f t="shared" si="34"/>
        <v>53573.087253348436</v>
      </c>
      <c r="BE10" s="475">
        <f t="shared" si="34"/>
        <v>55099.920240068866</v>
      </c>
      <c r="BF10" s="475">
        <f t="shared" si="34"/>
        <v>56670.267966910811</v>
      </c>
      <c r="BG10" s="475">
        <f t="shared" si="34"/>
        <v>58285.370603967771</v>
      </c>
      <c r="BH10" s="475">
        <f t="shared" si="34"/>
        <v>59946.503666180848</v>
      </c>
      <c r="BI10" s="475">
        <f t="shared" si="34"/>
        <v>61654.979020667</v>
      </c>
      <c r="BJ10" s="475">
        <f t="shared" si="34"/>
        <v>61654.979020667</v>
      </c>
      <c r="BK10" s="475">
        <f t="shared" si="34"/>
        <v>63412.145922756004</v>
      </c>
      <c r="BL10" s="475">
        <f t="shared" si="34"/>
        <v>65219.39208155455</v>
      </c>
      <c r="BM10" s="475">
        <f t="shared" si="34"/>
        <v>67078.14475587885</v>
      </c>
      <c r="BN10" s="475">
        <f t="shared" si="34"/>
        <v>68989.871881421393</v>
      </c>
      <c r="BO10" s="475">
        <f t="shared" si="34"/>
        <v>70956.083230041899</v>
      </c>
      <c r="BP10" s="475">
        <f t="shared" si="34"/>
        <v>72978.331602098086</v>
      </c>
      <c r="BQ10" s="475">
        <f t="shared" si="34"/>
        <v>75058.214052757874</v>
      </c>
      <c r="BR10" s="475">
        <f t="shared" si="34"/>
        <v>77197.373153261477</v>
      </c>
      <c r="BS10" s="475">
        <f t="shared" si="34"/>
        <v>79397.498288129427</v>
      </c>
      <c r="BT10" s="475">
        <f t="shared" si="34"/>
        <v>81660.326989341105</v>
      </c>
      <c r="BU10" s="475">
        <f t="shared" si="34"/>
        <v>83987.64630853734</v>
      </c>
      <c r="BV10" s="475">
        <f t="shared" si="34"/>
        <v>86381.294228330662</v>
      </c>
      <c r="BW10" s="475">
        <f t="shared" si="34"/>
        <v>88843.161113838069</v>
      </c>
      <c r="BX10" s="475">
        <f t="shared" si="34"/>
        <v>91375.191205582465</v>
      </c>
      <c r="BY10" s="475">
        <f t="shared" si="34"/>
        <v>93979.384154941537</v>
      </c>
      <c r="BZ10" s="475">
        <f t="shared" si="34"/>
        <v>96657.79660335739</v>
      </c>
      <c r="CA10" s="475">
        <f t="shared" si="34"/>
        <v>99412.543806553062</v>
      </c>
      <c r="CB10" s="475">
        <f t="shared" si="34"/>
        <v>102245.80130503984</v>
      </c>
      <c r="CC10" s="475">
        <f t="shared" si="34"/>
        <v>105159.80664223345</v>
      </c>
    </row>
    <row r="11" spans="1:104" x14ac:dyDescent="0.25">
      <c r="B11" t="s">
        <v>305</v>
      </c>
      <c r="E11" s="475">
        <f>E10</f>
        <v>15306.360414809296</v>
      </c>
      <c r="F11" s="475">
        <f>F10+E11</f>
        <v>30892.389784486302</v>
      </c>
      <c r="G11" s="475">
        <f t="shared" ref="G11:AY11" si="35">G10+F11</f>
        <v>46761.596648211547</v>
      </c>
      <c r="H11" s="475">
        <f t="shared" si="35"/>
        <v>62917.462370790257</v>
      </c>
      <c r="I11" s="475">
        <f t="shared" si="35"/>
        <v>79363.436743902013</v>
      </c>
      <c r="J11" s="475">
        <f t="shared" si="35"/>
        <v>96102.933358694048</v>
      </c>
      <c r="K11" s="475">
        <f t="shared" si="35"/>
        <v>113139.32474025758</v>
      </c>
      <c r="L11" s="475">
        <f t="shared" si="35"/>
        <v>130475.93723417321</v>
      </c>
      <c r="M11" s="475">
        <f t="shared" si="35"/>
        <v>148116.04563494533</v>
      </c>
      <c r="N11" s="475">
        <f t="shared" si="35"/>
        <v>166062.86754576658</v>
      </c>
      <c r="O11" s="475">
        <f t="shared" si="35"/>
        <v>184319.55745866123</v>
      </c>
      <c r="P11" s="475">
        <f t="shared" si="35"/>
        <v>202889.20054365043</v>
      </c>
      <c r="Q11" s="475">
        <f t="shared" si="35"/>
        <v>221940.33126177953</v>
      </c>
      <c r="R11" s="475">
        <f t="shared" si="35"/>
        <v>241485.31121554173</v>
      </c>
      <c r="S11" s="475">
        <f t="shared" si="35"/>
        <v>261536.81553044234</v>
      </c>
      <c r="T11" s="475">
        <f t="shared" si="35"/>
        <v>282107.84068509878</v>
      </c>
      <c r="U11" s="475">
        <f t="shared" si="35"/>
        <v>303211.71253299736</v>
      </c>
      <c r="V11" s="475">
        <f t="shared" si="35"/>
        <v>324862.094520471</v>
      </c>
      <c r="W11" s="475">
        <f t="shared" si="35"/>
        <v>347072.99610556709</v>
      </c>
      <c r="X11" s="475">
        <f t="shared" si="35"/>
        <v>369858.7813825807</v>
      </c>
      <c r="Y11" s="475">
        <f t="shared" si="35"/>
        <v>393234.17791713867</v>
      </c>
      <c r="Z11" s="475">
        <f t="shared" si="35"/>
        <v>417214.28579682973</v>
      </c>
      <c r="AA11" s="475">
        <f t="shared" si="35"/>
        <v>441814.58690249134</v>
      </c>
      <c r="AB11" s="475">
        <f t="shared" si="35"/>
        <v>467050.95440537855</v>
      </c>
      <c r="AC11" s="475">
        <f t="shared" si="35"/>
        <v>492939.66249556007</v>
      </c>
      <c r="AD11" s="475">
        <f t="shared" si="35"/>
        <v>519497.39634700748</v>
      </c>
      <c r="AE11" s="475">
        <f t="shared" si="35"/>
        <v>546741.26232496672</v>
      </c>
      <c r="AF11" s="475">
        <f t="shared" si="35"/>
        <v>574688.79844132811</v>
      </c>
      <c r="AG11" s="475">
        <f t="shared" si="35"/>
        <v>603357.98506383994</v>
      </c>
      <c r="AH11" s="475">
        <f t="shared" si="35"/>
        <v>632767.25588514237</v>
      </c>
      <c r="AI11" s="475">
        <f t="shared" si="35"/>
        <v>662935.50915773225</v>
      </c>
      <c r="AJ11" s="475">
        <f t="shared" si="35"/>
        <v>693882.11920110835</v>
      </c>
      <c r="AK11" s="475">
        <f t="shared" si="35"/>
        <v>725626.94818748487</v>
      </c>
      <c r="AL11" s="475">
        <f t="shared" si="35"/>
        <v>758190.358212605</v>
      </c>
      <c r="AM11" s="475">
        <f t="shared" si="35"/>
        <v>791593.22365833307</v>
      </c>
      <c r="AN11" s="475">
        <f t="shared" si="35"/>
        <v>825856.94385385083</v>
      </c>
      <c r="AO11" s="475">
        <f t="shared" si="35"/>
        <v>861003.45604243793</v>
      </c>
      <c r="AP11" s="475">
        <f t="shared" si="35"/>
        <v>897151.64382839971</v>
      </c>
      <c r="AQ11" s="475">
        <f t="shared" si="35"/>
        <v>934330.05496626138</v>
      </c>
      <c r="AR11" s="475">
        <f t="shared" si="35"/>
        <v>972568.05082155217</v>
      </c>
      <c r="AS11" s="475">
        <f t="shared" si="35"/>
        <v>1011895.8295587187</v>
      </c>
      <c r="AT11" s="475">
        <f t="shared" si="35"/>
        <v>1052344.4499898944</v>
      </c>
      <c r="AU11" s="475">
        <f t="shared" si="35"/>
        <v>1093945.8561033588</v>
      </c>
      <c r="AV11" s="475">
        <f t="shared" si="35"/>
        <v>1136732.9022910569</v>
      </c>
      <c r="AW11" s="475">
        <f t="shared" si="35"/>
        <v>1180739.3792951044</v>
      </c>
      <c r="AX11" s="475">
        <f t="shared" si="35"/>
        <v>1226000.0408937673</v>
      </c>
      <c r="AY11" s="475">
        <f t="shared" si="35"/>
        <v>1272550.631347992</v>
      </c>
      <c r="AZ11" s="475">
        <f t="shared" ref="AZ11" si="36">AZ10+AY11</f>
        <v>1320427.9136301621</v>
      </c>
      <c r="BA11" s="475">
        <f t="shared" ref="BA11" si="37">BA10+AZ11</f>
        <v>1369669.698457374</v>
      </c>
      <c r="BB11" s="475">
        <f t="shared" ref="BB11" si="38">BB10+BA11</f>
        <v>1420314.8741521614</v>
      </c>
      <c r="BC11" s="475">
        <f t="shared" ref="BC11" si="39">BC10+BB11</f>
        <v>1472403.4373542503</v>
      </c>
      <c r="BD11" s="475">
        <f t="shared" ref="BD11" si="40">BD10+BC11</f>
        <v>1525976.5246075988</v>
      </c>
      <c r="BE11" s="475">
        <f t="shared" ref="BE11" si="41">BE10+BD11</f>
        <v>1581076.4448476676</v>
      </c>
      <c r="BF11" s="475">
        <f t="shared" ref="BF11" si="42">BF10+BE11</f>
        <v>1637746.7128145783</v>
      </c>
      <c r="BG11" s="475">
        <f t="shared" ref="BG11" si="43">BG10+BF11</f>
        <v>1696032.083418546</v>
      </c>
      <c r="BH11" s="475">
        <f t="shared" ref="BH11" si="44">BH10+BG11</f>
        <v>1755978.5870847269</v>
      </c>
      <c r="BI11" s="475">
        <f t="shared" ref="BI11" si="45">BI10+BH11</f>
        <v>1817633.5661053939</v>
      </c>
      <c r="BJ11" s="475">
        <f t="shared" ref="BJ11" si="46">BJ10+BI11</f>
        <v>1879288.545126061</v>
      </c>
      <c r="BK11" s="475">
        <f t="shared" ref="BK11" si="47">BK10+BJ11</f>
        <v>1942700.691048817</v>
      </c>
      <c r="BL11" s="475">
        <f t="shared" ref="BL11" si="48">BL10+BK11</f>
        <v>2007920.0831303715</v>
      </c>
      <c r="BM11" s="475">
        <f t="shared" ref="BM11" si="49">BM10+BL11</f>
        <v>2074998.2278862505</v>
      </c>
      <c r="BN11" s="475">
        <f t="shared" ref="BN11" si="50">BN10+BM11</f>
        <v>2143988.0997676719</v>
      </c>
      <c r="BO11" s="475">
        <f t="shared" ref="BO11" si="51">BO10+BN11</f>
        <v>2214944.1829977138</v>
      </c>
      <c r="BP11" s="475">
        <f t="shared" ref="BP11" si="52">BP10+BO11</f>
        <v>2287922.5145998118</v>
      </c>
      <c r="BQ11" s="475">
        <f t="shared" ref="BQ11" si="53">BQ10+BP11</f>
        <v>2362980.7286525695</v>
      </c>
      <c r="BR11" s="475">
        <f t="shared" ref="BR11" si="54">BR10+BQ11</f>
        <v>2440178.1018058308</v>
      </c>
      <c r="BS11" s="475">
        <f t="shared" ref="BS11" si="55">BS10+BR11</f>
        <v>2519575.6000939603</v>
      </c>
      <c r="BT11" s="475">
        <f t="shared" ref="BT11" si="56">BT10+BS11</f>
        <v>2601235.9270833014</v>
      </c>
      <c r="BU11" s="475">
        <f t="shared" ref="BU11" si="57">BU10+BT11</f>
        <v>2685223.5733918389</v>
      </c>
      <c r="BV11" s="475">
        <f t="shared" ref="BV11" si="58">BV10+BU11</f>
        <v>2771604.8676201697</v>
      </c>
      <c r="BW11" s="475">
        <f t="shared" ref="BW11" si="59">BW10+BV11</f>
        <v>2860448.0287340079</v>
      </c>
      <c r="BX11" s="475">
        <f t="shared" ref="BX11" si="60">BX10+BW11</f>
        <v>2951823.2199395904</v>
      </c>
      <c r="BY11" s="475">
        <f t="shared" ref="BY11" si="61">BY10+BX11</f>
        <v>3045802.6040945319</v>
      </c>
      <c r="BZ11" s="475">
        <f t="shared" ref="BZ11" si="62">BZ10+BY11</f>
        <v>3142460.4006978893</v>
      </c>
      <c r="CA11" s="475">
        <f t="shared" ref="CA11" si="63">CA10+BZ11</f>
        <v>3241872.9445044422</v>
      </c>
      <c r="CB11" s="475">
        <f t="shared" ref="CB11" si="64">CB10+CA11</f>
        <v>3344118.7458094819</v>
      </c>
      <c r="CC11" s="475">
        <f t="shared" ref="CC11" si="65">CC10+CB11</f>
        <v>3449278.5524517153</v>
      </c>
      <c r="CD11" s="475"/>
      <c r="CE11" s="475"/>
      <c r="CF11" s="475"/>
      <c r="CG11" s="475"/>
      <c r="CH11" s="475"/>
      <c r="CI11" s="475"/>
      <c r="CJ11" s="475"/>
      <c r="CK11" s="475"/>
      <c r="CL11" s="475"/>
      <c r="CM11" s="475"/>
      <c r="CN11" s="475"/>
      <c r="CO11" s="475"/>
      <c r="CP11" s="475"/>
      <c r="CQ11" s="475"/>
      <c r="CR11" s="475"/>
      <c r="CS11" s="475"/>
      <c r="CT11" s="475"/>
      <c r="CU11" s="475"/>
      <c r="CV11" s="475"/>
      <c r="CW11" s="475"/>
      <c r="CX11" s="475"/>
      <c r="CY11" s="475"/>
      <c r="CZ11" s="475"/>
    </row>
    <row r="12" spans="1:104" x14ac:dyDescent="0.25">
      <c r="B12" t="s">
        <v>316</v>
      </c>
      <c r="E12" s="414">
        <f>'Economist Plan 2'!D11</f>
        <v>20275.609848683933</v>
      </c>
      <c r="F12" s="414">
        <f>'Economist Plan 2'!E11</f>
        <v>21823.404134398086</v>
      </c>
      <c r="G12" s="414">
        <f>'Economist Plan 2'!F11</f>
        <v>21823.404134398086</v>
      </c>
      <c r="H12" s="414">
        <f>'Economist Plan 2'!G11</f>
        <v>21823.404134398086</v>
      </c>
      <c r="I12" s="414">
        <f>'Economist Plan 2'!H11</f>
        <v>21823.404134398086</v>
      </c>
      <c r="J12" s="414">
        <f>'Economist Plan 2'!I11</f>
        <v>23061.639562969405</v>
      </c>
      <c r="K12" s="414">
        <f>'Economist Plan 2'!J11</f>
        <v>23061.639562969405</v>
      </c>
      <c r="L12" s="414">
        <f>'Economist Plan 2'!K11</f>
        <v>23061.639562969405</v>
      </c>
      <c r="M12" s="414">
        <f>'Economist Plan 2'!L11</f>
        <v>23061.639562969405</v>
      </c>
      <c r="N12" s="414">
        <f>'Economist Plan 2'!M11</f>
        <v>23061.639562969405</v>
      </c>
      <c r="O12" s="414">
        <f>'Economist Plan 2'!N11</f>
        <v>23061.639562969405</v>
      </c>
      <c r="P12" s="414">
        <f>'Economist Plan 2'!O11</f>
        <v>23061.639562969405</v>
      </c>
      <c r="Q12" s="414">
        <f>'Economist Plan 2'!P11</f>
        <v>23061.639562969405</v>
      </c>
      <c r="R12" s="414">
        <f>'Economist Plan 2'!Q11</f>
        <v>23061.639562969405</v>
      </c>
      <c r="S12" s="414">
        <f>'Economist Plan 2'!R11</f>
        <v>23061.639562969405</v>
      </c>
      <c r="T12" s="414">
        <f>'Economist Plan 2'!S11</f>
        <v>23061.639562969405</v>
      </c>
      <c r="U12" s="414">
        <f>'Economist Plan 2'!T11</f>
        <v>23061.639562969405</v>
      </c>
      <c r="V12" s="414">
        <f>'Economist Plan 2'!U11</f>
        <v>23061.639562969405</v>
      </c>
      <c r="W12" s="414">
        <f>'Economist Plan 2'!V11</f>
        <v>23061.639562969405</v>
      </c>
      <c r="X12" s="414">
        <f>'Economist Plan 2'!W11</f>
        <v>23061.639562969405</v>
      </c>
      <c r="Y12" s="414">
        <f>'Economist Plan 2'!X11</f>
        <v>23061.639562969405</v>
      </c>
      <c r="Z12" s="414">
        <f>'Economist Plan 2'!Y11</f>
        <v>23061.639562969405</v>
      </c>
      <c r="AA12" s="414">
        <f>'Economist Plan 2'!Z11</f>
        <v>23061.639562969405</v>
      </c>
      <c r="AB12" s="414">
        <f>'Economist Plan 2'!AA11</f>
        <v>23061.639562969405</v>
      </c>
      <c r="AC12" s="414">
        <f>'Economist Plan 2'!AB11</f>
        <v>23061.639562969405</v>
      </c>
      <c r="AD12" s="414">
        <f>'Economist Plan 2'!AC11</f>
        <v>23061.639562969405</v>
      </c>
      <c r="AE12" s="414">
        <f>'Economist Plan 2'!AD11</f>
        <v>23061.639562969405</v>
      </c>
      <c r="AF12" s="414">
        <f>'Economist Plan 2'!AE11</f>
        <v>23061.639562969405</v>
      </c>
      <c r="AG12" s="414">
        <f>'Economist Plan 2'!AF11</f>
        <v>23061.639562969405</v>
      </c>
      <c r="AH12" s="414">
        <f>'Economist Plan 2'!AG11</f>
        <v>23061.639562969405</v>
      </c>
      <c r="AI12" s="414">
        <f>'Economist Plan 2'!AH11</f>
        <v>23061.639562969405</v>
      </c>
      <c r="AJ12" s="414">
        <f>'Economist Plan 2'!AI11</f>
        <v>23061.639562969405</v>
      </c>
      <c r="AK12" s="414">
        <f>'Economist Plan 2'!AJ11</f>
        <v>23061.639562969405</v>
      </c>
      <c r="AL12" s="414">
        <f>'Economist Plan 2'!AK11</f>
        <v>23061.639562969405</v>
      </c>
      <c r="AM12" s="414">
        <f>'Economist Plan 2'!AL11</f>
        <v>23061.639562969405</v>
      </c>
      <c r="AN12" s="414">
        <f>'Economist Plan 2'!AM11</f>
        <v>23061.639562969405</v>
      </c>
      <c r="AO12" s="414">
        <f>'Economist Plan 2'!AN11</f>
        <v>23061.639562969405</v>
      </c>
      <c r="AP12" s="414">
        <f>'Economist Plan 2'!AO11</f>
        <v>23061.639562969405</v>
      </c>
      <c r="AQ12" s="414">
        <f>'Economist Plan 2'!AP11</f>
        <v>23061.639562969405</v>
      </c>
      <c r="AR12" s="414">
        <f>'Economist Plan 2'!AQ11</f>
        <v>23061.639562969405</v>
      </c>
      <c r="AS12" s="414">
        <f>'Economist Plan 2'!AR11</f>
        <v>23061.639562969405</v>
      </c>
      <c r="AT12" s="414">
        <f>'Economist Plan 2'!AS11</f>
        <v>23061.639562969405</v>
      </c>
      <c r="AU12" s="414">
        <f>'Economist Plan 2'!AT11</f>
        <v>23061.639562969405</v>
      </c>
      <c r="AV12" s="414">
        <f>'Economist Plan 2'!AU11</f>
        <v>23061.639562969405</v>
      </c>
      <c r="AW12" s="414">
        <f>'Economist Plan 2'!AV11</f>
        <v>23061.639562969405</v>
      </c>
      <c r="AX12" s="414">
        <f>'Economist Plan 2'!AW11</f>
        <v>23061.639562969405</v>
      </c>
      <c r="AY12" s="414">
        <f>'Economist Plan 2'!AX11</f>
        <v>23061.639562969405</v>
      </c>
      <c r="AZ12" s="414">
        <f>'Economist Plan 2'!AY11</f>
        <v>23061.639562969405</v>
      </c>
      <c r="BA12" s="414">
        <f>'Economist Plan 2'!AZ11</f>
        <v>23061.639562969405</v>
      </c>
      <c r="BB12" s="414">
        <f>'Economist Plan 2'!BA11</f>
        <v>23061.639562969405</v>
      </c>
      <c r="BC12" s="414">
        <f>'Economist Plan 2'!BB11</f>
        <v>23061.639562969405</v>
      </c>
      <c r="BD12" s="414">
        <f>'Economist Plan 2'!BC11</f>
        <v>23061.639562969405</v>
      </c>
      <c r="BE12" s="414">
        <f>'Economist Plan 2'!BD11</f>
        <v>23061.639562969405</v>
      </c>
      <c r="BF12" s="414">
        <f>'Economist Plan 2'!BE11</f>
        <v>23061.639562969405</v>
      </c>
      <c r="BG12" s="414">
        <f>'Economist Plan 2'!BF11</f>
        <v>23061.639562969405</v>
      </c>
      <c r="BH12" s="414">
        <f>'Economist Plan 2'!BG11</f>
        <v>23061.639562969405</v>
      </c>
      <c r="BI12" s="414">
        <f>'Economist Plan 2'!BH11</f>
        <v>23061.639562969405</v>
      </c>
      <c r="BJ12" s="414">
        <f>'Economist Plan 2'!BI11</f>
        <v>23061.639562969405</v>
      </c>
      <c r="BK12" s="414">
        <f>'Economist Plan 2'!BJ11</f>
        <v>23061.639562969405</v>
      </c>
      <c r="BL12" s="414">
        <f>'Economist Plan 2'!BK11</f>
        <v>23061.639562969405</v>
      </c>
      <c r="BM12" s="414">
        <f>'Economist Plan 2'!BL11</f>
        <v>23061.639562969405</v>
      </c>
      <c r="BN12" s="414">
        <f>'Economist Plan 2'!BM11</f>
        <v>23061.639562969405</v>
      </c>
      <c r="BO12" s="414">
        <f>'Economist Plan 2'!BN11</f>
        <v>23061.639562969405</v>
      </c>
      <c r="BP12" s="414">
        <f>'Economist Plan 2'!BO11</f>
        <v>23061.639562969405</v>
      </c>
      <c r="BQ12" s="414">
        <f>'Economist Plan 2'!BP11</f>
        <v>23061.639562969405</v>
      </c>
      <c r="BR12" s="414">
        <f>'Economist Plan 2'!BQ11</f>
        <v>23061.639562969405</v>
      </c>
      <c r="BS12" s="414">
        <f>'Economist Plan 2'!BR11</f>
        <v>23061.639562969405</v>
      </c>
      <c r="BT12" s="414">
        <f>'Economist Plan 2'!BS11</f>
        <v>0</v>
      </c>
      <c r="BU12" s="414">
        <f>'Economist Plan 2'!BT11</f>
        <v>0</v>
      </c>
      <c r="BV12" s="414">
        <f>'Economist Plan 2'!BU11</f>
        <v>0</v>
      </c>
      <c r="BW12" s="414">
        <f>'Economist Plan 2'!BV11</f>
        <v>0</v>
      </c>
      <c r="BX12" s="414">
        <f>'Economist Plan 2'!BW11</f>
        <v>0</v>
      </c>
      <c r="BY12" s="414">
        <f>'Economist Plan 2'!BX11</f>
        <v>0</v>
      </c>
      <c r="BZ12" s="414">
        <f>'Economist Plan 2'!BY11</f>
        <v>0</v>
      </c>
      <c r="CA12" s="414">
        <f>'Economist Plan 2'!BZ11</f>
        <v>0</v>
      </c>
      <c r="CB12" s="414">
        <f>'Economist Plan 2'!CA11</f>
        <v>0</v>
      </c>
      <c r="CC12" s="414">
        <f>'Economist Plan 2'!CB11</f>
        <v>0</v>
      </c>
    </row>
    <row r="13" spans="1:104" x14ac:dyDescent="0.25">
      <c r="B13" t="s">
        <v>317</v>
      </c>
      <c r="E13" s="476">
        <f t="shared" ref="E13:AY13" si="66">E12-E10</f>
        <v>4969.2494338746365</v>
      </c>
      <c r="F13" s="476">
        <f t="shared" si="66"/>
        <v>6237.3747647210821</v>
      </c>
      <c r="G13" s="476">
        <f t="shared" si="66"/>
        <v>5954.1972706728448</v>
      </c>
      <c r="H13" s="476">
        <f t="shared" si="66"/>
        <v>5667.5384118193779</v>
      </c>
      <c r="I13" s="476">
        <f t="shared" si="66"/>
        <v>5377.4297612863229</v>
      </c>
      <c r="J13" s="476">
        <f t="shared" si="66"/>
        <v>6322.1429481773666</v>
      </c>
      <c r="K13" s="476">
        <f t="shared" si="66"/>
        <v>6025.2481814058738</v>
      </c>
      <c r="L13" s="476">
        <f t="shared" si="66"/>
        <v>5725.0270690537764</v>
      </c>
      <c r="M13" s="476">
        <f t="shared" si="66"/>
        <v>5421.5311621972796</v>
      </c>
      <c r="N13" s="476">
        <f t="shared" si="66"/>
        <v>5114.8176521481473</v>
      </c>
      <c r="O13" s="476">
        <f t="shared" si="66"/>
        <v>4804.9496500747409</v>
      </c>
      <c r="P13" s="476">
        <f t="shared" si="66"/>
        <v>4491.9964779802176</v>
      </c>
      <c r="Q13" s="476">
        <f t="shared" si="66"/>
        <v>4010.5088448403003</v>
      </c>
      <c r="R13" s="476">
        <f t="shared" si="66"/>
        <v>3516.6596092071959</v>
      </c>
      <c r="S13" s="476">
        <f t="shared" si="66"/>
        <v>3010.1352480688001</v>
      </c>
      <c r="T13" s="476">
        <f t="shared" si="66"/>
        <v>2490.6144083129657</v>
      </c>
      <c r="U13" s="476">
        <f t="shared" si="66"/>
        <v>1957.7677150708187</v>
      </c>
      <c r="V13" s="476">
        <f t="shared" si="66"/>
        <v>1411.257575495747</v>
      </c>
      <c r="W13" s="476">
        <f t="shared" si="66"/>
        <v>850.73797787334843</v>
      </c>
      <c r="X13" s="476">
        <f t="shared" si="66"/>
        <v>275.85428595580379</v>
      </c>
      <c r="Y13" s="476">
        <f t="shared" si="66"/>
        <v>-313.75697158855473</v>
      </c>
      <c r="Z13" s="476">
        <f t="shared" si="66"/>
        <v>-918.468316721679</v>
      </c>
      <c r="AA13" s="476">
        <f t="shared" si="66"/>
        <v>-1538.6615426922071</v>
      </c>
      <c r="AB13" s="476">
        <f t="shared" si="66"/>
        <v>-2174.7279399177751</v>
      </c>
      <c r="AC13" s="476">
        <f t="shared" si="66"/>
        <v>-2827.0685272121227</v>
      </c>
      <c r="AD13" s="476">
        <f t="shared" si="66"/>
        <v>-3496.094288478027</v>
      </c>
      <c r="AE13" s="476">
        <f t="shared" si="66"/>
        <v>-4182.2264149898401</v>
      </c>
      <c r="AF13" s="476">
        <f t="shared" si="66"/>
        <v>-4885.89655339198</v>
      </c>
      <c r="AG13" s="476">
        <f t="shared" si="66"/>
        <v>-5607.5470595424558</v>
      </c>
      <c r="AH13" s="476">
        <f t="shared" si="66"/>
        <v>-6347.6312583329855</v>
      </c>
      <c r="AI13" s="476">
        <f t="shared" si="66"/>
        <v>-7106.6137096204511</v>
      </c>
      <c r="AJ13" s="476">
        <f t="shared" si="66"/>
        <v>-7884.9704804066896</v>
      </c>
      <c r="AK13" s="476">
        <f t="shared" si="66"/>
        <v>-8683.189423407086</v>
      </c>
      <c r="AL13" s="476">
        <f t="shared" si="66"/>
        <v>-9501.7704621507692</v>
      </c>
      <c r="AM13" s="476">
        <f t="shared" si="66"/>
        <v>-10341.225882758667</v>
      </c>
      <c r="AN13" s="476">
        <f t="shared" si="66"/>
        <v>-11202.080632548303</v>
      </c>
      <c r="AO13" s="476">
        <f t="shared" si="66"/>
        <v>-12084.872625617663</v>
      </c>
      <c r="AP13" s="476">
        <f t="shared" si="66"/>
        <v>-13086.548222992384</v>
      </c>
      <c r="AQ13" s="476">
        <f t="shared" si="66"/>
        <v>-14116.771574892296</v>
      </c>
      <c r="AR13" s="476">
        <f t="shared" si="66"/>
        <v>-15176.356292321358</v>
      </c>
      <c r="AS13" s="476">
        <f t="shared" si="66"/>
        <v>-16266.139174197142</v>
      </c>
      <c r="AT13" s="476">
        <f t="shared" si="66"/>
        <v>-17386.980868206392</v>
      </c>
      <c r="AU13" s="476">
        <f t="shared" si="66"/>
        <v>-18539.766550494907</v>
      </c>
      <c r="AV13" s="476">
        <f t="shared" si="66"/>
        <v>-19725.406624728628</v>
      </c>
      <c r="AW13" s="476">
        <f t="shared" si="66"/>
        <v>-20944.837441078027</v>
      </c>
      <c r="AX13" s="476">
        <f t="shared" si="66"/>
        <v>-22199.022035693375</v>
      </c>
      <c r="AY13" s="476">
        <f t="shared" si="66"/>
        <v>-23488.950891255266</v>
      </c>
      <c r="AZ13" s="476">
        <f t="shared" ref="AZ13:CC13" si="67">AZ12-AZ10</f>
        <v>-24815.642719200663</v>
      </c>
      <c r="BA13" s="476">
        <f t="shared" si="67"/>
        <v>-26180.14526424251</v>
      </c>
      <c r="BB13" s="476">
        <f t="shared" si="67"/>
        <v>-27583.536131818048</v>
      </c>
      <c r="BC13" s="476">
        <f t="shared" si="67"/>
        <v>-29026.92363911949</v>
      </c>
      <c r="BD13" s="476">
        <f t="shared" si="67"/>
        <v>-30511.447690379031</v>
      </c>
      <c r="BE13" s="476">
        <f t="shared" si="67"/>
        <v>-32038.280677099461</v>
      </c>
      <c r="BF13" s="476">
        <f t="shared" si="67"/>
        <v>-33608.628403941402</v>
      </c>
      <c r="BG13" s="476">
        <f t="shared" si="67"/>
        <v>-35223.731040998362</v>
      </c>
      <c r="BH13" s="476">
        <f t="shared" si="67"/>
        <v>-36884.864103211439</v>
      </c>
      <c r="BI13" s="476">
        <f t="shared" si="67"/>
        <v>-38593.339457697599</v>
      </c>
      <c r="BJ13" s="476">
        <f t="shared" si="67"/>
        <v>-38593.339457697599</v>
      </c>
      <c r="BK13" s="476">
        <f t="shared" si="67"/>
        <v>-40350.506359786596</v>
      </c>
      <c r="BL13" s="476">
        <f t="shared" si="67"/>
        <v>-42157.752518585141</v>
      </c>
      <c r="BM13" s="476">
        <f t="shared" si="67"/>
        <v>-44016.505192909448</v>
      </c>
      <c r="BN13" s="476">
        <f t="shared" si="67"/>
        <v>-45928.232318451992</v>
      </c>
      <c r="BO13" s="476">
        <f t="shared" si="67"/>
        <v>-47894.443667072497</v>
      </c>
      <c r="BP13" s="476">
        <f t="shared" si="67"/>
        <v>-49916.692039128684</v>
      </c>
      <c r="BQ13" s="476">
        <f t="shared" si="67"/>
        <v>-51996.574489788472</v>
      </c>
      <c r="BR13" s="476">
        <f t="shared" si="67"/>
        <v>-54135.733590292075</v>
      </c>
      <c r="BS13" s="476">
        <f t="shared" si="67"/>
        <v>-56335.858725160026</v>
      </c>
      <c r="BT13" s="476">
        <f t="shared" si="67"/>
        <v>-81660.326989341105</v>
      </c>
      <c r="BU13" s="476">
        <f t="shared" si="67"/>
        <v>-83987.64630853734</v>
      </c>
      <c r="BV13" s="476">
        <f t="shared" si="67"/>
        <v>-86381.294228330662</v>
      </c>
      <c r="BW13" s="476">
        <f t="shared" si="67"/>
        <v>-88843.161113838069</v>
      </c>
      <c r="BX13" s="476">
        <f t="shared" si="67"/>
        <v>-91375.191205582465</v>
      </c>
      <c r="BY13" s="476">
        <f t="shared" si="67"/>
        <v>-93979.384154941537</v>
      </c>
      <c r="BZ13" s="476">
        <f t="shared" si="67"/>
        <v>-96657.79660335739</v>
      </c>
      <c r="CA13" s="476">
        <f t="shared" si="67"/>
        <v>-99412.543806553062</v>
      </c>
      <c r="CB13" s="476">
        <f t="shared" si="67"/>
        <v>-102245.80130503984</v>
      </c>
      <c r="CC13" s="476">
        <f t="shared" si="67"/>
        <v>-105159.80664223345</v>
      </c>
    </row>
    <row r="14" spans="1:104" s="757" customFormat="1" x14ac:dyDescent="0.25">
      <c r="B14" s="757" t="s">
        <v>529</v>
      </c>
      <c r="E14" s="758">
        <f>VLOOKUP(E4,'Dynamic Population'!$A$14:$AA$97,12)*'Underlying Assumptions'!$E$9/1000000</f>
        <v>15869.206863725241</v>
      </c>
      <c r="F14" s="758">
        <f>VLOOKUP(F4,'Dynamic Population'!$A$14:$AA$97,12)*'Underlying Assumptions'!$E$9/1000000</f>
        <v>16155.865722578708</v>
      </c>
      <c r="G14" s="758">
        <f>VLOOKUP(G4,'Dynamic Population'!$A$14:$AA$97,12)*'Underlying Assumptions'!$E$9/1000000</f>
        <v>16445.974373111763</v>
      </c>
      <c r="H14" s="758">
        <f>VLOOKUP(H4,'Dynamic Population'!$A$14:$AA$97,12)*'Underlying Assumptions'!$E$9/1000000</f>
        <v>16739.496614792039</v>
      </c>
      <c r="I14" s="758">
        <f>VLOOKUP(I4,'Dynamic Population'!$A$14:$AA$97,12)*'Underlying Assumptions'!$E$9/1000000</f>
        <v>17036.391381563531</v>
      </c>
      <c r="J14" s="758">
        <f>VLOOKUP(J4,'Dynamic Population'!$A$14:$AA$97,12)*'Underlying Assumptions'!$E$9/1000000</f>
        <v>17336.612493915629</v>
      </c>
      <c r="K14" s="758">
        <f>VLOOKUP(K4,'Dynamic Population'!$A$14:$AA$97,12)*'Underlying Assumptions'!$E$9/1000000</f>
        <v>17640.108400772126</v>
      </c>
      <c r="L14" s="758">
        <f>VLOOKUP(L4,'Dynamic Population'!$A$14:$AA$97,12)*'Underlying Assumptions'!$E$9/1000000</f>
        <v>17946.821910821258</v>
      </c>
      <c r="M14" s="758">
        <f>VLOOKUP(M4,'Dynamic Population'!$A$14:$AA$97,12)*'Underlying Assumptions'!$E$9/1000000</f>
        <v>18256.689912894664</v>
      </c>
      <c r="N14" s="758">
        <f>VLOOKUP(N4,'Dynamic Population'!$A$14:$AA$97,12)*'Underlying Assumptions'!$E$9/1000000</f>
        <v>18569.643084989188</v>
      </c>
      <c r="O14" s="758">
        <f>VLOOKUP(O4,'Dynamic Population'!$A$14:$AA$97,12)*'Underlying Assumptions'!$E$9/1000000</f>
        <v>19051.130718129105</v>
      </c>
      <c r="P14" s="758">
        <f>VLOOKUP(P4,'Dynamic Population'!$A$14:$AA$97,12)*'Underlying Assumptions'!$E$9/1000000</f>
        <v>19544.979953762209</v>
      </c>
      <c r="Q14" s="758">
        <f>VLOOKUP(Q4,'Dynamic Population'!$A$14:$AA$97,12)*'Underlying Assumptions'!$E$9/1000000</f>
        <v>20051.504314900605</v>
      </c>
      <c r="R14" s="758">
        <f>VLOOKUP(R4,'Dynamic Population'!$A$14:$AA$97,12)*'Underlying Assumptions'!$E$9/1000000</f>
        <v>20571.02515465644</v>
      </c>
      <c r="S14" s="758">
        <f>VLOOKUP(S4,'Dynamic Population'!$A$14:$AA$97,12)*'Underlying Assumptions'!$E$9/1000000</f>
        <v>21103.871847898587</v>
      </c>
      <c r="T14" s="758">
        <f>VLOOKUP(T4,'Dynamic Population'!$A$14:$AA$97,12)*'Underlying Assumptions'!$E$9/1000000</f>
        <v>21650.381987473658</v>
      </c>
      <c r="U14" s="758">
        <f>VLOOKUP(U4,'Dynamic Population'!$A$14:$AA$97,12)*'Underlying Assumptions'!$E$9/1000000</f>
        <v>22210.901585096057</v>
      </c>
      <c r="V14" s="758">
        <f>VLOOKUP(V4,'Dynamic Population'!$A$14:$AA$97,12)*'Underlying Assumptions'!$E$9/1000000</f>
        <v>22785.785277013609</v>
      </c>
      <c r="W14" s="758">
        <f>VLOOKUP(W4,'Dynamic Population'!$A$14:$AA$97,12)*'Underlying Assumptions'!$E$9/1000000</f>
        <v>23375.39653455796</v>
      </c>
      <c r="X14" s="758">
        <f>VLOOKUP(X4,'Dynamic Population'!$A$14:$AA$97,12)*'Underlying Assumptions'!$E$9/1000000</f>
        <v>23980.107879691084</v>
      </c>
      <c r="Y14" s="758">
        <f>VLOOKUP(Y4,'Dynamic Population'!$A$14:$AA$97,12)*'Underlying Assumptions'!$E$9/1000000</f>
        <v>24600.301105661612</v>
      </c>
      <c r="Z14" s="758">
        <f>VLOOKUP(Z4,'Dynamic Population'!$A$14:$AA$97,12)*'Underlying Assumptions'!$E$9/1000000</f>
        <v>25236.36750288718</v>
      </c>
      <c r="AA14" s="758">
        <f>VLOOKUP(AA4,'Dynamic Population'!$A$14:$AA$97,12)*'Underlying Assumptions'!$E$9/1000000</f>
        <v>25888.708090181528</v>
      </c>
      <c r="AB14" s="758">
        <f>VLOOKUP(AB4,'Dynamic Population'!$A$14:$AA$97,12)*'Underlying Assumptions'!$E$9/1000000</f>
        <v>26557.733851447432</v>
      </c>
      <c r="AC14" s="758">
        <f>VLOOKUP(AC4,'Dynamic Population'!$A$14:$AA$97,12)*'Underlying Assumptions'!$E$9/1000000</f>
        <v>27243.865977959245</v>
      </c>
      <c r="AD14" s="758">
        <f>VLOOKUP(AD4,'Dynamic Population'!$A$14:$AA$97,12)*'Underlying Assumptions'!$E$9/1000000</f>
        <v>27947.536116361385</v>
      </c>
      <c r="AE14" s="758">
        <f>VLOOKUP(AE4,'Dynamic Population'!$A$14:$AA$97,12)*'Underlying Assumptions'!$E$9/1000000</f>
        <v>28669.186622511861</v>
      </c>
      <c r="AF14" s="758">
        <f>VLOOKUP(AF4,'Dynamic Population'!$A$14:$AA$97,12)*'Underlying Assumptions'!$E$9/1000000</f>
        <v>29409.270821302391</v>
      </c>
      <c r="AG14" s="758">
        <f>VLOOKUP(AG4,'Dynamic Population'!$A$14:$AA$97,12)*'Underlying Assumptions'!$E$9/1000000</f>
        <v>30168.253272589856</v>
      </c>
      <c r="AH14" s="758">
        <f>VLOOKUP(AH4,'Dynamic Population'!$A$14:$AA$97,12)*'Underlying Assumptions'!$E$9/1000000</f>
        <v>30946.610043376095</v>
      </c>
      <c r="AI14" s="758">
        <f>VLOOKUP(AI4,'Dynamic Population'!$A$14:$AA$97,12)*'Underlying Assumptions'!$E$9/1000000</f>
        <v>31744.828986376491</v>
      </c>
      <c r="AJ14" s="758">
        <f>VLOOKUP(AJ4,'Dynamic Population'!$A$14:$AA$97,12)*'Underlying Assumptions'!$E$9/1000000</f>
        <v>32563.410025120171</v>
      </c>
      <c r="AK14" s="758">
        <f>VLOOKUP(AK4,'Dynamic Population'!$A$14:$AA$97,12)*'Underlying Assumptions'!$E$9/1000000</f>
        <v>33402.865445728072</v>
      </c>
      <c r="AL14" s="758">
        <f>VLOOKUP(AL4,'Dynamic Population'!$A$14:$AA$97,12)*'Underlying Assumptions'!$E$9/1000000</f>
        <v>34263.720195517708</v>
      </c>
      <c r="AM14" s="758">
        <f>VLOOKUP(AM4,'Dynamic Population'!$A$14:$AA$97,12)*'Underlying Assumptions'!$E$9/1000000</f>
        <v>35146.512188587069</v>
      </c>
      <c r="AN14" s="758">
        <f>VLOOKUP(AN4,'Dynamic Population'!$A$14:$AA$97,12)*'Underlying Assumptions'!$E$9/1000000</f>
        <v>36148.187785961789</v>
      </c>
      <c r="AO14" s="758">
        <f>VLOOKUP(AO4,'Dynamic Population'!$A$14:$AA$97,12)*'Underlying Assumptions'!$E$9/1000000</f>
        <v>37178.411137861702</v>
      </c>
      <c r="AP14" s="758">
        <f>VLOOKUP(AP4,'Dynamic Population'!$A$14:$AA$97,12)*'Underlying Assumptions'!$E$9/1000000</f>
        <v>38237.995855290763</v>
      </c>
      <c r="AQ14" s="758">
        <f>VLOOKUP(AQ4,'Dynamic Population'!$A$14:$AA$97,12)*'Underlying Assumptions'!$E$9/1000000</f>
        <v>39327.778737166547</v>
      </c>
      <c r="AR14" s="758">
        <f>VLOOKUP(AR4,'Dynamic Population'!$A$14:$AA$97,12)*'Underlying Assumptions'!$E$9/1000000</f>
        <v>40448.620431175797</v>
      </c>
      <c r="AS14" s="758">
        <f>VLOOKUP(AS4,'Dynamic Population'!$A$14:$AA$97,12)*'Underlying Assumptions'!$E$9/1000000</f>
        <v>41601.406113464313</v>
      </c>
      <c r="AT14" s="758">
        <f>VLOOKUP(AT4,'Dynamic Population'!$A$14:$AA$97,12)*'Underlying Assumptions'!$E$9/1000000</f>
        <v>42787.046187698033</v>
      </c>
      <c r="AU14" s="758">
        <f>VLOOKUP(AU4,'Dynamic Population'!$A$14:$AA$97,12)*'Underlying Assumptions'!$E$9/1000000</f>
        <v>44006.477004047432</v>
      </c>
      <c r="AV14" s="758">
        <f>VLOOKUP(AV4,'Dynamic Population'!$A$14:$AA$97,12)*'Underlying Assumptions'!$E$9/1000000</f>
        <v>45260.66159866278</v>
      </c>
      <c r="AW14" s="758">
        <f>VLOOKUP(AW4,'Dynamic Population'!$A$14:$AA$97,12)*'Underlying Assumptions'!$E$9/1000000</f>
        <v>46550.590454224672</v>
      </c>
      <c r="AX14" s="758">
        <f>VLOOKUP(AX4,'Dynamic Population'!$A$14:$AA$97,12)*'Underlying Assumptions'!$E$9/1000000</f>
        <v>47877.282282170068</v>
      </c>
      <c r="AY14" s="758">
        <f>VLOOKUP(AY4,'Dynamic Population'!$A$14:$AA$97,12)*'Underlying Assumptions'!$E$9/1000000</f>
        <v>49241.784827211923</v>
      </c>
      <c r="AZ14" s="758">
        <f>VLOOKUP(AZ4,'Dynamic Population'!$A$14:$AA$97,12)*'Underlying Assumptions'!$E$9/1000000</f>
        <v>50645.175694787446</v>
      </c>
      <c r="BA14" s="758">
        <f>VLOOKUP(BA4,'Dynamic Population'!$A$14:$AA$97,12)*'Underlying Assumptions'!$E$9/1000000</f>
        <v>52088.563202088895</v>
      </c>
      <c r="BB14" s="758">
        <f>VLOOKUP(BB4,'Dynamic Population'!$A$14:$AA$97,12)*'Underlying Assumptions'!$E$9/1000000</f>
        <v>53573.087253348436</v>
      </c>
      <c r="BC14" s="758">
        <f>VLOOKUP(BC4,'Dynamic Population'!$A$14:$AA$97,12)*'Underlying Assumptions'!$E$9/1000000</f>
        <v>55099.920240068866</v>
      </c>
      <c r="BD14" s="758">
        <f>VLOOKUP(BD4,'Dynamic Population'!$A$14:$AA$97,12)*'Underlying Assumptions'!$E$9/1000000</f>
        <v>56670.267966910811</v>
      </c>
      <c r="BE14" s="758">
        <f>VLOOKUP(BE4,'Dynamic Population'!$A$14:$AA$97,12)*'Underlying Assumptions'!$E$9/1000000</f>
        <v>58285.370603967764</v>
      </c>
      <c r="BF14" s="758">
        <f>VLOOKUP(BF4,'Dynamic Population'!$A$14:$AA$97,12)*'Underlying Assumptions'!$E$9/1000000</f>
        <v>59946.503666180848</v>
      </c>
      <c r="BG14" s="758">
        <f>VLOOKUP(BG4,'Dynamic Population'!$A$14:$AA$97,12)*'Underlying Assumptions'!$E$9/1000000</f>
        <v>61654.979020667</v>
      </c>
      <c r="BH14" s="758">
        <f>VLOOKUP(BH4,'Dynamic Population'!$A$14:$AA$97,12)*'Underlying Assumptions'!$E$9/1000000</f>
        <v>63412.145922756004</v>
      </c>
      <c r="BI14" s="758">
        <f>VLOOKUP(BI4,'Dynamic Population'!$A$14:$AA$97,12)*'Underlying Assumptions'!$E$9/1000000</f>
        <v>65219.39208155455</v>
      </c>
      <c r="BJ14" s="758">
        <f>VLOOKUP(BJ4,'Dynamic Population'!$A$14:$AA$97,12)*'Underlying Assumptions'!$E$9/1000000</f>
        <v>67078.14475587885</v>
      </c>
      <c r="BK14" s="758">
        <f>VLOOKUP(BK4,'Dynamic Population'!$A$14:$AA$97,12)*'Underlying Assumptions'!$E$9/1000000</f>
        <v>68989.871881421393</v>
      </c>
      <c r="BL14" s="758">
        <f>VLOOKUP(BL4,'Dynamic Population'!$A$14:$AA$97,12)*'Underlying Assumptions'!$E$9/1000000</f>
        <v>70956.083230041899</v>
      </c>
      <c r="BM14" s="758">
        <f>VLOOKUP(BM4,'Dynamic Population'!$A$14:$AA$97,12)*'Underlying Assumptions'!$E$9/1000000</f>
        <v>72978.331602098086</v>
      </c>
      <c r="BN14" s="758">
        <f>VLOOKUP(BN4,'Dynamic Population'!$A$14:$AA$97,12)*'Underlying Assumptions'!$E$9/1000000</f>
        <v>75058.214052757874</v>
      </c>
      <c r="BO14" s="758">
        <f>VLOOKUP(BO4,'Dynamic Population'!$A$14:$AA$97,12)*'Underlying Assumptions'!$E$9/1000000</f>
        <v>77197.373153261477</v>
      </c>
      <c r="BP14" s="758">
        <f>VLOOKUP(BP4,'Dynamic Population'!$A$14:$AA$97,12)*'Underlying Assumptions'!$E$9/1000000</f>
        <v>79397.498288129427</v>
      </c>
      <c r="BQ14" s="758">
        <f>VLOOKUP(BQ4,'Dynamic Population'!$A$14:$AA$97,12)*'Underlying Assumptions'!$E$9/1000000</f>
        <v>81660.326989341105</v>
      </c>
      <c r="BR14" s="758">
        <f>VLOOKUP(BR4,'Dynamic Population'!$A$14:$AA$97,12)*'Underlying Assumptions'!$E$9/1000000</f>
        <v>83987.64630853734</v>
      </c>
      <c r="BS14" s="758">
        <f>VLOOKUP(BS4,'Dynamic Population'!$A$14:$AA$97,12)*'Underlying Assumptions'!$E$9/1000000</f>
        <v>86381.294228330662</v>
      </c>
      <c r="BT14" s="758">
        <f>VLOOKUP(BT4,'Dynamic Population'!$A$14:$AA$97,12)*'Underlying Assumptions'!$E$9/1000000</f>
        <v>88843.161113838069</v>
      </c>
      <c r="BU14" s="758">
        <f>VLOOKUP(BU4,'Dynamic Population'!$A$14:$AA$97,12)*'Underlying Assumptions'!$E$9/1000000</f>
        <v>91375.191205582465</v>
      </c>
      <c r="BV14" s="758">
        <f>VLOOKUP(BV4,'Dynamic Population'!$A$14:$AA$97,12)*'Underlying Assumptions'!$E$9/1000000</f>
        <v>93979.384154941537</v>
      </c>
      <c r="BW14" s="758">
        <f>VLOOKUP(BW4,'Dynamic Population'!$A$14:$AA$97,12)*'Underlying Assumptions'!$E$9/1000000</f>
        <v>96657.79660335739</v>
      </c>
      <c r="BX14" s="758">
        <f>VLOOKUP(BX4,'Dynamic Population'!$A$14:$AA$97,12)*'Underlying Assumptions'!$E$9/1000000</f>
        <v>99412.543806553076</v>
      </c>
      <c r="BY14" s="758">
        <f>VLOOKUP(BY4,'Dynamic Population'!$A$14:$AA$97,12)*'Underlying Assumptions'!$E$9/1000000</f>
        <v>102245.80130503984</v>
      </c>
      <c r="BZ14" s="758">
        <f>VLOOKUP(BZ4,'Dynamic Population'!$A$14:$AA$97,12)*'Underlying Assumptions'!$E$9/1000000</f>
        <v>105159.80664223345</v>
      </c>
      <c r="CA14" s="758">
        <f>VLOOKUP(CA4,'Dynamic Population'!$A$14:$AA$97,12)*'Underlying Assumptions'!$E$9/1000000</f>
        <v>108156.86113153711</v>
      </c>
      <c r="CB14" s="758">
        <f>VLOOKUP(CB4,'Dynamic Population'!$A$14:$AA$97,12)*'Underlying Assumptions'!$E$9/1000000</f>
        <v>111239.3316737859</v>
      </c>
      <c r="CC14" s="758">
        <f>VLOOKUP(CC4,'Dynamic Population'!$A$14:$AA$97,12)*'Underlying Assumptions'!$E$9/1000000</f>
        <v>111239.3316737859</v>
      </c>
      <c r="CD14" s="758">
        <f>VLOOKUP(CD4,'Dynamic Population'!$A$14:$AA$97,12)*'Underlying Assumptions'!$E$9/1000000</f>
        <v>111239.3316737859</v>
      </c>
      <c r="CE14" s="758">
        <f>VLOOKUP(CE4,'Dynamic Population'!$A$14:$AA$97,12)*'Underlying Assumptions'!$E$9/1000000</f>
        <v>111239.3316737859</v>
      </c>
      <c r="CF14" s="758">
        <f>VLOOKUP(CF4,'Dynamic Population'!$A$14:$AA$97,12)*'Underlying Assumptions'!$E$9/1000000</f>
        <v>111239.3316737859</v>
      </c>
      <c r="CG14" s="758">
        <f>VLOOKUP(CG4,'Dynamic Population'!$A$14:$AA$97,12)*'Underlying Assumptions'!$E$9/1000000</f>
        <v>111239.3316737859</v>
      </c>
      <c r="CH14" s="758">
        <f>VLOOKUP(CH4,'Dynamic Population'!$A$14:$AA$97,12)*'Underlying Assumptions'!$E$9/1000000</f>
        <v>111239.3316737859</v>
      </c>
      <c r="CI14" s="758">
        <f>VLOOKUP(CI4,'Dynamic Population'!$A$14:$AA$97,12)*'Underlying Assumptions'!$E$9/1000000</f>
        <v>111239.3316737859</v>
      </c>
      <c r="CJ14" s="758">
        <f>VLOOKUP(CJ4,'Dynamic Population'!$A$14:$AA$97,12)*'Underlying Assumptions'!$E$9/1000000</f>
        <v>111239.3316737859</v>
      </c>
      <c r="CK14" s="758">
        <f>VLOOKUP(CK4,'Dynamic Population'!$A$14:$AA$97,12)*'Underlying Assumptions'!$E$9/1000000</f>
        <v>111239.3316737859</v>
      </c>
      <c r="CL14" s="758">
        <f>VLOOKUP(CL4,'Dynamic Population'!$A$14:$AA$97,12)*'Underlying Assumptions'!$E$9/1000000</f>
        <v>111239.3316737859</v>
      </c>
      <c r="CM14" s="758">
        <f>VLOOKUP(CM4,'Dynamic Population'!$A$14:$AA$97,12)*'Underlying Assumptions'!$E$9/1000000</f>
        <v>111239.3316737859</v>
      </c>
    </row>
    <row r="15" spans="1:104" s="759" customFormat="1" x14ac:dyDescent="0.25">
      <c r="B15" s="759" t="s">
        <v>320</v>
      </c>
      <c r="E15" s="758">
        <f>VLOOKUP(E$4,'Dynamic Population'!$A$14:$AA$97,19,FALSE)*'Underlying Assumptions'!$E$9/1000000</f>
        <v>20275.609848683933</v>
      </c>
      <c r="F15" s="758">
        <f>VLOOKUP(F$4,'Dynamic Population'!$A$14:$AA$97,19,FALSE)*'Underlying Assumptions'!$E$9/1000000</f>
        <v>21823.404134398086</v>
      </c>
      <c r="G15" s="758">
        <f>VLOOKUP(G$4,'Dynamic Population'!$A$14:$AA$97,19,FALSE)*'Underlying Assumptions'!$E$9/1000000</f>
        <v>21823.404134398086</v>
      </c>
      <c r="H15" s="758">
        <f>VLOOKUP(H$4,'Dynamic Population'!$A$14:$AA$97,19,FALSE)*'Underlying Assumptions'!$E$9/1000000</f>
        <v>21823.404134398086</v>
      </c>
      <c r="I15" s="758">
        <f>VLOOKUP(I$4,'Dynamic Population'!$A$14:$AA$97,19,FALSE)*'Underlying Assumptions'!$E$9/1000000</f>
        <v>21823.404134398086</v>
      </c>
      <c r="J15" s="758">
        <f>VLOOKUP(J$4,'Dynamic Population'!$A$14:$AA$97,19,FALSE)*'Underlying Assumptions'!$E$9/1000000</f>
        <v>23061.639562969405</v>
      </c>
      <c r="K15" s="758">
        <f>VLOOKUP(K$4,'Dynamic Population'!$A$14:$AA$97,19,FALSE)*'Underlying Assumptions'!$E$9/1000000</f>
        <v>23061.639562969405</v>
      </c>
      <c r="L15" s="758">
        <f>VLOOKUP(L$4,'Dynamic Population'!$A$14:$AA$97,19,FALSE)*'Underlying Assumptions'!$E$9/1000000</f>
        <v>23061.639562969405</v>
      </c>
      <c r="M15" s="758">
        <f>VLOOKUP(M$4,'Dynamic Population'!$A$14:$AA$97,19,FALSE)*'Underlying Assumptions'!$E$9/1000000</f>
        <v>23061.639562969405</v>
      </c>
      <c r="N15" s="758">
        <f>VLOOKUP(N$4,'Dynamic Population'!$A$14:$AA$97,19,FALSE)*'Underlying Assumptions'!$E$9/1000000</f>
        <v>23061.639562969405</v>
      </c>
      <c r="O15" s="758">
        <f>VLOOKUP(O$4,'Dynamic Population'!$A$14:$AA$97,19,FALSE)*'Underlying Assumptions'!$E$9/1000000</f>
        <v>23061.639562969405</v>
      </c>
      <c r="P15" s="758">
        <f>VLOOKUP(P$4,'Dynamic Population'!$A$14:$AA$97,19,FALSE)*'Underlying Assumptions'!$E$9/1000000</f>
        <v>23061.639562969405</v>
      </c>
      <c r="Q15" s="758">
        <f>VLOOKUP(Q$4,'Dynamic Population'!$A$14:$AA$97,19,FALSE)*'Underlying Assumptions'!$E$9/1000000</f>
        <v>23061.639562969405</v>
      </c>
      <c r="R15" s="758">
        <f>VLOOKUP(R$4,'Dynamic Population'!$A$14:$AA$97,19,FALSE)*'Underlying Assumptions'!$E$9/1000000</f>
        <v>23061.639562969405</v>
      </c>
      <c r="S15" s="758">
        <f>VLOOKUP(S$4,'Dynamic Population'!$A$14:$AA$97,19,FALSE)*'Underlying Assumptions'!$E$9/1000000</f>
        <v>23061.639562969405</v>
      </c>
      <c r="T15" s="758">
        <f>VLOOKUP(T$4,'Dynamic Population'!$A$14:$AA$97,19,FALSE)*'Underlying Assumptions'!$E$9/1000000</f>
        <v>23061.639562969405</v>
      </c>
      <c r="U15" s="758">
        <f>VLOOKUP(U$4,'Dynamic Population'!$A$14:$AA$97,19,FALSE)*'Underlying Assumptions'!$E$9/1000000</f>
        <v>23061.639562969405</v>
      </c>
      <c r="V15" s="758">
        <f>VLOOKUP(V$4,'Dynamic Population'!$A$14:$AA$97,19,FALSE)*'Underlying Assumptions'!$E$9/1000000</f>
        <v>23061.639562969405</v>
      </c>
      <c r="W15" s="758">
        <f>VLOOKUP(W$4,'Dynamic Population'!$A$14:$AA$97,19,FALSE)*'Underlying Assumptions'!$E$9/1000000</f>
        <v>23061.639562969405</v>
      </c>
      <c r="X15" s="758">
        <f>VLOOKUP(X$4,'Dynamic Population'!$A$14:$AA$97,19,FALSE)*'Underlying Assumptions'!$E$9/1000000</f>
        <v>23061.639562969405</v>
      </c>
      <c r="Y15" s="758">
        <f>VLOOKUP(Y$4,'Dynamic Population'!$A$14:$AA$97,19,FALSE)*'Underlying Assumptions'!$E$9/1000000</f>
        <v>23061.639562969405</v>
      </c>
      <c r="Z15" s="758">
        <f>VLOOKUP(Z$4,'Dynamic Population'!$A$14:$AA$97,19,FALSE)*'Underlying Assumptions'!$E$9/1000000</f>
        <v>23061.639562969405</v>
      </c>
      <c r="AA15" s="758">
        <f>VLOOKUP(AA$4,'Dynamic Population'!$A$14:$AA$97,19,FALSE)*'Underlying Assumptions'!$E$9/1000000</f>
        <v>23061.639562969405</v>
      </c>
      <c r="AB15" s="758">
        <f>VLOOKUP(AB$4,'Dynamic Population'!$A$14:$AA$97,19,FALSE)*'Underlying Assumptions'!$E$9/1000000</f>
        <v>23061.639562969405</v>
      </c>
      <c r="AC15" s="758">
        <f>VLOOKUP(AC$4,'Dynamic Population'!$A$14:$AA$97,19,FALSE)*'Underlying Assumptions'!$E$9/1000000</f>
        <v>23061.639562969405</v>
      </c>
      <c r="AD15" s="758">
        <f>VLOOKUP(AD$4,'Dynamic Population'!$A$14:$AA$97,19,FALSE)*'Underlying Assumptions'!$E$9/1000000</f>
        <v>23061.639562969405</v>
      </c>
      <c r="AE15" s="758">
        <f>VLOOKUP(AE$4,'Dynamic Population'!$A$14:$AA$97,19,FALSE)*'Underlying Assumptions'!$E$9/1000000</f>
        <v>23061.639562969405</v>
      </c>
      <c r="AF15" s="758">
        <f>VLOOKUP(AF$4,'Dynamic Population'!$A$14:$AA$97,19,FALSE)*'Underlying Assumptions'!$E$9/1000000</f>
        <v>23061.639562969405</v>
      </c>
      <c r="AG15" s="758">
        <f>VLOOKUP(AG$4,'Dynamic Population'!$A$14:$AA$97,19,FALSE)*'Underlying Assumptions'!$E$9/1000000</f>
        <v>23061.639562969405</v>
      </c>
      <c r="AH15" s="758">
        <f>VLOOKUP(AH$4,'Dynamic Population'!$A$14:$AA$97,19,FALSE)*'Underlying Assumptions'!$E$9/1000000</f>
        <v>23061.639562969405</v>
      </c>
      <c r="AI15" s="758">
        <f>VLOOKUP(AI$4,'Dynamic Population'!$A$14:$AA$97,19,FALSE)*'Underlying Assumptions'!$E$9/1000000</f>
        <v>23061.639562969405</v>
      </c>
      <c r="AJ15" s="758">
        <f>VLOOKUP(AJ$4,'Dynamic Population'!$A$14:$AA$97,19,FALSE)*'Underlying Assumptions'!$E$9/1000000</f>
        <v>23061.639562969405</v>
      </c>
      <c r="AK15" s="758">
        <f>VLOOKUP(AK$4,'Dynamic Population'!$A$14:$AA$97,19,FALSE)*'Underlying Assumptions'!$E$9/1000000</f>
        <v>23061.639562969405</v>
      </c>
      <c r="AL15" s="758">
        <f>VLOOKUP(AL$4,'Dynamic Population'!$A$14:$AA$97,19,FALSE)*'Underlying Assumptions'!$E$9/1000000</f>
        <v>23061.639562969405</v>
      </c>
      <c r="AM15" s="758">
        <f>VLOOKUP(AM$4,'Dynamic Population'!$A$14:$AA$97,19,FALSE)*'Underlying Assumptions'!$E$9/1000000</f>
        <v>23061.639562969405</v>
      </c>
      <c r="AN15" s="758">
        <f>VLOOKUP(AN$4,'Dynamic Population'!$A$14:$AA$97,19,FALSE)*'Underlying Assumptions'!$E$9/1000000</f>
        <v>23061.639562969405</v>
      </c>
      <c r="AO15" s="758">
        <f>VLOOKUP(AO$4,'Dynamic Population'!$A$14:$AA$97,19,FALSE)*'Underlying Assumptions'!$E$9/1000000</f>
        <v>23061.639562969405</v>
      </c>
      <c r="AP15" s="758">
        <f>VLOOKUP(AP$4,'Dynamic Population'!$A$14:$AA$97,19,FALSE)*'Underlying Assumptions'!$E$9/1000000</f>
        <v>23061.639562969405</v>
      </c>
      <c r="AQ15" s="758">
        <f>VLOOKUP(AQ$4,'Dynamic Population'!$A$14:$AA$97,19,FALSE)*'Underlying Assumptions'!$E$9/1000000</f>
        <v>23061.639562969405</v>
      </c>
      <c r="AR15" s="758">
        <f>VLOOKUP(AR$4,'Dynamic Population'!$A$14:$AA$97,19,FALSE)*'Underlying Assumptions'!$E$9/1000000</f>
        <v>23061.639562969405</v>
      </c>
      <c r="AS15" s="758">
        <f>VLOOKUP(AS$4,'Dynamic Population'!$A$14:$AA$97,19,FALSE)*'Underlying Assumptions'!$E$9/1000000</f>
        <v>23061.639562969405</v>
      </c>
      <c r="AT15" s="758">
        <f>VLOOKUP(AT$4,'Dynamic Population'!$A$14:$AA$97,19,FALSE)*'Underlying Assumptions'!$E$9/1000000</f>
        <v>23061.639562969405</v>
      </c>
      <c r="AU15" s="758">
        <f>VLOOKUP(AU$4,'Dynamic Population'!$A$14:$AA$97,19,FALSE)*'Underlying Assumptions'!$E$9/1000000</f>
        <v>23061.639562969405</v>
      </c>
      <c r="AV15" s="758">
        <f>VLOOKUP(AV$4,'Dynamic Population'!$A$14:$AA$97,19,FALSE)*'Underlying Assumptions'!$E$9/1000000</f>
        <v>23061.639562969405</v>
      </c>
      <c r="AW15" s="758">
        <f>VLOOKUP(AW$4,'Dynamic Population'!$A$14:$AA$97,19,FALSE)*'Underlying Assumptions'!$E$9/1000000</f>
        <v>23061.639562969405</v>
      </c>
      <c r="AX15" s="758">
        <f>VLOOKUP(AX$4,'Dynamic Population'!$A$14:$AA$97,19,FALSE)*'Underlying Assumptions'!$E$9/1000000</f>
        <v>23061.639562969405</v>
      </c>
      <c r="AY15" s="758">
        <f>VLOOKUP(AY$4,'Dynamic Population'!$A$14:$AA$97,19,FALSE)*'Underlying Assumptions'!$E$9/1000000</f>
        <v>23061.639562969405</v>
      </c>
      <c r="AZ15" s="758">
        <f>VLOOKUP(AZ$4,'Dynamic Population'!$A$14:$AA$97,19,FALSE)*'Underlying Assumptions'!$E$9/1000000</f>
        <v>23061.639562969405</v>
      </c>
      <c r="BA15" s="758">
        <f>VLOOKUP(BA$4,'Dynamic Population'!$A$14:$AA$97,19,FALSE)*'Underlying Assumptions'!$E$9/1000000</f>
        <v>23061.639562969405</v>
      </c>
      <c r="BB15" s="758">
        <f>VLOOKUP(BB$4,'Dynamic Population'!$A$14:$AA$97,19,FALSE)*'Underlying Assumptions'!$E$9/1000000</f>
        <v>23061.639562969405</v>
      </c>
      <c r="BC15" s="758">
        <f>VLOOKUP(BC$4,'Dynamic Population'!$A$14:$AA$97,19,FALSE)*'Underlying Assumptions'!$E$9/1000000</f>
        <v>23061.639562969405</v>
      </c>
      <c r="BD15" s="758">
        <f>VLOOKUP(BD$4,'Dynamic Population'!$A$14:$AA$97,19,FALSE)*'Underlying Assumptions'!$E$9/1000000</f>
        <v>23061.639562969405</v>
      </c>
      <c r="BE15" s="758">
        <f>VLOOKUP(BE$4,'Dynamic Population'!$A$14:$AA$97,19,FALSE)*'Underlying Assumptions'!$E$9/1000000</f>
        <v>23061.639562969405</v>
      </c>
      <c r="BF15" s="758">
        <f>VLOOKUP(BF$4,'Dynamic Population'!$A$14:$AA$97,19,FALSE)*'Underlying Assumptions'!$E$9/1000000</f>
        <v>23061.639562969405</v>
      </c>
      <c r="BG15" s="758">
        <f>VLOOKUP(BG$4,'Dynamic Population'!$A$14:$AA$97,19,FALSE)*'Underlying Assumptions'!$E$9/1000000</f>
        <v>23061.639562969405</v>
      </c>
      <c r="BH15" s="758">
        <f>VLOOKUP(BH$4,'Dynamic Population'!$A$14:$AA$97,19,FALSE)*'Underlying Assumptions'!$E$9/1000000</f>
        <v>23061.639562969405</v>
      </c>
      <c r="BI15" s="758">
        <f>VLOOKUP(BI$4,'Dynamic Population'!$A$14:$AA$97,19,FALSE)*'Underlying Assumptions'!$E$9/1000000</f>
        <v>23061.639562969405</v>
      </c>
      <c r="BJ15" s="758">
        <f>VLOOKUP(BJ$4,'Dynamic Population'!$A$14:$AA$97,19,FALSE)*'Underlying Assumptions'!$E$9/1000000</f>
        <v>23061.639562969405</v>
      </c>
      <c r="BK15" s="758">
        <f>VLOOKUP(BK$4,'Dynamic Population'!$A$14:$AA$97,19,FALSE)*'Underlying Assumptions'!$E$9/1000000</f>
        <v>23061.639562969405</v>
      </c>
      <c r="BL15" s="758">
        <f>VLOOKUP(BL$4,'Dynamic Population'!$A$14:$AA$97,19,FALSE)*'Underlying Assumptions'!$E$9/1000000</f>
        <v>23061.639562969405</v>
      </c>
      <c r="BM15" s="758">
        <f>VLOOKUP(BM$4,'Dynamic Population'!$A$14:$AA$97,19,FALSE)*'Underlying Assumptions'!$E$9/1000000</f>
        <v>23061.639562969405</v>
      </c>
      <c r="BN15" s="758">
        <f>VLOOKUP(BN$4,'Dynamic Population'!$A$14:$AA$97,19,FALSE)*'Underlying Assumptions'!$E$9/1000000</f>
        <v>23061.639562969405</v>
      </c>
      <c r="BO15" s="758">
        <f>VLOOKUP(BO$4,'Dynamic Population'!$A$14:$AA$97,19,FALSE)*'Underlying Assumptions'!$E$9/1000000</f>
        <v>23061.639562969405</v>
      </c>
      <c r="BP15" s="758">
        <f>VLOOKUP(BP$4,'Dynamic Population'!$A$14:$AA$97,19,FALSE)*'Underlying Assumptions'!$E$9/1000000</f>
        <v>23061.639562969405</v>
      </c>
      <c r="BQ15" s="758">
        <f>VLOOKUP(BQ$4,'Dynamic Population'!$A$14:$AA$97,19,FALSE)*'Underlying Assumptions'!$E$9/1000000</f>
        <v>23061.639562969405</v>
      </c>
      <c r="BR15" s="758">
        <f>VLOOKUP(BR$4,'Dynamic Population'!$A$14:$AA$97,19,FALSE)*'Underlying Assumptions'!$E$9/1000000</f>
        <v>23061.639562969405</v>
      </c>
      <c r="BS15" s="758">
        <f>VLOOKUP(BS$4,'Dynamic Population'!$A$14:$AA$97,19,FALSE)*'Underlying Assumptions'!$E$9/1000000</f>
        <v>23061.639562969405</v>
      </c>
      <c r="BT15" s="758">
        <f>VLOOKUP(BT$4,'Dynamic Population'!$A$14:$AA$97,19,FALSE)*'Underlying Assumptions'!$E$9/1000000</f>
        <v>23061.639562969405</v>
      </c>
      <c r="BU15" s="758">
        <f>VLOOKUP(BU$4,'Dynamic Population'!$A$14:$AA$97,19,FALSE)*'Underlying Assumptions'!$E$9/1000000</f>
        <v>23061.639562969405</v>
      </c>
      <c r="BV15" s="758">
        <f>VLOOKUP(BV$4,'Dynamic Population'!$A$14:$AA$97,19,FALSE)*'Underlying Assumptions'!$E$9/1000000</f>
        <v>23061.639562969405</v>
      </c>
      <c r="BW15" s="758">
        <f>VLOOKUP(BW$4,'Dynamic Population'!$A$14:$AA$97,19,FALSE)*'Underlying Assumptions'!$E$9/1000000</f>
        <v>23061.639562969405</v>
      </c>
      <c r="BX15" s="758">
        <f>VLOOKUP(BX$4,'Dynamic Population'!$A$14:$AA$97,19,FALSE)*'Underlying Assumptions'!$E$9/1000000</f>
        <v>23061.639562969405</v>
      </c>
      <c r="BY15" s="758">
        <f>VLOOKUP(BY$4,'Dynamic Population'!$A$14:$AA$97,19,FALSE)*'Underlying Assumptions'!$E$9/1000000</f>
        <v>23061.639562969405</v>
      </c>
      <c r="BZ15" s="758">
        <f>VLOOKUP(BZ$4,'Dynamic Population'!$A$14:$AA$97,19,FALSE)*'Underlying Assumptions'!$E$9/1000000</f>
        <v>23061.639562969405</v>
      </c>
      <c r="CA15" s="758">
        <f>VLOOKUP(CA$4,'Dynamic Population'!$A$14:$AA$97,19,FALSE)*'Underlying Assumptions'!$E$9/1000000</f>
        <v>23061.639562969405</v>
      </c>
      <c r="CB15" s="758">
        <f>VLOOKUP(CB$4,'Dynamic Population'!$A$14:$AA$97,19,FALSE)*'Underlying Assumptions'!$E$9/1000000</f>
        <v>23061.639562969405</v>
      </c>
      <c r="CC15" s="758">
        <f>VLOOKUP(CC$4,'Dynamic Population'!$A$14:$AA$97,19,FALSE)*'Underlying Assumptions'!$E$9/1000000</f>
        <v>23061.639562969405</v>
      </c>
      <c r="CD15" s="758">
        <f>VLOOKUP(CD$4,'Dynamic Population'!$A$14:$AA$97,19,FALSE)*'Underlying Assumptions'!$E$9/1000000</f>
        <v>23061.639562969405</v>
      </c>
      <c r="CE15" s="758" t="e">
        <f>VLOOKUP(CE$4,'Dynamic Population'!$A$14:$AA$97,19,FALSE)*'Underlying Assumptions'!$E$9/1000000</f>
        <v>#N/A</v>
      </c>
      <c r="CF15" s="758" t="e">
        <f>VLOOKUP(CF$4,'Dynamic Population'!$A$14:$AA$97,19,FALSE)*'Underlying Assumptions'!$E$9/1000000</f>
        <v>#N/A</v>
      </c>
      <c r="CG15" s="758" t="e">
        <f>VLOOKUP(CG$4,'Dynamic Population'!$A$14:$AA$97,19,FALSE)*'Underlying Assumptions'!$E$9/1000000</f>
        <v>#N/A</v>
      </c>
      <c r="CH15" s="758" t="e">
        <f>VLOOKUP(CH$4,'Dynamic Population'!$A$14:$AA$97,19,FALSE)*'Underlying Assumptions'!$E$9/1000000</f>
        <v>#N/A</v>
      </c>
      <c r="CI15" s="758" t="e">
        <f>VLOOKUP(CI$4,'Dynamic Population'!$A$14:$AA$97,19,FALSE)*'Underlying Assumptions'!$E$9/1000000</f>
        <v>#N/A</v>
      </c>
      <c r="CJ15" s="758" t="e">
        <f>VLOOKUP(CJ$4,'Dynamic Population'!$A$14:$AA$97,19,FALSE)*'Underlying Assumptions'!$E$9/1000000</f>
        <v>#N/A</v>
      </c>
      <c r="CK15" s="758" t="e">
        <f>VLOOKUP(CK$4,'Dynamic Population'!$A$14:$AA$97,19,FALSE)*'Underlying Assumptions'!$E$9/1000000</f>
        <v>#N/A</v>
      </c>
      <c r="CL15" s="758" t="e">
        <f>VLOOKUP(CL$4,'Dynamic Population'!$A$14:$AA$97,19,FALSE)*'Underlying Assumptions'!$E$9/1000000</f>
        <v>#N/A</v>
      </c>
      <c r="CM15" s="758" t="e">
        <f>VLOOKUP(CM$4,'Dynamic Population'!$A$14:$AA$97,19,FALSE)*'Underlying Assumptions'!$E$9/1000000</f>
        <v>#N/A</v>
      </c>
      <c r="CN15" s="760"/>
      <c r="CO15" s="760"/>
      <c r="CP15" s="760"/>
      <c r="CQ15" s="760"/>
      <c r="CR15" s="760"/>
      <c r="CS15" s="760"/>
      <c r="CT15" s="760"/>
      <c r="CU15" s="760"/>
      <c r="CV15" s="760"/>
      <c r="CW15" s="760"/>
      <c r="CX15" s="760"/>
      <c r="CY15" s="760"/>
      <c r="CZ15" s="760"/>
    </row>
    <row r="16" spans="1:104" x14ac:dyDescent="0.25">
      <c r="B16" t="s">
        <v>321</v>
      </c>
      <c r="E16" s="476">
        <f>E15-E14</f>
        <v>4406.4029849586914</v>
      </c>
      <c r="F16" s="614">
        <f t="shared" ref="F16:BQ16" si="68">F15-F14</f>
        <v>5667.5384118193779</v>
      </c>
      <c r="G16" s="614">
        <f t="shared" si="68"/>
        <v>5377.4297612863229</v>
      </c>
      <c r="H16" s="614">
        <f t="shared" si="68"/>
        <v>5083.9075196060476</v>
      </c>
      <c r="I16" s="614">
        <f t="shared" si="68"/>
        <v>4787.0127528345547</v>
      </c>
      <c r="J16" s="614">
        <f t="shared" si="68"/>
        <v>5725.0270690537764</v>
      </c>
      <c r="K16" s="614">
        <f t="shared" si="68"/>
        <v>5421.5311621972796</v>
      </c>
      <c r="L16" s="614">
        <f t="shared" si="68"/>
        <v>5114.8176521481473</v>
      </c>
      <c r="M16" s="614">
        <f t="shared" si="68"/>
        <v>4804.9496500747409</v>
      </c>
      <c r="N16" s="614">
        <f t="shared" si="68"/>
        <v>4491.9964779802176</v>
      </c>
      <c r="O16" s="614">
        <f t="shared" si="68"/>
        <v>4010.5088448403003</v>
      </c>
      <c r="P16" s="614">
        <f t="shared" si="68"/>
        <v>3516.6596092071959</v>
      </c>
      <c r="Q16" s="614">
        <f t="shared" si="68"/>
        <v>3010.1352480688001</v>
      </c>
      <c r="R16" s="614">
        <f t="shared" si="68"/>
        <v>2490.6144083129657</v>
      </c>
      <c r="S16" s="614">
        <f t="shared" si="68"/>
        <v>1957.7677150708187</v>
      </c>
      <c r="T16" s="614">
        <f t="shared" si="68"/>
        <v>1411.257575495747</v>
      </c>
      <c r="U16" s="614">
        <f t="shared" si="68"/>
        <v>850.73797787334843</v>
      </c>
      <c r="V16" s="614">
        <f t="shared" si="68"/>
        <v>275.85428595579651</v>
      </c>
      <c r="W16" s="614">
        <f t="shared" si="68"/>
        <v>-313.75697158855473</v>
      </c>
      <c r="X16" s="614">
        <f t="shared" si="68"/>
        <v>-918.468316721679</v>
      </c>
      <c r="Y16" s="614">
        <f t="shared" si="68"/>
        <v>-1538.6615426922071</v>
      </c>
      <c r="Z16" s="614">
        <f t="shared" si="68"/>
        <v>-2174.7279399177751</v>
      </c>
      <c r="AA16" s="614">
        <f t="shared" si="68"/>
        <v>-2827.0685272121227</v>
      </c>
      <c r="AB16" s="614">
        <f t="shared" si="68"/>
        <v>-3496.094288478027</v>
      </c>
      <c r="AC16" s="614">
        <f t="shared" si="68"/>
        <v>-4182.2264149898401</v>
      </c>
      <c r="AD16" s="614">
        <f t="shared" si="68"/>
        <v>-4885.89655339198</v>
      </c>
      <c r="AE16" s="614">
        <f t="shared" si="68"/>
        <v>-5607.5470595424558</v>
      </c>
      <c r="AF16" s="614">
        <f t="shared" si="68"/>
        <v>-6347.6312583329855</v>
      </c>
      <c r="AG16" s="614">
        <f t="shared" si="68"/>
        <v>-7106.6137096204511</v>
      </c>
      <c r="AH16" s="614">
        <f t="shared" si="68"/>
        <v>-7884.9704804066896</v>
      </c>
      <c r="AI16" s="614">
        <f t="shared" si="68"/>
        <v>-8683.189423407086</v>
      </c>
      <c r="AJ16" s="614">
        <f t="shared" si="68"/>
        <v>-9501.7704621507655</v>
      </c>
      <c r="AK16" s="614">
        <f t="shared" si="68"/>
        <v>-10341.225882758667</v>
      </c>
      <c r="AL16" s="614">
        <f t="shared" si="68"/>
        <v>-11202.080632548303</v>
      </c>
      <c r="AM16" s="614">
        <f t="shared" si="68"/>
        <v>-12084.872625617663</v>
      </c>
      <c r="AN16" s="614">
        <f t="shared" si="68"/>
        <v>-13086.548222992384</v>
      </c>
      <c r="AO16" s="614">
        <f t="shared" si="68"/>
        <v>-14116.771574892296</v>
      </c>
      <c r="AP16" s="614">
        <f t="shared" si="68"/>
        <v>-15176.356292321358</v>
      </c>
      <c r="AQ16" s="614">
        <f t="shared" si="68"/>
        <v>-16266.139174197142</v>
      </c>
      <c r="AR16" s="614">
        <f t="shared" si="68"/>
        <v>-17386.980868206392</v>
      </c>
      <c r="AS16" s="614">
        <f t="shared" si="68"/>
        <v>-18539.766550494907</v>
      </c>
      <c r="AT16" s="614">
        <f t="shared" si="68"/>
        <v>-19725.406624728628</v>
      </c>
      <c r="AU16" s="614">
        <f t="shared" si="68"/>
        <v>-20944.837441078027</v>
      </c>
      <c r="AV16" s="614">
        <f t="shared" si="68"/>
        <v>-22199.022035693375</v>
      </c>
      <c r="AW16" s="614">
        <f t="shared" si="68"/>
        <v>-23488.950891255266</v>
      </c>
      <c r="AX16" s="614">
        <f t="shared" si="68"/>
        <v>-24815.642719200663</v>
      </c>
      <c r="AY16" s="614">
        <f t="shared" si="68"/>
        <v>-26180.145264242517</v>
      </c>
      <c r="AZ16" s="614">
        <f t="shared" si="68"/>
        <v>-27583.53613181804</v>
      </c>
      <c r="BA16" s="614">
        <f t="shared" si="68"/>
        <v>-29026.92363911949</v>
      </c>
      <c r="BB16" s="614">
        <f t="shared" si="68"/>
        <v>-30511.447690379031</v>
      </c>
      <c r="BC16" s="614">
        <f t="shared" si="68"/>
        <v>-32038.280677099461</v>
      </c>
      <c r="BD16" s="614">
        <f t="shared" si="68"/>
        <v>-33608.628403941402</v>
      </c>
      <c r="BE16" s="614">
        <f t="shared" si="68"/>
        <v>-35223.731040998362</v>
      </c>
      <c r="BF16" s="614">
        <f t="shared" si="68"/>
        <v>-36884.864103211439</v>
      </c>
      <c r="BG16" s="614">
        <f t="shared" si="68"/>
        <v>-38593.339457697599</v>
      </c>
      <c r="BH16" s="614">
        <f t="shared" si="68"/>
        <v>-40350.506359786596</v>
      </c>
      <c r="BI16" s="614">
        <f t="shared" si="68"/>
        <v>-42157.752518585141</v>
      </c>
      <c r="BJ16" s="614">
        <f t="shared" si="68"/>
        <v>-44016.505192909448</v>
      </c>
      <c r="BK16" s="614">
        <f t="shared" si="68"/>
        <v>-45928.232318451992</v>
      </c>
      <c r="BL16" s="614">
        <f t="shared" si="68"/>
        <v>-47894.443667072497</v>
      </c>
      <c r="BM16" s="614">
        <f t="shared" si="68"/>
        <v>-49916.692039128684</v>
      </c>
      <c r="BN16" s="614">
        <f t="shared" si="68"/>
        <v>-51996.574489788472</v>
      </c>
      <c r="BO16" s="614">
        <f t="shared" si="68"/>
        <v>-54135.733590292075</v>
      </c>
      <c r="BP16" s="614">
        <f t="shared" si="68"/>
        <v>-56335.858725160026</v>
      </c>
      <c r="BQ16" s="614">
        <f t="shared" si="68"/>
        <v>-58598.687426371704</v>
      </c>
      <c r="BR16" s="614">
        <f t="shared" ref="BR16:CC16" si="69">BR15-BR14</f>
        <v>-60926.006745567938</v>
      </c>
      <c r="BS16" s="614">
        <f t="shared" si="69"/>
        <v>-63319.65466536126</v>
      </c>
      <c r="BT16" s="614">
        <f t="shared" si="69"/>
        <v>-65781.521550868667</v>
      </c>
      <c r="BU16" s="614">
        <f t="shared" si="69"/>
        <v>-68313.551642613063</v>
      </c>
      <c r="BV16" s="614">
        <f t="shared" si="69"/>
        <v>-70917.744591972136</v>
      </c>
      <c r="BW16" s="614">
        <f t="shared" si="69"/>
        <v>-73596.157040387989</v>
      </c>
      <c r="BX16" s="614">
        <f t="shared" si="69"/>
        <v>-76350.904243583675</v>
      </c>
      <c r="BY16" s="614">
        <f t="shared" si="69"/>
        <v>-79184.161742070442</v>
      </c>
      <c r="BZ16" s="614">
        <f t="shared" si="69"/>
        <v>-82098.167079264051</v>
      </c>
      <c r="CA16" s="614">
        <f t="shared" si="69"/>
        <v>-85095.221568567707</v>
      </c>
      <c r="CB16" s="614">
        <f t="shared" si="69"/>
        <v>-88177.692110816497</v>
      </c>
      <c r="CC16" s="614">
        <f t="shared" si="69"/>
        <v>-88177.692110816497</v>
      </c>
      <c r="CD16" s="476"/>
      <c r="CE16" s="476"/>
      <c r="CF16" s="476"/>
      <c r="CG16" s="476"/>
      <c r="CH16" s="476"/>
      <c r="CI16" s="476"/>
      <c r="CJ16" s="476"/>
      <c r="CK16" s="476"/>
      <c r="CL16" s="476"/>
      <c r="CM16" s="476"/>
      <c r="CN16" s="476"/>
      <c r="CO16" s="476"/>
      <c r="CP16" s="476"/>
      <c r="CQ16" s="476"/>
      <c r="CR16" s="476"/>
      <c r="CS16" s="476"/>
      <c r="CT16" s="476"/>
      <c r="CU16" s="476"/>
      <c r="CV16" s="476"/>
      <c r="CW16" s="476"/>
      <c r="CX16" s="476"/>
      <c r="CY16" s="476"/>
      <c r="CZ16" s="476"/>
    </row>
    <row r="17" spans="1:104" x14ac:dyDescent="0.25">
      <c r="B17" t="s">
        <v>312</v>
      </c>
      <c r="E17" s="476">
        <f>VLOOKUP(E4,'Dynamic Population'!$A$14:$L$97,12)*'Underlying Assumptions'!$E$9/1000000</f>
        <v>15869.206863725241</v>
      </c>
      <c r="F17" s="476">
        <f>VLOOKUP(F4,'Dynamic Population'!$A$14:$L$97,12)*'Underlying Assumptions'!$E$9/1000000</f>
        <v>16155.865722578708</v>
      </c>
      <c r="G17" s="476">
        <f>VLOOKUP(G4,'Dynamic Population'!$A$14:$L$97,12)*'Underlying Assumptions'!$E$9/1000000</f>
        <v>16445.974373111763</v>
      </c>
      <c r="H17" s="476">
        <f>VLOOKUP(H4,'Dynamic Population'!$A$14:$L$97,12)*'Underlying Assumptions'!$E$9/1000000</f>
        <v>16739.496614792039</v>
      </c>
      <c r="I17" s="476">
        <f>VLOOKUP(I4,'Dynamic Population'!$A$14:$L$97,12)*'Underlying Assumptions'!$E$9/1000000</f>
        <v>17036.391381563531</v>
      </c>
      <c r="J17" s="476">
        <f>VLOOKUP(J4,'Dynamic Population'!$A$14:$L$97,12)*'Underlying Assumptions'!$E$9/1000000</f>
        <v>17336.612493915629</v>
      </c>
      <c r="K17" s="476">
        <f>VLOOKUP(K4,'Dynamic Population'!$A$14:$L$97,12)*'Underlying Assumptions'!$E$9/1000000</f>
        <v>17640.108400772126</v>
      </c>
      <c r="L17" s="476">
        <f>VLOOKUP(L4,'Dynamic Population'!$A$14:$L$97,12)*'Underlying Assumptions'!$E$9/1000000</f>
        <v>17946.821910821258</v>
      </c>
      <c r="M17" s="476">
        <f>VLOOKUP(M4,'Dynamic Population'!$A$14:$L$97,12)*'Underlying Assumptions'!$E$9/1000000</f>
        <v>18256.689912894664</v>
      </c>
      <c r="N17" s="476">
        <f>VLOOKUP(N4,'Dynamic Population'!$A$14:$L$97,12)*'Underlying Assumptions'!$E$9/1000000</f>
        <v>18569.643084989188</v>
      </c>
      <c r="O17" s="476">
        <f>VLOOKUP(O4,'Dynamic Population'!$A$14:$L$97,12)*'Underlying Assumptions'!$E$9/1000000</f>
        <v>19051.130718129105</v>
      </c>
      <c r="P17" s="476">
        <f>VLOOKUP(P4,'Dynamic Population'!$A$14:$L$97,12)*'Underlying Assumptions'!$E$9/1000000</f>
        <v>19544.979953762209</v>
      </c>
      <c r="Q17" s="476">
        <f>VLOOKUP(Q4,'Dynamic Population'!$A$14:$L$97,12)*'Underlying Assumptions'!$E$9/1000000</f>
        <v>20051.504314900605</v>
      </c>
      <c r="R17" s="476">
        <f>VLOOKUP(R4,'Dynamic Population'!$A$14:$L$97,12)*'Underlying Assumptions'!$E$9/1000000</f>
        <v>20571.02515465644</v>
      </c>
      <c r="S17" s="476">
        <f>VLOOKUP(S4,'Dynamic Population'!$A$14:$L$97,12)*'Underlying Assumptions'!$E$9/1000000</f>
        <v>21103.871847898587</v>
      </c>
      <c r="T17" s="476">
        <f>VLOOKUP(T4,'Dynamic Population'!$A$14:$L$97,12)*'Underlying Assumptions'!$E$9/1000000</f>
        <v>21650.381987473658</v>
      </c>
      <c r="U17" s="476">
        <f>VLOOKUP(U4,'Dynamic Population'!$A$14:$L$97,12)*'Underlying Assumptions'!$E$9/1000000</f>
        <v>22210.901585096057</v>
      </c>
      <c r="V17" s="476">
        <f>VLOOKUP(V4,'Dynamic Population'!$A$14:$L$97,12)*'Underlying Assumptions'!$E$9/1000000</f>
        <v>22785.785277013609</v>
      </c>
      <c r="W17" s="476">
        <f>VLOOKUP(W4,'Dynamic Population'!$A$14:$L$97,12)*'Underlying Assumptions'!$E$9/1000000</f>
        <v>23375.39653455796</v>
      </c>
      <c r="X17" s="476">
        <f>VLOOKUP(X4,'Dynamic Population'!$A$14:$L$97,12)*'Underlying Assumptions'!$E$9/1000000</f>
        <v>23980.107879691084</v>
      </c>
      <c r="Y17" s="476">
        <f>VLOOKUP(Y4,'Dynamic Population'!$A$14:$L$97,12)*'Underlying Assumptions'!$E$9/1000000</f>
        <v>24600.301105661612</v>
      </c>
      <c r="Z17" s="476">
        <f>VLOOKUP(Z4,'Dynamic Population'!$A$14:$L$97,12)*'Underlying Assumptions'!$E$9/1000000</f>
        <v>25236.36750288718</v>
      </c>
      <c r="AA17" s="476">
        <f>VLOOKUP(AA4,'Dynamic Population'!$A$14:$L$97,12)*'Underlying Assumptions'!$E$9/1000000</f>
        <v>25888.708090181528</v>
      </c>
      <c r="AB17" s="476">
        <f>VLOOKUP(AB4,'Dynamic Population'!$A$14:$L$97,12)*'Underlying Assumptions'!$E$9/1000000</f>
        <v>26557.733851447432</v>
      </c>
      <c r="AC17" s="476">
        <f>VLOOKUP(AC4,'Dynamic Population'!$A$14:$L$97,12)*'Underlying Assumptions'!$E$9/1000000</f>
        <v>27243.865977959245</v>
      </c>
      <c r="AD17" s="476">
        <f>VLOOKUP(AD4,'Dynamic Population'!$A$14:$L$97,12)*'Underlying Assumptions'!$E$9/1000000</f>
        <v>27947.536116361385</v>
      </c>
      <c r="AE17" s="476">
        <f>VLOOKUP(AE4,'Dynamic Population'!$A$14:$L$97,12)*'Underlying Assumptions'!$E$9/1000000</f>
        <v>28669.186622511861</v>
      </c>
      <c r="AF17" s="476">
        <f>VLOOKUP(AF4,'Dynamic Population'!$A$14:$L$97,12)*'Underlying Assumptions'!$E$9/1000000</f>
        <v>29409.270821302391</v>
      </c>
      <c r="AG17" s="476">
        <f>VLOOKUP(AG4,'Dynamic Population'!$A$14:$L$97,12)*'Underlying Assumptions'!$E$9/1000000</f>
        <v>30168.253272589856</v>
      </c>
      <c r="AH17" s="476">
        <f>VLOOKUP(AH4,'Dynamic Population'!$A$14:$L$97,12)*'Underlying Assumptions'!$E$9/1000000</f>
        <v>30946.610043376095</v>
      </c>
      <c r="AI17" s="476">
        <f>VLOOKUP(AI4,'Dynamic Population'!$A$14:$L$97,12)*'Underlying Assumptions'!$E$9/1000000</f>
        <v>31744.828986376491</v>
      </c>
      <c r="AJ17" s="476">
        <f>VLOOKUP(AJ4,'Dynamic Population'!$A$14:$L$97,12)*'Underlying Assumptions'!$E$9/1000000</f>
        <v>32563.410025120171</v>
      </c>
      <c r="AK17" s="476">
        <f>VLOOKUP(AK4,'Dynamic Population'!$A$14:$L$97,12)*'Underlying Assumptions'!$E$9/1000000</f>
        <v>33402.865445728072</v>
      </c>
      <c r="AL17" s="476">
        <f>VLOOKUP(AL4,'Dynamic Population'!$A$14:$L$97,12)*'Underlying Assumptions'!$E$9/1000000</f>
        <v>34263.720195517708</v>
      </c>
      <c r="AM17" s="476">
        <f>VLOOKUP(AM4,'Dynamic Population'!$A$14:$L$97,12)*'Underlying Assumptions'!$E$9/1000000</f>
        <v>35146.512188587069</v>
      </c>
      <c r="AN17" s="476">
        <f>VLOOKUP(AN4,'Dynamic Population'!$A$14:$L$97,12)*'Underlying Assumptions'!$E$9/1000000</f>
        <v>36148.187785961789</v>
      </c>
      <c r="AO17" s="476">
        <f>VLOOKUP(AO4,'Dynamic Population'!$A$14:$L$97,12)*'Underlying Assumptions'!$E$9/1000000</f>
        <v>37178.411137861702</v>
      </c>
      <c r="AP17" s="476">
        <f>VLOOKUP(AP4,'Dynamic Population'!$A$14:$L$97,12)*'Underlying Assumptions'!$E$9/1000000</f>
        <v>38237.995855290763</v>
      </c>
      <c r="AQ17" s="476">
        <f>VLOOKUP(AQ4,'Dynamic Population'!$A$14:$L$97,12)*'Underlying Assumptions'!$E$9/1000000</f>
        <v>39327.778737166547</v>
      </c>
      <c r="AR17" s="476">
        <f>VLOOKUP(AR4,'Dynamic Population'!$A$14:$L$97,12)*'Underlying Assumptions'!$E$9/1000000</f>
        <v>40448.620431175797</v>
      </c>
      <c r="AS17" s="476">
        <f>VLOOKUP(AS4,'Dynamic Population'!$A$14:$L$97,12)*'Underlying Assumptions'!$E$9/1000000</f>
        <v>41601.406113464313</v>
      </c>
      <c r="AT17" s="476">
        <f>VLOOKUP(AT4,'Dynamic Population'!$A$14:$L$97,12)*'Underlying Assumptions'!$E$9/1000000</f>
        <v>42787.046187698033</v>
      </c>
      <c r="AU17" s="476">
        <f>VLOOKUP(AU4,'Dynamic Population'!$A$14:$L$97,12)*'Underlying Assumptions'!$E$9/1000000</f>
        <v>44006.477004047432</v>
      </c>
      <c r="AV17" s="476">
        <f>VLOOKUP(AV4,'Dynamic Population'!$A$14:$L$97,12)*'Underlying Assumptions'!$E$9/1000000</f>
        <v>45260.66159866278</v>
      </c>
      <c r="AW17" s="476">
        <f>VLOOKUP(AW4,'Dynamic Population'!$A$14:$L$97,12)*'Underlying Assumptions'!$E$9/1000000</f>
        <v>46550.590454224672</v>
      </c>
      <c r="AX17" s="476">
        <f>VLOOKUP(AX4,'Dynamic Population'!$A$14:$L$97,12)*'Underlying Assumptions'!$E$9/1000000</f>
        <v>47877.282282170068</v>
      </c>
      <c r="AY17" s="476">
        <f>VLOOKUP(AY4,'Dynamic Population'!$A$14:$L$97,12)*'Underlying Assumptions'!$E$9/1000000</f>
        <v>49241.784827211923</v>
      </c>
      <c r="AZ17" s="476">
        <f>VLOOKUP(AZ4,'Dynamic Population'!$A$14:$L$97,12)*'Underlying Assumptions'!$E$9/1000000</f>
        <v>50645.175694787446</v>
      </c>
      <c r="BA17" s="476">
        <f>VLOOKUP(BA4,'Dynamic Population'!$A$14:$L$97,12)*'Underlying Assumptions'!$E$9/1000000</f>
        <v>52088.563202088895</v>
      </c>
      <c r="BB17" s="476">
        <f>VLOOKUP(BB4,'Dynamic Population'!$A$14:$L$97,12)*'Underlying Assumptions'!$E$9/1000000</f>
        <v>53573.087253348436</v>
      </c>
      <c r="BC17" s="476">
        <f>VLOOKUP(BC4,'Dynamic Population'!$A$14:$L$97,12)*'Underlying Assumptions'!$E$9/1000000</f>
        <v>55099.920240068866</v>
      </c>
      <c r="BD17" s="476">
        <f>VLOOKUP(BD4,'Dynamic Population'!$A$14:$L$97,12)*'Underlying Assumptions'!$E$9/1000000</f>
        <v>56670.267966910811</v>
      </c>
      <c r="BE17" s="476">
        <f>VLOOKUP(BE4,'Dynamic Population'!$A$14:$L$97,12)*'Underlying Assumptions'!$E$9/1000000</f>
        <v>58285.370603967764</v>
      </c>
      <c r="BF17" s="476">
        <f>VLOOKUP(BF4,'Dynamic Population'!$A$14:$L$97,12)*'Underlying Assumptions'!$E$9/1000000</f>
        <v>59946.503666180848</v>
      </c>
      <c r="BG17" s="476">
        <f>VLOOKUP(BG4,'Dynamic Population'!$A$14:$L$97,12)*'Underlying Assumptions'!$E$9/1000000</f>
        <v>61654.979020667</v>
      </c>
      <c r="BH17" s="476">
        <f>VLOOKUP(BH4,'Dynamic Population'!$A$14:$L$97,12)*'Underlying Assumptions'!$E$9/1000000</f>
        <v>63412.145922756004</v>
      </c>
      <c r="BI17" s="476">
        <f>VLOOKUP(BI4,'Dynamic Population'!$A$14:$L$97,12)*'Underlying Assumptions'!$E$9/1000000</f>
        <v>65219.39208155455</v>
      </c>
      <c r="BJ17" s="476">
        <f>VLOOKUP(BJ4,'Dynamic Population'!$A$14:$L$97,12)*'Underlying Assumptions'!$E$9/1000000</f>
        <v>67078.14475587885</v>
      </c>
      <c r="BK17" s="476">
        <f>VLOOKUP(BK4,'Dynamic Population'!$A$14:$L$97,12)*'Underlying Assumptions'!$E$9/1000000</f>
        <v>68989.871881421393</v>
      </c>
      <c r="BL17" s="476">
        <f>VLOOKUP(BL4,'Dynamic Population'!$A$14:$L$97,12)*'Underlying Assumptions'!$E$9/1000000</f>
        <v>70956.083230041899</v>
      </c>
      <c r="BM17" s="476">
        <f>VLOOKUP(BM4,'Dynamic Population'!$A$14:$L$97,12)*'Underlying Assumptions'!$E$9/1000000</f>
        <v>72978.331602098086</v>
      </c>
      <c r="BN17" s="476">
        <f>VLOOKUP(BN4,'Dynamic Population'!$A$14:$L$97,12)*'Underlying Assumptions'!$E$9/1000000</f>
        <v>75058.214052757874</v>
      </c>
      <c r="BO17" s="476">
        <f>VLOOKUP(BO4,'Dynamic Population'!$A$14:$L$97,12)*'Underlying Assumptions'!$E$9/1000000</f>
        <v>77197.373153261477</v>
      </c>
      <c r="BP17" s="476">
        <f>VLOOKUP(BP4,'Dynamic Population'!$A$14:$L$97,12)*'Underlying Assumptions'!$E$9/1000000</f>
        <v>79397.498288129427</v>
      </c>
      <c r="BQ17" s="476">
        <f>VLOOKUP(BQ4,'Dynamic Population'!$A$14:$L$97,12)*'Underlying Assumptions'!$E$9/1000000</f>
        <v>81660.326989341105</v>
      </c>
      <c r="BR17" s="476">
        <f>VLOOKUP(BR4,'Dynamic Population'!$A$14:$L$97,12)*'Underlying Assumptions'!$E$9/1000000</f>
        <v>83987.64630853734</v>
      </c>
      <c r="BS17" s="476">
        <f>VLOOKUP(BS4,'Dynamic Population'!$A$14:$L$97,12)*'Underlying Assumptions'!$E$9/1000000</f>
        <v>86381.294228330662</v>
      </c>
      <c r="BT17" s="476">
        <f>VLOOKUP(BT4,'Dynamic Population'!$A$14:$L$97,12)*'Underlying Assumptions'!$E$9/1000000</f>
        <v>88843.161113838069</v>
      </c>
      <c r="BU17" s="476">
        <f>VLOOKUP(BU4,'Dynamic Population'!$A$14:$L$97,12)*'Underlying Assumptions'!$E$9/1000000</f>
        <v>91375.191205582465</v>
      </c>
      <c r="BV17" s="476">
        <f>VLOOKUP(BV4,'Dynamic Population'!$A$14:$L$97,12)*'Underlying Assumptions'!$E$9/1000000</f>
        <v>93979.384154941537</v>
      </c>
      <c r="BW17" s="476">
        <f>VLOOKUP(BW4,'Dynamic Population'!$A$14:$L$97,12)*'Underlying Assumptions'!$E$9/1000000</f>
        <v>96657.79660335739</v>
      </c>
      <c r="BX17" s="476">
        <f>VLOOKUP(BX4,'Dynamic Population'!$A$14:$L$97,12)*'Underlying Assumptions'!$E$9/1000000</f>
        <v>99412.543806553076</v>
      </c>
      <c r="BY17" s="476">
        <f>VLOOKUP(BY4,'Dynamic Population'!$A$14:$L$97,12)*'Underlying Assumptions'!$E$9/1000000</f>
        <v>102245.80130503984</v>
      </c>
      <c r="BZ17" s="476">
        <f>VLOOKUP(BZ4,'Dynamic Population'!$A$14:$L$97,12)*'Underlying Assumptions'!$E$9/1000000</f>
        <v>105159.80664223345</v>
      </c>
      <c r="CA17" s="476">
        <f>VLOOKUP(CA4,'Dynamic Population'!$A$14:$L$97,12)*'Underlying Assumptions'!$E$9/1000000</f>
        <v>108156.86113153711</v>
      </c>
      <c r="CB17" s="476">
        <f>VLOOKUP(CB4,'Dynamic Population'!$A$14:$L$97,12)*'Underlying Assumptions'!$E$9/1000000</f>
        <v>111239.3316737859</v>
      </c>
      <c r="CC17" s="476">
        <f>VLOOKUP(CC4,'Dynamic Population'!$A$14:$L$97,12)*'Underlying Assumptions'!$E$9/1000000</f>
        <v>111239.3316737859</v>
      </c>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row>
    <row r="18" spans="1:104" x14ac:dyDescent="0.25">
      <c r="B18" t="s">
        <v>313</v>
      </c>
      <c r="E18" s="476">
        <f>E17-C18</f>
        <v>15869.206863725241</v>
      </c>
      <c r="F18" s="476">
        <f>F17-E17</f>
        <v>286.65885885346688</v>
      </c>
      <c r="G18" s="476">
        <f t="shared" ref="G18:R18" si="70">G17-F17</f>
        <v>290.10865053305497</v>
      </c>
      <c r="H18" s="476">
        <f t="shared" si="70"/>
        <v>293.52224168027533</v>
      </c>
      <c r="I18" s="476">
        <f t="shared" si="70"/>
        <v>296.89476677149287</v>
      </c>
      <c r="J18" s="476">
        <f t="shared" si="70"/>
        <v>300.22111235209741</v>
      </c>
      <c r="K18" s="476">
        <f t="shared" si="70"/>
        <v>303.49590685649673</v>
      </c>
      <c r="L18" s="476">
        <f t="shared" si="70"/>
        <v>306.71351004913231</v>
      </c>
      <c r="M18" s="476">
        <f t="shared" si="70"/>
        <v>309.86800207340639</v>
      </c>
      <c r="N18" s="476">
        <f t="shared" si="70"/>
        <v>312.95317209452332</v>
      </c>
      <c r="O18" s="476">
        <f t="shared" si="70"/>
        <v>481.48763313991731</v>
      </c>
      <c r="P18" s="476">
        <f t="shared" si="70"/>
        <v>493.8492356331044</v>
      </c>
      <c r="Q18" s="476">
        <f t="shared" si="70"/>
        <v>506.52436113839576</v>
      </c>
      <c r="R18" s="476">
        <f t="shared" si="70"/>
        <v>519.52083975583446</v>
      </c>
      <c r="S18" s="476">
        <f t="shared" ref="S18" si="71">S17-R17</f>
        <v>532.84669324214701</v>
      </c>
      <c r="T18" s="476">
        <f t="shared" ref="T18" si="72">T17-S17</f>
        <v>546.51013957507166</v>
      </c>
      <c r="U18" s="476">
        <f t="shared" ref="U18" si="73">U17-T17</f>
        <v>560.51959762239858</v>
      </c>
      <c r="V18" s="476">
        <f t="shared" ref="V18" si="74">V17-U17</f>
        <v>574.88369191755191</v>
      </c>
      <c r="W18" s="476">
        <f t="shared" ref="W18" si="75">W17-V17</f>
        <v>589.61125754435125</v>
      </c>
      <c r="X18" s="476">
        <f t="shared" ref="X18" si="76">X17-W17</f>
        <v>604.71134513312427</v>
      </c>
      <c r="Y18" s="476">
        <f t="shared" ref="Y18" si="77">Y17-X17</f>
        <v>620.19322597052815</v>
      </c>
      <c r="Z18" s="476">
        <f t="shared" ref="Z18" si="78">Z17-Y17</f>
        <v>636.06639722556793</v>
      </c>
      <c r="AA18" s="476">
        <f t="shared" ref="AA18" si="79">AA17-Z17</f>
        <v>652.34058729434764</v>
      </c>
      <c r="AB18" s="476">
        <f t="shared" ref="AB18" si="80">AB17-AA17</f>
        <v>669.02576126590429</v>
      </c>
      <c r="AC18" s="476">
        <f t="shared" ref="AC18" si="81">AC17-AB17</f>
        <v>686.13212651181311</v>
      </c>
      <c r="AD18" s="476">
        <f t="shared" ref="AD18" si="82">AD17-AC17</f>
        <v>703.67013840213986</v>
      </c>
      <c r="AE18" s="476">
        <f t="shared" ref="AE18" si="83">AE17-AD17</f>
        <v>721.65050615047585</v>
      </c>
      <c r="AF18" s="476">
        <f t="shared" ref="AF18" si="84">AF17-AE17</f>
        <v>740.08419879052963</v>
      </c>
      <c r="AG18" s="476">
        <f t="shared" ref="AG18" si="85">AG17-AF17</f>
        <v>758.98245128746566</v>
      </c>
      <c r="AH18" s="476">
        <f t="shared" ref="AH18" si="86">AH17-AG17</f>
        <v>778.35677078623849</v>
      </c>
      <c r="AI18" s="476">
        <f t="shared" ref="AI18" si="87">AI17-AH17</f>
        <v>798.21894300039639</v>
      </c>
      <c r="AJ18" s="476">
        <f t="shared" ref="AJ18" si="88">AJ17-AI17</f>
        <v>818.58103874367953</v>
      </c>
      <c r="AK18" s="476">
        <f t="shared" ref="AK18" si="89">AK17-AJ17</f>
        <v>839.45542060790103</v>
      </c>
      <c r="AL18" s="476">
        <f t="shared" ref="AL18" si="90">AL17-AK17</f>
        <v>860.85474978963612</v>
      </c>
      <c r="AM18" s="476">
        <f t="shared" ref="AM18" si="91">AM17-AL17</f>
        <v>882.79199306936061</v>
      </c>
      <c r="AN18" s="476">
        <f t="shared" ref="AN18" si="92">AN17-AM17</f>
        <v>1001.6755973747204</v>
      </c>
      <c r="AO18" s="476">
        <f t="shared" ref="AO18" si="93">AO17-AN17</f>
        <v>1030.2233518999128</v>
      </c>
      <c r="AP18" s="476">
        <f t="shared" ref="AP18" si="94">AP17-AO17</f>
        <v>1059.5847174290611</v>
      </c>
      <c r="AQ18" s="476">
        <f t="shared" ref="AQ18" si="95">AQ17-AP17</f>
        <v>1089.7828818757844</v>
      </c>
      <c r="AR18" s="476">
        <f t="shared" ref="AR18" si="96">AR17-AQ17</f>
        <v>1120.8416940092502</v>
      </c>
      <c r="AS18" s="476">
        <f t="shared" ref="AS18" si="97">AS17-AR17</f>
        <v>1152.7856822885151</v>
      </c>
      <c r="AT18" s="476">
        <f t="shared" ref="AT18" si="98">AT17-AS17</f>
        <v>1185.640074233721</v>
      </c>
      <c r="AU18" s="476">
        <f t="shared" ref="AU18" si="99">AU17-AT17</f>
        <v>1219.4308163493988</v>
      </c>
      <c r="AV18" s="476">
        <f t="shared" ref="AV18" si="100">AV17-AU17</f>
        <v>1254.184594615348</v>
      </c>
      <c r="AW18" s="476">
        <f t="shared" ref="AW18" si="101">AW17-AV17</f>
        <v>1289.9288555618914</v>
      </c>
      <c r="AX18" s="476">
        <f t="shared" ref="AX18" si="102">AX17-AW17</f>
        <v>1326.6918279453967</v>
      </c>
      <c r="AY18" s="476">
        <f t="shared" ref="AY18" si="103">AY17-AX17</f>
        <v>1364.5025450418543</v>
      </c>
      <c r="AZ18" s="476">
        <f t="shared" ref="AZ18" si="104">AZ17-AY17</f>
        <v>1403.3908675755229</v>
      </c>
      <c r="BA18" s="476">
        <f t="shared" ref="BA18" si="105">BA17-AZ17</f>
        <v>1443.3875073014497</v>
      </c>
      <c r="BB18" s="476">
        <f t="shared" ref="BB18" si="106">BB17-BA17</f>
        <v>1484.524051259541</v>
      </c>
      <c r="BC18" s="476">
        <f t="shared" ref="BC18" si="107">BC17-BB17</f>
        <v>1526.8329867204302</v>
      </c>
      <c r="BD18" s="476">
        <f t="shared" ref="BD18" si="108">BD17-BC17</f>
        <v>1570.3477268419447</v>
      </c>
      <c r="BE18" s="476">
        <f t="shared" ref="BE18" si="109">BE17-BD17</f>
        <v>1615.1026370569525</v>
      </c>
      <c r="BF18" s="476">
        <f t="shared" ref="BF18" si="110">BF17-BE17</f>
        <v>1661.1330622130845</v>
      </c>
      <c r="BG18" s="476">
        <f t="shared" ref="BG18" si="111">BG17-BF17</f>
        <v>1708.4753544861524</v>
      </c>
      <c r="BH18" s="476">
        <f t="shared" ref="BH18" si="112">BH17-BG17</f>
        <v>1757.166902089004</v>
      </c>
      <c r="BI18" s="476">
        <f t="shared" ref="BI18" si="113">BI17-BH17</f>
        <v>1807.2461587985454</v>
      </c>
      <c r="BJ18" s="476">
        <f t="shared" ref="BJ18" si="114">BJ17-BI17</f>
        <v>1858.7526743242997</v>
      </c>
      <c r="BK18" s="476">
        <f t="shared" ref="BK18" si="115">BK17-BJ17</f>
        <v>1911.7271255425439</v>
      </c>
      <c r="BL18" s="476">
        <f t="shared" ref="BL18" si="116">BL17-BK17</f>
        <v>1966.2113486205053</v>
      </c>
      <c r="BM18" s="476">
        <f t="shared" ref="BM18" si="117">BM17-BL17</f>
        <v>2022.2483720561868</v>
      </c>
      <c r="BN18" s="476">
        <f t="shared" ref="BN18" si="118">BN17-BM17</f>
        <v>2079.8824506597884</v>
      </c>
      <c r="BO18" s="476">
        <f t="shared" ref="BO18" si="119">BO17-BN17</f>
        <v>2139.1591005036025</v>
      </c>
      <c r="BP18" s="476">
        <f t="shared" ref="BP18" si="120">BP17-BO17</f>
        <v>2200.1251348679507</v>
      </c>
      <c r="BQ18" s="476">
        <f t="shared" ref="BQ18" si="121">BQ17-BP17</f>
        <v>2262.828701211678</v>
      </c>
      <c r="BR18" s="476">
        <f t="shared" ref="BR18" si="122">BR17-BQ17</f>
        <v>2327.3193191962346</v>
      </c>
      <c r="BS18" s="476">
        <f t="shared" ref="BS18" si="123">BS17-BR17</f>
        <v>2393.6479197933222</v>
      </c>
      <c r="BT18" s="476">
        <f t="shared" ref="BT18" si="124">BT17-BS17</f>
        <v>2461.8668855074066</v>
      </c>
      <c r="BU18" s="476">
        <f t="shared" ref="BU18" si="125">BU17-BT17</f>
        <v>2532.0300917443965</v>
      </c>
      <c r="BV18" s="476">
        <f t="shared" ref="BV18" si="126">BV17-BU17</f>
        <v>2604.1929493590724</v>
      </c>
      <c r="BW18" s="476">
        <f t="shared" ref="BW18" si="127">BW17-BV17</f>
        <v>2678.4124484158529</v>
      </c>
      <c r="BX18" s="476">
        <f t="shared" ref="BX18" si="128">BX17-BW17</f>
        <v>2754.7472031956859</v>
      </c>
      <c r="BY18" s="476">
        <f t="shared" ref="BY18" si="129">BY17-BX17</f>
        <v>2833.2574984867679</v>
      </c>
      <c r="BZ18" s="476">
        <f t="shared" ref="BZ18" si="130">BZ17-BY17</f>
        <v>2914.0053371936083</v>
      </c>
      <c r="CA18" s="476">
        <f t="shared" ref="CA18" si="131">CA17-BZ17</f>
        <v>2997.0544893036567</v>
      </c>
      <c r="CB18" s="476">
        <f t="shared" ref="CB18" si="132">CB17-CA17</f>
        <v>3082.4705422487896</v>
      </c>
      <c r="CC18" s="476">
        <f t="shared" ref="CC18" si="133">CC17-CB17</f>
        <v>0</v>
      </c>
      <c r="CD18" s="476">
        <f t="shared" ref="CD18" si="134">CD17-CC17</f>
        <v>-111239.3316737859</v>
      </c>
      <c r="CE18" s="476">
        <f t="shared" ref="CE18" si="135">CE17-CD17</f>
        <v>0</v>
      </c>
      <c r="CF18" s="476">
        <f t="shared" ref="CF18" si="136">CF17-CE17</f>
        <v>0</v>
      </c>
      <c r="CG18" s="476">
        <f t="shared" ref="CG18" si="137">CG17-CF17</f>
        <v>0</v>
      </c>
      <c r="CH18" s="476">
        <f t="shared" ref="CH18" si="138">CH17-CG17</f>
        <v>0</v>
      </c>
      <c r="CI18" s="476">
        <f t="shared" ref="CI18" si="139">CI17-CH17</f>
        <v>0</v>
      </c>
      <c r="CJ18" s="476">
        <f t="shared" ref="CJ18" si="140">CJ17-CI17</f>
        <v>0</v>
      </c>
      <c r="CK18" s="476">
        <f t="shared" ref="CK18" si="141">CK17-CJ17</f>
        <v>0</v>
      </c>
      <c r="CL18" s="476">
        <f t="shared" ref="CL18" si="142">CL17-CK17</f>
        <v>0</v>
      </c>
      <c r="CM18" s="476">
        <f t="shared" ref="CM18" si="143">CM17-CL17</f>
        <v>0</v>
      </c>
      <c r="CN18" s="476"/>
      <c r="CO18" s="476"/>
      <c r="CP18" s="476"/>
      <c r="CQ18" s="476"/>
      <c r="CR18" s="476"/>
      <c r="CS18" s="476"/>
      <c r="CT18" s="476"/>
      <c r="CU18" s="476"/>
      <c r="CV18" s="476"/>
      <c r="CW18" s="476"/>
      <c r="CX18" s="476"/>
      <c r="CY18" s="476"/>
      <c r="CZ18" s="476"/>
    </row>
    <row r="19" spans="1:104" s="754" customFormat="1" x14ac:dyDescent="0.25">
      <c r="B19" s="759" t="s">
        <v>318</v>
      </c>
      <c r="C19" s="759"/>
      <c r="E19" s="758">
        <f>VLOOKUP(E$4,'Dynamic Population'!$A$14:$AA$97,19,FALSE)*'Underlying Assumptions'!$E$9/1000000</f>
        <v>20275.609848683933</v>
      </c>
      <c r="F19" s="758">
        <f>VLOOKUP(F$4,'Dynamic Population'!$A$14:$AA$97,19,FALSE)*'Underlying Assumptions'!$E$9/1000000</f>
        <v>21823.404134398086</v>
      </c>
      <c r="G19" s="758">
        <f>VLOOKUP(G$4,'Dynamic Population'!$A$14:$AA$97,19,FALSE)*'Underlying Assumptions'!$E$9/1000000</f>
        <v>21823.404134398086</v>
      </c>
      <c r="H19" s="758">
        <f>VLOOKUP(H$4,'Dynamic Population'!$A$14:$AA$97,19,FALSE)*'Underlying Assumptions'!$E$9/1000000</f>
        <v>21823.404134398086</v>
      </c>
      <c r="I19" s="758">
        <f>VLOOKUP(I$4,'Dynamic Population'!$A$14:$AA$97,19,FALSE)*'Underlying Assumptions'!$E$9/1000000</f>
        <v>21823.404134398086</v>
      </c>
      <c r="J19" s="758">
        <f>VLOOKUP(J$4,'Dynamic Population'!$A$14:$AA$97,19,FALSE)*'Underlying Assumptions'!$E$9/1000000</f>
        <v>23061.639562969405</v>
      </c>
      <c r="K19" s="758">
        <f>VLOOKUP(K$4,'Dynamic Population'!$A$14:$AA$97,19,FALSE)*'Underlying Assumptions'!$E$9/1000000</f>
        <v>23061.639562969405</v>
      </c>
      <c r="L19" s="758">
        <f>VLOOKUP(L$4,'Dynamic Population'!$A$14:$AA$97,19,FALSE)*'Underlying Assumptions'!$E$9/1000000</f>
        <v>23061.639562969405</v>
      </c>
      <c r="M19" s="758">
        <f>VLOOKUP(M$4,'Dynamic Population'!$A$14:$AA$97,19,FALSE)*'Underlying Assumptions'!$E$9/1000000</f>
        <v>23061.639562969405</v>
      </c>
      <c r="N19" s="758">
        <f>VLOOKUP(N$4,'Dynamic Population'!$A$14:$AA$97,19,FALSE)*'Underlying Assumptions'!$E$9/1000000</f>
        <v>23061.639562969405</v>
      </c>
      <c r="O19" s="758">
        <f>VLOOKUP(O$4,'Dynamic Population'!$A$14:$AA$97,19,FALSE)*'Underlying Assumptions'!$E$9/1000000</f>
        <v>23061.639562969405</v>
      </c>
      <c r="P19" s="758">
        <f>VLOOKUP(P$4,'Dynamic Population'!$A$14:$AA$97,19,FALSE)*'Underlying Assumptions'!$E$9/1000000</f>
        <v>23061.639562969405</v>
      </c>
      <c r="Q19" s="758">
        <f>VLOOKUP(Q$4,'Dynamic Population'!$A$14:$AA$97,19,FALSE)*'Underlying Assumptions'!$E$9/1000000</f>
        <v>23061.639562969405</v>
      </c>
      <c r="R19" s="758">
        <f>VLOOKUP(R$4,'Dynamic Population'!$A$14:$AA$97,19,FALSE)*'Underlying Assumptions'!$E$9/1000000</f>
        <v>23061.639562969405</v>
      </c>
      <c r="S19" s="758">
        <f>VLOOKUP(S$4,'Dynamic Population'!$A$14:$AA$97,19,FALSE)*'Underlying Assumptions'!$E$9/1000000</f>
        <v>23061.639562969405</v>
      </c>
      <c r="T19" s="758">
        <f>VLOOKUP(T$4,'Dynamic Population'!$A$14:$AA$97,19,FALSE)*'Underlying Assumptions'!$E$9/1000000</f>
        <v>23061.639562969405</v>
      </c>
      <c r="U19" s="758">
        <f>VLOOKUP(U$4,'Dynamic Population'!$A$14:$AA$97,19,FALSE)*'Underlying Assumptions'!$E$9/1000000</f>
        <v>23061.639562969405</v>
      </c>
      <c r="V19" s="758">
        <f>VLOOKUP(V$4,'Dynamic Population'!$A$14:$AA$97,19,FALSE)*'Underlying Assumptions'!$E$9/1000000</f>
        <v>23061.639562969405</v>
      </c>
      <c r="W19" s="758">
        <f>VLOOKUP(W$4,'Dynamic Population'!$A$14:$AA$97,19,FALSE)*'Underlying Assumptions'!$E$9/1000000</f>
        <v>23061.639562969405</v>
      </c>
      <c r="X19" s="758">
        <f>VLOOKUP(X$4,'Dynamic Population'!$A$14:$AA$97,19,FALSE)*'Underlying Assumptions'!$E$9/1000000</f>
        <v>23061.639562969405</v>
      </c>
      <c r="Y19" s="758">
        <f>VLOOKUP(Y$4,'Dynamic Population'!$A$14:$AA$97,19,FALSE)*'Underlying Assumptions'!$E$9/1000000</f>
        <v>23061.639562969405</v>
      </c>
      <c r="Z19" s="758">
        <f>VLOOKUP(Z$4,'Dynamic Population'!$A$14:$AA$97,19,FALSE)*'Underlying Assumptions'!$E$9/1000000</f>
        <v>23061.639562969405</v>
      </c>
      <c r="AA19" s="758">
        <f>VLOOKUP(AA$4,'Dynamic Population'!$A$14:$AA$97,19,FALSE)*'Underlying Assumptions'!$E$9/1000000</f>
        <v>23061.639562969405</v>
      </c>
      <c r="AB19" s="758">
        <f>VLOOKUP(AB$4,'Dynamic Population'!$A$14:$AA$97,19,FALSE)*'Underlying Assumptions'!$E$9/1000000</f>
        <v>23061.639562969405</v>
      </c>
      <c r="AC19" s="758">
        <f>VLOOKUP(AC$4,'Dynamic Population'!$A$14:$AA$97,19,FALSE)*'Underlying Assumptions'!$E$9/1000000</f>
        <v>23061.639562969405</v>
      </c>
      <c r="AD19" s="758">
        <f>VLOOKUP(AD$4,'Dynamic Population'!$A$14:$AA$97,19,FALSE)*'Underlying Assumptions'!$E$9/1000000</f>
        <v>23061.639562969405</v>
      </c>
      <c r="AE19" s="758">
        <f>VLOOKUP(AE$4,'Dynamic Population'!$A$14:$AA$97,19,FALSE)*'Underlying Assumptions'!$E$9/1000000</f>
        <v>23061.639562969405</v>
      </c>
      <c r="AF19" s="758">
        <f>VLOOKUP(AF$4,'Dynamic Population'!$A$14:$AA$97,19,FALSE)*'Underlying Assumptions'!$E$9/1000000</f>
        <v>23061.639562969405</v>
      </c>
      <c r="AG19" s="758">
        <f>VLOOKUP(AG$4,'Dynamic Population'!$A$14:$AA$97,19,FALSE)*'Underlying Assumptions'!$E$9/1000000</f>
        <v>23061.639562969405</v>
      </c>
      <c r="AH19" s="758">
        <f>VLOOKUP(AH$4,'Dynamic Population'!$A$14:$AA$97,19,FALSE)*'Underlying Assumptions'!$E$9/1000000</f>
        <v>23061.639562969405</v>
      </c>
      <c r="AI19" s="758">
        <f>VLOOKUP(AI$4,'Dynamic Population'!$A$14:$AA$97,19,FALSE)*'Underlying Assumptions'!$E$9/1000000</f>
        <v>23061.639562969405</v>
      </c>
      <c r="AJ19" s="758">
        <f>VLOOKUP(AJ$4,'Dynamic Population'!$A$14:$AA$97,19,FALSE)*'Underlying Assumptions'!$E$9/1000000</f>
        <v>23061.639562969405</v>
      </c>
      <c r="AK19" s="758">
        <f>VLOOKUP(AK$4,'Dynamic Population'!$A$14:$AA$97,19,FALSE)*'Underlying Assumptions'!$E$9/1000000</f>
        <v>23061.639562969405</v>
      </c>
      <c r="AL19" s="758">
        <f>VLOOKUP(AL$4,'Dynamic Population'!$A$14:$AA$97,19,FALSE)*'Underlying Assumptions'!$E$9/1000000</f>
        <v>23061.639562969405</v>
      </c>
      <c r="AM19" s="758">
        <f>VLOOKUP(AM$4,'Dynamic Population'!$A$14:$AA$97,19,FALSE)*'Underlying Assumptions'!$E$9/1000000</f>
        <v>23061.639562969405</v>
      </c>
      <c r="AN19" s="758">
        <f>VLOOKUP(AN$4,'Dynamic Population'!$A$14:$AA$97,19,FALSE)*'Underlying Assumptions'!$E$9/1000000</f>
        <v>23061.639562969405</v>
      </c>
      <c r="AO19" s="758">
        <f>VLOOKUP(AO$4,'Dynamic Population'!$A$14:$AA$97,19,FALSE)*'Underlying Assumptions'!$E$9/1000000</f>
        <v>23061.639562969405</v>
      </c>
      <c r="AP19" s="758">
        <f>VLOOKUP(AP$4,'Dynamic Population'!$A$14:$AA$97,19,FALSE)*'Underlying Assumptions'!$E$9/1000000</f>
        <v>23061.639562969405</v>
      </c>
      <c r="AQ19" s="758">
        <f>VLOOKUP(AQ$4,'Dynamic Population'!$A$14:$AA$97,19,FALSE)*'Underlying Assumptions'!$E$9/1000000</f>
        <v>23061.639562969405</v>
      </c>
      <c r="AR19" s="758">
        <f>VLOOKUP(AR$4,'Dynamic Population'!$A$14:$AA$97,19,FALSE)*'Underlying Assumptions'!$E$9/1000000</f>
        <v>23061.639562969405</v>
      </c>
      <c r="AS19" s="758">
        <f>VLOOKUP(AS$4,'Dynamic Population'!$A$14:$AA$97,19,FALSE)*'Underlying Assumptions'!$E$9/1000000</f>
        <v>23061.639562969405</v>
      </c>
      <c r="AT19" s="758">
        <f>VLOOKUP(AT$4,'Dynamic Population'!$A$14:$AA$97,19,FALSE)*'Underlying Assumptions'!$E$9/1000000</f>
        <v>23061.639562969405</v>
      </c>
      <c r="AU19" s="758">
        <f>VLOOKUP(AU$4,'Dynamic Population'!$A$14:$AA$97,19,FALSE)*'Underlying Assumptions'!$E$9/1000000</f>
        <v>23061.639562969405</v>
      </c>
      <c r="AV19" s="758">
        <f>VLOOKUP(AV$4,'Dynamic Population'!$A$14:$AA$97,19,FALSE)*'Underlying Assumptions'!$E$9/1000000</f>
        <v>23061.639562969405</v>
      </c>
      <c r="AW19" s="758">
        <f>VLOOKUP(AW$4,'Dynamic Population'!$A$14:$AA$97,19,FALSE)*'Underlying Assumptions'!$E$9/1000000</f>
        <v>23061.639562969405</v>
      </c>
      <c r="AX19" s="758">
        <f>VLOOKUP(AX$4,'Dynamic Population'!$A$14:$AA$97,19,FALSE)*'Underlying Assumptions'!$E$9/1000000</f>
        <v>23061.639562969405</v>
      </c>
      <c r="AY19" s="758">
        <f>VLOOKUP(AY$4,'Dynamic Population'!$A$14:$AA$97,19,FALSE)*'Underlying Assumptions'!$E$9/1000000</f>
        <v>23061.639562969405</v>
      </c>
      <c r="AZ19" s="758">
        <f>VLOOKUP(AZ$4,'Dynamic Population'!$A$14:$AA$97,19,FALSE)*'Underlying Assumptions'!$E$9/1000000</f>
        <v>23061.639562969405</v>
      </c>
      <c r="BA19" s="758">
        <f>VLOOKUP(BA$4,'Dynamic Population'!$A$14:$AA$97,19,FALSE)*'Underlying Assumptions'!$E$9/1000000</f>
        <v>23061.639562969405</v>
      </c>
      <c r="BB19" s="758">
        <f>VLOOKUP(BB$4,'Dynamic Population'!$A$14:$AA$97,19,FALSE)*'Underlying Assumptions'!$E$9/1000000</f>
        <v>23061.639562969405</v>
      </c>
      <c r="BC19" s="758">
        <f>VLOOKUP(BC$4,'Dynamic Population'!$A$14:$AA$97,19,FALSE)*'Underlying Assumptions'!$E$9/1000000</f>
        <v>23061.639562969405</v>
      </c>
      <c r="BD19" s="758">
        <f>VLOOKUP(BD$4,'Dynamic Population'!$A$14:$AA$97,19,FALSE)*'Underlying Assumptions'!$E$9/1000000</f>
        <v>23061.639562969405</v>
      </c>
      <c r="BE19" s="758">
        <f>VLOOKUP(BE$4,'Dynamic Population'!$A$14:$AA$97,19,FALSE)*'Underlying Assumptions'!$E$9/1000000</f>
        <v>23061.639562969405</v>
      </c>
      <c r="BF19" s="758">
        <f>VLOOKUP(BF$4,'Dynamic Population'!$A$14:$AA$97,19,FALSE)*'Underlying Assumptions'!$E$9/1000000</f>
        <v>23061.639562969405</v>
      </c>
      <c r="BG19" s="758">
        <f>VLOOKUP(BG$4,'Dynamic Population'!$A$14:$AA$97,19,FALSE)*'Underlying Assumptions'!$E$9/1000000</f>
        <v>23061.639562969405</v>
      </c>
      <c r="BH19" s="758">
        <f>VLOOKUP(BH$4,'Dynamic Population'!$A$14:$AA$97,19,FALSE)*'Underlying Assumptions'!$E$9/1000000</f>
        <v>23061.639562969405</v>
      </c>
      <c r="BI19" s="758">
        <f>VLOOKUP(BI$4,'Dynamic Population'!$A$14:$AA$97,19,FALSE)*'Underlying Assumptions'!$E$9/1000000</f>
        <v>23061.639562969405</v>
      </c>
      <c r="BJ19" s="758">
        <f>VLOOKUP(BJ$4,'Dynamic Population'!$A$14:$AA$97,19,FALSE)*'Underlying Assumptions'!$E$9/1000000</f>
        <v>23061.639562969405</v>
      </c>
      <c r="BK19" s="758">
        <f>VLOOKUP(BK$4,'Dynamic Population'!$A$14:$AA$97,19,FALSE)*'Underlying Assumptions'!$E$9/1000000</f>
        <v>23061.639562969405</v>
      </c>
      <c r="BL19" s="758">
        <f>VLOOKUP(BL$4,'Dynamic Population'!$A$14:$AA$97,19,FALSE)*'Underlying Assumptions'!$E$9/1000000</f>
        <v>23061.639562969405</v>
      </c>
      <c r="BM19" s="758">
        <f>VLOOKUP(BM$4,'Dynamic Population'!$A$14:$AA$97,19,FALSE)*'Underlying Assumptions'!$E$9/1000000</f>
        <v>23061.639562969405</v>
      </c>
      <c r="BN19" s="758">
        <f>VLOOKUP(BN$4,'Dynamic Population'!$A$14:$AA$97,19,FALSE)*'Underlying Assumptions'!$E$9/1000000</f>
        <v>23061.639562969405</v>
      </c>
      <c r="BO19" s="758">
        <f>VLOOKUP(BO$4,'Dynamic Population'!$A$14:$AA$97,19,FALSE)*'Underlying Assumptions'!$E$9/1000000</f>
        <v>23061.639562969405</v>
      </c>
      <c r="BP19" s="758">
        <f>VLOOKUP(BP$4,'Dynamic Population'!$A$14:$AA$97,19,FALSE)*'Underlying Assumptions'!$E$9/1000000</f>
        <v>23061.639562969405</v>
      </c>
      <c r="BQ19" s="758">
        <f>VLOOKUP(BQ$4,'Dynamic Population'!$A$14:$AA$97,19,FALSE)*'Underlying Assumptions'!$E$9/1000000</f>
        <v>23061.639562969405</v>
      </c>
      <c r="BR19" s="758">
        <f>VLOOKUP(BR$4,'Dynamic Population'!$A$14:$AA$97,19,FALSE)*'Underlying Assumptions'!$E$9/1000000</f>
        <v>23061.639562969405</v>
      </c>
      <c r="BS19" s="758">
        <f>VLOOKUP(BS$4,'Dynamic Population'!$A$14:$AA$97,19,FALSE)*'Underlying Assumptions'!$E$9/1000000</f>
        <v>23061.639562969405</v>
      </c>
      <c r="BT19" s="758">
        <f>VLOOKUP(BT$4,'Dynamic Population'!$A$14:$AA$97,19,FALSE)*'Underlying Assumptions'!$E$9/1000000</f>
        <v>23061.639562969405</v>
      </c>
      <c r="BU19" s="758">
        <f>VLOOKUP(BU$4,'Dynamic Population'!$A$14:$AA$97,19,FALSE)*'Underlying Assumptions'!$E$9/1000000</f>
        <v>23061.639562969405</v>
      </c>
      <c r="BV19" s="758">
        <f>VLOOKUP(BV$4,'Dynamic Population'!$A$14:$AA$97,19,FALSE)*'Underlying Assumptions'!$E$9/1000000</f>
        <v>23061.639562969405</v>
      </c>
      <c r="BW19" s="758">
        <f>VLOOKUP(BW$4,'Dynamic Population'!$A$14:$AA$97,19,FALSE)*'Underlying Assumptions'!$E$9/1000000</f>
        <v>23061.639562969405</v>
      </c>
      <c r="BX19" s="758">
        <f>VLOOKUP(BX$4,'Dynamic Population'!$A$14:$AA$97,19,FALSE)*'Underlying Assumptions'!$E$9/1000000</f>
        <v>23061.639562969405</v>
      </c>
      <c r="BY19" s="758">
        <f>VLOOKUP(BY$4,'Dynamic Population'!$A$14:$AA$97,19,FALSE)*'Underlying Assumptions'!$E$9/1000000</f>
        <v>23061.639562969405</v>
      </c>
      <c r="BZ19" s="758">
        <f>VLOOKUP(BZ$4,'Dynamic Population'!$A$14:$AA$97,19,FALSE)*'Underlying Assumptions'!$E$9/1000000</f>
        <v>23061.639562969405</v>
      </c>
      <c r="CA19" s="758">
        <f>VLOOKUP(CA$4,'Dynamic Population'!$A$14:$AA$97,19,FALSE)*'Underlying Assumptions'!$E$9/1000000</f>
        <v>23061.639562969405</v>
      </c>
      <c r="CB19" s="758">
        <f>VLOOKUP(CB$4,'Dynamic Population'!$A$14:$AA$97,19,FALSE)*'Underlying Assumptions'!$E$9/1000000</f>
        <v>23061.639562969405</v>
      </c>
      <c r="CC19" s="758">
        <f>VLOOKUP(CC$4,'Dynamic Population'!$A$14:$AA$97,19,FALSE)*'Underlying Assumptions'!$E$9/1000000</f>
        <v>23061.639562969405</v>
      </c>
      <c r="CD19" s="758">
        <f>VLOOKUP(CD$4,'Dynamic Population'!$A$14:$AA$97,19,FALSE)*'Underlying Assumptions'!$E$9/1000000</f>
        <v>23061.639562969405</v>
      </c>
      <c r="CE19" s="758" t="e">
        <f>VLOOKUP(CE$4,'Dynamic Population'!$A$14:$AA$97,19,FALSE)*'Underlying Assumptions'!$E$9/1000000</f>
        <v>#N/A</v>
      </c>
      <c r="CF19" s="758" t="e">
        <f>VLOOKUP(CF$4,'Dynamic Population'!$A$14:$AA$97,19,FALSE)*'Underlying Assumptions'!$E$9/1000000</f>
        <v>#N/A</v>
      </c>
      <c r="CG19" s="758" t="e">
        <f>VLOOKUP(CG$4,'Dynamic Population'!$A$14:$AA$97,19,FALSE)*'Underlying Assumptions'!$E$9/1000000</f>
        <v>#N/A</v>
      </c>
      <c r="CH19" s="758" t="e">
        <f>VLOOKUP(CH$4,'Dynamic Population'!$A$14:$AA$97,19,FALSE)*'Underlying Assumptions'!$E$9/1000000</f>
        <v>#N/A</v>
      </c>
      <c r="CI19" s="758" t="e">
        <f>VLOOKUP(CI$4,'Dynamic Population'!$A$14:$AA$97,19,FALSE)*'Underlying Assumptions'!$E$9/1000000</f>
        <v>#N/A</v>
      </c>
      <c r="CJ19" s="758" t="e">
        <f>VLOOKUP(CJ$4,'Dynamic Population'!$A$14:$AA$97,19,FALSE)*'Underlying Assumptions'!$E$9/1000000</f>
        <v>#N/A</v>
      </c>
      <c r="CK19" s="758" t="e">
        <f>VLOOKUP(CK$4,'Dynamic Population'!$A$14:$AA$97,19,FALSE)*'Underlying Assumptions'!$E$9/1000000</f>
        <v>#N/A</v>
      </c>
      <c r="CL19" s="758" t="e">
        <f>VLOOKUP(CL$4,'Dynamic Population'!$A$14:$AA$97,19,FALSE)*'Underlying Assumptions'!$E$9/1000000</f>
        <v>#N/A</v>
      </c>
      <c r="CM19" s="758" t="e">
        <f>VLOOKUP(CM$4,'Dynamic Population'!$A$14:$AA$97,19,FALSE)*'Underlying Assumptions'!$E$9/1000000</f>
        <v>#N/A</v>
      </c>
      <c r="CN19" s="755"/>
      <c r="CO19" s="755"/>
      <c r="CP19" s="755"/>
      <c r="CQ19" s="755"/>
      <c r="CR19" s="755"/>
      <c r="CS19" s="755"/>
      <c r="CT19" s="755"/>
      <c r="CU19" s="755"/>
      <c r="CV19" s="755"/>
      <c r="CW19" s="755"/>
      <c r="CX19" s="755"/>
      <c r="CY19" s="755"/>
      <c r="CZ19" s="755"/>
    </row>
    <row r="20" spans="1:104" x14ac:dyDescent="0.25">
      <c r="B20" t="s">
        <v>319</v>
      </c>
      <c r="E20" s="490">
        <f>E14/E19</f>
        <v>0.7826747003989768</v>
      </c>
      <c r="F20" s="490">
        <f t="shared" ref="F20:BQ20" si="144">F14/F19</f>
        <v>0.74029998359026883</v>
      </c>
      <c r="G20" s="490">
        <f t="shared" si="144"/>
        <v>0.75359344820039287</v>
      </c>
      <c r="H20" s="490">
        <f t="shared" si="144"/>
        <v>0.76704333163162275</v>
      </c>
      <c r="I20" s="490">
        <f t="shared" si="144"/>
        <v>0.78064775214013216</v>
      </c>
      <c r="J20" s="490">
        <f t="shared" si="144"/>
        <v>0.75175108198956586</v>
      </c>
      <c r="K20" s="490">
        <f t="shared" si="144"/>
        <v>0.76491128710108047</v>
      </c>
      <c r="L20" s="490">
        <f t="shared" si="144"/>
        <v>0.77821101408760518</v>
      </c>
      <c r="M20" s="490">
        <f t="shared" si="144"/>
        <v>0.79164752631941415</v>
      </c>
      <c r="N20" s="490">
        <f t="shared" si="144"/>
        <v>0.80521781785224333</v>
      </c>
      <c r="O20" s="490">
        <f t="shared" si="144"/>
        <v>0.82609610934687983</v>
      </c>
      <c r="P20" s="490">
        <f t="shared" si="144"/>
        <v>0.84751042528415999</v>
      </c>
      <c r="Q20" s="490">
        <f t="shared" si="144"/>
        <v>0.86947436066504824</v>
      </c>
      <c r="R20" s="490">
        <f t="shared" si="144"/>
        <v>0.89200185001970977</v>
      </c>
      <c r="S20" s="490">
        <f t="shared" si="144"/>
        <v>0.91510717571813716</v>
      </c>
      <c r="T20" s="490">
        <f t="shared" si="144"/>
        <v>0.93880497647869598</v>
      </c>
      <c r="U20" s="490">
        <f t="shared" si="144"/>
        <v>0.96311025607912992</v>
      </c>
      <c r="V20" s="490">
        <f t="shared" si="144"/>
        <v>0.98803839227464374</v>
      </c>
      <c r="W20" s="490">
        <f t="shared" si="144"/>
        <v>1.0136051459278013</v>
      </c>
      <c r="X20" s="490">
        <f t="shared" si="144"/>
        <v>1.0398266703550638</v>
      </c>
      <c r="Y20" s="490">
        <f t="shared" si="144"/>
        <v>1.0667195208949007</v>
      </c>
      <c r="Z20" s="490">
        <f t="shared" si="144"/>
        <v>1.0943006647025124</v>
      </c>
      <c r="AA20" s="490">
        <f t="shared" si="144"/>
        <v>1.1225874907763111</v>
      </c>
      <c r="AB20" s="490">
        <f t="shared" si="144"/>
        <v>1.1515978202214114</v>
      </c>
      <c r="AC20" s="490">
        <f t="shared" si="144"/>
        <v>1.1813499167554997</v>
      </c>
      <c r="AD20" s="490">
        <f t="shared" si="144"/>
        <v>1.2118624974625558</v>
      </c>
      <c r="AE20" s="490">
        <f t="shared" si="144"/>
        <v>1.2431547438000297</v>
      </c>
      <c r="AF20" s="490">
        <f t="shared" si="144"/>
        <v>1.2752463128651754</v>
      </c>
      <c r="AG20" s="490">
        <f t="shared" si="144"/>
        <v>1.3081573489263834</v>
      </c>
      <c r="AH20" s="490">
        <f t="shared" si="144"/>
        <v>1.341908495225455</v>
      </c>
      <c r="AI20" s="490">
        <f t="shared" si="144"/>
        <v>1.3765209060569084</v>
      </c>
      <c r="AJ20" s="490">
        <f t="shared" si="144"/>
        <v>1.4120162591305074</v>
      </c>
      <c r="AK20" s="490">
        <f t="shared" si="144"/>
        <v>1.4484167682233577</v>
      </c>
      <c r="AL20" s="490">
        <f t="shared" si="144"/>
        <v>1.485745196128021</v>
      </c>
      <c r="AM20" s="490">
        <f t="shared" si="144"/>
        <v>1.5240248679032611</v>
      </c>
      <c r="AN20" s="490">
        <f t="shared" si="144"/>
        <v>1.5674595766385035</v>
      </c>
      <c r="AO20" s="490">
        <f t="shared" si="144"/>
        <v>1.6121321745727011</v>
      </c>
      <c r="AP20" s="490">
        <f t="shared" si="144"/>
        <v>1.6580779415480231</v>
      </c>
      <c r="AQ20" s="490">
        <f t="shared" si="144"/>
        <v>1.7053331628821418</v>
      </c>
      <c r="AR20" s="490">
        <f t="shared" si="144"/>
        <v>1.7539351580242828</v>
      </c>
      <c r="AS20" s="490">
        <f t="shared" si="144"/>
        <v>1.8039223100279751</v>
      </c>
      <c r="AT20" s="490">
        <f t="shared" si="144"/>
        <v>1.8553340958637718</v>
      </c>
      <c r="AU20" s="490">
        <f t="shared" si="144"/>
        <v>1.9082111175958896</v>
      </c>
      <c r="AV20" s="490">
        <f t="shared" si="144"/>
        <v>1.9625951344473722</v>
      </c>
      <c r="AW20" s="490">
        <f t="shared" si="144"/>
        <v>2.0185290957791224</v>
      </c>
      <c r="AX20" s="490">
        <f t="shared" si="144"/>
        <v>2.076057175008827</v>
      </c>
      <c r="AY20" s="490">
        <f t="shared" si="144"/>
        <v>2.1352248044965791</v>
      </c>
      <c r="AZ20" s="490">
        <f t="shared" si="144"/>
        <v>2.1960787114247311</v>
      </c>
      <c r="BA20" s="490">
        <f t="shared" si="144"/>
        <v>2.258666954700336</v>
      </c>
      <c r="BB20" s="490">
        <f t="shared" si="144"/>
        <v>2.3230389629092958</v>
      </c>
      <c r="BC20" s="490">
        <f t="shared" si="144"/>
        <v>2.3892455733522109</v>
      </c>
      <c r="BD20" s="490">
        <f t="shared" si="144"/>
        <v>2.4573390721927479</v>
      </c>
      <c r="BE20" s="490">
        <f t="shared" si="144"/>
        <v>2.527373235750241</v>
      </c>
      <c r="BF20" s="490">
        <f t="shared" si="144"/>
        <v>2.5994033729691233</v>
      </c>
      <c r="BG20" s="490">
        <f t="shared" si="144"/>
        <v>2.6734863690987432</v>
      </c>
      <c r="BH20" s="490">
        <f t="shared" si="144"/>
        <v>2.7496807306180568</v>
      </c>
      <c r="BI20" s="490">
        <f t="shared" si="144"/>
        <v>2.8280466314406718</v>
      </c>
      <c r="BJ20" s="490">
        <f t="shared" si="144"/>
        <v>2.9086459604367305</v>
      </c>
      <c r="BK20" s="490">
        <f t="shared" si="144"/>
        <v>2.9915423703091775</v>
      </c>
      <c r="BL20" s="490">
        <f t="shared" si="144"/>
        <v>3.0768013278629884</v>
      </c>
      <c r="BM20" s="490">
        <f t="shared" si="144"/>
        <v>3.1644901657070834</v>
      </c>
      <c r="BN20" s="490">
        <f t="shared" si="144"/>
        <v>3.2546781354297352</v>
      </c>
      <c r="BO20" s="490">
        <f t="shared" si="144"/>
        <v>3.3474364622894828</v>
      </c>
      <c r="BP20" s="490">
        <f t="shared" si="144"/>
        <v>3.4428384014647326</v>
      </c>
      <c r="BQ20" s="490">
        <f t="shared" si="144"/>
        <v>3.5409592959064771</v>
      </c>
      <c r="BR20" s="490">
        <f t="shared" ref="BR20:CM20" si="145">BR14/BR19</f>
        <v>3.6418766358398122</v>
      </c>
      <c r="BS20" s="490">
        <f t="shared" si="145"/>
        <v>3.7456701199612477</v>
      </c>
      <c r="BT20" s="490">
        <f t="shared" si="145"/>
        <v>3.8524217183801421</v>
      </c>
      <c r="BU20" s="490">
        <f t="shared" si="145"/>
        <v>3.9622157373539766</v>
      </c>
      <c r="BV20" s="490">
        <f t="shared" si="145"/>
        <v>4.0751388858685642</v>
      </c>
      <c r="BW20" s="490">
        <f t="shared" si="145"/>
        <v>4.1912803441158184</v>
      </c>
      <c r="BX20" s="490">
        <f t="shared" si="145"/>
        <v>4.3107318339231195</v>
      </c>
      <c r="BY20" s="490">
        <f t="shared" si="145"/>
        <v>4.4335876911899286</v>
      </c>
      <c r="BZ20" s="490">
        <f t="shared" si="145"/>
        <v>4.5599449403888404</v>
      </c>
      <c r="CA20" s="490">
        <f t="shared" si="145"/>
        <v>4.6899033711899225</v>
      </c>
      <c r="CB20" s="490">
        <f t="shared" si="145"/>
        <v>4.8235656172688346</v>
      </c>
      <c r="CC20" s="490">
        <f t="shared" si="145"/>
        <v>4.8235656172688346</v>
      </c>
      <c r="CD20" s="490">
        <f t="shared" si="145"/>
        <v>4.8235656172688346</v>
      </c>
      <c r="CE20" s="490" t="e">
        <f t="shared" si="145"/>
        <v>#N/A</v>
      </c>
      <c r="CF20" s="490" t="e">
        <f t="shared" si="145"/>
        <v>#N/A</v>
      </c>
      <c r="CG20" s="490" t="e">
        <f t="shared" si="145"/>
        <v>#N/A</v>
      </c>
      <c r="CH20" s="490" t="e">
        <f t="shared" si="145"/>
        <v>#N/A</v>
      </c>
      <c r="CI20" s="490" t="e">
        <f t="shared" si="145"/>
        <v>#N/A</v>
      </c>
      <c r="CJ20" s="490" t="e">
        <f t="shared" si="145"/>
        <v>#N/A</v>
      </c>
      <c r="CK20" s="490" t="e">
        <f t="shared" si="145"/>
        <v>#N/A</v>
      </c>
      <c r="CL20" s="490" t="e">
        <f t="shared" si="145"/>
        <v>#N/A</v>
      </c>
      <c r="CM20" s="490" t="e">
        <f t="shared" si="145"/>
        <v>#N/A</v>
      </c>
      <c r="CN20" s="490"/>
      <c r="CO20" s="490"/>
      <c r="CP20" s="490"/>
      <c r="CQ20" s="490"/>
      <c r="CR20" s="490"/>
      <c r="CS20" s="490"/>
      <c r="CT20" s="490"/>
      <c r="CU20" s="490"/>
      <c r="CV20" s="490"/>
      <c r="CW20" s="490"/>
      <c r="CX20" s="490"/>
      <c r="CY20" s="490"/>
      <c r="CZ20" s="490"/>
    </row>
    <row r="21" spans="1:104" x14ac:dyDescent="0.25">
      <c r="B21" t="s">
        <v>315</v>
      </c>
      <c r="E21" s="614">
        <f t="shared" ref="E21:W21" si="146">IF(E19-E14&gt;0,0,E14-E19)</f>
        <v>0</v>
      </c>
      <c r="F21" s="614">
        <f t="shared" si="146"/>
        <v>0</v>
      </c>
      <c r="G21" s="614">
        <f t="shared" si="146"/>
        <v>0</v>
      </c>
      <c r="H21" s="614">
        <f t="shared" si="146"/>
        <v>0</v>
      </c>
      <c r="I21" s="614">
        <f t="shared" si="146"/>
        <v>0</v>
      </c>
      <c r="J21" s="614">
        <f t="shared" si="146"/>
        <v>0</v>
      </c>
      <c r="K21" s="614">
        <f t="shared" si="146"/>
        <v>0</v>
      </c>
      <c r="L21" s="614">
        <f t="shared" si="146"/>
        <v>0</v>
      </c>
      <c r="M21" s="614">
        <f t="shared" si="146"/>
        <v>0</v>
      </c>
      <c r="N21" s="614">
        <f t="shared" si="146"/>
        <v>0</v>
      </c>
      <c r="O21" s="614">
        <f t="shared" si="146"/>
        <v>0</v>
      </c>
      <c r="P21" s="614">
        <f t="shared" si="146"/>
        <v>0</v>
      </c>
      <c r="Q21" s="614">
        <f t="shared" si="146"/>
        <v>0</v>
      </c>
      <c r="R21" s="614">
        <f t="shared" si="146"/>
        <v>0</v>
      </c>
      <c r="S21" s="614">
        <f t="shared" si="146"/>
        <v>0</v>
      </c>
      <c r="T21" s="614">
        <f t="shared" si="146"/>
        <v>0</v>
      </c>
      <c r="U21" s="614">
        <f t="shared" si="146"/>
        <v>0</v>
      </c>
      <c r="V21" s="614">
        <f t="shared" si="146"/>
        <v>0</v>
      </c>
      <c r="W21" s="614">
        <f t="shared" si="146"/>
        <v>313.75697158855473</v>
      </c>
      <c r="X21" s="614">
        <f>IF(X19-X14&gt;0,0,X14-X19)</f>
        <v>918.468316721679</v>
      </c>
      <c r="Y21" s="614">
        <f t="shared" ref="Y21:CJ21" si="147">IF(Y19-Y14&gt;0,0,Y14-Y19)</f>
        <v>1538.6615426922071</v>
      </c>
      <c r="Z21" s="614">
        <f t="shared" si="147"/>
        <v>2174.7279399177751</v>
      </c>
      <c r="AA21" s="614">
        <f t="shared" si="147"/>
        <v>2827.0685272121227</v>
      </c>
      <c r="AB21" s="614">
        <f t="shared" si="147"/>
        <v>3496.094288478027</v>
      </c>
      <c r="AC21" s="614">
        <f t="shared" si="147"/>
        <v>4182.2264149898401</v>
      </c>
      <c r="AD21" s="614">
        <f t="shared" si="147"/>
        <v>4885.89655339198</v>
      </c>
      <c r="AE21" s="614">
        <f t="shared" si="147"/>
        <v>5607.5470595424558</v>
      </c>
      <c r="AF21" s="614">
        <f t="shared" si="147"/>
        <v>6347.6312583329855</v>
      </c>
      <c r="AG21" s="614">
        <f t="shared" si="147"/>
        <v>7106.6137096204511</v>
      </c>
      <c r="AH21" s="614">
        <f t="shared" si="147"/>
        <v>7884.9704804066896</v>
      </c>
      <c r="AI21" s="614">
        <f t="shared" si="147"/>
        <v>8683.189423407086</v>
      </c>
      <c r="AJ21" s="614">
        <f t="shared" si="147"/>
        <v>9501.7704621507655</v>
      </c>
      <c r="AK21" s="614">
        <f t="shared" si="147"/>
        <v>10341.225882758667</v>
      </c>
      <c r="AL21" s="614">
        <f t="shared" si="147"/>
        <v>11202.080632548303</v>
      </c>
      <c r="AM21" s="614">
        <f t="shared" si="147"/>
        <v>12084.872625617663</v>
      </c>
      <c r="AN21" s="614">
        <f t="shared" si="147"/>
        <v>13086.548222992384</v>
      </c>
      <c r="AO21" s="614">
        <f t="shared" si="147"/>
        <v>14116.771574892296</v>
      </c>
      <c r="AP21" s="614">
        <f t="shared" si="147"/>
        <v>15176.356292321358</v>
      </c>
      <c r="AQ21" s="614">
        <f t="shared" si="147"/>
        <v>16266.139174197142</v>
      </c>
      <c r="AR21" s="614">
        <f t="shared" si="147"/>
        <v>17386.980868206392</v>
      </c>
      <c r="AS21" s="614">
        <f t="shared" si="147"/>
        <v>18539.766550494907</v>
      </c>
      <c r="AT21" s="614">
        <f t="shared" si="147"/>
        <v>19725.406624728628</v>
      </c>
      <c r="AU21" s="614">
        <f t="shared" si="147"/>
        <v>20944.837441078027</v>
      </c>
      <c r="AV21" s="614">
        <f t="shared" si="147"/>
        <v>22199.022035693375</v>
      </c>
      <c r="AW21" s="614">
        <f t="shared" si="147"/>
        <v>23488.950891255266</v>
      </c>
      <c r="AX21" s="614">
        <f t="shared" si="147"/>
        <v>24815.642719200663</v>
      </c>
      <c r="AY21" s="614">
        <f t="shared" si="147"/>
        <v>26180.145264242517</v>
      </c>
      <c r="AZ21" s="614">
        <f t="shared" si="147"/>
        <v>27583.53613181804</v>
      </c>
      <c r="BA21" s="614">
        <f t="shared" si="147"/>
        <v>29026.92363911949</v>
      </c>
      <c r="BB21" s="614">
        <f t="shared" si="147"/>
        <v>30511.447690379031</v>
      </c>
      <c r="BC21" s="614">
        <f t="shared" si="147"/>
        <v>32038.280677099461</v>
      </c>
      <c r="BD21" s="614">
        <f t="shared" si="147"/>
        <v>33608.628403941402</v>
      </c>
      <c r="BE21" s="614">
        <f t="shared" si="147"/>
        <v>35223.731040998362</v>
      </c>
      <c r="BF21" s="614">
        <f t="shared" si="147"/>
        <v>36884.864103211439</v>
      </c>
      <c r="BG21" s="614">
        <f t="shared" si="147"/>
        <v>38593.339457697599</v>
      </c>
      <c r="BH21" s="614">
        <f t="shared" si="147"/>
        <v>40350.506359786596</v>
      </c>
      <c r="BI21" s="614">
        <f t="shared" si="147"/>
        <v>42157.752518585141</v>
      </c>
      <c r="BJ21" s="614">
        <f t="shared" si="147"/>
        <v>44016.505192909448</v>
      </c>
      <c r="BK21" s="614">
        <f t="shared" si="147"/>
        <v>45928.232318451992</v>
      </c>
      <c r="BL21" s="614">
        <f t="shared" si="147"/>
        <v>47894.443667072497</v>
      </c>
      <c r="BM21" s="614">
        <f t="shared" si="147"/>
        <v>49916.692039128684</v>
      </c>
      <c r="BN21" s="614">
        <f t="shared" si="147"/>
        <v>51996.574489788472</v>
      </c>
      <c r="BO21" s="614">
        <f t="shared" si="147"/>
        <v>54135.733590292075</v>
      </c>
      <c r="BP21" s="614">
        <f t="shared" si="147"/>
        <v>56335.858725160026</v>
      </c>
      <c r="BQ21" s="614">
        <f t="shared" si="147"/>
        <v>58598.687426371704</v>
      </c>
      <c r="BR21" s="614">
        <f t="shared" si="147"/>
        <v>60926.006745567938</v>
      </c>
      <c r="BS21" s="614">
        <f t="shared" si="147"/>
        <v>63319.65466536126</v>
      </c>
      <c r="BT21" s="614">
        <f t="shared" si="147"/>
        <v>65781.521550868667</v>
      </c>
      <c r="BU21" s="614">
        <f t="shared" si="147"/>
        <v>68313.551642613063</v>
      </c>
      <c r="BV21" s="614">
        <f t="shared" si="147"/>
        <v>70917.744591972136</v>
      </c>
      <c r="BW21" s="614">
        <f t="shared" si="147"/>
        <v>73596.157040387989</v>
      </c>
      <c r="BX21" s="614">
        <f t="shared" si="147"/>
        <v>76350.904243583675</v>
      </c>
      <c r="BY21" s="614">
        <f t="shared" si="147"/>
        <v>79184.161742070442</v>
      </c>
      <c r="BZ21" s="614">
        <f t="shared" si="147"/>
        <v>82098.167079264051</v>
      </c>
      <c r="CA21" s="614">
        <f t="shared" si="147"/>
        <v>85095.221568567707</v>
      </c>
      <c r="CB21" s="614">
        <f t="shared" si="147"/>
        <v>88177.692110816497</v>
      </c>
      <c r="CC21" s="614">
        <f t="shared" si="147"/>
        <v>88177.692110816497</v>
      </c>
      <c r="CD21" s="614">
        <f t="shared" si="147"/>
        <v>88177.692110816497</v>
      </c>
      <c r="CE21" s="614" t="e">
        <f t="shared" si="147"/>
        <v>#N/A</v>
      </c>
      <c r="CF21" s="614" t="e">
        <f t="shared" si="147"/>
        <v>#N/A</v>
      </c>
      <c r="CG21" s="614" t="e">
        <f t="shared" si="147"/>
        <v>#N/A</v>
      </c>
      <c r="CH21" s="614" t="e">
        <f t="shared" si="147"/>
        <v>#N/A</v>
      </c>
      <c r="CI21" s="614" t="e">
        <f t="shared" si="147"/>
        <v>#N/A</v>
      </c>
      <c r="CJ21" s="614" t="e">
        <f t="shared" si="147"/>
        <v>#N/A</v>
      </c>
      <c r="CK21" s="614" t="e">
        <f t="shared" ref="CK21:CM21" si="148">IF(CK19-CK14&gt;0,0,CK14-CK19)</f>
        <v>#N/A</v>
      </c>
      <c r="CL21" s="614" t="e">
        <f t="shared" si="148"/>
        <v>#N/A</v>
      </c>
      <c r="CM21" s="614" t="e">
        <f t="shared" si="148"/>
        <v>#N/A</v>
      </c>
      <c r="CN21" s="476">
        <f>IF(CN19-CN10&gt;0,0,CN10-CN19)</f>
        <v>0</v>
      </c>
      <c r="CO21" s="476">
        <f>IF(CO19-CO10&gt;0,0,CO10-CO19)</f>
        <v>0</v>
      </c>
      <c r="CP21" s="476">
        <f>IF(CP19-CP10&gt;0,0,CP10-CP19)</f>
        <v>0</v>
      </c>
      <c r="CQ21" s="476"/>
      <c r="CR21" s="476"/>
      <c r="CS21" s="476"/>
      <c r="CT21" s="476"/>
      <c r="CU21" s="476"/>
      <c r="CV21" s="476"/>
      <c r="CW21" s="476"/>
      <c r="CX21" s="476"/>
      <c r="CY21" s="476"/>
      <c r="CZ21" s="476"/>
    </row>
    <row r="22" spans="1:104" x14ac:dyDescent="0.25">
      <c r="B22" t="s">
        <v>530</v>
      </c>
      <c r="E22" s="476">
        <f>E21</f>
        <v>0</v>
      </c>
      <c r="F22" s="476">
        <f t="shared" ref="F22" si="149">E21+F21</f>
        <v>0</v>
      </c>
      <c r="G22" s="476">
        <f t="shared" ref="G22" si="150">F21+G21</f>
        <v>0</v>
      </c>
      <c r="H22" s="476">
        <f t="shared" ref="H22" si="151">G21+H21</f>
        <v>0</v>
      </c>
      <c r="I22" s="476">
        <f t="shared" ref="I22" si="152">H21+I21</f>
        <v>0</v>
      </c>
      <c r="J22" s="476">
        <f t="shared" ref="J22" si="153">I21+J21</f>
        <v>0</v>
      </c>
      <c r="K22" s="476">
        <f t="shared" ref="K22" si="154">J21+K21</f>
        <v>0</v>
      </c>
      <c r="L22" s="476">
        <f t="shared" ref="L22" si="155">K21+L21</f>
        <v>0</v>
      </c>
      <c r="M22" s="476">
        <f t="shared" ref="M22" si="156">L21+M21</f>
        <v>0</v>
      </c>
      <c r="N22" s="476">
        <f t="shared" ref="N22" si="157">M21+N21</f>
        <v>0</v>
      </c>
      <c r="O22" s="476">
        <f t="shared" ref="O22" si="158">N21+O21</f>
        <v>0</v>
      </c>
      <c r="P22" s="476">
        <f t="shared" ref="P22" si="159">O21+P21</f>
        <v>0</v>
      </c>
      <c r="Q22" s="476">
        <f t="shared" ref="Q22" si="160">P21+Q21</f>
        <v>0</v>
      </c>
      <c r="R22" s="476">
        <f t="shared" ref="R22" si="161">Q21+R21</f>
        <v>0</v>
      </c>
      <c r="S22" s="476">
        <f t="shared" ref="S22" si="162">R21+S21</f>
        <v>0</v>
      </c>
      <c r="T22" s="476">
        <f t="shared" ref="T22" si="163">S21+T21</f>
        <v>0</v>
      </c>
      <c r="U22" s="476">
        <f t="shared" ref="U22" si="164">T21+U21</f>
        <v>0</v>
      </c>
      <c r="V22" s="476">
        <f t="shared" ref="V22" si="165">U21+V21</f>
        <v>0</v>
      </c>
      <c r="W22" s="476">
        <f>V22+W21</f>
        <v>313.75697158855473</v>
      </c>
      <c r="X22" s="476">
        <f t="shared" ref="X22:AY22" si="166">W22+X21</f>
        <v>1232.2252883102337</v>
      </c>
      <c r="Y22" s="476">
        <f t="shared" si="166"/>
        <v>2770.8868310024409</v>
      </c>
      <c r="Z22" s="476">
        <f t="shared" si="166"/>
        <v>4945.614770920216</v>
      </c>
      <c r="AA22" s="476">
        <f t="shared" si="166"/>
        <v>7772.6832981323387</v>
      </c>
      <c r="AB22" s="476">
        <f t="shared" si="166"/>
        <v>11268.777586610366</v>
      </c>
      <c r="AC22" s="476">
        <f t="shared" si="166"/>
        <v>15451.004001600206</v>
      </c>
      <c r="AD22" s="476">
        <f t="shared" si="166"/>
        <v>20336.900554992186</v>
      </c>
      <c r="AE22" s="476">
        <f t="shared" si="166"/>
        <v>25944.447614534642</v>
      </c>
      <c r="AF22" s="476">
        <f t="shared" si="166"/>
        <v>32292.078872867627</v>
      </c>
      <c r="AG22" s="476">
        <f t="shared" si="166"/>
        <v>39398.692582488075</v>
      </c>
      <c r="AH22" s="476">
        <f t="shared" si="166"/>
        <v>47283.663062894761</v>
      </c>
      <c r="AI22" s="476">
        <f t="shared" si="166"/>
        <v>55966.852486301847</v>
      </c>
      <c r="AJ22" s="476">
        <f t="shared" si="166"/>
        <v>65468.622948452612</v>
      </c>
      <c r="AK22" s="476">
        <f t="shared" si="166"/>
        <v>75809.848831211275</v>
      </c>
      <c r="AL22" s="476">
        <f t="shared" si="166"/>
        <v>87011.929463759574</v>
      </c>
      <c r="AM22" s="476">
        <f t="shared" si="166"/>
        <v>99096.802089377234</v>
      </c>
      <c r="AN22" s="476">
        <f t="shared" si="166"/>
        <v>112183.35031236961</v>
      </c>
      <c r="AO22" s="476">
        <f t="shared" si="166"/>
        <v>126300.12188726191</v>
      </c>
      <c r="AP22" s="476">
        <f t="shared" si="166"/>
        <v>141476.47817958327</v>
      </c>
      <c r="AQ22" s="476">
        <f t="shared" si="166"/>
        <v>157742.6173537804</v>
      </c>
      <c r="AR22" s="476">
        <f t="shared" si="166"/>
        <v>175129.59822198679</v>
      </c>
      <c r="AS22" s="476">
        <f t="shared" si="166"/>
        <v>193669.3647724817</v>
      </c>
      <c r="AT22" s="476">
        <f t="shared" si="166"/>
        <v>213394.77139721034</v>
      </c>
      <c r="AU22" s="476">
        <f t="shared" si="166"/>
        <v>234339.60883828838</v>
      </c>
      <c r="AV22" s="476">
        <f t="shared" si="166"/>
        <v>256538.63087398175</v>
      </c>
      <c r="AW22" s="476">
        <f t="shared" si="166"/>
        <v>280027.58176523703</v>
      </c>
      <c r="AX22" s="476">
        <f t="shared" si="166"/>
        <v>304843.22448443767</v>
      </c>
      <c r="AY22" s="476">
        <f t="shared" si="166"/>
        <v>331023.36974868021</v>
      </c>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c r="CA22" s="476"/>
      <c r="CB22" s="476"/>
      <c r="CC22" s="476"/>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476"/>
      <c r="CZ22" s="476"/>
    </row>
    <row r="23" spans="1:104" x14ac:dyDescent="0.25">
      <c r="B23" t="s">
        <v>373</v>
      </c>
      <c r="E23" s="490">
        <f>E21*1000000/('Construction Timing'!$I$23*325851)</f>
        <v>0</v>
      </c>
      <c r="F23" s="792">
        <f>IF(F24&lt;100%,(F21-E21)*1000000/('Construction Timing'!$I$23*325851), IF( AND(F24=100%, E24&lt;100%), F24-E24,0))</f>
        <v>0</v>
      </c>
      <c r="G23" s="792">
        <f>IF(G24&lt;100%,(G21-F21)*1000000/('Construction Timing'!$I$23*325851), IF( AND(G24=100%, F24&lt;100%), G24-F24,0))</f>
        <v>0</v>
      </c>
      <c r="H23" s="792">
        <f>IF(H24&lt;100%,(H21-G21)*1000000/('Construction Timing'!$I$23*325851), IF( AND(H24=100%, G24&lt;100%), H24-G24,0))</f>
        <v>0</v>
      </c>
      <c r="I23" s="792">
        <f>IF(I24&lt;100%,(I21-H21)*1000000/('Construction Timing'!$I$23*325851), IF( AND(I24=100%, H24&lt;100%), I24-H24,0))</f>
        <v>0</v>
      </c>
      <c r="J23" s="792">
        <f>IF(J24&lt;100%,(J21-I21)*1000000/('Construction Timing'!$I$23*325851), IF( AND(J24=100%, I24&lt;100%), J24-I24,0))</f>
        <v>0</v>
      </c>
      <c r="K23" s="792">
        <f>IF(K24&lt;100%,(K21-J21)*1000000/('Construction Timing'!$I$23*325851), IF( AND(K24=100%, J24&lt;100%), K24-J24,0))</f>
        <v>0</v>
      </c>
      <c r="L23" s="792">
        <f>IF(L24&lt;100%,(L21-K21)*1000000/('Construction Timing'!$I$23*325851), IF( AND(L24=100%, K24&lt;100%), L24-K24,0))</f>
        <v>0</v>
      </c>
      <c r="M23" s="792">
        <f>IF(M24&lt;100%,(M21-L21)*1000000/('Construction Timing'!$I$23*325851), IF( AND(M24=100%, L24&lt;100%), M24-L24,0))</f>
        <v>0</v>
      </c>
      <c r="N23" s="792">
        <f>IF(N24&lt;100%,(N21-M21)*1000000/('Construction Timing'!$I$23*325851), IF( AND(N24=100%, M24&lt;100%), N24-M24,0))</f>
        <v>0</v>
      </c>
      <c r="O23" s="792">
        <f>IF(O24&lt;100%,(O21-N21)*1000000/('Construction Timing'!$I$23*325851), IF( AND(O24=100%, N24&lt;100%), O24-N24,0))</f>
        <v>0</v>
      </c>
      <c r="P23" s="792">
        <f>IF(P24&lt;100%,(P21-O21)*1000000/('Construction Timing'!$I$23*325851), IF( AND(P24=100%, O24&lt;100%), P24-O24,0))</f>
        <v>0</v>
      </c>
      <c r="Q23" s="792">
        <f>IF(Q24&lt;100%,(Q21-P21)*1000000/('Construction Timing'!$I$23*325851), IF( AND(Q24=100%, P24&lt;100%), Q24-P24,0))</f>
        <v>0</v>
      </c>
      <c r="R23" s="792">
        <f>IF(R24&lt;100%,(R21-Q21)*1000000/('Construction Timing'!$I$23*325851), IF( AND(R24=100%, Q24&lt;100%), R24-Q24,0))</f>
        <v>0</v>
      </c>
      <c r="S23" s="792">
        <f>IF(S24&lt;100%,(S21-R21)*1000000/('Construction Timing'!$I$23*325851), IF( AND(S24=100%, R24&lt;100%), S24-R24,0))</f>
        <v>0</v>
      </c>
      <c r="T23" s="792">
        <f>IF(T24&lt;100%,(T21-S21)*1000000/('Construction Timing'!$I$23*325851), IF( AND(T24=100%, S24&lt;100%), T24-S24,0))</f>
        <v>0</v>
      </c>
      <c r="U23" s="792">
        <f>IF(U24&lt;100%,(U21-T21)*1000000/('Construction Timing'!$I$23*325851), IF( AND(U24=100%, T24&lt;100%), U24-T24,0))</f>
        <v>0</v>
      </c>
      <c r="V23" s="792">
        <f>IF(V24&lt;100%,(V21-U21)*1000000/('Construction Timing'!$I$23*325851), IF( AND(V24=100%, U24&lt;100%), V24-U24,0))</f>
        <v>0</v>
      </c>
      <c r="W23" s="792">
        <f>IF(W24&lt;100%,(W21-V21)*1000000/('Construction Timing'!$I$23*325851), IF( AND(W24=100%, V24&lt;100%), W24-V24,0))</f>
        <v>1.1706948286771678E-2</v>
      </c>
      <c r="X23" s="792">
        <f>IF(X24&lt;100%,(X21-W21)*1000000/('Construction Timing'!$I$23*325851), IF( AND(X24=100%, W24&lt;100%), X24-W24,0))</f>
        <v>2.2563082535042755E-2</v>
      </c>
      <c r="Y23" s="792">
        <f>IF(Y24&lt;100%,(Y21-X21)*1000000/('Construction Timing'!$I$23*325851), IF( AND(Y24=100%, X24&lt;100%), Y24-X24,0))</f>
        <v>2.3140744849374135E-2</v>
      </c>
      <c r="Z23" s="792">
        <f>IF(Z24&lt;100%,(Z21-Y21)*1000000/('Construction Timing'!$I$23*325851), IF( AND(Z24=100%, Y24&lt;100%), Z24-Y24,0))</f>
        <v>2.3733007051832875E-2</v>
      </c>
      <c r="AA23" s="792">
        <f>IF(AA24&lt;100%,(AA21-Z21)*1000000/('Construction Timing'!$I$23*325851), IF( AND(AA24=100%, Z24&lt;100%), AA24-Z24,0))</f>
        <v>2.4340232129827753E-2</v>
      </c>
      <c r="AB23" s="792">
        <f>IF(AB24&lt;100%,(AB21-AA21)*1000000/('Construction Timing'!$I$23*325851), IF( AND(AB24=100%, AA24&lt;100%), AB24-AA24,0))</f>
        <v>2.4962791902290601E-2</v>
      </c>
      <c r="AC23" s="792">
        <f>IF(AC24&lt;100%,(AC21-AB21)*1000000/('Construction Timing'!$I$23*325851), IF( AND(AC24=100%, AB24&lt;100%), AC24-AB24,0))</f>
        <v>2.5601067228236501E-2</v>
      </c>
      <c r="AD23" s="792">
        <f>IF(AD24&lt;100%,(AD21-AC21)*1000000/('Construction Timing'!$I$23*325851), IF( AND(AD24=100%, AC24&lt;100%), AD24-AC24,0))</f>
        <v>2.6255448220038283E-2</v>
      </c>
      <c r="AE23" s="792">
        <f>IF(AE24&lt;100%,(AE21-AD21)*1000000/('Construction Timing'!$I$23*325851), IF( AND(AE24=100%, AD24&lt;100%), AE24-AD24,0))</f>
        <v>2.6926334461517369E-2</v>
      </c>
      <c r="AF23" s="792">
        <f>IF(AF24&lt;100%,(AF21-AE21)*1000000/('Construction Timing'!$I$23*325851), IF( AND(AF24=100%, AE24&lt;100%), AF24-AE24,0))</f>
        <v>2.7614135230943283E-2</v>
      </c>
      <c r="AG23" s="792">
        <f>IF(AG24&lt;100%,(AG21-AF21)*1000000/('Construction Timing'!$I$23*325851), IF( AND(AG24=100%, AF24&lt;100%), AG24-AF24,0))</f>
        <v>2.8319269729060854E-2</v>
      </c>
      <c r="AH23" s="792">
        <f>IF(AH24&lt;100%,(AH21-AG21)*1000000/('Construction Timing'!$I$23*325851), IF( AND(AH24=100%, AG24&lt;100%), AH24-AG24,0))</f>
        <v>2.9042167312229007E-2</v>
      </c>
      <c r="AI23" s="792">
        <f>IF(AI24&lt;100%,(AI21-AH21)*1000000/('Construction Timing'!$I$23*325851), IF( AND(AI24=100%, AH24&lt;100%), AI24-AH24,0))</f>
        <v>2.9783267730800814E-2</v>
      </c>
      <c r="AJ23" s="792">
        <f>IF(AJ24&lt;100%,(AJ21-AI21)*1000000/('Construction Timing'!$I$23*325851), IF( AND(AJ24=100%, AI24&lt;100%), AJ24-AI24,0))</f>
        <v>3.0543021372831457E-2</v>
      </c>
      <c r="AK23" s="792">
        <f>IF(AK24&lt;100%,(AK21-AJ21)*1000000/('Construction Timing'!$I$23*325851), IF( AND(AK24=100%, AJ24&lt;100%), AK24-AJ24,0))</f>
        <v>3.1321889513244369E-2</v>
      </c>
      <c r="AL23" s="792">
        <f>IF(AL24&lt;100%,(AL21-AK21)*1000000/('Construction Timing'!$I$23*325851), IF( AND(AL24=100%, AK24&lt;100%), AL24-AK24,0))</f>
        <v>3.2120344568549716E-2</v>
      </c>
      <c r="AM23" s="792">
        <f>IF(AM24&lt;100%,(AM21-AL21)*1000000/('Construction Timing'!$I$23*325851), IF( AND(AM24=100%, AL24&lt;100%), AM24-AL24,0))</f>
        <v>3.293887035725105E-2</v>
      </c>
      <c r="AN23" s="792">
        <f>IF(AN24&lt;100%,(AN21-AM21)*1000000/('Construction Timing'!$I$23*325851), IF( AND(AN24=100%, AM24&lt;100%), AN24-AM24,0))</f>
        <v>3.7374673650167084E-2</v>
      </c>
      <c r="AO23" s="792">
        <f>IF(AO24&lt;100%,(AO21-AN21)*1000000/('Construction Timing'!$I$23*325851), IF( AND(AO24=100%, AN24&lt;100%), AO24-AN24,0))</f>
        <v>3.8439851849197328E-2</v>
      </c>
      <c r="AP23" s="792">
        <f>IF(AP24&lt;100%,(AP21-AO21)*1000000/('Construction Timing'!$I$23*325851), IF( AND(AP24=100%, AO24&lt;100%), AP24-AO24,0))</f>
        <v>3.9535387626899482E-2</v>
      </c>
      <c r="AQ23" s="792">
        <f>IF(AQ24&lt;100%,(AQ21-AP21)*1000000/('Construction Timing'!$I$23*325851), IF( AND(AQ24=100%, AP24&lt;100%), AQ24-AP24,0))</f>
        <v>4.0662146174265931E-2</v>
      </c>
      <c r="AR23" s="792">
        <f>IF(AR24&lt;100%,(AR21-AQ21)*1000000/('Construction Timing'!$I$23*325851), IF( AND(AR24=100%, AQ24&lt;100%), AR24-AQ24,0))</f>
        <v>4.1821017340232733E-2</v>
      </c>
      <c r="AS23" s="792">
        <f>IF(AS24&lt;100%,(AS21-AR21)*1000000/('Construction Timing'!$I$23*325851), IF( AND(AS24=100%, AR24&lt;100%), AS24-AR24,0))</f>
        <v>4.3012916334429413E-2</v>
      </c>
      <c r="AT23" s="792">
        <f>IF(AT24&lt;100%,(AT21-AS21)*1000000/('Construction Timing'!$I$23*325851), IF( AND(AT24=100%, AS24&lt;100%), AT24-AS24,0))</f>
        <v>4.4238784449960031E-2</v>
      </c>
      <c r="AU23" s="792">
        <f>IF(AU24&lt;100%,(AU21-AT21)*1000000/('Construction Timing'!$I$23*325851), IF( AND(AU24=100%, AT24&lt;100%), AU24-AT24,0))</f>
        <v>4.5499589806784514E-2</v>
      </c>
      <c r="AV23" s="792">
        <f>IF(AV24&lt;100%,(AV21-AU21)*1000000/('Construction Timing'!$I$23*325851), IF( AND(AV24=100%, AU24&lt;100%), AV24-AU24,0))</f>
        <v>4.6796328116277548E-2</v>
      </c>
      <c r="AW23" s="792">
        <f>IF(AW24&lt;100%,(AW21-AV21)*1000000/('Construction Timing'!$I$23*325851), IF( AND(AW24=100%, AV24&lt;100%), AW24-AV24,0))</f>
        <v>4.8130023467591675E-2</v>
      </c>
      <c r="AX23" s="792">
        <f>IF(AX24&lt;100%,(AX21-AW21)*1000000/('Construction Timing'!$I$23*325851), IF( AND(AX24=100%, AW24&lt;100%), AX24-AW24,0))</f>
        <v>4.9501729136417719E-2</v>
      </c>
      <c r="AY23" s="792">
        <f>IF(AY24&lt;100%,(AY21-AX21)*1000000/('Construction Timing'!$I$23*325851), IF( AND(AY24=100%, AX24&lt;100%), AY24-AX24,0))</f>
        <v>5.0912528416806144E-2</v>
      </c>
      <c r="AZ23" s="793">
        <f>IF(AZ24&lt;100%,(AZ21-AY21)*1000000/('Construction Timing'!$I$23*325851), IF( AND(AZ24=100%, AY24&lt;100%), AZ24-AY24,0))</f>
        <v>2.3163685922715893E-2</v>
      </c>
      <c r="BA23" s="792">
        <f>IF(BA24&lt;100%,(BA21-AZ21)*1000000/('Construction Timing'!$I$23*325851), IF( AND(BA24=100%, AZ24&lt;100%), BA24-AZ24,0))</f>
        <v>0</v>
      </c>
      <c r="BB23" s="792">
        <f>IF(BB24&lt;100%,(BB21-BA21)*1000000/('Construction Timing'!$I$23*325851), IF( AND(BB24=100%, BA24&lt;100%), BB24-BA24,0))</f>
        <v>0</v>
      </c>
      <c r="BC23" s="792">
        <f>IF(BC24&lt;100%,(BC21-BB21)*1000000/('Construction Timing'!$I$23*325851), IF( AND(BC24=100%, BB24&lt;100%), BC24-BB24,0))</f>
        <v>0</v>
      </c>
      <c r="BD23" s="792">
        <f>IF(BD24&lt;100%,(BD21-BC21)*1000000/('Construction Timing'!$I$23*325851), IF( AND(BD24=100%, BC24&lt;100%), BD24-BC24,0))</f>
        <v>0</v>
      </c>
      <c r="BE23" s="792">
        <f>IF(BE24&lt;100%,(BE21-BD21)*1000000/('Construction Timing'!$I$23*325851), IF( AND(BE24=100%, BD24&lt;100%), BE24-BD24,0))</f>
        <v>0</v>
      </c>
      <c r="BF23" s="792">
        <f>IF(BF24&lt;100%,(BF21-BE21)*1000000/('Construction Timing'!$I$23*325851), IF( AND(BF24=100%, BE24&lt;100%), BF24-BE24,0))</f>
        <v>0</v>
      </c>
      <c r="BG23" s="792">
        <f>IF(BG24&lt;100%,(BG21-BF21)*1000000/('Construction Timing'!$I$23*325851), IF( AND(BG24=100%, BF24&lt;100%), BG24-BF24,0))</f>
        <v>0</v>
      </c>
      <c r="BH23" s="792">
        <f>IF(BH24&lt;100%,(BH21-BG21)*1000000/('Construction Timing'!$I$23*325851), IF( AND(BH24=100%, BG24&lt;100%), BH24-BG24,0))</f>
        <v>0</v>
      </c>
      <c r="BI23" s="792">
        <f>IF(BI24&lt;100%,(BI21-BH21)*1000000/('Construction Timing'!$I$23*325851), IF( AND(BI24=100%, BH24&lt;100%), BI24-BH24,0))</f>
        <v>0</v>
      </c>
      <c r="BJ23" s="792">
        <f>IF(BJ24&lt;100%,(BJ21-BI21)*1000000/('Construction Timing'!$I$23*325851), IF( AND(BJ24=100%, BI24&lt;100%), BJ24-BI24,0))</f>
        <v>0</v>
      </c>
      <c r="BK23" s="792">
        <f>IF(BK24&lt;100%,(BK21-BJ21)*1000000/('Construction Timing'!$I$23*325851), IF( AND(BK24=100%, BJ24&lt;100%), BK24-BJ24,0))</f>
        <v>0</v>
      </c>
      <c r="BL23" s="792">
        <f>IF(BL24&lt;100%,(BL21-BK21)*1000000/('Construction Timing'!$I$23*325851), IF( AND(BL24=100%, BK24&lt;100%), BL24-BK24,0))</f>
        <v>0</v>
      </c>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row>
    <row r="24" spans="1:104" x14ac:dyDescent="0.25">
      <c r="B24" t="s">
        <v>322</v>
      </c>
      <c r="E24" s="490">
        <f>IF(('Construction Timing'!$I23*'Underlying Assumptions'!$E$9)&lt;('LPP Act Financing Plan'!E21*1000000),100%,('LPP Act Financing Plan'!E21*1000000)/('Construction Timing'!$I$23*'Underlying Assumptions'!$E$9))</f>
        <v>0</v>
      </c>
      <c r="F24" s="490">
        <f>IF(('Construction Timing'!$I23*'Underlying Assumptions'!$E$9)&lt;('LPP Act Financing Plan'!F21*1000000),100%,('LPP Act Financing Plan'!F21*1000000)/('Construction Timing'!$I$23*'Underlying Assumptions'!$E$9))</f>
        <v>0</v>
      </c>
      <c r="G24" s="490">
        <f>IF(('Construction Timing'!$I23*'Underlying Assumptions'!$E$9)&lt;('LPP Act Financing Plan'!G21*1000000),100%,('LPP Act Financing Plan'!G21*1000000)/('Construction Timing'!$I$23*'Underlying Assumptions'!$E$9))</f>
        <v>0</v>
      </c>
      <c r="H24" s="490">
        <f>IF(('Construction Timing'!$I23*'Underlying Assumptions'!$E$9)&lt;('LPP Act Financing Plan'!H21*1000000),100%,('LPP Act Financing Plan'!H21*1000000)/('Construction Timing'!$I$23*'Underlying Assumptions'!$E$9))</f>
        <v>0</v>
      </c>
      <c r="I24" s="490">
        <f>IF(('Construction Timing'!$I23*'Underlying Assumptions'!$E$9)&lt;('LPP Act Financing Plan'!I21*1000000),100%,('LPP Act Financing Plan'!I21*1000000)/('Construction Timing'!$I$23*'Underlying Assumptions'!$E$9))</f>
        <v>0</v>
      </c>
      <c r="J24" s="490">
        <f>IF(('Construction Timing'!$I23*'Underlying Assumptions'!$E$9)&lt;('LPP Act Financing Plan'!J21*1000000),100%,('LPP Act Financing Plan'!J21*1000000)/('Construction Timing'!$I$23*'Underlying Assumptions'!$E$9))</f>
        <v>0</v>
      </c>
      <c r="K24" s="490">
        <f>IF(('Construction Timing'!$I23*'Underlying Assumptions'!$E$9)&lt;('LPP Act Financing Plan'!K21*1000000),100%,('LPP Act Financing Plan'!K21*1000000)/('Construction Timing'!$I$23*'Underlying Assumptions'!$E$9))</f>
        <v>0</v>
      </c>
      <c r="L24" s="490">
        <f>IF(('Construction Timing'!$I23*'Underlying Assumptions'!$E$9)&lt;('LPP Act Financing Plan'!L21*1000000),100%,('LPP Act Financing Plan'!L21*1000000)/('Construction Timing'!$I$23*'Underlying Assumptions'!$E$9))</f>
        <v>0</v>
      </c>
      <c r="M24" s="490">
        <f>IF(('Construction Timing'!$I23*'Underlying Assumptions'!$E$9)&lt;('LPP Act Financing Plan'!M21*1000000),100%,('LPP Act Financing Plan'!M21*1000000)/('Construction Timing'!$I$23*'Underlying Assumptions'!$E$9))</f>
        <v>0</v>
      </c>
      <c r="N24" s="490">
        <f>IF(('Construction Timing'!$I23*'Underlying Assumptions'!$E$9)&lt;('LPP Act Financing Plan'!N21*1000000),100%,('LPP Act Financing Plan'!N21*1000000)/('Construction Timing'!$I$23*'Underlying Assumptions'!$E$9))</f>
        <v>0</v>
      </c>
      <c r="O24" s="490">
        <f>IF(('Construction Timing'!$I23*'Underlying Assumptions'!$E$9)&lt;('LPP Act Financing Plan'!O21*1000000),100%,('LPP Act Financing Plan'!O21*1000000)/('Construction Timing'!$I$23*'Underlying Assumptions'!$E$9))</f>
        <v>0</v>
      </c>
      <c r="P24" s="490">
        <f>IF(('Construction Timing'!$I23*'Underlying Assumptions'!$E$9)&lt;('LPP Act Financing Plan'!P21*1000000),100%,('LPP Act Financing Plan'!P21*1000000)/('Construction Timing'!$I$23*'Underlying Assumptions'!$E$9))</f>
        <v>0</v>
      </c>
      <c r="Q24" s="490">
        <f>IF(('Construction Timing'!$I23*'Underlying Assumptions'!$E$9)&lt;('LPP Act Financing Plan'!Q21*1000000),100%,('LPP Act Financing Plan'!Q21*1000000)/('Construction Timing'!$I$23*'Underlying Assumptions'!$E$9))</f>
        <v>0</v>
      </c>
      <c r="R24" s="490">
        <f>IF(('Construction Timing'!$I23*'Underlying Assumptions'!$E$9)&lt;('LPP Act Financing Plan'!R21*1000000),100%,('LPP Act Financing Plan'!R21*1000000)/('Construction Timing'!$I$23*'Underlying Assumptions'!$E$9))</f>
        <v>0</v>
      </c>
      <c r="S24" s="490">
        <f>IF(('Construction Timing'!$I23*'Underlying Assumptions'!$E$9)&lt;('LPP Act Financing Plan'!S21*1000000),100%,('LPP Act Financing Plan'!S21*1000000)/('Construction Timing'!$I$23*'Underlying Assumptions'!$E$9))</f>
        <v>0</v>
      </c>
      <c r="T24" s="490">
        <f>IF(('Construction Timing'!$I23*'Underlying Assumptions'!$E$9)&lt;('LPP Act Financing Plan'!T21*1000000),100%,('LPP Act Financing Plan'!T21*1000000)/('Construction Timing'!$I$23*'Underlying Assumptions'!$E$9))</f>
        <v>0</v>
      </c>
      <c r="U24" s="490">
        <f>IF(('Construction Timing'!$I23*'Underlying Assumptions'!$E$9)&lt;('LPP Act Financing Plan'!U21*1000000),100%,('LPP Act Financing Plan'!U21*1000000)/('Construction Timing'!$I$23*'Underlying Assumptions'!$E$9))</f>
        <v>0</v>
      </c>
      <c r="V24" s="490">
        <f>IF(('Construction Timing'!$I23*'Underlying Assumptions'!$E$9)&lt;('LPP Act Financing Plan'!V21*1000000),100%,('LPP Act Financing Plan'!V21*1000000)/('Construction Timing'!$I$23*'Underlying Assumptions'!$E$9))</f>
        <v>0</v>
      </c>
      <c r="W24" s="490">
        <f>IF(('Construction Timing'!$I23*'Underlying Assumptions'!$E$9)&lt;('LPP Act Financing Plan'!W21*1000000),100%,('LPP Act Financing Plan'!W21*1000000)/('Construction Timing'!$I$23*'Underlying Assumptions'!$E$9))</f>
        <v>1.1706932889376494E-2</v>
      </c>
      <c r="X24" s="490">
        <f>IF(('Construction Timing'!$I23*'Underlying Assumptions'!$E$9)&lt;('LPP Act Financing Plan'!X21*1000000),100%,('LPP Act Financing Plan'!X21*1000000)/('Construction Timing'!$I$23*'Underlying Assumptions'!$E$9))</f>
        <v>3.4269985748649798E-2</v>
      </c>
      <c r="Y24" s="490">
        <f>IF(('Construction Timing'!$I23*'Underlying Assumptions'!$E$9)&lt;('LPP Act Financing Plan'!Y21*1000000),100%,('LPP Act Financing Plan'!Y21*1000000)/('Construction Timing'!$I$23*'Underlying Assumptions'!$E$9))</f>
        <v>5.7410700162492431E-2</v>
      </c>
      <c r="Z24" s="490">
        <f>IF(('Construction Timing'!$I23*'Underlying Assumptions'!$E$9)&lt;('LPP Act Financing Plan'!Z21*1000000),100%,('LPP Act Financing Plan'!Z21*1000000)/('Construction Timing'!$I$23*'Underlying Assumptions'!$E$9))</f>
        <v>8.1143675999829482E-2</v>
      </c>
      <c r="AA24" s="490">
        <f>IF(('Construction Timing'!$I23*'Underlying Assumptions'!$E$9)&lt;('LPP Act Financing Plan'!AA21*1000000),100%,('LPP Act Financing Plan'!AA21*1000000)/('Construction Timing'!$I$23*'Underlying Assumptions'!$E$9))</f>
        <v>0.10548387611651736</v>
      </c>
      <c r="AB24" s="490">
        <f>IF(('Construction Timing'!$I23*'Underlying Assumptions'!$E$9)&lt;('LPP Act Financing Plan'!AB21*1000000),100%,('LPP Act Financing Plan'!AB21*1000000)/('Construction Timing'!$I$23*'Underlying Assumptions'!$E$9))</f>
        <v>0.13044663518685529</v>
      </c>
      <c r="AC24" s="490">
        <f>IF(('Construction Timing'!$I23*'Underlying Assumptions'!$E$9)&lt;('LPP Act Financing Plan'!AC21*1000000),100%,('LPP Act Financing Plan'!AC21*1000000)/('Construction Timing'!$I$23*'Underlying Assumptions'!$E$9))</f>
        <v>0.15604766874365672</v>
      </c>
      <c r="AD24" s="490">
        <f>IF(('Construction Timing'!$I23*'Underlying Assumptions'!$E$9)&lt;('LPP Act Financing Plan'!AD21*1000000),100%,('LPP Act Financing Plan'!AD21*1000000)/('Construction Timing'!$I$23*'Underlying Assumptions'!$E$9))</f>
        <v>0.18230308243159474</v>
      </c>
      <c r="AE24" s="490">
        <f>IF(('Construction Timing'!$I23*'Underlying Assumptions'!$E$9)&lt;('LPP Act Financing Plan'!AE21*1000000),100%,('LPP Act Financing Plan'!AE21*1000000)/('Construction Timing'!$I$23*'Underlying Assumptions'!$E$9))</f>
        <v>0.20922938147863837</v>
      </c>
      <c r="AF24" s="490">
        <f>IF(('Construction Timing'!$I23*'Underlying Assumptions'!$E$9)&lt;('LPP Act Financing Plan'!AF21*1000000),100%,('LPP Act Financing Plan'!AF21*1000000)/('Construction Timing'!$I$23*'Underlying Assumptions'!$E$9))</f>
        <v>0.23684348039048789</v>
      </c>
      <c r="AG24" s="490">
        <f>IF(('Construction Timing'!$I23*'Underlying Assumptions'!$E$9)&lt;('LPP Act Financing Plan'!AG21*1000000),100%,('LPP Act Financing Plan'!AG21*1000000)/('Construction Timing'!$I$23*'Underlying Assumptions'!$E$9))</f>
        <v>0.26516271287303694</v>
      </c>
      <c r="AH24" s="490">
        <f>IF(('Construction Timing'!$I23*'Underlying Assumptions'!$E$9)&lt;('LPP Act Financing Plan'!AH21*1000000),100%,('LPP Act Financing Plan'!AH21*1000000)/('Construction Timing'!$I$23*'Underlying Assumptions'!$E$9))</f>
        <v>0.29420484198797353</v>
      </c>
      <c r="AI24" s="490">
        <f>IF(('Construction Timing'!$I23*'Underlying Assumptions'!$E$9)&lt;('LPP Act Financing Plan'!AI21*1000000),100%,('LPP Act Financing Plan'!AI21*1000000)/('Construction Timing'!$I$23*'Underlying Assumptions'!$E$9))</f>
        <v>0.32398807054676021</v>
      </c>
      <c r="AJ24" s="490">
        <f>IF(('Construction Timing'!$I23*'Underlying Assumptions'!$E$9)&lt;('LPP Act Financing Plan'!AJ21*1000000),100%,('LPP Act Financing Plan'!AJ21*1000000)/('Construction Timing'!$I$23*'Underlying Assumptions'!$E$9))</f>
        <v>0.35453105174832261</v>
      </c>
      <c r="AK24" s="490">
        <f>IF(('Construction Timing'!$I23*'Underlying Assumptions'!$E$9)&lt;('LPP Act Financing Plan'!AK21*1000000),100%,('LPP Act Financing Plan'!AK21*1000000)/('Construction Timing'!$I$23*'Underlying Assumptions'!$E$9))</f>
        <v>0.38585290006590273</v>
      </c>
      <c r="AL24" s="490">
        <f>IF(('Construction Timing'!$I23*'Underlying Assumptions'!$E$9)&lt;('LPP Act Financing Plan'!AL21*1000000),100%,('LPP Act Financing Plan'!AL21*1000000)/('Construction Timing'!$I$23*'Underlying Assumptions'!$E$9))</f>
        <v>0.41797320238863173</v>
      </c>
      <c r="AM24" s="490">
        <f>IF(('Construction Timing'!$I23*'Underlying Assumptions'!$E$9)&lt;('LPP Act Financing Plan'!AM21*1000000),100%,('LPP Act Financing Plan'!AM21*1000000)/('Construction Timing'!$I$23*'Underlying Assumptions'!$E$9))</f>
        <v>0.45091202942350772</v>
      </c>
      <c r="AN24" s="490">
        <f>IF(('Construction Timing'!$I23*'Underlying Assumptions'!$E$9)&lt;('LPP Act Financing Plan'!AN21*1000000),100%,('LPP Act Financing Plan'!AN21*1000000)/('Construction Timing'!$I$23*'Underlying Assumptions'!$E$9))</f>
        <v>0.48828665391717341</v>
      </c>
      <c r="AO24" s="490">
        <f>IF(('Construction Timing'!$I23*'Underlying Assumptions'!$E$9)&lt;('LPP Act Financing Plan'!AO21*1000000),100%,('LPP Act Financing Plan'!AO21*1000000)/('Construction Timing'!$I$23*'Underlying Assumptions'!$E$9))</f>
        <v>0.52672645520890904</v>
      </c>
      <c r="AP24" s="490">
        <f>IF(('Construction Timing'!$I23*'Underlying Assumptions'!$E$9)&lt;('LPP Act Financing Plan'!AP21*1000000),100%,('LPP Act Financing Plan'!AP21*1000000)/('Construction Timing'!$I$23*'Underlying Assumptions'!$E$9))</f>
        <v>0.5662617908374592</v>
      </c>
      <c r="AQ24" s="490">
        <f>IF(('Construction Timing'!$I23*'Underlying Assumptions'!$E$9)&lt;('LPP Act Financing Plan'!AQ21*1000000),100%,('LPP Act Financing Plan'!AQ21*1000000)/('Construction Timing'!$I$23*'Underlying Assumptions'!$E$9))</f>
        <v>0.60692388353142279</v>
      </c>
      <c r="AR24" s="490">
        <f>IF(('Construction Timing'!$I23*'Underlying Assumptions'!$E$9)&lt;('LPP Act Financing Plan'!AR21*1000000),100%,('LPP Act Financing Plan'!AR21*1000000)/('Construction Timing'!$I$23*'Underlying Assumptions'!$E$9))</f>
        <v>0.64874484586716452</v>
      </c>
      <c r="AS24" s="490">
        <f>IF(('Construction Timing'!$I23*'Underlying Assumptions'!$E$9)&lt;('LPP Act Financing Plan'!AS21*1000000),100%,('LPP Act Financing Plan'!AS21*1000000)/('Construction Timing'!$I$23*'Underlying Assumptions'!$E$9))</f>
        <v>0.69175770562947503</v>
      </c>
      <c r="AT24" s="490">
        <f>IF(('Construction Timing'!$I23*'Underlying Assumptions'!$E$9)&lt;('LPP Act Financing Plan'!AT21*1000000),100%,('LPP Act Financing Plan'!AT21*1000000)/('Construction Timing'!$I$23*'Underlying Assumptions'!$E$9))</f>
        <v>0.73599643189501074</v>
      </c>
      <c r="AU24" s="490">
        <f>IF(('Construction Timing'!$I23*'Underlying Assumptions'!$E$9)&lt;('LPP Act Financing Plan'!AU21*1000000),100%,('LPP Act Financing Plan'!AU21*1000000)/('Construction Timing'!$I$23*'Underlying Assumptions'!$E$9))</f>
        <v>0.78149596185911474</v>
      </c>
      <c r="AV24" s="490">
        <f>IF(('Construction Timing'!$I23*'Underlying Assumptions'!$E$9)&lt;('LPP Act Financing Plan'!AV21*1000000),100%,('LPP Act Financing Plan'!AV21*1000000)/('Construction Timing'!$I$23*'Underlying Assumptions'!$E$9))</f>
        <v>0.82829222842719552</v>
      </c>
      <c r="AW24" s="490">
        <f>IF(('Construction Timing'!$I23*'Underlying Assumptions'!$E$9)&lt;('LPP Act Financing Plan'!AW21*1000000),100%,('LPP Act Financing Plan'!AW21*1000000)/('Construction Timing'!$I$23*'Underlying Assumptions'!$E$9))</f>
        <v>0.8764221885924669</v>
      </c>
      <c r="AX24" s="490">
        <f>IF(('Construction Timing'!$I23*'Underlying Assumptions'!$E$9)&lt;('LPP Act Financing Plan'!AX21*1000000),100%,('LPP Act Financing Plan'!AX21*1000000)/('Construction Timing'!$I$23*'Underlying Assumptions'!$E$9))</f>
        <v>0.92592385262244803</v>
      </c>
      <c r="AY24" s="490">
        <f>IF(('Construction Timing'!$I23*'Underlying Assumptions'!$E$9)&lt;('LPP Act Financing Plan'!AY21*1000000),100%,('LPP Act Financing Plan'!AY21*1000000)/('Construction Timing'!$I$23*'Underlying Assumptions'!$E$9))</f>
        <v>0.97683631407728411</v>
      </c>
      <c r="AZ24" s="490">
        <f>IF(('Construction Timing'!$I23*'Underlying Assumptions'!$E$9)&lt;('LPP Act Financing Plan'!AZ21*1000000),100%,('LPP Act Financing Plan'!AZ21*1000000)/('Construction Timing'!$I$23*'Underlying Assumptions'!$E$9))</f>
        <v>1</v>
      </c>
      <c r="BA24" s="490">
        <f>IF(('Construction Timing'!$I23*'Underlying Assumptions'!$E$9)&lt;('LPP Act Financing Plan'!BA21*1000000),100%,('LPP Act Financing Plan'!BA21*1000000)/('Construction Timing'!$I$23*'Underlying Assumptions'!$E$9))</f>
        <v>1</v>
      </c>
      <c r="BB24" s="490">
        <f>IF(('Construction Timing'!$I23*'Underlying Assumptions'!$E$9)&lt;('LPP Act Financing Plan'!BB21*1000000),100%,('LPP Act Financing Plan'!BB21*1000000)/('Construction Timing'!$I$23*'Underlying Assumptions'!$E$9))</f>
        <v>1</v>
      </c>
      <c r="BC24" s="490">
        <f>IF(('Construction Timing'!$I23*'Underlying Assumptions'!$E$9)&lt;('LPP Act Financing Plan'!BC21*1000000),100%,('LPP Act Financing Plan'!BC21*1000000)/('Construction Timing'!$I$23*'Underlying Assumptions'!$E$9))</f>
        <v>1</v>
      </c>
      <c r="BD24" s="490">
        <f>IF(('Construction Timing'!$I23*'Underlying Assumptions'!$E$9)&lt;('LPP Act Financing Plan'!BD21*1000000),100%,('LPP Act Financing Plan'!BD21*1000000)/('Construction Timing'!$I$23*'Underlying Assumptions'!$E$9))</f>
        <v>1</v>
      </c>
      <c r="BE24" s="490">
        <f>IF(('Construction Timing'!$I23*'Underlying Assumptions'!$E$9)&lt;('LPP Act Financing Plan'!BE21*1000000),100%,('LPP Act Financing Plan'!BE21*1000000)/('Construction Timing'!$I$23*'Underlying Assumptions'!$E$9))</f>
        <v>1</v>
      </c>
      <c r="BF24" s="490">
        <f>IF(('Construction Timing'!$I23*'Underlying Assumptions'!$E$9)&lt;('LPP Act Financing Plan'!BF21*1000000),100%,('LPP Act Financing Plan'!BF21*1000000)/('Construction Timing'!$I$23*'Underlying Assumptions'!$E$9))</f>
        <v>1</v>
      </c>
      <c r="BG24" s="490">
        <f>IF(('Construction Timing'!$I23*'Underlying Assumptions'!$E$9)&lt;('LPP Act Financing Plan'!BG21*1000000),100%,('LPP Act Financing Plan'!BG21*1000000)/('Construction Timing'!$I$23*'Underlying Assumptions'!$E$9))</f>
        <v>1</v>
      </c>
      <c r="BH24" s="490">
        <f>IF(('Construction Timing'!$I23*'Underlying Assumptions'!$E$9)&lt;('LPP Act Financing Plan'!BH21*1000000),100%,('LPP Act Financing Plan'!BH21*1000000)/('Construction Timing'!$I$23*'Underlying Assumptions'!$E$9))</f>
        <v>1</v>
      </c>
      <c r="BI24" s="490">
        <f>IF(('Construction Timing'!$I23*'Underlying Assumptions'!$E$9)&lt;('LPP Act Financing Plan'!BI21*1000000),100%,('LPP Act Financing Plan'!BI21*1000000)/('Construction Timing'!$I$23*'Underlying Assumptions'!$E$9))</f>
        <v>1</v>
      </c>
      <c r="BJ24" s="490">
        <f>IF(('Construction Timing'!$I23*'Underlying Assumptions'!$E$9)&lt;('LPP Act Financing Plan'!BJ21*1000000),100%,('LPP Act Financing Plan'!BJ21*1000000)/('Construction Timing'!$I$23*'Underlying Assumptions'!$E$9))</f>
        <v>1</v>
      </c>
      <c r="BK24" s="490">
        <f>IF(('Construction Timing'!$I23*'Underlying Assumptions'!$E$9)&lt;('LPP Act Financing Plan'!BK21*1000000),100%,('LPP Act Financing Plan'!BK21*1000000)/('Construction Timing'!$I$23*'Underlying Assumptions'!$E$9))</f>
        <v>1</v>
      </c>
      <c r="BL24" s="490">
        <f>IF(('Construction Timing'!$I23*'Underlying Assumptions'!$E$9)&lt;('LPP Act Financing Plan'!BL21*1000000),100%,('LPP Act Financing Plan'!BL21*1000000)/('Construction Timing'!$I$23*'Underlying Assumptions'!$E$9))</f>
        <v>1</v>
      </c>
      <c r="BM24" s="490">
        <f>IF(('Construction Timing'!$I23*'Underlying Assumptions'!$E$9)&lt;('LPP Act Financing Plan'!BM21*1000000),100%,('LPP Act Financing Plan'!BM21*1000000)/('Construction Timing'!$I$23*'Underlying Assumptions'!$E$9))</f>
        <v>1</v>
      </c>
      <c r="BN24" s="490">
        <f>IF(('Construction Timing'!$I23*'Underlying Assumptions'!$E$9)&lt;('LPP Act Financing Plan'!BN21*1000000),100%,('LPP Act Financing Plan'!BN21*1000000)/('Construction Timing'!$I$23*'Underlying Assumptions'!$E$9))</f>
        <v>1</v>
      </c>
      <c r="BO24" s="490">
        <f>IF(('Construction Timing'!$I23*'Underlying Assumptions'!$E$9)&lt;('LPP Act Financing Plan'!BO21*1000000),100%,('LPP Act Financing Plan'!BO21*1000000)/('Construction Timing'!$I$23*'Underlying Assumptions'!$E$9))</f>
        <v>1</v>
      </c>
      <c r="BP24" s="490">
        <f>IF(('Construction Timing'!$I23*'Underlying Assumptions'!$E$9)&lt;('LPP Act Financing Plan'!BP21*1000000),100%,('LPP Act Financing Plan'!BP21*1000000)/('Construction Timing'!$I$23*'Underlying Assumptions'!$E$9))</f>
        <v>1</v>
      </c>
      <c r="BQ24" s="490">
        <f>IF(('Construction Timing'!$I23*'Underlying Assumptions'!$E$9)&lt;('LPP Act Financing Plan'!BQ21*1000000),100%,('LPP Act Financing Plan'!BQ21*1000000)/('Construction Timing'!$I$23*'Underlying Assumptions'!$E$9))</f>
        <v>1</v>
      </c>
      <c r="BR24" s="490">
        <f>IF(('Construction Timing'!$I23*'Underlying Assumptions'!$E$9)&lt;('LPP Act Financing Plan'!BR21*1000000),100%,('LPP Act Financing Plan'!BR21*1000000)/('Construction Timing'!$I$23*'Underlying Assumptions'!$E$9))</f>
        <v>1</v>
      </c>
      <c r="BS24" s="490">
        <f>IF(('Construction Timing'!$I23*'Underlying Assumptions'!$E$9)&lt;('LPP Act Financing Plan'!BS21*1000000),100%,('LPP Act Financing Plan'!BS21*1000000)/('Construction Timing'!$I$23*'Underlying Assumptions'!$E$9))</f>
        <v>1</v>
      </c>
      <c r="BT24" s="490">
        <f>IF(('Construction Timing'!$I23*'Underlying Assumptions'!$E$9)&lt;('LPP Act Financing Plan'!BT21*1000000),100%,('LPP Act Financing Plan'!BT21*1000000)/('Construction Timing'!$I$23*'Underlying Assumptions'!$E$9))</f>
        <v>1</v>
      </c>
      <c r="BU24" s="490">
        <f>IF(('Construction Timing'!$I23*'Underlying Assumptions'!$E$9)&lt;('LPP Act Financing Plan'!BU21*1000000),100%,('LPP Act Financing Plan'!BU21*1000000)/('Construction Timing'!$I$23*'Underlying Assumptions'!$E$9))</f>
        <v>1</v>
      </c>
    </row>
    <row r="26" spans="1:104" x14ac:dyDescent="0.25">
      <c r="A26" s="472" t="s">
        <v>275</v>
      </c>
    </row>
    <row r="27" spans="1:104" s="410" customFormat="1" x14ac:dyDescent="0.25">
      <c r="A27" s="762"/>
      <c r="B27" s="410" t="s">
        <v>518</v>
      </c>
      <c r="E27" s="763">
        <f>IF(E3='Construction Timing'!$I$20,'LPP Cost'!$I$20/'Construction Timing'!$I$17,0)</f>
        <v>0</v>
      </c>
      <c r="F27" s="763">
        <f t="shared" ref="F27:U27" si="167">E32</f>
        <v>-50000000</v>
      </c>
      <c r="G27" s="763">
        <f t="shared" si="167"/>
        <v>-50000000</v>
      </c>
      <c r="H27" s="763">
        <f t="shared" si="167"/>
        <v>-50000000</v>
      </c>
      <c r="I27" s="763">
        <f t="shared" si="167"/>
        <v>-50000000</v>
      </c>
      <c r="J27" s="763">
        <f t="shared" si="167"/>
        <v>-50000000</v>
      </c>
      <c r="K27" s="763">
        <f t="shared" si="167"/>
        <v>-50000000</v>
      </c>
      <c r="L27" s="763">
        <f t="shared" si="167"/>
        <v>-50000000</v>
      </c>
      <c r="M27" s="763">
        <f t="shared" si="167"/>
        <v>-50000000</v>
      </c>
      <c r="N27" s="763">
        <f t="shared" si="167"/>
        <v>-50000000</v>
      </c>
      <c r="O27" s="763">
        <f t="shared" si="167"/>
        <v>-50000000</v>
      </c>
      <c r="P27" s="763">
        <f t="shared" si="167"/>
        <v>-50000000</v>
      </c>
      <c r="Q27" s="763">
        <f t="shared" si="167"/>
        <v>-50000000</v>
      </c>
      <c r="R27" s="763">
        <f t="shared" si="167"/>
        <v>-50000000</v>
      </c>
      <c r="S27" s="763">
        <f t="shared" si="167"/>
        <v>-50000000</v>
      </c>
      <c r="T27" s="763">
        <f t="shared" si="167"/>
        <v>-50000000</v>
      </c>
      <c r="U27" s="763">
        <f t="shared" si="167"/>
        <v>-50000000</v>
      </c>
      <c r="V27" s="763">
        <f t="shared" ref="V27:CG27" si="168">U32</f>
        <v>-50000000</v>
      </c>
      <c r="W27" s="763">
        <f t="shared" si="168"/>
        <v>919000000</v>
      </c>
      <c r="X27" s="763">
        <f t="shared" si="168"/>
        <v>908241314.52445686</v>
      </c>
      <c r="Y27" s="763">
        <f t="shared" si="168"/>
        <v>887505841.67475259</v>
      </c>
      <c r="Z27" s="763">
        <f t="shared" si="168"/>
        <v>866239497.15817773</v>
      </c>
      <c r="AA27" s="763">
        <f t="shared" si="168"/>
        <v>844428863.67754328</v>
      </c>
      <c r="AB27" s="763">
        <f t="shared" si="168"/>
        <v>822060190.35023153</v>
      </c>
      <c r="AC27" s="763">
        <f t="shared" si="168"/>
        <v>799119384.59202647</v>
      </c>
      <c r="AD27" s="763">
        <f t="shared" si="168"/>
        <v>775592003.80927718</v>
      </c>
      <c r="AE27" s="763">
        <f t="shared" si="168"/>
        <v>751463246.89506197</v>
      </c>
      <c r="AF27" s="763">
        <f t="shared" si="168"/>
        <v>726717945.5249275</v>
      </c>
      <c r="AG27" s="763">
        <f t="shared" si="168"/>
        <v>701340555.24769068</v>
      </c>
      <c r="AH27" s="763">
        <f t="shared" si="168"/>
        <v>675315146.36668372</v>
      </c>
      <c r="AI27" s="763">
        <f t="shared" si="168"/>
        <v>648625394.60674524</v>
      </c>
      <c r="AJ27" s="763">
        <f t="shared" si="168"/>
        <v>621254571.56213927</v>
      </c>
      <c r="AK27" s="763">
        <f t="shared" si="168"/>
        <v>593185534.92050719</v>
      </c>
      <c r="AL27" s="763">
        <f t="shared" si="168"/>
        <v>564400718.45783567</v>
      </c>
      <c r="AM27" s="763">
        <f t="shared" si="168"/>
        <v>534882121.79933846</v>
      </c>
      <c r="AN27" s="763">
        <f t="shared" si="168"/>
        <v>504611299.94102472</v>
      </c>
      <c r="AO27" s="763">
        <f t="shared" si="168"/>
        <v>470263974.85652119</v>
      </c>
      <c r="AP27" s="763">
        <f t="shared" si="168"/>
        <v>434937751.00710887</v>
      </c>
      <c r="AQ27" s="763">
        <f t="shared" si="168"/>
        <v>398604729.77798826</v>
      </c>
      <c r="AR27" s="763">
        <f t="shared" si="168"/>
        <v>361236217.44383788</v>
      </c>
      <c r="AS27" s="763">
        <f t="shared" si="168"/>
        <v>322802702.50816399</v>
      </c>
      <c r="AT27" s="763">
        <f t="shared" si="168"/>
        <v>283273832.39682335</v>
      </c>
      <c r="AU27" s="763">
        <f t="shared" si="168"/>
        <v>242618389.48731008</v>
      </c>
      <c r="AV27" s="763">
        <f t="shared" si="168"/>
        <v>200804266.45487511</v>
      </c>
      <c r="AW27" s="763">
        <f t="shared" si="168"/>
        <v>157798440.91601604</v>
      </c>
      <c r="AX27" s="763">
        <f t="shared" si="168"/>
        <v>113566949.3492993</v>
      </c>
      <c r="AY27" s="763">
        <f t="shared" si="168"/>
        <v>68074860.272931412</v>
      </c>
      <c r="AZ27" s="763">
        <f t="shared" si="168"/>
        <v>21286246.657886565</v>
      </c>
      <c r="BA27" s="763">
        <f t="shared" si="168"/>
        <v>-1180.7050893418491</v>
      </c>
      <c r="BB27" s="763">
        <f t="shared" si="168"/>
        <v>-1180.7050893418491</v>
      </c>
      <c r="BC27" s="763">
        <f t="shared" si="168"/>
        <v>-1180.7050893418491</v>
      </c>
      <c r="BD27" s="763">
        <f t="shared" si="168"/>
        <v>-1180.7050893418491</v>
      </c>
      <c r="BE27" s="763">
        <f t="shared" si="168"/>
        <v>-1180.7050893418491</v>
      </c>
      <c r="BF27" s="763">
        <f t="shared" si="168"/>
        <v>-1180.7050893418491</v>
      </c>
      <c r="BG27" s="763">
        <f t="shared" si="168"/>
        <v>-1180.7050893418491</v>
      </c>
      <c r="BH27" s="763">
        <f t="shared" si="168"/>
        <v>-1180.7050893418491</v>
      </c>
      <c r="BI27" s="763">
        <f t="shared" si="168"/>
        <v>-1180.7050893418491</v>
      </c>
      <c r="BJ27" s="763">
        <f t="shared" si="168"/>
        <v>-1180.7050893418491</v>
      </c>
      <c r="BK27" s="763">
        <f t="shared" si="168"/>
        <v>-1180.7050893418491</v>
      </c>
      <c r="BL27" s="763">
        <f t="shared" si="168"/>
        <v>-1180.7050893418491</v>
      </c>
      <c r="BM27" s="763">
        <f t="shared" si="168"/>
        <v>-1180.7050893418491</v>
      </c>
      <c r="BN27" s="763">
        <f t="shared" si="168"/>
        <v>-1180.7050893418491</v>
      </c>
      <c r="BO27" s="763">
        <f t="shared" si="168"/>
        <v>-1180.7050893418491</v>
      </c>
      <c r="BP27" s="763">
        <f t="shared" si="168"/>
        <v>-1180.7050893418491</v>
      </c>
      <c r="BQ27" s="763">
        <f t="shared" si="168"/>
        <v>-1180.7050893418491</v>
      </c>
      <c r="BR27" s="763">
        <f t="shared" si="168"/>
        <v>-1180.7050893418491</v>
      </c>
      <c r="BS27" s="763">
        <f t="shared" si="168"/>
        <v>-1180.7050893418491</v>
      </c>
      <c r="BT27" s="763">
        <f t="shared" si="168"/>
        <v>-1180.7050893418491</v>
      </c>
      <c r="BU27" s="763">
        <f t="shared" si="168"/>
        <v>-1180.7050893418491</v>
      </c>
      <c r="BV27" s="763">
        <f t="shared" si="168"/>
        <v>-1180.7050893418491</v>
      </c>
      <c r="BW27" s="763">
        <f t="shared" si="168"/>
        <v>-1180.7050893418491</v>
      </c>
      <c r="BX27" s="763">
        <f t="shared" si="168"/>
        <v>-1180.7050893418491</v>
      </c>
      <c r="BY27" s="763">
        <f t="shared" si="168"/>
        <v>-1180.7050893418491</v>
      </c>
      <c r="BZ27" s="763">
        <f t="shared" si="168"/>
        <v>-1180.7050893418491</v>
      </c>
      <c r="CA27" s="763">
        <f t="shared" si="168"/>
        <v>-1180.7050893418491</v>
      </c>
      <c r="CB27" s="763">
        <f t="shared" si="168"/>
        <v>-1180.7050893418491</v>
      </c>
      <c r="CC27" s="763">
        <f t="shared" si="168"/>
        <v>-1180.7050893418491</v>
      </c>
      <c r="CD27" s="763">
        <f t="shared" si="168"/>
        <v>-1180.7050893418491</v>
      </c>
      <c r="CE27" s="763">
        <f t="shared" si="168"/>
        <v>-1180.7050893418491</v>
      </c>
      <c r="CF27" s="763">
        <f t="shared" si="168"/>
        <v>-1180.7050893418491</v>
      </c>
      <c r="CG27" s="763">
        <f t="shared" si="168"/>
        <v>-1180.7050893418491</v>
      </c>
      <c r="CH27" s="763">
        <f t="shared" ref="CH27:CZ27" si="169">CG32</f>
        <v>-1180.7050893418491</v>
      </c>
      <c r="CI27" s="763">
        <f t="shared" si="169"/>
        <v>-1180.7050893418491</v>
      </c>
      <c r="CJ27" s="763">
        <f t="shared" si="169"/>
        <v>-1180.7050893418491</v>
      </c>
      <c r="CK27" s="763">
        <f t="shared" si="169"/>
        <v>-1180.7050893418491</v>
      </c>
      <c r="CL27" s="763">
        <f t="shared" si="169"/>
        <v>-1180.7050893418491</v>
      </c>
      <c r="CM27" s="763">
        <f t="shared" si="169"/>
        <v>-1180.7050893418491</v>
      </c>
      <c r="CN27" s="763">
        <f t="shared" si="169"/>
        <v>-1180.7050893418491</v>
      </c>
      <c r="CO27" s="763">
        <f t="shared" si="169"/>
        <v>-1180.7050893418491</v>
      </c>
      <c r="CP27" s="763">
        <f t="shared" si="169"/>
        <v>-1180.7050893418491</v>
      </c>
      <c r="CQ27" s="763">
        <f t="shared" si="169"/>
        <v>-1180.7050893418491</v>
      </c>
      <c r="CR27" s="763">
        <f t="shared" si="169"/>
        <v>-1180.7050893418491</v>
      </c>
      <c r="CS27" s="763">
        <f t="shared" si="169"/>
        <v>-1180.7050893418491</v>
      </c>
      <c r="CT27" s="763">
        <f t="shared" si="169"/>
        <v>-1180.7050893418491</v>
      </c>
      <c r="CU27" s="763">
        <f t="shared" si="169"/>
        <v>-1180.7050893418491</v>
      </c>
      <c r="CV27" s="763">
        <f t="shared" si="169"/>
        <v>-1180.7050893418491</v>
      </c>
      <c r="CW27" s="763">
        <f t="shared" si="169"/>
        <v>-1180.7050893418491</v>
      </c>
      <c r="CX27" s="763">
        <f t="shared" si="169"/>
        <v>-1180.7050893418491</v>
      </c>
      <c r="CY27" s="763">
        <f t="shared" si="169"/>
        <v>-1180.7050893418491</v>
      </c>
      <c r="CZ27" s="763">
        <f t="shared" si="169"/>
        <v>-1180.7050893418491</v>
      </c>
    </row>
    <row r="28" spans="1:104" s="410" customFormat="1" x14ac:dyDescent="0.25">
      <c r="B28" s="410" t="s">
        <v>314</v>
      </c>
      <c r="E28" s="763">
        <f>IF(E4='Construction Timing'!$I$20,'LPP Cost'!$I$20/'Construction Timing'!$I$17,0)</f>
        <v>0</v>
      </c>
      <c r="F28" s="763">
        <f>IF(AND(F4&gt;='Construction Timing'!$I$20,F4&lt;('Construction Timing'!$I$20+'Construction Timing'!$I$17))=TRUE,'LPP Cost'!$I$17/'Construction Timing'!$I$17,0)</f>
        <v>0</v>
      </c>
      <c r="G28" s="763">
        <f>IF(AND(G4&gt;='Construction Timing'!$I$20,G4&lt;('Construction Timing'!$I$20+'Construction Timing'!$I$17))=TRUE,'LPP Cost'!$I$17/'Construction Timing'!$I$17,0)</f>
        <v>0</v>
      </c>
      <c r="H28" s="763">
        <f>IF(AND(H4&gt;='Construction Timing'!$I$20,H4&lt;('Construction Timing'!$I$20+'Construction Timing'!$I$17))=TRUE,'LPP Cost'!$I$17/'Construction Timing'!$I$17,0)</f>
        <v>0</v>
      </c>
      <c r="I28" s="763">
        <f>IF(AND(I4&gt;='Construction Timing'!$I$20,I4&lt;('Construction Timing'!$I$20+'Construction Timing'!$I$17))=TRUE,'LPP Cost'!$I$17/'Construction Timing'!$I$17,0)</f>
        <v>0</v>
      </c>
      <c r="J28" s="763">
        <f>IF(AND(J4&gt;='Construction Timing'!$I$20,J4&lt;('Construction Timing'!$I$20+'Construction Timing'!$I$17))=TRUE,'LPP Cost'!$I$17/'Construction Timing'!$I$17,0)</f>
        <v>0</v>
      </c>
      <c r="K28" s="763">
        <f>IF(AND(K4&gt;='Construction Timing'!$I$20,K4&lt;('Construction Timing'!$I$20+'Construction Timing'!$I$17))=TRUE,'LPP Cost'!$I$17/'Construction Timing'!$I$17,0)</f>
        <v>0</v>
      </c>
      <c r="L28" s="763">
        <f>IF(AND(L4&gt;='Construction Timing'!$I$20,L4&lt;('Construction Timing'!$I$20+'Construction Timing'!$I$17))=TRUE,'LPP Cost'!$I$17/'Construction Timing'!$I$17,0)</f>
        <v>0</v>
      </c>
      <c r="M28" s="763">
        <f>IF(AND(M4&gt;='Construction Timing'!$I$20,M4&lt;('Construction Timing'!$I$20+'Construction Timing'!$I$17))=TRUE,'LPP Cost'!$I$17/'Construction Timing'!$I$17,0)</f>
        <v>0</v>
      </c>
      <c r="N28" s="763">
        <f>IF(AND(N4&gt;='Construction Timing'!$I$20,N4&lt;('Construction Timing'!$I$20+'Construction Timing'!$I$17))=TRUE,'LPP Cost'!$I$17/'Construction Timing'!$I$17,0)</f>
        <v>0</v>
      </c>
      <c r="O28" s="763">
        <f>IF(AND(O4&gt;='Construction Timing'!$I$20,O4&lt;('Construction Timing'!$I$20+'Construction Timing'!$I$17))=TRUE,'LPP Cost'!$I$17/'Construction Timing'!$I$17,0)</f>
        <v>0</v>
      </c>
      <c r="P28" s="763">
        <f>IF(AND(P4&gt;='Construction Timing'!$I$20,P4&lt;('Construction Timing'!$I$20+'Construction Timing'!$I$17))=TRUE,'LPP Cost'!$I$17/'Construction Timing'!$I$17,0)</f>
        <v>0</v>
      </c>
      <c r="Q28" s="763">
        <f>IF(AND(Q4&gt;='Construction Timing'!$I$20,Q4&lt;('Construction Timing'!$I$20+'Construction Timing'!$I$17))=TRUE,'LPP Cost'!$I$17/'Construction Timing'!$I$17,0)</f>
        <v>0</v>
      </c>
      <c r="R28" s="763">
        <f>IF(AND(R4&gt;='Construction Timing'!$I$20,R4&lt;('Construction Timing'!$I$20+'Construction Timing'!$I$17))=TRUE,'LPP Cost'!$I$17/'Construction Timing'!$I$17,0)</f>
        <v>0</v>
      </c>
      <c r="S28" s="763">
        <f>IF(AND(S4&gt;='Construction Timing'!$I$20,S4&lt;('Construction Timing'!$I$20+'Construction Timing'!$I$17))=TRUE,'LPP Cost'!$I$17/'Construction Timing'!$I$17,0)</f>
        <v>0</v>
      </c>
      <c r="T28" s="763">
        <f>IF(AND(T4&gt;='Construction Timing'!$I$20,T4&lt;('Construction Timing'!$I$20+'Construction Timing'!$I$17))=TRUE,'LPP Cost'!$I$17/'Construction Timing'!$I$17,0)</f>
        <v>0</v>
      </c>
      <c r="U28" s="763">
        <f>IF(AND(U4&gt;='Construction Timing'!$I$20,U4&lt;('Construction Timing'!$I$20+'Construction Timing'!$I$17))=TRUE,'LPP Cost'!$I$17/'Construction Timing'!$I$17,0)</f>
        <v>0</v>
      </c>
      <c r="V28" s="787">
        <f>IF(AND(V4&gt;='Construction Timing'!$I$20,V4&lt;('Construction Timing'!$I$20+'Construction Timing'!$I$17))=TRUE,'LPP Cost'!$I$17/'Construction Timing'!$I$17,0)</f>
        <v>969000000</v>
      </c>
      <c r="W28" s="763">
        <f>IF(AND(W4&gt;='Construction Timing'!$I$20,W4&lt;('Construction Timing'!$I$20+'Construction Timing'!$I$17))=TRUE,'LPP Cost'!$I$17/'Construction Timing'!$I$17,0)</f>
        <v>0</v>
      </c>
      <c r="X28" s="763">
        <f>IF(AND(X4&gt;='Construction Timing'!$I$20,X4&lt;('Construction Timing'!$I$20+'Construction Timing'!$I$17))=TRUE,'LPP Cost'!$I$17/'Construction Timing'!$I$17,0)</f>
        <v>0</v>
      </c>
      <c r="Y28" s="763">
        <f>IF(AND(Y4&gt;='Construction Timing'!$I$20,Y4&lt;('Construction Timing'!$I$20+'Construction Timing'!$I$17))=TRUE,'LPP Cost'!$I$17/'Construction Timing'!$I$17,0)</f>
        <v>0</v>
      </c>
      <c r="Z28" s="763">
        <f>IF(AND(Z4&gt;='Construction Timing'!$I$20,Z4&lt;('Construction Timing'!$I$20+'Construction Timing'!$I$17))=TRUE,'LPP Cost'!$I$17/'Construction Timing'!$I$17,0)</f>
        <v>0</v>
      </c>
      <c r="AA28" s="763">
        <f>IF(AND(AA4&gt;='Construction Timing'!$I$20,AA4&lt;('Construction Timing'!$I$20+'Construction Timing'!$I$17))=TRUE,'LPP Cost'!$I$17/'Construction Timing'!$I$17,0)</f>
        <v>0</v>
      </c>
      <c r="AB28" s="763">
        <f>IF(AND(AB4&gt;='Construction Timing'!$I$20,AB4&lt;('Construction Timing'!$I$20+'Construction Timing'!$I$17))=TRUE,'LPP Cost'!$I$17/'Construction Timing'!$I$17,0)</f>
        <v>0</v>
      </c>
      <c r="AC28" s="763">
        <f>IF(AND(AC4&gt;='Construction Timing'!$I$20,AC4&lt;('Construction Timing'!$I$20+'Construction Timing'!$I$17))=TRUE,'LPP Cost'!$I$17/'Construction Timing'!$I$17,0)</f>
        <v>0</v>
      </c>
      <c r="AD28" s="763">
        <f>IF(AND(AD4&gt;='Construction Timing'!$I$20,AD4&lt;('Construction Timing'!$I$20+'Construction Timing'!$I$17))=TRUE,'LPP Cost'!$I$17/'Construction Timing'!$I$17,0)</f>
        <v>0</v>
      </c>
      <c r="AE28" s="763">
        <f>IF(AND(AE4&gt;='Construction Timing'!$I$20,AE4&lt;('Construction Timing'!$I$20+'Construction Timing'!$I$17))=TRUE,'LPP Cost'!$I$17/'Construction Timing'!$I$17,0)</f>
        <v>0</v>
      </c>
      <c r="AF28" s="763">
        <f>IF(AND(AF4&gt;='Construction Timing'!$I$20,AF4&lt;('Construction Timing'!$I$20+'Construction Timing'!$I$17))=TRUE,'LPP Cost'!$I$17/'Construction Timing'!$I$17,0)</f>
        <v>0</v>
      </c>
      <c r="AG28" s="763">
        <f>IF(AND(AG4&gt;='Construction Timing'!$I$20,AG4&lt;('Construction Timing'!$I$20+'Construction Timing'!$I$17))=TRUE,'LPP Cost'!$I$17/'Construction Timing'!$I$17,0)</f>
        <v>0</v>
      </c>
      <c r="AH28" s="763">
        <f>IF(AND(AH4&gt;='Construction Timing'!$I$20,AH4&lt;('Construction Timing'!$I$20+'Construction Timing'!$I$17))=TRUE,'LPP Cost'!$I$17/'Construction Timing'!$I$17,0)</f>
        <v>0</v>
      </c>
      <c r="AI28" s="763">
        <f>IF(AND(AI4&gt;='Construction Timing'!$I$20,AI4&lt;('Construction Timing'!$I$20+'Construction Timing'!$I$17))=TRUE,'LPP Cost'!$I$17/'Construction Timing'!$I$17,0)</f>
        <v>0</v>
      </c>
      <c r="AJ28" s="763">
        <f>IF(AND(AJ4&gt;='Construction Timing'!$I$20,AJ4&lt;('Construction Timing'!$I$20+'Construction Timing'!$I$17))=TRUE,'LPP Cost'!$I$17/'Construction Timing'!$I$17,0)</f>
        <v>0</v>
      </c>
      <c r="AK28" s="763">
        <f>IF(AND(AK4&gt;='Construction Timing'!$I$20,AK4&lt;('Construction Timing'!$I$20+'Construction Timing'!$I$17))=TRUE,'LPP Cost'!$I$17/'Construction Timing'!$I$17,0)</f>
        <v>0</v>
      </c>
      <c r="AL28" s="763">
        <f>IF(AND(AL4&gt;='Construction Timing'!$I$20,AL4&lt;('Construction Timing'!$I$20+'Construction Timing'!$I$17))=TRUE,'LPP Cost'!$I$17/'Construction Timing'!$I$17,0)</f>
        <v>0</v>
      </c>
      <c r="AM28" s="763">
        <f>IF(AND(AM4&gt;='Construction Timing'!$I$20,AM4&lt;('Construction Timing'!$I$20+'Construction Timing'!$I$17))=TRUE,'LPP Cost'!$I$17/'Construction Timing'!$I$17,0)</f>
        <v>0</v>
      </c>
      <c r="AN28" s="763">
        <f>IF(AND(AN4&gt;='Construction Timing'!$I$20,AN4&lt;('Construction Timing'!$I$20+'Construction Timing'!$I$17))=TRUE,'LPP Cost'!$I$17/'Construction Timing'!$I$17,0)</f>
        <v>0</v>
      </c>
      <c r="AO28" s="763">
        <f>IF(AND(AO4&gt;='Construction Timing'!$I$20,AO4&lt;('Construction Timing'!$I$20+'Construction Timing'!$I$17))=TRUE,'LPP Cost'!$I$17/'Construction Timing'!$I$17,0)</f>
        <v>0</v>
      </c>
      <c r="AP28" s="763">
        <f>IF(AND(AP4&gt;='Construction Timing'!$I$20,AP4&lt;('Construction Timing'!$I$20+'Construction Timing'!$I$17))=TRUE,'LPP Cost'!$I$17/'Construction Timing'!$I$17,0)</f>
        <v>0</v>
      </c>
      <c r="AQ28" s="763">
        <f>IF(AND(AQ4&gt;='Construction Timing'!$I$20,AQ4&lt;('Construction Timing'!$I$20+'Construction Timing'!$I$17))=TRUE,'LPP Cost'!$I$17/'Construction Timing'!$I$17,0)</f>
        <v>0</v>
      </c>
      <c r="AR28" s="763">
        <f>IF(AND(AR4&gt;='Construction Timing'!$I$20,AR4&lt;('Construction Timing'!$I$20+'Construction Timing'!$I$17))=TRUE,'LPP Cost'!$I$17/'Construction Timing'!$I$17,0)</f>
        <v>0</v>
      </c>
      <c r="AS28" s="763">
        <f>IF(AND(AS4&gt;='Construction Timing'!$I$20,AS4&lt;('Construction Timing'!$I$20+'Construction Timing'!$I$17))=TRUE,'LPP Cost'!$I$17/'Construction Timing'!$I$17,0)</f>
        <v>0</v>
      </c>
      <c r="AT28" s="763">
        <f>IF(AND(AT4&gt;='Construction Timing'!$I$20,AT4&lt;('Construction Timing'!$I$20+'Construction Timing'!$I$17))=TRUE,'LPP Cost'!$I$17/'Construction Timing'!$I$17,0)</f>
        <v>0</v>
      </c>
      <c r="AU28" s="763">
        <f>IF(AND(AU4&gt;='Construction Timing'!$I$20,AU4&lt;('Construction Timing'!$I$20+'Construction Timing'!$I$17))=TRUE,'LPP Cost'!$I$17/'Construction Timing'!$I$17,0)</f>
        <v>0</v>
      </c>
      <c r="AV28" s="763">
        <f>IF(AND(AV4&gt;='Construction Timing'!$I$20,AV4&lt;('Construction Timing'!$I$20+'Construction Timing'!$I$17))=TRUE,'LPP Cost'!$I$17/'Construction Timing'!$I$17,0)</f>
        <v>0</v>
      </c>
      <c r="AW28" s="763">
        <f>IF(AND(AW4&gt;='Construction Timing'!$I$20,AW4&lt;('Construction Timing'!$I$20+'Construction Timing'!$I$17))=TRUE,'LPP Cost'!$I$17/'Construction Timing'!$I$17,0)</f>
        <v>0</v>
      </c>
      <c r="AX28" s="763">
        <f>IF(AND(AX4&gt;='Construction Timing'!$I$20,AX4&lt;('Construction Timing'!$I$20+'Construction Timing'!$I$17))=TRUE,'LPP Cost'!$I$17/'Construction Timing'!$I$17,0)</f>
        <v>0</v>
      </c>
      <c r="AY28" s="763">
        <f>IF(AND(AY4&gt;='Construction Timing'!$I$20,AY4&lt;('Construction Timing'!$I$20+'Construction Timing'!$I$17))=TRUE,'LPP Cost'!$I$17/'Construction Timing'!$I$17,0)</f>
        <v>0</v>
      </c>
      <c r="AZ28" s="763">
        <f>IF(AND(AZ4&gt;='Construction Timing'!$I$20,AZ4&lt;('Construction Timing'!$I$20+'Construction Timing'!$I$17))=TRUE,'LPP Cost'!$I$17/'Construction Timing'!$I$17,0)</f>
        <v>0</v>
      </c>
      <c r="BA28" s="763">
        <f>IF(AND(BA4&gt;='Construction Timing'!$I$20,BA4&lt;('Construction Timing'!$I$20+'Construction Timing'!$I$17))=TRUE,'LPP Cost'!$I$17/'Construction Timing'!$I$17,0)</f>
        <v>0</v>
      </c>
      <c r="BB28" s="763">
        <f>IF(AND(BB4&gt;='Construction Timing'!$I$20,BB4&lt;('Construction Timing'!$I$20+'Construction Timing'!$I$17))=TRUE,'LPP Cost'!$I$17/'Construction Timing'!$I$17,0)</f>
        <v>0</v>
      </c>
      <c r="BC28" s="763">
        <f>IF(AND(BC4&gt;='Construction Timing'!$I$20,BC4&lt;('Construction Timing'!$I$20+'Construction Timing'!$I$17))=TRUE,'LPP Cost'!$I$17/'Construction Timing'!$I$17,0)</f>
        <v>0</v>
      </c>
      <c r="BD28" s="763">
        <f>IF(AND(BD4&gt;='Construction Timing'!$I$20,BD4&lt;('Construction Timing'!$I$20+'Construction Timing'!$I$17))=TRUE,'LPP Cost'!$I$17/'Construction Timing'!$I$17,0)</f>
        <v>0</v>
      </c>
      <c r="BE28" s="763">
        <f>IF(AND(BE4&gt;='Construction Timing'!$I$20,BE4&lt;('Construction Timing'!$I$20+'Construction Timing'!$I$17))=TRUE,'LPP Cost'!$I$17/'Construction Timing'!$I$17,0)</f>
        <v>0</v>
      </c>
      <c r="BF28" s="763">
        <f>IF(AND(BF4&gt;='Construction Timing'!$I$20,BF4&lt;('Construction Timing'!$I$20+'Construction Timing'!$I$17))=TRUE,'LPP Cost'!$I$17/'Construction Timing'!$I$17,0)</f>
        <v>0</v>
      </c>
      <c r="BG28" s="763">
        <f>IF(AND(BG4&gt;='Construction Timing'!$I$20,BG4&lt;('Construction Timing'!$I$20+'Construction Timing'!$I$17))=TRUE,'LPP Cost'!$I$17/'Construction Timing'!$I$17,0)</f>
        <v>0</v>
      </c>
      <c r="BH28" s="763">
        <f>IF(AND(BH4&gt;='Construction Timing'!$I$20,BH4&lt;('Construction Timing'!$I$20+'Construction Timing'!$I$17))=TRUE,'LPP Cost'!$I$17/'Construction Timing'!$I$17,0)</f>
        <v>0</v>
      </c>
      <c r="BI28" s="763">
        <f>IF(AND(BI4&gt;='Construction Timing'!$I$20,BI4&lt;('Construction Timing'!$I$20+'Construction Timing'!$I$17))=TRUE,'LPP Cost'!$I$17/'Construction Timing'!$I$17,0)</f>
        <v>0</v>
      </c>
      <c r="BJ28" s="763">
        <f>IF(AND(BJ4&gt;='Construction Timing'!$I$20,BJ4&lt;('Construction Timing'!$I$20+'Construction Timing'!$I$17))=TRUE,'LPP Cost'!$I$17/'Construction Timing'!$I$17,0)</f>
        <v>0</v>
      </c>
      <c r="BK28" s="763">
        <f>IF(AND(BK4&gt;='Construction Timing'!$I$20,BK4&lt;('Construction Timing'!$I$20+'Construction Timing'!$I$17))=TRUE,'LPP Cost'!$I$17/'Construction Timing'!$I$17,0)</f>
        <v>0</v>
      </c>
      <c r="BL28" s="763">
        <f>IF(AND(BL4&gt;='Construction Timing'!$I$20,BL4&lt;('Construction Timing'!$I$20+'Construction Timing'!$I$17))=TRUE,'LPP Cost'!$I$17/'Construction Timing'!$I$17,0)</f>
        <v>0</v>
      </c>
      <c r="BM28" s="763">
        <f>IF(AND(BM4&gt;='Construction Timing'!$I$20,BM4&lt;('Construction Timing'!$I$20+'Construction Timing'!$I$17))=TRUE,'LPP Cost'!$I$17/'Construction Timing'!$I$17,0)</f>
        <v>0</v>
      </c>
      <c r="BN28" s="763">
        <f>IF(AND(BN4&gt;='Construction Timing'!$I$20,BN4&lt;('Construction Timing'!$I$20+'Construction Timing'!$I$17))=TRUE,'LPP Cost'!$I$17/'Construction Timing'!$I$17,0)</f>
        <v>0</v>
      </c>
      <c r="BO28" s="763">
        <f>IF(AND(BO4&gt;='Construction Timing'!$I$20,BO4&lt;('Construction Timing'!$I$20+'Construction Timing'!$I$17))=TRUE,'LPP Cost'!$I$17/'Construction Timing'!$I$17,0)</f>
        <v>0</v>
      </c>
      <c r="BP28" s="763">
        <f>IF(AND(BP4&gt;='Construction Timing'!$I$20,BP4&lt;('Construction Timing'!$I$20+'Construction Timing'!$I$17))=TRUE,'LPP Cost'!$I$17/'Construction Timing'!$I$17,0)</f>
        <v>0</v>
      </c>
      <c r="BQ28" s="763">
        <f>IF(AND(BQ4&gt;='Construction Timing'!$I$20,BQ4&lt;('Construction Timing'!$I$20+'Construction Timing'!$I$17))=TRUE,'LPP Cost'!$I$17/'Construction Timing'!$I$17,0)</f>
        <v>0</v>
      </c>
      <c r="BR28" s="763">
        <f>IF(AND(BR4&gt;='Construction Timing'!$I$20,BR4&lt;('Construction Timing'!$I$20+'Construction Timing'!$I$17))=TRUE,'LPP Cost'!$I$17/'Construction Timing'!$I$17,0)</f>
        <v>0</v>
      </c>
      <c r="BS28" s="763">
        <f>IF(AND(BS4&gt;='Construction Timing'!$I$20,BS4&lt;('Construction Timing'!$I$20+'Construction Timing'!$I$17))=TRUE,'LPP Cost'!$I$17/'Construction Timing'!$I$17,0)</f>
        <v>0</v>
      </c>
      <c r="BT28" s="763">
        <f>IF(AND(BT4&gt;='Construction Timing'!$I$20,BT4&lt;('Construction Timing'!$I$20+'Construction Timing'!$I$17))=TRUE,'LPP Cost'!$I$17/'Construction Timing'!$I$17,0)</f>
        <v>0</v>
      </c>
      <c r="BU28" s="763">
        <f>IF(AND(BU4&gt;='Construction Timing'!$I$20,BU4&lt;('Construction Timing'!$I$20+'Construction Timing'!$I$17))=TRUE,'LPP Cost'!$I$17/'Construction Timing'!$I$17,0)</f>
        <v>0</v>
      </c>
      <c r="BV28" s="763">
        <f>IF(AND(BV4&gt;='Construction Timing'!$I$20,BV4&lt;('Construction Timing'!$I$20+'Construction Timing'!$I$17))=TRUE,'LPP Cost'!$I$17/'Construction Timing'!$I$17,0)</f>
        <v>0</v>
      </c>
      <c r="BW28" s="763">
        <f>IF(AND(BW4&gt;='Construction Timing'!$I$20,BW4&lt;('Construction Timing'!$I$20+'Construction Timing'!$I$17))=TRUE,'LPP Cost'!$I$17/'Construction Timing'!$I$17,0)</f>
        <v>0</v>
      </c>
      <c r="BX28" s="763">
        <f>IF(AND(BX4&gt;='Construction Timing'!$I$20,BX4&lt;('Construction Timing'!$I$20+'Construction Timing'!$I$17))=TRUE,'LPP Cost'!$I$17/'Construction Timing'!$I$17,0)</f>
        <v>0</v>
      </c>
      <c r="BY28" s="763">
        <f>IF(AND(BY4&gt;='Construction Timing'!$I$20,BY4&lt;('Construction Timing'!$I$20+'Construction Timing'!$I$17))=TRUE,'LPP Cost'!$I$17/'Construction Timing'!$I$17,0)</f>
        <v>0</v>
      </c>
      <c r="BZ28" s="763">
        <f>IF(AND(BZ4&gt;='Construction Timing'!$I$20,BZ4&lt;('Construction Timing'!$I$20+'Construction Timing'!$I$17))=TRUE,'LPP Cost'!$I$17/'Construction Timing'!$I$17,0)</f>
        <v>0</v>
      </c>
      <c r="CA28" s="763">
        <f>IF(AND(CA4&gt;='Construction Timing'!$I$20,CA4&lt;('Construction Timing'!$I$20+'Construction Timing'!$I$17))=TRUE,'LPP Cost'!$I$17/'Construction Timing'!$I$17,0)</f>
        <v>0</v>
      </c>
      <c r="CB28" s="763">
        <f>IF(AND(CB4&gt;='Construction Timing'!$I$20,CB4&lt;('Construction Timing'!$I$20+'Construction Timing'!$I$17))=TRUE,'LPP Cost'!$I$17/'Construction Timing'!$I$17,0)</f>
        <v>0</v>
      </c>
      <c r="CC28" s="763">
        <f>IF(AND(CC4&gt;='Construction Timing'!$I$20,CC4&lt;('Construction Timing'!$I$20+'Construction Timing'!$I$17))=TRUE,'LPP Cost'!$I$17/'Construction Timing'!$I$17,0)</f>
        <v>0</v>
      </c>
      <c r="CD28" s="763">
        <f>IF(AND(CD4&gt;='Construction Timing'!$I$20,CD4&lt;('Construction Timing'!$I$20+'Construction Timing'!$I$17))=TRUE,'LPP Cost'!$I$17/'Construction Timing'!$I$17,0)</f>
        <v>0</v>
      </c>
      <c r="CE28" s="763">
        <f>IF(AND(CE4&gt;='Construction Timing'!$I$20,CE4&lt;('Construction Timing'!$I$20+'Construction Timing'!$I$17))=TRUE,'LPP Cost'!$I$17/'Construction Timing'!$I$17,0)</f>
        <v>0</v>
      </c>
      <c r="CF28" s="763">
        <f>IF(AND(CF4&gt;='Construction Timing'!$I$20,CF4&lt;('Construction Timing'!$I$20+'Construction Timing'!$I$17))=TRUE,'LPP Cost'!$I$17/'Construction Timing'!$I$17,0)</f>
        <v>0</v>
      </c>
      <c r="CG28" s="763">
        <f>IF(AND(CG4&gt;='Construction Timing'!$I$20,CG4&lt;('Construction Timing'!$I$20+'Construction Timing'!$I$17))=TRUE,'LPP Cost'!$I$17/'Construction Timing'!$I$17,0)</f>
        <v>0</v>
      </c>
      <c r="CH28" s="763">
        <f>IF(AND(CH4&gt;='Construction Timing'!$I$20,CH4&lt;('Construction Timing'!$I$20+'Construction Timing'!$I$17))=TRUE,'LPP Cost'!$I$17/'Construction Timing'!$I$17,0)</f>
        <v>0</v>
      </c>
      <c r="CI28" s="763">
        <f>IF(AND(CI4&gt;='Construction Timing'!$I$20,CI4&lt;('Construction Timing'!$I$20+'Construction Timing'!$I$17))=TRUE,'LPP Cost'!$I$17/'Construction Timing'!$I$17,0)</f>
        <v>0</v>
      </c>
      <c r="CJ28" s="763">
        <f>IF(AND(CJ4&gt;='Construction Timing'!$I$20,CJ4&lt;('Construction Timing'!$I$20+'Construction Timing'!$I$17))=TRUE,'LPP Cost'!$I$17/'Construction Timing'!$I$17,0)</f>
        <v>0</v>
      </c>
      <c r="CK28" s="763">
        <f>IF(AND(CK4&gt;='Construction Timing'!$I$20,CK4&lt;('Construction Timing'!$I$20+'Construction Timing'!$I$17))=TRUE,'LPP Cost'!$I$17/'Construction Timing'!$I$17,0)</f>
        <v>0</v>
      </c>
      <c r="CL28" s="763">
        <f>IF(AND(CL4&gt;='Construction Timing'!$I$20,CL4&lt;('Construction Timing'!$I$20+'Construction Timing'!$I$17))=TRUE,'LPP Cost'!$I$17/'Construction Timing'!$I$17,0)</f>
        <v>0</v>
      </c>
      <c r="CM28" s="763">
        <f>IF(AND(CM4&gt;='Construction Timing'!$I$20,CM4&lt;('Construction Timing'!$I$20+'Construction Timing'!$I$17))=TRUE,'LPP Cost'!$I$17/'Construction Timing'!$I$17,0)</f>
        <v>0</v>
      </c>
      <c r="CN28" s="763">
        <f>IF(AND(CN4&gt;='Construction Timing'!$I$20,CN4&lt;('Construction Timing'!$I$20+'Construction Timing'!$I$17))=TRUE,'LPP Cost'!$I$17/'Construction Timing'!$I$17,0)</f>
        <v>0</v>
      </c>
      <c r="CO28" s="763">
        <f>IF(AND(CO4&gt;='Construction Timing'!$I$20,CO4&lt;('Construction Timing'!$I$20+'Construction Timing'!$I$17))=TRUE,'LPP Cost'!$I$17/'Construction Timing'!$I$17,0)</f>
        <v>0</v>
      </c>
      <c r="CP28" s="763">
        <f>IF(AND(CP4&gt;='Construction Timing'!$I$20,CP4&lt;('Construction Timing'!$I$20+'Construction Timing'!$I$17))=TRUE,'LPP Cost'!$I$17/'Construction Timing'!$I$17,0)</f>
        <v>0</v>
      </c>
      <c r="CQ28" s="763">
        <f>IF(AND(CQ4&gt;='Construction Timing'!$I$20,CQ4&lt;('Construction Timing'!$I$20+'Construction Timing'!$I$17))=TRUE,'LPP Cost'!$I$17/'Construction Timing'!$I$17,0)</f>
        <v>0</v>
      </c>
      <c r="CR28" s="763">
        <f>IF(AND(CR4&gt;='Construction Timing'!$I$20,CR4&lt;('Construction Timing'!$I$20+'Construction Timing'!$I$17))=TRUE,'LPP Cost'!$I$17/'Construction Timing'!$I$17,0)</f>
        <v>0</v>
      </c>
      <c r="CS28" s="763">
        <f>IF(AND(CS4&gt;='Construction Timing'!$I$20,CS4&lt;('Construction Timing'!$I$20+'Construction Timing'!$I$17))=TRUE,'LPP Cost'!$I$17/'Construction Timing'!$I$17,0)</f>
        <v>0</v>
      </c>
      <c r="CT28" s="763">
        <f>IF(AND(CT4&gt;='Construction Timing'!$I$20,CT4&lt;('Construction Timing'!$I$20+'Construction Timing'!$I$17))=TRUE,'LPP Cost'!$I$17/'Construction Timing'!$I$17,0)</f>
        <v>0</v>
      </c>
      <c r="CU28" s="763">
        <f>IF(AND(CU4&gt;='Construction Timing'!$I$20,CU4&lt;('Construction Timing'!$I$20+'Construction Timing'!$I$17))=TRUE,'LPP Cost'!$I$17/'Construction Timing'!$I$17,0)</f>
        <v>0</v>
      </c>
      <c r="CV28" s="763">
        <f>IF(AND(CV4&gt;='Construction Timing'!$I$20,CV4&lt;('Construction Timing'!$I$20+'Construction Timing'!$I$17))=TRUE,'LPP Cost'!$I$17/'Construction Timing'!$I$17,0)</f>
        <v>0</v>
      </c>
      <c r="CW28" s="763">
        <f>IF(AND(CW4&gt;='Construction Timing'!$I$20,CW4&lt;('Construction Timing'!$I$20+'Construction Timing'!$I$17))=TRUE,'LPP Cost'!$I$17/'Construction Timing'!$I$17,0)</f>
        <v>0</v>
      </c>
      <c r="CX28" s="763">
        <f>IF(AND(CX4&gt;='Construction Timing'!$I$20,CX4&lt;('Construction Timing'!$I$20+'Construction Timing'!$I$17))=TRUE,'LPP Cost'!$I$17/'Construction Timing'!$I$17,0)</f>
        <v>0</v>
      </c>
      <c r="CY28" s="763">
        <f>IF(AND(CY4&gt;='Construction Timing'!$I$20,CY4&lt;('Construction Timing'!$I$20+'Construction Timing'!$I$17))=TRUE,'LPP Cost'!$I$17/'Construction Timing'!$I$17,0)</f>
        <v>0</v>
      </c>
      <c r="CZ28" s="763">
        <f>IF(AND(CZ4&gt;='Construction Timing'!$I$20,CZ4&lt;('Construction Timing'!$I$20+'Construction Timing'!$I$17))=TRUE,'LPP Cost'!$I$17/'Construction Timing'!$I$17,0)</f>
        <v>0</v>
      </c>
    </row>
    <row r="29" spans="1:104" s="410" customFormat="1" x14ac:dyDescent="0.25">
      <c r="B29" s="410" t="s">
        <v>296</v>
      </c>
      <c r="E29" s="763">
        <f>IF(E28=0,0,C29+E28)</f>
        <v>0</v>
      </c>
      <c r="F29" s="763">
        <f t="shared" ref="F29:U29" si="170">IF(F28=0,0,E29+F28)</f>
        <v>0</v>
      </c>
      <c r="G29" s="763">
        <f t="shared" si="170"/>
        <v>0</v>
      </c>
      <c r="H29" s="763">
        <f t="shared" si="170"/>
        <v>0</v>
      </c>
      <c r="I29" s="763">
        <f t="shared" si="170"/>
        <v>0</v>
      </c>
      <c r="J29" s="763">
        <f t="shared" si="170"/>
        <v>0</v>
      </c>
      <c r="K29" s="763">
        <f t="shared" si="170"/>
        <v>0</v>
      </c>
      <c r="L29" s="763">
        <f t="shared" si="170"/>
        <v>0</v>
      </c>
      <c r="M29" s="763">
        <f t="shared" si="170"/>
        <v>0</v>
      </c>
      <c r="N29" s="763">
        <f t="shared" si="170"/>
        <v>0</v>
      </c>
      <c r="O29" s="763">
        <f t="shared" si="170"/>
        <v>0</v>
      </c>
      <c r="P29" s="763">
        <f t="shared" si="170"/>
        <v>0</v>
      </c>
      <c r="Q29" s="763">
        <f t="shared" si="170"/>
        <v>0</v>
      </c>
      <c r="R29" s="763">
        <f t="shared" si="170"/>
        <v>0</v>
      </c>
      <c r="S29" s="763">
        <f t="shared" si="170"/>
        <v>0</v>
      </c>
      <c r="T29" s="763">
        <f t="shared" si="170"/>
        <v>0</v>
      </c>
      <c r="U29" s="763">
        <f t="shared" si="170"/>
        <v>0</v>
      </c>
      <c r="V29" s="763">
        <f t="shared" ref="V29" si="171">IF(V28=0,0,U29+V28)</f>
        <v>969000000</v>
      </c>
      <c r="W29" s="763">
        <f t="shared" ref="W29" si="172">IF(W28=0,0,V29+W28)</f>
        <v>0</v>
      </c>
      <c r="X29" s="763">
        <f t="shared" ref="X29" si="173">IF(X28=0,0,W29+X28)</f>
        <v>0</v>
      </c>
      <c r="Y29" s="763">
        <f t="shared" ref="Y29" si="174">IF(Y28=0,0,X29+Y28)</f>
        <v>0</v>
      </c>
      <c r="Z29" s="763">
        <f t="shared" ref="Z29" si="175">IF(Z28=0,0,Y29+Z28)</f>
        <v>0</v>
      </c>
      <c r="AA29" s="763">
        <f t="shared" ref="AA29" si="176">IF(AA28=0,0,Z29+AA28)</f>
        <v>0</v>
      </c>
      <c r="AB29" s="763">
        <f t="shared" ref="AB29" si="177">IF(AB28=0,0,AA29+AB28)</f>
        <v>0</v>
      </c>
      <c r="AC29" s="763">
        <f t="shared" ref="AC29" si="178">IF(AC28=0,0,AB29+AC28)</f>
        <v>0</v>
      </c>
      <c r="AD29" s="763">
        <f t="shared" ref="AD29" si="179">IF(AD28=0,0,AC29+AD28)</f>
        <v>0</v>
      </c>
      <c r="AE29" s="763">
        <f t="shared" ref="AE29" si="180">IF(AE28=0,0,AD29+AE28)</f>
        <v>0</v>
      </c>
      <c r="AF29" s="763">
        <f t="shared" ref="AF29" si="181">IF(AF28=0,0,AE29+AF28)</f>
        <v>0</v>
      </c>
      <c r="AG29" s="763">
        <f t="shared" ref="AG29" si="182">IF(AG28=0,0,AF29+AG28)</f>
        <v>0</v>
      </c>
      <c r="AH29" s="763">
        <f t="shared" ref="AH29" si="183">IF(AH28=0,0,AG29+AH28)</f>
        <v>0</v>
      </c>
      <c r="AI29" s="763">
        <f t="shared" ref="AI29" si="184">IF(AI28=0,0,AH29+AI28)</f>
        <v>0</v>
      </c>
      <c r="AJ29" s="763">
        <f t="shared" ref="AJ29" si="185">IF(AJ28=0,0,AI29+AJ28)</f>
        <v>0</v>
      </c>
      <c r="AK29" s="763">
        <f t="shared" ref="AK29" si="186">IF(AK28=0,0,AJ29+AK28)</f>
        <v>0</v>
      </c>
      <c r="AL29" s="763">
        <f t="shared" ref="AL29" si="187">IF(AL28=0,0,AK29+AL28)</f>
        <v>0</v>
      </c>
      <c r="AM29" s="763">
        <f t="shared" ref="AM29" si="188">IF(AM28=0,0,AL29+AM28)</f>
        <v>0</v>
      </c>
      <c r="AN29" s="763">
        <f t="shared" ref="AN29" si="189">IF(AN28=0,0,AM29+AN28)</f>
        <v>0</v>
      </c>
      <c r="AO29" s="763">
        <f t="shared" ref="AO29" si="190">IF(AO28=0,0,AN29+AO28)</f>
        <v>0</v>
      </c>
      <c r="AP29" s="763">
        <f t="shared" ref="AP29" si="191">IF(AP28=0,0,AO29+AP28)</f>
        <v>0</v>
      </c>
      <c r="AQ29" s="763">
        <f t="shared" ref="AQ29" si="192">IF(AQ28=0,0,AP29+AQ28)</f>
        <v>0</v>
      </c>
      <c r="AR29" s="763">
        <f t="shared" ref="AR29" si="193">IF(AR28=0,0,AQ29+AR28)</f>
        <v>0</v>
      </c>
      <c r="AS29" s="763">
        <f t="shared" ref="AS29" si="194">IF(AS28=0,0,AR29+AS28)</f>
        <v>0</v>
      </c>
      <c r="AT29" s="763">
        <f t="shared" ref="AT29" si="195">IF(AT28=0,0,AS29+AT28)</f>
        <v>0</v>
      </c>
      <c r="AU29" s="763">
        <f t="shared" ref="AU29" si="196">IF(AU28=0,0,AT29+AU28)</f>
        <v>0</v>
      </c>
      <c r="AV29" s="763">
        <f t="shared" ref="AV29" si="197">IF(AV28=0,0,AU29+AV28)</f>
        <v>0</v>
      </c>
      <c r="AW29" s="763">
        <f t="shared" ref="AW29" si="198">IF(AW28=0,0,AV29+AW28)</f>
        <v>0</v>
      </c>
      <c r="AX29" s="763">
        <f t="shared" ref="AX29" si="199">IF(AX28=0,0,AW29+AX28)</f>
        <v>0</v>
      </c>
      <c r="AY29" s="763">
        <f t="shared" ref="AY29" si="200">IF(AY28=0,0,AX29+AY28)</f>
        <v>0</v>
      </c>
      <c r="AZ29" s="763">
        <f t="shared" ref="AZ29" si="201">IF(AZ28=0,0,AY29+AZ28)</f>
        <v>0</v>
      </c>
      <c r="BA29" s="763">
        <f t="shared" ref="BA29" si="202">IF(BA28=0,0,AZ29+BA28)</f>
        <v>0</v>
      </c>
      <c r="BB29" s="763">
        <f t="shared" ref="BB29" si="203">IF(BB28=0,0,BA29+BB28)</f>
        <v>0</v>
      </c>
      <c r="BC29" s="763">
        <f t="shared" ref="BC29" si="204">IF(BC28=0,0,BB29+BC28)</f>
        <v>0</v>
      </c>
      <c r="BD29" s="763">
        <f t="shared" ref="BD29" si="205">IF(BD28=0,0,BC29+BD28)</f>
        <v>0</v>
      </c>
      <c r="BE29" s="763">
        <f t="shared" ref="BE29" si="206">IF(BE28=0,0,BD29+BE28)</f>
        <v>0</v>
      </c>
      <c r="BF29" s="763">
        <f t="shared" ref="BF29" si="207">IF(BF28=0,0,BE29+BF28)</f>
        <v>0</v>
      </c>
      <c r="BG29" s="763">
        <f t="shared" ref="BG29" si="208">IF(BG28=0,0,BF29+BG28)</f>
        <v>0</v>
      </c>
      <c r="BH29" s="763">
        <f t="shared" ref="BH29" si="209">IF(BH28=0,0,BG29+BH28)</f>
        <v>0</v>
      </c>
      <c r="BI29" s="763">
        <f t="shared" ref="BI29" si="210">IF(BI28=0,0,BH29+BI28)</f>
        <v>0</v>
      </c>
      <c r="BJ29" s="763">
        <f t="shared" ref="BJ29" si="211">IF(BJ28=0,0,BI29+BJ28)</f>
        <v>0</v>
      </c>
      <c r="BK29" s="763">
        <f t="shared" ref="BK29" si="212">IF(BK28=0,0,BJ29+BK28)</f>
        <v>0</v>
      </c>
      <c r="BL29" s="763">
        <f t="shared" ref="BL29" si="213">IF(BL28=0,0,BK29+BL28)</f>
        <v>0</v>
      </c>
      <c r="BM29" s="763">
        <f t="shared" ref="BM29" si="214">IF(BM28=0,0,BL29+BM28)</f>
        <v>0</v>
      </c>
      <c r="BN29" s="763">
        <f t="shared" ref="BN29" si="215">IF(BN28=0,0,BM29+BN28)</f>
        <v>0</v>
      </c>
      <c r="BO29" s="763">
        <f t="shared" ref="BO29" si="216">IF(BO28=0,0,BN29+BO28)</f>
        <v>0</v>
      </c>
      <c r="BP29" s="763">
        <f t="shared" ref="BP29" si="217">IF(BP28=0,0,BO29+BP28)</f>
        <v>0</v>
      </c>
      <c r="BQ29" s="763">
        <f t="shared" ref="BQ29" si="218">IF(BQ28=0,0,BP29+BQ28)</f>
        <v>0</v>
      </c>
      <c r="BR29" s="763">
        <f t="shared" ref="BR29" si="219">IF(BR28=0,0,BQ29+BR28)</f>
        <v>0</v>
      </c>
      <c r="BS29" s="763">
        <f t="shared" ref="BS29" si="220">IF(BS28=0,0,BR29+BS28)</f>
        <v>0</v>
      </c>
      <c r="BT29" s="763">
        <f t="shared" ref="BT29" si="221">IF(BT28=0,0,BS29+BT28)</f>
        <v>0</v>
      </c>
      <c r="BU29" s="763">
        <f t="shared" ref="BU29" si="222">IF(BU28=0,0,BT29+BU28)</f>
        <v>0</v>
      </c>
      <c r="BV29" s="763">
        <f t="shared" ref="BV29" si="223">IF(BV28=0,0,BU29+BV28)</f>
        <v>0</v>
      </c>
      <c r="BW29" s="763">
        <f t="shared" ref="BW29" si="224">IF(BW28=0,0,BV29+BW28)</f>
        <v>0</v>
      </c>
      <c r="BX29" s="763">
        <f t="shared" ref="BX29" si="225">IF(BX28=0,0,BW29+BX28)</f>
        <v>0</v>
      </c>
      <c r="BY29" s="763">
        <f t="shared" ref="BY29" si="226">IF(BY28=0,0,BX29+BY28)</f>
        <v>0</v>
      </c>
      <c r="BZ29" s="763">
        <f t="shared" ref="BZ29" si="227">IF(BZ28=0,0,BY29+BZ28)</f>
        <v>0</v>
      </c>
      <c r="CA29" s="763">
        <f t="shared" ref="CA29" si="228">IF(CA28=0,0,BZ29+CA28)</f>
        <v>0</v>
      </c>
      <c r="CB29" s="763">
        <f t="shared" ref="CB29" si="229">IF(CB28=0,0,CA29+CB28)</f>
        <v>0</v>
      </c>
      <c r="CC29" s="763">
        <f t="shared" ref="CC29" si="230">IF(CC28=0,0,CB29+CC28)</f>
        <v>0</v>
      </c>
      <c r="CD29" s="763">
        <f t="shared" ref="CD29" si="231">IF(CD28=0,0,CC29+CD28)</f>
        <v>0</v>
      </c>
      <c r="CE29" s="763">
        <f t="shared" ref="CE29" si="232">IF(CE28=0,0,CD29+CE28)</f>
        <v>0</v>
      </c>
      <c r="CF29" s="763">
        <f t="shared" ref="CF29" si="233">IF(CF28=0,0,CE29+CF28)</f>
        <v>0</v>
      </c>
      <c r="CG29" s="763">
        <f t="shared" ref="CG29" si="234">IF(CG28=0,0,CF29+CG28)</f>
        <v>0</v>
      </c>
      <c r="CH29" s="763">
        <f t="shared" ref="CH29" si="235">IF(CH28=0,0,CG29+CH28)</f>
        <v>0</v>
      </c>
      <c r="CI29" s="763">
        <f t="shared" ref="CI29" si="236">IF(CI28=0,0,CH29+CI28)</f>
        <v>0</v>
      </c>
      <c r="CJ29" s="763">
        <f t="shared" ref="CJ29" si="237">IF(CJ28=0,0,CI29+CJ28)</f>
        <v>0</v>
      </c>
      <c r="CK29" s="763">
        <f t="shared" ref="CK29" si="238">IF(CK28=0,0,CJ29+CK28)</f>
        <v>0</v>
      </c>
      <c r="CL29" s="763">
        <f t="shared" ref="CL29" si="239">IF(CL28=0,0,CK29+CL28)</f>
        <v>0</v>
      </c>
      <c r="CM29" s="763">
        <f t="shared" ref="CM29" si="240">IF(CM28=0,0,CL29+CM28)</f>
        <v>0</v>
      </c>
      <c r="CN29" s="763">
        <f t="shared" ref="CN29" si="241">IF(CN28=0,0,CM29+CN28)</f>
        <v>0</v>
      </c>
      <c r="CO29" s="763">
        <f t="shared" ref="CO29" si="242">IF(CO28=0,0,CN29+CO28)</f>
        <v>0</v>
      </c>
      <c r="CP29" s="763">
        <f t="shared" ref="CP29" si="243">IF(CP28=0,0,CO29+CP28)</f>
        <v>0</v>
      </c>
      <c r="CQ29" s="763">
        <f t="shared" ref="CQ29" si="244">IF(CQ28=0,0,CP29+CQ28)</f>
        <v>0</v>
      </c>
      <c r="CR29" s="763">
        <f t="shared" ref="CR29" si="245">IF(CR28=0,0,CQ29+CR28)</f>
        <v>0</v>
      </c>
      <c r="CS29" s="763">
        <f t="shared" ref="CS29" si="246">IF(CS28=0,0,CR29+CS28)</f>
        <v>0</v>
      </c>
      <c r="CT29" s="763">
        <f t="shared" ref="CT29" si="247">IF(CT28=0,0,CS29+CT28)</f>
        <v>0</v>
      </c>
      <c r="CU29" s="763">
        <f t="shared" ref="CU29" si="248">IF(CU28=0,0,CT29+CU28)</f>
        <v>0</v>
      </c>
      <c r="CV29" s="763">
        <f t="shared" ref="CV29" si="249">IF(CV28=0,0,CU29+CV28)</f>
        <v>0</v>
      </c>
      <c r="CW29" s="763">
        <f t="shared" ref="CW29" si="250">IF(CW28=0,0,CV29+CW28)</f>
        <v>0</v>
      </c>
      <c r="CX29" s="763">
        <f t="shared" ref="CX29" si="251">IF(CX28=0,0,CW29+CX28)</f>
        <v>0</v>
      </c>
      <c r="CY29" s="763">
        <f t="shared" ref="CY29" si="252">IF(CY28=0,0,CX29+CY28)</f>
        <v>0</v>
      </c>
      <c r="CZ29" s="763">
        <f t="shared" ref="CZ29" si="253">IF(CZ28=0,0,CY29+CZ28)</f>
        <v>0</v>
      </c>
    </row>
    <row r="30" spans="1:104" s="410" customFormat="1" x14ac:dyDescent="0.25">
      <c r="B30" s="410" t="s">
        <v>304</v>
      </c>
      <c r="E30" s="763">
        <f>IF('Initial Capital Payment'!$C$7="Yes",IF('LPP Act Financing Plan'!E$4='Initial Capital Payment'!$C$12,'Initial Capital Payment'!$C$10,0),0)</f>
        <v>50000000</v>
      </c>
      <c r="F30" s="763">
        <f>IF('Initial Capital Payment'!$C$7="Yes",IF('LPP Act Financing Plan'!F$4='Initial Capital Payment'!$C$12,'Initial Capital Payment'!$C$10,0),0)</f>
        <v>0</v>
      </c>
      <c r="G30" s="763">
        <f>IF('Initial Capital Payment'!$C$7="Yes",IF('LPP Act Financing Plan'!G$4='Initial Capital Payment'!$C$12,'Initial Capital Payment'!$C$10,0),0)</f>
        <v>0</v>
      </c>
      <c r="H30" s="763">
        <f>IF('Initial Capital Payment'!$C$7="Yes",IF('LPP Act Financing Plan'!H$4='Initial Capital Payment'!$C$12,'Initial Capital Payment'!$C$10,0),0)</f>
        <v>0</v>
      </c>
      <c r="I30" s="763">
        <f>IF('Initial Capital Payment'!$C$7="Yes",IF('LPP Act Financing Plan'!I$4='Initial Capital Payment'!$C$12,'Initial Capital Payment'!$C$10,0),0)</f>
        <v>0</v>
      </c>
      <c r="J30" s="763">
        <f>IF('Initial Capital Payment'!$C$7="Yes",IF('LPP Act Financing Plan'!J$4='Initial Capital Payment'!$C$12,'Initial Capital Payment'!$C$10,0),0)</f>
        <v>0</v>
      </c>
      <c r="K30" s="763">
        <f>IF('Initial Capital Payment'!$C$7="Yes",IF('LPP Act Financing Plan'!K$4='Initial Capital Payment'!$C$12,'Initial Capital Payment'!$C$10,0),0)</f>
        <v>0</v>
      </c>
      <c r="L30" s="763">
        <f>IF('Initial Capital Payment'!$C$7="Yes",IF('LPP Act Financing Plan'!L$4='Initial Capital Payment'!$C$12,'Initial Capital Payment'!$C$10,0),0)</f>
        <v>0</v>
      </c>
      <c r="M30" s="763">
        <f>IF('Initial Capital Payment'!$C$7="Yes",IF('LPP Act Financing Plan'!M$4='Initial Capital Payment'!$C$12,'Initial Capital Payment'!$C$10,0),0)</f>
        <v>0</v>
      </c>
      <c r="N30" s="763">
        <f>IF('Initial Capital Payment'!$C$7="Yes",IF('LPP Act Financing Plan'!N$4='Initial Capital Payment'!$C$12,'Initial Capital Payment'!$C$10,0),0)</f>
        <v>0</v>
      </c>
      <c r="O30" s="763">
        <f>IF('Initial Capital Payment'!$C$7="Yes",IF('LPP Act Financing Plan'!O$4='Initial Capital Payment'!$C$12,'Initial Capital Payment'!$C$10,0),0)</f>
        <v>0</v>
      </c>
      <c r="P30" s="763">
        <f>IF('Initial Capital Payment'!$C$7="Yes",IF('LPP Act Financing Plan'!P$4='Initial Capital Payment'!$C$12,'Initial Capital Payment'!$C$10,0),0)</f>
        <v>0</v>
      </c>
      <c r="Q30" s="763">
        <f>IF('Initial Capital Payment'!$C$7="Yes",IF('LPP Act Financing Plan'!Q$4='Initial Capital Payment'!$C$12,'Initial Capital Payment'!$C$10,0),0)</f>
        <v>0</v>
      </c>
      <c r="R30" s="763">
        <f>IF('Initial Capital Payment'!$C$7="Yes",IF('LPP Act Financing Plan'!R$4='Initial Capital Payment'!$C$12,'Initial Capital Payment'!$C$10,0),0)</f>
        <v>0</v>
      </c>
      <c r="S30" s="763">
        <f>IF('Initial Capital Payment'!$C$7="Yes",IF('LPP Act Financing Plan'!S$4='Initial Capital Payment'!$C$12,'Initial Capital Payment'!$C$10,0),0)</f>
        <v>0</v>
      </c>
      <c r="T30" s="763">
        <f>IF('Initial Capital Payment'!$C$7="Yes",IF('LPP Act Financing Plan'!T$4='Initial Capital Payment'!$C$12,'Initial Capital Payment'!$C$10,0),0)</f>
        <v>0</v>
      </c>
      <c r="U30" s="763">
        <f>IF('Initial Capital Payment'!$C$7="Yes",IF('LPP Act Financing Plan'!U$4='Initial Capital Payment'!$C$12,'Initial Capital Payment'!$C$10,0),0)</f>
        <v>0</v>
      </c>
      <c r="V30" s="763">
        <f>IF('Initial Capital Payment'!$C$7="Yes",IF('LPP Act Financing Plan'!V$4='Initial Capital Payment'!$C$12,'Initial Capital Payment'!$C$10,0),0)</f>
        <v>0</v>
      </c>
      <c r="W30" s="763">
        <f>IF('Initial Capital Payment'!$C$7="Yes",IF('LPP Act Financing Plan'!W$4='Initial Capital Payment'!$C$12,'Initial Capital Payment'!$C$10,0),0)</f>
        <v>0</v>
      </c>
      <c r="X30" s="763">
        <f>IF('Initial Capital Payment'!$C$7="Yes",IF('LPP Act Financing Plan'!X$4='Initial Capital Payment'!$C$12,'Initial Capital Payment'!$C$10,0),0)</f>
        <v>0</v>
      </c>
      <c r="Y30" s="763">
        <f>IF('Initial Capital Payment'!$C$7="Yes",IF('LPP Act Financing Plan'!Y$4='Initial Capital Payment'!$C$12,'Initial Capital Payment'!$C$10,0),0)</f>
        <v>0</v>
      </c>
      <c r="Z30" s="763">
        <f>IF('Initial Capital Payment'!$C$7="Yes",IF('LPP Act Financing Plan'!Z$4='Initial Capital Payment'!$C$12,'Initial Capital Payment'!$C$10,0),0)</f>
        <v>0</v>
      </c>
      <c r="AA30" s="763">
        <f>IF('Initial Capital Payment'!$C$7="Yes",IF('LPP Act Financing Plan'!AA$4='Initial Capital Payment'!$C$12,'Initial Capital Payment'!$C$10,0),0)</f>
        <v>0</v>
      </c>
      <c r="AB30" s="763">
        <f>IF('Initial Capital Payment'!$C$7="Yes",IF('LPP Act Financing Plan'!AB$4='Initial Capital Payment'!$C$12,'Initial Capital Payment'!$C$10,0),0)</f>
        <v>0</v>
      </c>
      <c r="AC30" s="763">
        <f>IF('Initial Capital Payment'!$C$7="Yes",IF('LPP Act Financing Plan'!AC$4='Initial Capital Payment'!$C$12,'Initial Capital Payment'!$C$10,0),0)</f>
        <v>0</v>
      </c>
      <c r="AD30" s="763">
        <f>IF('Initial Capital Payment'!$C$7="Yes",IF('LPP Act Financing Plan'!AD$4='Initial Capital Payment'!$C$12,'Initial Capital Payment'!$C$10,0),0)</f>
        <v>0</v>
      </c>
      <c r="AE30" s="763">
        <f>IF('Initial Capital Payment'!$C$7="Yes",IF('LPP Act Financing Plan'!AE$4='Initial Capital Payment'!$C$12,'Initial Capital Payment'!$C$10,0),0)</f>
        <v>0</v>
      </c>
      <c r="AF30" s="763">
        <f>IF('Initial Capital Payment'!$C$7="Yes",IF('LPP Act Financing Plan'!AF$4='Initial Capital Payment'!$C$12,'Initial Capital Payment'!$C$10,0),0)</f>
        <v>0</v>
      </c>
      <c r="AG30" s="763">
        <f>IF('Initial Capital Payment'!$C$7="Yes",IF('LPP Act Financing Plan'!AG$4='Initial Capital Payment'!$C$12,'Initial Capital Payment'!$C$10,0),0)</f>
        <v>0</v>
      </c>
      <c r="AH30" s="763">
        <f>IF('Initial Capital Payment'!$C$7="Yes",IF('LPP Act Financing Plan'!AH$4='Initial Capital Payment'!$C$12,'Initial Capital Payment'!$C$10,0),0)</f>
        <v>0</v>
      </c>
      <c r="AI30" s="763">
        <f>IF('Initial Capital Payment'!$C$7="Yes",IF('LPP Act Financing Plan'!AI$4='Initial Capital Payment'!$C$12,'Initial Capital Payment'!$C$10,0),0)</f>
        <v>0</v>
      </c>
      <c r="AJ30" s="763">
        <f>IF('Initial Capital Payment'!$C$7="Yes",IF('LPP Act Financing Plan'!AJ$4='Initial Capital Payment'!$C$12,'Initial Capital Payment'!$C$10,0),0)</f>
        <v>0</v>
      </c>
      <c r="AK30" s="763">
        <f>IF('Initial Capital Payment'!$C$7="Yes",IF('LPP Act Financing Plan'!AK$4='Initial Capital Payment'!$C$12,'Initial Capital Payment'!$C$10,0),0)</f>
        <v>0</v>
      </c>
      <c r="AL30" s="763">
        <f>IF('Initial Capital Payment'!$C$7="Yes",IF('LPP Act Financing Plan'!AL$4='Initial Capital Payment'!$C$12,'Initial Capital Payment'!$C$10,0),0)</f>
        <v>0</v>
      </c>
      <c r="AM30" s="763">
        <f>IF('Initial Capital Payment'!$C$7="Yes",IF('LPP Act Financing Plan'!AM$4='Initial Capital Payment'!$C$12,'Initial Capital Payment'!$C$10,0),0)</f>
        <v>0</v>
      </c>
      <c r="AN30" s="763">
        <f>IF('Initial Capital Payment'!$C$7="Yes",IF('LPP Act Financing Plan'!AN$4='Initial Capital Payment'!$C$12,'Initial Capital Payment'!$C$10,0),0)</f>
        <v>0</v>
      </c>
      <c r="AO30" s="763">
        <f>IF('Initial Capital Payment'!$C$7="Yes",IF('LPP Act Financing Plan'!AO$4='Initial Capital Payment'!$C$12,'Initial Capital Payment'!$C$10,0),0)</f>
        <v>0</v>
      </c>
      <c r="AP30" s="763">
        <f>IF('Initial Capital Payment'!$C$7="Yes",IF('LPP Act Financing Plan'!AP$4='Initial Capital Payment'!$C$12,'Initial Capital Payment'!$C$10,0),0)</f>
        <v>0</v>
      </c>
      <c r="AQ30" s="763">
        <f>IF('Initial Capital Payment'!$C$7="Yes",IF('LPP Act Financing Plan'!AQ$4='Initial Capital Payment'!$C$12,'Initial Capital Payment'!$C$10,0),0)</f>
        <v>0</v>
      </c>
      <c r="AR30" s="763">
        <f>IF('Initial Capital Payment'!$C$7="Yes",IF('LPP Act Financing Plan'!AR$4='Initial Capital Payment'!$C$12,'Initial Capital Payment'!$C$10,0),0)</f>
        <v>0</v>
      </c>
      <c r="AS30" s="763">
        <f>IF('Initial Capital Payment'!$C$7="Yes",IF('LPP Act Financing Plan'!AS$4='Initial Capital Payment'!$C$12,'Initial Capital Payment'!$C$10,0),0)</f>
        <v>0</v>
      </c>
      <c r="AT30" s="763">
        <f>IF('Initial Capital Payment'!$C$7="Yes",IF('LPP Act Financing Plan'!AT$4='Initial Capital Payment'!$C$12,'Initial Capital Payment'!$C$10,0),0)</f>
        <v>0</v>
      </c>
      <c r="AU30" s="763">
        <f>IF('Initial Capital Payment'!$C$7="Yes",IF('LPP Act Financing Plan'!AU$4='Initial Capital Payment'!$C$12,'Initial Capital Payment'!$C$10,0),0)</f>
        <v>0</v>
      </c>
      <c r="AV30" s="763">
        <f>IF('Initial Capital Payment'!$C$7="Yes",IF('LPP Act Financing Plan'!AV$4='Initial Capital Payment'!$C$12,'Initial Capital Payment'!$C$10,0),0)</f>
        <v>0</v>
      </c>
      <c r="AW30" s="763">
        <f>IF('Initial Capital Payment'!$C$7="Yes",IF('LPP Act Financing Plan'!AW$4='Initial Capital Payment'!$C$12,'Initial Capital Payment'!$C$10,0),0)</f>
        <v>0</v>
      </c>
      <c r="AX30" s="763">
        <f>IF('Initial Capital Payment'!$C$7="Yes",IF('LPP Act Financing Plan'!AX$4='Initial Capital Payment'!$C$12,'Initial Capital Payment'!$C$10,0),0)</f>
        <v>0</v>
      </c>
      <c r="AY30" s="763">
        <f>IF('Initial Capital Payment'!$C$7="Yes",IF('LPP Act Financing Plan'!AY$4='Initial Capital Payment'!$C$12,'Initial Capital Payment'!$C$10,0),0)</f>
        <v>0</v>
      </c>
      <c r="AZ30" s="763">
        <f>IF('Initial Capital Payment'!$C$7="Yes",IF('LPP Act Financing Plan'!AZ$4='Initial Capital Payment'!$C$12,'Initial Capital Payment'!$C$10,0),0)</f>
        <v>0</v>
      </c>
      <c r="BA30" s="763">
        <f>IF('Initial Capital Payment'!$C$7="Yes",IF('LPP Act Financing Plan'!BA$4='Initial Capital Payment'!$C$12,'Initial Capital Payment'!$C$10,0),0)</f>
        <v>0</v>
      </c>
      <c r="BB30" s="763">
        <f>IF('Initial Capital Payment'!$C$7="Yes",IF('LPP Act Financing Plan'!BB$4='Initial Capital Payment'!$C$12,'Initial Capital Payment'!$C$10,0),0)</f>
        <v>0</v>
      </c>
      <c r="BC30" s="763">
        <f>IF('Initial Capital Payment'!$C$7="Yes",IF('LPP Act Financing Plan'!BC$4='Initial Capital Payment'!$C$12,'Initial Capital Payment'!$C$10,0),0)</f>
        <v>0</v>
      </c>
      <c r="BD30" s="763">
        <f>IF('Initial Capital Payment'!$C$7="Yes",IF('LPP Act Financing Plan'!BD$4='Initial Capital Payment'!$C$12,'Initial Capital Payment'!$C$10,0),0)</f>
        <v>0</v>
      </c>
      <c r="BE30" s="763">
        <f>IF('Initial Capital Payment'!$C$7="Yes",IF('LPP Act Financing Plan'!BE$4='Initial Capital Payment'!$C$12,'Initial Capital Payment'!$C$10,0),0)</f>
        <v>0</v>
      </c>
      <c r="BF30" s="763">
        <f>IF('Initial Capital Payment'!$C$7="Yes",IF('LPP Act Financing Plan'!BF$4='Initial Capital Payment'!$C$12,'Initial Capital Payment'!$C$10,0),0)</f>
        <v>0</v>
      </c>
      <c r="BG30" s="763">
        <f>IF('Initial Capital Payment'!$C$7="Yes",IF('LPP Act Financing Plan'!BG$4='Initial Capital Payment'!$C$12,'Initial Capital Payment'!$C$10,0),0)</f>
        <v>0</v>
      </c>
      <c r="BH30" s="763">
        <f>IF('Initial Capital Payment'!$C$7="Yes",IF('LPP Act Financing Plan'!BH$4='Initial Capital Payment'!$C$12,'Initial Capital Payment'!$C$10,0),0)</f>
        <v>0</v>
      </c>
      <c r="BI30" s="763">
        <f>IF('Initial Capital Payment'!$C$7="Yes",IF('LPP Act Financing Plan'!BI$4='Initial Capital Payment'!$C$12,'Initial Capital Payment'!$C$10,0),0)</f>
        <v>0</v>
      </c>
      <c r="BJ30" s="763">
        <f>IF('Initial Capital Payment'!$C$7="Yes",IF('LPP Act Financing Plan'!BJ$4='Initial Capital Payment'!$C$12,'Initial Capital Payment'!$C$10,0),0)</f>
        <v>0</v>
      </c>
      <c r="BK30" s="763">
        <f>IF('Initial Capital Payment'!$C$7="Yes",IF('LPP Act Financing Plan'!BK$4='Initial Capital Payment'!$C$12,'Initial Capital Payment'!$C$10,0),0)</f>
        <v>0</v>
      </c>
      <c r="BL30" s="763">
        <f>IF('Initial Capital Payment'!$C$7="Yes",IF('LPP Act Financing Plan'!BL$4='Initial Capital Payment'!$C$12,'Initial Capital Payment'!$C$10,0),0)</f>
        <v>0</v>
      </c>
      <c r="BM30" s="763">
        <f>IF('Initial Capital Payment'!$C$7="Yes",IF('LPP Act Financing Plan'!BM$4='Initial Capital Payment'!$C$12,'Initial Capital Payment'!$C$10,0),0)</f>
        <v>0</v>
      </c>
      <c r="BN30" s="763">
        <f>IF('Initial Capital Payment'!$C$7="Yes",IF('LPP Act Financing Plan'!BN$4='Initial Capital Payment'!$C$12,'Initial Capital Payment'!$C$10,0),0)</f>
        <v>0</v>
      </c>
      <c r="BO30" s="763">
        <f>IF('Initial Capital Payment'!$C$7="Yes",IF('LPP Act Financing Plan'!BO$4='Initial Capital Payment'!$C$12,'Initial Capital Payment'!$C$10,0),0)</f>
        <v>0</v>
      </c>
      <c r="BP30" s="763">
        <f>IF('Initial Capital Payment'!$C$7="Yes",IF('LPP Act Financing Plan'!BP$4='Initial Capital Payment'!$C$12,'Initial Capital Payment'!$C$10,0),0)</f>
        <v>0</v>
      </c>
      <c r="BQ30" s="763">
        <f>IF('Initial Capital Payment'!$C$7="Yes",IF('LPP Act Financing Plan'!BQ$4='Initial Capital Payment'!$C$12,'Initial Capital Payment'!$C$10,0),0)</f>
        <v>0</v>
      </c>
      <c r="BR30" s="763">
        <f>IF('Initial Capital Payment'!$C$7="Yes",IF('LPP Act Financing Plan'!BR$4='Initial Capital Payment'!$C$12,'Initial Capital Payment'!$C$10,0),0)</f>
        <v>0</v>
      </c>
      <c r="BS30" s="763">
        <f>IF('Initial Capital Payment'!$C$7="Yes",IF('LPP Act Financing Plan'!BS$4='Initial Capital Payment'!$C$12,'Initial Capital Payment'!$C$10,0),0)</f>
        <v>0</v>
      </c>
      <c r="BT30" s="763">
        <f>IF('Initial Capital Payment'!$C$7="Yes",IF('LPP Act Financing Plan'!BT$4='Initial Capital Payment'!$C$12,'Initial Capital Payment'!$C$10,0),0)</f>
        <v>0</v>
      </c>
      <c r="BU30" s="763">
        <f>IF('Initial Capital Payment'!$C$7="Yes",IF('LPP Act Financing Plan'!BU$4='Initial Capital Payment'!$C$12,'Initial Capital Payment'!$C$10,0),0)</f>
        <v>0</v>
      </c>
      <c r="BV30" s="763">
        <f>IF('Initial Capital Payment'!$C$7="Yes",IF('LPP Act Financing Plan'!BV$4='Initial Capital Payment'!$C$12,'Initial Capital Payment'!$C$10,0),0)</f>
        <v>0</v>
      </c>
      <c r="BW30" s="763">
        <f>IF('Initial Capital Payment'!$C$7="Yes",IF('LPP Act Financing Plan'!BW$4='Initial Capital Payment'!$C$12,'Initial Capital Payment'!$C$10,0),0)</f>
        <v>0</v>
      </c>
      <c r="BX30" s="763">
        <f>IF('Initial Capital Payment'!$C$7="Yes",IF('LPP Act Financing Plan'!BX$4='Initial Capital Payment'!$C$12,'Initial Capital Payment'!$C$10,0),0)</f>
        <v>0</v>
      </c>
      <c r="BY30" s="763">
        <f>IF('Initial Capital Payment'!$C$7="Yes",IF('LPP Act Financing Plan'!BY$4='Initial Capital Payment'!$C$12,'Initial Capital Payment'!$C$10,0),0)</f>
        <v>0</v>
      </c>
      <c r="BZ30" s="763">
        <f>IF('Initial Capital Payment'!$C$7="Yes",IF('LPP Act Financing Plan'!BZ$4='Initial Capital Payment'!$C$12,'Initial Capital Payment'!$C$10,0),0)</f>
        <v>0</v>
      </c>
      <c r="CA30" s="763">
        <f>IF('Initial Capital Payment'!$C$7="Yes",IF('LPP Act Financing Plan'!CA$4='Initial Capital Payment'!$C$12,'Initial Capital Payment'!$C$10,0),0)</f>
        <v>0</v>
      </c>
      <c r="CB30" s="763">
        <f>IF('Initial Capital Payment'!$C$7="Yes",IF('LPP Act Financing Plan'!CB$4='Initial Capital Payment'!$C$12,'Initial Capital Payment'!$C$10,0),0)</f>
        <v>0</v>
      </c>
      <c r="CC30" s="763">
        <f>IF('Initial Capital Payment'!$C$7="Yes",IF('LPP Act Financing Plan'!CC$4='Initial Capital Payment'!$C$12,'Initial Capital Payment'!$C$10,0),0)</f>
        <v>0</v>
      </c>
      <c r="CD30" s="763">
        <f>IF('Initial Capital Payment'!$C$7="Yes",IF('LPP Act Financing Plan'!CD$4='Initial Capital Payment'!$C$12,'Initial Capital Payment'!$C$10,0),0)</f>
        <v>0</v>
      </c>
      <c r="CE30" s="763">
        <f>IF('Initial Capital Payment'!$C$7="Yes",IF('LPP Act Financing Plan'!CE$4='Initial Capital Payment'!$C$12,'Initial Capital Payment'!$C$10,0),0)</f>
        <v>0</v>
      </c>
      <c r="CF30" s="763">
        <f>IF('Initial Capital Payment'!$C$7="Yes",IF('LPP Act Financing Plan'!CF$4='Initial Capital Payment'!$C$12,'Initial Capital Payment'!$C$10,0),0)</f>
        <v>0</v>
      </c>
      <c r="CG30" s="763">
        <f>IF('Initial Capital Payment'!$C$7="Yes",IF('LPP Act Financing Plan'!CG$4='Initial Capital Payment'!$C$12,'Initial Capital Payment'!$C$10,0),0)</f>
        <v>0</v>
      </c>
      <c r="CH30" s="763">
        <f>IF('Initial Capital Payment'!$C$7="Yes",IF('LPP Act Financing Plan'!CH$4='Initial Capital Payment'!$C$12,'Initial Capital Payment'!$C$10,0),0)</f>
        <v>0</v>
      </c>
      <c r="CI30" s="763">
        <f>IF('Initial Capital Payment'!$C$7="Yes",IF('LPP Act Financing Plan'!CI$4='Initial Capital Payment'!$C$12,'Initial Capital Payment'!$C$10,0),0)</f>
        <v>0</v>
      </c>
      <c r="CJ30" s="763">
        <f>IF('Initial Capital Payment'!$C$7="Yes",IF('LPP Act Financing Plan'!CJ$4='Initial Capital Payment'!$C$12,'Initial Capital Payment'!$C$10,0),0)</f>
        <v>0</v>
      </c>
      <c r="CK30" s="763">
        <f>IF('Initial Capital Payment'!$C$7="Yes",IF('LPP Act Financing Plan'!CK$4='Initial Capital Payment'!$C$12,'Initial Capital Payment'!$C$10,0),0)</f>
        <v>0</v>
      </c>
      <c r="CL30" s="763">
        <f>IF('Initial Capital Payment'!$C$7="Yes",IF('LPP Act Financing Plan'!CL$4='Initial Capital Payment'!$C$12,'Initial Capital Payment'!$C$10,0),0)</f>
        <v>0</v>
      </c>
      <c r="CM30" s="763">
        <f>IF('Initial Capital Payment'!$C$7="Yes",IF('LPP Act Financing Plan'!CM$4='Initial Capital Payment'!$C$12,'Initial Capital Payment'!$C$10,0),0)</f>
        <v>0</v>
      </c>
      <c r="CN30" s="763">
        <f>IF('Initial Capital Payment'!$C$7="Yes",IF('LPP Act Financing Plan'!CN$4='Initial Capital Payment'!$C$12,'Initial Capital Payment'!$C$10,0),0)</f>
        <v>0</v>
      </c>
      <c r="CO30" s="763">
        <f>IF('Initial Capital Payment'!$C$7="Yes",IF('LPP Act Financing Plan'!CO$4='Initial Capital Payment'!$C$12,'Initial Capital Payment'!$C$10,0),0)</f>
        <v>0</v>
      </c>
      <c r="CP30" s="763">
        <f>IF('Initial Capital Payment'!$C$7="Yes",IF('LPP Act Financing Plan'!CP$4='Initial Capital Payment'!$C$12,'Initial Capital Payment'!$C$10,0),0)</f>
        <v>0</v>
      </c>
      <c r="CQ30" s="763">
        <f>IF('Initial Capital Payment'!$C$7="Yes",IF('LPP Act Financing Plan'!CQ$4='Initial Capital Payment'!$C$12,'Initial Capital Payment'!$C$10,0),0)</f>
        <v>0</v>
      </c>
      <c r="CR30" s="763">
        <f>IF('Initial Capital Payment'!$C$7="Yes",IF('LPP Act Financing Plan'!CR$4='Initial Capital Payment'!$C$12,'Initial Capital Payment'!$C$10,0),0)</f>
        <v>0</v>
      </c>
      <c r="CS30" s="763">
        <f>IF('Initial Capital Payment'!$C$7="Yes",IF('LPP Act Financing Plan'!CS$4='Initial Capital Payment'!$C$12,'Initial Capital Payment'!$C$10,0),0)</f>
        <v>0</v>
      </c>
      <c r="CT30" s="763">
        <f>IF('Initial Capital Payment'!$C$7="Yes",IF('LPP Act Financing Plan'!CT$4='Initial Capital Payment'!$C$12,'Initial Capital Payment'!$C$10,0),0)</f>
        <v>0</v>
      </c>
      <c r="CU30" s="763">
        <f>IF('Initial Capital Payment'!$C$7="Yes",IF('LPP Act Financing Plan'!CU$4='Initial Capital Payment'!$C$12,'Initial Capital Payment'!$C$10,0),0)</f>
        <v>0</v>
      </c>
      <c r="CV30" s="763">
        <f>IF('Initial Capital Payment'!$C$7="Yes",IF('LPP Act Financing Plan'!CV$4='Initial Capital Payment'!$C$12,'Initial Capital Payment'!$C$10,0),0)</f>
        <v>0</v>
      </c>
      <c r="CW30" s="763">
        <f>IF('Initial Capital Payment'!$C$7="Yes",IF('LPP Act Financing Plan'!CW$4='Initial Capital Payment'!$C$12,'Initial Capital Payment'!$C$10,0),0)</f>
        <v>0</v>
      </c>
      <c r="CX30" s="763">
        <f>IF('Initial Capital Payment'!$C$7="Yes",IF('LPP Act Financing Plan'!CX$4='Initial Capital Payment'!$C$12,'Initial Capital Payment'!$C$10,0),0)</f>
        <v>0</v>
      </c>
      <c r="CY30" s="763">
        <f>IF('Initial Capital Payment'!$C$7="Yes",IF('LPP Act Financing Plan'!CY$4='Initial Capital Payment'!$C$12,'Initial Capital Payment'!$C$10,0),0)</f>
        <v>0</v>
      </c>
      <c r="CZ30" s="763">
        <f>IF('Initial Capital Payment'!$C$7="Yes",IF('LPP Act Financing Plan'!CZ$4='Initial Capital Payment'!$C$12,'Initial Capital Payment'!$C$10,0),0)</f>
        <v>0</v>
      </c>
    </row>
    <row r="31" spans="1:104" s="410" customFormat="1" ht="17.25" x14ac:dyDescent="0.4">
      <c r="B31" s="410" t="s">
        <v>293</v>
      </c>
      <c r="E31" s="764">
        <f>E23*('LPP Cost'!$I$17-'Initial Capital Payment'!$C$10)</f>
        <v>0</v>
      </c>
      <c r="F31" s="764">
        <f>F23*('LPP Cost'!$I$17-'Initial Capital Payment'!$C$10)</f>
        <v>0</v>
      </c>
      <c r="G31" s="764">
        <f>G23*('LPP Cost'!$I$17-'Initial Capital Payment'!$C$10)</f>
        <v>0</v>
      </c>
      <c r="H31" s="764">
        <f>H23*('LPP Cost'!$I$17-'Initial Capital Payment'!$C$10)</f>
        <v>0</v>
      </c>
      <c r="I31" s="764">
        <f>I23*('LPP Cost'!$I$17-'Initial Capital Payment'!$C$10)</f>
        <v>0</v>
      </c>
      <c r="J31" s="764">
        <f>J23*('LPP Cost'!$I$17-'Initial Capital Payment'!$C$10)</f>
        <v>0</v>
      </c>
      <c r="K31" s="764">
        <f>K23*('LPP Cost'!$I$17-'Initial Capital Payment'!$C$10)</f>
        <v>0</v>
      </c>
      <c r="L31" s="764">
        <f>L23*('LPP Cost'!$I$17-'Initial Capital Payment'!$C$10)</f>
        <v>0</v>
      </c>
      <c r="M31" s="764">
        <f>M23*('LPP Cost'!$I$17-'Initial Capital Payment'!$C$10)</f>
        <v>0</v>
      </c>
      <c r="N31" s="764">
        <f>N23*('LPP Cost'!$I$17-'Initial Capital Payment'!$C$10)</f>
        <v>0</v>
      </c>
      <c r="O31" s="764">
        <f>O23*('LPP Cost'!$I$17-'Initial Capital Payment'!$C$10)</f>
        <v>0</v>
      </c>
      <c r="P31" s="764">
        <f>P23*('LPP Cost'!$I$17-'Initial Capital Payment'!$C$10)</f>
        <v>0</v>
      </c>
      <c r="Q31" s="764">
        <f>Q23*('LPP Cost'!$I$17-'Initial Capital Payment'!$C$10)</f>
        <v>0</v>
      </c>
      <c r="R31" s="764">
        <f>R23*('LPP Cost'!$I$17-'Initial Capital Payment'!$C$10)</f>
        <v>0</v>
      </c>
      <c r="S31" s="764">
        <f>S23*('LPP Cost'!$I$17-'Initial Capital Payment'!$C$10)</f>
        <v>0</v>
      </c>
      <c r="T31" s="764">
        <f>T23*('LPP Cost'!$I$17-'Initial Capital Payment'!$C$10)</f>
        <v>0</v>
      </c>
      <c r="U31" s="764">
        <f>U23*('LPP Cost'!$I$17-'Initial Capital Payment'!$C$10)</f>
        <v>0</v>
      </c>
      <c r="V31" s="764">
        <f>V23*('LPP Cost'!$I$17-'Initial Capital Payment'!$C$10)</f>
        <v>0</v>
      </c>
      <c r="W31" s="764">
        <f>W23*('LPP Cost'!$I$17-'Initial Capital Payment'!$C$10)</f>
        <v>10758685.475543171</v>
      </c>
      <c r="X31" s="764">
        <f>X23*('LPP Cost'!$I$17-'Initial Capital Payment'!$C$10)</f>
        <v>20735472.849704292</v>
      </c>
      <c r="Y31" s="764">
        <f>Y23*('LPP Cost'!$I$17-'Initial Capital Payment'!$C$10)</f>
        <v>21266344.51657483</v>
      </c>
      <c r="Z31" s="764">
        <f>Z23*('LPP Cost'!$I$17-'Initial Capital Payment'!$C$10)</f>
        <v>21810633.480634414</v>
      </c>
      <c r="AA31" s="764">
        <f>AA23*('LPP Cost'!$I$17-'Initial Capital Payment'!$C$10)</f>
        <v>22368673.327311706</v>
      </c>
      <c r="AB31" s="764">
        <f>AB23*('LPP Cost'!$I$17-'Initial Capital Payment'!$C$10)</f>
        <v>22940805.758205064</v>
      </c>
      <c r="AC31" s="764">
        <f>AC23*('LPP Cost'!$I$17-'Initial Capital Payment'!$C$10)</f>
        <v>23527380.782749344</v>
      </c>
      <c r="AD31" s="764">
        <f>AD23*('LPP Cost'!$I$17-'Initial Capital Payment'!$C$10)</f>
        <v>24128756.914215181</v>
      </c>
      <c r="AE31" s="764">
        <f>AE23*('LPP Cost'!$I$17-'Initial Capital Payment'!$C$10)</f>
        <v>24745301.370134462</v>
      </c>
      <c r="AF31" s="764">
        <f>AF23*('LPP Cost'!$I$17-'Initial Capital Payment'!$C$10)</f>
        <v>25377390.277236879</v>
      </c>
      <c r="AG31" s="764">
        <f>AG23*('LPP Cost'!$I$17-'Initial Capital Payment'!$C$10)</f>
        <v>26025408.881006926</v>
      </c>
      <c r="AH31" s="764">
        <f>AH23*('LPP Cost'!$I$17-'Initial Capital Payment'!$C$10)</f>
        <v>26689751.759938456</v>
      </c>
      <c r="AI31" s="764">
        <f>AI23*('LPP Cost'!$I$17-'Initial Capital Payment'!$C$10)</f>
        <v>27370823.044605948</v>
      </c>
      <c r="AJ31" s="764">
        <f>AJ23*('LPP Cost'!$I$17-'Initial Capital Payment'!$C$10)</f>
        <v>28069036.64163211</v>
      </c>
      <c r="AK31" s="764">
        <f>AK23*('LPP Cost'!$I$17-'Initial Capital Payment'!$C$10)</f>
        <v>28784816.462671574</v>
      </c>
      <c r="AL31" s="764">
        <f>AL23*('LPP Cost'!$I$17-'Initial Capital Payment'!$C$10)</f>
        <v>29518596.658497188</v>
      </c>
      <c r="AM31" s="764">
        <f>AM23*('LPP Cost'!$I$17-'Initial Capital Payment'!$C$10)</f>
        <v>30270821.858313717</v>
      </c>
      <c r="AN31" s="764">
        <f>AN23*('LPP Cost'!$I$17-'Initial Capital Payment'!$C$10)</f>
        <v>34347325.084503554</v>
      </c>
      <c r="AO31" s="764">
        <f>AO23*('LPP Cost'!$I$17-'Initial Capital Payment'!$C$10)</f>
        <v>35326223.849412344</v>
      </c>
      <c r="AP31" s="764">
        <f>AP23*('LPP Cost'!$I$17-'Initial Capital Payment'!$C$10)</f>
        <v>36333021.229120627</v>
      </c>
      <c r="AQ31" s="764">
        <f>AQ23*('LPP Cost'!$I$17-'Initial Capital Payment'!$C$10)</f>
        <v>37368512.334150389</v>
      </c>
      <c r="AR31" s="764">
        <f>AR23*('LPP Cost'!$I$17-'Initial Capital Payment'!$C$10)</f>
        <v>38433514.935673885</v>
      </c>
      <c r="AS31" s="764">
        <f>AS23*('LPP Cost'!$I$17-'Initial Capital Payment'!$C$10)</f>
        <v>39528870.111340627</v>
      </c>
      <c r="AT31" s="764">
        <f>AT23*('LPP Cost'!$I$17-'Initial Capital Payment'!$C$10)</f>
        <v>40655442.909513265</v>
      </c>
      <c r="AU31" s="764">
        <f>AU23*('LPP Cost'!$I$17-'Initial Capital Payment'!$C$10)</f>
        <v>41814123.03243497</v>
      </c>
      <c r="AV31" s="764">
        <f>AV23*('LPP Cost'!$I$17-'Initial Capital Payment'!$C$10)</f>
        <v>43005825.538859069</v>
      </c>
      <c r="AW31" s="764">
        <f>AW23*('LPP Cost'!$I$17-'Initial Capital Payment'!$C$10)</f>
        <v>44231491.566716745</v>
      </c>
      <c r="AX31" s="764">
        <f>AX23*('LPP Cost'!$I$17-'Initial Capital Payment'!$C$10)</f>
        <v>45492089.076367885</v>
      </c>
      <c r="AY31" s="764">
        <f>AY23*('LPP Cost'!$I$17-'Initial Capital Payment'!$C$10)</f>
        <v>46788613.615044847</v>
      </c>
      <c r="AZ31" s="764">
        <f>AZ23*('LPP Cost'!$I$17-'Initial Capital Payment'!$C$10)</f>
        <v>21287427.362975907</v>
      </c>
      <c r="BA31" s="764">
        <f>BA23*('LPP Cost'!$I$17-'Initial Capital Payment'!$C$10)</f>
        <v>0</v>
      </c>
      <c r="BB31" s="764">
        <f>BB23*('LPP Cost'!$I$17-'Initial Capital Payment'!$C$10)</f>
        <v>0</v>
      </c>
      <c r="BC31" s="764">
        <f>BC23*('LPP Cost'!$I$17-'Initial Capital Payment'!$C$10)</f>
        <v>0</v>
      </c>
      <c r="BD31" s="764">
        <f>BD23*('LPP Cost'!$I$17-'Initial Capital Payment'!$C$10)</f>
        <v>0</v>
      </c>
      <c r="BE31" s="764">
        <f>BE23*('LPP Cost'!$I$17-'Initial Capital Payment'!$C$10)</f>
        <v>0</v>
      </c>
      <c r="BF31" s="764">
        <f>BF23*('LPP Cost'!$I$17-'Initial Capital Payment'!$C$10)</f>
        <v>0</v>
      </c>
      <c r="BG31" s="764">
        <f>BG23*('LPP Cost'!$I$17-'Initial Capital Payment'!$C$10)</f>
        <v>0</v>
      </c>
      <c r="BH31" s="764">
        <f>BH23*('LPP Cost'!$I$17-'Initial Capital Payment'!$C$10)</f>
        <v>0</v>
      </c>
      <c r="BI31" s="764">
        <f>BI23*('LPP Cost'!$I$17-'Initial Capital Payment'!$C$10)</f>
        <v>0</v>
      </c>
      <c r="BJ31" s="764">
        <f>BJ23*('LPP Cost'!$I$17-'Initial Capital Payment'!$C$10)</f>
        <v>0</v>
      </c>
      <c r="BK31" s="764">
        <f>BK23*('LPP Cost'!$I$17-'Initial Capital Payment'!$C$10)</f>
        <v>0</v>
      </c>
      <c r="BL31" s="764">
        <f>BL23*('LPP Cost'!$I$17-'Initial Capital Payment'!$C$10)</f>
        <v>0</v>
      </c>
      <c r="BM31" s="764">
        <f>BM23*('LPP Cost'!$I$17-'Initial Capital Payment'!$C$10)</f>
        <v>0</v>
      </c>
      <c r="BN31" s="764">
        <f>BN23*('LPP Cost'!$I$17-'Initial Capital Payment'!$C$10)</f>
        <v>0</v>
      </c>
      <c r="BO31" s="764">
        <f>BO23*('LPP Cost'!$I$17-'Initial Capital Payment'!$C$10)</f>
        <v>0</v>
      </c>
      <c r="BP31" s="764">
        <f>BP23*('LPP Cost'!$I$17-'Initial Capital Payment'!$C$10)</f>
        <v>0</v>
      </c>
      <c r="BQ31" s="764">
        <f>BQ23*('LPP Cost'!$I$17-'Initial Capital Payment'!$C$10)</f>
        <v>0</v>
      </c>
      <c r="BR31" s="764">
        <f>BR23*('LPP Cost'!$I$17-'Initial Capital Payment'!$C$10)</f>
        <v>0</v>
      </c>
      <c r="BS31" s="764">
        <f>BS23*('LPP Cost'!$I$17-'Initial Capital Payment'!$C$10)</f>
        <v>0</v>
      </c>
      <c r="BT31" s="764">
        <f>BT23*('LPP Cost'!$I$17-'Initial Capital Payment'!$C$10)</f>
        <v>0</v>
      </c>
      <c r="BU31" s="764">
        <f>BU23*('LPP Cost'!$I$17-'Initial Capital Payment'!$C$10)</f>
        <v>0</v>
      </c>
      <c r="BV31" s="764">
        <f>BV23*('LPP Cost'!$I$17-'Initial Capital Payment'!$C$10)</f>
        <v>0</v>
      </c>
      <c r="BW31" s="764">
        <f>BW23*('LPP Cost'!$I$17-'Initial Capital Payment'!$C$10)</f>
        <v>0</v>
      </c>
      <c r="BX31" s="764">
        <f>BX23*('LPP Cost'!$I$17-'Initial Capital Payment'!$C$10)</f>
        <v>0</v>
      </c>
      <c r="BY31" s="764">
        <f>BY23*('LPP Cost'!$I$17-'Initial Capital Payment'!$C$10)</f>
        <v>0</v>
      </c>
      <c r="BZ31" s="764">
        <f>BZ23*('LPP Cost'!$I$17-'Initial Capital Payment'!$C$10)</f>
        <v>0</v>
      </c>
      <c r="CA31" s="764">
        <f>CA23*('LPP Cost'!$I$17-'Initial Capital Payment'!$C$10)</f>
        <v>0</v>
      </c>
      <c r="CB31" s="764">
        <f>CB23*('LPP Cost'!$I$17-'Initial Capital Payment'!$C$10)</f>
        <v>0</v>
      </c>
      <c r="CC31" s="764">
        <f>CC23*('LPP Cost'!$I$17-'Initial Capital Payment'!$C$10)</f>
        <v>0</v>
      </c>
      <c r="CD31" s="764">
        <f>CD23*('LPP Cost'!$I$17-'Initial Capital Payment'!$C$10)</f>
        <v>0</v>
      </c>
      <c r="CE31" s="764">
        <f>CE23*('LPP Cost'!$I$17-'Initial Capital Payment'!$C$10)</f>
        <v>0</v>
      </c>
      <c r="CF31" s="764">
        <f>CF23*('LPP Cost'!$I$17-'Initial Capital Payment'!$C$10)</f>
        <v>0</v>
      </c>
      <c r="CG31" s="764">
        <f>CG23*('LPP Cost'!$I$17-'Initial Capital Payment'!$C$10)</f>
        <v>0</v>
      </c>
      <c r="CH31" s="764">
        <f>CH23*('LPP Cost'!$I$17-'Initial Capital Payment'!$C$10)</f>
        <v>0</v>
      </c>
      <c r="CI31" s="764">
        <f>CI23*('LPP Cost'!$I$17-'Initial Capital Payment'!$C$10)</f>
        <v>0</v>
      </c>
      <c r="CJ31" s="764">
        <f>CJ23*('LPP Cost'!$I$17-'Initial Capital Payment'!$C$10)</f>
        <v>0</v>
      </c>
      <c r="CK31" s="764">
        <f>CK23*('LPP Cost'!$I$17-'Initial Capital Payment'!$C$10)</f>
        <v>0</v>
      </c>
      <c r="CL31" s="764">
        <f>CL23*('LPP Cost'!$I$17-'Initial Capital Payment'!$C$10)</f>
        <v>0</v>
      </c>
      <c r="CM31" s="764">
        <f>CM23*('LPP Cost'!$I$17-'Initial Capital Payment'!$C$10)</f>
        <v>0</v>
      </c>
      <c r="CN31" s="764">
        <f>CN23*('LPP Cost'!$I$17-'Initial Capital Payment'!$C$10)</f>
        <v>0</v>
      </c>
      <c r="CO31" s="764">
        <f>CO23*('LPP Cost'!$I$17-'Initial Capital Payment'!$C$10)</f>
        <v>0</v>
      </c>
      <c r="CP31" s="764">
        <f>CP23*('LPP Cost'!$I$17-'Initial Capital Payment'!$C$10)</f>
        <v>0</v>
      </c>
      <c r="CQ31" s="764">
        <f>CQ23*('LPP Cost'!$I$17-'Initial Capital Payment'!$C$10)</f>
        <v>0</v>
      </c>
      <c r="CR31" s="764">
        <f>CR23*('LPP Cost'!$I$17-'Initial Capital Payment'!$C$10)</f>
        <v>0</v>
      </c>
      <c r="CS31" s="764">
        <f>CS23*('LPP Cost'!$I$17-'Initial Capital Payment'!$C$10)</f>
        <v>0</v>
      </c>
      <c r="CT31" s="764">
        <f>CT23*('LPP Cost'!$I$17-'Initial Capital Payment'!$C$10)</f>
        <v>0</v>
      </c>
      <c r="CU31" s="764">
        <f>CU23*('LPP Cost'!$I$17-'Initial Capital Payment'!$C$10)</f>
        <v>0</v>
      </c>
      <c r="CV31" s="764">
        <f>CV23*('LPP Cost'!$I$17-'Initial Capital Payment'!$C$10)</f>
        <v>0</v>
      </c>
      <c r="CW31" s="764">
        <f>CW23*('LPP Cost'!$I$17-'Initial Capital Payment'!$C$10)</f>
        <v>0</v>
      </c>
      <c r="CX31" s="764">
        <f>CX23*('LPP Cost'!$I$17-'Initial Capital Payment'!$C$10)</f>
        <v>0</v>
      </c>
      <c r="CY31" s="764">
        <f>CY23*('LPP Cost'!$I$17-'Initial Capital Payment'!$C$10)</f>
        <v>0</v>
      </c>
      <c r="CZ31" s="764">
        <f>CZ23*('LPP Cost'!$I$17-'Initial Capital Payment'!$C$10)</f>
        <v>0</v>
      </c>
    </row>
    <row r="32" spans="1:104" s="410" customFormat="1" x14ac:dyDescent="0.25">
      <c r="B32" s="410" t="s">
        <v>285</v>
      </c>
      <c r="E32" s="763">
        <f t="shared" ref="E32:U32" si="254">E27+E28-E30-E31</f>
        <v>-50000000</v>
      </c>
      <c r="F32" s="763">
        <f t="shared" si="254"/>
        <v>-50000000</v>
      </c>
      <c r="G32" s="763">
        <f t="shared" si="254"/>
        <v>-50000000</v>
      </c>
      <c r="H32" s="763">
        <f t="shared" si="254"/>
        <v>-50000000</v>
      </c>
      <c r="I32" s="763">
        <f t="shared" si="254"/>
        <v>-50000000</v>
      </c>
      <c r="J32" s="763">
        <f t="shared" si="254"/>
        <v>-50000000</v>
      </c>
      <c r="K32" s="763">
        <f t="shared" si="254"/>
        <v>-50000000</v>
      </c>
      <c r="L32" s="763">
        <f t="shared" si="254"/>
        <v>-50000000</v>
      </c>
      <c r="M32" s="763">
        <f t="shared" si="254"/>
        <v>-50000000</v>
      </c>
      <c r="N32" s="763">
        <f t="shared" si="254"/>
        <v>-50000000</v>
      </c>
      <c r="O32" s="763">
        <f t="shared" si="254"/>
        <v>-50000000</v>
      </c>
      <c r="P32" s="763">
        <f t="shared" si="254"/>
        <v>-50000000</v>
      </c>
      <c r="Q32" s="763">
        <f t="shared" si="254"/>
        <v>-50000000</v>
      </c>
      <c r="R32" s="763">
        <f t="shared" si="254"/>
        <v>-50000000</v>
      </c>
      <c r="S32" s="763">
        <f t="shared" si="254"/>
        <v>-50000000</v>
      </c>
      <c r="T32" s="763">
        <f t="shared" si="254"/>
        <v>-50000000</v>
      </c>
      <c r="U32" s="763">
        <f t="shared" si="254"/>
        <v>-50000000</v>
      </c>
      <c r="V32" s="763">
        <f t="shared" ref="V32:CG32" si="255">V27+V28-V30-V31</f>
        <v>919000000</v>
      </c>
      <c r="W32" s="763">
        <f t="shared" si="255"/>
        <v>908241314.52445686</v>
      </c>
      <c r="X32" s="763">
        <f t="shared" si="255"/>
        <v>887505841.67475259</v>
      </c>
      <c r="Y32" s="763">
        <f t="shared" si="255"/>
        <v>866239497.15817773</v>
      </c>
      <c r="Z32" s="763">
        <f t="shared" si="255"/>
        <v>844428863.67754328</v>
      </c>
      <c r="AA32" s="763">
        <f t="shared" si="255"/>
        <v>822060190.35023153</v>
      </c>
      <c r="AB32" s="763">
        <f t="shared" si="255"/>
        <v>799119384.59202647</v>
      </c>
      <c r="AC32" s="763">
        <f t="shared" si="255"/>
        <v>775592003.80927718</v>
      </c>
      <c r="AD32" s="763">
        <f t="shared" si="255"/>
        <v>751463246.89506197</v>
      </c>
      <c r="AE32" s="763">
        <f t="shared" si="255"/>
        <v>726717945.5249275</v>
      </c>
      <c r="AF32" s="763">
        <f t="shared" si="255"/>
        <v>701340555.24769068</v>
      </c>
      <c r="AG32" s="763">
        <f t="shared" si="255"/>
        <v>675315146.36668372</v>
      </c>
      <c r="AH32" s="763">
        <f t="shared" si="255"/>
        <v>648625394.60674524</v>
      </c>
      <c r="AI32" s="763">
        <f t="shared" si="255"/>
        <v>621254571.56213927</v>
      </c>
      <c r="AJ32" s="763">
        <f t="shared" si="255"/>
        <v>593185534.92050719</v>
      </c>
      <c r="AK32" s="763">
        <f t="shared" si="255"/>
        <v>564400718.45783567</v>
      </c>
      <c r="AL32" s="763">
        <f t="shared" si="255"/>
        <v>534882121.79933846</v>
      </c>
      <c r="AM32" s="763">
        <f t="shared" si="255"/>
        <v>504611299.94102472</v>
      </c>
      <c r="AN32" s="763">
        <f t="shared" si="255"/>
        <v>470263974.85652119</v>
      </c>
      <c r="AO32" s="763">
        <f t="shared" si="255"/>
        <v>434937751.00710887</v>
      </c>
      <c r="AP32" s="763">
        <f t="shared" si="255"/>
        <v>398604729.77798826</v>
      </c>
      <c r="AQ32" s="763">
        <f t="shared" si="255"/>
        <v>361236217.44383788</v>
      </c>
      <c r="AR32" s="763">
        <f t="shared" si="255"/>
        <v>322802702.50816399</v>
      </c>
      <c r="AS32" s="763">
        <f t="shared" si="255"/>
        <v>283273832.39682335</v>
      </c>
      <c r="AT32" s="763">
        <f t="shared" si="255"/>
        <v>242618389.48731008</v>
      </c>
      <c r="AU32" s="763">
        <f t="shared" si="255"/>
        <v>200804266.45487511</v>
      </c>
      <c r="AV32" s="763">
        <f t="shared" si="255"/>
        <v>157798440.91601604</v>
      </c>
      <c r="AW32" s="763">
        <f t="shared" si="255"/>
        <v>113566949.3492993</v>
      </c>
      <c r="AX32" s="763">
        <f t="shared" si="255"/>
        <v>68074860.272931412</v>
      </c>
      <c r="AY32" s="763">
        <f t="shared" si="255"/>
        <v>21286246.657886565</v>
      </c>
      <c r="AZ32" s="763">
        <f t="shared" si="255"/>
        <v>-1180.7050893418491</v>
      </c>
      <c r="BA32" s="763">
        <f t="shared" si="255"/>
        <v>-1180.7050893418491</v>
      </c>
      <c r="BB32" s="763">
        <f t="shared" si="255"/>
        <v>-1180.7050893418491</v>
      </c>
      <c r="BC32" s="763">
        <f t="shared" si="255"/>
        <v>-1180.7050893418491</v>
      </c>
      <c r="BD32" s="763">
        <f t="shared" si="255"/>
        <v>-1180.7050893418491</v>
      </c>
      <c r="BE32" s="763">
        <f t="shared" si="255"/>
        <v>-1180.7050893418491</v>
      </c>
      <c r="BF32" s="763">
        <f t="shared" si="255"/>
        <v>-1180.7050893418491</v>
      </c>
      <c r="BG32" s="763">
        <f t="shared" si="255"/>
        <v>-1180.7050893418491</v>
      </c>
      <c r="BH32" s="763">
        <f t="shared" si="255"/>
        <v>-1180.7050893418491</v>
      </c>
      <c r="BI32" s="763">
        <f t="shared" si="255"/>
        <v>-1180.7050893418491</v>
      </c>
      <c r="BJ32" s="763">
        <f t="shared" si="255"/>
        <v>-1180.7050893418491</v>
      </c>
      <c r="BK32" s="763">
        <f t="shared" si="255"/>
        <v>-1180.7050893418491</v>
      </c>
      <c r="BL32" s="763">
        <f t="shared" si="255"/>
        <v>-1180.7050893418491</v>
      </c>
      <c r="BM32" s="763">
        <f t="shared" si="255"/>
        <v>-1180.7050893418491</v>
      </c>
      <c r="BN32" s="763">
        <f t="shared" si="255"/>
        <v>-1180.7050893418491</v>
      </c>
      <c r="BO32" s="763">
        <f t="shared" si="255"/>
        <v>-1180.7050893418491</v>
      </c>
      <c r="BP32" s="763">
        <f t="shared" si="255"/>
        <v>-1180.7050893418491</v>
      </c>
      <c r="BQ32" s="763">
        <f t="shared" si="255"/>
        <v>-1180.7050893418491</v>
      </c>
      <c r="BR32" s="763">
        <f t="shared" si="255"/>
        <v>-1180.7050893418491</v>
      </c>
      <c r="BS32" s="763">
        <f t="shared" si="255"/>
        <v>-1180.7050893418491</v>
      </c>
      <c r="BT32" s="763">
        <f t="shared" si="255"/>
        <v>-1180.7050893418491</v>
      </c>
      <c r="BU32" s="763">
        <f t="shared" si="255"/>
        <v>-1180.7050893418491</v>
      </c>
      <c r="BV32" s="763">
        <f t="shared" si="255"/>
        <v>-1180.7050893418491</v>
      </c>
      <c r="BW32" s="763">
        <f t="shared" si="255"/>
        <v>-1180.7050893418491</v>
      </c>
      <c r="BX32" s="763">
        <f t="shared" si="255"/>
        <v>-1180.7050893418491</v>
      </c>
      <c r="BY32" s="763">
        <f t="shared" si="255"/>
        <v>-1180.7050893418491</v>
      </c>
      <c r="BZ32" s="763">
        <f t="shared" si="255"/>
        <v>-1180.7050893418491</v>
      </c>
      <c r="CA32" s="763">
        <f t="shared" si="255"/>
        <v>-1180.7050893418491</v>
      </c>
      <c r="CB32" s="763">
        <f t="shared" si="255"/>
        <v>-1180.7050893418491</v>
      </c>
      <c r="CC32" s="763">
        <f t="shared" si="255"/>
        <v>-1180.7050893418491</v>
      </c>
      <c r="CD32" s="763">
        <f t="shared" si="255"/>
        <v>-1180.7050893418491</v>
      </c>
      <c r="CE32" s="763">
        <f t="shared" si="255"/>
        <v>-1180.7050893418491</v>
      </c>
      <c r="CF32" s="763">
        <f t="shared" si="255"/>
        <v>-1180.7050893418491</v>
      </c>
      <c r="CG32" s="763">
        <f t="shared" si="255"/>
        <v>-1180.7050893418491</v>
      </c>
      <c r="CH32" s="763">
        <f t="shared" ref="CH32:CZ32" si="256">CH27+CH28-CH30-CH31</f>
        <v>-1180.7050893418491</v>
      </c>
      <c r="CI32" s="763">
        <f t="shared" si="256"/>
        <v>-1180.7050893418491</v>
      </c>
      <c r="CJ32" s="763">
        <f t="shared" si="256"/>
        <v>-1180.7050893418491</v>
      </c>
      <c r="CK32" s="763">
        <f t="shared" si="256"/>
        <v>-1180.7050893418491</v>
      </c>
      <c r="CL32" s="763">
        <f t="shared" si="256"/>
        <v>-1180.7050893418491</v>
      </c>
      <c r="CM32" s="763">
        <f t="shared" si="256"/>
        <v>-1180.7050893418491</v>
      </c>
      <c r="CN32" s="763">
        <f t="shared" si="256"/>
        <v>-1180.7050893418491</v>
      </c>
      <c r="CO32" s="763">
        <f t="shared" si="256"/>
        <v>-1180.7050893418491</v>
      </c>
      <c r="CP32" s="763">
        <f t="shared" si="256"/>
        <v>-1180.7050893418491</v>
      </c>
      <c r="CQ32" s="763">
        <f t="shared" si="256"/>
        <v>-1180.7050893418491</v>
      </c>
      <c r="CR32" s="763">
        <f t="shared" si="256"/>
        <v>-1180.7050893418491</v>
      </c>
      <c r="CS32" s="763">
        <f t="shared" si="256"/>
        <v>-1180.7050893418491</v>
      </c>
      <c r="CT32" s="763">
        <f t="shared" si="256"/>
        <v>-1180.7050893418491</v>
      </c>
      <c r="CU32" s="763">
        <f t="shared" si="256"/>
        <v>-1180.7050893418491</v>
      </c>
      <c r="CV32" s="763">
        <f t="shared" si="256"/>
        <v>-1180.7050893418491</v>
      </c>
      <c r="CW32" s="763">
        <f t="shared" si="256"/>
        <v>-1180.7050893418491</v>
      </c>
      <c r="CX32" s="763">
        <f t="shared" si="256"/>
        <v>-1180.7050893418491</v>
      </c>
      <c r="CY32" s="763">
        <f t="shared" si="256"/>
        <v>-1180.7050893418491</v>
      </c>
      <c r="CZ32" s="763">
        <f t="shared" si="256"/>
        <v>-1180.7050893418491</v>
      </c>
    </row>
    <row r="33" spans="1:104" x14ac:dyDescent="0.25">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c r="CB33" s="477"/>
      <c r="CC33" s="477"/>
      <c r="CD33" s="477"/>
      <c r="CE33" s="477"/>
      <c r="CF33" s="477"/>
      <c r="CG33" s="477"/>
      <c r="CH33" s="477"/>
      <c r="CI33" s="477"/>
      <c r="CJ33" s="477"/>
      <c r="CK33" s="477"/>
      <c r="CL33" s="477"/>
      <c r="CM33" s="477"/>
      <c r="CN33" s="477"/>
      <c r="CO33" s="477"/>
      <c r="CP33" s="477"/>
      <c r="CQ33" s="477"/>
      <c r="CR33" s="477"/>
      <c r="CS33" s="477"/>
      <c r="CT33" s="477"/>
      <c r="CU33" s="477"/>
      <c r="CV33" s="477"/>
      <c r="CW33" s="477"/>
      <c r="CX33" s="477"/>
      <c r="CY33" s="477"/>
      <c r="CZ33" s="477"/>
    </row>
    <row r="34" spans="1:104" x14ac:dyDescent="0.25">
      <c r="A34" s="472" t="s">
        <v>309</v>
      </c>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row>
    <row r="35" spans="1:104" x14ac:dyDescent="0.25">
      <c r="A35" s="472"/>
      <c r="B35" t="s">
        <v>304</v>
      </c>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477"/>
      <c r="CI35" s="477"/>
      <c r="CJ35" s="477"/>
      <c r="CK35" s="477"/>
      <c r="CL35" s="477"/>
      <c r="CM35" s="477"/>
      <c r="CN35" s="477"/>
      <c r="CO35" s="477"/>
      <c r="CP35" s="477"/>
      <c r="CQ35" s="477"/>
      <c r="CR35" s="477"/>
      <c r="CS35" s="477"/>
      <c r="CT35" s="477"/>
      <c r="CU35" s="477"/>
      <c r="CV35" s="477"/>
      <c r="CW35" s="477"/>
      <c r="CX35" s="477"/>
      <c r="CY35" s="477"/>
      <c r="CZ35" s="477"/>
    </row>
    <row r="36" spans="1:104" x14ac:dyDescent="0.25">
      <c r="A36" s="472"/>
      <c r="C36" t="s">
        <v>306</v>
      </c>
      <c r="E36" s="479">
        <f>IF(AND('Initial Capital Payment'!$C$14="Pay-Go",E4&lt;='Initial Capital Payment'!$C$12),(HLOOKUP('Initial Capital Payment'!$C$12,'LPP Act Financing Plan'!$E$4:$CZ$32,27,FALSE))*'Initial Capital Payment'!$F$10)/(((HLOOKUP('Initial Capital Payment'!$C$12,'LPP Act Financing Plan'!$E$4:$CZ$32,8,FALSE)))*1000000)*1000</f>
        <v>0</v>
      </c>
      <c r="F36" s="479">
        <f>IF(AND('Initial Capital Payment'!$C$14="Pay-Go",F4&lt;='Initial Capital Payment'!$C$12),(HLOOKUP('Initial Capital Payment'!$C$12,'LPP Act Financing Plan'!$E$4:$CZ$32,27,FALSE))*'Initial Capital Payment'!$F$10)/(((HLOOKUP('Initial Capital Payment'!$C$12,'LPP Act Financing Plan'!$E$4:$CZ$32,8,FALSE)))*1000000)*1000</f>
        <v>0</v>
      </c>
      <c r="G36" s="479">
        <f>IF(AND('Initial Capital Payment'!$C$14="Pay-Go",G4&lt;='Initial Capital Payment'!$C$12),(HLOOKUP('Initial Capital Payment'!$C$12,'LPP Act Financing Plan'!$E$4:$CZ$32,27,FALSE))*'Initial Capital Payment'!$F$10)/(((HLOOKUP('Initial Capital Payment'!$C$12,'LPP Act Financing Plan'!$E$4:$CZ$32,8,FALSE)))*1000000)*1000</f>
        <v>0</v>
      </c>
      <c r="H36" s="479">
        <f>IF(AND('Initial Capital Payment'!$C$14="Pay-Go",H4&lt;='Initial Capital Payment'!$C$12),(HLOOKUP('Initial Capital Payment'!$C$12,'LPP Act Financing Plan'!$E$4:$CZ$32,27,FALSE))*'Initial Capital Payment'!$F$10)/(((HLOOKUP('Initial Capital Payment'!$C$12,'LPP Act Financing Plan'!$E$4:$CZ$32,8,FALSE)))*1000000)*1000</f>
        <v>0</v>
      </c>
      <c r="I36" s="479">
        <f>IF(AND('Initial Capital Payment'!$C$14="Pay-Go",I4&lt;='Initial Capital Payment'!$C$12),(HLOOKUP('Initial Capital Payment'!$C$12,'LPP Act Financing Plan'!$E$4:$CZ$32,27,FALSE))*'Initial Capital Payment'!$F$10)/(((HLOOKUP('Initial Capital Payment'!$C$12,'LPP Act Financing Plan'!$E$4:$CZ$32,8,FALSE)))*1000000)*1000</f>
        <v>0</v>
      </c>
      <c r="J36" s="479">
        <f>IF(AND('Initial Capital Payment'!$C$14="Pay-Go",J4&lt;='Initial Capital Payment'!$C$12),(HLOOKUP('Initial Capital Payment'!$C$12,'LPP Act Financing Plan'!$E$4:$CZ$32,27,FALSE))*'Initial Capital Payment'!$F$10)/(((HLOOKUP('Initial Capital Payment'!$C$12,'LPP Act Financing Plan'!$E$4:$CZ$32,8,FALSE)))*1000000)*1000</f>
        <v>0</v>
      </c>
      <c r="K36" s="479">
        <f>IF(AND('Initial Capital Payment'!$C$14="Pay-Go",K4&lt;='Initial Capital Payment'!$C$12),(HLOOKUP('Initial Capital Payment'!$C$12,'LPP Act Financing Plan'!$E$4:$CZ$32,27,FALSE))*'Initial Capital Payment'!$F$10)/(((HLOOKUP('Initial Capital Payment'!$C$12,'LPP Act Financing Plan'!$E$4:$CZ$32,8,FALSE)))*1000000)*1000</f>
        <v>0</v>
      </c>
      <c r="L36" s="479">
        <f>IF(AND('Initial Capital Payment'!$C$14="Pay-Go",L4&lt;='Initial Capital Payment'!$C$12),(HLOOKUP('Initial Capital Payment'!$C$12,'LPP Act Financing Plan'!$E$4:$CZ$32,27,FALSE))*'Initial Capital Payment'!$F$10)/(((HLOOKUP('Initial Capital Payment'!$C$12,'LPP Act Financing Plan'!$E$4:$CZ$32,8,FALSE)))*1000000)*1000</f>
        <v>0</v>
      </c>
      <c r="M36" s="479">
        <f>IF(AND('Initial Capital Payment'!$C$14="Pay-Go",M4&lt;='Initial Capital Payment'!$C$12),(HLOOKUP('Initial Capital Payment'!$C$12,'LPP Act Financing Plan'!$E$4:$CZ$32,27,FALSE))*'Initial Capital Payment'!$F$10)/(((HLOOKUP('Initial Capital Payment'!$C$12,'LPP Act Financing Plan'!$E$4:$CZ$32,8,FALSE)))*1000000)*1000</f>
        <v>0</v>
      </c>
      <c r="N36" s="479">
        <f>IF(AND('Initial Capital Payment'!$C$14="Pay-Go",N4&lt;='Initial Capital Payment'!$C$12),(HLOOKUP('Initial Capital Payment'!$C$12,'LPP Act Financing Plan'!$E$4:$CZ$32,27,FALSE))*'Initial Capital Payment'!$F$10)/(((HLOOKUP('Initial Capital Payment'!$C$12,'LPP Act Financing Plan'!$E$4:$CZ$32,8,FALSE)))*1000000)*1000</f>
        <v>0</v>
      </c>
      <c r="O36" s="479">
        <f>IF(AND('Initial Capital Payment'!$C$14="Pay-Go",O4&lt;='Initial Capital Payment'!$C$12),(HLOOKUP('Initial Capital Payment'!$C$12,'LPP Act Financing Plan'!$E$4:$CZ$32,27,FALSE))*'Initial Capital Payment'!$F$10)/(((HLOOKUP('Initial Capital Payment'!$C$12,'LPP Act Financing Plan'!$E$4:$CZ$32,8,FALSE)))*1000000)*1000</f>
        <v>0</v>
      </c>
      <c r="P36" s="479">
        <f>IF(AND('Initial Capital Payment'!$C$14="Pay-Go",P4&lt;='Initial Capital Payment'!$C$12),(HLOOKUP('Initial Capital Payment'!$C$12,'LPP Act Financing Plan'!$E$4:$CZ$32,27,FALSE))*'Initial Capital Payment'!$F$10)/(((HLOOKUP('Initial Capital Payment'!$C$12,'LPP Act Financing Plan'!$E$4:$CZ$32,8,FALSE)))*1000000)*1000</f>
        <v>0</v>
      </c>
      <c r="Q36" s="479">
        <f>IF(AND('Initial Capital Payment'!$C$14="Pay-Go",Q4&lt;='Initial Capital Payment'!$C$12),(HLOOKUP('Initial Capital Payment'!$C$12,'LPP Act Financing Plan'!$E$4:$CZ$32,27,FALSE))*'Initial Capital Payment'!$F$10)/(((HLOOKUP('Initial Capital Payment'!$C$12,'LPP Act Financing Plan'!$E$4:$CZ$32,8,FALSE)))*1000000)*1000</f>
        <v>0</v>
      </c>
      <c r="R36" s="479">
        <f>IF(AND('Initial Capital Payment'!$C$14="Pay-Go",R4&lt;='Initial Capital Payment'!$C$12),(HLOOKUP('Initial Capital Payment'!$C$12,'LPP Act Financing Plan'!$E$4:$CZ$32,27,FALSE))*'Initial Capital Payment'!$F$10)/(((HLOOKUP('Initial Capital Payment'!$C$12,'LPP Act Financing Plan'!$E$4:$CZ$32,8,FALSE)))*1000000)*1000</f>
        <v>0</v>
      </c>
      <c r="S36" s="479">
        <f>IF(AND('Initial Capital Payment'!$C$14="Pay-Go",S4&lt;='Initial Capital Payment'!$C$12),(HLOOKUP('Initial Capital Payment'!$C$12,'LPP Act Financing Plan'!$E$4:$CZ$32,27,FALSE))*'Initial Capital Payment'!$F$10)/(((HLOOKUP('Initial Capital Payment'!$C$12,'LPP Act Financing Plan'!$E$4:$CZ$32,8,FALSE)))*1000000)*1000</f>
        <v>0</v>
      </c>
      <c r="T36" s="479">
        <f>IF(AND('Initial Capital Payment'!$C$14="Pay-Go",T4&lt;='Initial Capital Payment'!$C$12),(HLOOKUP('Initial Capital Payment'!$C$12,'LPP Act Financing Plan'!$E$4:$CZ$32,27,FALSE))*'Initial Capital Payment'!$F$10)/(((HLOOKUP('Initial Capital Payment'!$C$12,'LPP Act Financing Plan'!$E$4:$CZ$32,8,FALSE)))*1000000)*1000</f>
        <v>0</v>
      </c>
      <c r="U36" s="479">
        <f>IF(AND('Initial Capital Payment'!$C$14="Pay-Go",U4&lt;='Initial Capital Payment'!$C$12),(HLOOKUP('Initial Capital Payment'!$C$12,'LPP Act Financing Plan'!$E$4:$CZ$32,27,FALSE))*'Initial Capital Payment'!$F$10)/(((HLOOKUP('Initial Capital Payment'!$C$12,'LPP Act Financing Plan'!$E$4:$CZ$32,8,FALSE)))*1000000)*1000</f>
        <v>0</v>
      </c>
      <c r="V36" s="479">
        <f>IF(AND('Initial Capital Payment'!$C$14="Pay-Go",V4&lt;='Initial Capital Payment'!$C$12),(HLOOKUP('Initial Capital Payment'!$C$12,'LPP Act Financing Plan'!$E$4:$CZ$32,27,FALSE))*'Initial Capital Payment'!$F$10)/(((HLOOKUP('Initial Capital Payment'!$C$12,'LPP Act Financing Plan'!$E$4:$CZ$32,8,FALSE)))*1000000)*1000</f>
        <v>0</v>
      </c>
      <c r="W36" s="479">
        <f>IF(AND('Initial Capital Payment'!$C$14="Pay-Go",W4&lt;='Initial Capital Payment'!$C$12),(HLOOKUP('Initial Capital Payment'!$C$12,'LPP Act Financing Plan'!$E$4:$CZ$32,27,FALSE))*'Initial Capital Payment'!$F$10)/(((HLOOKUP('Initial Capital Payment'!$C$12,'LPP Act Financing Plan'!$E$4:$CZ$32,8,FALSE)))*1000000)*1000</f>
        <v>0</v>
      </c>
      <c r="X36" s="479">
        <f>IF(AND('Initial Capital Payment'!$C$14="Pay-Go",X4&lt;='Initial Capital Payment'!$C$12),(HLOOKUP('Initial Capital Payment'!$C$12,'LPP Act Financing Plan'!$E$4:$CZ$32,27,FALSE))*'Initial Capital Payment'!$F$10)/(((HLOOKUP('Initial Capital Payment'!$C$12,'LPP Act Financing Plan'!$E$4:$CZ$32,8,FALSE)))*1000000)*1000</f>
        <v>0</v>
      </c>
      <c r="Y36" s="479">
        <f>IF(AND('Initial Capital Payment'!$C$14="Pay-Go",Y4&lt;='Initial Capital Payment'!$C$12),(HLOOKUP('Initial Capital Payment'!$C$12,'LPP Act Financing Plan'!$E$4:$CZ$32,27,FALSE))*'Initial Capital Payment'!$F$10)/(((HLOOKUP('Initial Capital Payment'!$C$12,'LPP Act Financing Plan'!$E$4:$CZ$32,8,FALSE)))*1000000)*1000</f>
        <v>0</v>
      </c>
      <c r="Z36" s="479">
        <f>IF(AND('Initial Capital Payment'!$C$14="Pay-Go",Z4&lt;='Initial Capital Payment'!$C$12),(HLOOKUP('Initial Capital Payment'!$C$12,'LPP Act Financing Plan'!$E$4:$CZ$32,27,FALSE))*'Initial Capital Payment'!$F$10)/(((HLOOKUP('Initial Capital Payment'!$C$12,'LPP Act Financing Plan'!$E$4:$CZ$32,8,FALSE)))*1000000)*1000</f>
        <v>0</v>
      </c>
      <c r="AA36" s="479">
        <f>IF(AND('Initial Capital Payment'!$C$14="Pay-Go",AA4&lt;='Initial Capital Payment'!$C$12),(HLOOKUP('Initial Capital Payment'!$C$12,'LPP Act Financing Plan'!$E$4:$CZ$32,27,FALSE))*'Initial Capital Payment'!$F$10)/(((HLOOKUP('Initial Capital Payment'!$C$12,'LPP Act Financing Plan'!$E$4:$CZ$32,8,FALSE)))*1000000)*1000</f>
        <v>0</v>
      </c>
      <c r="AB36" s="479">
        <f>IF(AND('Initial Capital Payment'!$C$14="Pay-Go",AB4&lt;='Initial Capital Payment'!$C$12),(HLOOKUP('Initial Capital Payment'!$C$12,'LPP Act Financing Plan'!$E$4:$CZ$32,27,FALSE))*'Initial Capital Payment'!$F$10)/(((HLOOKUP('Initial Capital Payment'!$C$12,'LPP Act Financing Plan'!$E$4:$CZ$32,8,FALSE)))*1000000)*1000</f>
        <v>0</v>
      </c>
      <c r="AC36" s="479">
        <f>IF(AND('Initial Capital Payment'!$C$14="Pay-Go",AC4&lt;='Initial Capital Payment'!$C$12),(HLOOKUP('Initial Capital Payment'!$C$12,'LPP Act Financing Plan'!$E$4:$CZ$32,27,FALSE))*'Initial Capital Payment'!$F$10)/(((HLOOKUP('Initial Capital Payment'!$C$12,'LPP Act Financing Plan'!$E$4:$CZ$32,8,FALSE)))*1000000)*1000</f>
        <v>0</v>
      </c>
      <c r="AD36" s="479">
        <f>IF(AND('Initial Capital Payment'!$C$14="Pay-Go",AD4&lt;='Initial Capital Payment'!$C$12),(HLOOKUP('Initial Capital Payment'!$C$12,'LPP Act Financing Plan'!$E$4:$CZ$32,27,FALSE))*'Initial Capital Payment'!$F$10)/(((HLOOKUP('Initial Capital Payment'!$C$12,'LPP Act Financing Plan'!$E$4:$CZ$32,8,FALSE)))*1000000)*1000</f>
        <v>0</v>
      </c>
      <c r="AE36" s="479">
        <f>IF(AND('Initial Capital Payment'!$C$14="Pay-Go",AE4&lt;='Initial Capital Payment'!$C$12),(HLOOKUP('Initial Capital Payment'!$C$12,'LPP Act Financing Plan'!$E$4:$CZ$32,27,FALSE))*'Initial Capital Payment'!$F$10)/(((HLOOKUP('Initial Capital Payment'!$C$12,'LPP Act Financing Plan'!$E$4:$CZ$32,8,FALSE)))*1000000)*1000</f>
        <v>0</v>
      </c>
      <c r="AF36" s="479">
        <f>IF(AND('Initial Capital Payment'!$C$14="Pay-Go",AF4&lt;='Initial Capital Payment'!$C$12),(HLOOKUP('Initial Capital Payment'!$C$12,'LPP Act Financing Plan'!$E$4:$CZ$32,27,FALSE))*'Initial Capital Payment'!$F$10)/(((HLOOKUP('Initial Capital Payment'!$C$12,'LPP Act Financing Plan'!$E$4:$CZ$32,8,FALSE)))*1000000)*1000</f>
        <v>0</v>
      </c>
      <c r="AG36" s="479">
        <f>IF(AND('Initial Capital Payment'!$C$14="Pay-Go",AG4&lt;='Initial Capital Payment'!$C$12),(HLOOKUP('Initial Capital Payment'!$C$12,'LPP Act Financing Plan'!$E$4:$CZ$32,27,FALSE))*'Initial Capital Payment'!$F$10)/(((HLOOKUP('Initial Capital Payment'!$C$12,'LPP Act Financing Plan'!$E$4:$CZ$32,8,FALSE)))*1000000)*1000</f>
        <v>0</v>
      </c>
      <c r="AH36" s="479">
        <f>IF(AND('Initial Capital Payment'!$C$14="Pay-Go",AH4&lt;='Initial Capital Payment'!$C$12),(HLOOKUP('Initial Capital Payment'!$C$12,'LPP Act Financing Plan'!$E$4:$CZ$32,27,FALSE))*'Initial Capital Payment'!$F$10)/(((HLOOKUP('Initial Capital Payment'!$C$12,'LPP Act Financing Plan'!$E$4:$CZ$32,8,FALSE)))*1000000)*1000</f>
        <v>0</v>
      </c>
      <c r="AI36" s="479">
        <f>IF(AND('Initial Capital Payment'!$C$14="Pay-Go",AI4&lt;='Initial Capital Payment'!$C$12),(HLOOKUP('Initial Capital Payment'!$C$12,'LPP Act Financing Plan'!$E$4:$CZ$32,27,FALSE))*'Initial Capital Payment'!$F$10)/(((HLOOKUP('Initial Capital Payment'!$C$12,'LPP Act Financing Plan'!$E$4:$CZ$32,8,FALSE)))*1000000)*1000</f>
        <v>0</v>
      </c>
      <c r="AJ36" s="479">
        <f>IF(AND('Initial Capital Payment'!$C$14="Pay-Go",AJ4&lt;='Initial Capital Payment'!$C$12),(HLOOKUP('Initial Capital Payment'!$C$12,'LPP Act Financing Plan'!$E$4:$CZ$32,27,FALSE))*'Initial Capital Payment'!$F$10)/(((HLOOKUP('Initial Capital Payment'!$C$12,'LPP Act Financing Plan'!$E$4:$CZ$32,8,FALSE)))*1000000)*1000</f>
        <v>0</v>
      </c>
      <c r="AK36" s="479">
        <f>IF(AND('Initial Capital Payment'!$C$14="Pay-Go",AK4&lt;='Initial Capital Payment'!$C$12),(HLOOKUP('Initial Capital Payment'!$C$12,'LPP Act Financing Plan'!$E$4:$CZ$32,27,FALSE))*'Initial Capital Payment'!$F$10)/(((HLOOKUP('Initial Capital Payment'!$C$12,'LPP Act Financing Plan'!$E$4:$CZ$32,8,FALSE)))*1000000)*1000</f>
        <v>0</v>
      </c>
      <c r="AL36" s="479">
        <f>IF(AND('Initial Capital Payment'!$C$14="Pay-Go",AL4&lt;='Initial Capital Payment'!$C$12),(HLOOKUP('Initial Capital Payment'!$C$12,'LPP Act Financing Plan'!$E$4:$CZ$32,27,FALSE))*'Initial Capital Payment'!$F$10)/(((HLOOKUP('Initial Capital Payment'!$C$12,'LPP Act Financing Plan'!$E$4:$CZ$32,8,FALSE)))*1000000)*1000</f>
        <v>0</v>
      </c>
      <c r="AM36" s="479">
        <f>IF(AND('Initial Capital Payment'!$C$14="Pay-Go",AM4&lt;='Initial Capital Payment'!$C$12),(HLOOKUP('Initial Capital Payment'!$C$12,'LPP Act Financing Plan'!$E$4:$CZ$32,27,FALSE))*'Initial Capital Payment'!$F$10)/(((HLOOKUP('Initial Capital Payment'!$C$12,'LPP Act Financing Plan'!$E$4:$CZ$32,8,FALSE)))*1000000)*1000</f>
        <v>0</v>
      </c>
      <c r="AN36" s="479">
        <f>IF(AND('Initial Capital Payment'!$C$14="Pay-Go",AN4&lt;='Initial Capital Payment'!$C$12),(HLOOKUP('Initial Capital Payment'!$C$12,'LPP Act Financing Plan'!$E$4:$CZ$32,27,FALSE))*'Initial Capital Payment'!$F$10)/(((HLOOKUP('Initial Capital Payment'!$C$12,'LPP Act Financing Plan'!$E$4:$CZ$32,8,FALSE)))*1000000)*1000</f>
        <v>0</v>
      </c>
      <c r="AO36" s="479">
        <f>IF(AND('Initial Capital Payment'!$C$14="Pay-Go",AO4&lt;='Initial Capital Payment'!$C$12),(HLOOKUP('Initial Capital Payment'!$C$12,'LPP Act Financing Plan'!$E$4:$CZ$32,27,FALSE))*'Initial Capital Payment'!$F$10)/(((HLOOKUP('Initial Capital Payment'!$C$12,'LPP Act Financing Plan'!$E$4:$CZ$32,8,FALSE)))*1000000)*1000</f>
        <v>0</v>
      </c>
      <c r="AP36" s="479">
        <f>IF(AND('Initial Capital Payment'!$C$14="Pay-Go",AP4&lt;='Initial Capital Payment'!$C$12),(HLOOKUP('Initial Capital Payment'!$C$12,'LPP Act Financing Plan'!$E$4:$CZ$32,27,FALSE))*'Initial Capital Payment'!$F$10)/(((HLOOKUP('Initial Capital Payment'!$C$12,'LPP Act Financing Plan'!$E$4:$CZ$32,8,FALSE)))*1000000)*1000</f>
        <v>0</v>
      </c>
      <c r="AQ36" s="479">
        <f>IF(AND('Initial Capital Payment'!$C$14="Pay-Go",AQ4&lt;='Initial Capital Payment'!$C$12),(HLOOKUP('Initial Capital Payment'!$C$12,'LPP Act Financing Plan'!$E$4:$CZ$32,27,FALSE))*'Initial Capital Payment'!$F$10)/(((HLOOKUP('Initial Capital Payment'!$C$12,'LPP Act Financing Plan'!$E$4:$CZ$32,8,FALSE)))*1000000)*1000</f>
        <v>0</v>
      </c>
      <c r="AR36" s="479">
        <f>IF(AND('Initial Capital Payment'!$C$14="Pay-Go",AR4&lt;='Initial Capital Payment'!$C$12),(HLOOKUP('Initial Capital Payment'!$C$12,'LPP Act Financing Plan'!$E$4:$CZ$32,27,FALSE))*'Initial Capital Payment'!$F$10)/(((HLOOKUP('Initial Capital Payment'!$C$12,'LPP Act Financing Plan'!$E$4:$CZ$32,8,FALSE)))*1000000)*1000</f>
        <v>0</v>
      </c>
      <c r="AS36" s="479">
        <f>IF(AND('Initial Capital Payment'!$C$14="Pay-Go",AS4&lt;='Initial Capital Payment'!$C$12),(HLOOKUP('Initial Capital Payment'!$C$12,'LPP Act Financing Plan'!$E$4:$CZ$32,27,FALSE))*'Initial Capital Payment'!$F$10)/(((HLOOKUP('Initial Capital Payment'!$C$12,'LPP Act Financing Plan'!$E$4:$CZ$32,8,FALSE)))*1000000)*1000</f>
        <v>0</v>
      </c>
      <c r="AT36" s="479">
        <f>IF(AND('Initial Capital Payment'!$C$14="Pay-Go",AT4&lt;='Initial Capital Payment'!$C$12),(HLOOKUP('Initial Capital Payment'!$C$12,'LPP Act Financing Plan'!$E$4:$CZ$32,27,FALSE))*'Initial Capital Payment'!$F$10)/(((HLOOKUP('Initial Capital Payment'!$C$12,'LPP Act Financing Plan'!$E$4:$CZ$32,8,FALSE)))*1000000)*1000</f>
        <v>0</v>
      </c>
      <c r="AU36" s="479">
        <f>IF(AND('Initial Capital Payment'!$C$14="Pay-Go",AU4&lt;='Initial Capital Payment'!$C$12),(HLOOKUP('Initial Capital Payment'!$C$12,'LPP Act Financing Plan'!$E$4:$CZ$32,27,FALSE))*'Initial Capital Payment'!$F$10)/(((HLOOKUP('Initial Capital Payment'!$C$12,'LPP Act Financing Plan'!$E$4:$CZ$32,8,FALSE)))*1000000)*1000</f>
        <v>0</v>
      </c>
      <c r="AV36" s="479">
        <f>IF(AND('Initial Capital Payment'!$C$14="Pay-Go",AV4&lt;='Initial Capital Payment'!$C$12),(HLOOKUP('Initial Capital Payment'!$C$12,'LPP Act Financing Plan'!$E$4:$CZ$32,27,FALSE))*'Initial Capital Payment'!$F$10)/(((HLOOKUP('Initial Capital Payment'!$C$12,'LPP Act Financing Plan'!$E$4:$CZ$32,8,FALSE)))*1000000)*1000</f>
        <v>0</v>
      </c>
      <c r="AW36" s="479">
        <f>IF(AND('Initial Capital Payment'!$C$14="Pay-Go",AW4&lt;='Initial Capital Payment'!$C$12),(HLOOKUP('Initial Capital Payment'!$C$12,'LPP Act Financing Plan'!$E$4:$CZ$32,27,FALSE))*'Initial Capital Payment'!$F$10)/(((HLOOKUP('Initial Capital Payment'!$C$12,'LPP Act Financing Plan'!$E$4:$CZ$32,8,FALSE)))*1000000)*1000</f>
        <v>0</v>
      </c>
      <c r="AX36" s="479">
        <f>IF(AND('Initial Capital Payment'!$C$14="Pay-Go",AX4&lt;='Initial Capital Payment'!$C$12),(HLOOKUP('Initial Capital Payment'!$C$12,'LPP Act Financing Plan'!$E$4:$CZ$32,27,FALSE))*'Initial Capital Payment'!$F$10)/(((HLOOKUP('Initial Capital Payment'!$C$12,'LPP Act Financing Plan'!$E$4:$CZ$32,8,FALSE)))*1000000)*1000</f>
        <v>0</v>
      </c>
      <c r="AY36" s="479">
        <f>IF(AND('Initial Capital Payment'!$C$14="Pay-Go",AY4&lt;='Initial Capital Payment'!$C$12),(HLOOKUP('Initial Capital Payment'!$C$12,'LPP Act Financing Plan'!$E$4:$CZ$32,27,FALSE))*'Initial Capital Payment'!$F$10)/(((HLOOKUP('Initial Capital Payment'!$C$12,'LPP Act Financing Plan'!$E$4:$CZ$32,8,FALSE)))*1000000)*1000</f>
        <v>0</v>
      </c>
      <c r="AZ36" s="479">
        <f>IF(AND('Initial Capital Payment'!$C$14="Pay-Go",AZ4&lt;='Initial Capital Payment'!$C$12),(HLOOKUP('Initial Capital Payment'!$C$12,'LPP Act Financing Plan'!$E$4:$CZ$32,27,FALSE))*'Initial Capital Payment'!$F$10)/(((HLOOKUP('Initial Capital Payment'!$C$12,'LPP Act Financing Plan'!$E$4:$CZ$32,8,FALSE)))*1000000)*1000</f>
        <v>0</v>
      </c>
      <c r="BA36" s="479">
        <f>IF(AND('Initial Capital Payment'!$C$14="Pay-Go",BA4&lt;='Initial Capital Payment'!$C$12),(HLOOKUP('Initial Capital Payment'!$C$12,'LPP Act Financing Plan'!$E$4:$CZ$32,27,FALSE))*'Initial Capital Payment'!$F$10)/(((HLOOKUP('Initial Capital Payment'!$C$12,'LPP Act Financing Plan'!$E$4:$CZ$32,8,FALSE)))*1000000)*1000</f>
        <v>0</v>
      </c>
      <c r="BB36" s="479">
        <f>IF(AND('Initial Capital Payment'!$C$14="Pay-Go",BB4&lt;='Initial Capital Payment'!$C$12),(HLOOKUP('Initial Capital Payment'!$C$12,'LPP Act Financing Plan'!$E$4:$CZ$32,27,FALSE))*'Initial Capital Payment'!$F$10)/(((HLOOKUP('Initial Capital Payment'!$C$12,'LPP Act Financing Plan'!$E$4:$CZ$32,8,FALSE)))*1000000)*1000</f>
        <v>0</v>
      </c>
      <c r="BC36" s="479">
        <f>IF(AND('Initial Capital Payment'!$C$14="Pay-Go",BC4&lt;='Initial Capital Payment'!$C$12),(HLOOKUP('Initial Capital Payment'!$C$12,'LPP Act Financing Plan'!$E$4:$CZ$32,27,FALSE))*'Initial Capital Payment'!$F$10)/(((HLOOKUP('Initial Capital Payment'!$C$12,'LPP Act Financing Plan'!$E$4:$CZ$32,8,FALSE)))*1000000)*1000</f>
        <v>0</v>
      </c>
      <c r="BD36" s="479">
        <f>IF(AND('Initial Capital Payment'!$C$14="Pay-Go",BD4&lt;='Initial Capital Payment'!$C$12),(HLOOKUP('Initial Capital Payment'!$C$12,'LPP Act Financing Plan'!$E$4:$CZ$32,27,FALSE))*'Initial Capital Payment'!$F$10)/(((HLOOKUP('Initial Capital Payment'!$C$12,'LPP Act Financing Plan'!$E$4:$CZ$32,8,FALSE)))*1000000)*1000</f>
        <v>0</v>
      </c>
      <c r="BE36" s="479">
        <f>IF(AND('Initial Capital Payment'!$C$14="Pay-Go",BE4&lt;='Initial Capital Payment'!$C$12),(HLOOKUP('Initial Capital Payment'!$C$12,'LPP Act Financing Plan'!$E$4:$CZ$32,27,FALSE))*'Initial Capital Payment'!$F$10)/(((HLOOKUP('Initial Capital Payment'!$C$12,'LPP Act Financing Plan'!$E$4:$CZ$32,8,FALSE)))*1000000)*1000</f>
        <v>0</v>
      </c>
      <c r="BF36" s="479">
        <f>IF(AND('Initial Capital Payment'!$C$14="Pay-Go",BF4&lt;='Initial Capital Payment'!$C$12),(HLOOKUP('Initial Capital Payment'!$C$12,'LPP Act Financing Plan'!$E$4:$CZ$32,27,FALSE))*'Initial Capital Payment'!$F$10)/(((HLOOKUP('Initial Capital Payment'!$C$12,'LPP Act Financing Plan'!$E$4:$CZ$32,8,FALSE)))*1000000)*1000</f>
        <v>0</v>
      </c>
      <c r="BG36" s="479">
        <f>IF(AND('Initial Capital Payment'!$C$14="Pay-Go",BG4&lt;='Initial Capital Payment'!$C$12),(HLOOKUP('Initial Capital Payment'!$C$12,'LPP Act Financing Plan'!$E$4:$CZ$32,27,FALSE))*'Initial Capital Payment'!$F$10)/(((HLOOKUP('Initial Capital Payment'!$C$12,'LPP Act Financing Plan'!$E$4:$CZ$32,8,FALSE)))*1000000)*1000</f>
        <v>0</v>
      </c>
      <c r="BH36" s="479">
        <f>IF(AND('Initial Capital Payment'!$C$14="Pay-Go",BH4&lt;='Initial Capital Payment'!$C$12),(HLOOKUP('Initial Capital Payment'!$C$12,'LPP Act Financing Plan'!$E$4:$CZ$32,27,FALSE))*'Initial Capital Payment'!$F$10)/(((HLOOKUP('Initial Capital Payment'!$C$12,'LPP Act Financing Plan'!$E$4:$CZ$32,8,FALSE)))*1000000)*1000</f>
        <v>0</v>
      </c>
      <c r="BI36" s="479">
        <f>IF(AND('Initial Capital Payment'!$C$14="Pay-Go",BI4&lt;='Initial Capital Payment'!$C$12),(HLOOKUP('Initial Capital Payment'!$C$12,'LPP Act Financing Plan'!$E$4:$CZ$32,27,FALSE))*'Initial Capital Payment'!$F$10)/(((HLOOKUP('Initial Capital Payment'!$C$12,'LPP Act Financing Plan'!$E$4:$CZ$32,8,FALSE)))*1000000)*1000</f>
        <v>0</v>
      </c>
      <c r="BJ36" s="479">
        <f>IF(AND('Initial Capital Payment'!$C$14="Pay-Go",BJ4&lt;='Initial Capital Payment'!$C$12),(HLOOKUP('Initial Capital Payment'!$C$12,'LPP Act Financing Plan'!$E$4:$CZ$32,27,FALSE))*'Initial Capital Payment'!$F$10)/(((HLOOKUP('Initial Capital Payment'!$C$12,'LPP Act Financing Plan'!$E$4:$CZ$32,8,FALSE)))*1000000)*1000</f>
        <v>0</v>
      </c>
      <c r="BK36" s="479">
        <f>IF(AND('Initial Capital Payment'!$C$14="Pay-Go",BK4&lt;='Initial Capital Payment'!$C$12),(HLOOKUP('Initial Capital Payment'!$C$12,'LPP Act Financing Plan'!$E$4:$CZ$32,27,FALSE))*'Initial Capital Payment'!$F$10)/(((HLOOKUP('Initial Capital Payment'!$C$12,'LPP Act Financing Plan'!$E$4:$CZ$32,8,FALSE)))*1000000)*1000</f>
        <v>0</v>
      </c>
      <c r="BL36" s="479">
        <f>IF(AND('Initial Capital Payment'!$C$14="Pay-Go",BL4&lt;='Initial Capital Payment'!$C$12),(HLOOKUP('Initial Capital Payment'!$C$12,'LPP Act Financing Plan'!$E$4:$CZ$32,27,FALSE))*'Initial Capital Payment'!$F$10)/(((HLOOKUP('Initial Capital Payment'!$C$12,'LPP Act Financing Plan'!$E$4:$CZ$32,8,FALSE)))*1000000)*1000</f>
        <v>0</v>
      </c>
      <c r="BM36" s="479">
        <f>IF(AND('Initial Capital Payment'!$C$14="Pay-Go",BM4&lt;='Initial Capital Payment'!$C$12),(HLOOKUP('Initial Capital Payment'!$C$12,'LPP Act Financing Plan'!$E$4:$CZ$32,27,FALSE))*'Initial Capital Payment'!$F$10)/(((HLOOKUP('Initial Capital Payment'!$C$12,'LPP Act Financing Plan'!$E$4:$CZ$32,8,FALSE)))*1000000)*1000</f>
        <v>0</v>
      </c>
      <c r="BN36" s="479">
        <f>IF(AND('Initial Capital Payment'!$C$14="Pay-Go",BN4&lt;='Initial Capital Payment'!$C$12),(HLOOKUP('Initial Capital Payment'!$C$12,'LPP Act Financing Plan'!$E$4:$CZ$32,27,FALSE))*'Initial Capital Payment'!$F$10)/(((HLOOKUP('Initial Capital Payment'!$C$12,'LPP Act Financing Plan'!$E$4:$CZ$32,8,FALSE)))*1000000)*1000</f>
        <v>0</v>
      </c>
      <c r="BO36" s="479">
        <f>IF(AND('Initial Capital Payment'!$C$14="Pay-Go",BO4&lt;='Initial Capital Payment'!$C$12),(HLOOKUP('Initial Capital Payment'!$C$12,'LPP Act Financing Plan'!$E$4:$CZ$32,27,FALSE))*'Initial Capital Payment'!$F$10)/(((HLOOKUP('Initial Capital Payment'!$C$12,'LPP Act Financing Plan'!$E$4:$CZ$32,8,FALSE)))*1000000)*1000</f>
        <v>0</v>
      </c>
      <c r="BP36" s="479">
        <f>IF(AND('Initial Capital Payment'!$C$14="Pay-Go",BP4&lt;='Initial Capital Payment'!$C$12),(HLOOKUP('Initial Capital Payment'!$C$12,'LPP Act Financing Plan'!$E$4:$CZ$32,27,FALSE))*'Initial Capital Payment'!$F$10)/(((HLOOKUP('Initial Capital Payment'!$C$12,'LPP Act Financing Plan'!$E$4:$CZ$32,8,FALSE)))*1000000)*1000</f>
        <v>0</v>
      </c>
      <c r="BQ36" s="479">
        <f>IF(AND('Initial Capital Payment'!$C$14="Pay-Go",BQ4&lt;='Initial Capital Payment'!$C$12),(HLOOKUP('Initial Capital Payment'!$C$12,'LPP Act Financing Plan'!$E$4:$CZ$32,27,FALSE))*'Initial Capital Payment'!$F$10)/(((HLOOKUP('Initial Capital Payment'!$C$12,'LPP Act Financing Plan'!$E$4:$CZ$32,8,FALSE)))*1000000)*1000</f>
        <v>0</v>
      </c>
      <c r="BR36" s="479">
        <f>IF(AND('Initial Capital Payment'!$C$14="Pay-Go",BR4&lt;='Initial Capital Payment'!$C$12),(HLOOKUP('Initial Capital Payment'!$C$12,'LPP Act Financing Plan'!$E$4:$CZ$32,27,FALSE))*'Initial Capital Payment'!$F$10)/(((HLOOKUP('Initial Capital Payment'!$C$12,'LPP Act Financing Plan'!$E$4:$CZ$32,8,FALSE)))*1000000)*1000</f>
        <v>0</v>
      </c>
      <c r="BS36" s="479">
        <f>IF(AND('Initial Capital Payment'!$C$14="Pay-Go",BS4&lt;='Initial Capital Payment'!$C$12),(HLOOKUP('Initial Capital Payment'!$C$12,'LPP Act Financing Plan'!$E$4:$CZ$32,27,FALSE))*'Initial Capital Payment'!$F$10)/(((HLOOKUP('Initial Capital Payment'!$C$12,'LPP Act Financing Plan'!$E$4:$CZ$32,8,FALSE)))*1000000)*1000</f>
        <v>0</v>
      </c>
      <c r="BT36" s="479">
        <f>IF(AND('Initial Capital Payment'!$C$14="Pay-Go",BT4&lt;='Initial Capital Payment'!$C$12),(HLOOKUP('Initial Capital Payment'!$C$12,'LPP Act Financing Plan'!$E$4:$CZ$32,27,FALSE))*'Initial Capital Payment'!$F$10)/(((HLOOKUP('Initial Capital Payment'!$C$12,'LPP Act Financing Plan'!$E$4:$CZ$32,8,FALSE)))*1000000)*1000</f>
        <v>0</v>
      </c>
      <c r="BU36" s="479">
        <f>IF(AND('Initial Capital Payment'!$C$14="Pay-Go",BU4&lt;='Initial Capital Payment'!$C$12),(HLOOKUP('Initial Capital Payment'!$C$12,'LPP Act Financing Plan'!$E$4:$CZ$32,27,FALSE))*'Initial Capital Payment'!$F$10)/(((HLOOKUP('Initial Capital Payment'!$C$12,'LPP Act Financing Plan'!$E$4:$CZ$32,8,FALSE)))*1000000)*1000</f>
        <v>0</v>
      </c>
      <c r="BV36" s="479">
        <f>IF(AND('Initial Capital Payment'!$C$14="Pay-Go",BV4&lt;='Initial Capital Payment'!$C$12),(HLOOKUP('Initial Capital Payment'!$C$12,'LPP Act Financing Plan'!$E$4:$CZ$32,27,FALSE))*'Initial Capital Payment'!$F$10)/(((HLOOKUP('Initial Capital Payment'!$C$12,'LPP Act Financing Plan'!$E$4:$CZ$32,8,FALSE)))*1000000)*1000</f>
        <v>0</v>
      </c>
      <c r="BW36" s="479">
        <f>IF(AND('Initial Capital Payment'!$C$14="Pay-Go",BW4&lt;='Initial Capital Payment'!$C$12),(HLOOKUP('Initial Capital Payment'!$C$12,'LPP Act Financing Plan'!$E$4:$CZ$32,27,FALSE))*'Initial Capital Payment'!$F$10)/(((HLOOKUP('Initial Capital Payment'!$C$12,'LPP Act Financing Plan'!$E$4:$CZ$32,8,FALSE)))*1000000)*1000</f>
        <v>0</v>
      </c>
      <c r="BX36" s="479">
        <f>IF(AND('Initial Capital Payment'!$C$14="Pay-Go",BX4&lt;='Initial Capital Payment'!$C$12),(HLOOKUP('Initial Capital Payment'!$C$12,'LPP Act Financing Plan'!$E$4:$CZ$32,27,FALSE))*'Initial Capital Payment'!$F$10)/(((HLOOKUP('Initial Capital Payment'!$C$12,'LPP Act Financing Plan'!$E$4:$CZ$32,8,FALSE)))*1000000)*1000</f>
        <v>0</v>
      </c>
      <c r="BY36" s="479">
        <f>IF(AND('Initial Capital Payment'!$C$14="Pay-Go",BY4&lt;='Initial Capital Payment'!$C$12),(HLOOKUP('Initial Capital Payment'!$C$12,'LPP Act Financing Plan'!$E$4:$CZ$32,27,FALSE))*'Initial Capital Payment'!$F$10)/(((HLOOKUP('Initial Capital Payment'!$C$12,'LPP Act Financing Plan'!$E$4:$CZ$32,8,FALSE)))*1000000)*1000</f>
        <v>0</v>
      </c>
      <c r="BZ36" s="479">
        <f>IF(AND('Initial Capital Payment'!$C$14="Pay-Go",BZ4&lt;='Initial Capital Payment'!$C$12),(HLOOKUP('Initial Capital Payment'!$C$12,'LPP Act Financing Plan'!$E$4:$CZ$32,27,FALSE))*'Initial Capital Payment'!$F$10)/(((HLOOKUP('Initial Capital Payment'!$C$12,'LPP Act Financing Plan'!$E$4:$CZ$32,8,FALSE)))*1000000)*1000</f>
        <v>0</v>
      </c>
      <c r="CA36" s="479">
        <f>IF(AND('Initial Capital Payment'!$C$14="Pay-Go",CA4&lt;='Initial Capital Payment'!$C$12),(HLOOKUP('Initial Capital Payment'!$C$12,'LPP Act Financing Plan'!$E$4:$CZ$32,27,FALSE))*'Initial Capital Payment'!$F$10)/(((HLOOKUP('Initial Capital Payment'!$C$12,'LPP Act Financing Plan'!$E$4:$CZ$32,8,FALSE)))*1000000)*1000</f>
        <v>0</v>
      </c>
      <c r="CB36" s="479">
        <f>IF(AND('Initial Capital Payment'!$C$14="Pay-Go",CB4&lt;='Initial Capital Payment'!$C$12),(HLOOKUP('Initial Capital Payment'!$C$12,'LPP Act Financing Plan'!$E$4:$CZ$32,27,FALSE))*'Initial Capital Payment'!$F$10)/(((HLOOKUP('Initial Capital Payment'!$C$12,'LPP Act Financing Plan'!$E$4:$CZ$32,8,FALSE)))*1000000)*1000</f>
        <v>0</v>
      </c>
      <c r="CC36" s="479">
        <f>IF(AND('Initial Capital Payment'!$C$14="Pay-Go",CC4&lt;='Initial Capital Payment'!$C$12),(HLOOKUP('Initial Capital Payment'!$C$12,'LPP Act Financing Plan'!$E$4:$CZ$32,27,FALSE))*'Initial Capital Payment'!$F$10)/(((HLOOKUP('Initial Capital Payment'!$C$12,'LPP Act Financing Plan'!$E$4:$CZ$32,8,FALSE)))*1000000)*1000</f>
        <v>0</v>
      </c>
      <c r="CD36" s="479">
        <f>IF(AND('Initial Capital Payment'!$C$14="Pay-Go",CD4&lt;='Initial Capital Payment'!$C$12),(HLOOKUP('Initial Capital Payment'!$C$12,'LPP Act Financing Plan'!$E$4:$CZ$32,27,FALSE))*'Initial Capital Payment'!$F$10)/(((HLOOKUP('Initial Capital Payment'!$C$12,'LPP Act Financing Plan'!$E$4:$CZ$32,8,FALSE)))*1000000)*1000</f>
        <v>0</v>
      </c>
      <c r="CE36" s="479">
        <f>IF(AND('Initial Capital Payment'!$C$14="Pay-Go",CE4&lt;='Initial Capital Payment'!$C$12),(HLOOKUP('Initial Capital Payment'!$C$12,'LPP Act Financing Plan'!$E$4:$CZ$32,27,FALSE))*'Initial Capital Payment'!$F$10)/(((HLOOKUP('Initial Capital Payment'!$C$12,'LPP Act Financing Plan'!$E$4:$CZ$32,8,FALSE)))*1000000)*1000</f>
        <v>0</v>
      </c>
      <c r="CF36" s="479">
        <f>IF(AND('Initial Capital Payment'!$C$14="Pay-Go",CF4&lt;='Initial Capital Payment'!$C$12),(HLOOKUP('Initial Capital Payment'!$C$12,'LPP Act Financing Plan'!$E$4:$CZ$32,27,FALSE))*'Initial Capital Payment'!$F$10)/(((HLOOKUP('Initial Capital Payment'!$C$12,'LPP Act Financing Plan'!$E$4:$CZ$32,8,FALSE)))*1000000)*1000</f>
        <v>0</v>
      </c>
      <c r="CG36" s="479">
        <f>IF(AND('Initial Capital Payment'!$C$14="Pay-Go",CG4&lt;='Initial Capital Payment'!$C$12),(HLOOKUP('Initial Capital Payment'!$C$12,'LPP Act Financing Plan'!$E$4:$CZ$32,27,FALSE))*'Initial Capital Payment'!$F$10)/(((HLOOKUP('Initial Capital Payment'!$C$12,'LPP Act Financing Plan'!$E$4:$CZ$32,8,FALSE)))*1000000)*1000</f>
        <v>0</v>
      </c>
      <c r="CH36" s="479">
        <f>IF(AND('Initial Capital Payment'!$C$14="Pay-Go",CH4&lt;='Initial Capital Payment'!$C$12),(HLOOKUP('Initial Capital Payment'!$C$12,'LPP Act Financing Plan'!$E$4:$CZ$32,27,FALSE))*'Initial Capital Payment'!$F$10)/(((HLOOKUP('Initial Capital Payment'!$C$12,'LPP Act Financing Plan'!$E$4:$CZ$32,8,FALSE)))*1000000)*1000</f>
        <v>0</v>
      </c>
      <c r="CI36" s="479">
        <f>IF(AND('Initial Capital Payment'!$C$14="Pay-Go",CI4&lt;='Initial Capital Payment'!$C$12),(HLOOKUP('Initial Capital Payment'!$C$12,'LPP Act Financing Plan'!$E$4:$CZ$32,27,FALSE))*'Initial Capital Payment'!$F$10)/(((HLOOKUP('Initial Capital Payment'!$C$12,'LPP Act Financing Plan'!$E$4:$CZ$32,8,FALSE)))*1000000)*1000</f>
        <v>0</v>
      </c>
      <c r="CJ36" s="479">
        <f>IF(AND('Initial Capital Payment'!$C$14="Pay-Go",CJ4&lt;='Initial Capital Payment'!$C$12),(HLOOKUP('Initial Capital Payment'!$C$12,'LPP Act Financing Plan'!$E$4:$CZ$32,27,FALSE))*'Initial Capital Payment'!$F$10)/(((HLOOKUP('Initial Capital Payment'!$C$12,'LPP Act Financing Plan'!$E$4:$CZ$32,8,FALSE)))*1000000)*1000</f>
        <v>0</v>
      </c>
      <c r="CK36" s="479">
        <f>IF(AND('Initial Capital Payment'!$C$14="Pay-Go",CK4&lt;='Initial Capital Payment'!$C$12),(HLOOKUP('Initial Capital Payment'!$C$12,'LPP Act Financing Plan'!$E$4:$CZ$32,27,FALSE))*'Initial Capital Payment'!$F$10)/(((HLOOKUP('Initial Capital Payment'!$C$12,'LPP Act Financing Plan'!$E$4:$CZ$32,8,FALSE)))*1000000)*1000</f>
        <v>0</v>
      </c>
      <c r="CL36" s="479">
        <f>IF(AND('Initial Capital Payment'!$C$14="Pay-Go",CL4&lt;='Initial Capital Payment'!$C$12),(HLOOKUP('Initial Capital Payment'!$C$12,'LPP Act Financing Plan'!$E$4:$CZ$32,27,FALSE))*'Initial Capital Payment'!$F$10)/(((HLOOKUP('Initial Capital Payment'!$C$12,'LPP Act Financing Plan'!$E$4:$CZ$32,8,FALSE)))*1000000)*1000</f>
        <v>0</v>
      </c>
      <c r="CM36" s="479">
        <f>IF(AND('Initial Capital Payment'!$C$14="Pay-Go",CM4&lt;='Initial Capital Payment'!$C$12),(HLOOKUP('Initial Capital Payment'!$C$12,'LPP Act Financing Plan'!$E$4:$CZ$32,27,FALSE))*'Initial Capital Payment'!$F$10)/(((HLOOKUP('Initial Capital Payment'!$C$12,'LPP Act Financing Plan'!$E$4:$CZ$32,8,FALSE)))*1000000)*1000</f>
        <v>0</v>
      </c>
      <c r="CN36" s="479">
        <f>IF(AND('Initial Capital Payment'!$C$14="Pay-Go",CN4&lt;='Initial Capital Payment'!$C$12),(HLOOKUP('Initial Capital Payment'!$C$12,'LPP Act Financing Plan'!$E$4:$CZ$32,26,FALSE))*'Initial Capital Payment'!$F$12)/(((HLOOKUP('Initial Capital Payment'!$C$12,'LPP Act Financing Plan'!$E$4:$CZ$32,8,FALSE)))*1000000)*1000</f>
        <v>0</v>
      </c>
      <c r="CO36" s="479">
        <f>IF(AND('Initial Capital Payment'!$C$14="Pay-Go",CO4&lt;='Initial Capital Payment'!$C$12),(HLOOKUP('Initial Capital Payment'!$C$12,'LPP Act Financing Plan'!$E$4:$CZ$32,26,FALSE))*'Initial Capital Payment'!$F$12)/(((HLOOKUP('Initial Capital Payment'!$C$12,'LPP Act Financing Plan'!$E$4:$CZ$32,8,FALSE)))*1000000)*1000</f>
        <v>0</v>
      </c>
      <c r="CP36" s="479">
        <f>IF(AND('Initial Capital Payment'!$C$14="Pay-Go",CP4&lt;='Initial Capital Payment'!$C$12),(HLOOKUP('Initial Capital Payment'!$C$12,'LPP Act Financing Plan'!$E$4:$CZ$32,26,FALSE))*'Initial Capital Payment'!$F$12)/(((HLOOKUP('Initial Capital Payment'!$C$12,'LPP Act Financing Plan'!$E$4:$CZ$32,8,FALSE)))*1000000)*1000</f>
        <v>0</v>
      </c>
      <c r="CQ36" s="479">
        <f>IF(AND('Initial Capital Payment'!$C$14="Pay-Go",CQ4&lt;='Initial Capital Payment'!$C$12),(HLOOKUP('Initial Capital Payment'!$C$12,'LPP Act Financing Plan'!$E$4:$CZ$32,26,FALSE))*'Initial Capital Payment'!$F$12)/(((HLOOKUP('Initial Capital Payment'!$C$12,'LPP Act Financing Plan'!$E$4:$CZ$32,8,FALSE)))*1000000)*1000</f>
        <v>0</v>
      </c>
      <c r="CR36" s="479">
        <f>IF(AND('Initial Capital Payment'!$C$14="Pay-Go",CR4&lt;='Initial Capital Payment'!$C$12),(HLOOKUP('Initial Capital Payment'!$C$12,'LPP Act Financing Plan'!$E$4:$CZ$32,26,FALSE))*'Initial Capital Payment'!$F$12)/(((HLOOKUP('Initial Capital Payment'!$C$12,'LPP Act Financing Plan'!$E$4:$CZ$32,8,FALSE)))*1000000)*1000</f>
        <v>0</v>
      </c>
      <c r="CS36" s="479">
        <f>IF(AND('Initial Capital Payment'!$C$14="Pay-Go",CS4&lt;='Initial Capital Payment'!$C$12),(HLOOKUP('Initial Capital Payment'!$C$12,'LPP Act Financing Plan'!$E$4:$CZ$32,26,FALSE))*'Initial Capital Payment'!$F$12)/(((HLOOKUP('Initial Capital Payment'!$C$12,'LPP Act Financing Plan'!$E$4:$CZ$32,8,FALSE)))*1000000)*1000</f>
        <v>0</v>
      </c>
      <c r="CT36" s="479">
        <f>IF(AND('Initial Capital Payment'!$C$14="Pay-Go",CT4&lt;='Initial Capital Payment'!$C$12),(HLOOKUP('Initial Capital Payment'!$C$12,'LPP Act Financing Plan'!$E$4:$CZ$32,26,FALSE))*'Initial Capital Payment'!$F$12)/(((HLOOKUP('Initial Capital Payment'!$C$12,'LPP Act Financing Plan'!$E$4:$CZ$32,8,FALSE)))*1000000)*1000</f>
        <v>0</v>
      </c>
      <c r="CU36" s="479">
        <f>IF(AND('Initial Capital Payment'!$C$14="Pay-Go",CU4&lt;='Initial Capital Payment'!$C$12),(HLOOKUP('Initial Capital Payment'!$C$12,'LPP Act Financing Plan'!$E$4:$CZ$32,26,FALSE))*'Initial Capital Payment'!$F$12)/(((HLOOKUP('Initial Capital Payment'!$C$12,'LPP Act Financing Plan'!$E$4:$CZ$32,8,FALSE)))*1000000)*1000</f>
        <v>0</v>
      </c>
      <c r="CV36" s="479">
        <f>IF(AND('Initial Capital Payment'!$C$14="Pay-Go",CV4&lt;='Initial Capital Payment'!$C$12),(HLOOKUP('Initial Capital Payment'!$C$12,'LPP Act Financing Plan'!$E$4:$CZ$32,26,FALSE))*'Initial Capital Payment'!$F$12)/(((HLOOKUP('Initial Capital Payment'!$C$12,'LPP Act Financing Plan'!$E$4:$CZ$32,8,FALSE)))*1000000)*1000</f>
        <v>0</v>
      </c>
      <c r="CW36" s="479">
        <f>IF(AND('Initial Capital Payment'!$C$14="Pay-Go",CW4&lt;='Initial Capital Payment'!$C$12),(HLOOKUP('Initial Capital Payment'!$C$12,'LPP Act Financing Plan'!$E$4:$CZ$32,26,FALSE))*'Initial Capital Payment'!$F$12)/(((HLOOKUP('Initial Capital Payment'!$C$12,'LPP Act Financing Plan'!$E$4:$CZ$32,8,FALSE)))*1000000)*1000</f>
        <v>0</v>
      </c>
      <c r="CX36" s="479">
        <f>IF(AND('Initial Capital Payment'!$C$14="Pay-Go",CX4&lt;='Initial Capital Payment'!$C$12),(HLOOKUP('Initial Capital Payment'!$C$12,'LPP Act Financing Plan'!$E$4:$CZ$32,26,FALSE))*'Initial Capital Payment'!$F$12)/(((HLOOKUP('Initial Capital Payment'!$C$12,'LPP Act Financing Plan'!$E$4:$CZ$32,8,FALSE)))*1000000)*1000</f>
        <v>0</v>
      </c>
      <c r="CY36" s="479">
        <f>IF(AND('Initial Capital Payment'!$C$14="Pay-Go",CY4&lt;='Initial Capital Payment'!$C$12),(HLOOKUP('Initial Capital Payment'!$C$12,'LPP Act Financing Plan'!$E$4:$CZ$32,26,FALSE))*'Initial Capital Payment'!$F$12)/(((HLOOKUP('Initial Capital Payment'!$C$12,'LPP Act Financing Plan'!$E$4:$CZ$32,8,FALSE)))*1000000)*1000</f>
        <v>0</v>
      </c>
      <c r="CZ36" s="479">
        <f>IF(AND('Initial Capital Payment'!$C$14="Pay-Go",CZ4&lt;='Initial Capital Payment'!$C$12),(HLOOKUP('Initial Capital Payment'!$C$12,'LPP Act Financing Plan'!$E$4:$CZ$32,26,FALSE))*'Initial Capital Payment'!$F$12)/(((HLOOKUP('Initial Capital Payment'!$C$12,'LPP Act Financing Plan'!$E$4:$CZ$32,8,FALSE)))*1000000)*1000</f>
        <v>0</v>
      </c>
    </row>
    <row r="37" spans="1:104" x14ac:dyDescent="0.25">
      <c r="A37" s="472"/>
      <c r="C37" t="s">
        <v>370</v>
      </c>
      <c r="E37" s="477">
        <f t="shared" ref="E37:AJ37" si="257">E36*E10*1000</f>
        <v>0</v>
      </c>
      <c r="F37" s="477">
        <f t="shared" si="257"/>
        <v>0</v>
      </c>
      <c r="G37" s="477">
        <f t="shared" si="257"/>
        <v>0</v>
      </c>
      <c r="H37" s="477">
        <f t="shared" si="257"/>
        <v>0</v>
      </c>
      <c r="I37" s="477">
        <f t="shared" si="257"/>
        <v>0</v>
      </c>
      <c r="J37" s="477">
        <f t="shared" si="257"/>
        <v>0</v>
      </c>
      <c r="K37" s="477">
        <f t="shared" si="257"/>
        <v>0</v>
      </c>
      <c r="L37" s="477">
        <f t="shared" si="257"/>
        <v>0</v>
      </c>
      <c r="M37" s="477">
        <f t="shared" si="257"/>
        <v>0</v>
      </c>
      <c r="N37" s="477">
        <f t="shared" si="257"/>
        <v>0</v>
      </c>
      <c r="O37" s="477">
        <f t="shared" si="257"/>
        <v>0</v>
      </c>
      <c r="P37" s="477">
        <f t="shared" si="257"/>
        <v>0</v>
      </c>
      <c r="Q37" s="477">
        <f t="shared" si="257"/>
        <v>0</v>
      </c>
      <c r="R37" s="477">
        <f t="shared" si="257"/>
        <v>0</v>
      </c>
      <c r="S37" s="477">
        <f t="shared" si="257"/>
        <v>0</v>
      </c>
      <c r="T37" s="477">
        <f t="shared" si="257"/>
        <v>0</v>
      </c>
      <c r="U37" s="477">
        <f t="shared" si="257"/>
        <v>0</v>
      </c>
      <c r="V37" s="477">
        <f t="shared" si="257"/>
        <v>0</v>
      </c>
      <c r="W37" s="477">
        <f t="shared" si="257"/>
        <v>0</v>
      </c>
      <c r="X37" s="477">
        <f t="shared" si="257"/>
        <v>0</v>
      </c>
      <c r="Y37" s="477">
        <f t="shared" si="257"/>
        <v>0</v>
      </c>
      <c r="Z37" s="477">
        <f t="shared" si="257"/>
        <v>0</v>
      </c>
      <c r="AA37" s="477">
        <f t="shared" si="257"/>
        <v>0</v>
      </c>
      <c r="AB37" s="477">
        <f t="shared" si="257"/>
        <v>0</v>
      </c>
      <c r="AC37" s="477">
        <f t="shared" si="257"/>
        <v>0</v>
      </c>
      <c r="AD37" s="477">
        <f t="shared" si="257"/>
        <v>0</v>
      </c>
      <c r="AE37" s="477">
        <f t="shared" si="257"/>
        <v>0</v>
      </c>
      <c r="AF37" s="477">
        <f t="shared" si="257"/>
        <v>0</v>
      </c>
      <c r="AG37" s="477">
        <f t="shared" si="257"/>
        <v>0</v>
      </c>
      <c r="AH37" s="477">
        <f t="shared" si="257"/>
        <v>0</v>
      </c>
      <c r="AI37" s="477">
        <f t="shared" si="257"/>
        <v>0</v>
      </c>
      <c r="AJ37" s="477">
        <f t="shared" si="257"/>
        <v>0</v>
      </c>
      <c r="AK37" s="477">
        <f t="shared" ref="AK37:BP37" si="258">AK36*AK10*1000</f>
        <v>0</v>
      </c>
      <c r="AL37" s="477">
        <f t="shared" si="258"/>
        <v>0</v>
      </c>
      <c r="AM37" s="477">
        <f t="shared" si="258"/>
        <v>0</v>
      </c>
      <c r="AN37" s="477">
        <f t="shared" si="258"/>
        <v>0</v>
      </c>
      <c r="AO37" s="477">
        <f t="shared" si="258"/>
        <v>0</v>
      </c>
      <c r="AP37" s="477">
        <f t="shared" si="258"/>
        <v>0</v>
      </c>
      <c r="AQ37" s="477">
        <f t="shared" si="258"/>
        <v>0</v>
      </c>
      <c r="AR37" s="477">
        <f t="shared" si="258"/>
        <v>0</v>
      </c>
      <c r="AS37" s="477">
        <f t="shared" si="258"/>
        <v>0</v>
      </c>
      <c r="AT37" s="477">
        <f t="shared" si="258"/>
        <v>0</v>
      </c>
      <c r="AU37" s="477">
        <f t="shared" si="258"/>
        <v>0</v>
      </c>
      <c r="AV37" s="477">
        <f t="shared" si="258"/>
        <v>0</v>
      </c>
      <c r="AW37" s="477">
        <f t="shared" si="258"/>
        <v>0</v>
      </c>
      <c r="AX37" s="477">
        <f t="shared" si="258"/>
        <v>0</v>
      </c>
      <c r="AY37" s="477">
        <f t="shared" si="258"/>
        <v>0</v>
      </c>
      <c r="AZ37" s="477">
        <f t="shared" si="258"/>
        <v>0</v>
      </c>
      <c r="BA37" s="477">
        <f t="shared" si="258"/>
        <v>0</v>
      </c>
      <c r="BB37" s="477">
        <f t="shared" si="258"/>
        <v>0</v>
      </c>
      <c r="BC37" s="477">
        <f t="shared" si="258"/>
        <v>0</v>
      </c>
      <c r="BD37" s="477">
        <f t="shared" si="258"/>
        <v>0</v>
      </c>
      <c r="BE37" s="477">
        <f t="shared" si="258"/>
        <v>0</v>
      </c>
      <c r="BF37" s="477">
        <f t="shared" si="258"/>
        <v>0</v>
      </c>
      <c r="BG37" s="477">
        <f t="shared" si="258"/>
        <v>0</v>
      </c>
      <c r="BH37" s="477">
        <f t="shared" si="258"/>
        <v>0</v>
      </c>
      <c r="BI37" s="477">
        <f t="shared" si="258"/>
        <v>0</v>
      </c>
      <c r="BJ37" s="477">
        <f t="shared" si="258"/>
        <v>0</v>
      </c>
      <c r="BK37" s="477">
        <f t="shared" si="258"/>
        <v>0</v>
      </c>
      <c r="BL37" s="477">
        <f t="shared" si="258"/>
        <v>0</v>
      </c>
      <c r="BM37" s="477">
        <f t="shared" si="258"/>
        <v>0</v>
      </c>
      <c r="BN37" s="477">
        <f t="shared" si="258"/>
        <v>0</v>
      </c>
      <c r="BO37" s="477">
        <f t="shared" si="258"/>
        <v>0</v>
      </c>
      <c r="BP37" s="477">
        <f t="shared" si="258"/>
        <v>0</v>
      </c>
      <c r="BQ37" s="477">
        <f t="shared" ref="BQ37:CV37" si="259">BQ36*BQ10*1000</f>
        <v>0</v>
      </c>
      <c r="BR37" s="477">
        <f t="shared" si="259"/>
        <v>0</v>
      </c>
      <c r="BS37" s="477">
        <f t="shared" si="259"/>
        <v>0</v>
      </c>
      <c r="BT37" s="477">
        <f t="shared" si="259"/>
        <v>0</v>
      </c>
      <c r="BU37" s="477">
        <f t="shared" si="259"/>
        <v>0</v>
      </c>
      <c r="BV37" s="477">
        <f t="shared" si="259"/>
        <v>0</v>
      </c>
      <c r="BW37" s="477">
        <f t="shared" si="259"/>
        <v>0</v>
      </c>
      <c r="BX37" s="477">
        <f t="shared" si="259"/>
        <v>0</v>
      </c>
      <c r="BY37" s="477">
        <f t="shared" si="259"/>
        <v>0</v>
      </c>
      <c r="BZ37" s="477">
        <f t="shared" si="259"/>
        <v>0</v>
      </c>
      <c r="CA37" s="477">
        <f t="shared" si="259"/>
        <v>0</v>
      </c>
      <c r="CB37" s="477">
        <f t="shared" si="259"/>
        <v>0</v>
      </c>
      <c r="CC37" s="477">
        <f t="shared" si="259"/>
        <v>0</v>
      </c>
      <c r="CD37" s="477">
        <f t="shared" si="259"/>
        <v>0</v>
      </c>
      <c r="CE37" s="477">
        <f t="shared" si="259"/>
        <v>0</v>
      </c>
      <c r="CF37" s="477">
        <f t="shared" si="259"/>
        <v>0</v>
      </c>
      <c r="CG37" s="477">
        <f t="shared" si="259"/>
        <v>0</v>
      </c>
      <c r="CH37" s="477">
        <f t="shared" si="259"/>
        <v>0</v>
      </c>
      <c r="CI37" s="477">
        <f t="shared" si="259"/>
        <v>0</v>
      </c>
      <c r="CJ37" s="477">
        <f t="shared" si="259"/>
        <v>0</v>
      </c>
      <c r="CK37" s="477">
        <f t="shared" si="259"/>
        <v>0</v>
      </c>
      <c r="CL37" s="477">
        <f t="shared" si="259"/>
        <v>0</v>
      </c>
      <c r="CM37" s="477">
        <f t="shared" si="259"/>
        <v>0</v>
      </c>
      <c r="CN37" s="477">
        <f t="shared" si="259"/>
        <v>0</v>
      </c>
      <c r="CO37" s="477">
        <f t="shared" si="259"/>
        <v>0</v>
      </c>
      <c r="CP37" s="477">
        <f t="shared" si="259"/>
        <v>0</v>
      </c>
      <c r="CQ37" s="477">
        <f t="shared" si="259"/>
        <v>0</v>
      </c>
      <c r="CR37" s="477">
        <f t="shared" si="259"/>
        <v>0</v>
      </c>
      <c r="CS37" s="477">
        <f t="shared" si="259"/>
        <v>0</v>
      </c>
      <c r="CT37" s="477">
        <f t="shared" si="259"/>
        <v>0</v>
      </c>
      <c r="CU37" s="477">
        <f t="shared" si="259"/>
        <v>0</v>
      </c>
      <c r="CV37" s="477">
        <f t="shared" si="259"/>
        <v>0</v>
      </c>
      <c r="CW37" s="477">
        <f t="shared" ref="CW37:CZ37" si="260">CW36*CW10*1000</f>
        <v>0</v>
      </c>
      <c r="CX37" s="477">
        <f t="shared" si="260"/>
        <v>0</v>
      </c>
      <c r="CY37" s="477">
        <f t="shared" si="260"/>
        <v>0</v>
      </c>
      <c r="CZ37" s="477">
        <f t="shared" si="260"/>
        <v>0</v>
      </c>
    </row>
    <row r="38" spans="1:104" x14ac:dyDescent="0.25">
      <c r="A38" s="472"/>
      <c r="C38" t="s">
        <v>517</v>
      </c>
      <c r="E38" s="477">
        <f>IF(E36=0,0,E37)</f>
        <v>0</v>
      </c>
      <c r="F38" s="477">
        <f>IF(F36=0,0,E38+F37)</f>
        <v>0</v>
      </c>
      <c r="G38" s="477">
        <f t="shared" ref="G38:BR38" si="261">IF(G36=0,0,F38+G37)</f>
        <v>0</v>
      </c>
      <c r="H38" s="477">
        <f t="shared" si="261"/>
        <v>0</v>
      </c>
      <c r="I38" s="477">
        <f t="shared" si="261"/>
        <v>0</v>
      </c>
      <c r="J38" s="477">
        <f t="shared" si="261"/>
        <v>0</v>
      </c>
      <c r="K38" s="477">
        <f t="shared" si="261"/>
        <v>0</v>
      </c>
      <c r="L38" s="477">
        <f t="shared" si="261"/>
        <v>0</v>
      </c>
      <c r="M38" s="477">
        <f t="shared" si="261"/>
        <v>0</v>
      </c>
      <c r="N38" s="477">
        <f t="shared" si="261"/>
        <v>0</v>
      </c>
      <c r="O38" s="477">
        <f t="shared" si="261"/>
        <v>0</v>
      </c>
      <c r="P38" s="477">
        <f t="shared" si="261"/>
        <v>0</v>
      </c>
      <c r="Q38" s="477">
        <f t="shared" si="261"/>
        <v>0</v>
      </c>
      <c r="R38" s="477">
        <f t="shared" si="261"/>
        <v>0</v>
      </c>
      <c r="S38" s="477">
        <f t="shared" si="261"/>
        <v>0</v>
      </c>
      <c r="T38" s="477">
        <f t="shared" si="261"/>
        <v>0</v>
      </c>
      <c r="U38" s="477">
        <f t="shared" si="261"/>
        <v>0</v>
      </c>
      <c r="V38" s="477">
        <f t="shared" si="261"/>
        <v>0</v>
      </c>
      <c r="W38" s="477">
        <f t="shared" si="261"/>
        <v>0</v>
      </c>
      <c r="X38" s="477">
        <f t="shared" si="261"/>
        <v>0</v>
      </c>
      <c r="Y38" s="477">
        <f t="shared" si="261"/>
        <v>0</v>
      </c>
      <c r="Z38" s="477">
        <f t="shared" si="261"/>
        <v>0</v>
      </c>
      <c r="AA38" s="477">
        <f t="shared" si="261"/>
        <v>0</v>
      </c>
      <c r="AB38" s="477">
        <f t="shared" si="261"/>
        <v>0</v>
      </c>
      <c r="AC38" s="477">
        <f t="shared" si="261"/>
        <v>0</v>
      </c>
      <c r="AD38" s="477">
        <f t="shared" si="261"/>
        <v>0</v>
      </c>
      <c r="AE38" s="477">
        <f t="shared" si="261"/>
        <v>0</v>
      </c>
      <c r="AF38" s="477">
        <f t="shared" si="261"/>
        <v>0</v>
      </c>
      <c r="AG38" s="477">
        <f t="shared" si="261"/>
        <v>0</v>
      </c>
      <c r="AH38" s="477">
        <f t="shared" si="261"/>
        <v>0</v>
      </c>
      <c r="AI38" s="477">
        <f t="shared" si="261"/>
        <v>0</v>
      </c>
      <c r="AJ38" s="477">
        <f t="shared" si="261"/>
        <v>0</v>
      </c>
      <c r="AK38" s="477">
        <f t="shared" si="261"/>
        <v>0</v>
      </c>
      <c r="AL38" s="477">
        <f t="shared" si="261"/>
        <v>0</v>
      </c>
      <c r="AM38" s="477">
        <f t="shared" si="261"/>
        <v>0</v>
      </c>
      <c r="AN38" s="477">
        <f t="shared" si="261"/>
        <v>0</v>
      </c>
      <c r="AO38" s="477">
        <f t="shared" si="261"/>
        <v>0</v>
      </c>
      <c r="AP38" s="477">
        <f t="shared" si="261"/>
        <v>0</v>
      </c>
      <c r="AQ38" s="477">
        <f t="shared" si="261"/>
        <v>0</v>
      </c>
      <c r="AR38" s="477">
        <f t="shared" si="261"/>
        <v>0</v>
      </c>
      <c r="AS38" s="477">
        <f t="shared" si="261"/>
        <v>0</v>
      </c>
      <c r="AT38" s="477">
        <f t="shared" si="261"/>
        <v>0</v>
      </c>
      <c r="AU38" s="477">
        <f t="shared" si="261"/>
        <v>0</v>
      </c>
      <c r="AV38" s="477">
        <f t="shared" si="261"/>
        <v>0</v>
      </c>
      <c r="AW38" s="477">
        <f t="shared" si="261"/>
        <v>0</v>
      </c>
      <c r="AX38" s="477">
        <f t="shared" si="261"/>
        <v>0</v>
      </c>
      <c r="AY38" s="477">
        <f t="shared" si="261"/>
        <v>0</v>
      </c>
      <c r="AZ38" s="477">
        <f t="shared" si="261"/>
        <v>0</v>
      </c>
      <c r="BA38" s="477">
        <f t="shared" si="261"/>
        <v>0</v>
      </c>
      <c r="BB38" s="477">
        <f t="shared" si="261"/>
        <v>0</v>
      </c>
      <c r="BC38" s="477">
        <f t="shared" si="261"/>
        <v>0</v>
      </c>
      <c r="BD38" s="477">
        <f t="shared" si="261"/>
        <v>0</v>
      </c>
      <c r="BE38" s="477">
        <f t="shared" si="261"/>
        <v>0</v>
      </c>
      <c r="BF38" s="477">
        <f t="shared" si="261"/>
        <v>0</v>
      </c>
      <c r="BG38" s="477">
        <f t="shared" si="261"/>
        <v>0</v>
      </c>
      <c r="BH38" s="477">
        <f t="shared" si="261"/>
        <v>0</v>
      </c>
      <c r="BI38" s="477">
        <f t="shared" si="261"/>
        <v>0</v>
      </c>
      <c r="BJ38" s="477">
        <f t="shared" si="261"/>
        <v>0</v>
      </c>
      <c r="BK38" s="477">
        <f t="shared" si="261"/>
        <v>0</v>
      </c>
      <c r="BL38" s="477">
        <f t="shared" si="261"/>
        <v>0</v>
      </c>
      <c r="BM38" s="477">
        <f t="shared" si="261"/>
        <v>0</v>
      </c>
      <c r="BN38" s="477">
        <f t="shared" si="261"/>
        <v>0</v>
      </c>
      <c r="BO38" s="477">
        <f t="shared" si="261"/>
        <v>0</v>
      </c>
      <c r="BP38" s="477">
        <f t="shared" si="261"/>
        <v>0</v>
      </c>
      <c r="BQ38" s="477">
        <f t="shared" si="261"/>
        <v>0</v>
      </c>
      <c r="BR38" s="477">
        <f t="shared" si="261"/>
        <v>0</v>
      </c>
      <c r="BS38" s="477">
        <f t="shared" ref="BS38:CZ38" si="262">IF(BS36=0,0,BR38+BS37)</f>
        <v>0</v>
      </c>
      <c r="BT38" s="477">
        <f t="shared" si="262"/>
        <v>0</v>
      </c>
      <c r="BU38" s="477">
        <f t="shared" si="262"/>
        <v>0</v>
      </c>
      <c r="BV38" s="477">
        <f t="shared" si="262"/>
        <v>0</v>
      </c>
      <c r="BW38" s="477">
        <f t="shared" si="262"/>
        <v>0</v>
      </c>
      <c r="BX38" s="477">
        <f t="shared" si="262"/>
        <v>0</v>
      </c>
      <c r="BY38" s="477">
        <f t="shared" si="262"/>
        <v>0</v>
      </c>
      <c r="BZ38" s="477">
        <f t="shared" si="262"/>
        <v>0</v>
      </c>
      <c r="CA38" s="477">
        <f t="shared" si="262"/>
        <v>0</v>
      </c>
      <c r="CB38" s="477">
        <f t="shared" si="262"/>
        <v>0</v>
      </c>
      <c r="CC38" s="477">
        <f t="shared" si="262"/>
        <v>0</v>
      </c>
      <c r="CD38" s="477">
        <f t="shared" si="262"/>
        <v>0</v>
      </c>
      <c r="CE38" s="477">
        <f t="shared" si="262"/>
        <v>0</v>
      </c>
      <c r="CF38" s="477">
        <f t="shared" si="262"/>
        <v>0</v>
      </c>
      <c r="CG38" s="477">
        <f t="shared" si="262"/>
        <v>0</v>
      </c>
      <c r="CH38" s="477">
        <f t="shared" si="262"/>
        <v>0</v>
      </c>
      <c r="CI38" s="477">
        <f t="shared" si="262"/>
        <v>0</v>
      </c>
      <c r="CJ38" s="477">
        <f t="shared" si="262"/>
        <v>0</v>
      </c>
      <c r="CK38" s="477">
        <f t="shared" si="262"/>
        <v>0</v>
      </c>
      <c r="CL38" s="477">
        <f t="shared" si="262"/>
        <v>0</v>
      </c>
      <c r="CM38" s="477">
        <f t="shared" si="262"/>
        <v>0</v>
      </c>
      <c r="CN38" s="477">
        <f t="shared" si="262"/>
        <v>0</v>
      </c>
      <c r="CO38" s="477">
        <f t="shared" si="262"/>
        <v>0</v>
      </c>
      <c r="CP38" s="477">
        <f t="shared" si="262"/>
        <v>0</v>
      </c>
      <c r="CQ38" s="477">
        <f t="shared" si="262"/>
        <v>0</v>
      </c>
      <c r="CR38" s="477">
        <f t="shared" si="262"/>
        <v>0</v>
      </c>
      <c r="CS38" s="477">
        <f t="shared" si="262"/>
        <v>0</v>
      </c>
      <c r="CT38" s="477">
        <f t="shared" si="262"/>
        <v>0</v>
      </c>
      <c r="CU38" s="477">
        <f t="shared" si="262"/>
        <v>0</v>
      </c>
      <c r="CV38" s="477">
        <f t="shared" si="262"/>
        <v>0</v>
      </c>
      <c r="CW38" s="477">
        <f t="shared" si="262"/>
        <v>0</v>
      </c>
      <c r="CX38" s="477">
        <f t="shared" si="262"/>
        <v>0</v>
      </c>
      <c r="CY38" s="477">
        <f t="shared" si="262"/>
        <v>0</v>
      </c>
      <c r="CZ38" s="477">
        <f t="shared" si="262"/>
        <v>0</v>
      </c>
    </row>
    <row r="39" spans="1:104" x14ac:dyDescent="0.25">
      <c r="C39" t="s">
        <v>307</v>
      </c>
      <c r="E39" s="477">
        <f>IF(AND('Initial Capital Payment'!$C$14="Pay-Go",E4&lt;='Initial Capital Payment'!$C$12),(HLOOKUP('Initial Capital Payment'!$C$12,'LPP Act Financing Plan'!$E$4:$CZ$32,27,FALSE))*'Initial Capital Payment'!$F$12)/((HLOOKUP('Initial Capital Payment'!$C$12,'LPP Act Financing Plan'!$E$4:$CZ$32,5,FALSE)))</f>
        <v>0</v>
      </c>
      <c r="F39" s="477">
        <f>IF(AND('Initial Capital Payment'!$C$14="Pay-Go",F4&lt;='Initial Capital Payment'!$C$12),(HLOOKUP('Initial Capital Payment'!$C$12,'LPP Act Financing Plan'!$E$4:$CZ$32,27,FALSE))*'Initial Capital Payment'!$F$12)/((HLOOKUP('Initial Capital Payment'!$C$12,'LPP Act Financing Plan'!$E$4:$CZ$32,5,FALSE)))</f>
        <v>0</v>
      </c>
      <c r="G39" s="477">
        <f>IF(AND('Initial Capital Payment'!$C$14="Pay-Go",G4&lt;='Initial Capital Payment'!$C$12),(HLOOKUP('Initial Capital Payment'!$C$12,'LPP Act Financing Plan'!$E$4:$CZ$32,27,FALSE))*'Initial Capital Payment'!$F$12)/((HLOOKUP('Initial Capital Payment'!$C$12,'LPP Act Financing Plan'!$E$4:$CZ$32,5,FALSE)))</f>
        <v>0</v>
      </c>
      <c r="H39" s="477">
        <f>IF(AND('Initial Capital Payment'!$C$14="Pay-Go",H4&lt;='Initial Capital Payment'!$C$12),(HLOOKUP('Initial Capital Payment'!$C$12,'LPP Act Financing Plan'!$E$4:$CZ$32,27,FALSE))*'Initial Capital Payment'!$F$12)/((HLOOKUP('Initial Capital Payment'!$C$12,'LPP Act Financing Plan'!$E$4:$CZ$32,5,FALSE)))</f>
        <v>0</v>
      </c>
      <c r="I39" s="477">
        <f>IF(AND('Initial Capital Payment'!$C$14="Pay-Go",I4&lt;='Initial Capital Payment'!$C$12),(HLOOKUP('Initial Capital Payment'!$C$12,'LPP Act Financing Plan'!$E$4:$CZ$32,27,FALSE))*'Initial Capital Payment'!$F$12)/((HLOOKUP('Initial Capital Payment'!$C$12,'LPP Act Financing Plan'!$E$4:$CZ$32,5,FALSE)))</f>
        <v>0</v>
      </c>
      <c r="J39" s="477">
        <f>IF(AND('Initial Capital Payment'!$C$14="Pay-Go",J4&lt;='Initial Capital Payment'!$C$12),(HLOOKUP('Initial Capital Payment'!$C$12,'LPP Act Financing Plan'!$E$4:$CZ$32,27,FALSE))*'Initial Capital Payment'!$F$12)/((HLOOKUP('Initial Capital Payment'!$C$12,'LPP Act Financing Plan'!$E$4:$CZ$32,5,FALSE)))</f>
        <v>0</v>
      </c>
      <c r="K39" s="477">
        <f>IF(AND('Initial Capital Payment'!$C$14="Pay-Go",K4&lt;='Initial Capital Payment'!$C$12),(HLOOKUP('Initial Capital Payment'!$C$12,'LPP Act Financing Plan'!$E$4:$CZ$32,27,FALSE))*'Initial Capital Payment'!$F$12)/((HLOOKUP('Initial Capital Payment'!$C$12,'LPP Act Financing Plan'!$E$4:$CZ$32,5,FALSE)))</f>
        <v>0</v>
      </c>
      <c r="L39" s="477">
        <f>IF(AND('Initial Capital Payment'!$C$14="Pay-Go",L4&lt;='Initial Capital Payment'!$C$12),(HLOOKUP('Initial Capital Payment'!$C$12,'LPP Act Financing Plan'!$E$4:$CZ$32,27,FALSE))*'Initial Capital Payment'!$F$12)/((HLOOKUP('Initial Capital Payment'!$C$12,'LPP Act Financing Plan'!$E$4:$CZ$32,5,FALSE)))</f>
        <v>0</v>
      </c>
      <c r="M39" s="477">
        <f>IF(AND('Initial Capital Payment'!$C$14="Pay-Go",M4&lt;='Initial Capital Payment'!$C$12),(HLOOKUP('Initial Capital Payment'!$C$12,'LPP Act Financing Plan'!$E$4:$CZ$32,27,FALSE))*'Initial Capital Payment'!$F$12)/((HLOOKUP('Initial Capital Payment'!$C$12,'LPP Act Financing Plan'!$E$4:$CZ$32,5,FALSE)))</f>
        <v>0</v>
      </c>
      <c r="N39" s="477">
        <f>IF(AND('Initial Capital Payment'!$C$14="Pay-Go",N4&lt;='Initial Capital Payment'!$C$12),(HLOOKUP('Initial Capital Payment'!$C$12,'LPP Act Financing Plan'!$E$4:$CZ$32,27,FALSE))*'Initial Capital Payment'!$F$12)/((HLOOKUP('Initial Capital Payment'!$C$12,'LPP Act Financing Plan'!$E$4:$CZ$32,5,FALSE)))</f>
        <v>0</v>
      </c>
      <c r="O39" s="477">
        <f>IF(AND('Initial Capital Payment'!$C$14="Pay-Go",O4&lt;='Initial Capital Payment'!$C$12),(HLOOKUP('Initial Capital Payment'!$C$12,'LPP Act Financing Plan'!$E$4:$CZ$32,27,FALSE))*'Initial Capital Payment'!$F$12)/((HLOOKUP('Initial Capital Payment'!$C$12,'LPP Act Financing Plan'!$E$4:$CZ$32,5,FALSE)))</f>
        <v>0</v>
      </c>
      <c r="P39" s="477">
        <f>IF(AND('Initial Capital Payment'!$C$14="Pay-Go",P4&lt;='Initial Capital Payment'!$C$12),(HLOOKUP('Initial Capital Payment'!$C$12,'LPP Act Financing Plan'!$E$4:$CZ$32,27,FALSE))*'Initial Capital Payment'!$F$12)/((HLOOKUP('Initial Capital Payment'!$C$12,'LPP Act Financing Plan'!$E$4:$CZ$32,5,FALSE)))</f>
        <v>0</v>
      </c>
      <c r="Q39" s="477">
        <f>IF(AND('Initial Capital Payment'!$C$14="Pay-Go",Q4&lt;='Initial Capital Payment'!$C$12),(HLOOKUP('Initial Capital Payment'!$C$12,'LPP Act Financing Plan'!$E$4:$CZ$32,27,FALSE))*'Initial Capital Payment'!$F$12)/((HLOOKUP('Initial Capital Payment'!$C$12,'LPP Act Financing Plan'!$E$4:$CZ$32,5,FALSE)))</f>
        <v>0</v>
      </c>
      <c r="R39" s="477">
        <f>IF(AND('Initial Capital Payment'!$C$14="Pay-Go",R4&lt;='Initial Capital Payment'!$C$12),(HLOOKUP('Initial Capital Payment'!$C$12,'LPP Act Financing Plan'!$E$4:$CZ$32,27,FALSE))*'Initial Capital Payment'!$F$12)/((HLOOKUP('Initial Capital Payment'!$C$12,'LPP Act Financing Plan'!$E$4:$CZ$32,5,FALSE)))</f>
        <v>0</v>
      </c>
      <c r="S39" s="477">
        <f>IF(AND('Initial Capital Payment'!$C$14="Pay-Go",S4&lt;='Initial Capital Payment'!$C$12),(HLOOKUP('Initial Capital Payment'!$C$12,'LPP Act Financing Plan'!$E$4:$CZ$32,27,FALSE))*'Initial Capital Payment'!$F$12)/((HLOOKUP('Initial Capital Payment'!$C$12,'LPP Act Financing Plan'!$E$4:$CZ$32,5,FALSE)))</f>
        <v>0</v>
      </c>
      <c r="T39" s="477">
        <f>IF(AND('Initial Capital Payment'!$C$14="Pay-Go",T4&lt;='Initial Capital Payment'!$C$12),(HLOOKUP('Initial Capital Payment'!$C$12,'LPP Act Financing Plan'!$E$4:$CZ$32,27,FALSE))*'Initial Capital Payment'!$F$12)/((HLOOKUP('Initial Capital Payment'!$C$12,'LPP Act Financing Plan'!$E$4:$CZ$32,5,FALSE)))</f>
        <v>0</v>
      </c>
      <c r="U39" s="477">
        <f>IF(AND('Initial Capital Payment'!$C$14="Pay-Go",U4&lt;='Initial Capital Payment'!$C$12),(HLOOKUP('Initial Capital Payment'!$C$12,'LPP Act Financing Plan'!$E$4:$CZ$32,27,FALSE))*'Initial Capital Payment'!$F$12)/((HLOOKUP('Initial Capital Payment'!$C$12,'LPP Act Financing Plan'!$E$4:$CZ$32,5,FALSE)))</f>
        <v>0</v>
      </c>
      <c r="V39" s="477">
        <f>IF(AND('Initial Capital Payment'!$C$14="Pay-Go",V4&lt;='Initial Capital Payment'!$C$12),(HLOOKUP('Initial Capital Payment'!$C$12,'LPP Act Financing Plan'!$E$4:$CZ$32,27,FALSE))*'Initial Capital Payment'!$F$12)/((HLOOKUP('Initial Capital Payment'!$C$12,'LPP Act Financing Plan'!$E$4:$CZ$32,5,FALSE)))</f>
        <v>0</v>
      </c>
      <c r="W39" s="477">
        <f>IF(AND('Initial Capital Payment'!$C$14="Pay-Go",W4&lt;='Initial Capital Payment'!$C$12),(HLOOKUP('Initial Capital Payment'!$C$12,'LPP Act Financing Plan'!$E$4:$CZ$32,27,FALSE))*'Initial Capital Payment'!$F$12)/((HLOOKUP('Initial Capital Payment'!$C$12,'LPP Act Financing Plan'!$E$4:$CZ$32,5,FALSE)))</f>
        <v>0</v>
      </c>
      <c r="X39" s="477">
        <f>IF(AND('Initial Capital Payment'!$C$14="Pay-Go",X4&lt;='Initial Capital Payment'!$C$12),(HLOOKUP('Initial Capital Payment'!$C$12,'LPP Act Financing Plan'!$E$4:$CZ$32,27,FALSE))*'Initial Capital Payment'!$F$12)/((HLOOKUP('Initial Capital Payment'!$C$12,'LPP Act Financing Plan'!$E$4:$CZ$32,5,FALSE)))</f>
        <v>0</v>
      </c>
      <c r="Y39" s="477">
        <f>IF(AND('Initial Capital Payment'!$C$14="Pay-Go",Y4&lt;='Initial Capital Payment'!$C$12),(HLOOKUP('Initial Capital Payment'!$C$12,'LPP Act Financing Plan'!$E$4:$CZ$32,27,FALSE))*'Initial Capital Payment'!$F$12)/((HLOOKUP('Initial Capital Payment'!$C$12,'LPP Act Financing Plan'!$E$4:$CZ$32,5,FALSE)))</f>
        <v>0</v>
      </c>
      <c r="Z39" s="477">
        <f>IF(AND('Initial Capital Payment'!$C$14="Pay-Go",Z4&lt;='Initial Capital Payment'!$C$12),(HLOOKUP('Initial Capital Payment'!$C$12,'LPP Act Financing Plan'!$E$4:$CZ$32,27,FALSE))*'Initial Capital Payment'!$F$12)/((HLOOKUP('Initial Capital Payment'!$C$12,'LPP Act Financing Plan'!$E$4:$CZ$32,5,FALSE)))</f>
        <v>0</v>
      </c>
      <c r="AA39" s="477">
        <f>IF(AND('Initial Capital Payment'!$C$14="Pay-Go",AA4&lt;='Initial Capital Payment'!$C$12),(HLOOKUP('Initial Capital Payment'!$C$12,'LPP Act Financing Plan'!$E$4:$CZ$32,27,FALSE))*'Initial Capital Payment'!$F$12)/((HLOOKUP('Initial Capital Payment'!$C$12,'LPP Act Financing Plan'!$E$4:$CZ$32,5,FALSE)))</f>
        <v>0</v>
      </c>
      <c r="AB39" s="477">
        <f>IF(AND('Initial Capital Payment'!$C$14="Pay-Go",AB4&lt;='Initial Capital Payment'!$C$12),(HLOOKUP('Initial Capital Payment'!$C$12,'LPP Act Financing Plan'!$E$4:$CZ$32,27,FALSE))*'Initial Capital Payment'!$F$12)/((HLOOKUP('Initial Capital Payment'!$C$12,'LPP Act Financing Plan'!$E$4:$CZ$32,5,FALSE)))</f>
        <v>0</v>
      </c>
      <c r="AC39" s="477">
        <f>IF(AND('Initial Capital Payment'!$C$14="Pay-Go",AC4&lt;='Initial Capital Payment'!$C$12),(HLOOKUP('Initial Capital Payment'!$C$12,'LPP Act Financing Plan'!$E$4:$CZ$32,27,FALSE))*'Initial Capital Payment'!$F$12)/((HLOOKUP('Initial Capital Payment'!$C$12,'LPP Act Financing Plan'!$E$4:$CZ$32,5,FALSE)))</f>
        <v>0</v>
      </c>
      <c r="AD39" s="477">
        <f>IF(AND('Initial Capital Payment'!$C$14="Pay-Go",AD4&lt;='Initial Capital Payment'!$C$12),(HLOOKUP('Initial Capital Payment'!$C$12,'LPP Act Financing Plan'!$E$4:$CZ$32,27,FALSE))*'Initial Capital Payment'!$F$12)/((HLOOKUP('Initial Capital Payment'!$C$12,'LPP Act Financing Plan'!$E$4:$CZ$32,5,FALSE)))</f>
        <v>0</v>
      </c>
      <c r="AE39" s="477">
        <f>IF(AND('Initial Capital Payment'!$C$14="Pay-Go",AE4&lt;='Initial Capital Payment'!$C$12),(HLOOKUP('Initial Capital Payment'!$C$12,'LPP Act Financing Plan'!$E$4:$CZ$32,27,FALSE))*'Initial Capital Payment'!$F$12)/((HLOOKUP('Initial Capital Payment'!$C$12,'LPP Act Financing Plan'!$E$4:$CZ$32,5,FALSE)))</f>
        <v>0</v>
      </c>
      <c r="AF39" s="477">
        <f>IF(AND('Initial Capital Payment'!$C$14="Pay-Go",AF4&lt;='Initial Capital Payment'!$C$12),(HLOOKUP('Initial Capital Payment'!$C$12,'LPP Act Financing Plan'!$E$4:$CZ$32,27,FALSE))*'Initial Capital Payment'!$F$12)/((HLOOKUP('Initial Capital Payment'!$C$12,'LPP Act Financing Plan'!$E$4:$CZ$32,5,FALSE)))</f>
        <v>0</v>
      </c>
      <c r="AG39" s="477">
        <f>IF(AND('Initial Capital Payment'!$C$14="Pay-Go",AG4&lt;='Initial Capital Payment'!$C$12),(HLOOKUP('Initial Capital Payment'!$C$12,'LPP Act Financing Plan'!$E$4:$CZ$32,27,FALSE))*'Initial Capital Payment'!$F$12)/((HLOOKUP('Initial Capital Payment'!$C$12,'LPP Act Financing Plan'!$E$4:$CZ$32,5,FALSE)))</f>
        <v>0</v>
      </c>
      <c r="AH39" s="477">
        <f>IF(AND('Initial Capital Payment'!$C$14="Pay-Go",AH4&lt;='Initial Capital Payment'!$C$12),(HLOOKUP('Initial Capital Payment'!$C$12,'LPP Act Financing Plan'!$E$4:$CZ$32,27,FALSE))*'Initial Capital Payment'!$F$12)/((HLOOKUP('Initial Capital Payment'!$C$12,'LPP Act Financing Plan'!$E$4:$CZ$32,5,FALSE)))</f>
        <v>0</v>
      </c>
      <c r="AI39" s="477">
        <f>IF(AND('Initial Capital Payment'!$C$14="Pay-Go",AI4&lt;='Initial Capital Payment'!$C$12),(HLOOKUP('Initial Capital Payment'!$C$12,'LPP Act Financing Plan'!$E$4:$CZ$32,27,FALSE))*'Initial Capital Payment'!$F$12)/((HLOOKUP('Initial Capital Payment'!$C$12,'LPP Act Financing Plan'!$E$4:$CZ$32,5,FALSE)))</f>
        <v>0</v>
      </c>
      <c r="AJ39" s="477">
        <f>IF(AND('Initial Capital Payment'!$C$14="Pay-Go",AJ4&lt;='Initial Capital Payment'!$C$12),(HLOOKUP('Initial Capital Payment'!$C$12,'LPP Act Financing Plan'!$E$4:$CZ$32,27,FALSE))*'Initial Capital Payment'!$F$12)/((HLOOKUP('Initial Capital Payment'!$C$12,'LPP Act Financing Plan'!$E$4:$CZ$32,5,FALSE)))</f>
        <v>0</v>
      </c>
      <c r="AK39" s="477">
        <f>IF(AND('Initial Capital Payment'!$C$14="Pay-Go",AK4&lt;='Initial Capital Payment'!$C$12),(HLOOKUP('Initial Capital Payment'!$C$12,'LPP Act Financing Plan'!$E$4:$CZ$32,27,FALSE))*'Initial Capital Payment'!$F$12)/((HLOOKUP('Initial Capital Payment'!$C$12,'LPP Act Financing Plan'!$E$4:$CZ$32,5,FALSE)))</f>
        <v>0</v>
      </c>
      <c r="AL39" s="477">
        <f>IF(AND('Initial Capital Payment'!$C$14="Pay-Go",AL4&lt;='Initial Capital Payment'!$C$12),(HLOOKUP('Initial Capital Payment'!$C$12,'LPP Act Financing Plan'!$E$4:$CZ$32,27,FALSE))*'Initial Capital Payment'!$F$12)/((HLOOKUP('Initial Capital Payment'!$C$12,'LPP Act Financing Plan'!$E$4:$CZ$32,5,FALSE)))</f>
        <v>0</v>
      </c>
      <c r="AM39" s="477">
        <f>IF(AND('Initial Capital Payment'!$C$14="Pay-Go",AM4&lt;='Initial Capital Payment'!$C$12),(HLOOKUP('Initial Capital Payment'!$C$12,'LPP Act Financing Plan'!$E$4:$CZ$32,27,FALSE))*'Initial Capital Payment'!$F$12)/((HLOOKUP('Initial Capital Payment'!$C$12,'LPP Act Financing Plan'!$E$4:$CZ$32,5,FALSE)))</f>
        <v>0</v>
      </c>
      <c r="AN39" s="477">
        <f>IF(AND('Initial Capital Payment'!$C$14="Pay-Go",AN4&lt;='Initial Capital Payment'!$C$12),(HLOOKUP('Initial Capital Payment'!$C$12,'LPP Act Financing Plan'!$E$4:$CZ$32,27,FALSE))*'Initial Capital Payment'!$F$12)/((HLOOKUP('Initial Capital Payment'!$C$12,'LPP Act Financing Plan'!$E$4:$CZ$32,5,FALSE)))</f>
        <v>0</v>
      </c>
      <c r="AO39" s="477">
        <f>IF(AND('Initial Capital Payment'!$C$14="Pay-Go",AO4&lt;='Initial Capital Payment'!$C$12),(HLOOKUP('Initial Capital Payment'!$C$12,'LPP Act Financing Plan'!$E$4:$CZ$32,27,FALSE))*'Initial Capital Payment'!$F$12)/((HLOOKUP('Initial Capital Payment'!$C$12,'LPP Act Financing Plan'!$E$4:$CZ$32,5,FALSE)))</f>
        <v>0</v>
      </c>
      <c r="AP39" s="477">
        <f>IF(AND('Initial Capital Payment'!$C$14="Pay-Go",AP4&lt;='Initial Capital Payment'!$C$12),(HLOOKUP('Initial Capital Payment'!$C$12,'LPP Act Financing Plan'!$E$4:$CZ$32,27,FALSE))*'Initial Capital Payment'!$F$12)/((HLOOKUP('Initial Capital Payment'!$C$12,'LPP Act Financing Plan'!$E$4:$CZ$32,5,FALSE)))</f>
        <v>0</v>
      </c>
      <c r="AQ39" s="477">
        <f>IF(AND('Initial Capital Payment'!$C$14="Pay-Go",AQ4&lt;='Initial Capital Payment'!$C$12),(HLOOKUP('Initial Capital Payment'!$C$12,'LPP Act Financing Plan'!$E$4:$CZ$32,27,FALSE))*'Initial Capital Payment'!$F$12)/((HLOOKUP('Initial Capital Payment'!$C$12,'LPP Act Financing Plan'!$E$4:$CZ$32,5,FALSE)))</f>
        <v>0</v>
      </c>
      <c r="AR39" s="477">
        <f>IF(AND('Initial Capital Payment'!$C$14="Pay-Go",AR4&lt;='Initial Capital Payment'!$C$12),(HLOOKUP('Initial Capital Payment'!$C$12,'LPP Act Financing Plan'!$E$4:$CZ$32,27,FALSE))*'Initial Capital Payment'!$F$12)/((HLOOKUP('Initial Capital Payment'!$C$12,'LPP Act Financing Plan'!$E$4:$CZ$32,5,FALSE)))</f>
        <v>0</v>
      </c>
      <c r="AS39" s="477">
        <f>IF(AND('Initial Capital Payment'!$C$14="Pay-Go",AS4&lt;='Initial Capital Payment'!$C$12),(HLOOKUP('Initial Capital Payment'!$C$12,'LPP Act Financing Plan'!$E$4:$CZ$32,27,FALSE))*'Initial Capital Payment'!$F$12)/((HLOOKUP('Initial Capital Payment'!$C$12,'LPP Act Financing Plan'!$E$4:$CZ$32,5,FALSE)))</f>
        <v>0</v>
      </c>
      <c r="AT39" s="477">
        <f>IF(AND('Initial Capital Payment'!$C$14="Pay-Go",AT4&lt;='Initial Capital Payment'!$C$12),(HLOOKUP('Initial Capital Payment'!$C$12,'LPP Act Financing Plan'!$E$4:$CZ$32,27,FALSE))*'Initial Capital Payment'!$F$12)/((HLOOKUP('Initial Capital Payment'!$C$12,'LPP Act Financing Plan'!$E$4:$CZ$32,5,FALSE)))</f>
        <v>0</v>
      </c>
      <c r="AU39" s="477">
        <f>IF(AND('Initial Capital Payment'!$C$14="Pay-Go",AU4&lt;='Initial Capital Payment'!$C$12),(HLOOKUP('Initial Capital Payment'!$C$12,'LPP Act Financing Plan'!$E$4:$CZ$32,27,FALSE))*'Initial Capital Payment'!$F$12)/((HLOOKUP('Initial Capital Payment'!$C$12,'LPP Act Financing Plan'!$E$4:$CZ$32,5,FALSE)))</f>
        <v>0</v>
      </c>
      <c r="AV39" s="477">
        <f>IF(AND('Initial Capital Payment'!$C$14="Pay-Go",AV4&lt;='Initial Capital Payment'!$C$12),(HLOOKUP('Initial Capital Payment'!$C$12,'LPP Act Financing Plan'!$E$4:$CZ$32,27,FALSE))*'Initial Capital Payment'!$F$12)/((HLOOKUP('Initial Capital Payment'!$C$12,'LPP Act Financing Plan'!$E$4:$CZ$32,5,FALSE)))</f>
        <v>0</v>
      </c>
      <c r="AW39" s="477">
        <f>IF(AND('Initial Capital Payment'!$C$14="Pay-Go",AW4&lt;='Initial Capital Payment'!$C$12),(HLOOKUP('Initial Capital Payment'!$C$12,'LPP Act Financing Plan'!$E$4:$CZ$32,27,FALSE))*'Initial Capital Payment'!$F$12)/((HLOOKUP('Initial Capital Payment'!$C$12,'LPP Act Financing Plan'!$E$4:$CZ$32,5,FALSE)))</f>
        <v>0</v>
      </c>
      <c r="AX39" s="477">
        <f>IF(AND('Initial Capital Payment'!$C$14="Pay-Go",AX4&lt;='Initial Capital Payment'!$C$12),(HLOOKUP('Initial Capital Payment'!$C$12,'LPP Act Financing Plan'!$E$4:$CZ$32,27,FALSE))*'Initial Capital Payment'!$F$12)/((HLOOKUP('Initial Capital Payment'!$C$12,'LPP Act Financing Plan'!$E$4:$CZ$32,5,FALSE)))</f>
        <v>0</v>
      </c>
      <c r="AY39" s="477">
        <f>IF(AND('Initial Capital Payment'!$C$14="Pay-Go",AY4&lt;='Initial Capital Payment'!$C$12),(HLOOKUP('Initial Capital Payment'!$C$12,'LPP Act Financing Plan'!$E$4:$CZ$32,27,FALSE))*'Initial Capital Payment'!$F$12)/((HLOOKUP('Initial Capital Payment'!$C$12,'LPP Act Financing Plan'!$E$4:$CZ$32,5,FALSE)))</f>
        <v>0</v>
      </c>
      <c r="AZ39" s="477">
        <f>IF(AND('Initial Capital Payment'!$C$14="Pay-Go",AZ4&lt;='Initial Capital Payment'!$C$12),(HLOOKUP('Initial Capital Payment'!$C$12,'LPP Act Financing Plan'!$E$4:$CZ$32,27,FALSE))*'Initial Capital Payment'!$F$12)/((HLOOKUP('Initial Capital Payment'!$C$12,'LPP Act Financing Plan'!$E$4:$CZ$32,5,FALSE)))</f>
        <v>0</v>
      </c>
      <c r="BA39" s="477">
        <f>IF(AND('Initial Capital Payment'!$C$14="Pay-Go",BA4&lt;='Initial Capital Payment'!$C$12),(HLOOKUP('Initial Capital Payment'!$C$12,'LPP Act Financing Plan'!$E$4:$CZ$32,27,FALSE))*'Initial Capital Payment'!$F$12)/((HLOOKUP('Initial Capital Payment'!$C$12,'LPP Act Financing Plan'!$E$4:$CZ$32,5,FALSE)))</f>
        <v>0</v>
      </c>
      <c r="BB39" s="477">
        <f>IF(AND('Initial Capital Payment'!$C$14="Pay-Go",BB4&lt;='Initial Capital Payment'!$C$12),(HLOOKUP('Initial Capital Payment'!$C$12,'LPP Act Financing Plan'!$E$4:$CZ$32,27,FALSE))*'Initial Capital Payment'!$F$12)/((HLOOKUP('Initial Capital Payment'!$C$12,'LPP Act Financing Plan'!$E$4:$CZ$32,5,FALSE)))</f>
        <v>0</v>
      </c>
      <c r="BC39" s="477">
        <f>IF(AND('Initial Capital Payment'!$C$14="Pay-Go",BC4&lt;='Initial Capital Payment'!$C$12),(HLOOKUP('Initial Capital Payment'!$C$12,'LPP Act Financing Plan'!$E$4:$CZ$32,27,FALSE))*'Initial Capital Payment'!$F$12)/((HLOOKUP('Initial Capital Payment'!$C$12,'LPP Act Financing Plan'!$E$4:$CZ$32,5,FALSE)))</f>
        <v>0</v>
      </c>
      <c r="BD39" s="477">
        <f>IF(AND('Initial Capital Payment'!$C$14="Pay-Go",BD4&lt;='Initial Capital Payment'!$C$12),(HLOOKUP('Initial Capital Payment'!$C$12,'LPP Act Financing Plan'!$E$4:$CZ$32,27,FALSE))*'Initial Capital Payment'!$F$12)/((HLOOKUP('Initial Capital Payment'!$C$12,'LPP Act Financing Plan'!$E$4:$CZ$32,5,FALSE)))</f>
        <v>0</v>
      </c>
      <c r="BE39" s="477">
        <f>IF(AND('Initial Capital Payment'!$C$14="Pay-Go",BE4&lt;='Initial Capital Payment'!$C$12),(HLOOKUP('Initial Capital Payment'!$C$12,'LPP Act Financing Plan'!$E$4:$CZ$32,27,FALSE))*'Initial Capital Payment'!$F$12)/((HLOOKUP('Initial Capital Payment'!$C$12,'LPP Act Financing Plan'!$E$4:$CZ$32,5,FALSE)))</f>
        <v>0</v>
      </c>
      <c r="BF39" s="477">
        <f>IF(AND('Initial Capital Payment'!$C$14="Pay-Go",BF4&lt;='Initial Capital Payment'!$C$12),(HLOOKUP('Initial Capital Payment'!$C$12,'LPP Act Financing Plan'!$E$4:$CZ$32,27,FALSE))*'Initial Capital Payment'!$F$12)/((HLOOKUP('Initial Capital Payment'!$C$12,'LPP Act Financing Plan'!$E$4:$CZ$32,5,FALSE)))</f>
        <v>0</v>
      </c>
      <c r="BG39" s="477">
        <f>IF(AND('Initial Capital Payment'!$C$14="Pay-Go",BG4&lt;='Initial Capital Payment'!$C$12),(HLOOKUP('Initial Capital Payment'!$C$12,'LPP Act Financing Plan'!$E$4:$CZ$32,27,FALSE))*'Initial Capital Payment'!$F$12)/((HLOOKUP('Initial Capital Payment'!$C$12,'LPP Act Financing Plan'!$E$4:$CZ$32,5,FALSE)))</f>
        <v>0</v>
      </c>
      <c r="BH39" s="477">
        <f>IF(AND('Initial Capital Payment'!$C$14="Pay-Go",BH4&lt;='Initial Capital Payment'!$C$12),(HLOOKUP('Initial Capital Payment'!$C$12,'LPP Act Financing Plan'!$E$4:$CZ$32,27,FALSE))*'Initial Capital Payment'!$F$12)/((HLOOKUP('Initial Capital Payment'!$C$12,'LPP Act Financing Plan'!$E$4:$CZ$32,5,FALSE)))</f>
        <v>0</v>
      </c>
      <c r="BI39" s="477">
        <f>IF(AND('Initial Capital Payment'!$C$14="Pay-Go",BI4&lt;='Initial Capital Payment'!$C$12),(HLOOKUP('Initial Capital Payment'!$C$12,'LPP Act Financing Plan'!$E$4:$CZ$32,27,FALSE))*'Initial Capital Payment'!$F$12)/((HLOOKUP('Initial Capital Payment'!$C$12,'LPP Act Financing Plan'!$E$4:$CZ$32,5,FALSE)))</f>
        <v>0</v>
      </c>
      <c r="BJ39" s="477">
        <f>IF(AND('Initial Capital Payment'!$C$14="Pay-Go",BJ4&lt;='Initial Capital Payment'!$C$12),(HLOOKUP('Initial Capital Payment'!$C$12,'LPP Act Financing Plan'!$E$4:$CZ$32,27,FALSE))*'Initial Capital Payment'!$F$12)/((HLOOKUP('Initial Capital Payment'!$C$12,'LPP Act Financing Plan'!$E$4:$CZ$32,5,FALSE)))</f>
        <v>0</v>
      </c>
      <c r="BK39" s="477">
        <f>IF(AND('Initial Capital Payment'!$C$14="Pay-Go",BK4&lt;='Initial Capital Payment'!$C$12),(HLOOKUP('Initial Capital Payment'!$C$12,'LPP Act Financing Plan'!$E$4:$CZ$32,27,FALSE))*'Initial Capital Payment'!$F$12)/((HLOOKUP('Initial Capital Payment'!$C$12,'LPP Act Financing Plan'!$E$4:$CZ$32,5,FALSE)))</f>
        <v>0</v>
      </c>
      <c r="BL39" s="477">
        <f>IF(AND('Initial Capital Payment'!$C$14="Pay-Go",BL4&lt;='Initial Capital Payment'!$C$12),(HLOOKUP('Initial Capital Payment'!$C$12,'LPP Act Financing Plan'!$E$4:$CZ$32,27,FALSE))*'Initial Capital Payment'!$F$12)/((HLOOKUP('Initial Capital Payment'!$C$12,'LPP Act Financing Plan'!$E$4:$CZ$32,5,FALSE)))</f>
        <v>0</v>
      </c>
      <c r="BM39" s="477">
        <f>IF(AND('Initial Capital Payment'!$C$14="Pay-Go",BM4&lt;='Initial Capital Payment'!$C$12),(HLOOKUP('Initial Capital Payment'!$C$12,'LPP Act Financing Plan'!$E$4:$CZ$32,27,FALSE))*'Initial Capital Payment'!$F$12)/((HLOOKUP('Initial Capital Payment'!$C$12,'LPP Act Financing Plan'!$E$4:$CZ$32,5,FALSE)))</f>
        <v>0</v>
      </c>
      <c r="BN39" s="477">
        <f>IF(AND('Initial Capital Payment'!$C$14="Pay-Go",BN4&lt;='Initial Capital Payment'!$C$12),(HLOOKUP('Initial Capital Payment'!$C$12,'LPP Act Financing Plan'!$E$4:$CZ$32,27,FALSE))*'Initial Capital Payment'!$F$12)/((HLOOKUP('Initial Capital Payment'!$C$12,'LPP Act Financing Plan'!$E$4:$CZ$32,5,FALSE)))</f>
        <v>0</v>
      </c>
      <c r="BO39" s="477">
        <f>IF(AND('Initial Capital Payment'!$C$14="Pay-Go",BO4&lt;='Initial Capital Payment'!$C$12),(HLOOKUP('Initial Capital Payment'!$C$12,'LPP Act Financing Plan'!$E$4:$CZ$32,27,FALSE))*'Initial Capital Payment'!$F$12)/((HLOOKUP('Initial Capital Payment'!$C$12,'LPP Act Financing Plan'!$E$4:$CZ$32,5,FALSE)))</f>
        <v>0</v>
      </c>
      <c r="BP39" s="477">
        <f>IF(AND('Initial Capital Payment'!$C$14="Pay-Go",BP4&lt;='Initial Capital Payment'!$C$12),(HLOOKUP('Initial Capital Payment'!$C$12,'LPP Act Financing Plan'!$E$4:$CZ$32,27,FALSE))*'Initial Capital Payment'!$F$12)/((HLOOKUP('Initial Capital Payment'!$C$12,'LPP Act Financing Plan'!$E$4:$CZ$32,5,FALSE)))</f>
        <v>0</v>
      </c>
      <c r="BQ39" s="477">
        <f>IF(AND('Initial Capital Payment'!$C$14="Pay-Go",BQ4&lt;='Initial Capital Payment'!$C$12),(HLOOKUP('Initial Capital Payment'!$C$12,'LPP Act Financing Plan'!$E$4:$CZ$32,27,FALSE))*'Initial Capital Payment'!$F$12)/((HLOOKUP('Initial Capital Payment'!$C$12,'LPP Act Financing Plan'!$E$4:$CZ$32,5,FALSE)))</f>
        <v>0</v>
      </c>
      <c r="BR39" s="477">
        <f>IF(AND('Initial Capital Payment'!$C$14="Pay-Go",BR4&lt;='Initial Capital Payment'!$C$12),(HLOOKUP('Initial Capital Payment'!$C$12,'LPP Act Financing Plan'!$E$4:$CZ$32,27,FALSE))*'Initial Capital Payment'!$F$12)/((HLOOKUP('Initial Capital Payment'!$C$12,'LPP Act Financing Plan'!$E$4:$CZ$32,5,FALSE)))</f>
        <v>0</v>
      </c>
      <c r="BS39" s="477">
        <f>IF(AND('Initial Capital Payment'!$C$14="Pay-Go",BS4&lt;='Initial Capital Payment'!$C$12),(HLOOKUP('Initial Capital Payment'!$C$12,'LPP Act Financing Plan'!$E$4:$CZ$32,27,FALSE))*'Initial Capital Payment'!$F$12)/((HLOOKUP('Initial Capital Payment'!$C$12,'LPP Act Financing Plan'!$E$4:$CZ$32,5,FALSE)))</f>
        <v>0</v>
      </c>
      <c r="BT39" s="477">
        <f>IF(AND('Initial Capital Payment'!$C$14="Pay-Go",BT4&lt;='Initial Capital Payment'!$C$12),(HLOOKUP('Initial Capital Payment'!$C$12,'LPP Act Financing Plan'!$E$4:$CZ$32,27,FALSE))*'Initial Capital Payment'!$F$12)/((HLOOKUP('Initial Capital Payment'!$C$12,'LPP Act Financing Plan'!$E$4:$CZ$32,5,FALSE)))</f>
        <v>0</v>
      </c>
      <c r="BU39" s="477">
        <f>IF(AND('Initial Capital Payment'!$C$14="Pay-Go",BU4&lt;='Initial Capital Payment'!$C$12),(HLOOKUP('Initial Capital Payment'!$C$12,'LPP Act Financing Plan'!$E$4:$CZ$32,27,FALSE))*'Initial Capital Payment'!$F$12)/((HLOOKUP('Initial Capital Payment'!$C$12,'LPP Act Financing Plan'!$E$4:$CZ$32,5,FALSE)))</f>
        <v>0</v>
      </c>
      <c r="BV39" s="477">
        <f>IF(AND('Initial Capital Payment'!$C$14="Pay-Go",BV4&lt;='Initial Capital Payment'!$C$12),(HLOOKUP('Initial Capital Payment'!$C$12,'LPP Act Financing Plan'!$E$4:$CZ$32,27,FALSE))*'Initial Capital Payment'!$F$12)/((HLOOKUP('Initial Capital Payment'!$C$12,'LPP Act Financing Plan'!$E$4:$CZ$32,5,FALSE)))</f>
        <v>0</v>
      </c>
      <c r="BW39" s="477">
        <f>IF(AND('Initial Capital Payment'!$C$14="Pay-Go",BW4&lt;='Initial Capital Payment'!$C$12),(HLOOKUP('Initial Capital Payment'!$C$12,'LPP Act Financing Plan'!$E$4:$CZ$32,27,FALSE))*'Initial Capital Payment'!$F$12)/((HLOOKUP('Initial Capital Payment'!$C$12,'LPP Act Financing Plan'!$E$4:$CZ$32,5,FALSE)))</f>
        <v>0</v>
      </c>
      <c r="BX39" s="477">
        <f>IF(AND('Initial Capital Payment'!$C$14="Pay-Go",BX4&lt;='Initial Capital Payment'!$C$12),(HLOOKUP('Initial Capital Payment'!$C$12,'LPP Act Financing Plan'!$E$4:$CZ$32,27,FALSE))*'Initial Capital Payment'!$F$12)/((HLOOKUP('Initial Capital Payment'!$C$12,'LPP Act Financing Plan'!$E$4:$CZ$32,5,FALSE)))</f>
        <v>0</v>
      </c>
      <c r="BY39" s="477">
        <f>IF(AND('Initial Capital Payment'!$C$14="Pay-Go",BY4&lt;='Initial Capital Payment'!$C$12),(HLOOKUP('Initial Capital Payment'!$C$12,'LPP Act Financing Plan'!$E$4:$CZ$32,27,FALSE))*'Initial Capital Payment'!$F$12)/((HLOOKUP('Initial Capital Payment'!$C$12,'LPP Act Financing Plan'!$E$4:$CZ$32,5,FALSE)))</f>
        <v>0</v>
      </c>
      <c r="BZ39" s="477">
        <f>IF(AND('Initial Capital Payment'!$C$14="Pay-Go",BZ4&lt;='Initial Capital Payment'!$C$12),(HLOOKUP('Initial Capital Payment'!$C$12,'LPP Act Financing Plan'!$E$4:$CZ$32,27,FALSE))*'Initial Capital Payment'!$F$12)/((HLOOKUP('Initial Capital Payment'!$C$12,'LPP Act Financing Plan'!$E$4:$CZ$32,5,FALSE)))</f>
        <v>0</v>
      </c>
      <c r="CA39" s="477">
        <f>IF(AND('Initial Capital Payment'!$C$14="Pay-Go",CA4&lt;='Initial Capital Payment'!$C$12),(HLOOKUP('Initial Capital Payment'!$C$12,'LPP Act Financing Plan'!$E$4:$CZ$32,27,FALSE))*'Initial Capital Payment'!$F$12)/((HLOOKUP('Initial Capital Payment'!$C$12,'LPP Act Financing Plan'!$E$4:$CZ$32,5,FALSE)))</f>
        <v>0</v>
      </c>
      <c r="CB39" s="477">
        <f>IF(AND('Initial Capital Payment'!$C$14="Pay-Go",CB4&lt;='Initial Capital Payment'!$C$12),(HLOOKUP('Initial Capital Payment'!$C$12,'LPP Act Financing Plan'!$E$4:$CZ$32,27,FALSE))*'Initial Capital Payment'!$F$12)/((HLOOKUP('Initial Capital Payment'!$C$12,'LPP Act Financing Plan'!$E$4:$CZ$32,5,FALSE)))</f>
        <v>0</v>
      </c>
      <c r="CC39" s="477">
        <f>IF(AND('Initial Capital Payment'!$C$14="Pay-Go",CC4&lt;='Initial Capital Payment'!$C$12),(HLOOKUP('Initial Capital Payment'!$C$12,'LPP Act Financing Plan'!$E$4:$CZ$32,27,FALSE))*'Initial Capital Payment'!$F$12)/((HLOOKUP('Initial Capital Payment'!$C$12,'LPP Act Financing Plan'!$E$4:$CZ$32,5,FALSE)))</f>
        <v>0</v>
      </c>
      <c r="CD39" s="477">
        <f>IF(AND('Initial Capital Payment'!$C$14="Pay-Go",CD4&lt;='Initial Capital Payment'!$C$12),(HLOOKUP('Initial Capital Payment'!$C$12,'LPP Act Financing Plan'!$E$4:$CZ$32,27,FALSE))*'Initial Capital Payment'!$F$12)/((HLOOKUP('Initial Capital Payment'!$C$12,'LPP Act Financing Plan'!$E$4:$CZ$32,5,FALSE)))</f>
        <v>0</v>
      </c>
      <c r="CE39" s="477">
        <f>IF(AND('Initial Capital Payment'!$C$14="Pay-Go",CE4&lt;='Initial Capital Payment'!$C$12),(HLOOKUP('Initial Capital Payment'!$C$12,'LPP Act Financing Plan'!$E$4:$CZ$32,27,FALSE))*'Initial Capital Payment'!$F$12)/((HLOOKUP('Initial Capital Payment'!$C$12,'LPP Act Financing Plan'!$E$4:$CZ$32,5,FALSE)))</f>
        <v>0</v>
      </c>
      <c r="CF39" s="477">
        <f>IF(AND('Initial Capital Payment'!$C$14="Pay-Go",CF4&lt;='Initial Capital Payment'!$C$12),(HLOOKUP('Initial Capital Payment'!$C$12,'LPP Act Financing Plan'!$E$4:$CZ$32,27,FALSE))*'Initial Capital Payment'!$F$12)/((HLOOKUP('Initial Capital Payment'!$C$12,'LPP Act Financing Plan'!$E$4:$CZ$32,5,FALSE)))</f>
        <v>0</v>
      </c>
      <c r="CG39" s="477">
        <f>IF(AND('Initial Capital Payment'!$C$14="Pay-Go",CG4&lt;='Initial Capital Payment'!$C$12),(HLOOKUP('Initial Capital Payment'!$C$12,'LPP Act Financing Plan'!$E$4:$CZ$32,27,FALSE))*'Initial Capital Payment'!$F$12)/((HLOOKUP('Initial Capital Payment'!$C$12,'LPP Act Financing Plan'!$E$4:$CZ$32,5,FALSE)))</f>
        <v>0</v>
      </c>
      <c r="CH39" s="477">
        <f>IF(AND('Initial Capital Payment'!$C$14="Pay-Go",CH4&lt;='Initial Capital Payment'!$C$12),(HLOOKUP('Initial Capital Payment'!$C$12,'LPP Act Financing Plan'!$E$4:$CZ$32,27,FALSE))*'Initial Capital Payment'!$F$12)/((HLOOKUP('Initial Capital Payment'!$C$12,'LPP Act Financing Plan'!$E$4:$CZ$32,5,FALSE)))</f>
        <v>0</v>
      </c>
      <c r="CI39" s="477">
        <f>IF(AND('Initial Capital Payment'!$C$14="Pay-Go",CI4&lt;='Initial Capital Payment'!$C$12),(HLOOKUP('Initial Capital Payment'!$C$12,'LPP Act Financing Plan'!$E$4:$CZ$32,27,FALSE))*'Initial Capital Payment'!$F$12)/((HLOOKUP('Initial Capital Payment'!$C$12,'LPP Act Financing Plan'!$E$4:$CZ$32,5,FALSE)))</f>
        <v>0</v>
      </c>
      <c r="CJ39" s="477">
        <f>IF(AND('Initial Capital Payment'!$C$14="Pay-Go",CJ4&lt;='Initial Capital Payment'!$C$12),(HLOOKUP('Initial Capital Payment'!$C$12,'LPP Act Financing Plan'!$E$4:$CZ$32,27,FALSE))*'Initial Capital Payment'!$F$12)/((HLOOKUP('Initial Capital Payment'!$C$12,'LPP Act Financing Plan'!$E$4:$CZ$32,5,FALSE)))</f>
        <v>0</v>
      </c>
      <c r="CK39" s="477">
        <f>IF(AND('Initial Capital Payment'!$C$14="Pay-Go",CK4&lt;='Initial Capital Payment'!$C$12),(HLOOKUP('Initial Capital Payment'!$C$12,'LPP Act Financing Plan'!$E$4:$CZ$32,27,FALSE))*'Initial Capital Payment'!$F$12)/((HLOOKUP('Initial Capital Payment'!$C$12,'LPP Act Financing Plan'!$E$4:$CZ$32,5,FALSE)))</f>
        <v>0</v>
      </c>
      <c r="CL39" s="477">
        <f>IF(AND('Initial Capital Payment'!$C$14="Pay-Go",CL4&lt;='Initial Capital Payment'!$C$12),(HLOOKUP('Initial Capital Payment'!$C$12,'LPP Act Financing Plan'!$E$4:$CZ$32,27,FALSE))*'Initial Capital Payment'!$F$12)/((HLOOKUP('Initial Capital Payment'!$C$12,'LPP Act Financing Plan'!$E$4:$CZ$32,5,FALSE)))</f>
        <v>0</v>
      </c>
      <c r="CM39" s="477">
        <f>IF(AND('Initial Capital Payment'!$C$14="Pay-Go",CM4&lt;='Initial Capital Payment'!$C$12),(HLOOKUP('Initial Capital Payment'!$C$12,'LPP Act Financing Plan'!$E$4:$CZ$32,27,FALSE))*'Initial Capital Payment'!$F$12)/((HLOOKUP('Initial Capital Payment'!$C$12,'LPP Act Financing Plan'!$E$4:$CZ$32,5,FALSE)))</f>
        <v>0</v>
      </c>
      <c r="CN39" s="477">
        <f>IF(AND('Initial Capital Payment'!$C$14="Pay-Go",CN4&lt;='Initial Capital Payment'!$C$12),(HLOOKUP('Initial Capital Payment'!$C$12,'LPP Act Financing Plan'!$E$4:$CZ$32,26,FALSE))*'Initial Capital Payment'!$F$12)/((HLOOKUP('Initial Capital Payment'!$C$12,'LPP Act Financing Plan'!$E$4:$CZ$32,5,FALSE)))</f>
        <v>0</v>
      </c>
      <c r="CO39" s="477">
        <f>IF(AND('Initial Capital Payment'!$C$14="Pay-Go",CO4&lt;='Initial Capital Payment'!$C$12),(HLOOKUP('Initial Capital Payment'!$C$12,'LPP Act Financing Plan'!$E$4:$CZ$32,26,FALSE))*'Initial Capital Payment'!$F$12)/((HLOOKUP('Initial Capital Payment'!$C$12,'LPP Act Financing Plan'!$E$4:$CZ$32,5,FALSE)))</f>
        <v>0</v>
      </c>
      <c r="CP39" s="477">
        <f>IF(AND('Initial Capital Payment'!$C$14="Pay-Go",CP4&lt;='Initial Capital Payment'!$C$12),(HLOOKUP('Initial Capital Payment'!$C$12,'LPP Act Financing Plan'!$E$4:$CZ$32,26,FALSE))*'Initial Capital Payment'!$F$12)/((HLOOKUP('Initial Capital Payment'!$C$12,'LPP Act Financing Plan'!$E$4:$CZ$32,5,FALSE)))</f>
        <v>0</v>
      </c>
      <c r="CQ39" s="477">
        <f>IF(AND('Initial Capital Payment'!$C$14="Pay-Go",CQ4&lt;='Initial Capital Payment'!$C$12),(HLOOKUP('Initial Capital Payment'!$C$12,'LPP Act Financing Plan'!$E$4:$CZ$32,26,FALSE))*'Initial Capital Payment'!$F$12)/((HLOOKUP('Initial Capital Payment'!$C$12,'LPP Act Financing Plan'!$E$4:$CZ$32,5,FALSE)))</f>
        <v>0</v>
      </c>
      <c r="CR39" s="477">
        <f>IF(AND('Initial Capital Payment'!$C$14="Pay-Go",CR4&lt;='Initial Capital Payment'!$C$12),(HLOOKUP('Initial Capital Payment'!$C$12,'LPP Act Financing Plan'!$E$4:$CZ$32,26,FALSE))*'Initial Capital Payment'!$F$12)/((HLOOKUP('Initial Capital Payment'!$C$12,'LPP Act Financing Plan'!$E$4:$CZ$32,5,FALSE)))</f>
        <v>0</v>
      </c>
      <c r="CS39" s="477">
        <f>IF(AND('Initial Capital Payment'!$C$14="Pay-Go",CS4&lt;='Initial Capital Payment'!$C$12),(HLOOKUP('Initial Capital Payment'!$C$12,'LPP Act Financing Plan'!$E$4:$CZ$32,26,FALSE))*'Initial Capital Payment'!$F$12)/((HLOOKUP('Initial Capital Payment'!$C$12,'LPP Act Financing Plan'!$E$4:$CZ$32,5,FALSE)))</f>
        <v>0</v>
      </c>
      <c r="CT39" s="477">
        <f>IF(AND('Initial Capital Payment'!$C$14="Pay-Go",CT4&lt;='Initial Capital Payment'!$C$12),(HLOOKUP('Initial Capital Payment'!$C$12,'LPP Act Financing Plan'!$E$4:$CZ$32,26,FALSE))*'Initial Capital Payment'!$F$12)/((HLOOKUP('Initial Capital Payment'!$C$12,'LPP Act Financing Plan'!$E$4:$CZ$32,5,FALSE)))</f>
        <v>0</v>
      </c>
      <c r="CU39" s="477">
        <f>IF(AND('Initial Capital Payment'!$C$14="Pay-Go",CU4&lt;='Initial Capital Payment'!$C$12),(HLOOKUP('Initial Capital Payment'!$C$12,'LPP Act Financing Plan'!$E$4:$CZ$32,26,FALSE))*'Initial Capital Payment'!$F$12)/((HLOOKUP('Initial Capital Payment'!$C$12,'LPP Act Financing Plan'!$E$4:$CZ$32,5,FALSE)))</f>
        <v>0</v>
      </c>
      <c r="CV39" s="477">
        <f>IF(AND('Initial Capital Payment'!$C$14="Pay-Go",CV4&lt;='Initial Capital Payment'!$C$12),(HLOOKUP('Initial Capital Payment'!$C$12,'LPP Act Financing Plan'!$E$4:$CZ$32,26,FALSE))*'Initial Capital Payment'!$F$12)/((HLOOKUP('Initial Capital Payment'!$C$12,'LPP Act Financing Plan'!$E$4:$CZ$32,5,FALSE)))</f>
        <v>0</v>
      </c>
      <c r="CW39" s="477">
        <f>IF(AND('Initial Capital Payment'!$C$14="Pay-Go",CW4&lt;='Initial Capital Payment'!$C$12),(HLOOKUP('Initial Capital Payment'!$C$12,'LPP Act Financing Plan'!$E$4:$CZ$32,26,FALSE))*'Initial Capital Payment'!$F$12)/((HLOOKUP('Initial Capital Payment'!$C$12,'LPP Act Financing Plan'!$E$4:$CZ$32,5,FALSE)))</f>
        <v>0</v>
      </c>
      <c r="CX39" s="477">
        <f>IF(AND('Initial Capital Payment'!$C$14="Pay-Go",CX4&lt;='Initial Capital Payment'!$C$12),(HLOOKUP('Initial Capital Payment'!$C$12,'LPP Act Financing Plan'!$E$4:$CZ$32,26,FALSE))*'Initial Capital Payment'!$F$12)/((HLOOKUP('Initial Capital Payment'!$C$12,'LPP Act Financing Plan'!$E$4:$CZ$32,5,FALSE)))</f>
        <v>0</v>
      </c>
      <c r="CY39" s="477">
        <f>IF(AND('Initial Capital Payment'!$C$14="Pay-Go",CY4&lt;='Initial Capital Payment'!$C$12),(HLOOKUP('Initial Capital Payment'!$C$12,'LPP Act Financing Plan'!$E$4:$CZ$32,26,FALSE))*'Initial Capital Payment'!$F$12)/((HLOOKUP('Initial Capital Payment'!$C$12,'LPP Act Financing Plan'!$E$4:$CZ$32,5,FALSE)))</f>
        <v>0</v>
      </c>
      <c r="CZ39" s="477">
        <f>IF(AND('Initial Capital Payment'!$C$14="Pay-Go",CZ4&lt;='Initial Capital Payment'!$C$12),(HLOOKUP('Initial Capital Payment'!$C$12,'LPP Act Financing Plan'!$E$4:$CZ$32,26,FALSE))*'Initial Capital Payment'!$F$12)/((HLOOKUP('Initial Capital Payment'!$C$12,'LPP Act Financing Plan'!$E$4:$CZ$32,5,FALSE)))</f>
        <v>0</v>
      </c>
    </row>
    <row r="40" spans="1:104" x14ac:dyDescent="0.25">
      <c r="C40" t="s">
        <v>519</v>
      </c>
      <c r="E40" s="477">
        <f t="shared" ref="E40:AJ40" si="263">E39*E7</f>
        <v>0</v>
      </c>
      <c r="F40" s="477">
        <f t="shared" si="263"/>
        <v>0</v>
      </c>
      <c r="G40" s="477">
        <f t="shared" si="263"/>
        <v>0</v>
      </c>
      <c r="H40" s="477">
        <f t="shared" si="263"/>
        <v>0</v>
      </c>
      <c r="I40" s="477">
        <f t="shared" si="263"/>
        <v>0</v>
      </c>
      <c r="J40" s="477">
        <f t="shared" si="263"/>
        <v>0</v>
      </c>
      <c r="K40" s="477">
        <f t="shared" si="263"/>
        <v>0</v>
      </c>
      <c r="L40" s="477">
        <f t="shared" si="263"/>
        <v>0</v>
      </c>
      <c r="M40" s="477">
        <f t="shared" si="263"/>
        <v>0</v>
      </c>
      <c r="N40" s="477">
        <f t="shared" si="263"/>
        <v>0</v>
      </c>
      <c r="O40" s="477">
        <f t="shared" si="263"/>
        <v>0</v>
      </c>
      <c r="P40" s="477">
        <f t="shared" si="263"/>
        <v>0</v>
      </c>
      <c r="Q40" s="477">
        <f t="shared" si="263"/>
        <v>0</v>
      </c>
      <c r="R40" s="477">
        <f t="shared" si="263"/>
        <v>0</v>
      </c>
      <c r="S40" s="477">
        <f t="shared" si="263"/>
        <v>0</v>
      </c>
      <c r="T40" s="477">
        <f t="shared" si="263"/>
        <v>0</v>
      </c>
      <c r="U40" s="477">
        <f t="shared" si="263"/>
        <v>0</v>
      </c>
      <c r="V40" s="477">
        <f t="shared" si="263"/>
        <v>0</v>
      </c>
      <c r="W40" s="477">
        <f t="shared" si="263"/>
        <v>0</v>
      </c>
      <c r="X40" s="477">
        <f t="shared" si="263"/>
        <v>0</v>
      </c>
      <c r="Y40" s="477">
        <f t="shared" si="263"/>
        <v>0</v>
      </c>
      <c r="Z40" s="477">
        <f t="shared" si="263"/>
        <v>0</v>
      </c>
      <c r="AA40" s="477">
        <f t="shared" si="263"/>
        <v>0</v>
      </c>
      <c r="AB40" s="477">
        <f t="shared" si="263"/>
        <v>0</v>
      </c>
      <c r="AC40" s="477">
        <f t="shared" si="263"/>
        <v>0</v>
      </c>
      <c r="AD40" s="477">
        <f t="shared" si="263"/>
        <v>0</v>
      </c>
      <c r="AE40" s="477">
        <f t="shared" si="263"/>
        <v>0</v>
      </c>
      <c r="AF40" s="477">
        <f t="shared" si="263"/>
        <v>0</v>
      </c>
      <c r="AG40" s="477">
        <f t="shared" si="263"/>
        <v>0</v>
      </c>
      <c r="AH40" s="477">
        <f t="shared" si="263"/>
        <v>0</v>
      </c>
      <c r="AI40" s="477">
        <f t="shared" si="263"/>
        <v>0</v>
      </c>
      <c r="AJ40" s="477">
        <f t="shared" si="263"/>
        <v>0</v>
      </c>
      <c r="AK40" s="477">
        <f t="shared" ref="AK40:BP40" si="264">AK39*AK7</f>
        <v>0</v>
      </c>
      <c r="AL40" s="477">
        <f t="shared" si="264"/>
        <v>0</v>
      </c>
      <c r="AM40" s="477">
        <f t="shared" si="264"/>
        <v>0</v>
      </c>
      <c r="AN40" s="477">
        <f t="shared" si="264"/>
        <v>0</v>
      </c>
      <c r="AO40" s="477">
        <f t="shared" si="264"/>
        <v>0</v>
      </c>
      <c r="AP40" s="477">
        <f t="shared" si="264"/>
        <v>0</v>
      </c>
      <c r="AQ40" s="477">
        <f t="shared" si="264"/>
        <v>0</v>
      </c>
      <c r="AR40" s="477">
        <f t="shared" si="264"/>
        <v>0</v>
      </c>
      <c r="AS40" s="477">
        <f t="shared" si="264"/>
        <v>0</v>
      </c>
      <c r="AT40" s="477">
        <f t="shared" si="264"/>
        <v>0</v>
      </c>
      <c r="AU40" s="477">
        <f t="shared" si="264"/>
        <v>0</v>
      </c>
      <c r="AV40" s="477">
        <f t="shared" si="264"/>
        <v>0</v>
      </c>
      <c r="AW40" s="477">
        <f t="shared" si="264"/>
        <v>0</v>
      </c>
      <c r="AX40" s="477">
        <f t="shared" si="264"/>
        <v>0</v>
      </c>
      <c r="AY40" s="477">
        <f t="shared" si="264"/>
        <v>0</v>
      </c>
      <c r="AZ40" s="477">
        <f t="shared" si="264"/>
        <v>0</v>
      </c>
      <c r="BA40" s="477">
        <f t="shared" si="264"/>
        <v>0</v>
      </c>
      <c r="BB40" s="477">
        <f t="shared" si="264"/>
        <v>0</v>
      </c>
      <c r="BC40" s="477">
        <f t="shared" si="264"/>
        <v>0</v>
      </c>
      <c r="BD40" s="477">
        <f t="shared" si="264"/>
        <v>0</v>
      </c>
      <c r="BE40" s="477">
        <f t="shared" si="264"/>
        <v>0</v>
      </c>
      <c r="BF40" s="477">
        <f t="shared" si="264"/>
        <v>0</v>
      </c>
      <c r="BG40" s="477">
        <f t="shared" si="264"/>
        <v>0</v>
      </c>
      <c r="BH40" s="477">
        <f t="shared" si="264"/>
        <v>0</v>
      </c>
      <c r="BI40" s="477">
        <f t="shared" si="264"/>
        <v>0</v>
      </c>
      <c r="BJ40" s="477">
        <f t="shared" si="264"/>
        <v>0</v>
      </c>
      <c r="BK40" s="477">
        <f t="shared" si="264"/>
        <v>0</v>
      </c>
      <c r="BL40" s="477">
        <f t="shared" si="264"/>
        <v>0</v>
      </c>
      <c r="BM40" s="477">
        <f t="shared" si="264"/>
        <v>0</v>
      </c>
      <c r="BN40" s="477">
        <f t="shared" si="264"/>
        <v>0</v>
      </c>
      <c r="BO40" s="477">
        <f t="shared" si="264"/>
        <v>0</v>
      </c>
      <c r="BP40" s="477">
        <f t="shared" si="264"/>
        <v>0</v>
      </c>
      <c r="BQ40" s="477">
        <f t="shared" ref="BQ40:CV40" si="265">BQ39*BQ7</f>
        <v>0</v>
      </c>
      <c r="BR40" s="477">
        <f t="shared" si="265"/>
        <v>0</v>
      </c>
      <c r="BS40" s="477">
        <f t="shared" si="265"/>
        <v>0</v>
      </c>
      <c r="BT40" s="477">
        <f t="shared" si="265"/>
        <v>0</v>
      </c>
      <c r="BU40" s="477">
        <f t="shared" si="265"/>
        <v>0</v>
      </c>
      <c r="BV40" s="477">
        <f t="shared" si="265"/>
        <v>0</v>
      </c>
      <c r="BW40" s="477">
        <f t="shared" si="265"/>
        <v>0</v>
      </c>
      <c r="BX40" s="477">
        <f t="shared" si="265"/>
        <v>0</v>
      </c>
      <c r="BY40" s="477">
        <f t="shared" si="265"/>
        <v>0</v>
      </c>
      <c r="BZ40" s="477">
        <f t="shared" si="265"/>
        <v>0</v>
      </c>
      <c r="CA40" s="477">
        <f t="shared" si="265"/>
        <v>0</v>
      </c>
      <c r="CB40" s="477">
        <f t="shared" si="265"/>
        <v>0</v>
      </c>
      <c r="CC40" s="477">
        <f t="shared" si="265"/>
        <v>0</v>
      </c>
      <c r="CD40" s="477">
        <f t="shared" si="265"/>
        <v>0</v>
      </c>
      <c r="CE40" s="477">
        <f t="shared" si="265"/>
        <v>0</v>
      </c>
      <c r="CF40" s="477">
        <f t="shared" si="265"/>
        <v>0</v>
      </c>
      <c r="CG40" s="477">
        <f t="shared" si="265"/>
        <v>0</v>
      </c>
      <c r="CH40" s="477">
        <f t="shared" si="265"/>
        <v>0</v>
      </c>
      <c r="CI40" s="477">
        <f t="shared" si="265"/>
        <v>0</v>
      </c>
      <c r="CJ40" s="477">
        <f t="shared" si="265"/>
        <v>0</v>
      </c>
      <c r="CK40" s="477">
        <f t="shared" si="265"/>
        <v>0</v>
      </c>
      <c r="CL40" s="477">
        <f t="shared" si="265"/>
        <v>0</v>
      </c>
      <c r="CM40" s="477">
        <f t="shared" si="265"/>
        <v>0</v>
      </c>
      <c r="CN40" s="477">
        <f t="shared" si="265"/>
        <v>0</v>
      </c>
      <c r="CO40" s="477">
        <f t="shared" si="265"/>
        <v>0</v>
      </c>
      <c r="CP40" s="477">
        <f t="shared" si="265"/>
        <v>0</v>
      </c>
      <c r="CQ40" s="477">
        <f t="shared" si="265"/>
        <v>0</v>
      </c>
      <c r="CR40" s="477">
        <f t="shared" si="265"/>
        <v>0</v>
      </c>
      <c r="CS40" s="477">
        <f t="shared" si="265"/>
        <v>0</v>
      </c>
      <c r="CT40" s="477">
        <f t="shared" si="265"/>
        <v>0</v>
      </c>
      <c r="CU40" s="477">
        <f t="shared" si="265"/>
        <v>0</v>
      </c>
      <c r="CV40" s="477">
        <f t="shared" si="265"/>
        <v>0</v>
      </c>
      <c r="CW40" s="477">
        <f t="shared" ref="CW40:CZ40" si="266">CW39*CW7</f>
        <v>0</v>
      </c>
      <c r="CX40" s="477">
        <f t="shared" si="266"/>
        <v>0</v>
      </c>
      <c r="CY40" s="477">
        <f t="shared" si="266"/>
        <v>0</v>
      </c>
      <c r="CZ40" s="477">
        <f t="shared" si="266"/>
        <v>0</v>
      </c>
    </row>
    <row r="41" spans="1:104" x14ac:dyDescent="0.25">
      <c r="C41" t="s">
        <v>515</v>
      </c>
      <c r="E41" s="477">
        <f>IF(E40=0,0,E40)</f>
        <v>0</v>
      </c>
      <c r="F41" s="477">
        <f t="shared" ref="F41" si="267">IF(F39=0,0,E41+F40)</f>
        <v>0</v>
      </c>
      <c r="G41" s="477">
        <f t="shared" ref="G41" si="268">IF(G39=0,0,F41+G40)</f>
        <v>0</v>
      </c>
      <c r="H41" s="477">
        <f t="shared" ref="H41" si="269">IF(H39=0,0,G41+H40)</f>
        <v>0</v>
      </c>
      <c r="I41" s="477">
        <f t="shared" ref="I41" si="270">IF(I39=0,0,H41+I40)</f>
        <v>0</v>
      </c>
      <c r="J41" s="477">
        <f t="shared" ref="J41" si="271">IF(J39=0,0,I41+J40)</f>
        <v>0</v>
      </c>
      <c r="K41" s="477">
        <f t="shared" ref="K41" si="272">IF(K39=0,0,J41+K40)</f>
        <v>0</v>
      </c>
      <c r="L41" s="477">
        <f t="shared" ref="L41" si="273">IF(L39=0,0,K41+L40)</f>
        <v>0</v>
      </c>
      <c r="M41" s="477">
        <f t="shared" ref="M41" si="274">IF(M39=0,0,L41+M40)</f>
        <v>0</v>
      </c>
      <c r="N41" s="477">
        <f t="shared" ref="N41" si="275">IF(N39=0,0,M41+N40)</f>
        <v>0</v>
      </c>
      <c r="O41" s="477">
        <f t="shared" ref="O41" si="276">IF(O39=0,0,N41+O40)</f>
        <v>0</v>
      </c>
      <c r="P41" s="477">
        <f t="shared" ref="P41" si="277">IF(P39=0,0,O41+P40)</f>
        <v>0</v>
      </c>
      <c r="Q41" s="477">
        <f t="shared" ref="Q41" si="278">IF(Q39=0,0,P41+Q40)</f>
        <v>0</v>
      </c>
      <c r="R41" s="477">
        <f t="shared" ref="R41:BR41" si="279">IF(R39=0,0,Q41+R40)</f>
        <v>0</v>
      </c>
      <c r="S41" s="477">
        <f t="shared" si="279"/>
        <v>0</v>
      </c>
      <c r="T41" s="477">
        <f t="shared" si="279"/>
        <v>0</v>
      </c>
      <c r="U41" s="477">
        <f t="shared" si="279"/>
        <v>0</v>
      </c>
      <c r="V41" s="477">
        <f t="shared" si="279"/>
        <v>0</v>
      </c>
      <c r="W41" s="477">
        <f t="shared" si="279"/>
        <v>0</v>
      </c>
      <c r="X41" s="477">
        <f t="shared" si="279"/>
        <v>0</v>
      </c>
      <c r="Y41" s="477">
        <f t="shared" si="279"/>
        <v>0</v>
      </c>
      <c r="Z41" s="477">
        <f t="shared" si="279"/>
        <v>0</v>
      </c>
      <c r="AA41" s="477">
        <f t="shared" si="279"/>
        <v>0</v>
      </c>
      <c r="AB41" s="477">
        <f t="shared" si="279"/>
        <v>0</v>
      </c>
      <c r="AC41" s="477">
        <f t="shared" si="279"/>
        <v>0</v>
      </c>
      <c r="AD41" s="477">
        <f t="shared" si="279"/>
        <v>0</v>
      </c>
      <c r="AE41" s="477">
        <f t="shared" si="279"/>
        <v>0</v>
      </c>
      <c r="AF41" s="477">
        <f t="shared" si="279"/>
        <v>0</v>
      </c>
      <c r="AG41" s="477">
        <f t="shared" si="279"/>
        <v>0</v>
      </c>
      <c r="AH41" s="477">
        <f t="shared" si="279"/>
        <v>0</v>
      </c>
      <c r="AI41" s="477">
        <f t="shared" si="279"/>
        <v>0</v>
      </c>
      <c r="AJ41" s="477">
        <f t="shared" si="279"/>
        <v>0</v>
      </c>
      <c r="AK41" s="477">
        <f t="shared" si="279"/>
        <v>0</v>
      </c>
      <c r="AL41" s="477">
        <f t="shared" si="279"/>
        <v>0</v>
      </c>
      <c r="AM41" s="477">
        <f t="shared" si="279"/>
        <v>0</v>
      </c>
      <c r="AN41" s="477">
        <f t="shared" si="279"/>
        <v>0</v>
      </c>
      <c r="AO41" s="477">
        <f t="shared" si="279"/>
        <v>0</v>
      </c>
      <c r="AP41" s="477">
        <f t="shared" si="279"/>
        <v>0</v>
      </c>
      <c r="AQ41" s="477">
        <f t="shared" si="279"/>
        <v>0</v>
      </c>
      <c r="AR41" s="477">
        <f t="shared" si="279"/>
        <v>0</v>
      </c>
      <c r="AS41" s="477">
        <f t="shared" si="279"/>
        <v>0</v>
      </c>
      <c r="AT41" s="477">
        <f t="shared" si="279"/>
        <v>0</v>
      </c>
      <c r="AU41" s="477">
        <f t="shared" si="279"/>
        <v>0</v>
      </c>
      <c r="AV41" s="477">
        <f t="shared" si="279"/>
        <v>0</v>
      </c>
      <c r="AW41" s="477">
        <f t="shared" si="279"/>
        <v>0</v>
      </c>
      <c r="AX41" s="477">
        <f t="shared" si="279"/>
        <v>0</v>
      </c>
      <c r="AY41" s="477">
        <f t="shared" si="279"/>
        <v>0</v>
      </c>
      <c r="AZ41" s="477">
        <f t="shared" si="279"/>
        <v>0</v>
      </c>
      <c r="BA41" s="477">
        <f t="shared" si="279"/>
        <v>0</v>
      </c>
      <c r="BB41" s="477">
        <f t="shared" si="279"/>
        <v>0</v>
      </c>
      <c r="BC41" s="477">
        <f t="shared" si="279"/>
        <v>0</v>
      </c>
      <c r="BD41" s="477">
        <f t="shared" si="279"/>
        <v>0</v>
      </c>
      <c r="BE41" s="477">
        <f t="shared" si="279"/>
        <v>0</v>
      </c>
      <c r="BF41" s="477">
        <f t="shared" si="279"/>
        <v>0</v>
      </c>
      <c r="BG41" s="477">
        <f t="shared" si="279"/>
        <v>0</v>
      </c>
      <c r="BH41" s="477">
        <f t="shared" si="279"/>
        <v>0</v>
      </c>
      <c r="BI41" s="477">
        <f t="shared" si="279"/>
        <v>0</v>
      </c>
      <c r="BJ41" s="477">
        <f t="shared" si="279"/>
        <v>0</v>
      </c>
      <c r="BK41" s="477">
        <f t="shared" si="279"/>
        <v>0</v>
      </c>
      <c r="BL41" s="477">
        <f t="shared" si="279"/>
        <v>0</v>
      </c>
      <c r="BM41" s="477">
        <f t="shared" si="279"/>
        <v>0</v>
      </c>
      <c r="BN41" s="477">
        <f t="shared" si="279"/>
        <v>0</v>
      </c>
      <c r="BO41" s="477">
        <f t="shared" si="279"/>
        <v>0</v>
      </c>
      <c r="BP41" s="477">
        <f t="shared" si="279"/>
        <v>0</v>
      </c>
      <c r="BQ41" s="477">
        <f t="shared" si="279"/>
        <v>0</v>
      </c>
      <c r="BR41" s="477">
        <f t="shared" si="279"/>
        <v>0</v>
      </c>
      <c r="BS41" s="477">
        <f t="shared" ref="BS41:CZ41" si="280">IF(BS39=0,0,BR41+BS40)</f>
        <v>0</v>
      </c>
      <c r="BT41" s="477">
        <f t="shared" si="280"/>
        <v>0</v>
      </c>
      <c r="BU41" s="477">
        <f t="shared" si="280"/>
        <v>0</v>
      </c>
      <c r="BV41" s="477">
        <f t="shared" si="280"/>
        <v>0</v>
      </c>
      <c r="BW41" s="477">
        <f t="shared" si="280"/>
        <v>0</v>
      </c>
      <c r="BX41" s="477">
        <f t="shared" si="280"/>
        <v>0</v>
      </c>
      <c r="BY41" s="477">
        <f t="shared" si="280"/>
        <v>0</v>
      </c>
      <c r="BZ41" s="477">
        <f t="shared" si="280"/>
        <v>0</v>
      </c>
      <c r="CA41" s="477">
        <f t="shared" si="280"/>
        <v>0</v>
      </c>
      <c r="CB41" s="477">
        <f t="shared" si="280"/>
        <v>0</v>
      </c>
      <c r="CC41" s="477">
        <f t="shared" si="280"/>
        <v>0</v>
      </c>
      <c r="CD41" s="477">
        <f t="shared" si="280"/>
        <v>0</v>
      </c>
      <c r="CE41" s="477">
        <f t="shared" si="280"/>
        <v>0</v>
      </c>
      <c r="CF41" s="477">
        <f t="shared" si="280"/>
        <v>0</v>
      </c>
      <c r="CG41" s="477">
        <f t="shared" si="280"/>
        <v>0</v>
      </c>
      <c r="CH41" s="477">
        <f t="shared" si="280"/>
        <v>0</v>
      </c>
      <c r="CI41" s="477">
        <f t="shared" si="280"/>
        <v>0</v>
      </c>
      <c r="CJ41" s="477">
        <f t="shared" si="280"/>
        <v>0</v>
      </c>
      <c r="CK41" s="477">
        <f t="shared" si="280"/>
        <v>0</v>
      </c>
      <c r="CL41" s="477">
        <f t="shared" si="280"/>
        <v>0</v>
      </c>
      <c r="CM41" s="477">
        <f t="shared" si="280"/>
        <v>0</v>
      </c>
      <c r="CN41" s="477">
        <f t="shared" si="280"/>
        <v>0</v>
      </c>
      <c r="CO41" s="477">
        <f t="shared" si="280"/>
        <v>0</v>
      </c>
      <c r="CP41" s="477">
        <f t="shared" si="280"/>
        <v>0</v>
      </c>
      <c r="CQ41" s="477">
        <f t="shared" si="280"/>
        <v>0</v>
      </c>
      <c r="CR41" s="477">
        <f t="shared" si="280"/>
        <v>0</v>
      </c>
      <c r="CS41" s="477">
        <f t="shared" si="280"/>
        <v>0</v>
      </c>
      <c r="CT41" s="477">
        <f t="shared" si="280"/>
        <v>0</v>
      </c>
      <c r="CU41" s="477">
        <f t="shared" si="280"/>
        <v>0</v>
      </c>
      <c r="CV41" s="477">
        <f t="shared" si="280"/>
        <v>0</v>
      </c>
      <c r="CW41" s="477">
        <f t="shared" si="280"/>
        <v>0</v>
      </c>
      <c r="CX41" s="477">
        <f t="shared" si="280"/>
        <v>0</v>
      </c>
      <c r="CY41" s="477">
        <f t="shared" si="280"/>
        <v>0</v>
      </c>
      <c r="CZ41" s="477">
        <f t="shared" si="280"/>
        <v>0</v>
      </c>
    </row>
    <row r="42" spans="1:104" x14ac:dyDescent="0.25">
      <c r="E42" s="477"/>
      <c r="F42" s="477"/>
      <c r="G42" s="477"/>
      <c r="H42" s="477"/>
      <c r="I42" s="477"/>
      <c r="J42" s="477"/>
      <c r="K42" s="477"/>
      <c r="L42" s="477"/>
      <c r="M42" s="477"/>
      <c r="N42" s="477"/>
      <c r="O42" s="477"/>
      <c r="P42" s="477"/>
      <c r="Q42" s="477"/>
      <c r="R42" s="477"/>
      <c r="S42" s="477"/>
      <c r="T42" s="477"/>
      <c r="U42" s="477"/>
      <c r="V42" s="732"/>
      <c r="W42" s="477"/>
      <c r="X42" s="477"/>
      <c r="Y42" s="477"/>
      <c r="Z42" s="477"/>
      <c r="AA42" s="477"/>
      <c r="AB42" s="477"/>
      <c r="AC42" s="477"/>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477"/>
      <c r="CH42" s="477"/>
      <c r="CI42" s="477"/>
      <c r="CJ42" s="477"/>
      <c r="CK42" s="477"/>
      <c r="CL42" s="477"/>
      <c r="CM42" s="477"/>
      <c r="CN42" s="477"/>
      <c r="CO42" s="477"/>
      <c r="CP42" s="477"/>
      <c r="CQ42" s="477"/>
      <c r="CR42" s="477"/>
      <c r="CS42" s="477"/>
      <c r="CT42" s="477"/>
      <c r="CU42" s="477"/>
      <c r="CV42" s="477"/>
      <c r="CW42" s="477"/>
      <c r="CX42" s="477"/>
      <c r="CY42" s="477"/>
      <c r="CZ42" s="477"/>
    </row>
    <row r="43" spans="1:104" x14ac:dyDescent="0.25">
      <c r="B43" t="s">
        <v>308</v>
      </c>
      <c r="E43" s="477"/>
      <c r="F43" s="477"/>
      <c r="G43" s="477"/>
      <c r="H43" s="477"/>
      <c r="I43" s="477"/>
      <c r="J43" s="477"/>
      <c r="K43" s="477"/>
      <c r="L43" s="477"/>
      <c r="M43" s="477"/>
      <c r="N43" s="477"/>
      <c r="O43" s="477"/>
      <c r="P43" s="477"/>
      <c r="Q43" s="477"/>
      <c r="R43" s="477"/>
      <c r="S43" s="477"/>
      <c r="T43" s="477"/>
      <c r="U43" s="477"/>
      <c r="V43" s="477"/>
      <c r="W43" s="479"/>
      <c r="X43" s="477"/>
      <c r="Y43" s="477"/>
      <c r="Z43" s="477"/>
      <c r="AA43" s="791"/>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c r="CE43" s="477"/>
      <c r="CF43" s="477"/>
      <c r="CG43" s="477"/>
      <c r="CH43" s="477"/>
      <c r="CI43" s="477"/>
      <c r="CJ43" s="477"/>
      <c r="CK43" s="477"/>
      <c r="CL43" s="477"/>
      <c r="CM43" s="477"/>
      <c r="CN43" s="477"/>
      <c r="CO43" s="477"/>
      <c r="CP43" s="477"/>
      <c r="CQ43" s="477"/>
      <c r="CR43" s="477"/>
      <c r="CS43" s="477"/>
      <c r="CT43" s="477"/>
      <c r="CU43" s="477"/>
      <c r="CV43" s="477"/>
      <c r="CW43" s="477"/>
      <c r="CX43" s="477"/>
      <c r="CY43" s="477"/>
      <c r="CZ43" s="477"/>
    </row>
    <row r="44" spans="1:104" x14ac:dyDescent="0.25">
      <c r="A44" s="472"/>
      <c r="C44" t="s">
        <v>306</v>
      </c>
      <c r="E44" s="573">
        <f>IF(AND('Incremental Repayments'!$R$22="Pay-Go",E$31&gt;0),(E$31*'Incremental Repayments'!$I$22)/(E10*1000000/1000),0)</f>
        <v>0</v>
      </c>
      <c r="F44" s="573">
        <f>IF(AND('Incremental Repayments'!$R$22="Pay-Go",F$31&gt;0),(F$31*'Incremental Repayments'!$I$22)/(F10*1000000/1000),0)</f>
        <v>0</v>
      </c>
      <c r="G44" s="573">
        <f>IF(AND('Incremental Repayments'!$R$22="Pay-Go",G$31&gt;0),(G$31*'Incremental Repayments'!$I$22)/(G10*1000000/1000),0)</f>
        <v>0</v>
      </c>
      <c r="H44" s="573">
        <f>IF(AND('Incremental Repayments'!$R$22="Pay-Go",H$31&gt;0),(H$31*'Incremental Repayments'!$I$22)/(H10*1000000/1000),0)</f>
        <v>0</v>
      </c>
      <c r="I44" s="573">
        <f>IF(AND('Incremental Repayments'!$R$22="Pay-Go",I$31&gt;0),(I$31*'Incremental Repayments'!$I$22)/(I10*1000000/1000),0)</f>
        <v>0</v>
      </c>
      <c r="J44" s="573">
        <f>IF(AND('Incremental Repayments'!$R$22="Pay-Go",J$31&gt;0),(J$31*'Incremental Repayments'!$I$22)/(J10*1000000/1000),0)</f>
        <v>0</v>
      </c>
      <c r="K44" s="573">
        <f>IF(AND('Incremental Repayments'!$R$22="Pay-Go",K$31&gt;0),(K$31*'Incremental Repayments'!$I$22)/(K10*1000000/1000),0)</f>
        <v>0</v>
      </c>
      <c r="L44" s="573">
        <f>IF(AND('Incremental Repayments'!$R$22="Pay-Go",L$31&gt;0),(L$31*'Incremental Repayments'!$I$22)/(L10*1000000/1000),0)</f>
        <v>0</v>
      </c>
      <c r="M44" s="573">
        <f>IF(AND('Incremental Repayments'!$R$22="Pay-Go",M$31&gt;0),(M$31*'Incremental Repayments'!$I$22)/(M10*1000000/1000),0)</f>
        <v>0</v>
      </c>
      <c r="N44" s="573">
        <f>IF(AND('Incremental Repayments'!$R$22="Pay-Go",N$31&gt;0),(N$31*'Incremental Repayments'!$I$22)/(N10*1000000/1000),0)</f>
        <v>0</v>
      </c>
      <c r="O44" s="573">
        <f>IF(AND('Incremental Repayments'!$R$22="Pay-Go",O$31&gt;0),(O$31*'Incremental Repayments'!$I$22)/(O10*1000000/1000),0)</f>
        <v>0</v>
      </c>
      <c r="P44" s="573">
        <f>IF(AND('Incremental Repayments'!$R$22="Pay-Go",P$31&gt;0),(P$31*'Incremental Repayments'!$I$22)/(P10*1000000/1000),0)</f>
        <v>0</v>
      </c>
      <c r="Q44" s="573">
        <f>IF(AND('Incremental Repayments'!$R$22="Pay-Go",Q$31&gt;0),(Q$31*'Incremental Repayments'!$I$22)/(Q10*1000000/1000),0)</f>
        <v>0</v>
      </c>
      <c r="R44" s="573">
        <f>IF(AND('Incremental Repayments'!$R$22="Pay-Go",R$31&gt;0),(R$31*'Incremental Repayments'!$I$22)/(R10*1000000/1000),0)</f>
        <v>0</v>
      </c>
      <c r="S44" s="573">
        <f>IF(AND('Incremental Repayments'!$R$22="Pay-Go",S$31&gt;0),(S$31*'Incremental Repayments'!$I$22)/(S10*1000000/1000),0)</f>
        <v>0</v>
      </c>
      <c r="T44" s="573">
        <f>IF(AND('Incremental Repayments'!$R$22="Pay-Go",T$31&gt;0),(T$31*'Incremental Repayments'!$I$22)/(T10*1000000/1000),0)</f>
        <v>0</v>
      </c>
      <c r="U44" s="573">
        <f>IF(AND('Incremental Repayments'!$R$22="Pay-Go",U$31&gt;0),(U$31*'Incremental Repayments'!$I$22)/(U10*1000000/1000),0)</f>
        <v>0</v>
      </c>
      <c r="V44" s="573">
        <f>IF(AND('Incremental Repayments'!$R$22="Pay-Go",V$31&gt;0),(V$31*'Incremental Repayments'!$I$22)/(V10*1000000/1000),0)</f>
        <v>0</v>
      </c>
      <c r="W44" s="573">
        <f>IF(AND('Incremental Repayments'!$R$22="Pay-Go",W$31&gt;0),(W$31*'Incremental Repayments'!$I$22)/(W10*1000000/1000),0)</f>
        <v>0</v>
      </c>
      <c r="X44" s="573">
        <f>IF(AND('Incremental Repayments'!$R$22="Pay-Go",X$31&gt;0),(X$31*'Incremental Repayments'!$I$22)/(X10*1000000/1000),0)</f>
        <v>0</v>
      </c>
      <c r="Y44" s="573">
        <f>IF(AND('Incremental Repayments'!$R$22="Pay-Go",Y$31&gt;0),(Y$31*'Incremental Repayments'!$I$22)/(Y10*1000000/1000),0)</f>
        <v>0</v>
      </c>
      <c r="Z44" s="573">
        <f>IF(AND('Incremental Repayments'!$R$22="Pay-Go",Z$31&gt;0),(Z$31*'Incremental Repayments'!$I$22)/(Z10*1000000/1000),0)</f>
        <v>0</v>
      </c>
      <c r="AA44" s="573">
        <f>IF(AND('Incremental Repayments'!$R$22="Pay-Go",AA$31&gt;0),(AA$31*'Incremental Repayments'!$I$22)/(AA10*1000000/1000),0)</f>
        <v>0</v>
      </c>
      <c r="AB44" s="573">
        <f>IF(AND('Incremental Repayments'!$R$22="Pay-Go",AB$31&gt;0),(AB$31*'Incremental Repayments'!$I$22)/(AB10*1000000/1000),0)</f>
        <v>0</v>
      </c>
      <c r="AC44" s="573">
        <f>IF(AND('Incremental Repayments'!$R$22="Pay-Go",AC$31&gt;0),(AC$31*'Incremental Repayments'!$I$22)/(AC10*1000000/1000),0)</f>
        <v>0</v>
      </c>
      <c r="AD44" s="573">
        <f>IF(AND('Incremental Repayments'!$R$22="Pay-Go",AD$31&gt;0),(AD$31*'Incremental Repayments'!$I$22)/(AD10*1000000/1000),0)</f>
        <v>0</v>
      </c>
      <c r="AE44" s="573">
        <f>IF(AND('Incremental Repayments'!$R$22="Pay-Go",AE$31&gt;0),(AE$31*'Incremental Repayments'!$I$22)/(AE10*1000000/1000),0)</f>
        <v>0</v>
      </c>
      <c r="AF44" s="573">
        <f>IF(AND('Incremental Repayments'!$R$22="Pay-Go",AF$31&gt;0),(AF$31*'Incremental Repayments'!$I$22)/(AF10*1000000/1000),0)</f>
        <v>0</v>
      </c>
      <c r="AG44" s="573">
        <f>IF(AND('Incremental Repayments'!$R$22="Pay-Go",AG$31&gt;0),(AG$31*'Incremental Repayments'!$I$22)/(AG10*1000000/1000),0)</f>
        <v>0</v>
      </c>
      <c r="AH44" s="573">
        <f>IF(AND('Incremental Repayments'!$R$22="Pay-Go",AH$31&gt;0),(AH$31*'Incremental Repayments'!$I$22)/(AH10*1000000/1000),0)</f>
        <v>0</v>
      </c>
      <c r="AI44" s="573">
        <f>IF(AND('Incremental Repayments'!$R$22="Pay-Go",AI$31&gt;0),(AI$31*'Incremental Repayments'!$I$22)/(AI10*1000000/1000),0)</f>
        <v>0</v>
      </c>
      <c r="AJ44" s="573">
        <f>IF(AND('Incremental Repayments'!$R$22="Pay-Go",AJ$31&gt;0),(AJ$31*'Incremental Repayments'!$I$22)/(AJ10*1000000/1000),0)</f>
        <v>0</v>
      </c>
      <c r="AK44" s="573">
        <f>IF(AND('Incremental Repayments'!$R$22="Pay-Go",AK$31&gt;0),(AK$31*'Incremental Repayments'!$I$22)/(AK10*1000000/1000),0)</f>
        <v>0</v>
      </c>
      <c r="AL44" s="573">
        <f>IF(AND('Incremental Repayments'!$R$22="Pay-Go",AL$31&gt;0),(AL$31*'Incremental Repayments'!$I$22)/(AL10*1000000/1000),0)</f>
        <v>0</v>
      </c>
      <c r="AM44" s="573">
        <f>IF(AND('Incremental Repayments'!$R$22="Pay-Go",AM$31&gt;0),(AM$31*'Incremental Repayments'!$I$22)/(AM10*1000000/1000),0)</f>
        <v>0</v>
      </c>
      <c r="AN44" s="573">
        <f>IF(AND('Incremental Repayments'!$R$22="Pay-Go",AN$31&gt;0),(AN$31*'Incremental Repayments'!$I$22)/(AN10*1000000/1000),0)</f>
        <v>0</v>
      </c>
      <c r="AO44" s="573">
        <f>IF(AND('Incremental Repayments'!$R$22="Pay-Go",AO$31&gt;0),(AO$31*'Incremental Repayments'!$I$22)/(AO10*1000000/1000),0)</f>
        <v>0</v>
      </c>
      <c r="AP44" s="573">
        <f>IF(AND('Incremental Repayments'!$R$22="Pay-Go",AP$31&gt;0),(AP$31*'Incremental Repayments'!$I$22)/(AP10*1000000/1000),0)</f>
        <v>0</v>
      </c>
      <c r="AQ44" s="573">
        <f>IF(AND('Incremental Repayments'!$R$22="Pay-Go",AQ$31&gt;0),(AQ$31*'Incremental Repayments'!$I$22)/(AQ10*1000000/1000),0)</f>
        <v>0</v>
      </c>
      <c r="AR44" s="573">
        <f>IF(AND('Incremental Repayments'!$R$22="Pay-Go",AR$31&gt;0),(AR$31*'Incremental Repayments'!$I$22)/(AR10*1000000/1000),0)</f>
        <v>0</v>
      </c>
      <c r="AS44" s="573">
        <f>IF(AND('Incremental Repayments'!$R$22="Pay-Go",AS$31&gt;0),(AS$31*'Incremental Repayments'!$I$22)/(AS10*1000000/1000),0)</f>
        <v>0</v>
      </c>
      <c r="AT44" s="573">
        <f>IF(AND('Incremental Repayments'!$R$22="Pay-Go",AT$31&gt;0),(AT$31*'Incremental Repayments'!$I$22)/(AT10*1000000/1000),0)</f>
        <v>0</v>
      </c>
      <c r="AU44" s="573">
        <f>IF(AND('Incremental Repayments'!$R$22="Pay-Go",AU$31&gt;0),(AU$31*'Incremental Repayments'!$I$22)/(AU10*1000000/1000),0)</f>
        <v>0</v>
      </c>
      <c r="AV44" s="573">
        <f>IF(AND('Incremental Repayments'!$R$22="Pay-Go",AV$31&gt;0),(AV$31*'Incremental Repayments'!$I$22)/(AV10*1000000/1000),0)</f>
        <v>0</v>
      </c>
      <c r="AW44" s="573">
        <f>IF(AND('Incremental Repayments'!$R$22="Pay-Go",AW$31&gt;0),(AW$31*'Incremental Repayments'!$I$22)/(AW10*1000000/1000),0)</f>
        <v>0</v>
      </c>
      <c r="AX44" s="573">
        <f>IF(AND('Incremental Repayments'!$R$22="Pay-Go",AX$31&gt;0),(AX$31*'Incremental Repayments'!$I$22)/(AX10*1000000/1000),0)</f>
        <v>0</v>
      </c>
      <c r="AY44" s="573">
        <f>IF(AND('Incremental Repayments'!$R$22="Pay-Go",AY$31&gt;0),(AY$31*'Incremental Repayments'!$I$22)/(AY10*1000000/1000),0)</f>
        <v>0</v>
      </c>
      <c r="AZ44" s="573">
        <f>IF(AND('Incremental Repayments'!$R$22="Pay-Go",AZ$31&gt;0),(AZ$31*'Incremental Repayments'!$I$22)/(AZ10*1000000/1000),0)</f>
        <v>0</v>
      </c>
      <c r="BA44" s="573">
        <f>IF(AND('Incremental Repayments'!$R$22="Pay-Go",BA$31&gt;0),(BA$31*'Incremental Repayments'!$I$22)/(BA10*1000000/1000),0)</f>
        <v>0</v>
      </c>
      <c r="BB44" s="573">
        <f>IF(AND('Incremental Repayments'!$R$22="Pay-Go",BB$31&gt;0),(BB$31*'Incremental Repayments'!$I$22)/(BB10*1000000/1000),0)</f>
        <v>0</v>
      </c>
      <c r="BC44" s="573">
        <f>IF(AND('Incremental Repayments'!$R$22="Pay-Go",BC$31&gt;0),(BC$31*'Incremental Repayments'!$I$22)/(BC10*1000000/1000),0)</f>
        <v>0</v>
      </c>
      <c r="BD44" s="573">
        <f>IF(AND('Incremental Repayments'!$R$22="Pay-Go",BD$31&gt;0),(BD$31*'Incremental Repayments'!$I$22)/(BD10*1000000/1000),0)</f>
        <v>0</v>
      </c>
      <c r="BE44" s="573">
        <f>IF(AND('Incremental Repayments'!$R$22="Pay-Go",BE$31&gt;0),(BE$31*'Incremental Repayments'!$I$22)/(BE10*1000000/1000),0)</f>
        <v>0</v>
      </c>
      <c r="BF44" s="573">
        <f>IF(AND('Incremental Repayments'!$R$22="Pay-Go",BF$31&gt;0),(BF$31*'Incremental Repayments'!$I$22)/(BF10*1000000/1000),0)</f>
        <v>0</v>
      </c>
      <c r="BG44" s="573">
        <f>IF(AND('Incremental Repayments'!$R$22="Pay-Go",BG$31&gt;0),(BG$31*'Incremental Repayments'!$I$22)/(BG10*1000000/1000),0)</f>
        <v>0</v>
      </c>
      <c r="BH44" s="573">
        <f>IF(AND('Incremental Repayments'!$R$22="Pay-Go",BH$31&gt;0),(BH$31*'Incremental Repayments'!$I$22)/(BH10*1000000/1000),0)</f>
        <v>0</v>
      </c>
      <c r="BI44" s="573">
        <f>IF(AND('Incremental Repayments'!$R$22="Pay-Go",BI$31&gt;0),(BI$31*'Incremental Repayments'!$I$22)/(BI10*1000000/1000),0)</f>
        <v>0</v>
      </c>
      <c r="BJ44" s="573">
        <f>IF(AND('Incremental Repayments'!$R$22="Pay-Go",BJ$31&gt;0),(BJ$31*'Incremental Repayments'!$I$22)/(BJ10*1000000/1000),0)</f>
        <v>0</v>
      </c>
      <c r="BK44" s="573">
        <f>IF(AND('Incremental Repayments'!$R$22="Pay-Go",BK$31&gt;0),(BK$31*'Incremental Repayments'!$I$22)/(BK10*1000000/1000),0)</f>
        <v>0</v>
      </c>
      <c r="BL44" s="573">
        <f>IF(AND('Incremental Repayments'!$R$22="Pay-Go",BL$31&gt;0),(BL$31*'Incremental Repayments'!$I$22)/(BL10*1000000/1000),0)</f>
        <v>0</v>
      </c>
      <c r="BM44" s="573">
        <f>IF(AND('Incremental Repayments'!$R$22="Pay-Go",BM$31&gt;0),(BM$31*'Incremental Repayments'!$I$22)/(BM10*1000000/1000),0)</f>
        <v>0</v>
      </c>
      <c r="BN44" s="573">
        <f>IF(AND('Incremental Repayments'!$R$22="Pay-Go",BN$31&gt;0),(BN$31*'Incremental Repayments'!$I$22)/(BN10*1000000/1000),0)</f>
        <v>0</v>
      </c>
      <c r="BO44" s="573">
        <f>IF(AND('Incremental Repayments'!$R$22="Pay-Go",BO$31&gt;0),(BO$31*'Incremental Repayments'!$I$22)/(BO10*1000000/1000),0)</f>
        <v>0</v>
      </c>
      <c r="BP44" s="573">
        <f>IF(AND('Incremental Repayments'!$R$22="Pay-Go",BP$31&gt;0),(BP$31*'Incremental Repayments'!$I$22)/(BP10*1000000/1000),0)</f>
        <v>0</v>
      </c>
      <c r="BQ44" s="573">
        <f>IF(AND('Incremental Repayments'!$R$22="Pay-Go",BQ$31&gt;0),(BQ$31*'Incremental Repayments'!$I$22)/(BQ10*1000000/1000),0)</f>
        <v>0</v>
      </c>
      <c r="BR44" s="573">
        <f>IF(AND('Incremental Repayments'!$R$22="Pay-Go",BR$31&gt;0),(BR$31*'Incremental Repayments'!$I$22)/(BR10*1000000/1000),0)</f>
        <v>0</v>
      </c>
      <c r="BS44" s="573">
        <f>IF(AND('Incremental Repayments'!$R$22="Pay-Go",BS$31&gt;0),(BS$31*'Incremental Repayments'!$I$22)/(BS10*1000000/1000),0)</f>
        <v>0</v>
      </c>
      <c r="BT44" s="573">
        <f>IF(AND('Incremental Repayments'!$R$22="Pay-Go",BT$31&gt;0),(BT$31*'Incremental Repayments'!$I$22)/(BT10*1000000/1000),0)</f>
        <v>0</v>
      </c>
      <c r="BU44" s="573">
        <f>IF(AND('Incremental Repayments'!$R$22="Pay-Go",BU$31&gt;0),(BU$31*'Incremental Repayments'!$I$22)/(BU10*1000000/1000),0)</f>
        <v>0</v>
      </c>
      <c r="BV44" s="573">
        <f>IF(AND('Incremental Repayments'!$R$22="Pay-Go",BV$31&gt;0),(BV$31*'Incremental Repayments'!$I$22)/(BV10*1000000/1000),0)</f>
        <v>0</v>
      </c>
      <c r="BW44" s="573">
        <f>IF(AND('Incremental Repayments'!$R$22="Pay-Go",BW$31&gt;0),(BW$31*'Incremental Repayments'!$I$22)/(BW10*1000000/1000),0)</f>
        <v>0</v>
      </c>
      <c r="BX44" s="573">
        <f>IF(AND('Incremental Repayments'!$R$22="Pay-Go",BX$31&gt;0),(BX$31*'Incremental Repayments'!$I$22)/(BX10*1000000/1000),0)</f>
        <v>0</v>
      </c>
      <c r="BY44" s="573">
        <f>IF(AND('Incremental Repayments'!$R$22="Pay-Go",BY$31&gt;0),(BY$31*'Incremental Repayments'!$I$22)/(BY10*1000000/1000),0)</f>
        <v>0</v>
      </c>
      <c r="BZ44" s="573">
        <f>IF(AND('Incremental Repayments'!$R$22="Pay-Go",BZ$31&gt;0),(BZ$31*'Incremental Repayments'!$I$22)/(BZ10*1000000/1000),0)</f>
        <v>0</v>
      </c>
      <c r="CA44" s="573">
        <f>IF(AND('Incremental Repayments'!$R$22="Pay-Go",CA$31&gt;0),(CA$31*'Incremental Repayments'!$I$22)/(CA10*1000000/1000),0)</f>
        <v>0</v>
      </c>
      <c r="CB44" s="573">
        <f>IF(AND('Incremental Repayments'!$R$22="Pay-Go",CB$31&gt;0),(CB$31*'Incremental Repayments'!$I$22)/(CB10*1000000/1000),0)</f>
        <v>0</v>
      </c>
      <c r="CC44" s="573">
        <f>IF(AND('Incremental Repayments'!$R$22="Pay-Go",CC$31&gt;0),(CC$31*'Incremental Repayments'!$I$22)/(CC10*1000000/1000),0)</f>
        <v>0</v>
      </c>
      <c r="CD44" s="573">
        <f>IF(AND('Incremental Repayments'!$R$22="Pay-Go",CD$31&gt;0),(CD$31*'Incremental Repayments'!$I$22)/(CD10*1000000/1000),0)</f>
        <v>0</v>
      </c>
      <c r="CE44" s="573">
        <f>IF(AND('Incremental Repayments'!$R$22="Pay-Go",CE$31&gt;0),(CE$31*'Incremental Repayments'!$I$22)/(CE10*1000000/1000),0)</f>
        <v>0</v>
      </c>
      <c r="CF44" s="573">
        <f>IF(AND('Incremental Repayments'!$R$22="Pay-Go",CF$31&gt;0),(CF$31*'Incremental Repayments'!$I$22)/(CF10*1000000/1000),0)</f>
        <v>0</v>
      </c>
      <c r="CG44" s="573">
        <f>IF(AND('Incremental Repayments'!$R$22="Pay-Go",CG$31&gt;0),(CG$31*'Incremental Repayments'!$I$22)/(CG10*1000000/1000),0)</f>
        <v>0</v>
      </c>
      <c r="CH44" s="573">
        <f>IF(AND('Incremental Repayments'!$R$22="Pay-Go",CH$31&gt;0),(CH$31*'Incremental Repayments'!$I$22)/(CH10*1000000/1000),0)</f>
        <v>0</v>
      </c>
      <c r="CI44" s="573">
        <f>IF(AND('Incremental Repayments'!$R$22="Pay-Go",CI$31&gt;0),(CI$31*'Incremental Repayments'!$I$22)/(CI10*1000000/1000),0)</f>
        <v>0</v>
      </c>
      <c r="CJ44" s="573">
        <f>IF(AND('Incremental Repayments'!$R$22="Pay-Go",CJ$31&gt;0),(CJ$31*'Incremental Repayments'!$I$22)/(CJ10*1000000/1000),0)</f>
        <v>0</v>
      </c>
      <c r="CK44" s="573">
        <f>IF(AND('Incremental Repayments'!$R$22="Pay-Go",CK$31&gt;0),(CK$31*'Incremental Repayments'!$I$22)/(CK10*1000000/1000),0)</f>
        <v>0</v>
      </c>
      <c r="CL44" s="573">
        <f>IF(AND('Incremental Repayments'!$R$22="Pay-Go",CL$31&gt;0),(CL$31*'Incremental Repayments'!$I$22)/(CL10*1000000/1000),0)</f>
        <v>0</v>
      </c>
      <c r="CM44" s="573">
        <f>IF(AND('Incremental Repayments'!$R$22="Pay-Go",CM$31&gt;0),(CM$31*'Incremental Repayments'!$I$22)/(CM10*1000000/1000),0)</f>
        <v>0</v>
      </c>
      <c r="CN44" s="573">
        <f>IF(AND('Incremental Repayments'!$R$22="Pay-Go",CN$31&gt;0),(CN$31*'Incremental Repayments'!$I$22)/(CN10*1000000/1000),0)</f>
        <v>0</v>
      </c>
      <c r="CO44" s="573">
        <f>IF(AND('Incremental Repayments'!$R$22="Pay-Go",CO$31&gt;0),(CO$31*'Incremental Repayments'!$I$22)/(CO10*1000000/1000),0)</f>
        <v>0</v>
      </c>
      <c r="CP44" s="573">
        <f>IF(AND('Incremental Repayments'!$R$22="Pay-Go",CP$31&gt;0),(CP$31*'Incremental Repayments'!$I$22)/(CP10*1000000/1000),0)</f>
        <v>0</v>
      </c>
      <c r="CQ44" s="573">
        <f>IF(AND('Incremental Repayments'!$R$22="Pay-Go",CQ$31&gt;0),(CQ$31*'Incremental Repayments'!$I$22)/(CQ10*1000000/1000),0)</f>
        <v>0</v>
      </c>
      <c r="CR44" s="573">
        <f>IF(AND('Incremental Repayments'!$R$22="Pay-Go",CR$31&gt;0),(CR$31*'Incremental Repayments'!$I$22)/(CR10*1000000/1000),0)</f>
        <v>0</v>
      </c>
      <c r="CS44" s="573">
        <f>IF(AND('Incremental Repayments'!$R$22="Pay-Go",CS$31&gt;0),(CS$31*'Incremental Repayments'!$I$22)/(CS10*1000000/1000),0)</f>
        <v>0</v>
      </c>
      <c r="CT44" s="573">
        <f>IF(AND('Incremental Repayments'!$R$22="Pay-Go",CT$31&gt;0),(CT$31*'Incremental Repayments'!$I$22)/(CT10*1000000/1000),0)</f>
        <v>0</v>
      </c>
      <c r="CU44" s="573">
        <f>IF(AND('Incremental Repayments'!$R$22="Pay-Go",CU$31&gt;0),(CU$31*'Incremental Repayments'!$I$22)/(CU10*1000000/1000),0)</f>
        <v>0</v>
      </c>
      <c r="CV44" s="573">
        <f>IF(AND('Incremental Repayments'!$R$22="Pay-Go",CV$31&gt;0),(CV$31*'Incremental Repayments'!$I$22)/(CV10*1000000/1000),0)</f>
        <v>0</v>
      </c>
      <c r="CW44" s="573">
        <f>IF(AND('Incremental Repayments'!$R$22="Pay-Go",CW$31&gt;0),(CW$31*'Incremental Repayments'!$I$22)/(CW10*1000000/1000),0)</f>
        <v>0</v>
      </c>
      <c r="CX44" s="573">
        <f>IF(AND('Incremental Repayments'!$R$22="Pay-Go",CX$31&gt;0),(CX$31*'Incremental Repayments'!$I$22)/(CX10*1000000/1000),0)</f>
        <v>0</v>
      </c>
      <c r="CY44" s="573">
        <f>IF(AND('Incremental Repayments'!$R$22="Pay-Go",CY$31&gt;0),(CY$31*'Incremental Repayments'!$I$22)/(CY10*1000000/1000),0)</f>
        <v>0</v>
      </c>
      <c r="CZ44" s="573">
        <f>IF(AND('Incremental Repayments'!$R$22="Pay-Go",CZ$31&gt;0),(CZ$31*'Incremental Repayments'!$I$22)/(CZ10*1000000/1000),0)</f>
        <v>0</v>
      </c>
    </row>
    <row r="45" spans="1:104" x14ac:dyDescent="0.25">
      <c r="A45" s="472"/>
      <c r="C45" t="s">
        <v>371</v>
      </c>
      <c r="E45" s="477">
        <f t="shared" ref="E45:AJ45" si="281">E44*E10*1000</f>
        <v>0</v>
      </c>
      <c r="F45" s="477">
        <f t="shared" si="281"/>
        <v>0</v>
      </c>
      <c r="G45" s="477">
        <f t="shared" si="281"/>
        <v>0</v>
      </c>
      <c r="H45" s="477">
        <f t="shared" si="281"/>
        <v>0</v>
      </c>
      <c r="I45" s="477">
        <f t="shared" si="281"/>
        <v>0</v>
      </c>
      <c r="J45" s="477">
        <f t="shared" si="281"/>
        <v>0</v>
      </c>
      <c r="K45" s="477">
        <f t="shared" si="281"/>
        <v>0</v>
      </c>
      <c r="L45" s="477">
        <f t="shared" si="281"/>
        <v>0</v>
      </c>
      <c r="M45" s="477">
        <f t="shared" si="281"/>
        <v>0</v>
      </c>
      <c r="N45" s="477">
        <f t="shared" si="281"/>
        <v>0</v>
      </c>
      <c r="O45" s="477">
        <f t="shared" si="281"/>
        <v>0</v>
      </c>
      <c r="P45" s="477">
        <f t="shared" si="281"/>
        <v>0</v>
      </c>
      <c r="Q45" s="477">
        <f t="shared" si="281"/>
        <v>0</v>
      </c>
      <c r="R45" s="477">
        <f t="shared" si="281"/>
        <v>0</v>
      </c>
      <c r="S45" s="477">
        <f t="shared" si="281"/>
        <v>0</v>
      </c>
      <c r="T45" s="477">
        <f t="shared" si="281"/>
        <v>0</v>
      </c>
      <c r="U45" s="477">
        <f t="shared" si="281"/>
        <v>0</v>
      </c>
      <c r="V45" s="477">
        <f t="shared" si="281"/>
        <v>0</v>
      </c>
      <c r="W45" s="477">
        <f t="shared" si="281"/>
        <v>0</v>
      </c>
      <c r="X45" s="477">
        <f t="shared" si="281"/>
        <v>0</v>
      </c>
      <c r="Y45" s="477">
        <f t="shared" si="281"/>
        <v>0</v>
      </c>
      <c r="Z45" s="477">
        <f t="shared" si="281"/>
        <v>0</v>
      </c>
      <c r="AA45" s="477">
        <f t="shared" si="281"/>
        <v>0</v>
      </c>
      <c r="AB45" s="477">
        <f t="shared" si="281"/>
        <v>0</v>
      </c>
      <c r="AC45" s="477">
        <f t="shared" si="281"/>
        <v>0</v>
      </c>
      <c r="AD45" s="477">
        <f t="shared" si="281"/>
        <v>0</v>
      </c>
      <c r="AE45" s="477">
        <f t="shared" si="281"/>
        <v>0</v>
      </c>
      <c r="AF45" s="477">
        <f t="shared" si="281"/>
        <v>0</v>
      </c>
      <c r="AG45" s="477">
        <f t="shared" si="281"/>
        <v>0</v>
      </c>
      <c r="AH45" s="477">
        <f t="shared" si="281"/>
        <v>0</v>
      </c>
      <c r="AI45" s="477">
        <f t="shared" si="281"/>
        <v>0</v>
      </c>
      <c r="AJ45" s="477">
        <f t="shared" si="281"/>
        <v>0</v>
      </c>
      <c r="AK45" s="477">
        <f t="shared" ref="AK45:BP45" si="282">AK44*AK10*1000</f>
        <v>0</v>
      </c>
      <c r="AL45" s="477">
        <f t="shared" si="282"/>
        <v>0</v>
      </c>
      <c r="AM45" s="477">
        <f t="shared" si="282"/>
        <v>0</v>
      </c>
      <c r="AN45" s="477">
        <f t="shared" si="282"/>
        <v>0</v>
      </c>
      <c r="AO45" s="477">
        <f t="shared" si="282"/>
        <v>0</v>
      </c>
      <c r="AP45" s="477">
        <f t="shared" si="282"/>
        <v>0</v>
      </c>
      <c r="AQ45" s="477">
        <f t="shared" si="282"/>
        <v>0</v>
      </c>
      <c r="AR45" s="477">
        <f t="shared" si="282"/>
        <v>0</v>
      </c>
      <c r="AS45" s="477">
        <f t="shared" si="282"/>
        <v>0</v>
      </c>
      <c r="AT45" s="477">
        <f t="shared" si="282"/>
        <v>0</v>
      </c>
      <c r="AU45" s="477">
        <f t="shared" si="282"/>
        <v>0</v>
      </c>
      <c r="AV45" s="477">
        <f t="shared" si="282"/>
        <v>0</v>
      </c>
      <c r="AW45" s="477">
        <f t="shared" si="282"/>
        <v>0</v>
      </c>
      <c r="AX45" s="477">
        <f t="shared" si="282"/>
        <v>0</v>
      </c>
      <c r="AY45" s="477">
        <f t="shared" si="282"/>
        <v>0</v>
      </c>
      <c r="AZ45" s="477">
        <f t="shared" si="282"/>
        <v>0</v>
      </c>
      <c r="BA45" s="477">
        <f t="shared" si="282"/>
        <v>0</v>
      </c>
      <c r="BB45" s="477">
        <f t="shared" si="282"/>
        <v>0</v>
      </c>
      <c r="BC45" s="477">
        <f t="shared" si="282"/>
        <v>0</v>
      </c>
      <c r="BD45" s="477">
        <f t="shared" si="282"/>
        <v>0</v>
      </c>
      <c r="BE45" s="477">
        <f t="shared" si="282"/>
        <v>0</v>
      </c>
      <c r="BF45" s="477">
        <f t="shared" si="282"/>
        <v>0</v>
      </c>
      <c r="BG45" s="477">
        <f t="shared" si="282"/>
        <v>0</v>
      </c>
      <c r="BH45" s="477">
        <f t="shared" si="282"/>
        <v>0</v>
      </c>
      <c r="BI45" s="477">
        <f t="shared" si="282"/>
        <v>0</v>
      </c>
      <c r="BJ45" s="477">
        <f t="shared" si="282"/>
        <v>0</v>
      </c>
      <c r="BK45" s="477">
        <f t="shared" si="282"/>
        <v>0</v>
      </c>
      <c r="BL45" s="477">
        <f t="shared" si="282"/>
        <v>0</v>
      </c>
      <c r="BM45" s="477">
        <f t="shared" si="282"/>
        <v>0</v>
      </c>
      <c r="BN45" s="477">
        <f t="shared" si="282"/>
        <v>0</v>
      </c>
      <c r="BO45" s="477">
        <f t="shared" si="282"/>
        <v>0</v>
      </c>
      <c r="BP45" s="477">
        <f t="shared" si="282"/>
        <v>0</v>
      </c>
      <c r="BQ45" s="477">
        <f t="shared" ref="BQ45:CV45" si="283">BQ44*BQ10*1000</f>
        <v>0</v>
      </c>
      <c r="BR45" s="477">
        <f t="shared" si="283"/>
        <v>0</v>
      </c>
      <c r="BS45" s="477">
        <f t="shared" si="283"/>
        <v>0</v>
      </c>
      <c r="BT45" s="477">
        <f t="shared" si="283"/>
        <v>0</v>
      </c>
      <c r="BU45" s="477">
        <f t="shared" si="283"/>
        <v>0</v>
      </c>
      <c r="BV45" s="477">
        <f t="shared" si="283"/>
        <v>0</v>
      </c>
      <c r="BW45" s="477">
        <f t="shared" si="283"/>
        <v>0</v>
      </c>
      <c r="BX45" s="477">
        <f t="shared" si="283"/>
        <v>0</v>
      </c>
      <c r="BY45" s="477">
        <f t="shared" si="283"/>
        <v>0</v>
      </c>
      <c r="BZ45" s="477">
        <f t="shared" si="283"/>
        <v>0</v>
      </c>
      <c r="CA45" s="477">
        <f t="shared" si="283"/>
        <v>0</v>
      </c>
      <c r="CB45" s="477">
        <f t="shared" si="283"/>
        <v>0</v>
      </c>
      <c r="CC45" s="477">
        <f t="shared" si="283"/>
        <v>0</v>
      </c>
      <c r="CD45" s="477">
        <f t="shared" si="283"/>
        <v>0</v>
      </c>
      <c r="CE45" s="477">
        <f t="shared" si="283"/>
        <v>0</v>
      </c>
      <c r="CF45" s="477">
        <f t="shared" si="283"/>
        <v>0</v>
      </c>
      <c r="CG45" s="477">
        <f t="shared" si="283"/>
        <v>0</v>
      </c>
      <c r="CH45" s="477">
        <f t="shared" si="283"/>
        <v>0</v>
      </c>
      <c r="CI45" s="477">
        <f t="shared" si="283"/>
        <v>0</v>
      </c>
      <c r="CJ45" s="477">
        <f t="shared" si="283"/>
        <v>0</v>
      </c>
      <c r="CK45" s="477">
        <f t="shared" si="283"/>
        <v>0</v>
      </c>
      <c r="CL45" s="477">
        <f t="shared" si="283"/>
        <v>0</v>
      </c>
      <c r="CM45" s="477">
        <f t="shared" si="283"/>
        <v>0</v>
      </c>
      <c r="CN45" s="477">
        <f t="shared" si="283"/>
        <v>0</v>
      </c>
      <c r="CO45" s="477">
        <f t="shared" si="283"/>
        <v>0</v>
      </c>
      <c r="CP45" s="477">
        <f t="shared" si="283"/>
        <v>0</v>
      </c>
      <c r="CQ45" s="477">
        <f t="shared" si="283"/>
        <v>0</v>
      </c>
      <c r="CR45" s="477">
        <f t="shared" si="283"/>
        <v>0</v>
      </c>
      <c r="CS45" s="477">
        <f t="shared" si="283"/>
        <v>0</v>
      </c>
      <c r="CT45" s="477">
        <f t="shared" si="283"/>
        <v>0</v>
      </c>
      <c r="CU45" s="477">
        <f t="shared" si="283"/>
        <v>0</v>
      </c>
      <c r="CV45" s="477">
        <f t="shared" si="283"/>
        <v>0</v>
      </c>
      <c r="CW45" s="477">
        <f t="shared" ref="CW45:CZ45" si="284">CW44*CW10*1000</f>
        <v>0</v>
      </c>
      <c r="CX45" s="477">
        <f t="shared" si="284"/>
        <v>0</v>
      </c>
      <c r="CY45" s="477">
        <f t="shared" si="284"/>
        <v>0</v>
      </c>
      <c r="CZ45" s="477">
        <f t="shared" si="284"/>
        <v>0</v>
      </c>
    </row>
    <row r="46" spans="1:104" s="410" customFormat="1" x14ac:dyDescent="0.25">
      <c r="A46" s="762"/>
      <c r="C46" s="410" t="s">
        <v>517</v>
      </c>
      <c r="E46" s="763">
        <f t="shared" ref="E46" si="285">IF(E44=0,0,D46+E45)</f>
        <v>0</v>
      </c>
      <c r="F46" s="763">
        <f t="shared" ref="F46" si="286">IF(F44=0,0,E46+F45)</f>
        <v>0</v>
      </c>
      <c r="G46" s="763">
        <f t="shared" ref="G46" si="287">IF(G44=0,0,F46+G45)</f>
        <v>0</v>
      </c>
      <c r="H46" s="763">
        <f t="shared" ref="H46" si="288">IF(H44=0,0,G46+H45)</f>
        <v>0</v>
      </c>
      <c r="I46" s="763">
        <f t="shared" ref="I46" si="289">IF(I44=0,0,H46+I45)</f>
        <v>0</v>
      </c>
      <c r="J46" s="763">
        <f t="shared" ref="J46" si="290">IF(J44=0,0,I46+J45)</f>
        <v>0</v>
      </c>
      <c r="K46" s="763">
        <f t="shared" ref="K46" si="291">IF(K44=0,0,J46+K45)</f>
        <v>0</v>
      </c>
      <c r="L46" s="763">
        <f t="shared" ref="L46" si="292">IF(L44=0,0,K46+L45)</f>
        <v>0</v>
      </c>
      <c r="M46" s="763">
        <f t="shared" ref="M46" si="293">IF(M44=0,0,L46+M45)</f>
        <v>0</v>
      </c>
      <c r="N46" s="763">
        <f t="shared" ref="N46" si="294">IF(N44=0,0,M46+N45)</f>
        <v>0</v>
      </c>
      <c r="O46" s="763">
        <f t="shared" ref="O46" si="295">IF(O44=0,0,N46+O45)</f>
        <v>0</v>
      </c>
      <c r="P46" s="763">
        <f t="shared" ref="P46" si="296">IF(P44=0,0,O46+P45)</f>
        <v>0</v>
      </c>
      <c r="Q46" s="763">
        <f t="shared" ref="Q46" si="297">IF(Q44=0,0,P46+Q45)</f>
        <v>0</v>
      </c>
      <c r="R46" s="763">
        <f t="shared" ref="R46" si="298">IF(R44=0,0,Q46+R45)</f>
        <v>0</v>
      </c>
      <c r="S46" s="763">
        <f t="shared" ref="S46" si="299">IF(S44=0,0,R46+S45)</f>
        <v>0</v>
      </c>
      <c r="T46" s="763">
        <f t="shared" ref="T46" si="300">IF(T44=0,0,S46+T45)</f>
        <v>0</v>
      </c>
      <c r="U46" s="763">
        <f t="shared" ref="U46" si="301">IF(U44=0,0,T46+U45)</f>
        <v>0</v>
      </c>
      <c r="V46" s="763">
        <f t="shared" ref="V46" si="302">IF(V44=0,0,U46+V45)</f>
        <v>0</v>
      </c>
      <c r="W46" s="763">
        <f t="shared" ref="W46" si="303">IF(W44=0,0,V46+W45)</f>
        <v>0</v>
      </c>
      <c r="X46" s="763">
        <f t="shared" ref="X46" si="304">IF(X44=0,0,W46+X45)</f>
        <v>0</v>
      </c>
      <c r="Y46" s="763">
        <f t="shared" ref="Y46" si="305">IF(Y44=0,0,X46+Y45)</f>
        <v>0</v>
      </c>
      <c r="Z46" s="763">
        <f t="shared" ref="Z46" si="306">IF(Z44=0,0,Y46+Z45)</f>
        <v>0</v>
      </c>
      <c r="AA46" s="763">
        <f t="shared" ref="AA46" si="307">IF(AA44=0,0,Z46+AA45)</f>
        <v>0</v>
      </c>
      <c r="AB46" s="763">
        <f t="shared" ref="AB46" si="308">IF(AB44=0,0,AA46+AB45)</f>
        <v>0</v>
      </c>
      <c r="AC46" s="763">
        <f t="shared" ref="AC46" si="309">IF(AC44=0,0,AB46+AC45)</f>
        <v>0</v>
      </c>
      <c r="AD46" s="763">
        <f t="shared" ref="AD46" si="310">IF(AD44=0,0,AC46+AD45)</f>
        <v>0</v>
      </c>
      <c r="AE46" s="763">
        <f t="shared" ref="AE46" si="311">IF(AE44=0,0,AD46+AE45)</f>
        <v>0</v>
      </c>
      <c r="AF46" s="763">
        <f t="shared" ref="AF46" si="312">IF(AF44=0,0,AE46+AF45)</f>
        <v>0</v>
      </c>
      <c r="AG46" s="763">
        <f t="shared" ref="AG46" si="313">IF(AG44=0,0,AF46+AG45)</f>
        <v>0</v>
      </c>
      <c r="AH46" s="763">
        <f t="shared" ref="AH46" si="314">IF(AH44=0,0,AG46+AH45)</f>
        <v>0</v>
      </c>
      <c r="AI46" s="763">
        <f t="shared" ref="AI46" si="315">IF(AI44=0,0,AH46+AI45)</f>
        <v>0</v>
      </c>
      <c r="AJ46" s="763">
        <f t="shared" ref="AJ46" si="316">IF(AJ44=0,0,AI46+AJ45)</f>
        <v>0</v>
      </c>
      <c r="AK46" s="763">
        <f t="shared" ref="AK46" si="317">IF(AK44=0,0,AJ46+AK45)</f>
        <v>0</v>
      </c>
      <c r="AL46" s="763">
        <f t="shared" ref="AL46" si="318">IF(AL44=0,0,AK46+AL45)</f>
        <v>0</v>
      </c>
      <c r="AM46" s="763">
        <f t="shared" ref="AM46" si="319">IF(AM44=0,0,AL46+AM45)</f>
        <v>0</v>
      </c>
      <c r="AN46" s="763">
        <f t="shared" ref="AN46" si="320">IF(AN44=0,0,AM46+AN45)</f>
        <v>0</v>
      </c>
      <c r="AO46" s="763">
        <f t="shared" ref="AO46" si="321">IF(AO44=0,0,AN46+AO45)</f>
        <v>0</v>
      </c>
      <c r="AP46" s="763">
        <f t="shared" ref="AP46" si="322">IF(AP44=0,0,AO46+AP45)</f>
        <v>0</v>
      </c>
      <c r="AQ46" s="763">
        <f t="shared" ref="AQ46" si="323">IF(AQ44=0,0,AP46+AQ45)</f>
        <v>0</v>
      </c>
      <c r="AR46" s="763">
        <f t="shared" ref="AR46" si="324">IF(AR44=0,0,AQ46+AR45)</f>
        <v>0</v>
      </c>
      <c r="AS46" s="763">
        <f t="shared" ref="AS46" si="325">IF(AS44=0,0,AR46+AS45)</f>
        <v>0</v>
      </c>
      <c r="AT46" s="763">
        <f t="shared" ref="AT46" si="326">IF(AT44=0,0,AS46+AT45)</f>
        <v>0</v>
      </c>
      <c r="AU46" s="763">
        <f t="shared" ref="AU46" si="327">IF(AU44=0,0,AT46+AU45)</f>
        <v>0</v>
      </c>
      <c r="AV46" s="763">
        <f t="shared" ref="AV46" si="328">IF(AV44=0,0,AU46+AV45)</f>
        <v>0</v>
      </c>
      <c r="AW46" s="763">
        <f t="shared" ref="AW46" si="329">IF(AW44=0,0,AV46+AW45)</f>
        <v>0</v>
      </c>
      <c r="AX46" s="763">
        <f t="shared" ref="AX46" si="330">IF(AX44=0,0,AW46+AX45)</f>
        <v>0</v>
      </c>
      <c r="AY46" s="763">
        <f t="shared" ref="AY46" si="331">IF(AY44=0,0,AX46+AY45)</f>
        <v>0</v>
      </c>
      <c r="AZ46" s="763">
        <f t="shared" ref="AZ46" si="332">IF(AZ44=0,0,AY46+AZ45)</f>
        <v>0</v>
      </c>
      <c r="BA46" s="763">
        <f t="shared" ref="BA46" si="333">IF(BA44=0,0,AZ46+BA45)</f>
        <v>0</v>
      </c>
      <c r="BB46" s="763">
        <f t="shared" ref="BB46" si="334">IF(BB44=0,0,BA46+BB45)</f>
        <v>0</v>
      </c>
      <c r="BC46" s="763">
        <f t="shared" ref="BC46" si="335">IF(BC44=0,0,BB46+BC45)</f>
        <v>0</v>
      </c>
      <c r="BD46" s="763">
        <f t="shared" ref="BD46" si="336">IF(BD44=0,0,BC46+BD45)</f>
        <v>0</v>
      </c>
      <c r="BE46" s="763">
        <f t="shared" ref="BE46" si="337">IF(BE44=0,0,BD46+BE45)</f>
        <v>0</v>
      </c>
      <c r="BF46" s="763">
        <f t="shared" ref="BF46" si="338">IF(BF44=0,0,BE46+BF45)</f>
        <v>0</v>
      </c>
      <c r="BG46" s="763">
        <f t="shared" ref="BG46" si="339">IF(BG44=0,0,BF46+BG45)</f>
        <v>0</v>
      </c>
      <c r="BH46" s="763">
        <f t="shared" ref="BH46" si="340">IF(BH44=0,0,BG46+BH45)</f>
        <v>0</v>
      </c>
      <c r="BI46" s="763">
        <f t="shared" ref="BI46" si="341">IF(BI44=0,0,BH46+BI45)</f>
        <v>0</v>
      </c>
      <c r="BJ46" s="763">
        <f t="shared" ref="BJ46" si="342">IF(BJ44=0,0,BI46+BJ45)</f>
        <v>0</v>
      </c>
      <c r="BK46" s="763">
        <f t="shared" ref="BK46" si="343">IF(BK44=0,0,BJ46+BK45)</f>
        <v>0</v>
      </c>
      <c r="BL46" s="763">
        <f t="shared" ref="BL46" si="344">IF(BL44=0,0,BK46+BL45)</f>
        <v>0</v>
      </c>
      <c r="BM46" s="763">
        <f t="shared" ref="BM46" si="345">IF(BM44=0,0,BL46+BM45)</f>
        <v>0</v>
      </c>
      <c r="BN46" s="763">
        <f t="shared" ref="BN46" si="346">IF(BN44=0,0,BM46+BN45)</f>
        <v>0</v>
      </c>
      <c r="BO46" s="763">
        <f t="shared" ref="BO46" si="347">IF(BO44=0,0,BN46+BO45)</f>
        <v>0</v>
      </c>
      <c r="BP46" s="763">
        <f t="shared" ref="BP46" si="348">IF(BP44=0,0,BO46+BP45)</f>
        <v>0</v>
      </c>
      <c r="BQ46" s="763">
        <f t="shared" ref="BQ46" si="349">IF(BQ44=0,0,BP46+BQ45)</f>
        <v>0</v>
      </c>
      <c r="BR46" s="763">
        <f t="shared" ref="BR46" si="350">IF(BR44=0,0,BQ46+BR45)</f>
        <v>0</v>
      </c>
      <c r="BS46" s="763">
        <f t="shared" ref="BS46" si="351">IF(BS44=0,0,BR46+BS45)</f>
        <v>0</v>
      </c>
      <c r="BT46" s="763">
        <f t="shared" ref="BT46" si="352">IF(BT44=0,0,BS46+BT45)</f>
        <v>0</v>
      </c>
      <c r="BU46" s="763">
        <f t="shared" ref="BU46" si="353">IF(BU44=0,0,BT46+BU45)</f>
        <v>0</v>
      </c>
      <c r="BV46" s="763">
        <f t="shared" ref="BV46" si="354">IF(BV44=0,0,BU46+BV45)</f>
        <v>0</v>
      </c>
      <c r="BW46" s="763">
        <f t="shared" ref="BW46" si="355">IF(BW44=0,0,BV46+BW45)</f>
        <v>0</v>
      </c>
      <c r="BX46" s="763">
        <f t="shared" ref="BX46" si="356">IF(BX44=0,0,BW46+BX45)</f>
        <v>0</v>
      </c>
      <c r="BY46" s="763">
        <f t="shared" ref="BY46" si="357">IF(BY44=0,0,BX46+BY45)</f>
        <v>0</v>
      </c>
      <c r="BZ46" s="763">
        <f t="shared" ref="BZ46" si="358">IF(BZ44=0,0,BY46+BZ45)</f>
        <v>0</v>
      </c>
      <c r="CA46" s="763">
        <f t="shared" ref="CA46" si="359">IF(CA44=0,0,BZ46+CA45)</f>
        <v>0</v>
      </c>
      <c r="CB46" s="763">
        <f t="shared" ref="CB46" si="360">IF(CB44=0,0,CA46+CB45)</f>
        <v>0</v>
      </c>
      <c r="CC46" s="763">
        <f t="shared" ref="CC46" si="361">IF(CC44=0,0,CB46+CC45)</f>
        <v>0</v>
      </c>
      <c r="CD46" s="763">
        <f t="shared" ref="CD46" si="362">IF(CD44=0,0,CC46+CD45)</f>
        <v>0</v>
      </c>
      <c r="CE46" s="763">
        <f t="shared" ref="CE46" si="363">IF(CE44=0,0,CD46+CE45)</f>
        <v>0</v>
      </c>
      <c r="CF46" s="763">
        <f t="shared" ref="CF46" si="364">IF(CF44=0,0,CE46+CF45)</f>
        <v>0</v>
      </c>
      <c r="CG46" s="763">
        <f t="shared" ref="CG46" si="365">IF(CG44=0,0,CF46+CG45)</f>
        <v>0</v>
      </c>
      <c r="CH46" s="763">
        <f t="shared" ref="CH46" si="366">IF(CH44=0,0,CG46+CH45)</f>
        <v>0</v>
      </c>
      <c r="CI46" s="763">
        <f t="shared" ref="CI46" si="367">IF(CI44=0,0,CH46+CI45)</f>
        <v>0</v>
      </c>
      <c r="CJ46" s="763">
        <f t="shared" ref="CJ46" si="368">IF(CJ44=0,0,CI46+CJ45)</f>
        <v>0</v>
      </c>
      <c r="CK46" s="763">
        <f t="shared" ref="CK46" si="369">IF(CK44=0,0,CJ46+CK45)</f>
        <v>0</v>
      </c>
      <c r="CL46" s="763">
        <f t="shared" ref="CL46" si="370">IF(CL44=0,0,CK46+CL45)</f>
        <v>0</v>
      </c>
      <c r="CM46" s="763">
        <f t="shared" ref="CM46" si="371">IF(CM44=0,0,CL46+CM45)</f>
        <v>0</v>
      </c>
      <c r="CN46" s="763">
        <f t="shared" ref="CN46" si="372">IF(CN44=0,0,CM46+CN45)</f>
        <v>0</v>
      </c>
      <c r="CO46" s="763">
        <f t="shared" ref="CO46" si="373">IF(CO44=0,0,CN46+CO45)</f>
        <v>0</v>
      </c>
      <c r="CP46" s="763">
        <f t="shared" ref="CP46" si="374">IF(CP44=0,0,CO46+CP45)</f>
        <v>0</v>
      </c>
      <c r="CQ46" s="763">
        <f t="shared" ref="CQ46" si="375">IF(CQ44=0,0,CP46+CQ45)</f>
        <v>0</v>
      </c>
      <c r="CR46" s="763">
        <f t="shared" ref="CR46" si="376">IF(CR44=0,0,CQ46+CR45)</f>
        <v>0</v>
      </c>
      <c r="CS46" s="763">
        <f t="shared" ref="CS46" si="377">IF(CS44=0,0,CR46+CS45)</f>
        <v>0</v>
      </c>
      <c r="CT46" s="763">
        <f t="shared" ref="CT46" si="378">IF(CT44=0,0,CS46+CT45)</f>
        <v>0</v>
      </c>
      <c r="CU46" s="763">
        <f t="shared" ref="CU46" si="379">IF(CU44=0,0,CT46+CU45)</f>
        <v>0</v>
      </c>
      <c r="CV46" s="763">
        <f t="shared" ref="CV46" si="380">IF(CV44=0,0,CU46+CV45)</f>
        <v>0</v>
      </c>
      <c r="CW46" s="763">
        <f t="shared" ref="CW46" si="381">IF(CW44=0,0,CV46+CW45)</f>
        <v>0</v>
      </c>
      <c r="CX46" s="763">
        <f t="shared" ref="CX46" si="382">IF(CX44=0,0,CW46+CX45)</f>
        <v>0</v>
      </c>
      <c r="CY46" s="763">
        <f t="shared" ref="CY46" si="383">IF(CY44=0,0,CX46+CY45)</f>
        <v>0</v>
      </c>
      <c r="CZ46" s="763">
        <f t="shared" ref="CZ46" si="384">IF(CZ44=0,0,CY46+CZ45)</f>
        <v>0</v>
      </c>
    </row>
    <row r="47" spans="1:104" s="410" customFormat="1" x14ac:dyDescent="0.25">
      <c r="C47" s="759" t="s">
        <v>372</v>
      </c>
      <c r="E47" s="763">
        <f>IF(AND('Incremental Repayments'!$R$25="Pay-Go",E$31&gt;0),(E$31*'Incremental Repayments'!$I$25)/'LPP Act Financing Plan'!E$7,0)</f>
        <v>0</v>
      </c>
      <c r="F47" s="763">
        <f>IF(AND('Incremental Repayments'!$R$25="Pay-Go",F$31&gt;0),(F$31*'Incremental Repayments'!$I$25)/'LPP Act Financing Plan'!F$7,0)</f>
        <v>0</v>
      </c>
      <c r="G47" s="763">
        <f>IF(AND('Incremental Repayments'!$R$25="Pay-Go",G$31&gt;0),(G$31*'Incremental Repayments'!$I$25)/'LPP Act Financing Plan'!G$7,0)</f>
        <v>0</v>
      </c>
      <c r="H47" s="763">
        <f>IF(AND('Incremental Repayments'!$R$25="Pay-Go",H$31&gt;0),(H$31*'Incremental Repayments'!$I$25)/'LPP Act Financing Plan'!H$7,0)</f>
        <v>0</v>
      </c>
      <c r="I47" s="763">
        <f>IF(AND('Incremental Repayments'!$R$25="Pay-Go",I$31&gt;0),(I$31*'Incremental Repayments'!$I$25)/'LPP Act Financing Plan'!I$7,0)</f>
        <v>0</v>
      </c>
      <c r="J47" s="763">
        <f>IF(AND('Incremental Repayments'!$R$25="Pay-Go",J$31&gt;0),(J$31*'Incremental Repayments'!$I$25)/'LPP Act Financing Plan'!J$7,0)</f>
        <v>0</v>
      </c>
      <c r="K47" s="763">
        <f>IF(AND('Incremental Repayments'!$R$25="Pay-Go",K$31&gt;0),(K$31*'Incremental Repayments'!$I$25)/'LPP Act Financing Plan'!K$7,0)</f>
        <v>0</v>
      </c>
      <c r="L47" s="763">
        <f>IF(AND('Incremental Repayments'!$R$25="Pay-Go",L$31&gt;0),(L$31*'Incremental Repayments'!$I$25)/'LPP Act Financing Plan'!L$7,0)</f>
        <v>0</v>
      </c>
      <c r="M47" s="763">
        <f>IF(AND('Incremental Repayments'!$R$25="Pay-Go",M$31&gt;0),(M$31*'Incremental Repayments'!$I$25)/'LPP Act Financing Plan'!M$7,0)</f>
        <v>0</v>
      </c>
      <c r="N47" s="763">
        <f>IF(AND('Incremental Repayments'!$R$25="Pay-Go",N$31&gt;0),(N$31*'Incremental Repayments'!$I$25)/'LPP Act Financing Plan'!N$7,0)</f>
        <v>0</v>
      </c>
      <c r="O47" s="763">
        <f>IF(AND('Incremental Repayments'!$R$25="Pay-Go",O$31&gt;0),(O$31*'Incremental Repayments'!$I$25)/'LPP Act Financing Plan'!O$7,0)</f>
        <v>0</v>
      </c>
      <c r="P47" s="763">
        <f>IF(AND('Incremental Repayments'!$R$25="Pay-Go",P$31&gt;0),(P$31*'Incremental Repayments'!$I$25)/'LPP Act Financing Plan'!P$7,0)</f>
        <v>0</v>
      </c>
      <c r="Q47" s="763">
        <f>IF(AND('Incremental Repayments'!$R$25="Pay-Go",Q$31&gt;0),(Q$31*'Incremental Repayments'!$I$25)/'LPP Act Financing Plan'!Q$7,0)</f>
        <v>0</v>
      </c>
      <c r="R47" s="763">
        <f>IF(AND('Incremental Repayments'!$R$25="Pay-Go",R$31&gt;0),(R$31*'Incremental Repayments'!$I$25)/'LPP Act Financing Plan'!R$7,0)</f>
        <v>0</v>
      </c>
      <c r="S47" s="763">
        <f>IF(AND('Incremental Repayments'!$R$25="Pay-Go",S$31&gt;0),(S$31*'Incremental Repayments'!$I$25)/'LPP Act Financing Plan'!S$7,0)</f>
        <v>0</v>
      </c>
      <c r="T47" s="763">
        <f>IF(AND('Incremental Repayments'!$R$25="Pay-Go",T$31&gt;0),(T$31*'Incremental Repayments'!$I$25)/'LPP Act Financing Plan'!T$7,0)</f>
        <v>0</v>
      </c>
      <c r="U47" s="763">
        <f>IF(AND('Incremental Repayments'!$R$25="Pay-Go",U$31&gt;0),(U$31*'Incremental Repayments'!$I$25)/'LPP Act Financing Plan'!U$7,0)</f>
        <v>0</v>
      </c>
      <c r="V47" s="763">
        <f>IF(AND('Incremental Repayments'!$R$25="Pay-Go",V$31&gt;0),(V$31*'Incremental Repayments'!$I$25)/'LPP Act Financing Plan'!V$7,0)</f>
        <v>0</v>
      </c>
      <c r="W47" s="763">
        <f>IF(AND('Incremental Repayments'!$R$25="Pay-Go",W$31&gt;0),(W$31*'Incremental Repayments'!$I$25)/'LPP Act Financing Plan'!W$7,0)</f>
        <v>2211.5993800460096</v>
      </c>
      <c r="X47" s="763">
        <f>IF(AND('Incremental Repayments'!$R$25="Pay-Go",X$31&gt;0),(X$31*'Incremental Repayments'!$I$25)/'LPP Act Financing Plan'!X$7,0)</f>
        <v>4144.3544862292574</v>
      </c>
      <c r="Y47" s="763">
        <f>IF(AND('Incremental Repayments'!$R$25="Pay-Go",Y$31&gt;0),(Y$31*'Incremental Repayments'!$I$25)/'LPP Act Financing Plan'!Y$7,0)</f>
        <v>4132.6773628622932</v>
      </c>
      <c r="Z47" s="763">
        <f>IF(AND('Incremental Repayments'!$R$25="Pay-Go",Z$31&gt;0),(Z$31*'Incremental Repayments'!$I$25)/'LPP Act Financing Plan'!Z$7,0)</f>
        <v>4121.0002394952544</v>
      </c>
      <c r="AA47" s="763">
        <f>IF(AND('Incremental Repayments'!$R$25="Pay-Go",AA$31&gt;0),(AA$31*'Incremental Repayments'!$I$25)/'LPP Act Financing Plan'!AA$7,0)</f>
        <v>4109.3231161281756</v>
      </c>
      <c r="AB47" s="763">
        <f>IF(AND('Incremental Repayments'!$R$25="Pay-Go",AB$31&gt;0),(AB$31*'Incremental Repayments'!$I$25)/'LPP Act Financing Plan'!AB$7,0)</f>
        <v>4097.6459927611386</v>
      </c>
      <c r="AC47" s="763">
        <f>IF(AND('Incremental Repayments'!$R$25="Pay-Go",AC$31&gt;0),(AC$31*'Incremental Repayments'!$I$25)/'LPP Act Financing Plan'!AC$7,0)</f>
        <v>4085.9688693941175</v>
      </c>
      <c r="AD47" s="763">
        <f>IF(AND('Incremental Repayments'!$R$25="Pay-Go",AD$31&gt;0),(AD$31*'Incremental Repayments'!$I$25)/'LPP Act Financing Plan'!AD$7,0)</f>
        <v>4074.2917460270514</v>
      </c>
      <c r="AE47" s="763">
        <f>IF(AND('Incremental Repayments'!$R$25="Pay-Go",AE$31&gt;0),(AE$31*'Incremental Repayments'!$I$25)/'LPP Act Financing Plan'!AE$7,0)</f>
        <v>4062.6146226600804</v>
      </c>
      <c r="AF47" s="763">
        <f>IF(AND('Incremental Repayments'!$R$25="Pay-Go",AF$31&gt;0),(AF$31*'Incremental Repayments'!$I$25)/'LPP Act Financing Plan'!AF$7,0)</f>
        <v>4050.9374992929966</v>
      </c>
      <c r="AG47" s="763">
        <f>IF(AND('Incremental Repayments'!$R$25="Pay-Go",AG$31&gt;0),(AG$31*'Incremental Repayments'!$I$25)/'LPP Act Financing Plan'!AG$7,0)</f>
        <v>4039.2603759260264</v>
      </c>
      <c r="AH47" s="763">
        <f>IF(AND('Incremental Repayments'!$R$25="Pay-Go",AH$31&gt;0),(AH$31*'Incremental Repayments'!$I$25)/'LPP Act Financing Plan'!AH$7,0)</f>
        <v>4027.5832525589449</v>
      </c>
      <c r="AI47" s="763">
        <f>IF(AND('Incremental Repayments'!$R$25="Pay-Go",AI$31&gt;0),(AI$31*'Incremental Repayments'!$I$25)/'LPP Act Financing Plan'!AI$7,0)</f>
        <v>4015.9061291919215</v>
      </c>
      <c r="AJ47" s="763">
        <f>IF(AND('Incremental Repayments'!$R$25="Pay-Go",AJ$31&gt;0),(AJ$31*'Incremental Repayments'!$I$25)/'LPP Act Financing Plan'!AJ$7,0)</f>
        <v>4004.2290058248514</v>
      </c>
      <c r="AK47" s="763">
        <f>IF(AND('Incremental Repayments'!$R$25="Pay-Go",AK$31&gt;0),(AK$31*'Incremental Repayments'!$I$25)/'LPP Act Financing Plan'!AK$7,0)</f>
        <v>3992.5518824579049</v>
      </c>
      <c r="AL47" s="763">
        <f>IF(AND('Incremental Repayments'!$R$25="Pay-Go",AL$31&gt;0),(AL$31*'Incremental Repayments'!$I$25)/'LPP Act Financing Plan'!AL$7,0)</f>
        <v>3980.8747590908156</v>
      </c>
      <c r="AM47" s="763">
        <f>IF(AND('Incremental Repayments'!$R$25="Pay-Go",AM$31&gt;0),(AM$31*'Incremental Repayments'!$I$25)/'LPP Act Financing Plan'!AM$7,0)</f>
        <v>3969.1976357238254</v>
      </c>
      <c r="AN47" s="763">
        <f>IF(AND('Incremental Repayments'!$R$25="Pay-Go",AN$31&gt;0),(AN$31*'Incremental Repayments'!$I$25)/'LPP Act Financing Plan'!AN$7,0)</f>
        <v>4378.9212626371809</v>
      </c>
      <c r="AO47" s="763">
        <f>IF(AND('Incremental Repayments'!$R$25="Pay-Go",AO$31&gt;0),(AO$31*'Incremental Repayments'!$I$25)/'LPP Act Financing Plan'!AO$7,0)</f>
        <v>4378.9212626372191</v>
      </c>
      <c r="AP47" s="763">
        <f>IF(AND('Incremental Repayments'!$R$25="Pay-Go",AP$31&gt;0),(AP$31*'Incremental Repayments'!$I$25)/'LPP Act Financing Plan'!AP$7,0)</f>
        <v>4378.9212626372373</v>
      </c>
      <c r="AQ47" s="763">
        <f>IF(AND('Incremental Repayments'!$R$25="Pay-Go",AQ$31&gt;0),(AQ$31*'Incremental Repayments'!$I$25)/'LPP Act Financing Plan'!AQ$7,0)</f>
        <v>4378.9212626372064</v>
      </c>
      <c r="AR47" s="763">
        <f>IF(AND('Incremental Repayments'!$R$25="Pay-Go",AR$31&gt;0),(AR$31*'Incremental Repayments'!$I$25)/'LPP Act Financing Plan'!AR$7,0)</f>
        <v>4378.9212626372264</v>
      </c>
      <c r="AS47" s="763">
        <f>IF(AND('Incremental Repayments'!$R$25="Pay-Go",AS$31&gt;0),(AS$31*'Incremental Repayments'!$I$25)/'LPP Act Financing Plan'!AS$7,0)</f>
        <v>4378.9212626372337</v>
      </c>
      <c r="AT47" s="763">
        <f>IF(AND('Incremental Repayments'!$R$25="Pay-Go",AT$31&gt;0),(AT$31*'Incremental Repayments'!$I$25)/'LPP Act Financing Plan'!AT$7,0)</f>
        <v>4378.9212626371691</v>
      </c>
      <c r="AU47" s="763">
        <f>IF(AND('Incremental Repayments'!$R$25="Pay-Go",AU$31&gt;0),(AU$31*'Incremental Repayments'!$I$25)/'LPP Act Financing Plan'!AU$7,0)</f>
        <v>4378.9212626372355</v>
      </c>
      <c r="AV47" s="763">
        <f>IF(AND('Incremental Repayments'!$R$25="Pay-Go",AV$31&gt;0),(AV$31*'Incremental Repayments'!$I$25)/'LPP Act Financing Plan'!AV$7,0)</f>
        <v>4378.9212626372109</v>
      </c>
      <c r="AW47" s="763">
        <f>IF(AND('Incremental Repayments'!$R$25="Pay-Go",AW$31&gt;0),(AW$31*'Incremental Repayments'!$I$25)/'LPP Act Financing Plan'!AW$7,0)</f>
        <v>4378.9212626372309</v>
      </c>
      <c r="AX47" s="763">
        <f>IF(AND('Incremental Repayments'!$R$25="Pay-Go",AX$31&gt;0),(AX$31*'Incremental Repayments'!$I$25)/'LPP Act Financing Plan'!AX$7,0)</f>
        <v>4378.9212626371918</v>
      </c>
      <c r="AY47" s="763">
        <f>IF(AND('Incremental Repayments'!$R$25="Pay-Go",AY$31&gt;0),(AY$31*'Incremental Repayments'!$I$25)/'LPP Act Financing Plan'!AY$7,0)</f>
        <v>4378.9212626372555</v>
      </c>
      <c r="AZ47" s="763">
        <f>IF(AND('Incremental Repayments'!$R$25="Pay-Go",AZ$31&gt;0),(AZ$31*'Incremental Repayments'!$I$25)/'LPP Act Financing Plan'!AZ$7,0)</f>
        <v>1937.0723516786693</v>
      </c>
      <c r="BA47" s="763">
        <f>IF(AND('Incremental Repayments'!$R$25="Pay-Go",BA$31&gt;0),(BA$31*'Incremental Repayments'!$I$25)/'LPP Act Financing Plan'!BA$7,0)</f>
        <v>0</v>
      </c>
      <c r="BB47" s="763">
        <f>IF(AND('Incremental Repayments'!$R$25="Pay-Go",BB$31&gt;0),(BB$31*'Incremental Repayments'!$I$25)/'LPP Act Financing Plan'!BB$7,0)</f>
        <v>0</v>
      </c>
      <c r="BC47" s="763">
        <f>IF(AND('Incremental Repayments'!$R$25="Pay-Go",BC$31&gt;0),(BC$31*'Incremental Repayments'!$I$25)/'LPP Act Financing Plan'!BC$7,0)</f>
        <v>0</v>
      </c>
      <c r="BD47" s="763">
        <f>IF(AND('Incremental Repayments'!$R$25="Pay-Go",BD$31&gt;0),(BD$31*'Incremental Repayments'!$I$25)/'LPP Act Financing Plan'!BD$7,0)</f>
        <v>0</v>
      </c>
      <c r="BE47" s="763">
        <f>IF(AND('Incremental Repayments'!$R$25="Pay-Go",BE$31&gt;0),(BE$31*'Incremental Repayments'!$I$25)/'LPP Act Financing Plan'!BE$7,0)</f>
        <v>0</v>
      </c>
      <c r="BF47" s="763">
        <f>IF(AND('Incremental Repayments'!$R$25="Pay-Go",BF$31&gt;0),(BF$31*'Incremental Repayments'!$I$25)/'LPP Act Financing Plan'!BF$7,0)</f>
        <v>0</v>
      </c>
      <c r="BG47" s="763">
        <f>IF(AND('Incremental Repayments'!$R$25="Pay-Go",BG$31&gt;0),(BG$31*'Incremental Repayments'!$I$25)/'LPP Act Financing Plan'!BG$7,0)</f>
        <v>0</v>
      </c>
      <c r="BH47" s="763">
        <f>IF(AND('Incremental Repayments'!$R$25="Pay-Go",BH$31&gt;0),(BH$31*'Incremental Repayments'!$I$25)/'LPP Act Financing Plan'!BH$7,0)</f>
        <v>0</v>
      </c>
      <c r="BI47" s="763">
        <f>IF(AND('Incremental Repayments'!$R$25="Pay-Go",BI$31&gt;0),(BI$31*'Incremental Repayments'!$I$25)/'LPP Act Financing Plan'!BI$7,0)</f>
        <v>0</v>
      </c>
      <c r="BJ47" s="763">
        <f>IF(AND('Incremental Repayments'!$R$25="Pay-Go",BJ$31&gt;0),(BJ$31*'Incremental Repayments'!$I$25)/'LPP Act Financing Plan'!BJ$7,0)</f>
        <v>0</v>
      </c>
      <c r="BK47" s="763">
        <f>IF(AND('Incremental Repayments'!$R$25="Pay-Go",BK$31&gt;0),(BK$31*'Incremental Repayments'!$I$25)/'LPP Act Financing Plan'!BK$7,0)</f>
        <v>0</v>
      </c>
      <c r="BL47" s="763">
        <f>IF(AND('Incremental Repayments'!$R$25="Pay-Go",BL$31&gt;0),(BL$31*'Incremental Repayments'!$I$25)/'LPP Act Financing Plan'!BL$7,0)</f>
        <v>0</v>
      </c>
      <c r="BM47" s="763">
        <f>IF(AND('Incremental Repayments'!$R$25="Pay-Go",BM$31&gt;0),(BM$31*'Incremental Repayments'!$I$25)/'LPP Act Financing Plan'!BM$7,0)</f>
        <v>0</v>
      </c>
      <c r="BN47" s="763">
        <f>IF(AND('Incremental Repayments'!$R$25="Pay-Go",BN$31&gt;0),(BN$31*'Incremental Repayments'!$I$25)/'LPP Act Financing Plan'!BN$7,0)</f>
        <v>0</v>
      </c>
      <c r="BO47" s="763">
        <f>IF(AND('Incremental Repayments'!$R$25="Pay-Go",BO$31&gt;0),(BO$31*'Incremental Repayments'!$I$25)/'LPP Act Financing Plan'!BO$7,0)</f>
        <v>0</v>
      </c>
      <c r="BP47" s="763">
        <f>IF(AND('Incremental Repayments'!$R$25="Pay-Go",BP$31&gt;0),(BP$31*'Incremental Repayments'!$I$25)/'LPP Act Financing Plan'!BP$7,0)</f>
        <v>0</v>
      </c>
      <c r="BQ47" s="763">
        <f>IF(AND('Incremental Repayments'!$R$25="Pay-Go",BQ$31&gt;0),(BQ$31*'Incremental Repayments'!$I$25)/'LPP Act Financing Plan'!BQ$7,0)</f>
        <v>0</v>
      </c>
      <c r="BR47" s="763">
        <f>IF(AND('Incremental Repayments'!$R$25="Pay-Go",BR$31&gt;0),(BR$31*'Incremental Repayments'!$I$25)/'LPP Act Financing Plan'!BR$7,0)</f>
        <v>0</v>
      </c>
      <c r="BS47" s="763">
        <f>IF(AND('Incremental Repayments'!$R$25="Pay-Go",BS$31&gt;0),(BS$31*'Incremental Repayments'!$I$25)/'LPP Act Financing Plan'!BS$7,0)</f>
        <v>0</v>
      </c>
      <c r="BT47" s="763">
        <f>IF(AND('Incremental Repayments'!$R$25="Pay-Go",BT$31&gt;0),(BT$31*'Incremental Repayments'!$I$25)/'LPP Act Financing Plan'!BT$7,0)</f>
        <v>0</v>
      </c>
      <c r="BU47" s="763">
        <f>IF(AND('Incremental Repayments'!$R$25="Pay-Go",BU$31&gt;0),(BU$31*'Incremental Repayments'!$I$25)/'LPP Act Financing Plan'!BU$7,0)</f>
        <v>0</v>
      </c>
      <c r="BV47" s="763">
        <f>IF(AND('Incremental Repayments'!$R$25="Pay-Go",BV$31&gt;0),(BV$31*'Incremental Repayments'!$I$25)/'LPP Act Financing Plan'!BV$7,0)</f>
        <v>0</v>
      </c>
      <c r="BW47" s="763">
        <f>IF(AND('Incremental Repayments'!$R$25="Pay-Go",BW$31&gt;0),(BW$31*'Incremental Repayments'!$I$25)/'LPP Act Financing Plan'!BW$7,0)</f>
        <v>0</v>
      </c>
      <c r="BX47" s="763">
        <f>IF(AND('Incremental Repayments'!$R$25="Pay-Go",BX$31&gt;0),(BX$31*'Incremental Repayments'!$I$25)/'LPP Act Financing Plan'!BX$7,0)</f>
        <v>0</v>
      </c>
      <c r="BY47" s="763">
        <f>IF(AND('Incremental Repayments'!$R$25="Pay-Go",BY$31&gt;0),(BY$31*'Incremental Repayments'!$I$25)/'LPP Act Financing Plan'!BY$7,0)</f>
        <v>0</v>
      </c>
      <c r="BZ47" s="763">
        <f>IF(AND('Incremental Repayments'!$R$25="Pay-Go",BZ$31&gt;0),(BZ$31*'Incremental Repayments'!$I$25)/'LPP Act Financing Plan'!BZ$7,0)</f>
        <v>0</v>
      </c>
      <c r="CA47" s="763">
        <f>IF(AND('Incremental Repayments'!$R$25="Pay-Go",CA$31&gt;0),(CA$31*'Incremental Repayments'!$I$25)/'LPP Act Financing Plan'!CA$7,0)</f>
        <v>0</v>
      </c>
      <c r="CB47" s="763">
        <f>IF(AND('Incremental Repayments'!$R$25="Pay-Go",CB$31&gt;0),(CB$31*'Incremental Repayments'!$I$25)/'LPP Act Financing Plan'!CB$7,0)</f>
        <v>0</v>
      </c>
      <c r="CC47" s="763">
        <f>IF(AND('Incremental Repayments'!$R$25="Pay-Go",CC$31&gt;0),(CC$31*'Incremental Repayments'!$I$25)/'LPP Act Financing Plan'!CC$7,0)</f>
        <v>0</v>
      </c>
      <c r="CD47" s="763">
        <f>IF(AND('Incremental Repayments'!$R$25="Pay-Go",CD$31&gt;0),(CD$31*'Incremental Repayments'!$I$25)/'LPP Act Financing Plan'!CD$7,0)</f>
        <v>0</v>
      </c>
      <c r="CE47" s="763">
        <f>IF(AND('Incremental Repayments'!$R$25="Pay-Go",CE$31&gt;0),(CE$31*'Incremental Repayments'!$I$25)/'LPP Act Financing Plan'!CE$7,0)</f>
        <v>0</v>
      </c>
      <c r="CF47" s="763">
        <f>IF(AND('Incremental Repayments'!$R$25="Pay-Go",CF$31&gt;0),(CF$31*'Incremental Repayments'!$I$25)/'LPP Act Financing Plan'!CF$7,0)</f>
        <v>0</v>
      </c>
      <c r="CG47" s="763">
        <f>IF(AND('Incremental Repayments'!$R$25="Pay-Go",CG$31&gt;0),(CG$31*'Incremental Repayments'!$I$25)/'LPP Act Financing Plan'!CG$7,0)</f>
        <v>0</v>
      </c>
      <c r="CH47" s="763">
        <f>IF(AND('Incremental Repayments'!$R$25="Pay-Go",CH$31&gt;0),(CH$31*'Incremental Repayments'!$I$25)/'LPP Act Financing Plan'!CH$7,0)</f>
        <v>0</v>
      </c>
      <c r="CI47" s="763">
        <f>IF(AND('Incremental Repayments'!$R$25="Pay-Go",CI$31&gt;0),(CI$31*'Incremental Repayments'!$I$25)/'LPP Act Financing Plan'!CI$7,0)</f>
        <v>0</v>
      </c>
      <c r="CJ47" s="763">
        <f>IF(AND('Incremental Repayments'!$R$25="Pay-Go",CJ$31&gt;0),(CJ$31*'Incremental Repayments'!$I$25)/'LPP Act Financing Plan'!CJ$7,0)</f>
        <v>0</v>
      </c>
      <c r="CK47" s="763">
        <f>IF(AND('Incremental Repayments'!$R$25="Pay-Go",CK$31&gt;0),(CK$31*'Incremental Repayments'!$I$25)/'LPP Act Financing Plan'!CK$7,0)</f>
        <v>0</v>
      </c>
      <c r="CL47" s="763">
        <f>IF(AND('Incremental Repayments'!$R$25="Pay-Go",CL$31&gt;0),(CL$31*'Incremental Repayments'!$I$25)/'LPP Act Financing Plan'!CL$7,0)</f>
        <v>0</v>
      </c>
      <c r="CM47" s="763">
        <f>IF(AND('Incremental Repayments'!$R$25="Pay-Go",CM$31&gt;0),(CM$31*'Incremental Repayments'!$I$25)/'LPP Act Financing Plan'!CM$7,0)</f>
        <v>0</v>
      </c>
      <c r="CN47" s="763">
        <f>IF(AND('Incremental Repayments'!$R$25="Pay-Go",CN$31&gt;0),(CN$31*'Incremental Repayments'!$I$25)/'LPP Act Financing Plan'!CN$7,0)</f>
        <v>0</v>
      </c>
      <c r="CO47" s="763">
        <f>IF(AND('Incremental Repayments'!$R$25="Pay-Go",CO$31&gt;0),(CO$31*'Incremental Repayments'!$I$25)/'LPP Act Financing Plan'!CO$7,0)</f>
        <v>0</v>
      </c>
      <c r="CP47" s="763">
        <f>IF(AND('Incremental Repayments'!$R$25="Pay-Go",CP$31&gt;0),(CP$31*'Incremental Repayments'!$I$25)/'LPP Act Financing Plan'!CP$7,0)</f>
        <v>0</v>
      </c>
      <c r="CQ47" s="763">
        <f>IF(AND('Incremental Repayments'!$R$25="Pay-Go",CQ$31&gt;0),(CQ$31*'Incremental Repayments'!$I$25)/'LPP Act Financing Plan'!CQ$7,0)</f>
        <v>0</v>
      </c>
      <c r="CR47" s="763">
        <f>IF(AND('Incremental Repayments'!$R$25="Pay-Go",CR$31&gt;0),(CR$31*'Incremental Repayments'!$I$25)/'LPP Act Financing Plan'!CR$7,0)</f>
        <v>0</v>
      </c>
      <c r="CS47" s="763">
        <f>IF(AND('Incremental Repayments'!$R$25="Pay-Go",CS$31&gt;0),(CS$31*'Incremental Repayments'!$I$25)/'LPP Act Financing Plan'!CS$7,0)</f>
        <v>0</v>
      </c>
      <c r="CT47" s="763">
        <f>IF(AND('Incremental Repayments'!$R$25="Pay-Go",CT$31&gt;0),(CT$31*'Incremental Repayments'!$I$25)/'LPP Act Financing Plan'!CT$7,0)</f>
        <v>0</v>
      </c>
      <c r="CU47" s="763">
        <f>IF(AND('Incremental Repayments'!$R$25="Pay-Go",CU$31&gt;0),(CU$31*'Incremental Repayments'!$I$25)/'LPP Act Financing Plan'!CU$7,0)</f>
        <v>0</v>
      </c>
      <c r="CV47" s="763">
        <f>IF(AND('Incremental Repayments'!$R$25="Pay-Go",CV$31&gt;0),(CV$31*'Incremental Repayments'!$I$25)/'LPP Act Financing Plan'!CV$7,0)</f>
        <v>0</v>
      </c>
      <c r="CW47" s="763">
        <f>IF(AND('Incremental Repayments'!$R$25="Pay-Go",CW$31&gt;0),(CW$31*'Incremental Repayments'!$I$25)/'LPP Act Financing Plan'!CW$7,0)</f>
        <v>0</v>
      </c>
      <c r="CX47" s="763">
        <f>IF(AND('Incremental Repayments'!$R$25="Pay-Go",CX$31&gt;0),(CX$31*'Incremental Repayments'!$I$25)/'LPP Act Financing Plan'!CX$7,0)</f>
        <v>0</v>
      </c>
      <c r="CY47" s="763">
        <f>IF(AND('Incremental Repayments'!$R$25="Pay-Go",CY$31&gt;0),(CY$31*'Incremental Repayments'!$I$25)/'LPP Act Financing Plan'!CY$7,0)</f>
        <v>0</v>
      </c>
      <c r="CZ47" s="763">
        <f>IF(AND('Incremental Repayments'!$R$25="Pay-Go",CZ$31&gt;0),(CZ$31*'Incremental Repayments'!$I$25)/'LPP Act Financing Plan'!CZ$7,0)</f>
        <v>0</v>
      </c>
    </row>
    <row r="48" spans="1:104" s="410" customFormat="1" x14ac:dyDescent="0.25">
      <c r="C48" s="410" t="s">
        <v>519</v>
      </c>
      <c r="E48" s="763">
        <f t="shared" ref="E48:AJ48" si="385">E47*E7</f>
        <v>0</v>
      </c>
      <c r="F48" s="763">
        <f t="shared" si="385"/>
        <v>0</v>
      </c>
      <c r="G48" s="763">
        <f t="shared" si="385"/>
        <v>0</v>
      </c>
      <c r="H48" s="763">
        <f t="shared" si="385"/>
        <v>0</v>
      </c>
      <c r="I48" s="763">
        <f t="shared" si="385"/>
        <v>0</v>
      </c>
      <c r="J48" s="763">
        <f t="shared" si="385"/>
        <v>0</v>
      </c>
      <c r="K48" s="763">
        <f t="shared" si="385"/>
        <v>0</v>
      </c>
      <c r="L48" s="763">
        <f t="shared" si="385"/>
        <v>0</v>
      </c>
      <c r="M48" s="763">
        <f t="shared" si="385"/>
        <v>0</v>
      </c>
      <c r="N48" s="763">
        <f t="shared" si="385"/>
        <v>0</v>
      </c>
      <c r="O48" s="763">
        <f t="shared" si="385"/>
        <v>0</v>
      </c>
      <c r="P48" s="763">
        <f t="shared" si="385"/>
        <v>0</v>
      </c>
      <c r="Q48" s="763">
        <f t="shared" si="385"/>
        <v>0</v>
      </c>
      <c r="R48" s="763">
        <f t="shared" si="385"/>
        <v>0</v>
      </c>
      <c r="S48" s="763">
        <f t="shared" si="385"/>
        <v>0</v>
      </c>
      <c r="T48" s="763">
        <f t="shared" si="385"/>
        <v>0</v>
      </c>
      <c r="U48" s="763">
        <f t="shared" si="385"/>
        <v>0</v>
      </c>
      <c r="V48" s="763">
        <f t="shared" si="385"/>
        <v>0</v>
      </c>
      <c r="W48" s="763">
        <f t="shared" si="385"/>
        <v>5379342.7377715856</v>
      </c>
      <c r="X48" s="763">
        <f t="shared" si="385"/>
        <v>10367736.424852148</v>
      </c>
      <c r="Y48" s="763">
        <f t="shared" si="385"/>
        <v>10633172.258287415</v>
      </c>
      <c r="Z48" s="763">
        <f t="shared" si="385"/>
        <v>10905316.740317207</v>
      </c>
      <c r="AA48" s="763">
        <f t="shared" si="385"/>
        <v>11184336.663655853</v>
      </c>
      <c r="AB48" s="763">
        <f t="shared" si="385"/>
        <v>11470402.879102532</v>
      </c>
      <c r="AC48" s="763">
        <f t="shared" si="385"/>
        <v>11763690.391374672</v>
      </c>
      <c r="AD48" s="763">
        <f t="shared" si="385"/>
        <v>12064378.457107591</v>
      </c>
      <c r="AE48" s="763">
        <f t="shared" si="385"/>
        <v>12372650.685067231</v>
      </c>
      <c r="AF48" s="763">
        <f t="shared" si="385"/>
        <v>12688695.138618439</v>
      </c>
      <c r="AG48" s="763">
        <f t="shared" si="385"/>
        <v>13012704.440503463</v>
      </c>
      <c r="AH48" s="763">
        <f t="shared" si="385"/>
        <v>13344875.879969228</v>
      </c>
      <c r="AI48" s="763">
        <f t="shared" si="385"/>
        <v>13685411.522302974</v>
      </c>
      <c r="AJ48" s="763">
        <f t="shared" si="385"/>
        <v>14034518.320816055</v>
      </c>
      <c r="AK48" s="763">
        <f t="shared" ref="AK48:BP48" si="386">AK47*AK7</f>
        <v>14392408.231335787</v>
      </c>
      <c r="AL48" s="763">
        <f t="shared" si="386"/>
        <v>14759298.329248594</v>
      </c>
      <c r="AM48" s="763">
        <f t="shared" si="386"/>
        <v>15135410.929156858</v>
      </c>
      <c r="AN48" s="763">
        <f t="shared" si="386"/>
        <v>17173662.542251777</v>
      </c>
      <c r="AO48" s="763">
        <f t="shared" si="386"/>
        <v>17663111.924706172</v>
      </c>
      <c r="AP48" s="763">
        <f t="shared" si="386"/>
        <v>18166510.614560314</v>
      </c>
      <c r="AQ48" s="763">
        <f t="shared" si="386"/>
        <v>18684256.167075194</v>
      </c>
      <c r="AR48" s="763">
        <f t="shared" si="386"/>
        <v>19216757.467836943</v>
      </c>
      <c r="AS48" s="763">
        <f t="shared" si="386"/>
        <v>19764435.05567031</v>
      </c>
      <c r="AT48" s="763">
        <f t="shared" si="386"/>
        <v>20327721.454756632</v>
      </c>
      <c r="AU48" s="763">
        <f t="shared" si="386"/>
        <v>20907061.516217485</v>
      </c>
      <c r="AV48" s="763">
        <f t="shared" si="386"/>
        <v>21502912.769429535</v>
      </c>
      <c r="AW48" s="763">
        <f t="shared" si="386"/>
        <v>22115745.783358373</v>
      </c>
      <c r="AX48" s="763">
        <f t="shared" si="386"/>
        <v>22746044.538183942</v>
      </c>
      <c r="AY48" s="763">
        <f t="shared" si="386"/>
        <v>23394306.80752242</v>
      </c>
      <c r="AZ48" s="763">
        <f t="shared" si="386"/>
        <v>10643713.681487953</v>
      </c>
      <c r="BA48" s="763">
        <f t="shared" si="386"/>
        <v>0</v>
      </c>
      <c r="BB48" s="763">
        <f t="shared" si="386"/>
        <v>0</v>
      </c>
      <c r="BC48" s="763">
        <f t="shared" si="386"/>
        <v>0</v>
      </c>
      <c r="BD48" s="763">
        <f t="shared" si="386"/>
        <v>0</v>
      </c>
      <c r="BE48" s="763">
        <f t="shared" si="386"/>
        <v>0</v>
      </c>
      <c r="BF48" s="763">
        <f t="shared" si="386"/>
        <v>0</v>
      </c>
      <c r="BG48" s="763">
        <f t="shared" si="386"/>
        <v>0</v>
      </c>
      <c r="BH48" s="763">
        <f t="shared" si="386"/>
        <v>0</v>
      </c>
      <c r="BI48" s="763">
        <f t="shared" si="386"/>
        <v>0</v>
      </c>
      <c r="BJ48" s="763">
        <f t="shared" si="386"/>
        <v>0</v>
      </c>
      <c r="BK48" s="763">
        <f t="shared" si="386"/>
        <v>0</v>
      </c>
      <c r="BL48" s="763">
        <f t="shared" si="386"/>
        <v>0</v>
      </c>
      <c r="BM48" s="763">
        <f t="shared" si="386"/>
        <v>0</v>
      </c>
      <c r="BN48" s="763">
        <f t="shared" si="386"/>
        <v>0</v>
      </c>
      <c r="BO48" s="763">
        <f t="shared" si="386"/>
        <v>0</v>
      </c>
      <c r="BP48" s="763">
        <f t="shared" si="386"/>
        <v>0</v>
      </c>
      <c r="BQ48" s="763">
        <f t="shared" ref="BQ48:CV48" si="387">BQ47*BQ7</f>
        <v>0</v>
      </c>
      <c r="BR48" s="763">
        <f t="shared" si="387"/>
        <v>0</v>
      </c>
      <c r="BS48" s="763">
        <f t="shared" si="387"/>
        <v>0</v>
      </c>
      <c r="BT48" s="763">
        <f t="shared" si="387"/>
        <v>0</v>
      </c>
      <c r="BU48" s="763">
        <f t="shared" si="387"/>
        <v>0</v>
      </c>
      <c r="BV48" s="763">
        <f t="shared" si="387"/>
        <v>0</v>
      </c>
      <c r="BW48" s="763">
        <f t="shared" si="387"/>
        <v>0</v>
      </c>
      <c r="BX48" s="763">
        <f t="shared" si="387"/>
        <v>0</v>
      </c>
      <c r="BY48" s="763">
        <f t="shared" si="387"/>
        <v>0</v>
      </c>
      <c r="BZ48" s="763">
        <f t="shared" si="387"/>
        <v>0</v>
      </c>
      <c r="CA48" s="763">
        <f t="shared" si="387"/>
        <v>0</v>
      </c>
      <c r="CB48" s="763">
        <f t="shared" si="387"/>
        <v>0</v>
      </c>
      <c r="CC48" s="763">
        <f t="shared" si="387"/>
        <v>0</v>
      </c>
      <c r="CD48" s="763">
        <f t="shared" si="387"/>
        <v>0</v>
      </c>
      <c r="CE48" s="763">
        <f t="shared" si="387"/>
        <v>0</v>
      </c>
      <c r="CF48" s="763">
        <f t="shared" si="387"/>
        <v>0</v>
      </c>
      <c r="CG48" s="763">
        <f t="shared" si="387"/>
        <v>0</v>
      </c>
      <c r="CH48" s="763">
        <f t="shared" si="387"/>
        <v>0</v>
      </c>
      <c r="CI48" s="763">
        <f t="shared" si="387"/>
        <v>0</v>
      </c>
      <c r="CJ48" s="763">
        <f t="shared" si="387"/>
        <v>0</v>
      </c>
      <c r="CK48" s="763">
        <f t="shared" si="387"/>
        <v>0</v>
      </c>
      <c r="CL48" s="763">
        <f t="shared" si="387"/>
        <v>0</v>
      </c>
      <c r="CM48" s="763">
        <f t="shared" si="387"/>
        <v>0</v>
      </c>
      <c r="CN48" s="763">
        <f t="shared" si="387"/>
        <v>0</v>
      </c>
      <c r="CO48" s="763">
        <f t="shared" si="387"/>
        <v>0</v>
      </c>
      <c r="CP48" s="763">
        <f t="shared" si="387"/>
        <v>0</v>
      </c>
      <c r="CQ48" s="763">
        <f t="shared" si="387"/>
        <v>0</v>
      </c>
      <c r="CR48" s="763">
        <f t="shared" si="387"/>
        <v>0</v>
      </c>
      <c r="CS48" s="763">
        <f t="shared" si="387"/>
        <v>0</v>
      </c>
      <c r="CT48" s="763">
        <f t="shared" si="387"/>
        <v>0</v>
      </c>
      <c r="CU48" s="763">
        <f t="shared" si="387"/>
        <v>0</v>
      </c>
      <c r="CV48" s="763">
        <f t="shared" si="387"/>
        <v>0</v>
      </c>
      <c r="CW48" s="763">
        <f t="shared" ref="CW48:CZ48" si="388">CW47*CW7</f>
        <v>0</v>
      </c>
      <c r="CX48" s="763">
        <f t="shared" si="388"/>
        <v>0</v>
      </c>
      <c r="CY48" s="763">
        <f t="shared" si="388"/>
        <v>0</v>
      </c>
      <c r="CZ48" s="763">
        <f t="shared" si="388"/>
        <v>0</v>
      </c>
    </row>
    <row r="49" spans="1:104" s="410" customFormat="1" ht="17.25" x14ac:dyDescent="0.4">
      <c r="C49" s="410" t="s">
        <v>516</v>
      </c>
      <c r="E49" s="764">
        <f t="shared" ref="E49" si="389">IF(E47=0,0,D49+E48)</f>
        <v>0</v>
      </c>
      <c r="F49" s="764">
        <f t="shared" ref="F49" si="390">IF(F47=0,0,E49+F48)</f>
        <v>0</v>
      </c>
      <c r="G49" s="764">
        <f t="shared" ref="G49" si="391">IF(G47=0,0,F49+G48)</f>
        <v>0</v>
      </c>
      <c r="H49" s="764">
        <f t="shared" ref="H49" si="392">IF(H47=0,0,G49+H48)</f>
        <v>0</v>
      </c>
      <c r="I49" s="764">
        <f t="shared" ref="I49" si="393">IF(I47=0,0,H49+I48)</f>
        <v>0</v>
      </c>
      <c r="J49" s="764">
        <f t="shared" ref="J49" si="394">IF(J47=0,0,I49+J48)</f>
        <v>0</v>
      </c>
      <c r="K49" s="764">
        <f t="shared" ref="K49" si="395">IF(K47=0,0,J49+K48)</f>
        <v>0</v>
      </c>
      <c r="L49" s="764">
        <f t="shared" ref="L49" si="396">IF(L47=0,0,K49+L48)</f>
        <v>0</v>
      </c>
      <c r="M49" s="764">
        <f t="shared" ref="M49" si="397">IF(M47=0,0,L49+M48)</f>
        <v>0</v>
      </c>
      <c r="N49" s="764">
        <f t="shared" ref="N49" si="398">IF(N47=0,0,M49+N48)</f>
        <v>0</v>
      </c>
      <c r="O49" s="764">
        <f t="shared" ref="O49" si="399">IF(O47=0,0,N49+O48)</f>
        <v>0</v>
      </c>
      <c r="P49" s="764">
        <f t="shared" ref="P49" si="400">IF(P47=0,0,O49+P48)</f>
        <v>0</v>
      </c>
      <c r="Q49" s="764">
        <f t="shared" ref="Q49" si="401">IF(Q47=0,0,P49+Q48)</f>
        <v>0</v>
      </c>
      <c r="R49" s="764">
        <f t="shared" ref="R49" si="402">IF(R47=0,0,Q49+R48)</f>
        <v>0</v>
      </c>
      <c r="S49" s="764">
        <f t="shared" ref="S49" si="403">IF(S47=0,0,R49+S48)</f>
        <v>0</v>
      </c>
      <c r="T49" s="764">
        <f t="shared" ref="T49" si="404">IF(T47=0,0,S49+T48)</f>
        <v>0</v>
      </c>
      <c r="U49" s="764">
        <f t="shared" ref="U49" si="405">IF(U47=0,0,T49+U48)</f>
        <v>0</v>
      </c>
      <c r="V49" s="764">
        <f t="shared" ref="V49" si="406">IF(V47=0,0,U49+V48)</f>
        <v>0</v>
      </c>
      <c r="W49" s="764">
        <f t="shared" ref="W49" si="407">IF(W47=0,0,V49+W48)</f>
        <v>5379342.7377715856</v>
      </c>
      <c r="X49" s="764">
        <f t="shared" ref="X49" si="408">IF(X47=0,0,W49+X48)</f>
        <v>15747079.162623733</v>
      </c>
      <c r="Y49" s="764">
        <f t="shared" ref="Y49" si="409">IF(Y47=0,0,X49+Y48)</f>
        <v>26380251.420911148</v>
      </c>
      <c r="Z49" s="764">
        <f t="shared" ref="Z49" si="410">IF(Z47=0,0,Y49+Z48)</f>
        <v>37285568.161228359</v>
      </c>
      <c r="AA49" s="764">
        <f t="shared" ref="AA49" si="411">IF(AA47=0,0,Z49+AA48)</f>
        <v>48469904.824884214</v>
      </c>
      <c r="AB49" s="764">
        <f t="shared" ref="AB49" si="412">IF(AB47=0,0,AA49+AB48)</f>
        <v>59940307.703986749</v>
      </c>
      <c r="AC49" s="764">
        <f t="shared" ref="AC49" si="413">IF(AC47=0,0,AB49+AC48)</f>
        <v>71703998.095361426</v>
      </c>
      <c r="AD49" s="764">
        <f t="shared" ref="AD49" si="414">IF(AD47=0,0,AC49+AD48)</f>
        <v>83768376.552469015</v>
      </c>
      <c r="AE49" s="764">
        <f t="shared" ref="AE49" si="415">IF(AE47=0,0,AD49+AE48)</f>
        <v>96141027.237536252</v>
      </c>
      <c r="AF49" s="764">
        <f t="shared" ref="AF49" si="416">IF(AF47=0,0,AE49+AF48)</f>
        <v>108829722.37615469</v>
      </c>
      <c r="AG49" s="764">
        <f t="shared" ref="AG49" si="417">IF(AG47=0,0,AF49+AG48)</f>
        <v>121842426.81665815</v>
      </c>
      <c r="AH49" s="764">
        <f t="shared" ref="AH49" si="418">IF(AH47=0,0,AG49+AH48)</f>
        <v>135187302.69662738</v>
      </c>
      <c r="AI49" s="764">
        <f t="shared" ref="AI49" si="419">IF(AI47=0,0,AH49+AI48)</f>
        <v>148872714.21893036</v>
      </c>
      <c r="AJ49" s="764">
        <f t="shared" ref="AJ49" si="420">IF(AJ47=0,0,AI49+AJ48)</f>
        <v>162907232.5397464</v>
      </c>
      <c r="AK49" s="764">
        <f t="shared" ref="AK49" si="421">IF(AK47=0,0,AJ49+AK48)</f>
        <v>177299640.77108219</v>
      </c>
      <c r="AL49" s="764">
        <f t="shared" ref="AL49" si="422">IF(AL47=0,0,AK49+AL48)</f>
        <v>192058939.1003308</v>
      </c>
      <c r="AM49" s="764">
        <f t="shared" ref="AM49" si="423">IF(AM47=0,0,AL49+AM48)</f>
        <v>207194350.02948767</v>
      </c>
      <c r="AN49" s="764">
        <f t="shared" ref="AN49" si="424">IF(AN47=0,0,AM49+AN48)</f>
        <v>224368012.57173944</v>
      </c>
      <c r="AO49" s="764">
        <f t="shared" ref="AO49" si="425">IF(AO47=0,0,AN49+AO48)</f>
        <v>242031124.4964456</v>
      </c>
      <c r="AP49" s="764">
        <f t="shared" ref="AP49" si="426">IF(AP47=0,0,AO49+AP48)</f>
        <v>260197635.1110059</v>
      </c>
      <c r="AQ49" s="764">
        <f t="shared" ref="AQ49" si="427">IF(AQ47=0,0,AP49+AQ48)</f>
        <v>278881891.27808112</v>
      </c>
      <c r="AR49" s="764">
        <f t="shared" ref="AR49" si="428">IF(AR47=0,0,AQ49+AR48)</f>
        <v>298098648.74591804</v>
      </c>
      <c r="AS49" s="764">
        <f t="shared" ref="AS49" si="429">IF(AS47=0,0,AR49+AS48)</f>
        <v>317863083.80158836</v>
      </c>
      <c r="AT49" s="764">
        <f t="shared" ref="AT49" si="430">IF(AT47=0,0,AS49+AT48)</f>
        <v>338190805.25634497</v>
      </c>
      <c r="AU49" s="764">
        <f t="shared" ref="AU49" si="431">IF(AU47=0,0,AT49+AU48)</f>
        <v>359097866.77256244</v>
      </c>
      <c r="AV49" s="764">
        <f t="shared" ref="AV49" si="432">IF(AV47=0,0,AU49+AV48)</f>
        <v>380600779.54199195</v>
      </c>
      <c r="AW49" s="764">
        <f t="shared" ref="AW49" si="433">IF(AW47=0,0,AV49+AW48)</f>
        <v>402716525.32535034</v>
      </c>
      <c r="AX49" s="764">
        <f t="shared" ref="AX49" si="434">IF(AX47=0,0,AW49+AX48)</f>
        <v>425462569.86353427</v>
      </c>
      <c r="AY49" s="764">
        <f t="shared" ref="AY49" si="435">IF(AY47=0,0,AX49+AY48)</f>
        <v>448856876.67105669</v>
      </c>
      <c r="AZ49" s="764">
        <f t="shared" ref="AZ49" si="436">IF(AZ47=0,0,AY49+AZ48)</f>
        <v>459500590.35254467</v>
      </c>
      <c r="BA49" s="764">
        <f t="shared" ref="BA49" si="437">IF(BA47=0,0,AZ49+BA48)</f>
        <v>0</v>
      </c>
      <c r="BB49" s="764">
        <f t="shared" ref="BB49" si="438">IF(BB47=0,0,BA49+BB48)</f>
        <v>0</v>
      </c>
      <c r="BC49" s="764">
        <f t="shared" ref="BC49" si="439">IF(BC47=0,0,BB49+BC48)</f>
        <v>0</v>
      </c>
      <c r="BD49" s="764">
        <f t="shared" ref="BD49" si="440">IF(BD47=0,0,BC49+BD48)</f>
        <v>0</v>
      </c>
      <c r="BE49" s="764">
        <f t="shared" ref="BE49" si="441">IF(BE47=0,0,BD49+BE48)</f>
        <v>0</v>
      </c>
      <c r="BF49" s="764">
        <f t="shared" ref="BF49" si="442">IF(BF47=0,0,BE49+BF48)</f>
        <v>0</v>
      </c>
      <c r="BG49" s="764">
        <f t="shared" ref="BG49" si="443">IF(BG47=0,0,BF49+BG48)</f>
        <v>0</v>
      </c>
      <c r="BH49" s="764">
        <f t="shared" ref="BH49" si="444">IF(BH47=0,0,BG49+BH48)</f>
        <v>0</v>
      </c>
      <c r="BI49" s="764">
        <f t="shared" ref="BI49" si="445">IF(BI47=0,0,BH49+BI48)</f>
        <v>0</v>
      </c>
      <c r="BJ49" s="764">
        <f t="shared" ref="BJ49" si="446">IF(BJ47=0,0,BI49+BJ48)</f>
        <v>0</v>
      </c>
      <c r="BK49" s="764">
        <f t="shared" ref="BK49" si="447">IF(BK47=0,0,BJ49+BK48)</f>
        <v>0</v>
      </c>
      <c r="BL49" s="764">
        <f t="shared" ref="BL49" si="448">IF(BL47=0,0,BK49+BL48)</f>
        <v>0</v>
      </c>
      <c r="BM49" s="764">
        <f t="shared" ref="BM49" si="449">IF(BM47=0,0,BL49+BM48)</f>
        <v>0</v>
      </c>
      <c r="BN49" s="764">
        <f t="shared" ref="BN49" si="450">IF(BN47=0,0,BM49+BN48)</f>
        <v>0</v>
      </c>
      <c r="BO49" s="764">
        <f t="shared" ref="BO49" si="451">IF(BO47=0,0,BN49+BO48)</f>
        <v>0</v>
      </c>
      <c r="BP49" s="764">
        <f t="shared" ref="BP49" si="452">IF(BP47=0,0,BO49+BP48)</f>
        <v>0</v>
      </c>
      <c r="BQ49" s="764">
        <f t="shared" ref="BQ49" si="453">IF(BQ47=0,0,BP49+BQ48)</f>
        <v>0</v>
      </c>
      <c r="BR49" s="764">
        <f t="shared" ref="BR49" si="454">IF(BR47=0,0,BQ49+BR48)</f>
        <v>0</v>
      </c>
      <c r="BS49" s="764">
        <f t="shared" ref="BS49" si="455">IF(BS47=0,0,BR49+BS48)</f>
        <v>0</v>
      </c>
      <c r="BT49" s="764">
        <f t="shared" ref="BT49" si="456">IF(BT47=0,0,BS49+BT48)</f>
        <v>0</v>
      </c>
      <c r="BU49" s="764">
        <f t="shared" ref="BU49" si="457">IF(BU47=0,0,BT49+BU48)</f>
        <v>0</v>
      </c>
      <c r="BV49" s="764">
        <f t="shared" ref="BV49" si="458">IF(BV47=0,0,BU49+BV48)</f>
        <v>0</v>
      </c>
      <c r="BW49" s="764">
        <f t="shared" ref="BW49" si="459">IF(BW47=0,0,BV49+BW48)</f>
        <v>0</v>
      </c>
      <c r="BX49" s="764">
        <f t="shared" ref="BX49" si="460">IF(BX47=0,0,BW49+BX48)</f>
        <v>0</v>
      </c>
      <c r="BY49" s="764">
        <f t="shared" ref="BY49" si="461">IF(BY47=0,0,BX49+BY48)</f>
        <v>0</v>
      </c>
      <c r="BZ49" s="764">
        <f t="shared" ref="BZ49" si="462">IF(BZ47=0,0,BY49+BZ48)</f>
        <v>0</v>
      </c>
      <c r="CA49" s="764">
        <f t="shared" ref="CA49" si="463">IF(CA47=0,0,BZ49+CA48)</f>
        <v>0</v>
      </c>
      <c r="CB49" s="764">
        <f t="shared" ref="CB49" si="464">IF(CB47=0,0,CA49+CB48)</f>
        <v>0</v>
      </c>
      <c r="CC49" s="764">
        <f t="shared" ref="CC49" si="465">IF(CC47=0,0,CB49+CC48)</f>
        <v>0</v>
      </c>
      <c r="CD49" s="764">
        <f t="shared" ref="CD49" si="466">IF(CD47=0,0,CC49+CD48)</f>
        <v>0</v>
      </c>
      <c r="CE49" s="764">
        <f t="shared" ref="CE49" si="467">IF(CE47=0,0,CD49+CE48)</f>
        <v>0</v>
      </c>
      <c r="CF49" s="764">
        <f t="shared" ref="CF49" si="468">IF(CF47=0,0,CE49+CF48)</f>
        <v>0</v>
      </c>
      <c r="CG49" s="764">
        <f t="shared" ref="CG49" si="469">IF(CG47=0,0,CF49+CG48)</f>
        <v>0</v>
      </c>
      <c r="CH49" s="764">
        <f t="shared" ref="CH49" si="470">IF(CH47=0,0,CG49+CH48)</f>
        <v>0</v>
      </c>
      <c r="CI49" s="764">
        <f t="shared" ref="CI49" si="471">IF(CI47=0,0,CH49+CI48)</f>
        <v>0</v>
      </c>
      <c r="CJ49" s="764">
        <f t="shared" ref="CJ49" si="472">IF(CJ47=0,0,CI49+CJ48)</f>
        <v>0</v>
      </c>
      <c r="CK49" s="764">
        <f t="shared" ref="CK49" si="473">IF(CK47=0,0,CJ49+CK48)</f>
        <v>0</v>
      </c>
      <c r="CL49" s="764">
        <f t="shared" ref="CL49" si="474">IF(CL47=0,0,CK49+CL48)</f>
        <v>0</v>
      </c>
      <c r="CM49" s="764">
        <f t="shared" ref="CM49" si="475">IF(CM47=0,0,CL49+CM48)</f>
        <v>0</v>
      </c>
      <c r="CN49" s="764">
        <f t="shared" ref="CN49" si="476">IF(CN47=0,0,CM49+CN48)</f>
        <v>0</v>
      </c>
      <c r="CO49" s="764">
        <f t="shared" ref="CO49" si="477">IF(CO47=0,0,CN49+CO48)</f>
        <v>0</v>
      </c>
      <c r="CP49" s="764">
        <f t="shared" ref="CP49" si="478">IF(CP47=0,0,CO49+CP48)</f>
        <v>0</v>
      </c>
      <c r="CQ49" s="764">
        <f t="shared" ref="CQ49" si="479">IF(CQ47=0,0,CP49+CQ48)</f>
        <v>0</v>
      </c>
      <c r="CR49" s="764">
        <f t="shared" ref="CR49" si="480">IF(CR47=0,0,CQ49+CR48)</f>
        <v>0</v>
      </c>
      <c r="CS49" s="764">
        <f t="shared" ref="CS49" si="481">IF(CS47=0,0,CR49+CS48)</f>
        <v>0</v>
      </c>
      <c r="CT49" s="764">
        <f t="shared" ref="CT49" si="482">IF(CT47=0,0,CS49+CT48)</f>
        <v>0</v>
      </c>
      <c r="CU49" s="764">
        <f t="shared" ref="CU49" si="483">IF(CU47=0,0,CT49+CU48)</f>
        <v>0</v>
      </c>
      <c r="CV49" s="764">
        <f t="shared" ref="CV49" si="484">IF(CV47=0,0,CU49+CV48)</f>
        <v>0</v>
      </c>
      <c r="CW49" s="764">
        <f t="shared" ref="CW49" si="485">IF(CW47=0,0,CV49+CW48)</f>
        <v>0</v>
      </c>
      <c r="CX49" s="764">
        <f t="shared" ref="CX49" si="486">IF(CX47=0,0,CW49+CX48)</f>
        <v>0</v>
      </c>
      <c r="CY49" s="764">
        <f t="shared" ref="CY49" si="487">IF(CY47=0,0,CX49+CY48)</f>
        <v>0</v>
      </c>
      <c r="CZ49" s="764">
        <f t="shared" ref="CZ49" si="488">IF(CZ47=0,0,CY49+CZ48)</f>
        <v>0</v>
      </c>
    </row>
    <row r="50" spans="1:104" s="410" customFormat="1" x14ac:dyDescent="0.25">
      <c r="C50" s="410" t="s">
        <v>377</v>
      </c>
      <c r="E50" s="763">
        <f t="shared" ref="E50:R50" si="489">E48+E45</f>
        <v>0</v>
      </c>
      <c r="F50" s="763">
        <f t="shared" si="489"/>
        <v>0</v>
      </c>
      <c r="G50" s="763">
        <f t="shared" si="489"/>
        <v>0</v>
      </c>
      <c r="H50" s="763">
        <f t="shared" si="489"/>
        <v>0</v>
      </c>
      <c r="I50" s="763">
        <f t="shared" si="489"/>
        <v>0</v>
      </c>
      <c r="J50" s="763">
        <f t="shared" si="489"/>
        <v>0</v>
      </c>
      <c r="K50" s="763">
        <f t="shared" si="489"/>
        <v>0</v>
      </c>
      <c r="L50" s="763">
        <f t="shared" si="489"/>
        <v>0</v>
      </c>
      <c r="M50" s="763">
        <f t="shared" si="489"/>
        <v>0</v>
      </c>
      <c r="N50" s="763">
        <f t="shared" si="489"/>
        <v>0</v>
      </c>
      <c r="O50" s="763">
        <f t="shared" si="489"/>
        <v>0</v>
      </c>
      <c r="P50" s="763">
        <f t="shared" si="489"/>
        <v>0</v>
      </c>
      <c r="Q50" s="763">
        <f t="shared" si="489"/>
        <v>0</v>
      </c>
      <c r="R50" s="763">
        <f t="shared" si="489"/>
        <v>0</v>
      </c>
      <c r="S50" s="763">
        <f>S48+S45</f>
        <v>0</v>
      </c>
      <c r="T50" s="763">
        <f t="shared" ref="T50:CE50" si="490">T48+T45</f>
        <v>0</v>
      </c>
      <c r="U50" s="763">
        <f t="shared" si="490"/>
        <v>0</v>
      </c>
      <c r="V50" s="763">
        <f t="shared" si="490"/>
        <v>0</v>
      </c>
      <c r="W50" s="763">
        <f t="shared" si="490"/>
        <v>5379342.7377715856</v>
      </c>
      <c r="X50" s="763">
        <f t="shared" si="490"/>
        <v>10367736.424852148</v>
      </c>
      <c r="Y50" s="763">
        <f t="shared" si="490"/>
        <v>10633172.258287415</v>
      </c>
      <c r="Z50" s="763">
        <f t="shared" si="490"/>
        <v>10905316.740317207</v>
      </c>
      <c r="AA50" s="763">
        <f t="shared" si="490"/>
        <v>11184336.663655853</v>
      </c>
      <c r="AB50" s="763">
        <f t="shared" si="490"/>
        <v>11470402.879102532</v>
      </c>
      <c r="AC50" s="763">
        <f t="shared" si="490"/>
        <v>11763690.391374672</v>
      </c>
      <c r="AD50" s="763">
        <f t="shared" si="490"/>
        <v>12064378.457107591</v>
      </c>
      <c r="AE50" s="763">
        <f t="shared" si="490"/>
        <v>12372650.685067231</v>
      </c>
      <c r="AF50" s="763">
        <f t="shared" si="490"/>
        <v>12688695.138618439</v>
      </c>
      <c r="AG50" s="763">
        <f t="shared" si="490"/>
        <v>13012704.440503463</v>
      </c>
      <c r="AH50" s="763">
        <f t="shared" si="490"/>
        <v>13344875.879969228</v>
      </c>
      <c r="AI50" s="763">
        <f t="shared" si="490"/>
        <v>13685411.522302974</v>
      </c>
      <c r="AJ50" s="763">
        <f t="shared" si="490"/>
        <v>14034518.320816055</v>
      </c>
      <c r="AK50" s="763">
        <f t="shared" si="490"/>
        <v>14392408.231335787</v>
      </c>
      <c r="AL50" s="763">
        <f t="shared" si="490"/>
        <v>14759298.329248594</v>
      </c>
      <c r="AM50" s="763">
        <f t="shared" si="490"/>
        <v>15135410.929156858</v>
      </c>
      <c r="AN50" s="763">
        <f t="shared" si="490"/>
        <v>17173662.542251777</v>
      </c>
      <c r="AO50" s="763">
        <f t="shared" si="490"/>
        <v>17663111.924706172</v>
      </c>
      <c r="AP50" s="763">
        <f t="shared" si="490"/>
        <v>18166510.614560314</v>
      </c>
      <c r="AQ50" s="763">
        <f t="shared" si="490"/>
        <v>18684256.167075194</v>
      </c>
      <c r="AR50" s="763">
        <f t="shared" si="490"/>
        <v>19216757.467836943</v>
      </c>
      <c r="AS50" s="763">
        <f t="shared" si="490"/>
        <v>19764435.05567031</v>
      </c>
      <c r="AT50" s="763">
        <f t="shared" si="490"/>
        <v>20327721.454756632</v>
      </c>
      <c r="AU50" s="763">
        <f t="shared" si="490"/>
        <v>20907061.516217485</v>
      </c>
      <c r="AV50" s="763">
        <f t="shared" si="490"/>
        <v>21502912.769429535</v>
      </c>
      <c r="AW50" s="763">
        <f t="shared" si="490"/>
        <v>22115745.783358373</v>
      </c>
      <c r="AX50" s="763">
        <f t="shared" si="490"/>
        <v>22746044.538183942</v>
      </c>
      <c r="AY50" s="763">
        <f t="shared" si="490"/>
        <v>23394306.80752242</v>
      </c>
      <c r="AZ50" s="763">
        <f t="shared" si="490"/>
        <v>10643713.681487953</v>
      </c>
      <c r="BA50" s="763">
        <f t="shared" si="490"/>
        <v>0</v>
      </c>
      <c r="BB50" s="763">
        <f t="shared" si="490"/>
        <v>0</v>
      </c>
      <c r="BC50" s="763">
        <f t="shared" si="490"/>
        <v>0</v>
      </c>
      <c r="BD50" s="763">
        <f t="shared" si="490"/>
        <v>0</v>
      </c>
      <c r="BE50" s="763">
        <f t="shared" si="490"/>
        <v>0</v>
      </c>
      <c r="BF50" s="763">
        <f t="shared" si="490"/>
        <v>0</v>
      </c>
      <c r="BG50" s="763">
        <f t="shared" si="490"/>
        <v>0</v>
      </c>
      <c r="BH50" s="763">
        <f t="shared" si="490"/>
        <v>0</v>
      </c>
      <c r="BI50" s="763">
        <f t="shared" si="490"/>
        <v>0</v>
      </c>
      <c r="BJ50" s="763">
        <f t="shared" si="490"/>
        <v>0</v>
      </c>
      <c r="BK50" s="763">
        <f t="shared" si="490"/>
        <v>0</v>
      </c>
      <c r="BL50" s="763">
        <f t="shared" si="490"/>
        <v>0</v>
      </c>
      <c r="BM50" s="763">
        <f t="shared" si="490"/>
        <v>0</v>
      </c>
      <c r="BN50" s="763">
        <f t="shared" si="490"/>
        <v>0</v>
      </c>
      <c r="BO50" s="763">
        <f t="shared" si="490"/>
        <v>0</v>
      </c>
      <c r="BP50" s="763">
        <f t="shared" si="490"/>
        <v>0</v>
      </c>
      <c r="BQ50" s="763">
        <f t="shared" si="490"/>
        <v>0</v>
      </c>
      <c r="BR50" s="763">
        <f t="shared" si="490"/>
        <v>0</v>
      </c>
      <c r="BS50" s="763">
        <f t="shared" si="490"/>
        <v>0</v>
      </c>
      <c r="BT50" s="763">
        <f t="shared" si="490"/>
        <v>0</v>
      </c>
      <c r="BU50" s="763">
        <f t="shared" si="490"/>
        <v>0</v>
      </c>
      <c r="BV50" s="763">
        <f t="shared" si="490"/>
        <v>0</v>
      </c>
      <c r="BW50" s="763">
        <f t="shared" si="490"/>
        <v>0</v>
      </c>
      <c r="BX50" s="763">
        <f t="shared" si="490"/>
        <v>0</v>
      </c>
      <c r="BY50" s="763">
        <f t="shared" si="490"/>
        <v>0</v>
      </c>
      <c r="BZ50" s="763">
        <f t="shared" si="490"/>
        <v>0</v>
      </c>
      <c r="CA50" s="763">
        <f t="shared" si="490"/>
        <v>0</v>
      </c>
      <c r="CB50" s="763">
        <f t="shared" si="490"/>
        <v>0</v>
      </c>
      <c r="CC50" s="763">
        <f t="shared" si="490"/>
        <v>0</v>
      </c>
      <c r="CD50" s="763">
        <f t="shared" si="490"/>
        <v>0</v>
      </c>
      <c r="CE50" s="763">
        <f t="shared" si="490"/>
        <v>0</v>
      </c>
      <c r="CF50" s="763">
        <f t="shared" ref="CF50:CZ50" si="491">CF48+CF45</f>
        <v>0</v>
      </c>
      <c r="CG50" s="763">
        <f t="shared" si="491"/>
        <v>0</v>
      </c>
      <c r="CH50" s="763">
        <f t="shared" si="491"/>
        <v>0</v>
      </c>
      <c r="CI50" s="763">
        <f t="shared" si="491"/>
        <v>0</v>
      </c>
      <c r="CJ50" s="763">
        <f t="shared" si="491"/>
        <v>0</v>
      </c>
      <c r="CK50" s="763">
        <f t="shared" si="491"/>
        <v>0</v>
      </c>
      <c r="CL50" s="763">
        <f t="shared" si="491"/>
        <v>0</v>
      </c>
      <c r="CM50" s="763">
        <f t="shared" si="491"/>
        <v>0</v>
      </c>
      <c r="CN50" s="763">
        <f t="shared" si="491"/>
        <v>0</v>
      </c>
      <c r="CO50" s="763">
        <f t="shared" si="491"/>
        <v>0</v>
      </c>
      <c r="CP50" s="763">
        <f t="shared" si="491"/>
        <v>0</v>
      </c>
      <c r="CQ50" s="763">
        <f t="shared" si="491"/>
        <v>0</v>
      </c>
      <c r="CR50" s="763">
        <f t="shared" si="491"/>
        <v>0</v>
      </c>
      <c r="CS50" s="763">
        <f t="shared" si="491"/>
        <v>0</v>
      </c>
      <c r="CT50" s="763">
        <f t="shared" si="491"/>
        <v>0</v>
      </c>
      <c r="CU50" s="763">
        <f t="shared" si="491"/>
        <v>0</v>
      </c>
      <c r="CV50" s="763">
        <f t="shared" si="491"/>
        <v>0</v>
      </c>
      <c r="CW50" s="763">
        <f t="shared" si="491"/>
        <v>0</v>
      </c>
      <c r="CX50" s="763">
        <f t="shared" si="491"/>
        <v>0</v>
      </c>
      <c r="CY50" s="763">
        <f t="shared" si="491"/>
        <v>0</v>
      </c>
      <c r="CZ50" s="763">
        <f t="shared" si="491"/>
        <v>0</v>
      </c>
    </row>
    <row r="51" spans="1:104" x14ac:dyDescent="0.25">
      <c r="E51" s="477"/>
      <c r="F51" s="477"/>
      <c r="G51" s="477"/>
      <c r="H51" s="477"/>
      <c r="I51" s="477"/>
      <c r="J51" s="477"/>
      <c r="K51" s="477"/>
      <c r="L51" s="477"/>
      <c r="M51" s="477"/>
      <c r="N51" s="477"/>
      <c r="O51" s="477"/>
      <c r="P51" s="477"/>
      <c r="Q51" s="477"/>
      <c r="R51" s="582">
        <f>R31-R50</f>
        <v>0</v>
      </c>
      <c r="S51" s="581"/>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477"/>
      <c r="CB51" s="477"/>
      <c r="CC51" s="477"/>
      <c r="CD51" s="477"/>
      <c r="CE51" s="477"/>
      <c r="CF51" s="477"/>
      <c r="CG51" s="477"/>
      <c r="CH51" s="477"/>
      <c r="CI51" s="477"/>
      <c r="CJ51" s="477"/>
      <c r="CK51" s="477"/>
      <c r="CL51" s="477"/>
      <c r="CM51" s="477"/>
      <c r="CN51" s="477"/>
      <c r="CO51" s="477"/>
      <c r="CP51" s="477"/>
      <c r="CQ51" s="477"/>
      <c r="CR51" s="477"/>
      <c r="CS51" s="477"/>
      <c r="CT51" s="477"/>
      <c r="CU51" s="477"/>
      <c r="CV51" s="477"/>
      <c r="CW51" s="477"/>
      <c r="CX51" s="477"/>
      <c r="CY51" s="477"/>
      <c r="CZ51" s="477"/>
    </row>
    <row r="52" spans="1:104" x14ac:dyDescent="0.25">
      <c r="A52" s="472" t="s">
        <v>277</v>
      </c>
      <c r="D52" s="781" t="s">
        <v>588</v>
      </c>
      <c r="E52" s="780">
        <f>1/(1+'Interest Rate'!$J$16)^(E4-$E$4)</f>
        <v>1</v>
      </c>
      <c r="F52" s="780">
        <f>1/(1+'Interest Rate'!$J$16)^(F4-$E$4)</f>
        <v>0.95693779904306231</v>
      </c>
      <c r="G52" s="780">
        <f>1/(1+'Interest Rate'!$J$16)^(G4-$E$4)</f>
        <v>0.91572995123738021</v>
      </c>
      <c r="H52" s="780">
        <f>1/(1+'Interest Rate'!$J$16)^(H4-$E$4)</f>
        <v>0.87629660405490928</v>
      </c>
      <c r="I52" s="780">
        <f>1/(1+'Interest Rate'!$J$16)^(I4-$E$4)</f>
        <v>0.83856134359321488</v>
      </c>
      <c r="J52" s="780">
        <f>1/(1+'Interest Rate'!$J$16)^(J4-$E$4)</f>
        <v>0.80245104650068411</v>
      </c>
      <c r="K52" s="780">
        <f>1/(1+'Interest Rate'!$J$16)^(K4-$E$4)</f>
        <v>0.76789573827816682</v>
      </c>
      <c r="L52" s="780">
        <f>1/(1+'Interest Rate'!$J$16)^(L4-$E$4)</f>
        <v>0.73482845768245619</v>
      </c>
      <c r="M52" s="780">
        <f>1/(1+'Interest Rate'!$J$16)^(M4-$E$4)</f>
        <v>0.70318512696885782</v>
      </c>
      <c r="N52" s="780">
        <f>1/(1+'Interest Rate'!$J$16)^(N4-$E$4)</f>
        <v>0.67290442772139514</v>
      </c>
      <c r="O52" s="780">
        <f>1/(1+'Interest Rate'!$J$16)^(O4-$E$4)</f>
        <v>0.64392768203004325</v>
      </c>
      <c r="P52" s="780">
        <f>1/(1+'Interest Rate'!$J$16)^(P4-$E$4)</f>
        <v>0.61619873878473042</v>
      </c>
      <c r="Q52" s="780">
        <f>1/(1+'Interest Rate'!$J$16)^(Q4-$E$4)</f>
        <v>0.58966386486577083</v>
      </c>
      <c r="R52" s="780">
        <f>1/(1+'Interest Rate'!$J$16)^(R4-$E$4)</f>
        <v>0.56427164101987637</v>
      </c>
      <c r="S52" s="780">
        <f>1/(1+'Interest Rate'!$J$16)^(S4-$E$4)</f>
        <v>0.53997286221997753</v>
      </c>
      <c r="T52" s="780">
        <f>1/(1+'Interest Rate'!$J$16)^(T4-$E$4)</f>
        <v>0.51672044231576797</v>
      </c>
      <c r="U52" s="780">
        <f>1/(1+'Interest Rate'!$J$16)^(U4-$E$4)</f>
        <v>0.49446932279020878</v>
      </c>
      <c r="V52" s="780">
        <f>1/(1+'Interest Rate'!$J$16)^(V4-$E$4)</f>
        <v>0.47317638544517582</v>
      </c>
      <c r="W52" s="780">
        <f>1/(1+'Interest Rate'!$J$16)^(W4-$E$4)</f>
        <v>0.45280036884705832</v>
      </c>
      <c r="X52" s="780">
        <f>1/(1+'Interest Rate'!$J$16)^(X4-$E$4)</f>
        <v>0.43330178837039074</v>
      </c>
      <c r="Y52" s="780">
        <f>1/(1+'Interest Rate'!$J$16)^(Y4-$E$4)</f>
        <v>0.41464285968458453</v>
      </c>
      <c r="Z52" s="780">
        <f>1/(1+'Interest Rate'!$J$16)^(Z4-$E$4)</f>
        <v>0.39678742553548757</v>
      </c>
      <c r="AA52" s="780">
        <f>1/(1+'Interest Rate'!$J$16)^(AA4-$E$4)</f>
        <v>0.37970088567989252</v>
      </c>
      <c r="AB52" s="780">
        <f>1/(1+'Interest Rate'!$J$16)^(AB4-$E$4)</f>
        <v>0.36335012983721771</v>
      </c>
      <c r="AC52" s="780">
        <f>1/(1+'Interest Rate'!$J$16)^(AC4-$E$4)</f>
        <v>0.34770347352843806</v>
      </c>
      <c r="AD52" s="780">
        <f>1/(1+'Interest Rate'!$J$16)^(AD4-$E$4)</f>
        <v>0.3327305966779312</v>
      </c>
      <c r="AE52" s="780">
        <f>1/(1+'Interest Rate'!$J$16)^(AE4-$E$4)</f>
        <v>0.31840248485926437</v>
      </c>
      <c r="AF52" s="780">
        <f>1/(1+'Interest Rate'!$J$16)^(AF4-$E$4)</f>
        <v>0.30469137307106642</v>
      </c>
      <c r="AG52" s="780">
        <f>1/(1+'Interest Rate'!$J$16)^(AG4-$E$4)</f>
        <v>0.2915706919340349</v>
      </c>
      <c r="AH52" s="780">
        <f>1/(1+'Interest Rate'!$J$16)^(AH4-$E$4)</f>
        <v>0.27901501620481806</v>
      </c>
      <c r="AI52" s="780">
        <f>1/(1+'Interest Rate'!$J$16)^(AI4-$E$4)</f>
        <v>0.26700001550700303</v>
      </c>
      <c r="AJ52" s="780">
        <f>1/(1+'Interest Rate'!$J$16)^(AJ4-$E$4)</f>
        <v>0.2555024071837349</v>
      </c>
      <c r="AK52" s="780">
        <f>1/(1+'Interest Rate'!$J$16)^(AK4-$E$4)</f>
        <v>0.24449991118060768</v>
      </c>
      <c r="AL52" s="780">
        <f>1/(1+'Interest Rate'!$J$16)^(AL4-$E$4)</f>
        <v>0.23397120687139494</v>
      </c>
      <c r="AM52" s="780">
        <f>1/(1+'Interest Rate'!$J$16)^(AM4-$E$4)</f>
        <v>0.22389589174296168</v>
      </c>
      <c r="AN52" s="780">
        <f>1/(1+'Interest Rate'!$J$16)^(AN4-$E$4)</f>
        <v>0.21425444185929349</v>
      </c>
      <c r="AO52" s="780">
        <f>1/(1+'Interest Rate'!$J$16)^(AO4-$E$4)</f>
        <v>0.20502817402803208</v>
      </c>
      <c r="AP52" s="780">
        <f>1/(1+'Interest Rate'!$J$16)^(AP4-$E$4)</f>
        <v>0.19619920959620296</v>
      </c>
      <c r="AQ52" s="780">
        <f>1/(1+'Interest Rate'!$J$16)^(AQ4-$E$4)</f>
        <v>0.18775043980497894</v>
      </c>
      <c r="AR52" s="780">
        <f>1/(1+'Interest Rate'!$J$16)^(AR4-$E$4)</f>
        <v>0.17966549263634349</v>
      </c>
      <c r="AS52" s="780">
        <f>1/(1+'Interest Rate'!$J$16)^(AS4-$E$4)</f>
        <v>0.17192870108741007</v>
      </c>
      <c r="AT52" s="780">
        <f>1/(1+'Interest Rate'!$J$16)^(AT4-$E$4)</f>
        <v>0.16452507281091874</v>
      </c>
      <c r="AU52" s="780">
        <f>1/(1+'Interest Rate'!$J$16)^(AU4-$E$4)</f>
        <v>0.15744026106308018</v>
      </c>
      <c r="AV52" s="780">
        <f>1/(1+'Interest Rate'!$J$16)^(AV4-$E$4)</f>
        <v>0.15066053690246906</v>
      </c>
      <c r="AW52" s="780">
        <f>1/(1+'Interest Rate'!$J$16)^(AW4-$E$4)</f>
        <v>0.14417276258609482</v>
      </c>
      <c r="AX52" s="780">
        <f>1/(1+'Interest Rate'!$J$16)^(AX4-$E$4)</f>
        <v>0.13796436611109553</v>
      </c>
      <c r="AY52" s="780">
        <f>1/(1+'Interest Rate'!$J$16)^(AY4-$E$4)</f>
        <v>0.132023316852723</v>
      </c>
      <c r="AZ52" s="780">
        <f>1/(1+'Interest Rate'!$J$16)^(AZ4-$E$4)</f>
        <v>0.12633810225140957</v>
      </c>
      <c r="BA52" s="780">
        <f>1/(1+'Interest Rate'!$J$16)^(BA4-$E$4)</f>
        <v>0.12089770550374127</v>
      </c>
      <c r="BB52" s="780">
        <f>1/(1+'Interest Rate'!$J$16)^(BB4-$E$4)</f>
        <v>0.11569158421410647</v>
      </c>
      <c r="BC52" s="780">
        <f>1/(1+'Interest Rate'!$J$16)^(BC4-$E$4)</f>
        <v>0.11070964996565215</v>
      </c>
      <c r="BD52" s="780">
        <f>1/(1+'Interest Rate'!$J$16)^(BD4-$E$4)</f>
        <v>0.10594224877095899</v>
      </c>
      <c r="BE52" s="780">
        <f>1/(1+'Interest Rate'!$J$16)^(BE4-$E$4)</f>
        <v>0.10138014236455409</v>
      </c>
      <c r="BF52" s="780">
        <f>1/(1+'Interest Rate'!$J$16)^(BF4-$E$4)</f>
        <v>9.7014490301008685E-2</v>
      </c>
      <c r="BG52" s="780">
        <f>1/(1+'Interest Rate'!$J$16)^(BG4-$E$4)</f>
        <v>9.2836832823931792E-2</v>
      </c>
      <c r="BH52" s="780">
        <f>1/(1+'Interest Rate'!$J$16)^(BH4-$E$4)</f>
        <v>8.8839074472661997E-2</v>
      </c>
      <c r="BI52" s="780">
        <f>1/(1+'Interest Rate'!$J$16)^(BI4-$E$4)</f>
        <v>8.5013468394891878E-2</v>
      </c>
      <c r="BJ52" s="780">
        <f>1/(1+'Interest Rate'!$J$16)^(BJ4-$E$4)</f>
        <v>8.1352601334824776E-2</v>
      </c>
      <c r="BK52" s="780">
        <f>1/(1+'Interest Rate'!$J$16)^(BK4-$E$4)</f>
        <v>7.7849379267774924E-2</v>
      </c>
      <c r="BL52" s="780">
        <f>1/(1+'Interest Rate'!$J$16)^(BL4-$E$4)</f>
        <v>7.4497013653373134E-2</v>
      </c>
      <c r="BM52" s="780">
        <f>1/(1+'Interest Rate'!$J$16)^(BM4-$E$4)</f>
        <v>7.1289008280739849E-2</v>
      </c>
      <c r="BN52" s="780">
        <f>1/(1+'Interest Rate'!$J$16)^(BN4-$E$4)</f>
        <v>6.8219146680133819E-2</v>
      </c>
      <c r="BO52" s="780">
        <f>1/(1+'Interest Rate'!$J$16)^(BO4-$E$4)</f>
        <v>6.5281480076683107E-2</v>
      </c>
      <c r="BP52" s="780">
        <f>1/(1+'Interest Rate'!$J$16)^(BP4-$E$4)</f>
        <v>6.2470315862854633E-2</v>
      </c>
      <c r="BQ52" s="780">
        <f>1/(1+'Interest Rate'!$J$16)^(BQ4-$E$4)</f>
        <v>5.9780206567325044E-2</v>
      </c>
      <c r="BR52" s="780">
        <f>1/(1+'Interest Rate'!$J$16)^(BR4-$E$4)</f>
        <v>5.7205939298875637E-2</v>
      </c>
      <c r="BS52" s="780">
        <f>1/(1+'Interest Rate'!$J$16)^(BS4-$E$4)</f>
        <v>5.4742525644857085E-2</v>
      </c>
      <c r="BT52" s="780">
        <f>1/(1+'Interest Rate'!$J$16)^(BT4-$E$4)</f>
        <v>5.2385192004647925E-2</v>
      </c>
      <c r="BU52" s="780">
        <f>1/(1+'Interest Rate'!$J$16)^(BU4-$E$4)</f>
        <v>5.0129370339376013E-2</v>
      </c>
      <c r="BV52" s="780">
        <f>1/(1+'Interest Rate'!$J$16)^(BV4-$E$4)</f>
        <v>4.7970689319977049E-2</v>
      </c>
      <c r="BW52" s="780">
        <f>1/(1+'Interest Rate'!$J$16)^(BW4-$E$4)</f>
        <v>4.5904965856437378E-2</v>
      </c>
      <c r="BX52" s="780">
        <f>1/(1+'Interest Rate'!$J$16)^(BX4-$E$4)</f>
        <v>4.3928196991806105E-2</v>
      </c>
      <c r="BY52" s="780">
        <f>1/(1+'Interest Rate'!$J$16)^(BY4-$E$4)</f>
        <v>4.203655214526901E-2</v>
      </c>
      <c r="BZ52" s="780">
        <f>1/(1+'Interest Rate'!$J$16)^(BZ4-$E$4)</f>
        <v>4.0226365689252648E-2</v>
      </c>
      <c r="CA52" s="780">
        <f>1/(1+'Interest Rate'!$J$16)^(CA4-$E$4)</f>
        <v>3.8494129846174785E-2</v>
      </c>
      <c r="CB52" s="780">
        <f>1/(1+'Interest Rate'!$J$16)^(CB4-$E$4)</f>
        <v>3.6836487891076353E-2</v>
      </c>
      <c r="CC52" s="780">
        <f>1/(1+'Interest Rate'!$J$16)^(CC4-$E$4)</f>
        <v>3.525022764696302E-2</v>
      </c>
      <c r="CD52" s="780">
        <f>1/(1+'Interest Rate'!$J$16)^(CD4-$E$4)</f>
        <v>3.3732275260251694E-2</v>
      </c>
      <c r="CE52" s="780">
        <f>1/(1+'Interest Rate'!$J$16)^(CE4-$E$4)</f>
        <v>3.2279689244260001E-2</v>
      </c>
      <c r="CF52" s="780">
        <f>1/(1+'Interest Rate'!$J$16)^(CF4-$E$4)</f>
        <v>3.0889654779196175E-2</v>
      </c>
      <c r="CG52" s="780">
        <f>1/(1+'Interest Rate'!$J$16)^(CG4-$E$4)</f>
        <v>2.9559478257604004E-2</v>
      </c>
      <c r="CH52" s="780">
        <f>1/(1+'Interest Rate'!$J$16)^(CH4-$E$4)</f>
        <v>2.8286582064692829E-2</v>
      </c>
      <c r="CI52" s="780">
        <f>1/(1+'Interest Rate'!$J$16)^(CI4-$E$4)</f>
        <v>2.7068499583438117E-2</v>
      </c>
      <c r="CJ52" s="780">
        <f>1/(1+'Interest Rate'!$J$16)^(CJ4-$E$4)</f>
        <v>2.5902870414773321E-2</v>
      </c>
      <c r="CK52" s="780">
        <f>1/(1+'Interest Rate'!$J$16)^(CK4-$E$4)</f>
        <v>2.4787435803610838E-2</v>
      </c>
      <c r="CL52" s="780">
        <f>1/(1+'Interest Rate'!$J$16)^(CL4-$E$4)</f>
        <v>2.3720034261828553E-2</v>
      </c>
      <c r="CM52" s="780">
        <f>1/(1+'Interest Rate'!$J$16)^(CM4-$E$4)</f>
        <v>2.2698597379740247E-2</v>
      </c>
      <c r="CN52" s="780">
        <f>1/(1+'Interest Rate'!$J$16)^(CN4-$E$4)</f>
        <v>2.172114581793325E-2</v>
      </c>
      <c r="CO52" s="780">
        <f>1/(1+'Interest Rate'!$J$16)^(CO4-$E$4)</f>
        <v>2.0785785471706463E-2</v>
      </c>
      <c r="CP52" s="780">
        <f>1/(1+'Interest Rate'!$J$16)^(CP4-$E$4)</f>
        <v>1.9890703800676042E-2</v>
      </c>
      <c r="CQ52" s="780">
        <f>1/(1+'Interest Rate'!$J$16)^(CQ4-$E$4)</f>
        <v>1.903416631643641E-2</v>
      </c>
      <c r="CR52" s="780">
        <f>1/(1+'Interest Rate'!$J$16)^(CR4-$E$4)</f>
        <v>1.8214513221470247E-2</v>
      </c>
      <c r="CS52" s="780">
        <f>1/(1+'Interest Rate'!$J$16)^(CS4-$E$4)</f>
        <v>1.7430156192794501E-2</v>
      </c>
      <c r="CT52" s="780">
        <f>1/(1+'Interest Rate'!$J$16)^(CT4-$E$4)</f>
        <v>1.6679575304109566E-2</v>
      </c>
      <c r="CU52" s="780">
        <f>1/(1+'Interest Rate'!$J$16)^(CU4-$E$4)</f>
        <v>1.596131608048763E-2</v>
      </c>
      <c r="CV52" s="780">
        <f>1/(1+'Interest Rate'!$J$16)^(CV4-$E$4)</f>
        <v>1.5273986679892465E-2</v>
      </c>
      <c r="CW52" s="780">
        <f>1/(1+'Interest Rate'!$J$16)^(CW4-$E$4)</f>
        <v>1.4616255196069352E-2</v>
      </c>
      <c r="CX52" s="780">
        <f>1/(1+'Interest Rate'!$J$16)^(CX4-$E$4)</f>
        <v>1.3986847077578331E-2</v>
      </c>
      <c r="CY52" s="780">
        <f>1/(1+'Interest Rate'!$J$16)^(CY4-$E$4)</f>
        <v>1.3384542657969695E-2</v>
      </c>
      <c r="CZ52" s="780">
        <f>1/(1+'Interest Rate'!$J$16)^(CZ4-$E$4)</f>
        <v>1.2808174792315498E-2</v>
      </c>
    </row>
    <row r="53" spans="1:104" x14ac:dyDescent="0.25">
      <c r="B53" s="480" t="str">
        <f>CONCATENATE("Series ",'Economist Prepay (Plan 2)'!I16,"A Bonds, Initial Capital Payment (at ",'Interest Rate'!$J$16*100,"% Interest)")</f>
        <v>Series 2025A Bonds, Initial Capital Payment (at 4.5% Interest)</v>
      </c>
      <c r="C53" s="480"/>
      <c r="D53" s="480"/>
      <c r="E53" s="783">
        <f>IF(AND('Initial Capital Payment'!$C$14="Debt",
E4&lt;('Initial Capital Payment'!$C$12+'Initial Capital Payment'!$F$7),
E4&gt;='Initial Capital Payment'!$C$12),
-PMT('Interest Rate'!$J$16,'Initial Capital Payment'!$F$7,'Initial Capital Payment'!$C$10),0)</f>
        <v>3069577.1454296578</v>
      </c>
      <c r="F53" s="783">
        <f>IF(AND('Initial Capital Payment'!$C$14="Debt",
F4&lt;('Initial Capital Payment'!$C$12+'Initial Capital Payment'!$F$7),
F4&gt;='Initial Capital Payment'!$C$12),
-PMT('Interest Rate'!$J$16,'Initial Capital Payment'!$F$7,'Initial Capital Payment'!$C$10),0)</f>
        <v>3069577.1454296578</v>
      </c>
      <c r="G53" s="783">
        <f>IF(AND('Initial Capital Payment'!$C$14="Debt",
G4&lt;('Initial Capital Payment'!$C$12+'Initial Capital Payment'!$F$7),
G4&gt;='Initial Capital Payment'!$C$12),
-PMT('Interest Rate'!$J$16,'Initial Capital Payment'!$F$7,'Initial Capital Payment'!$C$10),0)</f>
        <v>3069577.1454296578</v>
      </c>
      <c r="H53" s="783">
        <f>IF(AND('Initial Capital Payment'!$C$14="Debt",
H4&lt;('Initial Capital Payment'!$C$12+'Initial Capital Payment'!$F$7),
H4&gt;='Initial Capital Payment'!$C$12),
-PMT('Interest Rate'!$J$16,'Initial Capital Payment'!$F$7,'Initial Capital Payment'!$C$10),0)</f>
        <v>3069577.1454296578</v>
      </c>
      <c r="I53" s="783">
        <f>IF(AND('Initial Capital Payment'!$C$14="Debt",
I4&lt;('Initial Capital Payment'!$C$12+'Initial Capital Payment'!$F$7),
I4&gt;='Initial Capital Payment'!$C$12),
-PMT('Interest Rate'!$J$16,'Initial Capital Payment'!$F$7,'Initial Capital Payment'!$C$10),0)</f>
        <v>3069577.1454296578</v>
      </c>
      <c r="J53" s="783">
        <f>IF(AND('Initial Capital Payment'!$C$14="Debt",
J4&lt;('Initial Capital Payment'!$C$12+'Initial Capital Payment'!$F$7),
J4&gt;='Initial Capital Payment'!$C$12),
-PMT('Interest Rate'!$J$16,'Initial Capital Payment'!$F$7,'Initial Capital Payment'!$C$10),0)</f>
        <v>3069577.1454296578</v>
      </c>
      <c r="K53" s="783">
        <f>IF(AND('Initial Capital Payment'!$C$14="Debt",
K4&lt;('Initial Capital Payment'!$C$12+'Initial Capital Payment'!$F$7),
K4&gt;='Initial Capital Payment'!$C$12),
-PMT('Interest Rate'!$J$16,'Initial Capital Payment'!$F$7,'Initial Capital Payment'!$C$10),0)</f>
        <v>3069577.1454296578</v>
      </c>
      <c r="L53" s="783">
        <f>IF(AND('Initial Capital Payment'!$C$14="Debt",
L4&lt;('Initial Capital Payment'!$C$12+'Initial Capital Payment'!$F$7),
L4&gt;='Initial Capital Payment'!$C$12),
-PMT('Interest Rate'!$J$16,'Initial Capital Payment'!$F$7,'Initial Capital Payment'!$C$10),0)</f>
        <v>3069577.1454296578</v>
      </c>
      <c r="M53" s="783">
        <f>IF(AND('Initial Capital Payment'!$C$14="Debt",
M4&lt;('Initial Capital Payment'!$C$12+'Initial Capital Payment'!$F$7),
M4&gt;='Initial Capital Payment'!$C$12),
-PMT('Interest Rate'!$J$16,'Initial Capital Payment'!$F$7,'Initial Capital Payment'!$C$10),0)</f>
        <v>3069577.1454296578</v>
      </c>
      <c r="N53" s="783">
        <f>IF(AND('Initial Capital Payment'!$C$14="Debt",
N4&lt;('Initial Capital Payment'!$C$12+'Initial Capital Payment'!$F$7),
N4&gt;='Initial Capital Payment'!$C$12),
-PMT('Interest Rate'!$J$16,'Initial Capital Payment'!$F$7,'Initial Capital Payment'!$C$10),0)</f>
        <v>3069577.1454296578</v>
      </c>
      <c r="O53" s="783">
        <f>IF(AND('Initial Capital Payment'!$C$14="Debt",
O4&lt;('Initial Capital Payment'!$C$12+'Initial Capital Payment'!$F$7),
O4&gt;='Initial Capital Payment'!$C$12),
-PMT('Interest Rate'!$J$16,'Initial Capital Payment'!$F$7,'Initial Capital Payment'!$C$10),0)</f>
        <v>3069577.1454296578</v>
      </c>
      <c r="P53" s="783">
        <f>IF(AND('Initial Capital Payment'!$C$14="Debt",
P4&lt;('Initial Capital Payment'!$C$12+'Initial Capital Payment'!$F$7),
P4&gt;='Initial Capital Payment'!$C$12),
-PMT('Interest Rate'!$J$16,'Initial Capital Payment'!$F$7,'Initial Capital Payment'!$C$10),0)</f>
        <v>3069577.1454296578</v>
      </c>
      <c r="Q53" s="783">
        <f>IF(AND('Initial Capital Payment'!$C$14="Debt",
Q4&lt;('Initial Capital Payment'!$C$12+'Initial Capital Payment'!$F$7),
Q4&gt;='Initial Capital Payment'!$C$12),
-PMT('Interest Rate'!$J$16,'Initial Capital Payment'!$F$7,'Initial Capital Payment'!$C$10),0)</f>
        <v>3069577.1454296578</v>
      </c>
      <c r="R53" s="783">
        <f>IF(AND('Initial Capital Payment'!$C$14="Debt",
R4&lt;('Initial Capital Payment'!$C$12+'Initial Capital Payment'!$F$7),
R4&gt;='Initial Capital Payment'!$C$12),
-PMT('Interest Rate'!$J$16,'Initial Capital Payment'!$F$7,'Initial Capital Payment'!$C$10),0)</f>
        <v>3069577.1454296578</v>
      </c>
      <c r="S53" s="783">
        <f>IF(AND('Initial Capital Payment'!$C$14="Debt",
S4&lt;('Initial Capital Payment'!$C$12+'Initial Capital Payment'!$F$7),
S4&gt;='Initial Capital Payment'!$C$12),
-PMT('Interest Rate'!$J$16,'Initial Capital Payment'!$F$7,'Initial Capital Payment'!$C$10),0)</f>
        <v>3069577.1454296578</v>
      </c>
      <c r="T53" s="783">
        <f>IF(AND('Initial Capital Payment'!$C$14="Debt",
T4&lt;('Initial Capital Payment'!$C$12+'Initial Capital Payment'!$F$7),
T4&gt;='Initial Capital Payment'!$C$12),
-PMT('Interest Rate'!$J$16,'Initial Capital Payment'!$F$7,'Initial Capital Payment'!$C$10),0)</f>
        <v>3069577.1454296578</v>
      </c>
      <c r="U53" s="783">
        <f>IF(AND('Initial Capital Payment'!$C$14="Debt",
U4&lt;('Initial Capital Payment'!$C$12+'Initial Capital Payment'!$F$7),
U4&gt;='Initial Capital Payment'!$C$12),
-PMT('Interest Rate'!$J$16,'Initial Capital Payment'!$F$7,'Initial Capital Payment'!$C$10),0)</f>
        <v>3069577.1454296578</v>
      </c>
      <c r="V53" s="783">
        <f>IF(AND('Initial Capital Payment'!$C$14="Debt",
V4&lt;('Initial Capital Payment'!$C$12+'Initial Capital Payment'!$F$7),
V4&gt;='Initial Capital Payment'!$C$12),
-PMT('Interest Rate'!$J$16,'Initial Capital Payment'!$F$7,'Initial Capital Payment'!$C$10),0)</f>
        <v>3069577.1454296578</v>
      </c>
      <c r="W53" s="783">
        <f>IF(AND('Initial Capital Payment'!$C$14="Debt",
W4&lt;('Initial Capital Payment'!$C$12+'Initial Capital Payment'!$F$7),
W4&gt;='Initial Capital Payment'!$C$12),
-PMT('Interest Rate'!$J$16,'Initial Capital Payment'!$F$7,'Initial Capital Payment'!$C$10),0)</f>
        <v>3069577.1454296578</v>
      </c>
      <c r="X53" s="783">
        <f>IF(AND('Initial Capital Payment'!$C$14="Debt",
X4&lt;('Initial Capital Payment'!$C$12+'Initial Capital Payment'!$F$7),
X4&gt;='Initial Capital Payment'!$C$12),
-PMT('Interest Rate'!$J$16,'Initial Capital Payment'!$F$7,'Initial Capital Payment'!$C$10),0)</f>
        <v>3069577.1454296578</v>
      </c>
      <c r="Y53" s="783">
        <f>IF(AND('Initial Capital Payment'!$C$14="Debt",
Y4&lt;('Initial Capital Payment'!$C$12+'Initial Capital Payment'!$F$7),
Y4&gt;='Initial Capital Payment'!$C$12),
-PMT('Interest Rate'!$J$16,'Initial Capital Payment'!$F$7,'Initial Capital Payment'!$C$10),0)</f>
        <v>3069577.1454296578</v>
      </c>
      <c r="Z53" s="783">
        <f>IF(AND('Initial Capital Payment'!$C$14="Debt",
Z4&lt;('Initial Capital Payment'!$C$12+'Initial Capital Payment'!$F$7),
Z4&gt;='Initial Capital Payment'!$C$12),
-PMT('Interest Rate'!$J$16,'Initial Capital Payment'!$F$7,'Initial Capital Payment'!$C$10),0)</f>
        <v>3069577.1454296578</v>
      </c>
      <c r="AA53" s="783">
        <f>IF(AND('Initial Capital Payment'!$C$14="Debt",
AA4&lt;('Initial Capital Payment'!$C$12+'Initial Capital Payment'!$F$7),
AA4&gt;='Initial Capital Payment'!$C$12),
-PMT('Interest Rate'!$J$16,'Initial Capital Payment'!$F$7,'Initial Capital Payment'!$C$10),0)</f>
        <v>3069577.1454296578</v>
      </c>
      <c r="AB53" s="783">
        <f>IF(AND('Initial Capital Payment'!$C$14="Debt",
AB4&lt;('Initial Capital Payment'!$C$12+'Initial Capital Payment'!$F$7),
AB4&gt;='Initial Capital Payment'!$C$12),
-PMT('Interest Rate'!$J$16,'Initial Capital Payment'!$F$7,'Initial Capital Payment'!$C$10),0)</f>
        <v>3069577.1454296578</v>
      </c>
      <c r="AC53" s="783">
        <f>IF(AND('Initial Capital Payment'!$C$14="Debt",
AC4&lt;('Initial Capital Payment'!$C$12+'Initial Capital Payment'!$F$7),
AC4&gt;='Initial Capital Payment'!$C$12),
-PMT('Interest Rate'!$J$16,'Initial Capital Payment'!$F$7,'Initial Capital Payment'!$C$10),0)</f>
        <v>3069577.1454296578</v>
      </c>
      <c r="AD53" s="783">
        <f>IF(AND('Initial Capital Payment'!$C$14="Debt",
AD4&lt;('Initial Capital Payment'!$C$12+'Initial Capital Payment'!$F$7),
AD4&gt;='Initial Capital Payment'!$C$12),
-PMT('Interest Rate'!$J$16,'Initial Capital Payment'!$F$7,'Initial Capital Payment'!$C$10),0)</f>
        <v>3069577.1454296578</v>
      </c>
      <c r="AE53" s="783">
        <f>IF(AND('Initial Capital Payment'!$C$14="Debt",
AE4&lt;('Initial Capital Payment'!$C$12+'Initial Capital Payment'!$F$7),
AE4&gt;='Initial Capital Payment'!$C$12),
-PMT('Interest Rate'!$J$16,'Initial Capital Payment'!$F$7,'Initial Capital Payment'!$C$10),0)</f>
        <v>3069577.1454296578</v>
      </c>
      <c r="AF53" s="783">
        <f>IF(AND('Initial Capital Payment'!$C$14="Debt",
AF4&lt;('Initial Capital Payment'!$C$12+'Initial Capital Payment'!$F$7),
AF4&gt;='Initial Capital Payment'!$C$12),
-PMT('Interest Rate'!$J$16,'Initial Capital Payment'!$F$7,'Initial Capital Payment'!$C$10),0)</f>
        <v>3069577.1454296578</v>
      </c>
      <c r="AG53" s="783">
        <f>IF(AND('Initial Capital Payment'!$C$14="Debt",
AG4&lt;('Initial Capital Payment'!$C$12+'Initial Capital Payment'!$F$7),
AG4&gt;='Initial Capital Payment'!$C$12),
-PMT('Interest Rate'!$J$16,'Initial Capital Payment'!$F$7,'Initial Capital Payment'!$C$10),0)</f>
        <v>3069577.1454296578</v>
      </c>
      <c r="AH53" s="783">
        <f>IF(AND('Initial Capital Payment'!$C$14="Debt",
AH4&lt;('Initial Capital Payment'!$C$12+'Initial Capital Payment'!$F$7),
AH4&gt;='Initial Capital Payment'!$C$12),
-PMT('Interest Rate'!$J$16,'Initial Capital Payment'!$F$7,'Initial Capital Payment'!$C$10),0)</f>
        <v>3069577.1454296578</v>
      </c>
      <c r="AI53" s="783">
        <f>IF(AND('Initial Capital Payment'!$C$14="Debt",
AI4&lt;('Initial Capital Payment'!$C$12+'Initial Capital Payment'!$F$7),
AI4&gt;='Initial Capital Payment'!$C$12),
-PMT('Interest Rate'!$J$16,'Initial Capital Payment'!$F$7,'Initial Capital Payment'!$C$10),0)</f>
        <v>0</v>
      </c>
      <c r="AJ53" s="783">
        <f>IF(AND('Initial Capital Payment'!$C$14="Debt",
AJ4&lt;('Initial Capital Payment'!$C$12+'Initial Capital Payment'!$F$7),
AJ4&gt;='Initial Capital Payment'!$C$12),
-PMT('Interest Rate'!$J$16,'Initial Capital Payment'!$F$7,'Initial Capital Payment'!$C$10),0)</f>
        <v>0</v>
      </c>
      <c r="AK53" s="783">
        <f>IF(AND('Initial Capital Payment'!$C$14="Debt",
AK4&lt;('Initial Capital Payment'!$C$12+'Initial Capital Payment'!$F$7),
AK4&gt;='Initial Capital Payment'!$C$12),
-PMT('Interest Rate'!$J$16,'Initial Capital Payment'!$F$7,'Initial Capital Payment'!$C$10),0)</f>
        <v>0</v>
      </c>
      <c r="AL53" s="783">
        <f>IF(AND('Initial Capital Payment'!$C$14="Debt",
AL4&lt;('Initial Capital Payment'!$C$12+'Initial Capital Payment'!$F$7),
AL4&gt;='Initial Capital Payment'!$C$12),
-PMT('Interest Rate'!$J$16,'Initial Capital Payment'!$F$7,'Initial Capital Payment'!$C$10),0)</f>
        <v>0</v>
      </c>
      <c r="AM53" s="783">
        <f>IF(AND('Initial Capital Payment'!$C$14="Debt",
AM4&lt;('Initial Capital Payment'!$C$12+'Initial Capital Payment'!$F$7),
AM4&gt;='Initial Capital Payment'!$C$12),
-PMT('Interest Rate'!$J$16,'Initial Capital Payment'!$F$7,'Initial Capital Payment'!$C$10),0)</f>
        <v>0</v>
      </c>
      <c r="AN53" s="783">
        <f>IF(AND('Initial Capital Payment'!$C$14="Debt",
AN4&lt;('Initial Capital Payment'!$C$12+'Initial Capital Payment'!$F$7),
AN4&gt;='Initial Capital Payment'!$C$12),
-PMT('Interest Rate'!$J$16,'Initial Capital Payment'!$F$7,'Initial Capital Payment'!$C$10),0)</f>
        <v>0</v>
      </c>
      <c r="AO53" s="783">
        <f>IF(AND('Initial Capital Payment'!$C$14="Debt",
AO4&lt;('Initial Capital Payment'!$C$12+'Initial Capital Payment'!$F$7),
AO4&gt;='Initial Capital Payment'!$C$12),
-PMT('Interest Rate'!$J$16,'Initial Capital Payment'!$F$7,'Initial Capital Payment'!$C$10),0)</f>
        <v>0</v>
      </c>
      <c r="AP53" s="783">
        <f>IF(AND('Initial Capital Payment'!$C$14="Debt",
AP4&lt;('Initial Capital Payment'!$C$12+'Initial Capital Payment'!$F$7),
AP4&gt;='Initial Capital Payment'!$C$12),
-PMT('Interest Rate'!$J$16,'Initial Capital Payment'!$F$7,'Initial Capital Payment'!$C$10),0)</f>
        <v>0</v>
      </c>
      <c r="AQ53" s="783">
        <f>IF(AND('Initial Capital Payment'!$C$14="Debt",
AQ4&lt;('Initial Capital Payment'!$C$12+'Initial Capital Payment'!$F$7),
AQ4&gt;='Initial Capital Payment'!$C$12),
-PMT('Interest Rate'!$J$16,'Initial Capital Payment'!$F$7,'Initial Capital Payment'!$C$10),0)</f>
        <v>0</v>
      </c>
      <c r="AR53" s="783">
        <f>IF(AND('Initial Capital Payment'!$C$14="Debt",
AR4&lt;('Initial Capital Payment'!$C$12+'Initial Capital Payment'!$F$7),
AR4&gt;='Initial Capital Payment'!$C$12),
-PMT('Interest Rate'!$J$16,'Initial Capital Payment'!$F$7,'Initial Capital Payment'!$C$10),0)</f>
        <v>0</v>
      </c>
      <c r="AS53" s="783">
        <f>IF(AND('Initial Capital Payment'!$C$14="Debt",
AS4&lt;('Initial Capital Payment'!$C$12+'Initial Capital Payment'!$F$7),
AS4&gt;='Initial Capital Payment'!$C$12),
-PMT('Interest Rate'!$J$16,'Initial Capital Payment'!$F$7,'Initial Capital Payment'!$C$10),0)</f>
        <v>0</v>
      </c>
      <c r="AT53" s="783">
        <f>IF(AND('Initial Capital Payment'!$C$14="Debt",
AT4&lt;('Initial Capital Payment'!$C$12+'Initial Capital Payment'!$F$7),
AT4&gt;='Initial Capital Payment'!$C$12),
-PMT('Interest Rate'!$J$16,'Initial Capital Payment'!$F$7,'Initial Capital Payment'!$C$10),0)</f>
        <v>0</v>
      </c>
      <c r="AU53" s="783">
        <f>IF(AND('Initial Capital Payment'!$C$14="Debt",
AU4&lt;('Initial Capital Payment'!$C$12+'Initial Capital Payment'!$F$7),
AU4&gt;='Initial Capital Payment'!$C$12),
-PMT('Interest Rate'!$J$16,'Initial Capital Payment'!$F$7,'Initial Capital Payment'!$C$10),0)</f>
        <v>0</v>
      </c>
      <c r="AV53" s="783">
        <f>IF(AND('Initial Capital Payment'!$C$14="Debt",
AV4&lt;('Initial Capital Payment'!$C$12+'Initial Capital Payment'!$F$7),
AV4&gt;='Initial Capital Payment'!$C$12),
-PMT('Interest Rate'!$J$16,'Initial Capital Payment'!$F$7,'Initial Capital Payment'!$C$10),0)</f>
        <v>0</v>
      </c>
      <c r="AW53" s="783">
        <f>IF(AND('Initial Capital Payment'!$C$14="Debt",
AW4&lt;('Initial Capital Payment'!$C$12+'Initial Capital Payment'!$F$7),
AW4&gt;='Initial Capital Payment'!$C$12),
-PMT('Interest Rate'!$J$16,'Initial Capital Payment'!$F$7,'Initial Capital Payment'!$C$10),0)</f>
        <v>0</v>
      </c>
      <c r="AX53" s="783">
        <f>IF(AND('Initial Capital Payment'!$C$14="Debt",
AX4&lt;('Initial Capital Payment'!$C$12+'Initial Capital Payment'!$F$7),
AX4&gt;='Initial Capital Payment'!$C$12),
-PMT('Interest Rate'!$J$16,'Initial Capital Payment'!$F$7,'Initial Capital Payment'!$C$10),0)</f>
        <v>0</v>
      </c>
      <c r="AY53" s="783">
        <f>IF(AND('Initial Capital Payment'!$C$14="Debt",
AY4&lt;('Initial Capital Payment'!$C$12+'Initial Capital Payment'!$F$7),
AY4&gt;='Initial Capital Payment'!$C$12),
-PMT('Interest Rate'!$J$16,'Initial Capital Payment'!$F$7,'Initial Capital Payment'!$C$10),0)</f>
        <v>0</v>
      </c>
      <c r="AZ53" s="783">
        <f>IF(AND('Initial Capital Payment'!$C$14="Debt",
AZ4&lt;('Initial Capital Payment'!$C$12+'Initial Capital Payment'!$F$7),
AZ4&gt;='Initial Capital Payment'!$C$12),
-PMT('Interest Rate'!$J$16,'Initial Capital Payment'!$F$7,'Initial Capital Payment'!$C$10),0)</f>
        <v>0</v>
      </c>
      <c r="BA53" s="783">
        <f>IF(AND('Initial Capital Payment'!$C$14="Debt",
BA4&lt;('Initial Capital Payment'!$C$12+'Initial Capital Payment'!$F$7),
BA4&gt;='Initial Capital Payment'!$C$12),
-PMT('Interest Rate'!$J$16,'Initial Capital Payment'!$F$7,'Initial Capital Payment'!$C$10),0)</f>
        <v>0</v>
      </c>
      <c r="BB53" s="783">
        <f>IF(AND('Initial Capital Payment'!$C$14="Debt",
BB4&lt;('Initial Capital Payment'!$C$12+'Initial Capital Payment'!$F$7),
BB4&gt;='Initial Capital Payment'!$C$12),
-PMT('Interest Rate'!$J$16,'Initial Capital Payment'!$F$7,'Initial Capital Payment'!$C$10),0)</f>
        <v>0</v>
      </c>
      <c r="BC53" s="783">
        <f>IF(AND('Initial Capital Payment'!$C$14="Debt",
BC4&lt;('Initial Capital Payment'!$C$12+'Initial Capital Payment'!$F$7),
BC4&gt;='Initial Capital Payment'!$C$12),
-PMT('Interest Rate'!$J$16,'Initial Capital Payment'!$F$7,'Initial Capital Payment'!$C$10),0)</f>
        <v>0</v>
      </c>
      <c r="BD53" s="783">
        <f>IF(AND('Initial Capital Payment'!$C$14="Debt",
BD4&lt;('Initial Capital Payment'!$C$12+'Initial Capital Payment'!$F$7),
BD4&gt;='Initial Capital Payment'!$C$12),
-PMT('Interest Rate'!$J$16,'Initial Capital Payment'!$F$7,'Initial Capital Payment'!$C$10),0)</f>
        <v>0</v>
      </c>
      <c r="BE53" s="783">
        <f>IF(AND('Initial Capital Payment'!$C$14="Debt",
BE4&lt;('Initial Capital Payment'!$C$12+'Initial Capital Payment'!$F$7),
BE4&gt;='Initial Capital Payment'!$C$12),
-PMT('Interest Rate'!$J$16,'Initial Capital Payment'!$F$7,'Initial Capital Payment'!$C$10),0)</f>
        <v>0</v>
      </c>
      <c r="BF53" s="783">
        <f>IF(AND('Initial Capital Payment'!$C$14="Debt",
BF4&lt;('Initial Capital Payment'!$C$12+'Initial Capital Payment'!$F$7),
BF4&gt;='Initial Capital Payment'!$C$12),
-PMT('Interest Rate'!$J$16,'Initial Capital Payment'!$F$7,'Initial Capital Payment'!$C$10),0)</f>
        <v>0</v>
      </c>
      <c r="BG53" s="783">
        <f>IF(AND('Initial Capital Payment'!$C$14="Debt",
BG4&lt;('Initial Capital Payment'!$C$12+'Initial Capital Payment'!$F$7),
BG4&gt;='Initial Capital Payment'!$C$12),
-PMT('Interest Rate'!$J$16,'Initial Capital Payment'!$F$7,'Initial Capital Payment'!$C$10),0)</f>
        <v>0</v>
      </c>
      <c r="BH53" s="783">
        <f>IF(AND('Initial Capital Payment'!$C$14="Debt",
BH4&lt;('Initial Capital Payment'!$C$12+'Initial Capital Payment'!$F$7),
BH4&gt;='Initial Capital Payment'!$C$12),
-PMT('Interest Rate'!$J$16,'Initial Capital Payment'!$F$7,'Initial Capital Payment'!$C$10),0)</f>
        <v>0</v>
      </c>
      <c r="BI53" s="783">
        <f>IF(AND('Initial Capital Payment'!$C$14="Debt",
BI4&lt;('Initial Capital Payment'!$C$12+'Initial Capital Payment'!$F$7),
BI4&gt;='Initial Capital Payment'!$C$12),
-PMT('Interest Rate'!$J$16,'Initial Capital Payment'!$F$7,'Initial Capital Payment'!$C$10),0)</f>
        <v>0</v>
      </c>
      <c r="BJ53" s="783">
        <f>IF(AND('Initial Capital Payment'!$C$14="Debt",
BJ4&lt;('Initial Capital Payment'!$C$12+'Initial Capital Payment'!$F$7),
BJ4&gt;='Initial Capital Payment'!$C$12),
-PMT('Interest Rate'!$J$16,'Initial Capital Payment'!$F$7,'Initial Capital Payment'!$C$10),0)</f>
        <v>0</v>
      </c>
      <c r="BK53" s="783">
        <f>IF(AND('Initial Capital Payment'!$C$14="Debt",
BK4&lt;('Initial Capital Payment'!$C$12+'Initial Capital Payment'!$F$7),
BK4&gt;='Initial Capital Payment'!$C$12),
-PMT('Interest Rate'!$J$16,'Initial Capital Payment'!$F$7,'Initial Capital Payment'!$C$10),0)</f>
        <v>0</v>
      </c>
      <c r="BL53" s="783">
        <f>IF(AND('Initial Capital Payment'!$C$14="Debt",
BL4&lt;('Initial Capital Payment'!$C$12+'Initial Capital Payment'!$F$7),
BL4&gt;='Initial Capital Payment'!$C$12),
-PMT('Interest Rate'!$J$16,'Initial Capital Payment'!$F$7,'Initial Capital Payment'!$C$10),0)</f>
        <v>0</v>
      </c>
      <c r="BM53" s="783">
        <f>IF(AND('Initial Capital Payment'!$C$14="Debt",
BM4&lt;('Initial Capital Payment'!$C$12+'Initial Capital Payment'!$F$7),
BM4&gt;='Initial Capital Payment'!$C$12),
-PMT('Interest Rate'!$J$16,'Initial Capital Payment'!$F$7,'Initial Capital Payment'!$C$10),0)</f>
        <v>0</v>
      </c>
      <c r="BN53" s="783">
        <f>IF(AND('Initial Capital Payment'!$C$14="Debt",
BN4&lt;('Initial Capital Payment'!$C$12+'Initial Capital Payment'!$F$7),
BN4&gt;='Initial Capital Payment'!$C$12),
-PMT('Interest Rate'!$J$16,'Initial Capital Payment'!$F$7,'Initial Capital Payment'!$C$10),0)</f>
        <v>0</v>
      </c>
      <c r="BO53" s="783">
        <f>IF(AND('Initial Capital Payment'!$C$14="Debt",
BO4&lt;('Initial Capital Payment'!$C$12+'Initial Capital Payment'!$F$7),
BO4&gt;='Initial Capital Payment'!$C$12),
-PMT('Interest Rate'!$J$16,'Initial Capital Payment'!$F$7,'Initial Capital Payment'!$C$10),0)</f>
        <v>0</v>
      </c>
      <c r="BP53" s="783">
        <f>IF(AND('Initial Capital Payment'!$C$14="Debt",
BP4&lt;('Initial Capital Payment'!$C$12+'Initial Capital Payment'!$F$7),
BP4&gt;='Initial Capital Payment'!$C$12),
-PMT('Interest Rate'!$J$16,'Initial Capital Payment'!$F$7,'Initial Capital Payment'!$C$10),0)</f>
        <v>0</v>
      </c>
      <c r="BQ53" s="783">
        <f>IF(AND('Initial Capital Payment'!$C$14="Debt",
BQ4&lt;('Initial Capital Payment'!$C$12+'Initial Capital Payment'!$F$7),
BQ4&gt;='Initial Capital Payment'!$C$12),
-PMT('Interest Rate'!$J$16,'Initial Capital Payment'!$F$7,'Initial Capital Payment'!$C$10),0)</f>
        <v>0</v>
      </c>
      <c r="BR53" s="783">
        <f>IF(AND('Initial Capital Payment'!$C$14="Debt",
BR4&lt;('Initial Capital Payment'!$C$12+'Initial Capital Payment'!$F$7),
BR4&gt;='Initial Capital Payment'!$C$12),
-PMT('Interest Rate'!$J$16,'Initial Capital Payment'!$F$7,'Initial Capital Payment'!$C$10),0)</f>
        <v>0</v>
      </c>
      <c r="BS53" s="783">
        <f>IF(AND('Initial Capital Payment'!$C$14="Debt",
BS4&lt;('Initial Capital Payment'!$C$12+'Initial Capital Payment'!$F$7),
BS4&gt;='Initial Capital Payment'!$C$12),
-PMT('Interest Rate'!$J$16,'Initial Capital Payment'!$F$7,'Initial Capital Payment'!$C$10),0)</f>
        <v>0</v>
      </c>
      <c r="BT53" s="783">
        <f>IF(AND('Initial Capital Payment'!$C$14="Debt",
BT4&lt;('Initial Capital Payment'!$C$12+'Initial Capital Payment'!$F$7),
BT4&gt;='Initial Capital Payment'!$C$12),
-PMT('Interest Rate'!$J$16,'Initial Capital Payment'!$F$7,'Initial Capital Payment'!$C$10),0)</f>
        <v>0</v>
      </c>
      <c r="BU53" s="783">
        <f>IF(AND('Initial Capital Payment'!$C$14="Debt",
BU4&lt;('Initial Capital Payment'!$C$12+'Initial Capital Payment'!$F$7),
BU4&gt;='Initial Capital Payment'!$C$12),
-PMT('Interest Rate'!$J$16,'Initial Capital Payment'!$F$7,'Initial Capital Payment'!$C$10),0)</f>
        <v>0</v>
      </c>
      <c r="BV53" s="783">
        <f>IF(AND('Initial Capital Payment'!$C$14="Debt",
BV4&lt;('Initial Capital Payment'!$C$12+'Initial Capital Payment'!$F$7),
BV4&gt;='Initial Capital Payment'!$C$12),
-PMT('Interest Rate'!$J$16,'Initial Capital Payment'!$F$7,'Initial Capital Payment'!$C$10),0)</f>
        <v>0</v>
      </c>
      <c r="BW53" s="783">
        <f>IF(AND('Initial Capital Payment'!$C$14="Debt",
BW4&lt;('Initial Capital Payment'!$C$12+'Initial Capital Payment'!$F$7),
BW4&gt;='Initial Capital Payment'!$C$12),
-PMT('Interest Rate'!$J$16,'Initial Capital Payment'!$F$7,'Initial Capital Payment'!$C$10),0)</f>
        <v>0</v>
      </c>
      <c r="BX53" s="783">
        <f>IF(AND('Initial Capital Payment'!$C$14="Debt",
BX4&lt;('Initial Capital Payment'!$C$12+'Initial Capital Payment'!$F$7),
BX4&gt;='Initial Capital Payment'!$C$12),
-PMT('Interest Rate'!$J$16,'Initial Capital Payment'!$F$7,'Initial Capital Payment'!$C$10),0)</f>
        <v>0</v>
      </c>
      <c r="BY53" s="783">
        <f>IF(AND('Initial Capital Payment'!$C$14="Debt",
BY4&lt;('Initial Capital Payment'!$C$12+'Initial Capital Payment'!$F$7),
BY4&gt;='Initial Capital Payment'!$C$12),
-PMT('Interest Rate'!$J$16,'Initial Capital Payment'!$F$7,'Initial Capital Payment'!$C$10),0)</f>
        <v>0</v>
      </c>
      <c r="BZ53" s="783">
        <f>IF(AND('Initial Capital Payment'!$C$14="Debt",
BZ4&lt;('Initial Capital Payment'!$C$12+'Initial Capital Payment'!$F$7),
BZ4&gt;='Initial Capital Payment'!$C$12),
-PMT('Interest Rate'!$J$16,'Initial Capital Payment'!$F$7,'Initial Capital Payment'!$C$10),0)</f>
        <v>0</v>
      </c>
      <c r="CA53" s="783">
        <f>IF(AND('Initial Capital Payment'!$C$14="Debt",
CA4&lt;('Initial Capital Payment'!$C$12+'Initial Capital Payment'!$F$7),
CA4&gt;='Initial Capital Payment'!$C$12),
-PMT('Interest Rate'!$J$16,'Initial Capital Payment'!$F$7,'Initial Capital Payment'!$C$10),0)</f>
        <v>0</v>
      </c>
      <c r="CB53" s="783">
        <f>IF(AND('Initial Capital Payment'!$C$14="Debt",
CB4&lt;('Initial Capital Payment'!$C$12+'Initial Capital Payment'!$F$7),
CB4&gt;='Initial Capital Payment'!$C$12),
-PMT('Interest Rate'!$J$16,'Initial Capital Payment'!$F$7,'Initial Capital Payment'!$C$10),0)</f>
        <v>0</v>
      </c>
      <c r="CC53" s="783">
        <f>IF(AND('Initial Capital Payment'!$C$14="Debt",
CC4&lt;('Initial Capital Payment'!$C$12+'Initial Capital Payment'!$F$7),
CC4&gt;='Initial Capital Payment'!$C$12),
-PMT('Interest Rate'!$J$16,'Initial Capital Payment'!$F$7,'Initial Capital Payment'!$C$10),0)</f>
        <v>0</v>
      </c>
      <c r="CD53" s="783">
        <f>IF(AND('Initial Capital Payment'!$C$14="Debt",
CD4&lt;('Initial Capital Payment'!$C$12+'Initial Capital Payment'!$F$7),
CD4&gt;='Initial Capital Payment'!$C$12),
-PMT('Interest Rate'!$J$16,'Initial Capital Payment'!$F$7,'Initial Capital Payment'!$C$10),0)</f>
        <v>0</v>
      </c>
      <c r="CE53" s="783">
        <f>IF(AND('Initial Capital Payment'!$C$14="Debt",
CE4&lt;('Initial Capital Payment'!$C$12+'Initial Capital Payment'!$F$7),
CE4&gt;='Initial Capital Payment'!$C$12),
-PMT('Interest Rate'!$J$16,'Initial Capital Payment'!$F$7,'Initial Capital Payment'!$C$10),0)</f>
        <v>0</v>
      </c>
      <c r="CF53" s="783">
        <f>IF(AND('Initial Capital Payment'!$C$14="Debt",
CF4&lt;('Initial Capital Payment'!$C$12+'Initial Capital Payment'!$F$7),
CF4&gt;='Initial Capital Payment'!$C$12),
-PMT('Interest Rate'!$J$16,'Initial Capital Payment'!$F$7,'Initial Capital Payment'!$C$10),0)</f>
        <v>0</v>
      </c>
      <c r="CG53" s="783">
        <f>IF(AND('Initial Capital Payment'!$C$14="Debt",
CG4&lt;('Initial Capital Payment'!$C$12+'Initial Capital Payment'!$F$7),
CG4&gt;='Initial Capital Payment'!$C$12),
-PMT('Interest Rate'!$J$16,'Initial Capital Payment'!$F$7,'Initial Capital Payment'!$C$10),0)</f>
        <v>0</v>
      </c>
      <c r="CH53" s="783">
        <f>IF(AND('Initial Capital Payment'!$C$14="Debt",
CH4&lt;('Initial Capital Payment'!$C$12+'Initial Capital Payment'!$F$7),
CH4&gt;='Initial Capital Payment'!$C$12),
-PMT('Interest Rate'!$J$16,'Initial Capital Payment'!$F$7,'Initial Capital Payment'!$C$10),0)</f>
        <v>0</v>
      </c>
      <c r="CI53" s="783">
        <f>IF(AND('Initial Capital Payment'!$C$14="Debt",
CI4&lt;('Initial Capital Payment'!$C$12+'Initial Capital Payment'!$F$7),
CI4&gt;='Initial Capital Payment'!$C$12),
-PMT('Interest Rate'!$J$16,'Initial Capital Payment'!$F$7,'Initial Capital Payment'!$C$10),0)</f>
        <v>0</v>
      </c>
      <c r="CJ53" s="783">
        <f>IF(AND('Initial Capital Payment'!$C$14="Debt",
CJ4&lt;('Initial Capital Payment'!$C$12+'Initial Capital Payment'!$F$7),
CJ4&gt;='Initial Capital Payment'!$C$12),
-PMT('Interest Rate'!$J$16,'Initial Capital Payment'!$F$7,'Initial Capital Payment'!$C$10),0)</f>
        <v>0</v>
      </c>
      <c r="CK53" s="783">
        <f>IF(AND('Initial Capital Payment'!$C$14="Debt",
CK4&lt;('Initial Capital Payment'!$C$12+'Initial Capital Payment'!$F$7),
CK4&gt;='Initial Capital Payment'!$C$12),
-PMT('Interest Rate'!$J$16,'Initial Capital Payment'!$F$7,'Initial Capital Payment'!$C$10),0)</f>
        <v>0</v>
      </c>
      <c r="CL53" s="783">
        <f>IF(AND('Initial Capital Payment'!$C$14="Debt",
CL4&lt;('Initial Capital Payment'!$C$12+'Initial Capital Payment'!$F$7),
CL4&gt;='Initial Capital Payment'!$C$12),
-PMT('Interest Rate'!$J$16,'Initial Capital Payment'!$F$7,'Initial Capital Payment'!$C$10),0)</f>
        <v>0</v>
      </c>
      <c r="CM53" s="783">
        <f>IF(AND('Initial Capital Payment'!$C$14="Debt",
CM4&lt;('Initial Capital Payment'!$C$12+'Initial Capital Payment'!$F$7),
CM4&gt;='Initial Capital Payment'!$C$12),
-PMT('Interest Rate'!$J$16,'Initial Capital Payment'!$F$7,'Initial Capital Payment'!$C$10),0)</f>
        <v>0</v>
      </c>
      <c r="CN53" s="783">
        <f>IF(AND('Initial Capital Payment'!$C$14="Debt",
CN4&lt;('Initial Capital Payment'!$C$12+'Initial Capital Payment'!$F$7),
CN4&gt;='Initial Capital Payment'!$C$12),
-PMT('Interest Rate'!$J$16,'Initial Capital Payment'!$F$7,'Initial Capital Payment'!$C$10),0)</f>
        <v>0</v>
      </c>
      <c r="CO53" s="783">
        <f>IF(AND('Initial Capital Payment'!$C$14="Debt",
CO4&lt;('Initial Capital Payment'!$C$12+'Initial Capital Payment'!$F$7),
CO4&gt;='Initial Capital Payment'!$C$12),
-PMT('Interest Rate'!$J$16,'Initial Capital Payment'!$F$7,'Initial Capital Payment'!$C$10),0)</f>
        <v>0</v>
      </c>
      <c r="CP53" s="783">
        <f>IF(AND('Initial Capital Payment'!$C$14="Debt",
CP4&lt;('Initial Capital Payment'!$C$12+'Initial Capital Payment'!$F$7),
CP4&gt;='Initial Capital Payment'!$C$12),
-PMT('Interest Rate'!$J$16,'Initial Capital Payment'!$F$7,'Initial Capital Payment'!$C$10),0)</f>
        <v>0</v>
      </c>
      <c r="CQ53" s="783">
        <f>IF(AND('Initial Capital Payment'!$C$14="Debt",
CQ4&lt;('Initial Capital Payment'!$C$12+'Initial Capital Payment'!$F$7),
CQ4&gt;='Initial Capital Payment'!$C$12),
-PMT('Interest Rate'!$J$16,'Initial Capital Payment'!$F$7,'Initial Capital Payment'!$C$10),0)</f>
        <v>0</v>
      </c>
      <c r="CR53" s="783">
        <f>IF(AND('Initial Capital Payment'!$C$14="Debt",
CR4&lt;('Initial Capital Payment'!$C$12+'Initial Capital Payment'!$F$7),
CR4&gt;='Initial Capital Payment'!$C$12),
-PMT('Interest Rate'!$J$16,'Initial Capital Payment'!$F$7,'Initial Capital Payment'!$C$10),0)</f>
        <v>0</v>
      </c>
      <c r="CS53" s="783">
        <f>IF(AND('Initial Capital Payment'!$C$14="Debt",
CS4&lt;('Initial Capital Payment'!$C$12+'Initial Capital Payment'!$F$7),
CS4&gt;='Initial Capital Payment'!$C$12),
-PMT('Interest Rate'!$J$16,'Initial Capital Payment'!$F$7,'Initial Capital Payment'!$C$10),0)</f>
        <v>0</v>
      </c>
      <c r="CT53" s="783">
        <f>IF(AND('Initial Capital Payment'!$C$14="Debt",
CT4&lt;('Initial Capital Payment'!$C$12+'Initial Capital Payment'!$F$7),
CT4&gt;='Initial Capital Payment'!$C$12),
-PMT('Interest Rate'!$J$16,'Initial Capital Payment'!$F$7,'Initial Capital Payment'!$C$10),0)</f>
        <v>0</v>
      </c>
      <c r="CU53" s="783">
        <f>IF(AND('Initial Capital Payment'!$C$14="Debt",
CU4&lt;('Initial Capital Payment'!$C$12+'Initial Capital Payment'!$F$7),
CU4&gt;='Initial Capital Payment'!$C$12),
-PMT('Interest Rate'!$J$16,'Initial Capital Payment'!$F$7,'Initial Capital Payment'!$C$10),0)</f>
        <v>0</v>
      </c>
      <c r="CV53" s="783">
        <f>IF(AND('Initial Capital Payment'!$C$14="Debt",
CV4&lt;('Initial Capital Payment'!$C$12+'Initial Capital Payment'!$F$7),
CV4&gt;='Initial Capital Payment'!$C$12),
-PMT('Interest Rate'!$J$16,'Initial Capital Payment'!$F$7,'Initial Capital Payment'!$C$10),0)</f>
        <v>0</v>
      </c>
      <c r="CW53" s="783">
        <f>IF(AND('Initial Capital Payment'!$C$14="Debt",
CW4&lt;('Initial Capital Payment'!$C$12+'Initial Capital Payment'!$F$7),
CW4&gt;='Initial Capital Payment'!$C$12),
-PMT('Interest Rate'!$J$16,'Initial Capital Payment'!$F$7,'Initial Capital Payment'!$C$10),0)</f>
        <v>0</v>
      </c>
      <c r="CX53" s="783">
        <f>IF(AND('Initial Capital Payment'!$C$14="Debt",
CX4&lt;('Initial Capital Payment'!$C$12+'Initial Capital Payment'!$F$7),
CX4&gt;='Initial Capital Payment'!$C$12),
-PMT('Interest Rate'!$J$16,'Initial Capital Payment'!$F$7,'Initial Capital Payment'!$C$10),0)</f>
        <v>0</v>
      </c>
      <c r="CY53" s="783">
        <f>IF(AND('Initial Capital Payment'!$C$14="Debt",
CY4&lt;('Initial Capital Payment'!$C$12+'Initial Capital Payment'!$F$7),
CY4&gt;='Initial Capital Payment'!$C$12),
-PMT('Interest Rate'!$J$16,'Initial Capital Payment'!$F$7,'Initial Capital Payment'!$C$10),0)</f>
        <v>0</v>
      </c>
      <c r="CZ53" s="783">
        <f>IF(AND('Initial Capital Payment'!$C$14="Debt",
CZ4&lt;('Initial Capital Payment'!$C$12+'Initial Capital Payment'!$F$7),
CZ4&gt;='Initial Capital Payment'!$C$12),
-PMT('Interest Rate'!$J$16,'Initial Capital Payment'!$F$7,'Initial Capital Payment'!$C$10),0)</f>
        <v>0</v>
      </c>
    </row>
    <row r="54" spans="1:104" x14ac:dyDescent="0.25">
      <c r="B54" s="480" t="str">
        <f>CONCATENATE("Series ",D54,"A Bonds (at ",'Interest Rate'!$J$16*100,"% Interest)")</f>
        <v>Series 2032A Bonds (at 4.5% Interest)</v>
      </c>
      <c r="C54" s="480"/>
      <c r="D54" s="492">
        <f>'Construction Timing'!I20+'Construction Timing'!I17</f>
        <v>2032</v>
      </c>
      <c r="E54" s="477">
        <f>IF('Incremental Repayments'!$R$22="Debt",IF(AND(E$4&gt;=$D54,E$4&lt;$D54+'Incremental Repayments'!$I$31),-PMT('Interest Rate'!$J$16,'Incremental Repayments'!$I$31,(HLOOKUP($D54,$E$4:$CZ$32,28,FALSE)*'Incremental Repayments'!$I$22)),0),0)</f>
        <v>0</v>
      </c>
      <c r="F54" s="477">
        <f>IF('Incremental Repayments'!$R$22="Debt",IF(AND(F$4&gt;=$D54,F$4&lt;$D54+'Incremental Repayments'!$I$31),-PMT('Interest Rate'!$J$16,'Incremental Repayments'!$I$31,(HLOOKUP($D54,$E$4:$CZ$32,28,FALSE)*'Incremental Repayments'!$I$22)),0),0)</f>
        <v>0</v>
      </c>
      <c r="G54" s="477">
        <f>IF('Incremental Repayments'!$R$22="Debt",IF(AND(G$4&gt;=$D54,G$4&lt;$D54+'Incremental Repayments'!$I$31),-PMT('Interest Rate'!$J$16,'Incremental Repayments'!$I$31,(HLOOKUP($D54,$E$4:$CZ$32,28,FALSE)*'Incremental Repayments'!$I$22)),0),0)</f>
        <v>0</v>
      </c>
      <c r="H54" s="477">
        <f>IF('Incremental Repayments'!$R$22="Debt",IF(AND(H$4&gt;=$D54,H$4&lt;$D54+'Incremental Repayments'!$I$31),-PMT('Interest Rate'!$J$16,'Incremental Repayments'!$I$31,(HLOOKUP($D54,$E$4:$CZ$32,28,FALSE)*'Incremental Repayments'!$I$22)),0),0)</f>
        <v>0</v>
      </c>
      <c r="I54" s="477">
        <f>IF('Incremental Repayments'!$R$22="Debt",IF(AND(I$4&gt;=$D54,I$4&lt;$D54+'Incremental Repayments'!$I$31),-PMT('Interest Rate'!$J$16,'Incremental Repayments'!$I$31,(HLOOKUP($D54,$E$4:$CZ$32,28,FALSE)*'Incremental Repayments'!$I$22)),0),0)</f>
        <v>0</v>
      </c>
      <c r="J54" s="477">
        <f>IF('Incremental Repayments'!$R$22="Debt",IF(AND(J$4&gt;=$D54,J$4&lt;$D54+'Incremental Repayments'!$I$31),-PMT('Interest Rate'!$J$16,'Incremental Repayments'!$I$31,(HLOOKUP($D54,$E$4:$CZ$32,28,FALSE)*'Incremental Repayments'!$I$22)),0),0)</f>
        <v>0</v>
      </c>
      <c r="K54" s="477">
        <f>IF('Incremental Repayments'!$R$22="Debt",IF(AND(K$4&gt;=$D54,K$4&lt;$D54+'Incremental Repayments'!$I$31),-PMT('Interest Rate'!$J$16,'Incremental Repayments'!$I$31,(HLOOKUP($D54,$E$4:$CZ$32,28,FALSE)*'Incremental Repayments'!$I$22)),0),0)</f>
        <v>0</v>
      </c>
      <c r="L54" s="477">
        <f>IF('Incremental Repayments'!$R$22="Debt",IF(AND(L$4&gt;=$D54,L$4&lt;$D54+'Incremental Repayments'!$I$31),-PMT('Interest Rate'!$J$16,'Incremental Repayments'!$I$31,(HLOOKUP($D54,$E$4:$CZ$32,28,FALSE)*'Incremental Repayments'!$I$22)),0),0)</f>
        <v>0</v>
      </c>
      <c r="M54" s="477">
        <f>IF('Incremental Repayments'!$R$22="Debt",IF(AND(M$4&gt;=$D54,M$4&lt;$D54+'Incremental Repayments'!$I$31),-PMT('Interest Rate'!$J$16,'Incremental Repayments'!$I$31,(HLOOKUP($D54,$E$4:$CZ$32,28,FALSE)*'Incremental Repayments'!$I$22)),0),0)</f>
        <v>0</v>
      </c>
      <c r="N54" s="477">
        <f>IF('Incremental Repayments'!$R$22="Debt",IF(AND(N$4&gt;=$D54,N$4&lt;$D54+'Incremental Repayments'!$I$31),-PMT('Interest Rate'!$J$16,'Incremental Repayments'!$I$31,(HLOOKUP($D54,$E$4:$CZ$32,28,FALSE)*'Incremental Repayments'!$I$22)),0),0)</f>
        <v>0</v>
      </c>
      <c r="O54" s="477">
        <f>IF('Incremental Repayments'!$R$22="Debt",IF(AND(O$4&gt;=$D54,O$4&lt;$D54+'Incremental Repayments'!$I$31),-PMT('Interest Rate'!$J$16,'Incremental Repayments'!$I$31,(HLOOKUP($D54,$E$4:$CZ$32,28,FALSE)*'Incremental Repayments'!$I$22)),0),0)</f>
        <v>0</v>
      </c>
      <c r="P54" s="477">
        <f>IF('Incremental Repayments'!$R$22="Debt",IF(AND(P$4&gt;=$D54,P$4&lt;$D54+'Incremental Repayments'!$I$31),-PMT('Interest Rate'!$J$16,'Incremental Repayments'!$I$31,(HLOOKUP($D54,$E$4:$CZ$32,28,FALSE)*'Incremental Repayments'!$I$22)),0),0)</f>
        <v>0</v>
      </c>
      <c r="Q54" s="477">
        <f>IF('Incremental Repayments'!$R$22="Debt",IF(AND(Q$4&gt;=$D54,Q$4&lt;$D54+'Incremental Repayments'!$I$31),-PMT('Interest Rate'!$J$16,'Incremental Repayments'!$I$31,(HLOOKUP($D54,$E$4:$CZ$32,28,FALSE)*'Incremental Repayments'!$I$22)),0),0)</f>
        <v>0</v>
      </c>
      <c r="R54" s="477">
        <f>IF('Incremental Repayments'!$R$22="Debt",IF(AND(R$4&gt;=$D54,R$4&lt;$D54+'Incremental Repayments'!$I$31),-PMT('Interest Rate'!$J$16,'Incremental Repayments'!$I$31,(HLOOKUP($D54,$E$4:$CZ$32,28,FALSE)*'Incremental Repayments'!$I$22)),0),0)</f>
        <v>0</v>
      </c>
      <c r="S54" s="477">
        <f>IF('Incremental Repayments'!$R$22="Debt",IF(AND(S$4&gt;=$D54,S$4&lt;$D54+'Incremental Repayments'!$I$31),-PMT('Interest Rate'!$J$16,'Incremental Repayments'!$I$31,(HLOOKUP($D54,$E$4:$CZ$32,28,FALSE)*'Incremental Repayments'!$I$22)),0),0)</f>
        <v>0</v>
      </c>
      <c r="T54" s="477">
        <f>IF('Incremental Repayments'!$R$22="Debt",IF(AND(T$4&gt;=$D54,T$4&lt;$D54+'Incremental Repayments'!$I$31),-PMT('Interest Rate'!$J$16,'Incremental Repayments'!$I$31,(HLOOKUP($D54,$E$4:$CZ$32,28,FALSE)*'Incremental Repayments'!$I$22)),0),0)</f>
        <v>0</v>
      </c>
      <c r="U54" s="477">
        <f>IF('Incremental Repayments'!$R$22="Debt",IF(AND(U$4&gt;=$D54,U$4&lt;$D54+'Incremental Repayments'!$I$31),-PMT('Interest Rate'!$J$16,'Incremental Repayments'!$I$31,(HLOOKUP($D54,$E$4:$CZ$32,28,FALSE)*'Incremental Repayments'!$I$22)),0),0)</f>
        <v>0</v>
      </c>
      <c r="V54" s="477">
        <f>IF('Incremental Repayments'!$R$22="Debt",IF(AND(V$4&gt;=$D54,V$4&lt;$D54+'Incremental Repayments'!$I$31),-PMT('Interest Rate'!$J$16,'Incremental Repayments'!$I$31,(HLOOKUP($D54,$E$4:$CZ$32,28,FALSE)*'Incremental Repayments'!$I$22)),0),0)</f>
        <v>0</v>
      </c>
      <c r="W54" s="477">
        <f>IF('Incremental Repayments'!$R$22="Debt",IF(AND(W$4&gt;=$D54,W$4&lt;$D54+'Incremental Repayments'!$I$31),-PMT('Interest Rate'!$J$16,'Incremental Repayments'!$I$31,(HLOOKUP($D54,$E$4:$CZ$32,28,FALSE)*'Incremental Repayments'!$I$22)),0),0)</f>
        <v>330246.15050593327</v>
      </c>
      <c r="X54" s="477">
        <f>IF('Incremental Repayments'!$R$22="Debt",IF(AND(X$4&gt;=$D54,X$4&lt;$D54+'Incremental Repayments'!$I$31),-PMT('Interest Rate'!$J$16,'Incremental Repayments'!$I$31,(HLOOKUP($D54,$E$4:$CZ$32,28,FALSE)*'Incremental Repayments'!$I$22)),0),0)</f>
        <v>330246.15050593327</v>
      </c>
      <c r="Y54" s="477">
        <f>IF('Incremental Repayments'!$R$22="Debt",IF(AND(Y$4&gt;=$D54,Y$4&lt;$D54+'Incremental Repayments'!$I$31),-PMT('Interest Rate'!$J$16,'Incremental Repayments'!$I$31,(HLOOKUP($D54,$E$4:$CZ$32,28,FALSE)*'Incremental Repayments'!$I$22)),0),0)</f>
        <v>330246.15050593327</v>
      </c>
      <c r="Z54" s="477">
        <f>IF('Incremental Repayments'!$R$22="Debt",IF(AND(Z$4&gt;=$D54,Z$4&lt;$D54+'Incremental Repayments'!$I$31),-PMT('Interest Rate'!$J$16,'Incremental Repayments'!$I$31,(HLOOKUP($D54,$E$4:$CZ$32,28,FALSE)*'Incremental Repayments'!$I$22)),0),0)</f>
        <v>330246.15050593327</v>
      </c>
      <c r="AA54" s="477">
        <f>IF('Incremental Repayments'!$R$22="Debt",IF(AND(AA$4&gt;=$D54,AA$4&lt;$D54+'Incremental Repayments'!$I$31),-PMT('Interest Rate'!$J$16,'Incremental Repayments'!$I$31,(HLOOKUP($D54,$E$4:$CZ$32,28,FALSE)*'Incremental Repayments'!$I$22)),0),0)</f>
        <v>330246.15050593327</v>
      </c>
      <c r="AB54" s="477">
        <f>IF('Incremental Repayments'!$R$22="Debt",IF(AND(AB$4&gt;=$D54,AB$4&lt;$D54+'Incremental Repayments'!$I$31),-PMT('Interest Rate'!$J$16,'Incremental Repayments'!$I$31,(HLOOKUP($D54,$E$4:$CZ$32,28,FALSE)*'Incremental Repayments'!$I$22)),0),0)</f>
        <v>330246.15050593327</v>
      </c>
      <c r="AC54" s="477">
        <f>IF('Incremental Repayments'!$R$22="Debt",IF(AND(AC$4&gt;=$D54,AC$4&lt;$D54+'Incremental Repayments'!$I$31),-PMT('Interest Rate'!$J$16,'Incremental Repayments'!$I$31,(HLOOKUP($D54,$E$4:$CZ$32,28,FALSE)*'Incremental Repayments'!$I$22)),0),0)</f>
        <v>330246.15050593327</v>
      </c>
      <c r="AD54" s="477">
        <f>IF('Incremental Repayments'!$R$22="Debt",IF(AND(AD$4&gt;=$D54,AD$4&lt;$D54+'Incremental Repayments'!$I$31),-PMT('Interest Rate'!$J$16,'Incremental Repayments'!$I$31,(HLOOKUP($D54,$E$4:$CZ$32,28,FALSE)*'Incremental Repayments'!$I$22)),0),0)</f>
        <v>330246.15050593327</v>
      </c>
      <c r="AE54" s="477">
        <f>IF('Incremental Repayments'!$R$22="Debt",IF(AND(AE$4&gt;=$D54,AE$4&lt;$D54+'Incremental Repayments'!$I$31),-PMT('Interest Rate'!$J$16,'Incremental Repayments'!$I$31,(HLOOKUP($D54,$E$4:$CZ$32,28,FALSE)*'Incremental Repayments'!$I$22)),0),0)</f>
        <v>330246.15050593327</v>
      </c>
      <c r="AF54" s="477">
        <f>IF('Incremental Repayments'!$R$22="Debt",IF(AND(AF$4&gt;=$D54,AF$4&lt;$D54+'Incremental Repayments'!$I$31),-PMT('Interest Rate'!$J$16,'Incremental Repayments'!$I$31,(HLOOKUP($D54,$E$4:$CZ$32,28,FALSE)*'Incremental Repayments'!$I$22)),0),0)</f>
        <v>330246.15050593327</v>
      </c>
      <c r="AG54" s="477">
        <f>IF('Incremental Repayments'!$R$22="Debt",IF(AND(AG$4&gt;=$D54,AG$4&lt;$D54+'Incremental Repayments'!$I$31),-PMT('Interest Rate'!$J$16,'Incremental Repayments'!$I$31,(HLOOKUP($D54,$E$4:$CZ$32,28,FALSE)*'Incremental Repayments'!$I$22)),0),0)</f>
        <v>330246.15050593327</v>
      </c>
      <c r="AH54" s="477">
        <f>IF('Incremental Repayments'!$R$22="Debt",IF(AND(AH$4&gt;=$D54,AH$4&lt;$D54+'Incremental Repayments'!$I$31),-PMT('Interest Rate'!$J$16,'Incremental Repayments'!$I$31,(HLOOKUP($D54,$E$4:$CZ$32,28,FALSE)*'Incremental Repayments'!$I$22)),0),0)</f>
        <v>330246.15050593327</v>
      </c>
      <c r="AI54" s="477">
        <f>IF('Incremental Repayments'!$R$22="Debt",IF(AND(AI$4&gt;=$D54,AI$4&lt;$D54+'Incremental Repayments'!$I$31),-PMT('Interest Rate'!$J$16,'Incremental Repayments'!$I$31,(HLOOKUP($D54,$E$4:$CZ$32,28,FALSE)*'Incremental Repayments'!$I$22)),0),0)</f>
        <v>330246.15050593327</v>
      </c>
      <c r="AJ54" s="477">
        <f>IF('Incremental Repayments'!$R$22="Debt",IF(AND(AJ$4&gt;=$D54,AJ$4&lt;$D54+'Incremental Repayments'!$I$31),-PMT('Interest Rate'!$J$16,'Incremental Repayments'!$I$31,(HLOOKUP($D54,$E$4:$CZ$32,28,FALSE)*'Incremental Repayments'!$I$22)),0),0)</f>
        <v>330246.15050593327</v>
      </c>
      <c r="AK54" s="477">
        <f>IF('Incremental Repayments'!$R$22="Debt",IF(AND(AK$4&gt;=$D54,AK$4&lt;$D54+'Incremental Repayments'!$I$31),-PMT('Interest Rate'!$J$16,'Incremental Repayments'!$I$31,(HLOOKUP($D54,$E$4:$CZ$32,28,FALSE)*'Incremental Repayments'!$I$22)),0),0)</f>
        <v>330246.15050593327</v>
      </c>
      <c r="AL54" s="477">
        <f>IF('Incremental Repayments'!$R$22="Debt",IF(AND(AL$4&gt;=$D54,AL$4&lt;$D54+'Incremental Repayments'!$I$31),-PMT('Interest Rate'!$J$16,'Incremental Repayments'!$I$31,(HLOOKUP($D54,$E$4:$CZ$32,28,FALSE)*'Incremental Repayments'!$I$22)),0),0)</f>
        <v>330246.15050593327</v>
      </c>
      <c r="AM54" s="477">
        <f>IF('Incremental Repayments'!$R$22="Debt",IF(AND(AM$4&gt;=$D54,AM$4&lt;$D54+'Incremental Repayments'!$I$31),-PMT('Interest Rate'!$J$16,'Incremental Repayments'!$I$31,(HLOOKUP($D54,$E$4:$CZ$32,28,FALSE)*'Incremental Repayments'!$I$22)),0),0)</f>
        <v>330246.15050593327</v>
      </c>
      <c r="AN54" s="477">
        <f>IF('Incremental Repayments'!$R$22="Debt",IF(AND(AN$4&gt;=$D54,AN$4&lt;$D54+'Incremental Repayments'!$I$31),-PMT('Interest Rate'!$J$16,'Incremental Repayments'!$I$31,(HLOOKUP($D54,$E$4:$CZ$32,28,FALSE)*'Incremental Repayments'!$I$22)),0),0)</f>
        <v>330246.15050593327</v>
      </c>
      <c r="AO54" s="477">
        <f>IF('Incremental Repayments'!$R$22="Debt",IF(AND(AO$4&gt;=$D54,AO$4&lt;$D54+'Incremental Repayments'!$I$31),-PMT('Interest Rate'!$J$16,'Incremental Repayments'!$I$31,(HLOOKUP($D54,$E$4:$CZ$32,28,FALSE)*'Incremental Repayments'!$I$22)),0),0)</f>
        <v>330246.15050593327</v>
      </c>
      <c r="AP54" s="477">
        <f>IF('Incremental Repayments'!$R$22="Debt",IF(AND(AP$4&gt;=$D54,AP$4&lt;$D54+'Incremental Repayments'!$I$31),-PMT('Interest Rate'!$J$16,'Incremental Repayments'!$I$31,(HLOOKUP($D54,$E$4:$CZ$32,28,FALSE)*'Incremental Repayments'!$I$22)),0),0)</f>
        <v>330246.15050593327</v>
      </c>
      <c r="AQ54" s="477">
        <f>IF('Incremental Repayments'!$R$22="Debt",IF(AND(AQ$4&gt;=$D54,AQ$4&lt;$D54+'Incremental Repayments'!$I$31),-PMT('Interest Rate'!$J$16,'Incremental Repayments'!$I$31,(HLOOKUP($D54,$E$4:$CZ$32,28,FALSE)*'Incremental Repayments'!$I$22)),0),0)</f>
        <v>330246.15050593327</v>
      </c>
      <c r="AR54" s="477">
        <f>IF('Incremental Repayments'!$R$22="Debt",IF(AND(AR$4&gt;=$D54,AR$4&lt;$D54+'Incremental Repayments'!$I$31),-PMT('Interest Rate'!$J$16,'Incremental Repayments'!$I$31,(HLOOKUP($D54,$E$4:$CZ$32,28,FALSE)*'Incremental Repayments'!$I$22)),0),0)</f>
        <v>330246.15050593327</v>
      </c>
      <c r="AS54" s="477">
        <f>IF('Incremental Repayments'!$R$22="Debt",IF(AND(AS$4&gt;=$D54,AS$4&lt;$D54+'Incremental Repayments'!$I$31),-PMT('Interest Rate'!$J$16,'Incremental Repayments'!$I$31,(HLOOKUP($D54,$E$4:$CZ$32,28,FALSE)*'Incremental Repayments'!$I$22)),0),0)</f>
        <v>330246.15050593327</v>
      </c>
      <c r="AT54" s="477">
        <f>IF('Incremental Repayments'!$R$22="Debt",IF(AND(AT$4&gt;=$D54,AT$4&lt;$D54+'Incremental Repayments'!$I$31),-PMT('Interest Rate'!$J$16,'Incremental Repayments'!$I$31,(HLOOKUP($D54,$E$4:$CZ$32,28,FALSE)*'Incremental Repayments'!$I$22)),0),0)</f>
        <v>330246.15050593327</v>
      </c>
      <c r="AU54" s="477">
        <f>IF('Incremental Repayments'!$R$22="Debt",IF(AND(AU$4&gt;=$D54,AU$4&lt;$D54+'Incremental Repayments'!$I$31),-PMT('Interest Rate'!$J$16,'Incremental Repayments'!$I$31,(HLOOKUP($D54,$E$4:$CZ$32,28,FALSE)*'Incremental Repayments'!$I$22)),0),0)</f>
        <v>330246.15050593327</v>
      </c>
      <c r="AV54" s="477">
        <f>IF('Incremental Repayments'!$R$22="Debt",IF(AND(AV$4&gt;=$D54,AV$4&lt;$D54+'Incremental Repayments'!$I$31),-PMT('Interest Rate'!$J$16,'Incremental Repayments'!$I$31,(HLOOKUP($D54,$E$4:$CZ$32,28,FALSE)*'Incremental Repayments'!$I$22)),0),0)</f>
        <v>330246.15050593327</v>
      </c>
      <c r="AW54" s="477">
        <f>IF('Incremental Repayments'!$R$22="Debt",IF(AND(AW$4&gt;=$D54,AW$4&lt;$D54+'Incremental Repayments'!$I$31),-PMT('Interest Rate'!$J$16,'Incremental Repayments'!$I$31,(HLOOKUP($D54,$E$4:$CZ$32,28,FALSE)*'Incremental Repayments'!$I$22)),0),0)</f>
        <v>330246.15050593327</v>
      </c>
      <c r="AX54" s="477">
        <f>IF('Incremental Repayments'!$R$22="Debt",IF(AND(AX$4&gt;=$D54,AX$4&lt;$D54+'Incremental Repayments'!$I$31),-PMT('Interest Rate'!$J$16,'Incremental Repayments'!$I$31,(HLOOKUP($D54,$E$4:$CZ$32,28,FALSE)*'Incremental Repayments'!$I$22)),0),0)</f>
        <v>330246.15050593327</v>
      </c>
      <c r="AY54" s="477">
        <f>IF('Incremental Repayments'!$R$22="Debt",IF(AND(AY$4&gt;=$D54,AY$4&lt;$D54+'Incremental Repayments'!$I$31),-PMT('Interest Rate'!$J$16,'Incremental Repayments'!$I$31,(HLOOKUP($D54,$E$4:$CZ$32,28,FALSE)*'Incremental Repayments'!$I$22)),0),0)</f>
        <v>330246.15050593327</v>
      </c>
      <c r="AZ54" s="477">
        <f>IF('Incremental Repayments'!$R$22="Debt",IF(AND(AZ$4&gt;=$D54,AZ$4&lt;$D54+'Incremental Repayments'!$I$31),-PMT('Interest Rate'!$J$16,'Incremental Repayments'!$I$31,(HLOOKUP($D54,$E$4:$CZ$32,28,FALSE)*'Incremental Repayments'!$I$22)),0),0)</f>
        <v>330246.15050593327</v>
      </c>
      <c r="BA54" s="477">
        <f>IF('Incremental Repayments'!$R$22="Debt",IF(AND(BA$4&gt;=$D54,BA$4&lt;$D54+'Incremental Repayments'!$I$31),-PMT('Interest Rate'!$J$16,'Incremental Repayments'!$I$31,(HLOOKUP($D54,$E$4:$CZ$32,28,FALSE)*'Incremental Repayments'!$I$22)),0),0)</f>
        <v>0</v>
      </c>
      <c r="BB54" s="477">
        <f>IF('Incremental Repayments'!$R$22="Debt",IF(AND(BB$4&gt;=$D54,BB$4&lt;$D54+'Incremental Repayments'!$I$31),-PMT('Interest Rate'!$J$16,'Incremental Repayments'!$I$31,(HLOOKUP($D54,$E$4:$CZ$32,28,FALSE)*'Incremental Repayments'!$I$22)),0),0)</f>
        <v>0</v>
      </c>
      <c r="BC54" s="477">
        <f>IF('Incremental Repayments'!$R$22="Debt",IF(AND(BC$4&gt;=$D54,BC$4&lt;$D54+'Incremental Repayments'!$I$31),-PMT('Interest Rate'!$J$16,'Incremental Repayments'!$I$31,(HLOOKUP($D54,$E$4:$CZ$32,28,FALSE)*'Incremental Repayments'!$I$22)),0),0)</f>
        <v>0</v>
      </c>
      <c r="BD54" s="477">
        <f>IF('Incremental Repayments'!$R$22="Debt",IF(AND(BD$4&gt;=$D54,BD$4&lt;$D54+'Incremental Repayments'!$I$31),-PMT('Interest Rate'!$J$16,'Incremental Repayments'!$I$31,(HLOOKUP($D54,$E$4:$CZ$32,28,FALSE)*'Incremental Repayments'!$I$22)),0),0)</f>
        <v>0</v>
      </c>
      <c r="BE54" s="477">
        <f>IF('Incremental Repayments'!$R$22="Debt",IF(AND(BE$4&gt;=$D54,BE$4&lt;$D54+'Incremental Repayments'!$I$31),-PMT('Interest Rate'!$J$16,'Incremental Repayments'!$I$31,(HLOOKUP($D54,$E$4:$CZ$32,28,FALSE)*'Incremental Repayments'!$I$22)),0),0)</f>
        <v>0</v>
      </c>
      <c r="BF54" s="477">
        <f>IF('Incremental Repayments'!$R$22="Debt",IF(AND(BF$4&gt;=$D54,BF$4&lt;$D54+'Incremental Repayments'!$I$31),-PMT('Interest Rate'!$J$16,'Incremental Repayments'!$I$31,(HLOOKUP($D54,$E$4:$CZ$32,28,FALSE)*'Incremental Repayments'!$I$22)),0),0)</f>
        <v>0</v>
      </c>
      <c r="BG54" s="477">
        <f>IF('Incremental Repayments'!$R$22="Debt",IF(AND(BG$4&gt;=$D54,BG$4&lt;$D54+'Incremental Repayments'!$I$31),-PMT('Interest Rate'!$J$16,'Incremental Repayments'!$I$31,(HLOOKUP($D54,$E$4:$CZ$32,28,FALSE)*'Incremental Repayments'!$I$22)),0),0)</f>
        <v>0</v>
      </c>
      <c r="BH54" s="477">
        <f>IF('Incremental Repayments'!$R$22="Debt",IF(AND(BH$4&gt;=$D54,BH$4&lt;$D54+'Incremental Repayments'!$I$31),-PMT('Interest Rate'!$J$16,'Incremental Repayments'!$I$31,(HLOOKUP($D54,$E$4:$CZ$32,28,FALSE)*'Incremental Repayments'!$I$22)),0),0)</f>
        <v>0</v>
      </c>
      <c r="BI54" s="477">
        <f>IF('Incremental Repayments'!$R$22="Debt",IF(AND(BI$4&gt;=$D54,BI$4&lt;$D54+'Incremental Repayments'!$I$31),-PMT('Interest Rate'!$J$16,'Incremental Repayments'!$I$31,(HLOOKUP($D54,$E$4:$CZ$32,28,FALSE)*'Incremental Repayments'!$I$22)),0),0)</f>
        <v>0</v>
      </c>
      <c r="BJ54" s="477">
        <f>IF('Incremental Repayments'!$R$22="Debt",IF(AND(BJ$4&gt;=$D54,BJ$4&lt;$D54+'Incremental Repayments'!$I$31),-PMT('Interest Rate'!$J$16,'Incremental Repayments'!$I$31,(HLOOKUP($D54,$E$4:$CZ$32,28,FALSE)*'Incremental Repayments'!$I$22)),0),0)</f>
        <v>0</v>
      </c>
      <c r="BK54" s="477">
        <f>IF('Incremental Repayments'!$R$22="Debt",IF(AND(BK$4&gt;=$D54,BK$4&lt;$D54+'Incremental Repayments'!$I$31),-PMT('Interest Rate'!$J$16,'Incremental Repayments'!$I$31,(HLOOKUP($D54,$E$4:$CZ$32,28,FALSE)*'Incremental Repayments'!$I$22)),0),0)</f>
        <v>0</v>
      </c>
      <c r="BL54" s="477">
        <f>IF('Incremental Repayments'!$R$22="Debt",IF(AND(BL$4&gt;=$D54,BL$4&lt;$D54+'Incremental Repayments'!$I$31),-PMT('Interest Rate'!$J$16,'Incremental Repayments'!$I$31,(HLOOKUP($D54,$E$4:$CZ$32,28,FALSE)*'Incremental Repayments'!$I$22)),0),0)</f>
        <v>0</v>
      </c>
      <c r="BM54" s="477">
        <f>IF('Incremental Repayments'!$R$22="Debt",IF(AND(BM$4&gt;=$D54,BM$4&lt;$D54+'Incremental Repayments'!$I$31),-PMT('Interest Rate'!$J$16,'Incremental Repayments'!$I$31,(HLOOKUP($D54,$E$4:$CZ$32,28,FALSE)*'Incremental Repayments'!$I$22)),0),0)</f>
        <v>0</v>
      </c>
      <c r="BN54" s="477">
        <f>IF('Incremental Repayments'!$R$22="Debt",IF(AND(BN$4&gt;=$D54,BN$4&lt;$D54+'Incremental Repayments'!$I$31),-PMT('Interest Rate'!$J$16,'Incremental Repayments'!$I$31,(HLOOKUP($D54,$E$4:$CZ$32,28,FALSE)*'Incremental Repayments'!$I$22)),0),0)</f>
        <v>0</v>
      </c>
      <c r="BO54" s="477">
        <f>IF('Incremental Repayments'!$R$22="Debt",IF(AND(BO$4&gt;=$D54,BO$4&lt;$D54+'Incremental Repayments'!$I$31),-PMT('Interest Rate'!$J$16,'Incremental Repayments'!$I$31,(HLOOKUP($D54,$E$4:$CZ$32,28,FALSE)*'Incremental Repayments'!$I$22)),0),0)</f>
        <v>0</v>
      </c>
      <c r="BP54" s="477">
        <f>IF('Incremental Repayments'!$R$22="Debt",IF(AND(BP$4&gt;=$D54,BP$4&lt;$D54+'Incremental Repayments'!$I$31),-PMT('Interest Rate'!$J$16,'Incremental Repayments'!$I$31,(HLOOKUP($D54,$E$4:$CZ$32,28,FALSE)*'Incremental Repayments'!$I$22)),0),0)</f>
        <v>0</v>
      </c>
      <c r="BQ54" s="477">
        <f>IF('Incremental Repayments'!$R$22="Debt",IF(AND(BQ$4&gt;=$D54,BQ$4&lt;$D54+'Incremental Repayments'!$I$31),-PMT('Interest Rate'!$J$16,'Incremental Repayments'!$I$31,(HLOOKUP($D54,$E$4:$CZ$32,28,FALSE)*'Incremental Repayments'!$I$22)),0),0)</f>
        <v>0</v>
      </c>
      <c r="BR54" s="477">
        <f>IF('Incremental Repayments'!$R$22="Debt",IF(AND(BR$4&gt;=$D54,BR$4&lt;$D54+'Incremental Repayments'!$I$31),-PMT('Interest Rate'!$J$16,'Incremental Repayments'!$I$31,(HLOOKUP($D54,$E$4:$CZ$32,28,FALSE)*'Incremental Repayments'!$I$22)),0),0)</f>
        <v>0</v>
      </c>
      <c r="BS54" s="477">
        <f>IF('Incremental Repayments'!$R$22="Debt",IF(AND(BS$4&gt;=$D54,BS$4&lt;$D54+'Incremental Repayments'!$I$31),-PMT('Interest Rate'!$J$16,'Incremental Repayments'!$I$31,(HLOOKUP($D54,$E$4:$CZ$32,28,FALSE)*'Incremental Repayments'!$I$22)),0),0)</f>
        <v>0</v>
      </c>
      <c r="BT54" s="477">
        <f>IF('Incremental Repayments'!$R$22="Debt",IF(AND(BT$4&gt;=$D54,BT$4&lt;$D54+'Incremental Repayments'!$I$31),-PMT('Interest Rate'!$J$16,'Incremental Repayments'!$I$31,(HLOOKUP($D54,$E$4:$CZ$32,28,FALSE)*'Incremental Repayments'!$I$22)),0),0)</f>
        <v>0</v>
      </c>
      <c r="BU54" s="477">
        <f>IF('Incremental Repayments'!$R$22="Debt",IF(AND(BU$4&gt;=$D54,BU$4&lt;$D54+'Incremental Repayments'!$I$31),-PMT('Interest Rate'!$J$16,'Incremental Repayments'!$I$31,(HLOOKUP($D54,$E$4:$CZ$32,28,FALSE)*'Incremental Repayments'!$I$22)),0),0)</f>
        <v>0</v>
      </c>
      <c r="BV54" s="477">
        <f>IF('Incremental Repayments'!$R$22="Debt",IF(AND(BV$4&gt;=$D54,BV$4&lt;$D54+'Incremental Repayments'!$I$31),-PMT('Interest Rate'!$J$16,'Incremental Repayments'!$I$31,(HLOOKUP($D54,$E$4:$CZ$32,28,FALSE)*'Incremental Repayments'!$I$22)),0),0)</f>
        <v>0</v>
      </c>
      <c r="BW54" s="477">
        <f>IF('Incremental Repayments'!$R$22="Debt",IF(AND(BW$4&gt;=$D54,BW$4&lt;$D54+'Incremental Repayments'!$I$31),-PMT('Interest Rate'!$J$16,'Incremental Repayments'!$I$31,(HLOOKUP($D54,$E$4:$CZ$32,28,FALSE)*'Incremental Repayments'!$I$22)),0),0)</f>
        <v>0</v>
      </c>
      <c r="BX54" s="477">
        <f>IF('Incremental Repayments'!$R$22="Debt",IF(AND(BX$4&gt;=$D54,BX$4&lt;$D54+'Incremental Repayments'!$I$31),-PMT('Interest Rate'!$J$16,'Incremental Repayments'!$I$31,(HLOOKUP($D54,$E$4:$CZ$32,28,FALSE)*'Incremental Repayments'!$I$22)),0),0)</f>
        <v>0</v>
      </c>
      <c r="BY54" s="477">
        <f>IF('Incremental Repayments'!$R$22="Debt",IF(AND(BY$4&gt;=$D54,BY$4&lt;$D54+'Incremental Repayments'!$I$31),-PMT('Interest Rate'!$J$16,'Incremental Repayments'!$I$31,(HLOOKUP($D54,$E$4:$CZ$32,28,FALSE)*'Incremental Repayments'!$I$22)),0),0)</f>
        <v>0</v>
      </c>
      <c r="BZ54" s="477">
        <f>IF('Incremental Repayments'!$R$22="Debt",IF(AND(BZ$4&gt;=$D54,BZ$4&lt;$D54+'Incremental Repayments'!$I$31),-PMT('Interest Rate'!$J$16,'Incremental Repayments'!$I$31,(HLOOKUP($D54,$E$4:$CZ$32,28,FALSE)*'Incremental Repayments'!$I$22)),0),0)</f>
        <v>0</v>
      </c>
      <c r="CA54" s="477">
        <f>IF('Incremental Repayments'!$R$22="Debt",IF(AND(CA$4&gt;=$D54,CA$4&lt;$D54+'Incremental Repayments'!$I$31),-PMT('Interest Rate'!$J$16,'Incremental Repayments'!$I$31,(HLOOKUP($D54,$E$4:$CZ$32,28,FALSE)*'Incremental Repayments'!$I$22)),0),0)</f>
        <v>0</v>
      </c>
      <c r="CB54" s="477">
        <f>IF('Incremental Repayments'!$R$22="Debt",IF(AND(CB$4&gt;=$D54,CB$4&lt;$D54+'Incremental Repayments'!$I$31),-PMT('Interest Rate'!$J$16,'Incremental Repayments'!$I$31,(HLOOKUP($D54,$E$4:$CZ$32,28,FALSE)*'Incremental Repayments'!$I$22)),0),0)</f>
        <v>0</v>
      </c>
      <c r="CC54" s="477">
        <f>IF('Incremental Repayments'!$R$22="Debt",IF(AND(CC$4&gt;=$D54,CC$4&lt;$D54+'Incremental Repayments'!$I$31),-PMT('Interest Rate'!$J$16,'Incremental Repayments'!$I$31,(HLOOKUP($D54,$E$4:$CZ$32,28,FALSE)*'Incremental Repayments'!$I$22)),0),0)</f>
        <v>0</v>
      </c>
      <c r="CD54" s="477">
        <f>IF('Incremental Repayments'!$R$22="Debt",IF(AND(CD$4&gt;=$D54,CD$4&lt;$D54+'Incremental Repayments'!$I$31),-PMT('Interest Rate'!$J$16,'Incremental Repayments'!$I$31,(HLOOKUP($D54,$E$4:$CZ$32,28,FALSE)*'Incremental Repayments'!$I$22)),0),0)</f>
        <v>0</v>
      </c>
      <c r="CE54" s="477">
        <f>IF('Incremental Repayments'!$R$22="Debt",IF(AND(CE$4&gt;=$D54,CE$4&lt;$D54+'Incremental Repayments'!$I$31),-PMT('Interest Rate'!$J$16,'Incremental Repayments'!$I$31,(HLOOKUP($D54,$E$4:$CZ$32,28,FALSE)*'Incremental Repayments'!$I$22)),0),0)</f>
        <v>0</v>
      </c>
      <c r="CF54" s="477">
        <f>IF('Incremental Repayments'!$R$22="Debt",IF(AND(CF$4&gt;=$D54,CF$4&lt;$D54+'Incremental Repayments'!$I$31),-PMT('Interest Rate'!$J$16,'Incremental Repayments'!$I$31,(HLOOKUP($D54,$E$4:$CZ$32,28,FALSE)*'Incremental Repayments'!$I$22)),0),0)</f>
        <v>0</v>
      </c>
      <c r="CG54" s="477">
        <f>IF('Incremental Repayments'!$R$22="Debt",IF(AND(CG$4&gt;=$D54,CG$4&lt;$D54+'Incremental Repayments'!$I$31),-PMT('Interest Rate'!$J$16,'Incremental Repayments'!$I$31,(HLOOKUP($D54,$E$4:$CZ$32,28,FALSE)*'Incremental Repayments'!$I$22)),0),0)</f>
        <v>0</v>
      </c>
      <c r="CH54" s="477">
        <f>IF('Incremental Repayments'!$R$22="Debt",IF(AND(CH$4&gt;=$D54,CH$4&lt;$D54+'Incremental Repayments'!$I$31),-PMT('Interest Rate'!$J$16,'Incremental Repayments'!$I$31,(HLOOKUP($D54,$E$4:$CZ$32,28,FALSE)*'Incremental Repayments'!$I$22)),0),0)</f>
        <v>0</v>
      </c>
      <c r="CI54" s="477">
        <f>IF('Incremental Repayments'!$R$22="Debt",IF(AND(CI$4&gt;=$D54,CI$4&lt;$D54+'Incremental Repayments'!$I$31),-PMT('Interest Rate'!$J$16,'Incremental Repayments'!$I$31,(HLOOKUP($D54,$E$4:$CZ$32,28,FALSE)*'Incremental Repayments'!$I$22)),0),0)</f>
        <v>0</v>
      </c>
      <c r="CJ54" s="477">
        <f>IF('Incremental Repayments'!$R$22="Debt",IF(AND(CJ$4&gt;=$D54,CJ$4&lt;$D54+'Incremental Repayments'!$I$31),-PMT('Interest Rate'!$J$16,'Incremental Repayments'!$I$31,(HLOOKUP($D54,$E$4:$CZ$32,28,FALSE)*'Incremental Repayments'!$I$22)),0),0)</f>
        <v>0</v>
      </c>
      <c r="CK54" s="477">
        <f>IF('Incremental Repayments'!$R$22="Debt",IF(AND(CK$4&gt;=$D54,CK$4&lt;$D54+'Incremental Repayments'!$I$31),-PMT('Interest Rate'!$J$16,'Incremental Repayments'!$I$31,(HLOOKUP($D54,$E$4:$CZ$32,28,FALSE)*'Incremental Repayments'!$I$22)),0),0)</f>
        <v>0</v>
      </c>
      <c r="CL54" s="477">
        <f>IF('Incremental Repayments'!$R$22="Debt",IF(AND(CL$4&gt;=$D54,CL$4&lt;$D54+'Incremental Repayments'!$I$31),-PMT('Interest Rate'!$J$16,'Incremental Repayments'!$I$31,(HLOOKUP($D54,$E$4:$CZ$32,28,FALSE)*'Incremental Repayments'!$I$22)),0),0)</f>
        <v>0</v>
      </c>
      <c r="CM54" s="477">
        <f>IF('Incremental Repayments'!$R$22="Debt",IF(AND(CM$4&gt;=$D54,CM$4&lt;$D54+'Incremental Repayments'!$I$31),-PMT('Interest Rate'!$J$16,'Incremental Repayments'!$I$31,(HLOOKUP($D54,$E$4:$CZ$32,28,FALSE)*'Incremental Repayments'!$I$22)),0),0)</f>
        <v>0</v>
      </c>
      <c r="CN54" s="477">
        <f>IF('Incremental Repayments'!$R$22="Debt",IF(AND(CN$4&gt;=$D54,CN$4&lt;$D54+'Incremental Repayments'!$I$31),-PMT('Interest Rate'!$J$16,'Incremental Repayments'!$I$31,(HLOOKUP($D54,$E$4:$CZ$32,28,FALSE)*'Incremental Repayments'!$I$22)),0),0)</f>
        <v>0</v>
      </c>
      <c r="CO54" s="477">
        <f>IF('Incremental Repayments'!$R$22="Debt",IF(AND(CO$4&gt;=$D54,CO$4&lt;$D54+'Incremental Repayments'!$I$31),-PMT('Interest Rate'!$J$16,'Incremental Repayments'!$I$31,(HLOOKUP($D54,$E$4:$CZ$32,28,FALSE)*'Incremental Repayments'!$I$22)),0),0)</f>
        <v>0</v>
      </c>
      <c r="CP54" s="477">
        <f>IF('Incremental Repayments'!$R$22="Debt",IF(AND(CP$4&gt;=$D54,CP$4&lt;$D54+'Incremental Repayments'!$I$31),-PMT('Interest Rate'!$J$16,'Incremental Repayments'!$I$31,(HLOOKUP($D54,$E$4:$CZ$32,28,FALSE)*'Incremental Repayments'!$I$22)),0),0)</f>
        <v>0</v>
      </c>
      <c r="CQ54" s="477">
        <f>IF('Incremental Repayments'!$R$22="Debt",IF(AND(CQ$4&gt;=$D54,CQ$4&lt;$D54+'Incremental Repayments'!$I$31),-PMT('Interest Rate'!$J$16,'Incremental Repayments'!$I$31,(HLOOKUP($D54,$E$4:$CZ$32,28,FALSE)*'Incremental Repayments'!$I$22)),0),0)</f>
        <v>0</v>
      </c>
      <c r="CR54" s="477">
        <f>IF('Incremental Repayments'!$R$22="Debt",IF(AND(CR$4&gt;=$D54,CR$4&lt;$D54+'Incremental Repayments'!$I$31),-PMT('Interest Rate'!$J$16,'Incremental Repayments'!$I$31,(HLOOKUP($D54,$E$4:$CZ$32,28,FALSE)*'Incremental Repayments'!$I$22)),0),0)</f>
        <v>0</v>
      </c>
      <c r="CS54" s="477">
        <f>IF('Incremental Repayments'!$R$22="Debt",IF(AND(CS$4&gt;=$D54,CS$4&lt;$D54+'Incremental Repayments'!$I$31),-PMT('Interest Rate'!$J$16,'Incremental Repayments'!$I$31,(HLOOKUP($D54,$E$4:$CZ$32,28,FALSE)*'Incremental Repayments'!$I$22)),0),0)</f>
        <v>0</v>
      </c>
      <c r="CT54" s="477">
        <f>IF('Incremental Repayments'!$R$22="Debt",IF(AND(CT$4&gt;=$D54,CT$4&lt;$D54+'Incremental Repayments'!$I$31),-PMT('Interest Rate'!$J$16,'Incremental Repayments'!$I$31,(HLOOKUP($D54,$E$4:$CZ$32,28,FALSE)*'Incremental Repayments'!$I$22)),0),0)</f>
        <v>0</v>
      </c>
      <c r="CU54" s="477">
        <f>IF('Incremental Repayments'!$R$22="Debt",IF(AND(CU$4&gt;=$D54,CU$4&lt;$D54+'Incremental Repayments'!$I$31),-PMT('Interest Rate'!$J$16,'Incremental Repayments'!$I$31,(HLOOKUP($D54,$E$4:$CZ$32,28,FALSE)*'Incremental Repayments'!$I$22)),0),0)</f>
        <v>0</v>
      </c>
      <c r="CV54" s="477">
        <f>IF('Incremental Repayments'!$R$22="Debt",IF(AND(CV$4&gt;=$D54,CV$4&lt;$D54+'Incremental Repayments'!$I$31),-PMT('Interest Rate'!$J$16,'Incremental Repayments'!$I$31,(HLOOKUP($D54,$E$4:$CZ$32,28,FALSE)*'Incremental Repayments'!$I$22)),0),0)</f>
        <v>0</v>
      </c>
      <c r="CW54" s="477">
        <f>IF('Incremental Repayments'!$R$22="Debt",IF(AND(CW$4&gt;=$D54,CW$4&lt;$D54+'Incremental Repayments'!$I$31),-PMT('Interest Rate'!$J$16,'Incremental Repayments'!$I$31,(HLOOKUP($D54,$E$4:$CZ$32,28,FALSE)*'Incremental Repayments'!$I$22)),0),0)</f>
        <v>0</v>
      </c>
      <c r="CX54" s="477">
        <f>IF('Incremental Repayments'!$R$22="Debt",IF(AND(CX$4&gt;=$D54,CX$4&lt;$D54+'Incremental Repayments'!$I$31),-PMT('Interest Rate'!$J$16,'Incremental Repayments'!$I$31,(HLOOKUP($D54,$E$4:$CZ$32,28,FALSE)*'Incremental Repayments'!$I$22)),0),0)</f>
        <v>0</v>
      </c>
      <c r="CY54" s="477">
        <f>IF('Incremental Repayments'!$R$22="Debt",IF(AND(CY$4&gt;=$D54,CY$4&lt;$D54+'Incremental Repayments'!$I$31),-PMT('Interest Rate'!$J$16,'Incremental Repayments'!$I$31,(HLOOKUP($D54,$E$4:$CZ$32,28,FALSE)*'Incremental Repayments'!$I$22)),0),0)</f>
        <v>0</v>
      </c>
      <c r="CZ54" s="477">
        <f>IF('Incremental Repayments'!$R$22="Debt",IF(AND(CZ$4&gt;=$D54,CZ$4&lt;$D54+'Incremental Repayments'!$I$31),-PMT('Interest Rate'!$J$16,'Incremental Repayments'!$I$31,(HLOOKUP($D54,$E$4:$CZ$32,28,FALSE)*'Incremental Repayments'!$I$22)),0),0)</f>
        <v>0</v>
      </c>
    </row>
    <row r="55" spans="1:104" x14ac:dyDescent="0.25">
      <c r="B55" s="480" t="str">
        <f>CONCATENATE("Series ",D55,"A Bonds (at ",'Interest Rate'!$J$16*100,"% Interest)")</f>
        <v>Series 2033A Bonds (at 4.5% Interest)</v>
      </c>
      <c r="C55" s="480"/>
      <c r="D55" s="492">
        <f>D54+1</f>
        <v>2033</v>
      </c>
      <c r="E55" s="477">
        <f>IF('Incremental Repayments'!$R$22="Debt",IF(AND(E$4&gt;=$D55,E$4&lt;$D55+'Incremental Repayments'!$I$31),-PMT('Interest Rate'!$J$16,'Incremental Repayments'!$I$31,(HLOOKUP($D55,$E$4:$CZ$32,28,FALSE)*'Incremental Repayments'!$I$22)),0),0)</f>
        <v>0</v>
      </c>
      <c r="F55" s="477">
        <f>IF('Incremental Repayments'!$R$22="Debt",IF(AND(F$4&gt;=$D55,F$4&lt;$D55+'Incremental Repayments'!$I$31),-PMT('Interest Rate'!$J$16,'Incremental Repayments'!$I$31,(HLOOKUP($D55,$E$4:$CZ$32,28,FALSE)*'Incremental Repayments'!$I$22)),0),0)</f>
        <v>0</v>
      </c>
      <c r="G55" s="477">
        <f>IF('Incremental Repayments'!$R$22="Debt",IF(AND(G$4&gt;=$D55,G$4&lt;$D55+'Incremental Repayments'!$I$31),-PMT('Interest Rate'!$J$16,'Incremental Repayments'!$I$31,(HLOOKUP($D55,$E$4:$CZ$32,28,FALSE)*'Incremental Repayments'!$I$22)),0),0)</f>
        <v>0</v>
      </c>
      <c r="H55" s="477">
        <f>IF('Incremental Repayments'!$R$22="Debt",IF(AND(H$4&gt;=$D55,H$4&lt;$D55+'Incremental Repayments'!$I$31),-PMT('Interest Rate'!$J$16,'Incremental Repayments'!$I$31,(HLOOKUP($D55,$E$4:$CZ$32,28,FALSE)*'Incremental Repayments'!$I$22)),0),0)</f>
        <v>0</v>
      </c>
      <c r="I55" s="477">
        <f>IF('Incremental Repayments'!$R$22="Debt",IF(AND(I$4&gt;=$D55,I$4&lt;$D55+'Incremental Repayments'!$I$31),-PMT('Interest Rate'!$J$16,'Incremental Repayments'!$I$31,(HLOOKUP($D55,$E$4:$CZ$32,28,FALSE)*'Incremental Repayments'!$I$22)),0),0)</f>
        <v>0</v>
      </c>
      <c r="J55" s="477">
        <f>IF('Incremental Repayments'!$R$22="Debt",IF(AND(J$4&gt;=$D55,J$4&lt;$D55+'Incremental Repayments'!$I$31),-PMT('Interest Rate'!$J$16,'Incremental Repayments'!$I$31,(HLOOKUP($D55,$E$4:$CZ$32,28,FALSE)*'Incremental Repayments'!$I$22)),0),0)</f>
        <v>0</v>
      </c>
      <c r="K55" s="477">
        <f>IF('Incremental Repayments'!$R$22="Debt",IF(AND(K$4&gt;=$D55,K$4&lt;$D55+'Incremental Repayments'!$I$31),-PMT('Interest Rate'!$J$16,'Incremental Repayments'!$I$31,(HLOOKUP($D55,$E$4:$CZ$32,28,FALSE)*'Incremental Repayments'!$I$22)),0),0)</f>
        <v>0</v>
      </c>
      <c r="L55" s="477">
        <f>IF('Incremental Repayments'!$R$22="Debt",IF(AND(L$4&gt;=$D55,L$4&lt;$D55+'Incremental Repayments'!$I$31),-PMT('Interest Rate'!$J$16,'Incremental Repayments'!$I$31,(HLOOKUP($D55,$E$4:$CZ$32,28,FALSE)*'Incremental Repayments'!$I$22)),0),0)</f>
        <v>0</v>
      </c>
      <c r="M55" s="477">
        <f>IF('Incremental Repayments'!$R$22="Debt",IF(AND(M$4&gt;=$D55,M$4&lt;$D55+'Incremental Repayments'!$I$31),-PMT('Interest Rate'!$J$16,'Incremental Repayments'!$I$31,(HLOOKUP($D55,$E$4:$CZ$32,28,FALSE)*'Incremental Repayments'!$I$22)),0),0)</f>
        <v>0</v>
      </c>
      <c r="N55" s="477">
        <f>IF('Incremental Repayments'!$R$22="Debt",IF(AND(N$4&gt;=$D55,N$4&lt;$D55+'Incremental Repayments'!$I$31),-PMT('Interest Rate'!$J$16,'Incremental Repayments'!$I$31,(HLOOKUP($D55,$E$4:$CZ$32,28,FALSE)*'Incremental Repayments'!$I$22)),0),0)</f>
        <v>0</v>
      </c>
      <c r="O55" s="477">
        <f>IF('Incremental Repayments'!$R$22="Debt",IF(AND(O$4&gt;=$D55,O$4&lt;$D55+'Incremental Repayments'!$I$31),-PMT('Interest Rate'!$J$16,'Incremental Repayments'!$I$31,(HLOOKUP($D55,$E$4:$CZ$32,28,FALSE)*'Incremental Repayments'!$I$22)),0),0)</f>
        <v>0</v>
      </c>
      <c r="P55" s="477">
        <f>IF('Incremental Repayments'!$R$22="Debt",IF(AND(P$4&gt;=$D55,P$4&lt;$D55+'Incremental Repayments'!$I$31),-PMT('Interest Rate'!$J$16,'Incremental Repayments'!$I$31,(HLOOKUP($D55,$E$4:$CZ$32,28,FALSE)*'Incremental Repayments'!$I$22)),0),0)</f>
        <v>0</v>
      </c>
      <c r="Q55" s="477">
        <f>IF('Incremental Repayments'!$R$22="Debt",IF(AND(Q$4&gt;=$D55,Q$4&lt;$D55+'Incremental Repayments'!$I$31),-PMT('Interest Rate'!$J$16,'Incremental Repayments'!$I$31,(HLOOKUP($D55,$E$4:$CZ$32,28,FALSE)*'Incremental Repayments'!$I$22)),0),0)</f>
        <v>0</v>
      </c>
      <c r="R55" s="477">
        <f>IF('Incremental Repayments'!$R$22="Debt",IF(AND(R$4&gt;=$D55,R$4&lt;$D55+'Incremental Repayments'!$I$31),-PMT('Interest Rate'!$J$16,'Incremental Repayments'!$I$31,(HLOOKUP($D55,$E$4:$CZ$32,28,FALSE)*'Incremental Repayments'!$I$22)),0),0)</f>
        <v>0</v>
      </c>
      <c r="S55" s="477">
        <f>IF('Incremental Repayments'!$R$22="Debt",IF(AND(S$4&gt;=$D55,S$4&lt;$D55+'Incremental Repayments'!$I$31),-PMT('Interest Rate'!$J$16,'Incremental Repayments'!$I$31,(HLOOKUP($D55,$E$4:$CZ$32,28,FALSE)*'Incremental Repayments'!$I$22)),0),0)</f>
        <v>0</v>
      </c>
      <c r="T55" s="477">
        <f>IF('Incremental Repayments'!$R$22="Debt",IF(AND(T$4&gt;=$D55,T$4&lt;$D55+'Incremental Repayments'!$I$31),-PMT('Interest Rate'!$J$16,'Incremental Repayments'!$I$31,(HLOOKUP($D55,$E$4:$CZ$32,28,FALSE)*'Incremental Repayments'!$I$22)),0),0)</f>
        <v>0</v>
      </c>
      <c r="U55" s="477">
        <f>IF('Incremental Repayments'!$R$22="Debt",IF(AND(U$4&gt;=$D55,U$4&lt;$D55+'Incremental Repayments'!$I$31),-PMT('Interest Rate'!$J$16,'Incremental Repayments'!$I$31,(HLOOKUP($D55,$E$4:$CZ$32,28,FALSE)*'Incremental Repayments'!$I$22)),0),0)</f>
        <v>0</v>
      </c>
      <c r="V55" s="477">
        <f>IF('Incremental Repayments'!$R$22="Debt",IF(AND(V$4&gt;=$D55,V$4&lt;$D55+'Incremental Repayments'!$I$31),-PMT('Interest Rate'!$J$16,'Incremental Repayments'!$I$31,(HLOOKUP($D55,$E$4:$CZ$32,28,FALSE)*'Incremental Repayments'!$I$22)),0),0)</f>
        <v>0</v>
      </c>
      <c r="W55" s="477">
        <f>IF('Incremental Repayments'!$R$22="Debt",IF(AND(W$4&gt;=$D55,W$4&lt;$D55+'Incremental Repayments'!$I$31),-PMT('Interest Rate'!$J$16,'Incremental Repayments'!$I$31,(HLOOKUP($D55,$E$4:$CZ$32,28,FALSE)*'Incremental Repayments'!$I$22)),0),0)</f>
        <v>0</v>
      </c>
      <c r="X55" s="477">
        <f>IF('Incremental Repayments'!$R$22="Debt",IF(AND(X$4&gt;=$D55,X$4&lt;$D55+'Incremental Repayments'!$I$31),-PMT('Interest Rate'!$J$16,'Incremental Repayments'!$I$31,(HLOOKUP($D55,$E$4:$CZ$32,28,FALSE)*'Incremental Repayments'!$I$22)),0),0)</f>
        <v>636491.33559129469</v>
      </c>
      <c r="Y55" s="477">
        <f>IF('Incremental Repayments'!$R$22="Debt",IF(AND(Y$4&gt;=$D55,Y$4&lt;$D55+'Incremental Repayments'!$I$31),-PMT('Interest Rate'!$J$16,'Incremental Repayments'!$I$31,(HLOOKUP($D55,$E$4:$CZ$32,28,FALSE)*'Incremental Repayments'!$I$22)),0),0)</f>
        <v>636491.33559129469</v>
      </c>
      <c r="Z55" s="477">
        <f>IF('Incremental Repayments'!$R$22="Debt",IF(AND(Z$4&gt;=$D55,Z$4&lt;$D55+'Incremental Repayments'!$I$31),-PMT('Interest Rate'!$J$16,'Incremental Repayments'!$I$31,(HLOOKUP($D55,$E$4:$CZ$32,28,FALSE)*'Incremental Repayments'!$I$22)),0),0)</f>
        <v>636491.33559129469</v>
      </c>
      <c r="AA55" s="477">
        <f>IF('Incremental Repayments'!$R$22="Debt",IF(AND(AA$4&gt;=$D55,AA$4&lt;$D55+'Incremental Repayments'!$I$31),-PMT('Interest Rate'!$J$16,'Incremental Repayments'!$I$31,(HLOOKUP($D55,$E$4:$CZ$32,28,FALSE)*'Incremental Repayments'!$I$22)),0),0)</f>
        <v>636491.33559129469</v>
      </c>
      <c r="AB55" s="477">
        <f>IF('Incremental Repayments'!$R$22="Debt",IF(AND(AB$4&gt;=$D55,AB$4&lt;$D55+'Incremental Repayments'!$I$31),-PMT('Interest Rate'!$J$16,'Incremental Repayments'!$I$31,(HLOOKUP($D55,$E$4:$CZ$32,28,FALSE)*'Incremental Repayments'!$I$22)),0),0)</f>
        <v>636491.33559129469</v>
      </c>
      <c r="AC55" s="477">
        <f>IF('Incremental Repayments'!$R$22="Debt",IF(AND(AC$4&gt;=$D55,AC$4&lt;$D55+'Incremental Repayments'!$I$31),-PMT('Interest Rate'!$J$16,'Incremental Repayments'!$I$31,(HLOOKUP($D55,$E$4:$CZ$32,28,FALSE)*'Incremental Repayments'!$I$22)),0),0)</f>
        <v>636491.33559129469</v>
      </c>
      <c r="AD55" s="477">
        <f>IF('Incremental Repayments'!$R$22="Debt",IF(AND(AD$4&gt;=$D55,AD$4&lt;$D55+'Incremental Repayments'!$I$31),-PMT('Interest Rate'!$J$16,'Incremental Repayments'!$I$31,(HLOOKUP($D55,$E$4:$CZ$32,28,FALSE)*'Incremental Repayments'!$I$22)),0),0)</f>
        <v>636491.33559129469</v>
      </c>
      <c r="AE55" s="477">
        <f>IF('Incremental Repayments'!$R$22="Debt",IF(AND(AE$4&gt;=$D55,AE$4&lt;$D55+'Incremental Repayments'!$I$31),-PMT('Interest Rate'!$J$16,'Incremental Repayments'!$I$31,(HLOOKUP($D55,$E$4:$CZ$32,28,FALSE)*'Incremental Repayments'!$I$22)),0),0)</f>
        <v>636491.33559129469</v>
      </c>
      <c r="AF55" s="477">
        <f>IF('Incremental Repayments'!$R$22="Debt",IF(AND(AF$4&gt;=$D55,AF$4&lt;$D55+'Incremental Repayments'!$I$31),-PMT('Interest Rate'!$J$16,'Incremental Repayments'!$I$31,(HLOOKUP($D55,$E$4:$CZ$32,28,FALSE)*'Incremental Repayments'!$I$22)),0),0)</f>
        <v>636491.33559129469</v>
      </c>
      <c r="AG55" s="477">
        <f>IF('Incremental Repayments'!$R$22="Debt",IF(AND(AG$4&gt;=$D55,AG$4&lt;$D55+'Incremental Repayments'!$I$31),-PMT('Interest Rate'!$J$16,'Incremental Repayments'!$I$31,(HLOOKUP($D55,$E$4:$CZ$32,28,FALSE)*'Incremental Repayments'!$I$22)),0),0)</f>
        <v>636491.33559129469</v>
      </c>
      <c r="AH55" s="477">
        <f>IF('Incremental Repayments'!$R$22="Debt",IF(AND(AH$4&gt;=$D55,AH$4&lt;$D55+'Incremental Repayments'!$I$31),-PMT('Interest Rate'!$J$16,'Incremental Repayments'!$I$31,(HLOOKUP($D55,$E$4:$CZ$32,28,FALSE)*'Incremental Repayments'!$I$22)),0),0)</f>
        <v>636491.33559129469</v>
      </c>
      <c r="AI55" s="477">
        <f>IF('Incremental Repayments'!$R$22="Debt",IF(AND(AI$4&gt;=$D55,AI$4&lt;$D55+'Incremental Repayments'!$I$31),-PMT('Interest Rate'!$J$16,'Incremental Repayments'!$I$31,(HLOOKUP($D55,$E$4:$CZ$32,28,FALSE)*'Incremental Repayments'!$I$22)),0),0)</f>
        <v>636491.33559129469</v>
      </c>
      <c r="AJ55" s="477">
        <f>IF('Incremental Repayments'!$R$22="Debt",IF(AND(AJ$4&gt;=$D55,AJ$4&lt;$D55+'Incremental Repayments'!$I$31),-PMT('Interest Rate'!$J$16,'Incremental Repayments'!$I$31,(HLOOKUP($D55,$E$4:$CZ$32,28,FALSE)*'Incremental Repayments'!$I$22)),0),0)</f>
        <v>636491.33559129469</v>
      </c>
      <c r="AK55" s="477">
        <f>IF('Incremental Repayments'!$R$22="Debt",IF(AND(AK$4&gt;=$D55,AK$4&lt;$D55+'Incremental Repayments'!$I$31),-PMT('Interest Rate'!$J$16,'Incremental Repayments'!$I$31,(HLOOKUP($D55,$E$4:$CZ$32,28,FALSE)*'Incremental Repayments'!$I$22)),0),0)</f>
        <v>636491.33559129469</v>
      </c>
      <c r="AL55" s="477">
        <f>IF('Incremental Repayments'!$R$22="Debt",IF(AND(AL$4&gt;=$D55,AL$4&lt;$D55+'Incremental Repayments'!$I$31),-PMT('Interest Rate'!$J$16,'Incremental Repayments'!$I$31,(HLOOKUP($D55,$E$4:$CZ$32,28,FALSE)*'Incremental Repayments'!$I$22)),0),0)</f>
        <v>636491.33559129469</v>
      </c>
      <c r="AM55" s="477">
        <f>IF('Incremental Repayments'!$R$22="Debt",IF(AND(AM$4&gt;=$D55,AM$4&lt;$D55+'Incremental Repayments'!$I$31),-PMT('Interest Rate'!$J$16,'Incremental Repayments'!$I$31,(HLOOKUP($D55,$E$4:$CZ$32,28,FALSE)*'Incremental Repayments'!$I$22)),0),0)</f>
        <v>636491.33559129469</v>
      </c>
      <c r="AN55" s="477">
        <f>IF('Incremental Repayments'!$R$22="Debt",IF(AND(AN$4&gt;=$D55,AN$4&lt;$D55+'Incremental Repayments'!$I$31),-PMT('Interest Rate'!$J$16,'Incremental Repayments'!$I$31,(HLOOKUP($D55,$E$4:$CZ$32,28,FALSE)*'Incremental Repayments'!$I$22)),0),0)</f>
        <v>636491.33559129469</v>
      </c>
      <c r="AO55" s="477">
        <f>IF('Incremental Repayments'!$R$22="Debt",IF(AND(AO$4&gt;=$D55,AO$4&lt;$D55+'Incremental Repayments'!$I$31),-PMT('Interest Rate'!$J$16,'Incremental Repayments'!$I$31,(HLOOKUP($D55,$E$4:$CZ$32,28,FALSE)*'Incremental Repayments'!$I$22)),0),0)</f>
        <v>636491.33559129469</v>
      </c>
      <c r="AP55" s="477">
        <f>IF('Incremental Repayments'!$R$22="Debt",IF(AND(AP$4&gt;=$D55,AP$4&lt;$D55+'Incremental Repayments'!$I$31),-PMT('Interest Rate'!$J$16,'Incremental Repayments'!$I$31,(HLOOKUP($D55,$E$4:$CZ$32,28,FALSE)*'Incremental Repayments'!$I$22)),0),0)</f>
        <v>636491.33559129469</v>
      </c>
      <c r="AQ55" s="477">
        <f>IF('Incremental Repayments'!$R$22="Debt",IF(AND(AQ$4&gt;=$D55,AQ$4&lt;$D55+'Incremental Repayments'!$I$31),-PMT('Interest Rate'!$J$16,'Incremental Repayments'!$I$31,(HLOOKUP($D55,$E$4:$CZ$32,28,FALSE)*'Incremental Repayments'!$I$22)),0),0)</f>
        <v>636491.33559129469</v>
      </c>
      <c r="AR55" s="477">
        <f>IF('Incremental Repayments'!$R$22="Debt",IF(AND(AR$4&gt;=$D55,AR$4&lt;$D55+'Incremental Repayments'!$I$31),-PMT('Interest Rate'!$J$16,'Incremental Repayments'!$I$31,(HLOOKUP($D55,$E$4:$CZ$32,28,FALSE)*'Incremental Repayments'!$I$22)),0),0)</f>
        <v>636491.33559129469</v>
      </c>
      <c r="AS55" s="477">
        <f>IF('Incremental Repayments'!$R$22="Debt",IF(AND(AS$4&gt;=$D55,AS$4&lt;$D55+'Incremental Repayments'!$I$31),-PMT('Interest Rate'!$J$16,'Incremental Repayments'!$I$31,(HLOOKUP($D55,$E$4:$CZ$32,28,FALSE)*'Incremental Repayments'!$I$22)),0),0)</f>
        <v>636491.33559129469</v>
      </c>
      <c r="AT55" s="477">
        <f>IF('Incremental Repayments'!$R$22="Debt",IF(AND(AT$4&gt;=$D55,AT$4&lt;$D55+'Incremental Repayments'!$I$31),-PMT('Interest Rate'!$J$16,'Incremental Repayments'!$I$31,(HLOOKUP($D55,$E$4:$CZ$32,28,FALSE)*'Incremental Repayments'!$I$22)),0),0)</f>
        <v>636491.33559129469</v>
      </c>
      <c r="AU55" s="477">
        <f>IF('Incremental Repayments'!$R$22="Debt",IF(AND(AU$4&gt;=$D55,AU$4&lt;$D55+'Incremental Repayments'!$I$31),-PMT('Interest Rate'!$J$16,'Incremental Repayments'!$I$31,(HLOOKUP($D55,$E$4:$CZ$32,28,FALSE)*'Incremental Repayments'!$I$22)),0),0)</f>
        <v>636491.33559129469</v>
      </c>
      <c r="AV55" s="477">
        <f>IF('Incremental Repayments'!$R$22="Debt",IF(AND(AV$4&gt;=$D55,AV$4&lt;$D55+'Incremental Repayments'!$I$31),-PMT('Interest Rate'!$J$16,'Incremental Repayments'!$I$31,(HLOOKUP($D55,$E$4:$CZ$32,28,FALSE)*'Incremental Repayments'!$I$22)),0),0)</f>
        <v>636491.33559129469</v>
      </c>
      <c r="AW55" s="477">
        <f>IF('Incremental Repayments'!$R$22="Debt",IF(AND(AW$4&gt;=$D55,AW$4&lt;$D55+'Incremental Repayments'!$I$31),-PMT('Interest Rate'!$J$16,'Incremental Repayments'!$I$31,(HLOOKUP($D55,$E$4:$CZ$32,28,FALSE)*'Incremental Repayments'!$I$22)),0),0)</f>
        <v>636491.33559129469</v>
      </c>
      <c r="AX55" s="477">
        <f>IF('Incremental Repayments'!$R$22="Debt",IF(AND(AX$4&gt;=$D55,AX$4&lt;$D55+'Incremental Repayments'!$I$31),-PMT('Interest Rate'!$J$16,'Incremental Repayments'!$I$31,(HLOOKUP($D55,$E$4:$CZ$32,28,FALSE)*'Incremental Repayments'!$I$22)),0),0)</f>
        <v>636491.33559129469</v>
      </c>
      <c r="AY55" s="477">
        <f>IF('Incremental Repayments'!$R$22="Debt",IF(AND(AY$4&gt;=$D55,AY$4&lt;$D55+'Incremental Repayments'!$I$31),-PMT('Interest Rate'!$J$16,'Incremental Repayments'!$I$31,(HLOOKUP($D55,$E$4:$CZ$32,28,FALSE)*'Incremental Repayments'!$I$22)),0),0)</f>
        <v>636491.33559129469</v>
      </c>
      <c r="AZ55" s="477">
        <f>IF('Incremental Repayments'!$R$22="Debt",IF(AND(AZ$4&gt;=$D55,AZ$4&lt;$D55+'Incremental Repayments'!$I$31),-PMT('Interest Rate'!$J$16,'Incremental Repayments'!$I$31,(HLOOKUP($D55,$E$4:$CZ$32,28,FALSE)*'Incremental Repayments'!$I$22)),0),0)</f>
        <v>636491.33559129469</v>
      </c>
      <c r="BA55" s="477">
        <f>IF('Incremental Repayments'!$R$22="Debt",IF(AND(BA$4&gt;=$D55,BA$4&lt;$D55+'Incremental Repayments'!$I$31),-PMT('Interest Rate'!$J$16,'Incremental Repayments'!$I$31,(HLOOKUP($D55,$E$4:$CZ$32,28,FALSE)*'Incremental Repayments'!$I$22)),0),0)</f>
        <v>636491.33559129469</v>
      </c>
      <c r="BB55" s="477">
        <f>IF('Incremental Repayments'!$R$22="Debt",IF(AND(BB$4&gt;=$D55,BB$4&lt;$D55+'Incremental Repayments'!$I$31),-PMT('Interest Rate'!$J$16,'Incremental Repayments'!$I$31,(HLOOKUP($D55,$E$4:$CZ$32,28,FALSE)*'Incremental Repayments'!$I$22)),0),0)</f>
        <v>0</v>
      </c>
      <c r="BC55" s="477">
        <f>IF('Incremental Repayments'!$R$22="Debt",IF(AND(BC$4&gt;=$D55,BC$4&lt;$D55+'Incremental Repayments'!$I$31),-PMT('Interest Rate'!$J$16,'Incremental Repayments'!$I$31,(HLOOKUP($D55,$E$4:$CZ$32,28,FALSE)*'Incremental Repayments'!$I$22)),0),0)</f>
        <v>0</v>
      </c>
      <c r="BD55" s="477">
        <f>IF('Incremental Repayments'!$R$22="Debt",IF(AND(BD$4&gt;=$D55,BD$4&lt;$D55+'Incremental Repayments'!$I$31),-PMT('Interest Rate'!$J$16,'Incremental Repayments'!$I$31,(HLOOKUP($D55,$E$4:$CZ$32,28,FALSE)*'Incremental Repayments'!$I$22)),0),0)</f>
        <v>0</v>
      </c>
      <c r="BE55" s="477">
        <f>IF('Incremental Repayments'!$R$22="Debt",IF(AND(BE$4&gt;=$D55,BE$4&lt;$D55+'Incremental Repayments'!$I$31),-PMT('Interest Rate'!$J$16,'Incremental Repayments'!$I$31,(HLOOKUP($D55,$E$4:$CZ$32,28,FALSE)*'Incremental Repayments'!$I$22)),0),0)</f>
        <v>0</v>
      </c>
      <c r="BF55" s="477">
        <f>IF('Incremental Repayments'!$R$22="Debt",IF(AND(BF$4&gt;=$D55,BF$4&lt;$D55+'Incremental Repayments'!$I$31),-PMT('Interest Rate'!$J$16,'Incremental Repayments'!$I$31,(HLOOKUP($D55,$E$4:$CZ$32,28,FALSE)*'Incremental Repayments'!$I$22)),0),0)</f>
        <v>0</v>
      </c>
      <c r="BG55" s="477">
        <f>IF('Incremental Repayments'!$R$22="Debt",IF(AND(BG$4&gt;=$D55,BG$4&lt;$D55+'Incremental Repayments'!$I$31),-PMT('Interest Rate'!$J$16,'Incremental Repayments'!$I$31,(HLOOKUP($D55,$E$4:$CZ$32,28,FALSE)*'Incremental Repayments'!$I$22)),0),0)</f>
        <v>0</v>
      </c>
      <c r="BH55" s="477">
        <f>IF('Incremental Repayments'!$R$22="Debt",IF(AND(BH$4&gt;=$D55,BH$4&lt;$D55+'Incremental Repayments'!$I$31),-PMT('Interest Rate'!$J$16,'Incremental Repayments'!$I$31,(HLOOKUP($D55,$E$4:$CZ$32,28,FALSE)*'Incremental Repayments'!$I$22)),0),0)</f>
        <v>0</v>
      </c>
      <c r="BI55" s="477">
        <f>IF('Incremental Repayments'!$R$22="Debt",IF(AND(BI$4&gt;=$D55,BI$4&lt;$D55+'Incremental Repayments'!$I$31),-PMT('Interest Rate'!$J$16,'Incremental Repayments'!$I$31,(HLOOKUP($D55,$E$4:$CZ$32,28,FALSE)*'Incremental Repayments'!$I$22)),0),0)</f>
        <v>0</v>
      </c>
      <c r="BJ55" s="477">
        <f>IF('Incremental Repayments'!$R$22="Debt",IF(AND(BJ$4&gt;=$D55,BJ$4&lt;$D55+'Incremental Repayments'!$I$31),-PMT('Interest Rate'!$J$16,'Incremental Repayments'!$I$31,(HLOOKUP($D55,$E$4:$CZ$32,28,FALSE)*'Incremental Repayments'!$I$22)),0),0)</f>
        <v>0</v>
      </c>
      <c r="BK55" s="477">
        <f>IF('Incremental Repayments'!$R$22="Debt",IF(AND(BK$4&gt;=$D55,BK$4&lt;$D55+'Incremental Repayments'!$I$31),-PMT('Interest Rate'!$J$16,'Incremental Repayments'!$I$31,(HLOOKUP($D55,$E$4:$CZ$32,28,FALSE)*'Incremental Repayments'!$I$22)),0),0)</f>
        <v>0</v>
      </c>
      <c r="BL55" s="477">
        <f>IF('Incremental Repayments'!$R$22="Debt",IF(AND(BL$4&gt;=$D55,BL$4&lt;$D55+'Incremental Repayments'!$I$31),-PMT('Interest Rate'!$J$16,'Incremental Repayments'!$I$31,(HLOOKUP($D55,$E$4:$CZ$32,28,FALSE)*'Incremental Repayments'!$I$22)),0),0)</f>
        <v>0</v>
      </c>
      <c r="BM55" s="477">
        <f>IF('Incremental Repayments'!$R$22="Debt",IF(AND(BM$4&gt;=$D55,BM$4&lt;$D55+'Incremental Repayments'!$I$31),-PMT('Interest Rate'!$J$16,'Incremental Repayments'!$I$31,(HLOOKUP($D55,$E$4:$CZ$32,28,FALSE)*'Incremental Repayments'!$I$22)),0),0)</f>
        <v>0</v>
      </c>
      <c r="BN55" s="477">
        <f>IF('Incremental Repayments'!$R$22="Debt",IF(AND(BN$4&gt;=$D55,BN$4&lt;$D55+'Incremental Repayments'!$I$31),-PMT('Interest Rate'!$J$16,'Incremental Repayments'!$I$31,(HLOOKUP($D55,$E$4:$CZ$32,28,FALSE)*'Incremental Repayments'!$I$22)),0),0)</f>
        <v>0</v>
      </c>
      <c r="BO55" s="477">
        <f>IF('Incremental Repayments'!$R$22="Debt",IF(AND(BO$4&gt;=$D55,BO$4&lt;$D55+'Incremental Repayments'!$I$31),-PMT('Interest Rate'!$J$16,'Incremental Repayments'!$I$31,(HLOOKUP($D55,$E$4:$CZ$32,28,FALSE)*'Incremental Repayments'!$I$22)),0),0)</f>
        <v>0</v>
      </c>
      <c r="BP55" s="477">
        <f>IF('Incremental Repayments'!$R$22="Debt",IF(AND(BP$4&gt;=$D55,BP$4&lt;$D55+'Incremental Repayments'!$I$31),-PMT('Interest Rate'!$J$16,'Incremental Repayments'!$I$31,(HLOOKUP($D55,$E$4:$CZ$32,28,FALSE)*'Incremental Repayments'!$I$22)),0),0)</f>
        <v>0</v>
      </c>
      <c r="BQ55" s="477">
        <f>IF('Incremental Repayments'!$R$22="Debt",IF(AND(BQ$4&gt;=$D55,BQ$4&lt;$D55+'Incremental Repayments'!$I$31),-PMT('Interest Rate'!$J$16,'Incremental Repayments'!$I$31,(HLOOKUP($D55,$E$4:$CZ$32,28,FALSE)*'Incremental Repayments'!$I$22)),0),0)</f>
        <v>0</v>
      </c>
      <c r="BR55" s="477">
        <f>IF('Incremental Repayments'!$R$22="Debt",IF(AND(BR$4&gt;=$D55,BR$4&lt;$D55+'Incremental Repayments'!$I$31),-PMT('Interest Rate'!$J$16,'Incremental Repayments'!$I$31,(HLOOKUP($D55,$E$4:$CZ$32,28,FALSE)*'Incremental Repayments'!$I$22)),0),0)</f>
        <v>0</v>
      </c>
      <c r="BS55" s="477">
        <f>IF('Incremental Repayments'!$R$22="Debt",IF(AND(BS$4&gt;=$D55,BS$4&lt;$D55+'Incremental Repayments'!$I$31),-PMT('Interest Rate'!$J$16,'Incremental Repayments'!$I$31,(HLOOKUP($D55,$E$4:$CZ$32,28,FALSE)*'Incremental Repayments'!$I$22)),0),0)</f>
        <v>0</v>
      </c>
      <c r="BT55" s="477">
        <f>IF('Incremental Repayments'!$R$22="Debt",IF(AND(BT$4&gt;=$D55,BT$4&lt;$D55+'Incremental Repayments'!$I$31),-PMT('Interest Rate'!$J$16,'Incremental Repayments'!$I$31,(HLOOKUP($D55,$E$4:$CZ$32,28,FALSE)*'Incremental Repayments'!$I$22)),0),0)</f>
        <v>0</v>
      </c>
      <c r="BU55" s="477">
        <f>IF('Incremental Repayments'!$R$22="Debt",IF(AND(BU$4&gt;=$D55,BU$4&lt;$D55+'Incremental Repayments'!$I$31),-PMT('Interest Rate'!$J$16,'Incremental Repayments'!$I$31,(HLOOKUP($D55,$E$4:$CZ$32,28,FALSE)*'Incremental Repayments'!$I$22)),0),0)</f>
        <v>0</v>
      </c>
      <c r="BV55" s="477">
        <f>IF('Incremental Repayments'!$R$22="Debt",IF(AND(BV$4&gt;=$D55,BV$4&lt;$D55+'Incremental Repayments'!$I$31),-PMT('Interest Rate'!$J$16,'Incremental Repayments'!$I$31,(HLOOKUP($D55,$E$4:$CZ$32,28,FALSE)*'Incremental Repayments'!$I$22)),0),0)</f>
        <v>0</v>
      </c>
      <c r="BW55" s="477">
        <f>IF('Incremental Repayments'!$R$22="Debt",IF(AND(BW$4&gt;=$D55,BW$4&lt;$D55+'Incremental Repayments'!$I$31),-PMT('Interest Rate'!$J$16,'Incremental Repayments'!$I$31,(HLOOKUP($D55,$E$4:$CZ$32,28,FALSE)*'Incremental Repayments'!$I$22)),0),0)</f>
        <v>0</v>
      </c>
      <c r="BX55" s="477">
        <f>IF('Incremental Repayments'!$R$22="Debt",IF(AND(BX$4&gt;=$D55,BX$4&lt;$D55+'Incremental Repayments'!$I$31),-PMT('Interest Rate'!$J$16,'Incremental Repayments'!$I$31,(HLOOKUP($D55,$E$4:$CZ$32,28,FALSE)*'Incremental Repayments'!$I$22)),0),0)</f>
        <v>0</v>
      </c>
      <c r="BY55" s="477">
        <f>IF('Incremental Repayments'!$R$22="Debt",IF(AND(BY$4&gt;=$D55,BY$4&lt;$D55+'Incremental Repayments'!$I$31),-PMT('Interest Rate'!$J$16,'Incremental Repayments'!$I$31,(HLOOKUP($D55,$E$4:$CZ$32,28,FALSE)*'Incremental Repayments'!$I$22)),0),0)</f>
        <v>0</v>
      </c>
      <c r="BZ55" s="477">
        <f>IF('Incremental Repayments'!$R$22="Debt",IF(AND(BZ$4&gt;=$D55,BZ$4&lt;$D55+'Incremental Repayments'!$I$31),-PMT('Interest Rate'!$J$16,'Incremental Repayments'!$I$31,(HLOOKUP($D55,$E$4:$CZ$32,28,FALSE)*'Incremental Repayments'!$I$22)),0),0)</f>
        <v>0</v>
      </c>
      <c r="CA55" s="477">
        <f>IF('Incremental Repayments'!$R$22="Debt",IF(AND(CA$4&gt;=$D55,CA$4&lt;$D55+'Incremental Repayments'!$I$31),-PMT('Interest Rate'!$J$16,'Incremental Repayments'!$I$31,(HLOOKUP($D55,$E$4:$CZ$32,28,FALSE)*'Incremental Repayments'!$I$22)),0),0)</f>
        <v>0</v>
      </c>
      <c r="CB55" s="477">
        <f>IF('Incremental Repayments'!$R$22="Debt",IF(AND(CB$4&gt;=$D55,CB$4&lt;$D55+'Incremental Repayments'!$I$31),-PMT('Interest Rate'!$J$16,'Incremental Repayments'!$I$31,(HLOOKUP($D55,$E$4:$CZ$32,28,FALSE)*'Incremental Repayments'!$I$22)),0),0)</f>
        <v>0</v>
      </c>
      <c r="CC55" s="477">
        <f>IF('Incremental Repayments'!$R$22="Debt",IF(AND(CC$4&gt;=$D55,CC$4&lt;$D55+'Incremental Repayments'!$I$31),-PMT('Interest Rate'!$J$16,'Incremental Repayments'!$I$31,(HLOOKUP($D55,$E$4:$CZ$32,28,FALSE)*'Incremental Repayments'!$I$22)),0),0)</f>
        <v>0</v>
      </c>
      <c r="CD55" s="477">
        <f>IF('Incremental Repayments'!$R$22="Debt",IF(AND(CD$4&gt;=$D55,CD$4&lt;$D55+'Incremental Repayments'!$I$31),-PMT('Interest Rate'!$J$16,'Incremental Repayments'!$I$31,(HLOOKUP($D55,$E$4:$CZ$32,28,FALSE)*'Incremental Repayments'!$I$22)),0),0)</f>
        <v>0</v>
      </c>
      <c r="CE55" s="477">
        <f>IF('Incremental Repayments'!$R$22="Debt",IF(AND(CE$4&gt;=$D55,CE$4&lt;$D55+'Incremental Repayments'!$I$31),-PMT('Interest Rate'!$J$16,'Incremental Repayments'!$I$31,(HLOOKUP($D55,$E$4:$CZ$32,28,FALSE)*'Incremental Repayments'!$I$22)),0),0)</f>
        <v>0</v>
      </c>
      <c r="CF55" s="477">
        <f>IF('Incremental Repayments'!$R$22="Debt",IF(AND(CF$4&gt;=$D55,CF$4&lt;$D55+'Incremental Repayments'!$I$31),-PMT('Interest Rate'!$J$16,'Incremental Repayments'!$I$31,(HLOOKUP($D55,$E$4:$CZ$32,28,FALSE)*'Incremental Repayments'!$I$22)),0),0)</f>
        <v>0</v>
      </c>
      <c r="CG55" s="477">
        <f>IF('Incremental Repayments'!$R$22="Debt",IF(AND(CG$4&gt;=$D55,CG$4&lt;$D55+'Incremental Repayments'!$I$31),-PMT('Interest Rate'!$J$16,'Incremental Repayments'!$I$31,(HLOOKUP($D55,$E$4:$CZ$32,28,FALSE)*'Incremental Repayments'!$I$22)),0),0)</f>
        <v>0</v>
      </c>
      <c r="CH55" s="477">
        <f>IF('Incremental Repayments'!$R$22="Debt",IF(AND(CH$4&gt;=$D55,CH$4&lt;$D55+'Incremental Repayments'!$I$31),-PMT('Interest Rate'!$J$16,'Incremental Repayments'!$I$31,(HLOOKUP($D55,$E$4:$CZ$32,28,FALSE)*'Incremental Repayments'!$I$22)),0),0)</f>
        <v>0</v>
      </c>
      <c r="CI55" s="477">
        <f>IF('Incremental Repayments'!$R$22="Debt",IF(AND(CI$4&gt;=$D55,CI$4&lt;$D55+'Incremental Repayments'!$I$31),-PMT('Interest Rate'!$J$16,'Incremental Repayments'!$I$31,(HLOOKUP($D55,$E$4:$CZ$32,28,FALSE)*'Incremental Repayments'!$I$22)),0),0)</f>
        <v>0</v>
      </c>
      <c r="CJ55" s="477">
        <f>IF('Incremental Repayments'!$R$22="Debt",IF(AND(CJ$4&gt;=$D55,CJ$4&lt;$D55+'Incremental Repayments'!$I$31),-PMT('Interest Rate'!$J$16,'Incremental Repayments'!$I$31,(HLOOKUP($D55,$E$4:$CZ$32,28,FALSE)*'Incremental Repayments'!$I$22)),0),0)</f>
        <v>0</v>
      </c>
      <c r="CK55" s="477">
        <f>IF('Incremental Repayments'!$R$22="Debt",IF(AND(CK$4&gt;=$D55,CK$4&lt;$D55+'Incremental Repayments'!$I$31),-PMT('Interest Rate'!$J$16,'Incremental Repayments'!$I$31,(HLOOKUP($D55,$E$4:$CZ$32,28,FALSE)*'Incremental Repayments'!$I$22)),0),0)</f>
        <v>0</v>
      </c>
      <c r="CL55" s="477">
        <f>IF('Incremental Repayments'!$R$22="Debt",IF(AND(CL$4&gt;=$D55,CL$4&lt;$D55+'Incremental Repayments'!$I$31),-PMT('Interest Rate'!$J$16,'Incremental Repayments'!$I$31,(HLOOKUP($D55,$E$4:$CZ$32,28,FALSE)*'Incremental Repayments'!$I$22)),0),0)</f>
        <v>0</v>
      </c>
      <c r="CM55" s="477">
        <f>IF('Incremental Repayments'!$R$22="Debt",IF(AND(CM$4&gt;=$D55,CM$4&lt;$D55+'Incremental Repayments'!$I$31),-PMT('Interest Rate'!$J$16,'Incremental Repayments'!$I$31,(HLOOKUP($D55,$E$4:$CZ$32,28,FALSE)*'Incremental Repayments'!$I$22)),0),0)</f>
        <v>0</v>
      </c>
      <c r="CN55" s="477">
        <f>IF('Incremental Repayments'!$R$22="Debt",IF(AND(CN$4&gt;=$D55,CN$4&lt;$D55+'Incremental Repayments'!$I$31),-PMT('Interest Rate'!$J$16,'Incremental Repayments'!$I$31,(HLOOKUP($D55,$E$4:$CZ$32,28,FALSE)*'Incremental Repayments'!$I$22)),0),0)</f>
        <v>0</v>
      </c>
      <c r="CO55" s="477">
        <f>IF('Incremental Repayments'!$R$22="Debt",IF(AND(CO$4&gt;=$D55,CO$4&lt;$D55+'Incremental Repayments'!$I$31),-PMT('Interest Rate'!$J$16,'Incremental Repayments'!$I$31,(HLOOKUP($D55,$E$4:$CZ$32,28,FALSE)*'Incremental Repayments'!$I$22)),0),0)</f>
        <v>0</v>
      </c>
      <c r="CP55" s="477">
        <f>IF('Incremental Repayments'!$R$22="Debt",IF(AND(CP$4&gt;=$D55,CP$4&lt;$D55+'Incremental Repayments'!$I$31),-PMT('Interest Rate'!$J$16,'Incremental Repayments'!$I$31,(HLOOKUP($D55,$E$4:$CZ$32,28,FALSE)*'Incremental Repayments'!$I$22)),0),0)</f>
        <v>0</v>
      </c>
      <c r="CQ55" s="477">
        <f>IF('Incremental Repayments'!$R$22="Debt",IF(AND(CQ$4&gt;=$D55,CQ$4&lt;$D55+'Incremental Repayments'!$I$31),-PMT('Interest Rate'!$J$16,'Incremental Repayments'!$I$31,(HLOOKUP($D55,$E$4:$CZ$32,28,FALSE)*'Incremental Repayments'!$I$22)),0),0)</f>
        <v>0</v>
      </c>
      <c r="CR55" s="477">
        <f>IF('Incremental Repayments'!$R$22="Debt",IF(AND(CR$4&gt;=$D55,CR$4&lt;$D55+'Incremental Repayments'!$I$31),-PMT('Interest Rate'!$J$16,'Incremental Repayments'!$I$31,(HLOOKUP($D55,$E$4:$CZ$32,28,FALSE)*'Incremental Repayments'!$I$22)),0),0)</f>
        <v>0</v>
      </c>
      <c r="CS55" s="477">
        <f>IF('Incremental Repayments'!$R$22="Debt",IF(AND(CS$4&gt;=$D55,CS$4&lt;$D55+'Incremental Repayments'!$I$31),-PMT('Interest Rate'!$J$16,'Incremental Repayments'!$I$31,(HLOOKUP($D55,$E$4:$CZ$32,28,FALSE)*'Incremental Repayments'!$I$22)),0),0)</f>
        <v>0</v>
      </c>
      <c r="CT55" s="477">
        <f>IF('Incremental Repayments'!$R$22="Debt",IF(AND(CT$4&gt;=$D55,CT$4&lt;$D55+'Incremental Repayments'!$I$31),-PMT('Interest Rate'!$J$16,'Incremental Repayments'!$I$31,(HLOOKUP($D55,$E$4:$CZ$32,28,FALSE)*'Incremental Repayments'!$I$22)),0),0)</f>
        <v>0</v>
      </c>
      <c r="CU55" s="477">
        <f>IF('Incremental Repayments'!$R$22="Debt",IF(AND(CU$4&gt;=$D55,CU$4&lt;$D55+'Incremental Repayments'!$I$31),-PMT('Interest Rate'!$J$16,'Incremental Repayments'!$I$31,(HLOOKUP($D55,$E$4:$CZ$32,28,FALSE)*'Incremental Repayments'!$I$22)),0),0)</f>
        <v>0</v>
      </c>
      <c r="CV55" s="477">
        <f>IF('Incremental Repayments'!$R$22="Debt",IF(AND(CV$4&gt;=$D55,CV$4&lt;$D55+'Incremental Repayments'!$I$31),-PMT('Interest Rate'!$J$16,'Incremental Repayments'!$I$31,(HLOOKUP($D55,$E$4:$CZ$32,28,FALSE)*'Incremental Repayments'!$I$22)),0),0)</f>
        <v>0</v>
      </c>
      <c r="CW55" s="477">
        <f>IF('Incremental Repayments'!$R$22="Debt",IF(AND(CW$4&gt;=$D55,CW$4&lt;$D55+'Incremental Repayments'!$I$31),-PMT('Interest Rate'!$J$16,'Incremental Repayments'!$I$31,(HLOOKUP($D55,$E$4:$CZ$32,28,FALSE)*'Incremental Repayments'!$I$22)),0),0)</f>
        <v>0</v>
      </c>
      <c r="CX55" s="477">
        <f>IF('Incremental Repayments'!$R$22="Debt",IF(AND(CX$4&gt;=$D55,CX$4&lt;$D55+'Incremental Repayments'!$I$31),-PMT('Interest Rate'!$J$16,'Incremental Repayments'!$I$31,(HLOOKUP($D55,$E$4:$CZ$32,28,FALSE)*'Incremental Repayments'!$I$22)),0),0)</f>
        <v>0</v>
      </c>
      <c r="CY55" s="477">
        <f>IF('Incremental Repayments'!$R$22="Debt",IF(AND(CY$4&gt;=$D55,CY$4&lt;$D55+'Incremental Repayments'!$I$31),-PMT('Interest Rate'!$J$16,'Incremental Repayments'!$I$31,(HLOOKUP($D55,$E$4:$CZ$32,28,FALSE)*'Incremental Repayments'!$I$22)),0),0)</f>
        <v>0</v>
      </c>
      <c r="CZ55" s="477">
        <f>IF('Incremental Repayments'!$R$22="Debt",IF(AND(CZ$4&gt;=$D55,CZ$4&lt;$D55+'Incremental Repayments'!$I$31),-PMT('Interest Rate'!$J$16,'Incremental Repayments'!$I$31,(HLOOKUP($D55,$E$4:$CZ$32,28,FALSE)*'Incremental Repayments'!$I$22)),0),0)</f>
        <v>0</v>
      </c>
    </row>
    <row r="56" spans="1:104" x14ac:dyDescent="0.25">
      <c r="B56" s="480" t="str">
        <f>CONCATENATE("Series ",D56,"A Bonds (at ",'Interest Rate'!$J$16*100,"% Interest)")</f>
        <v>Series 2034A Bonds (at 4.5% Interest)</v>
      </c>
      <c r="C56" s="480"/>
      <c r="D56" s="492">
        <f t="shared" ref="D56:D73" si="492">D55+1</f>
        <v>2034</v>
      </c>
      <c r="E56" s="477">
        <f>IF('Incremental Repayments'!$R$22="Debt",IF(AND(E$4&gt;=$D56,E$4&lt;$D56+'Incremental Repayments'!$I$31),-PMT('Interest Rate'!$J$16,'Incremental Repayments'!$I$31,(HLOOKUP($D56,$E$4:$CZ$32,28,FALSE)*'Incremental Repayments'!$I$22)),0),0)</f>
        <v>0</v>
      </c>
      <c r="F56" s="477">
        <f>IF('Incremental Repayments'!$R$22="Debt",IF(AND(F$4&gt;=$D56,F$4&lt;$D56+'Incremental Repayments'!$I$31),-PMT('Interest Rate'!$J$16,'Incremental Repayments'!$I$31,(HLOOKUP($D56,$E$4:$CZ$32,28,FALSE)*'Incremental Repayments'!$I$22)),0),0)</f>
        <v>0</v>
      </c>
      <c r="G56" s="477">
        <f>IF('Incremental Repayments'!$R$22="Debt",IF(AND(G$4&gt;=$D56,G$4&lt;$D56+'Incremental Repayments'!$I$31),-PMT('Interest Rate'!$J$16,'Incremental Repayments'!$I$31,(HLOOKUP($D56,$E$4:$CZ$32,28,FALSE)*'Incremental Repayments'!$I$22)),0),0)</f>
        <v>0</v>
      </c>
      <c r="H56" s="477">
        <f>IF('Incremental Repayments'!$R$22="Debt",IF(AND(H$4&gt;=$D56,H$4&lt;$D56+'Incremental Repayments'!$I$31),-PMT('Interest Rate'!$J$16,'Incremental Repayments'!$I$31,(HLOOKUP($D56,$E$4:$CZ$32,28,FALSE)*'Incremental Repayments'!$I$22)),0),0)</f>
        <v>0</v>
      </c>
      <c r="I56" s="477">
        <f>IF('Incremental Repayments'!$R$22="Debt",IF(AND(I$4&gt;=$D56,I$4&lt;$D56+'Incremental Repayments'!$I$31),-PMT('Interest Rate'!$J$16,'Incremental Repayments'!$I$31,(HLOOKUP($D56,$E$4:$CZ$32,28,FALSE)*'Incremental Repayments'!$I$22)),0),0)</f>
        <v>0</v>
      </c>
      <c r="J56" s="477">
        <f>IF('Incremental Repayments'!$R$22="Debt",IF(AND(J$4&gt;=$D56,J$4&lt;$D56+'Incremental Repayments'!$I$31),-PMT('Interest Rate'!$J$16,'Incremental Repayments'!$I$31,(HLOOKUP($D56,$E$4:$CZ$32,28,FALSE)*'Incremental Repayments'!$I$22)),0),0)</f>
        <v>0</v>
      </c>
      <c r="K56" s="477">
        <f>IF('Incremental Repayments'!$R$22="Debt",IF(AND(K$4&gt;=$D56,K$4&lt;$D56+'Incremental Repayments'!$I$31),-PMT('Interest Rate'!$J$16,'Incremental Repayments'!$I$31,(HLOOKUP($D56,$E$4:$CZ$32,28,FALSE)*'Incremental Repayments'!$I$22)),0),0)</f>
        <v>0</v>
      </c>
      <c r="L56" s="477">
        <f>IF('Incremental Repayments'!$R$22="Debt",IF(AND(L$4&gt;=$D56,L$4&lt;$D56+'Incremental Repayments'!$I$31),-PMT('Interest Rate'!$J$16,'Incremental Repayments'!$I$31,(HLOOKUP($D56,$E$4:$CZ$32,28,FALSE)*'Incremental Repayments'!$I$22)),0),0)</f>
        <v>0</v>
      </c>
      <c r="M56" s="477">
        <f>IF('Incremental Repayments'!$R$22="Debt",IF(AND(M$4&gt;=$D56,M$4&lt;$D56+'Incremental Repayments'!$I$31),-PMT('Interest Rate'!$J$16,'Incremental Repayments'!$I$31,(HLOOKUP($D56,$E$4:$CZ$32,28,FALSE)*'Incremental Repayments'!$I$22)),0),0)</f>
        <v>0</v>
      </c>
      <c r="N56" s="477">
        <f>IF('Incremental Repayments'!$R$22="Debt",IF(AND(N$4&gt;=$D56,N$4&lt;$D56+'Incremental Repayments'!$I$31),-PMT('Interest Rate'!$J$16,'Incremental Repayments'!$I$31,(HLOOKUP($D56,$E$4:$CZ$32,28,FALSE)*'Incremental Repayments'!$I$22)),0),0)</f>
        <v>0</v>
      </c>
      <c r="O56" s="477">
        <f>IF('Incremental Repayments'!$R$22="Debt",IF(AND(O$4&gt;=$D56,O$4&lt;$D56+'Incremental Repayments'!$I$31),-PMT('Interest Rate'!$J$16,'Incremental Repayments'!$I$31,(HLOOKUP($D56,$E$4:$CZ$32,28,FALSE)*'Incremental Repayments'!$I$22)),0),0)</f>
        <v>0</v>
      </c>
      <c r="P56" s="477">
        <f>IF('Incremental Repayments'!$R$22="Debt",IF(AND(P$4&gt;=$D56,P$4&lt;$D56+'Incremental Repayments'!$I$31),-PMT('Interest Rate'!$J$16,'Incremental Repayments'!$I$31,(HLOOKUP($D56,$E$4:$CZ$32,28,FALSE)*'Incremental Repayments'!$I$22)),0),0)</f>
        <v>0</v>
      </c>
      <c r="Q56" s="477">
        <f>IF('Incremental Repayments'!$R$22="Debt",IF(AND(Q$4&gt;=$D56,Q$4&lt;$D56+'Incremental Repayments'!$I$31),-PMT('Interest Rate'!$J$16,'Incremental Repayments'!$I$31,(HLOOKUP($D56,$E$4:$CZ$32,28,FALSE)*'Incremental Repayments'!$I$22)),0),0)</f>
        <v>0</v>
      </c>
      <c r="R56" s="477">
        <f>IF('Incremental Repayments'!$R$22="Debt",IF(AND(R$4&gt;=$D56,R$4&lt;$D56+'Incremental Repayments'!$I$31),-PMT('Interest Rate'!$J$16,'Incremental Repayments'!$I$31,(HLOOKUP($D56,$E$4:$CZ$32,28,FALSE)*'Incremental Repayments'!$I$22)),0),0)</f>
        <v>0</v>
      </c>
      <c r="S56" s="477">
        <f>IF('Incremental Repayments'!$R$22="Debt",IF(AND(S$4&gt;=$D56,S$4&lt;$D56+'Incremental Repayments'!$I$31),-PMT('Interest Rate'!$J$16,'Incremental Repayments'!$I$31,(HLOOKUP($D56,$E$4:$CZ$32,28,FALSE)*'Incremental Repayments'!$I$22)),0),0)</f>
        <v>0</v>
      </c>
      <c r="T56" s="477">
        <f>IF('Incremental Repayments'!$R$22="Debt",IF(AND(T$4&gt;=$D56,T$4&lt;$D56+'Incremental Repayments'!$I$31),-PMT('Interest Rate'!$J$16,'Incremental Repayments'!$I$31,(HLOOKUP($D56,$E$4:$CZ$32,28,FALSE)*'Incremental Repayments'!$I$22)),0),0)</f>
        <v>0</v>
      </c>
      <c r="U56" s="477">
        <f>IF('Incremental Repayments'!$R$22="Debt",IF(AND(U$4&gt;=$D56,U$4&lt;$D56+'Incremental Repayments'!$I$31),-PMT('Interest Rate'!$J$16,'Incremental Repayments'!$I$31,(HLOOKUP($D56,$E$4:$CZ$32,28,FALSE)*'Incremental Repayments'!$I$22)),0),0)</f>
        <v>0</v>
      </c>
      <c r="V56" s="477">
        <f>IF('Incremental Repayments'!$R$22="Debt",IF(AND(V$4&gt;=$D56,V$4&lt;$D56+'Incremental Repayments'!$I$31),-PMT('Interest Rate'!$J$16,'Incremental Repayments'!$I$31,(HLOOKUP($D56,$E$4:$CZ$32,28,FALSE)*'Incremental Repayments'!$I$22)),0),0)</f>
        <v>0</v>
      </c>
      <c r="W56" s="477">
        <f>IF('Incremental Repayments'!$R$22="Debt",IF(AND(W$4&gt;=$D56,W$4&lt;$D56+'Incremental Repayments'!$I$31),-PMT('Interest Rate'!$J$16,'Incremental Repayments'!$I$31,(HLOOKUP($D56,$E$4:$CZ$32,28,FALSE)*'Incremental Repayments'!$I$22)),0),0)</f>
        <v>0</v>
      </c>
      <c r="X56" s="477">
        <f>IF('Incremental Repayments'!$R$22="Debt",IF(AND(X$4&gt;=$D56,X$4&lt;$D56+'Incremental Repayments'!$I$31),-PMT('Interest Rate'!$J$16,'Incremental Repayments'!$I$31,(HLOOKUP($D56,$E$4:$CZ$32,28,FALSE)*'Incremental Repayments'!$I$22)),0),0)</f>
        <v>0</v>
      </c>
      <c r="Y56" s="477">
        <f>IF('Incremental Repayments'!$R$22="Debt",IF(AND(Y$4&gt;=$D56,Y$4&lt;$D56+'Incremental Repayments'!$I$31),-PMT('Interest Rate'!$J$16,'Incremental Repayments'!$I$31,(HLOOKUP($D56,$E$4:$CZ$32,28,FALSE)*'Incremental Repayments'!$I$22)),0),0)</f>
        <v>652786.85094911407</v>
      </c>
      <c r="Z56" s="477">
        <f>IF('Incremental Repayments'!$R$22="Debt",IF(AND(Z$4&gt;=$D56,Z$4&lt;$D56+'Incremental Repayments'!$I$31),-PMT('Interest Rate'!$J$16,'Incremental Repayments'!$I$31,(HLOOKUP($D56,$E$4:$CZ$32,28,FALSE)*'Incremental Repayments'!$I$22)),0),0)</f>
        <v>652786.85094911407</v>
      </c>
      <c r="AA56" s="477">
        <f>IF('Incremental Repayments'!$R$22="Debt",IF(AND(AA$4&gt;=$D56,AA$4&lt;$D56+'Incremental Repayments'!$I$31),-PMT('Interest Rate'!$J$16,'Incremental Repayments'!$I$31,(HLOOKUP($D56,$E$4:$CZ$32,28,FALSE)*'Incremental Repayments'!$I$22)),0),0)</f>
        <v>652786.85094911407</v>
      </c>
      <c r="AB56" s="477">
        <f>IF('Incremental Repayments'!$R$22="Debt",IF(AND(AB$4&gt;=$D56,AB$4&lt;$D56+'Incremental Repayments'!$I$31),-PMT('Interest Rate'!$J$16,'Incremental Repayments'!$I$31,(HLOOKUP($D56,$E$4:$CZ$32,28,FALSE)*'Incremental Repayments'!$I$22)),0),0)</f>
        <v>652786.85094911407</v>
      </c>
      <c r="AC56" s="477">
        <f>IF('Incremental Repayments'!$R$22="Debt",IF(AND(AC$4&gt;=$D56,AC$4&lt;$D56+'Incremental Repayments'!$I$31),-PMT('Interest Rate'!$J$16,'Incremental Repayments'!$I$31,(HLOOKUP($D56,$E$4:$CZ$32,28,FALSE)*'Incremental Repayments'!$I$22)),0),0)</f>
        <v>652786.85094911407</v>
      </c>
      <c r="AD56" s="477">
        <f>IF('Incremental Repayments'!$R$22="Debt",IF(AND(AD$4&gt;=$D56,AD$4&lt;$D56+'Incremental Repayments'!$I$31),-PMT('Interest Rate'!$J$16,'Incremental Repayments'!$I$31,(HLOOKUP($D56,$E$4:$CZ$32,28,FALSE)*'Incremental Repayments'!$I$22)),0),0)</f>
        <v>652786.85094911407</v>
      </c>
      <c r="AE56" s="477">
        <f>IF('Incremental Repayments'!$R$22="Debt",IF(AND(AE$4&gt;=$D56,AE$4&lt;$D56+'Incremental Repayments'!$I$31),-PMT('Interest Rate'!$J$16,'Incremental Repayments'!$I$31,(HLOOKUP($D56,$E$4:$CZ$32,28,FALSE)*'Incremental Repayments'!$I$22)),0),0)</f>
        <v>652786.85094911407</v>
      </c>
      <c r="AF56" s="477">
        <f>IF('Incremental Repayments'!$R$22="Debt",IF(AND(AF$4&gt;=$D56,AF$4&lt;$D56+'Incremental Repayments'!$I$31),-PMT('Interest Rate'!$J$16,'Incremental Repayments'!$I$31,(HLOOKUP($D56,$E$4:$CZ$32,28,FALSE)*'Incremental Repayments'!$I$22)),0),0)</f>
        <v>652786.85094911407</v>
      </c>
      <c r="AG56" s="477">
        <f>IF('Incremental Repayments'!$R$22="Debt",IF(AND(AG$4&gt;=$D56,AG$4&lt;$D56+'Incremental Repayments'!$I$31),-PMT('Interest Rate'!$J$16,'Incremental Repayments'!$I$31,(HLOOKUP($D56,$E$4:$CZ$32,28,FALSE)*'Incremental Repayments'!$I$22)),0),0)</f>
        <v>652786.85094911407</v>
      </c>
      <c r="AH56" s="477">
        <f>IF('Incremental Repayments'!$R$22="Debt",IF(AND(AH$4&gt;=$D56,AH$4&lt;$D56+'Incremental Repayments'!$I$31),-PMT('Interest Rate'!$J$16,'Incremental Repayments'!$I$31,(HLOOKUP($D56,$E$4:$CZ$32,28,FALSE)*'Incremental Repayments'!$I$22)),0),0)</f>
        <v>652786.85094911407</v>
      </c>
      <c r="AI56" s="477">
        <f>IF('Incremental Repayments'!$R$22="Debt",IF(AND(AI$4&gt;=$D56,AI$4&lt;$D56+'Incremental Repayments'!$I$31),-PMT('Interest Rate'!$J$16,'Incremental Repayments'!$I$31,(HLOOKUP($D56,$E$4:$CZ$32,28,FALSE)*'Incremental Repayments'!$I$22)),0),0)</f>
        <v>652786.85094911407</v>
      </c>
      <c r="AJ56" s="477">
        <f>IF('Incremental Repayments'!$R$22="Debt",IF(AND(AJ$4&gt;=$D56,AJ$4&lt;$D56+'Incremental Repayments'!$I$31),-PMT('Interest Rate'!$J$16,'Incremental Repayments'!$I$31,(HLOOKUP($D56,$E$4:$CZ$32,28,FALSE)*'Incremental Repayments'!$I$22)),0),0)</f>
        <v>652786.85094911407</v>
      </c>
      <c r="AK56" s="477">
        <f>IF('Incremental Repayments'!$R$22="Debt",IF(AND(AK$4&gt;=$D56,AK$4&lt;$D56+'Incremental Repayments'!$I$31),-PMT('Interest Rate'!$J$16,'Incremental Repayments'!$I$31,(HLOOKUP($D56,$E$4:$CZ$32,28,FALSE)*'Incremental Repayments'!$I$22)),0),0)</f>
        <v>652786.85094911407</v>
      </c>
      <c r="AL56" s="477">
        <f>IF('Incremental Repayments'!$R$22="Debt",IF(AND(AL$4&gt;=$D56,AL$4&lt;$D56+'Incremental Repayments'!$I$31),-PMT('Interest Rate'!$J$16,'Incremental Repayments'!$I$31,(HLOOKUP($D56,$E$4:$CZ$32,28,FALSE)*'Incremental Repayments'!$I$22)),0),0)</f>
        <v>652786.85094911407</v>
      </c>
      <c r="AM56" s="477">
        <f>IF('Incremental Repayments'!$R$22="Debt",IF(AND(AM$4&gt;=$D56,AM$4&lt;$D56+'Incremental Repayments'!$I$31),-PMT('Interest Rate'!$J$16,'Incremental Repayments'!$I$31,(HLOOKUP($D56,$E$4:$CZ$32,28,FALSE)*'Incremental Repayments'!$I$22)),0),0)</f>
        <v>652786.85094911407</v>
      </c>
      <c r="AN56" s="477">
        <f>IF('Incremental Repayments'!$R$22="Debt",IF(AND(AN$4&gt;=$D56,AN$4&lt;$D56+'Incremental Repayments'!$I$31),-PMT('Interest Rate'!$J$16,'Incremental Repayments'!$I$31,(HLOOKUP($D56,$E$4:$CZ$32,28,FALSE)*'Incremental Repayments'!$I$22)),0),0)</f>
        <v>652786.85094911407</v>
      </c>
      <c r="AO56" s="477">
        <f>IF('Incremental Repayments'!$R$22="Debt",IF(AND(AO$4&gt;=$D56,AO$4&lt;$D56+'Incremental Repayments'!$I$31),-PMT('Interest Rate'!$J$16,'Incremental Repayments'!$I$31,(HLOOKUP($D56,$E$4:$CZ$32,28,FALSE)*'Incremental Repayments'!$I$22)),0),0)</f>
        <v>652786.85094911407</v>
      </c>
      <c r="AP56" s="477">
        <f>IF('Incremental Repayments'!$R$22="Debt",IF(AND(AP$4&gt;=$D56,AP$4&lt;$D56+'Incremental Repayments'!$I$31),-PMT('Interest Rate'!$J$16,'Incremental Repayments'!$I$31,(HLOOKUP($D56,$E$4:$CZ$32,28,FALSE)*'Incremental Repayments'!$I$22)),0),0)</f>
        <v>652786.85094911407</v>
      </c>
      <c r="AQ56" s="477">
        <f>IF('Incremental Repayments'!$R$22="Debt",IF(AND(AQ$4&gt;=$D56,AQ$4&lt;$D56+'Incremental Repayments'!$I$31),-PMT('Interest Rate'!$J$16,'Incremental Repayments'!$I$31,(HLOOKUP($D56,$E$4:$CZ$32,28,FALSE)*'Incremental Repayments'!$I$22)),0),0)</f>
        <v>652786.85094911407</v>
      </c>
      <c r="AR56" s="477">
        <f>IF('Incremental Repayments'!$R$22="Debt",IF(AND(AR$4&gt;=$D56,AR$4&lt;$D56+'Incremental Repayments'!$I$31),-PMT('Interest Rate'!$J$16,'Incremental Repayments'!$I$31,(HLOOKUP($D56,$E$4:$CZ$32,28,FALSE)*'Incremental Repayments'!$I$22)),0),0)</f>
        <v>652786.85094911407</v>
      </c>
      <c r="AS56" s="477">
        <f>IF('Incremental Repayments'!$R$22="Debt",IF(AND(AS$4&gt;=$D56,AS$4&lt;$D56+'Incremental Repayments'!$I$31),-PMT('Interest Rate'!$J$16,'Incremental Repayments'!$I$31,(HLOOKUP($D56,$E$4:$CZ$32,28,FALSE)*'Incremental Repayments'!$I$22)),0),0)</f>
        <v>652786.85094911407</v>
      </c>
      <c r="AT56" s="477">
        <f>IF('Incremental Repayments'!$R$22="Debt",IF(AND(AT$4&gt;=$D56,AT$4&lt;$D56+'Incremental Repayments'!$I$31),-PMT('Interest Rate'!$J$16,'Incremental Repayments'!$I$31,(HLOOKUP($D56,$E$4:$CZ$32,28,FALSE)*'Incremental Repayments'!$I$22)),0),0)</f>
        <v>652786.85094911407</v>
      </c>
      <c r="AU56" s="477">
        <f>IF('Incremental Repayments'!$R$22="Debt",IF(AND(AU$4&gt;=$D56,AU$4&lt;$D56+'Incremental Repayments'!$I$31),-PMT('Interest Rate'!$J$16,'Incremental Repayments'!$I$31,(HLOOKUP($D56,$E$4:$CZ$32,28,FALSE)*'Incremental Repayments'!$I$22)),0),0)</f>
        <v>652786.85094911407</v>
      </c>
      <c r="AV56" s="477">
        <f>IF('Incremental Repayments'!$R$22="Debt",IF(AND(AV$4&gt;=$D56,AV$4&lt;$D56+'Incremental Repayments'!$I$31),-PMT('Interest Rate'!$J$16,'Incremental Repayments'!$I$31,(HLOOKUP($D56,$E$4:$CZ$32,28,FALSE)*'Incremental Repayments'!$I$22)),0),0)</f>
        <v>652786.85094911407</v>
      </c>
      <c r="AW56" s="477">
        <f>IF('Incremental Repayments'!$R$22="Debt",IF(AND(AW$4&gt;=$D56,AW$4&lt;$D56+'Incremental Repayments'!$I$31),-PMT('Interest Rate'!$J$16,'Incremental Repayments'!$I$31,(HLOOKUP($D56,$E$4:$CZ$32,28,FALSE)*'Incremental Repayments'!$I$22)),0),0)</f>
        <v>652786.85094911407</v>
      </c>
      <c r="AX56" s="477">
        <f>IF('Incremental Repayments'!$R$22="Debt",IF(AND(AX$4&gt;=$D56,AX$4&lt;$D56+'Incremental Repayments'!$I$31),-PMT('Interest Rate'!$J$16,'Incremental Repayments'!$I$31,(HLOOKUP($D56,$E$4:$CZ$32,28,FALSE)*'Incremental Repayments'!$I$22)),0),0)</f>
        <v>652786.85094911407</v>
      </c>
      <c r="AY56" s="477">
        <f>IF('Incremental Repayments'!$R$22="Debt",IF(AND(AY$4&gt;=$D56,AY$4&lt;$D56+'Incremental Repayments'!$I$31),-PMT('Interest Rate'!$J$16,'Incremental Repayments'!$I$31,(HLOOKUP($D56,$E$4:$CZ$32,28,FALSE)*'Incremental Repayments'!$I$22)),0),0)</f>
        <v>652786.85094911407</v>
      </c>
      <c r="AZ56" s="477">
        <f>IF('Incremental Repayments'!$R$22="Debt",IF(AND(AZ$4&gt;=$D56,AZ$4&lt;$D56+'Incremental Repayments'!$I$31),-PMT('Interest Rate'!$J$16,'Incremental Repayments'!$I$31,(HLOOKUP($D56,$E$4:$CZ$32,28,FALSE)*'Incremental Repayments'!$I$22)),0),0)</f>
        <v>652786.85094911407</v>
      </c>
      <c r="BA56" s="477">
        <f>IF('Incremental Repayments'!$R$22="Debt",IF(AND(BA$4&gt;=$D56,BA$4&lt;$D56+'Incremental Repayments'!$I$31),-PMT('Interest Rate'!$J$16,'Incremental Repayments'!$I$31,(HLOOKUP($D56,$E$4:$CZ$32,28,FALSE)*'Incremental Repayments'!$I$22)),0),0)</f>
        <v>652786.85094911407</v>
      </c>
      <c r="BB56" s="477">
        <f>IF('Incremental Repayments'!$R$22="Debt",IF(AND(BB$4&gt;=$D56,BB$4&lt;$D56+'Incremental Repayments'!$I$31),-PMT('Interest Rate'!$J$16,'Incremental Repayments'!$I$31,(HLOOKUP($D56,$E$4:$CZ$32,28,FALSE)*'Incremental Repayments'!$I$22)),0),0)</f>
        <v>652786.85094911407</v>
      </c>
      <c r="BC56" s="477">
        <f>IF('Incremental Repayments'!$R$22="Debt",IF(AND(BC$4&gt;=$D56,BC$4&lt;$D56+'Incremental Repayments'!$I$31),-PMT('Interest Rate'!$J$16,'Incremental Repayments'!$I$31,(HLOOKUP($D56,$E$4:$CZ$32,28,FALSE)*'Incremental Repayments'!$I$22)),0),0)</f>
        <v>0</v>
      </c>
      <c r="BD56" s="477">
        <f>IF('Incremental Repayments'!$R$22="Debt",IF(AND(BD$4&gt;=$D56,BD$4&lt;$D56+'Incremental Repayments'!$I$31),-PMT('Interest Rate'!$J$16,'Incremental Repayments'!$I$31,(HLOOKUP($D56,$E$4:$CZ$32,28,FALSE)*'Incremental Repayments'!$I$22)),0),0)</f>
        <v>0</v>
      </c>
      <c r="BE56" s="477">
        <f>IF('Incremental Repayments'!$R$22="Debt",IF(AND(BE$4&gt;=$D56,BE$4&lt;$D56+'Incremental Repayments'!$I$31),-PMT('Interest Rate'!$J$16,'Incremental Repayments'!$I$31,(HLOOKUP($D56,$E$4:$CZ$32,28,FALSE)*'Incremental Repayments'!$I$22)),0),0)</f>
        <v>0</v>
      </c>
      <c r="BF56" s="477">
        <f>IF('Incremental Repayments'!$R$22="Debt",IF(AND(BF$4&gt;=$D56,BF$4&lt;$D56+'Incremental Repayments'!$I$31),-PMT('Interest Rate'!$J$16,'Incremental Repayments'!$I$31,(HLOOKUP($D56,$E$4:$CZ$32,28,FALSE)*'Incremental Repayments'!$I$22)),0),0)</f>
        <v>0</v>
      </c>
      <c r="BG56" s="477">
        <f>IF('Incremental Repayments'!$R$22="Debt",IF(AND(BG$4&gt;=$D56,BG$4&lt;$D56+'Incremental Repayments'!$I$31),-PMT('Interest Rate'!$J$16,'Incremental Repayments'!$I$31,(HLOOKUP($D56,$E$4:$CZ$32,28,FALSE)*'Incremental Repayments'!$I$22)),0),0)</f>
        <v>0</v>
      </c>
      <c r="BH56" s="477">
        <f>IF('Incremental Repayments'!$R$22="Debt",IF(AND(BH$4&gt;=$D56,BH$4&lt;$D56+'Incremental Repayments'!$I$31),-PMT('Interest Rate'!$J$16,'Incremental Repayments'!$I$31,(HLOOKUP($D56,$E$4:$CZ$32,28,FALSE)*'Incremental Repayments'!$I$22)),0),0)</f>
        <v>0</v>
      </c>
      <c r="BI56" s="477">
        <f>IF('Incremental Repayments'!$R$22="Debt",IF(AND(BI$4&gt;=$D56,BI$4&lt;$D56+'Incremental Repayments'!$I$31),-PMT('Interest Rate'!$J$16,'Incremental Repayments'!$I$31,(HLOOKUP($D56,$E$4:$CZ$32,28,FALSE)*'Incremental Repayments'!$I$22)),0),0)</f>
        <v>0</v>
      </c>
      <c r="BJ56" s="477">
        <f>IF('Incremental Repayments'!$R$22="Debt",IF(AND(BJ$4&gt;=$D56,BJ$4&lt;$D56+'Incremental Repayments'!$I$31),-PMT('Interest Rate'!$J$16,'Incremental Repayments'!$I$31,(HLOOKUP($D56,$E$4:$CZ$32,28,FALSE)*'Incremental Repayments'!$I$22)),0),0)</f>
        <v>0</v>
      </c>
      <c r="BK56" s="477">
        <f>IF('Incremental Repayments'!$R$22="Debt",IF(AND(BK$4&gt;=$D56,BK$4&lt;$D56+'Incremental Repayments'!$I$31),-PMT('Interest Rate'!$J$16,'Incremental Repayments'!$I$31,(HLOOKUP($D56,$E$4:$CZ$32,28,FALSE)*'Incremental Repayments'!$I$22)),0),0)</f>
        <v>0</v>
      </c>
      <c r="BL56" s="477">
        <f>IF('Incremental Repayments'!$R$22="Debt",IF(AND(BL$4&gt;=$D56,BL$4&lt;$D56+'Incremental Repayments'!$I$31),-PMT('Interest Rate'!$J$16,'Incremental Repayments'!$I$31,(HLOOKUP($D56,$E$4:$CZ$32,28,FALSE)*'Incremental Repayments'!$I$22)),0),0)</f>
        <v>0</v>
      </c>
      <c r="BM56" s="477">
        <f>IF('Incremental Repayments'!$R$22="Debt",IF(AND(BM$4&gt;=$D56,BM$4&lt;$D56+'Incremental Repayments'!$I$31),-PMT('Interest Rate'!$J$16,'Incremental Repayments'!$I$31,(HLOOKUP($D56,$E$4:$CZ$32,28,FALSE)*'Incremental Repayments'!$I$22)),0),0)</f>
        <v>0</v>
      </c>
      <c r="BN56" s="477">
        <f>IF('Incremental Repayments'!$R$22="Debt",IF(AND(BN$4&gt;=$D56,BN$4&lt;$D56+'Incremental Repayments'!$I$31),-PMT('Interest Rate'!$J$16,'Incremental Repayments'!$I$31,(HLOOKUP($D56,$E$4:$CZ$32,28,FALSE)*'Incremental Repayments'!$I$22)),0),0)</f>
        <v>0</v>
      </c>
      <c r="BO56" s="477">
        <f>IF('Incremental Repayments'!$R$22="Debt",IF(AND(BO$4&gt;=$D56,BO$4&lt;$D56+'Incremental Repayments'!$I$31),-PMT('Interest Rate'!$J$16,'Incremental Repayments'!$I$31,(HLOOKUP($D56,$E$4:$CZ$32,28,FALSE)*'Incremental Repayments'!$I$22)),0),0)</f>
        <v>0</v>
      </c>
      <c r="BP56" s="477">
        <f>IF('Incremental Repayments'!$R$22="Debt",IF(AND(BP$4&gt;=$D56,BP$4&lt;$D56+'Incremental Repayments'!$I$31),-PMT('Interest Rate'!$J$16,'Incremental Repayments'!$I$31,(HLOOKUP($D56,$E$4:$CZ$32,28,FALSE)*'Incremental Repayments'!$I$22)),0),0)</f>
        <v>0</v>
      </c>
      <c r="BQ56" s="477">
        <f>IF('Incremental Repayments'!$R$22="Debt",IF(AND(BQ$4&gt;=$D56,BQ$4&lt;$D56+'Incremental Repayments'!$I$31),-PMT('Interest Rate'!$J$16,'Incremental Repayments'!$I$31,(HLOOKUP($D56,$E$4:$CZ$32,28,FALSE)*'Incremental Repayments'!$I$22)),0),0)</f>
        <v>0</v>
      </c>
      <c r="BR56" s="477">
        <f>IF('Incremental Repayments'!$R$22="Debt",IF(AND(BR$4&gt;=$D56,BR$4&lt;$D56+'Incremental Repayments'!$I$31),-PMT('Interest Rate'!$J$16,'Incremental Repayments'!$I$31,(HLOOKUP($D56,$E$4:$CZ$32,28,FALSE)*'Incremental Repayments'!$I$22)),0),0)</f>
        <v>0</v>
      </c>
      <c r="BS56" s="477">
        <f>IF('Incremental Repayments'!$R$22="Debt",IF(AND(BS$4&gt;=$D56,BS$4&lt;$D56+'Incremental Repayments'!$I$31),-PMT('Interest Rate'!$J$16,'Incremental Repayments'!$I$31,(HLOOKUP($D56,$E$4:$CZ$32,28,FALSE)*'Incremental Repayments'!$I$22)),0),0)</f>
        <v>0</v>
      </c>
      <c r="BT56" s="477">
        <f>IF('Incremental Repayments'!$R$22="Debt",IF(AND(BT$4&gt;=$D56,BT$4&lt;$D56+'Incremental Repayments'!$I$31),-PMT('Interest Rate'!$J$16,'Incremental Repayments'!$I$31,(HLOOKUP($D56,$E$4:$CZ$32,28,FALSE)*'Incremental Repayments'!$I$22)),0),0)</f>
        <v>0</v>
      </c>
      <c r="BU56" s="477">
        <f>IF('Incremental Repayments'!$R$22="Debt",IF(AND(BU$4&gt;=$D56,BU$4&lt;$D56+'Incremental Repayments'!$I$31),-PMT('Interest Rate'!$J$16,'Incremental Repayments'!$I$31,(HLOOKUP($D56,$E$4:$CZ$32,28,FALSE)*'Incremental Repayments'!$I$22)),0),0)</f>
        <v>0</v>
      </c>
      <c r="BV56" s="477">
        <f>IF('Incremental Repayments'!$R$22="Debt",IF(AND(BV$4&gt;=$D56,BV$4&lt;$D56+'Incremental Repayments'!$I$31),-PMT('Interest Rate'!$J$16,'Incremental Repayments'!$I$31,(HLOOKUP($D56,$E$4:$CZ$32,28,FALSE)*'Incremental Repayments'!$I$22)),0),0)</f>
        <v>0</v>
      </c>
      <c r="BW56" s="477">
        <f>IF('Incremental Repayments'!$R$22="Debt",IF(AND(BW$4&gt;=$D56,BW$4&lt;$D56+'Incremental Repayments'!$I$31),-PMT('Interest Rate'!$J$16,'Incremental Repayments'!$I$31,(HLOOKUP($D56,$E$4:$CZ$32,28,FALSE)*'Incremental Repayments'!$I$22)),0),0)</f>
        <v>0</v>
      </c>
      <c r="BX56" s="477">
        <f>IF('Incremental Repayments'!$R$22="Debt",IF(AND(BX$4&gt;=$D56,BX$4&lt;$D56+'Incremental Repayments'!$I$31),-PMT('Interest Rate'!$J$16,'Incremental Repayments'!$I$31,(HLOOKUP($D56,$E$4:$CZ$32,28,FALSE)*'Incremental Repayments'!$I$22)),0),0)</f>
        <v>0</v>
      </c>
      <c r="BY56" s="477">
        <f>IF('Incremental Repayments'!$R$22="Debt",IF(AND(BY$4&gt;=$D56,BY$4&lt;$D56+'Incremental Repayments'!$I$31),-PMT('Interest Rate'!$J$16,'Incremental Repayments'!$I$31,(HLOOKUP($D56,$E$4:$CZ$32,28,FALSE)*'Incremental Repayments'!$I$22)),0),0)</f>
        <v>0</v>
      </c>
      <c r="BZ56" s="477">
        <f>IF('Incremental Repayments'!$R$22="Debt",IF(AND(BZ$4&gt;=$D56,BZ$4&lt;$D56+'Incremental Repayments'!$I$31),-PMT('Interest Rate'!$J$16,'Incremental Repayments'!$I$31,(HLOOKUP($D56,$E$4:$CZ$32,28,FALSE)*'Incremental Repayments'!$I$22)),0),0)</f>
        <v>0</v>
      </c>
      <c r="CA56" s="477">
        <f>IF('Incremental Repayments'!$R$22="Debt",IF(AND(CA$4&gt;=$D56,CA$4&lt;$D56+'Incremental Repayments'!$I$31),-PMT('Interest Rate'!$J$16,'Incremental Repayments'!$I$31,(HLOOKUP($D56,$E$4:$CZ$32,28,FALSE)*'Incremental Repayments'!$I$22)),0),0)</f>
        <v>0</v>
      </c>
      <c r="CB56" s="477">
        <f>IF('Incremental Repayments'!$R$22="Debt",IF(AND(CB$4&gt;=$D56,CB$4&lt;$D56+'Incremental Repayments'!$I$31),-PMT('Interest Rate'!$J$16,'Incremental Repayments'!$I$31,(HLOOKUP($D56,$E$4:$CZ$32,28,FALSE)*'Incremental Repayments'!$I$22)),0),0)</f>
        <v>0</v>
      </c>
      <c r="CC56" s="477">
        <f>IF('Incremental Repayments'!$R$22="Debt",IF(AND(CC$4&gt;=$D56,CC$4&lt;$D56+'Incremental Repayments'!$I$31),-PMT('Interest Rate'!$J$16,'Incremental Repayments'!$I$31,(HLOOKUP($D56,$E$4:$CZ$32,28,FALSE)*'Incremental Repayments'!$I$22)),0),0)</f>
        <v>0</v>
      </c>
      <c r="CD56" s="477">
        <f>IF('Incremental Repayments'!$R$22="Debt",IF(AND(CD$4&gt;=$D56,CD$4&lt;$D56+'Incremental Repayments'!$I$31),-PMT('Interest Rate'!$J$16,'Incremental Repayments'!$I$31,(HLOOKUP($D56,$E$4:$CZ$32,28,FALSE)*'Incremental Repayments'!$I$22)),0),0)</f>
        <v>0</v>
      </c>
      <c r="CE56" s="477">
        <f>IF('Incremental Repayments'!$R$22="Debt",IF(AND(CE$4&gt;=$D56,CE$4&lt;$D56+'Incremental Repayments'!$I$31),-PMT('Interest Rate'!$J$16,'Incremental Repayments'!$I$31,(HLOOKUP($D56,$E$4:$CZ$32,28,FALSE)*'Incremental Repayments'!$I$22)),0),0)</f>
        <v>0</v>
      </c>
      <c r="CF56" s="477">
        <f>IF('Incremental Repayments'!$R$22="Debt",IF(AND(CF$4&gt;=$D56,CF$4&lt;$D56+'Incremental Repayments'!$I$31),-PMT('Interest Rate'!$J$16,'Incremental Repayments'!$I$31,(HLOOKUP($D56,$E$4:$CZ$32,28,FALSE)*'Incremental Repayments'!$I$22)),0),0)</f>
        <v>0</v>
      </c>
      <c r="CG56" s="477">
        <f>IF('Incremental Repayments'!$R$22="Debt",IF(AND(CG$4&gt;=$D56,CG$4&lt;$D56+'Incremental Repayments'!$I$31),-PMT('Interest Rate'!$J$16,'Incremental Repayments'!$I$31,(HLOOKUP($D56,$E$4:$CZ$32,28,FALSE)*'Incremental Repayments'!$I$22)),0),0)</f>
        <v>0</v>
      </c>
      <c r="CH56" s="477">
        <f>IF('Incremental Repayments'!$R$22="Debt",IF(AND(CH$4&gt;=$D56,CH$4&lt;$D56+'Incremental Repayments'!$I$31),-PMT('Interest Rate'!$J$16,'Incremental Repayments'!$I$31,(HLOOKUP($D56,$E$4:$CZ$32,28,FALSE)*'Incremental Repayments'!$I$22)),0),0)</f>
        <v>0</v>
      </c>
      <c r="CI56" s="477">
        <f>IF('Incremental Repayments'!$R$22="Debt",IF(AND(CI$4&gt;=$D56,CI$4&lt;$D56+'Incremental Repayments'!$I$31),-PMT('Interest Rate'!$J$16,'Incremental Repayments'!$I$31,(HLOOKUP($D56,$E$4:$CZ$32,28,FALSE)*'Incremental Repayments'!$I$22)),0),0)</f>
        <v>0</v>
      </c>
      <c r="CJ56" s="477">
        <f>IF('Incremental Repayments'!$R$22="Debt",IF(AND(CJ$4&gt;=$D56,CJ$4&lt;$D56+'Incremental Repayments'!$I$31),-PMT('Interest Rate'!$J$16,'Incremental Repayments'!$I$31,(HLOOKUP($D56,$E$4:$CZ$32,28,FALSE)*'Incremental Repayments'!$I$22)),0),0)</f>
        <v>0</v>
      </c>
      <c r="CK56" s="477">
        <f>IF('Incremental Repayments'!$R$22="Debt",IF(AND(CK$4&gt;=$D56,CK$4&lt;$D56+'Incremental Repayments'!$I$31),-PMT('Interest Rate'!$J$16,'Incremental Repayments'!$I$31,(HLOOKUP($D56,$E$4:$CZ$32,28,FALSE)*'Incremental Repayments'!$I$22)),0),0)</f>
        <v>0</v>
      </c>
      <c r="CL56" s="477">
        <f>IF('Incremental Repayments'!$R$22="Debt",IF(AND(CL$4&gt;=$D56,CL$4&lt;$D56+'Incremental Repayments'!$I$31),-PMT('Interest Rate'!$J$16,'Incremental Repayments'!$I$31,(HLOOKUP($D56,$E$4:$CZ$32,28,FALSE)*'Incremental Repayments'!$I$22)),0),0)</f>
        <v>0</v>
      </c>
      <c r="CM56" s="477">
        <f>IF('Incremental Repayments'!$R$22="Debt",IF(AND(CM$4&gt;=$D56,CM$4&lt;$D56+'Incremental Repayments'!$I$31),-PMT('Interest Rate'!$J$16,'Incremental Repayments'!$I$31,(HLOOKUP($D56,$E$4:$CZ$32,28,FALSE)*'Incremental Repayments'!$I$22)),0),0)</f>
        <v>0</v>
      </c>
      <c r="CN56" s="477">
        <f>IF('Incremental Repayments'!$R$22="Debt",IF(AND(CN$4&gt;=$D56,CN$4&lt;$D56+'Incremental Repayments'!$I$31),-PMT('Interest Rate'!$J$16,'Incremental Repayments'!$I$31,(HLOOKUP($D56,$E$4:$CZ$32,28,FALSE)*'Incremental Repayments'!$I$22)),0),0)</f>
        <v>0</v>
      </c>
      <c r="CO56" s="477">
        <f>IF('Incremental Repayments'!$R$22="Debt",IF(AND(CO$4&gt;=$D56,CO$4&lt;$D56+'Incremental Repayments'!$I$31),-PMT('Interest Rate'!$J$16,'Incremental Repayments'!$I$31,(HLOOKUP($D56,$E$4:$CZ$32,28,FALSE)*'Incremental Repayments'!$I$22)),0),0)</f>
        <v>0</v>
      </c>
      <c r="CP56" s="477">
        <f>IF('Incremental Repayments'!$R$22="Debt",IF(AND(CP$4&gt;=$D56,CP$4&lt;$D56+'Incremental Repayments'!$I$31),-PMT('Interest Rate'!$J$16,'Incremental Repayments'!$I$31,(HLOOKUP($D56,$E$4:$CZ$32,28,FALSE)*'Incremental Repayments'!$I$22)),0),0)</f>
        <v>0</v>
      </c>
      <c r="CQ56" s="477">
        <f>IF('Incremental Repayments'!$R$22="Debt",IF(AND(CQ$4&gt;=$D56,CQ$4&lt;$D56+'Incremental Repayments'!$I$31),-PMT('Interest Rate'!$J$16,'Incremental Repayments'!$I$31,(HLOOKUP($D56,$E$4:$CZ$32,28,FALSE)*'Incremental Repayments'!$I$22)),0),0)</f>
        <v>0</v>
      </c>
      <c r="CR56" s="477">
        <f>IF('Incremental Repayments'!$R$22="Debt",IF(AND(CR$4&gt;=$D56,CR$4&lt;$D56+'Incremental Repayments'!$I$31),-PMT('Interest Rate'!$J$16,'Incremental Repayments'!$I$31,(HLOOKUP($D56,$E$4:$CZ$32,28,FALSE)*'Incremental Repayments'!$I$22)),0),0)</f>
        <v>0</v>
      </c>
      <c r="CS56" s="477">
        <f>IF('Incremental Repayments'!$R$22="Debt",IF(AND(CS$4&gt;=$D56,CS$4&lt;$D56+'Incremental Repayments'!$I$31),-PMT('Interest Rate'!$J$16,'Incremental Repayments'!$I$31,(HLOOKUP($D56,$E$4:$CZ$32,28,FALSE)*'Incremental Repayments'!$I$22)),0),0)</f>
        <v>0</v>
      </c>
      <c r="CT56" s="477">
        <f>IF('Incremental Repayments'!$R$22="Debt",IF(AND(CT$4&gt;=$D56,CT$4&lt;$D56+'Incremental Repayments'!$I$31),-PMT('Interest Rate'!$J$16,'Incremental Repayments'!$I$31,(HLOOKUP($D56,$E$4:$CZ$32,28,FALSE)*'Incremental Repayments'!$I$22)),0),0)</f>
        <v>0</v>
      </c>
      <c r="CU56" s="477">
        <f>IF('Incremental Repayments'!$R$22="Debt",IF(AND(CU$4&gt;=$D56,CU$4&lt;$D56+'Incremental Repayments'!$I$31),-PMT('Interest Rate'!$J$16,'Incremental Repayments'!$I$31,(HLOOKUP($D56,$E$4:$CZ$32,28,FALSE)*'Incremental Repayments'!$I$22)),0),0)</f>
        <v>0</v>
      </c>
      <c r="CV56" s="477">
        <f>IF('Incremental Repayments'!$R$22="Debt",IF(AND(CV$4&gt;=$D56,CV$4&lt;$D56+'Incremental Repayments'!$I$31),-PMT('Interest Rate'!$J$16,'Incremental Repayments'!$I$31,(HLOOKUP($D56,$E$4:$CZ$32,28,FALSE)*'Incremental Repayments'!$I$22)),0),0)</f>
        <v>0</v>
      </c>
      <c r="CW56" s="477">
        <f>IF('Incremental Repayments'!$R$22="Debt",IF(AND(CW$4&gt;=$D56,CW$4&lt;$D56+'Incremental Repayments'!$I$31),-PMT('Interest Rate'!$J$16,'Incremental Repayments'!$I$31,(HLOOKUP($D56,$E$4:$CZ$32,28,FALSE)*'Incremental Repayments'!$I$22)),0),0)</f>
        <v>0</v>
      </c>
      <c r="CX56" s="477">
        <f>IF('Incremental Repayments'!$R$22="Debt",IF(AND(CX$4&gt;=$D56,CX$4&lt;$D56+'Incremental Repayments'!$I$31),-PMT('Interest Rate'!$J$16,'Incremental Repayments'!$I$31,(HLOOKUP($D56,$E$4:$CZ$32,28,FALSE)*'Incremental Repayments'!$I$22)),0),0)</f>
        <v>0</v>
      </c>
      <c r="CY56" s="477">
        <f>IF('Incremental Repayments'!$R$22="Debt",IF(AND(CY$4&gt;=$D56,CY$4&lt;$D56+'Incremental Repayments'!$I$31),-PMT('Interest Rate'!$J$16,'Incremental Repayments'!$I$31,(HLOOKUP($D56,$E$4:$CZ$32,28,FALSE)*'Incremental Repayments'!$I$22)),0),0)</f>
        <v>0</v>
      </c>
      <c r="CZ56" s="477">
        <f>IF('Incremental Repayments'!$R$22="Debt",IF(AND(CZ$4&gt;=$D56,CZ$4&lt;$D56+'Incremental Repayments'!$I$31),-PMT('Interest Rate'!$J$16,'Incremental Repayments'!$I$31,(HLOOKUP($D56,$E$4:$CZ$32,28,FALSE)*'Incremental Repayments'!$I$22)),0),0)</f>
        <v>0</v>
      </c>
    </row>
    <row r="57" spans="1:104" x14ac:dyDescent="0.25">
      <c r="B57" s="480" t="str">
        <f>CONCATENATE("Series ",D57,"A Bonds (at ",'Interest Rate'!$J$16*100,"% Interest)")</f>
        <v>Series 2035A Bonds (at 4.5% Interest)</v>
      </c>
      <c r="C57" s="480"/>
      <c r="D57" s="492">
        <f t="shared" si="492"/>
        <v>2035</v>
      </c>
      <c r="E57" s="477">
        <f>IF('Incremental Repayments'!$R$22="Debt",IF(AND(E$4&gt;=$D57,E$4&lt;$D57+'Incremental Repayments'!$I$31),-PMT('Interest Rate'!$J$16,'Incremental Repayments'!$I$31,(HLOOKUP($D57,$E$4:$CZ$32,28,FALSE)*'Incremental Repayments'!$I$22)),0),0)</f>
        <v>0</v>
      </c>
      <c r="F57" s="477">
        <f>IF('Incremental Repayments'!$R$22="Debt",IF(AND(F$4&gt;=$D57,F$4&lt;$D57+'Incremental Repayments'!$I$31),-PMT('Interest Rate'!$J$16,'Incremental Repayments'!$I$31,(HLOOKUP($D57,$E$4:$CZ$32,28,FALSE)*'Incremental Repayments'!$I$22)),0),0)</f>
        <v>0</v>
      </c>
      <c r="G57" s="477">
        <f>IF('Incremental Repayments'!$R$22="Debt",IF(AND(G$4&gt;=$D57,G$4&lt;$D57+'Incremental Repayments'!$I$31),-PMT('Interest Rate'!$J$16,'Incremental Repayments'!$I$31,(HLOOKUP($D57,$E$4:$CZ$32,28,FALSE)*'Incremental Repayments'!$I$22)),0),0)</f>
        <v>0</v>
      </c>
      <c r="H57" s="477">
        <f>IF('Incremental Repayments'!$R$22="Debt",IF(AND(H$4&gt;=$D57,H$4&lt;$D57+'Incremental Repayments'!$I$31),-PMT('Interest Rate'!$J$16,'Incremental Repayments'!$I$31,(HLOOKUP($D57,$E$4:$CZ$32,28,FALSE)*'Incremental Repayments'!$I$22)),0),0)</f>
        <v>0</v>
      </c>
      <c r="I57" s="477">
        <f>IF('Incremental Repayments'!$R$22="Debt",IF(AND(I$4&gt;=$D57,I$4&lt;$D57+'Incremental Repayments'!$I$31),-PMT('Interest Rate'!$J$16,'Incremental Repayments'!$I$31,(HLOOKUP($D57,$E$4:$CZ$32,28,FALSE)*'Incremental Repayments'!$I$22)),0),0)</f>
        <v>0</v>
      </c>
      <c r="J57" s="477">
        <f>IF('Incremental Repayments'!$R$22="Debt",IF(AND(J$4&gt;=$D57,J$4&lt;$D57+'Incremental Repayments'!$I$31),-PMT('Interest Rate'!$J$16,'Incremental Repayments'!$I$31,(HLOOKUP($D57,$E$4:$CZ$32,28,FALSE)*'Incremental Repayments'!$I$22)),0),0)</f>
        <v>0</v>
      </c>
      <c r="K57" s="477">
        <f>IF('Incremental Repayments'!$R$22="Debt",IF(AND(K$4&gt;=$D57,K$4&lt;$D57+'Incremental Repayments'!$I$31),-PMT('Interest Rate'!$J$16,'Incremental Repayments'!$I$31,(HLOOKUP($D57,$E$4:$CZ$32,28,FALSE)*'Incremental Repayments'!$I$22)),0),0)</f>
        <v>0</v>
      </c>
      <c r="L57" s="477">
        <f>IF('Incremental Repayments'!$R$22="Debt",IF(AND(L$4&gt;=$D57,L$4&lt;$D57+'Incremental Repayments'!$I$31),-PMT('Interest Rate'!$J$16,'Incremental Repayments'!$I$31,(HLOOKUP($D57,$E$4:$CZ$32,28,FALSE)*'Incremental Repayments'!$I$22)),0),0)</f>
        <v>0</v>
      </c>
      <c r="M57" s="477">
        <f>IF('Incremental Repayments'!$R$22="Debt",IF(AND(M$4&gt;=$D57,M$4&lt;$D57+'Incremental Repayments'!$I$31),-PMT('Interest Rate'!$J$16,'Incremental Repayments'!$I$31,(HLOOKUP($D57,$E$4:$CZ$32,28,FALSE)*'Incremental Repayments'!$I$22)),0),0)</f>
        <v>0</v>
      </c>
      <c r="N57" s="477">
        <f>IF('Incremental Repayments'!$R$22="Debt",IF(AND(N$4&gt;=$D57,N$4&lt;$D57+'Incremental Repayments'!$I$31),-PMT('Interest Rate'!$J$16,'Incremental Repayments'!$I$31,(HLOOKUP($D57,$E$4:$CZ$32,28,FALSE)*'Incremental Repayments'!$I$22)),0),0)</f>
        <v>0</v>
      </c>
      <c r="O57" s="477">
        <f>IF('Incremental Repayments'!$R$22="Debt",IF(AND(O$4&gt;=$D57,O$4&lt;$D57+'Incremental Repayments'!$I$31),-PMT('Interest Rate'!$J$16,'Incremental Repayments'!$I$31,(HLOOKUP($D57,$E$4:$CZ$32,28,FALSE)*'Incremental Repayments'!$I$22)),0),0)</f>
        <v>0</v>
      </c>
      <c r="P57" s="477">
        <f>IF('Incremental Repayments'!$R$22="Debt",IF(AND(P$4&gt;=$D57,P$4&lt;$D57+'Incremental Repayments'!$I$31),-PMT('Interest Rate'!$J$16,'Incremental Repayments'!$I$31,(HLOOKUP($D57,$E$4:$CZ$32,28,FALSE)*'Incremental Repayments'!$I$22)),0),0)</f>
        <v>0</v>
      </c>
      <c r="Q57" s="477">
        <f>IF('Incremental Repayments'!$R$22="Debt",IF(AND(Q$4&gt;=$D57,Q$4&lt;$D57+'Incremental Repayments'!$I$31),-PMT('Interest Rate'!$J$16,'Incremental Repayments'!$I$31,(HLOOKUP($D57,$E$4:$CZ$32,28,FALSE)*'Incremental Repayments'!$I$22)),0),0)</f>
        <v>0</v>
      </c>
      <c r="R57" s="477">
        <f>IF('Incremental Repayments'!$R$22="Debt",IF(AND(R$4&gt;=$D57,R$4&lt;$D57+'Incremental Repayments'!$I$31),-PMT('Interest Rate'!$J$16,'Incremental Repayments'!$I$31,(HLOOKUP($D57,$E$4:$CZ$32,28,FALSE)*'Incremental Repayments'!$I$22)),0),0)</f>
        <v>0</v>
      </c>
      <c r="S57" s="477">
        <f>IF('Incremental Repayments'!$R$22="Debt",IF(AND(S$4&gt;=$D57,S$4&lt;$D57+'Incremental Repayments'!$I$31),-PMT('Interest Rate'!$J$16,'Incremental Repayments'!$I$31,(HLOOKUP($D57,$E$4:$CZ$32,28,FALSE)*'Incremental Repayments'!$I$22)),0),0)</f>
        <v>0</v>
      </c>
      <c r="T57" s="477">
        <f>IF('Incremental Repayments'!$R$22="Debt",IF(AND(T$4&gt;=$D57,T$4&lt;$D57+'Incremental Repayments'!$I$31),-PMT('Interest Rate'!$J$16,'Incremental Repayments'!$I$31,(HLOOKUP($D57,$E$4:$CZ$32,28,FALSE)*'Incremental Repayments'!$I$22)),0),0)</f>
        <v>0</v>
      </c>
      <c r="U57" s="477">
        <f>IF('Incremental Repayments'!$R$22="Debt",IF(AND(U$4&gt;=$D57,U$4&lt;$D57+'Incremental Repayments'!$I$31),-PMT('Interest Rate'!$J$16,'Incremental Repayments'!$I$31,(HLOOKUP($D57,$E$4:$CZ$32,28,FALSE)*'Incremental Repayments'!$I$22)),0),0)</f>
        <v>0</v>
      </c>
      <c r="V57" s="477">
        <f>IF('Incremental Repayments'!$R$22="Debt",IF(AND(V$4&gt;=$D57,V$4&lt;$D57+'Incremental Repayments'!$I$31),-PMT('Interest Rate'!$J$16,'Incremental Repayments'!$I$31,(HLOOKUP($D57,$E$4:$CZ$32,28,FALSE)*'Incremental Repayments'!$I$22)),0),0)</f>
        <v>0</v>
      </c>
      <c r="W57" s="477">
        <f>IF('Incremental Repayments'!$R$22="Debt",IF(AND(W$4&gt;=$D57,W$4&lt;$D57+'Incremental Repayments'!$I$31),-PMT('Interest Rate'!$J$16,'Incremental Repayments'!$I$31,(HLOOKUP($D57,$E$4:$CZ$32,28,FALSE)*'Incremental Repayments'!$I$22)),0),0)</f>
        <v>0</v>
      </c>
      <c r="X57" s="477">
        <f>IF('Incremental Repayments'!$R$22="Debt",IF(AND(X$4&gt;=$D57,X$4&lt;$D57+'Incremental Repayments'!$I$31),-PMT('Interest Rate'!$J$16,'Incremental Repayments'!$I$31,(HLOOKUP($D57,$E$4:$CZ$32,28,FALSE)*'Incremental Repayments'!$I$22)),0),0)</f>
        <v>0</v>
      </c>
      <c r="Y57" s="477">
        <f>IF('Incremental Repayments'!$R$22="Debt",IF(AND(Y$4&gt;=$D57,Y$4&lt;$D57+'Incremental Repayments'!$I$31),-PMT('Interest Rate'!$J$16,'Incremental Repayments'!$I$31,(HLOOKUP($D57,$E$4:$CZ$32,28,FALSE)*'Incremental Repayments'!$I$22)),0),0)</f>
        <v>0</v>
      </c>
      <c r="Z57" s="477">
        <f>IF('Incremental Repayments'!$R$22="Debt",IF(AND(Z$4&gt;=$D57,Z$4&lt;$D57+'Incremental Repayments'!$I$31),-PMT('Interest Rate'!$J$16,'Incremental Repayments'!$I$31,(HLOOKUP($D57,$E$4:$CZ$32,28,FALSE)*'Incremental Repayments'!$I$22)),0),0)</f>
        <v>669494.22059498297</v>
      </c>
      <c r="AA57" s="477">
        <f>IF('Incremental Repayments'!$R$22="Debt",IF(AND(AA$4&gt;=$D57,AA$4&lt;$D57+'Incremental Repayments'!$I$31),-PMT('Interest Rate'!$J$16,'Incremental Repayments'!$I$31,(HLOOKUP($D57,$E$4:$CZ$32,28,FALSE)*'Incremental Repayments'!$I$22)),0),0)</f>
        <v>669494.22059498297</v>
      </c>
      <c r="AB57" s="477">
        <f>IF('Incremental Repayments'!$R$22="Debt",IF(AND(AB$4&gt;=$D57,AB$4&lt;$D57+'Incremental Repayments'!$I$31),-PMT('Interest Rate'!$J$16,'Incremental Repayments'!$I$31,(HLOOKUP($D57,$E$4:$CZ$32,28,FALSE)*'Incremental Repayments'!$I$22)),0),0)</f>
        <v>669494.22059498297</v>
      </c>
      <c r="AC57" s="477">
        <f>IF('Incremental Repayments'!$R$22="Debt",IF(AND(AC$4&gt;=$D57,AC$4&lt;$D57+'Incremental Repayments'!$I$31),-PMT('Interest Rate'!$J$16,'Incremental Repayments'!$I$31,(HLOOKUP($D57,$E$4:$CZ$32,28,FALSE)*'Incremental Repayments'!$I$22)),0),0)</f>
        <v>669494.22059498297</v>
      </c>
      <c r="AD57" s="477">
        <f>IF('Incremental Repayments'!$R$22="Debt",IF(AND(AD$4&gt;=$D57,AD$4&lt;$D57+'Incremental Repayments'!$I$31),-PMT('Interest Rate'!$J$16,'Incremental Repayments'!$I$31,(HLOOKUP($D57,$E$4:$CZ$32,28,FALSE)*'Incremental Repayments'!$I$22)),0),0)</f>
        <v>669494.22059498297</v>
      </c>
      <c r="AE57" s="477">
        <f>IF('Incremental Repayments'!$R$22="Debt",IF(AND(AE$4&gt;=$D57,AE$4&lt;$D57+'Incremental Repayments'!$I$31),-PMT('Interest Rate'!$J$16,'Incremental Repayments'!$I$31,(HLOOKUP($D57,$E$4:$CZ$32,28,FALSE)*'Incremental Repayments'!$I$22)),0),0)</f>
        <v>669494.22059498297</v>
      </c>
      <c r="AF57" s="477">
        <f>IF('Incremental Repayments'!$R$22="Debt",IF(AND(AF$4&gt;=$D57,AF$4&lt;$D57+'Incremental Repayments'!$I$31),-PMT('Interest Rate'!$J$16,'Incremental Repayments'!$I$31,(HLOOKUP($D57,$E$4:$CZ$32,28,FALSE)*'Incremental Repayments'!$I$22)),0),0)</f>
        <v>669494.22059498297</v>
      </c>
      <c r="AG57" s="477">
        <f>IF('Incremental Repayments'!$R$22="Debt",IF(AND(AG$4&gt;=$D57,AG$4&lt;$D57+'Incremental Repayments'!$I$31),-PMT('Interest Rate'!$J$16,'Incremental Repayments'!$I$31,(HLOOKUP($D57,$E$4:$CZ$32,28,FALSE)*'Incremental Repayments'!$I$22)),0),0)</f>
        <v>669494.22059498297</v>
      </c>
      <c r="AH57" s="477">
        <f>IF('Incremental Repayments'!$R$22="Debt",IF(AND(AH$4&gt;=$D57,AH$4&lt;$D57+'Incremental Repayments'!$I$31),-PMT('Interest Rate'!$J$16,'Incremental Repayments'!$I$31,(HLOOKUP($D57,$E$4:$CZ$32,28,FALSE)*'Incremental Repayments'!$I$22)),0),0)</f>
        <v>669494.22059498297</v>
      </c>
      <c r="AI57" s="477">
        <f>IF('Incremental Repayments'!$R$22="Debt",IF(AND(AI$4&gt;=$D57,AI$4&lt;$D57+'Incremental Repayments'!$I$31),-PMT('Interest Rate'!$J$16,'Incremental Repayments'!$I$31,(HLOOKUP($D57,$E$4:$CZ$32,28,FALSE)*'Incremental Repayments'!$I$22)),0),0)</f>
        <v>669494.22059498297</v>
      </c>
      <c r="AJ57" s="477">
        <f>IF('Incremental Repayments'!$R$22="Debt",IF(AND(AJ$4&gt;=$D57,AJ$4&lt;$D57+'Incremental Repayments'!$I$31),-PMT('Interest Rate'!$J$16,'Incremental Repayments'!$I$31,(HLOOKUP($D57,$E$4:$CZ$32,28,FALSE)*'Incremental Repayments'!$I$22)),0),0)</f>
        <v>669494.22059498297</v>
      </c>
      <c r="AK57" s="477">
        <f>IF('Incremental Repayments'!$R$22="Debt",IF(AND(AK$4&gt;=$D57,AK$4&lt;$D57+'Incremental Repayments'!$I$31),-PMT('Interest Rate'!$J$16,'Incremental Repayments'!$I$31,(HLOOKUP($D57,$E$4:$CZ$32,28,FALSE)*'Incremental Repayments'!$I$22)),0),0)</f>
        <v>669494.22059498297</v>
      </c>
      <c r="AL57" s="477">
        <f>IF('Incremental Repayments'!$R$22="Debt",IF(AND(AL$4&gt;=$D57,AL$4&lt;$D57+'Incremental Repayments'!$I$31),-PMT('Interest Rate'!$J$16,'Incremental Repayments'!$I$31,(HLOOKUP($D57,$E$4:$CZ$32,28,FALSE)*'Incremental Repayments'!$I$22)),0),0)</f>
        <v>669494.22059498297</v>
      </c>
      <c r="AM57" s="477">
        <f>IF('Incremental Repayments'!$R$22="Debt",IF(AND(AM$4&gt;=$D57,AM$4&lt;$D57+'Incremental Repayments'!$I$31),-PMT('Interest Rate'!$J$16,'Incremental Repayments'!$I$31,(HLOOKUP($D57,$E$4:$CZ$32,28,FALSE)*'Incremental Repayments'!$I$22)),0),0)</f>
        <v>669494.22059498297</v>
      </c>
      <c r="AN57" s="477">
        <f>IF('Incremental Repayments'!$R$22="Debt",IF(AND(AN$4&gt;=$D57,AN$4&lt;$D57+'Incremental Repayments'!$I$31),-PMT('Interest Rate'!$J$16,'Incremental Repayments'!$I$31,(HLOOKUP($D57,$E$4:$CZ$32,28,FALSE)*'Incremental Repayments'!$I$22)),0),0)</f>
        <v>669494.22059498297</v>
      </c>
      <c r="AO57" s="477">
        <f>IF('Incremental Repayments'!$R$22="Debt",IF(AND(AO$4&gt;=$D57,AO$4&lt;$D57+'Incremental Repayments'!$I$31),-PMT('Interest Rate'!$J$16,'Incremental Repayments'!$I$31,(HLOOKUP($D57,$E$4:$CZ$32,28,FALSE)*'Incremental Repayments'!$I$22)),0),0)</f>
        <v>669494.22059498297</v>
      </c>
      <c r="AP57" s="477">
        <f>IF('Incremental Repayments'!$R$22="Debt",IF(AND(AP$4&gt;=$D57,AP$4&lt;$D57+'Incremental Repayments'!$I$31),-PMT('Interest Rate'!$J$16,'Incremental Repayments'!$I$31,(HLOOKUP($D57,$E$4:$CZ$32,28,FALSE)*'Incremental Repayments'!$I$22)),0),0)</f>
        <v>669494.22059498297</v>
      </c>
      <c r="AQ57" s="477">
        <f>IF('Incremental Repayments'!$R$22="Debt",IF(AND(AQ$4&gt;=$D57,AQ$4&lt;$D57+'Incremental Repayments'!$I$31),-PMT('Interest Rate'!$J$16,'Incremental Repayments'!$I$31,(HLOOKUP($D57,$E$4:$CZ$32,28,FALSE)*'Incremental Repayments'!$I$22)),0),0)</f>
        <v>669494.22059498297</v>
      </c>
      <c r="AR57" s="477">
        <f>IF('Incremental Repayments'!$R$22="Debt",IF(AND(AR$4&gt;=$D57,AR$4&lt;$D57+'Incremental Repayments'!$I$31),-PMT('Interest Rate'!$J$16,'Incremental Repayments'!$I$31,(HLOOKUP($D57,$E$4:$CZ$32,28,FALSE)*'Incremental Repayments'!$I$22)),0),0)</f>
        <v>669494.22059498297</v>
      </c>
      <c r="AS57" s="477">
        <f>IF('Incremental Repayments'!$R$22="Debt",IF(AND(AS$4&gt;=$D57,AS$4&lt;$D57+'Incremental Repayments'!$I$31),-PMT('Interest Rate'!$J$16,'Incremental Repayments'!$I$31,(HLOOKUP($D57,$E$4:$CZ$32,28,FALSE)*'Incremental Repayments'!$I$22)),0),0)</f>
        <v>669494.22059498297</v>
      </c>
      <c r="AT57" s="477">
        <f>IF('Incremental Repayments'!$R$22="Debt",IF(AND(AT$4&gt;=$D57,AT$4&lt;$D57+'Incremental Repayments'!$I$31),-PMT('Interest Rate'!$J$16,'Incremental Repayments'!$I$31,(HLOOKUP($D57,$E$4:$CZ$32,28,FALSE)*'Incremental Repayments'!$I$22)),0),0)</f>
        <v>669494.22059498297</v>
      </c>
      <c r="AU57" s="477">
        <f>IF('Incremental Repayments'!$R$22="Debt",IF(AND(AU$4&gt;=$D57,AU$4&lt;$D57+'Incremental Repayments'!$I$31),-PMT('Interest Rate'!$J$16,'Incremental Repayments'!$I$31,(HLOOKUP($D57,$E$4:$CZ$32,28,FALSE)*'Incremental Repayments'!$I$22)),0),0)</f>
        <v>669494.22059498297</v>
      </c>
      <c r="AV57" s="477">
        <f>IF('Incremental Repayments'!$R$22="Debt",IF(AND(AV$4&gt;=$D57,AV$4&lt;$D57+'Incremental Repayments'!$I$31),-PMT('Interest Rate'!$J$16,'Incremental Repayments'!$I$31,(HLOOKUP($D57,$E$4:$CZ$32,28,FALSE)*'Incremental Repayments'!$I$22)),0),0)</f>
        <v>669494.22059498297</v>
      </c>
      <c r="AW57" s="477">
        <f>IF('Incremental Repayments'!$R$22="Debt",IF(AND(AW$4&gt;=$D57,AW$4&lt;$D57+'Incremental Repayments'!$I$31),-PMT('Interest Rate'!$J$16,'Incremental Repayments'!$I$31,(HLOOKUP($D57,$E$4:$CZ$32,28,FALSE)*'Incremental Repayments'!$I$22)),0),0)</f>
        <v>669494.22059498297</v>
      </c>
      <c r="AX57" s="477">
        <f>IF('Incremental Repayments'!$R$22="Debt",IF(AND(AX$4&gt;=$D57,AX$4&lt;$D57+'Incremental Repayments'!$I$31),-PMT('Interest Rate'!$J$16,'Incremental Repayments'!$I$31,(HLOOKUP($D57,$E$4:$CZ$32,28,FALSE)*'Incremental Repayments'!$I$22)),0),0)</f>
        <v>669494.22059498297</v>
      </c>
      <c r="AY57" s="477">
        <f>IF('Incremental Repayments'!$R$22="Debt",IF(AND(AY$4&gt;=$D57,AY$4&lt;$D57+'Incremental Repayments'!$I$31),-PMT('Interest Rate'!$J$16,'Incremental Repayments'!$I$31,(HLOOKUP($D57,$E$4:$CZ$32,28,FALSE)*'Incremental Repayments'!$I$22)),0),0)</f>
        <v>669494.22059498297</v>
      </c>
      <c r="AZ57" s="477">
        <f>IF('Incremental Repayments'!$R$22="Debt",IF(AND(AZ$4&gt;=$D57,AZ$4&lt;$D57+'Incremental Repayments'!$I$31),-PMT('Interest Rate'!$J$16,'Incremental Repayments'!$I$31,(HLOOKUP($D57,$E$4:$CZ$32,28,FALSE)*'Incremental Repayments'!$I$22)),0),0)</f>
        <v>669494.22059498297</v>
      </c>
      <c r="BA57" s="477">
        <f>IF('Incremental Repayments'!$R$22="Debt",IF(AND(BA$4&gt;=$D57,BA$4&lt;$D57+'Incremental Repayments'!$I$31),-PMT('Interest Rate'!$J$16,'Incremental Repayments'!$I$31,(HLOOKUP($D57,$E$4:$CZ$32,28,FALSE)*'Incremental Repayments'!$I$22)),0),0)</f>
        <v>669494.22059498297</v>
      </c>
      <c r="BB57" s="477">
        <f>IF('Incremental Repayments'!$R$22="Debt",IF(AND(BB$4&gt;=$D57,BB$4&lt;$D57+'Incremental Repayments'!$I$31),-PMT('Interest Rate'!$J$16,'Incremental Repayments'!$I$31,(HLOOKUP($D57,$E$4:$CZ$32,28,FALSE)*'Incremental Repayments'!$I$22)),0),0)</f>
        <v>669494.22059498297</v>
      </c>
      <c r="BC57" s="477">
        <f>IF('Incremental Repayments'!$R$22="Debt",IF(AND(BC$4&gt;=$D57,BC$4&lt;$D57+'Incremental Repayments'!$I$31),-PMT('Interest Rate'!$J$16,'Incremental Repayments'!$I$31,(HLOOKUP($D57,$E$4:$CZ$32,28,FALSE)*'Incremental Repayments'!$I$22)),0),0)</f>
        <v>669494.22059498297</v>
      </c>
      <c r="BD57" s="477">
        <f>IF('Incremental Repayments'!$R$22="Debt",IF(AND(BD$4&gt;=$D57,BD$4&lt;$D57+'Incremental Repayments'!$I$31),-PMT('Interest Rate'!$J$16,'Incremental Repayments'!$I$31,(HLOOKUP($D57,$E$4:$CZ$32,28,FALSE)*'Incremental Repayments'!$I$22)),0),0)</f>
        <v>0</v>
      </c>
      <c r="BE57" s="477">
        <f>IF('Incremental Repayments'!$R$22="Debt",IF(AND(BE$4&gt;=$D57,BE$4&lt;$D57+'Incremental Repayments'!$I$31),-PMT('Interest Rate'!$J$16,'Incremental Repayments'!$I$31,(HLOOKUP($D57,$E$4:$CZ$32,28,FALSE)*'Incremental Repayments'!$I$22)),0),0)</f>
        <v>0</v>
      </c>
      <c r="BF57" s="477">
        <f>IF('Incremental Repayments'!$R$22="Debt",IF(AND(BF$4&gt;=$D57,BF$4&lt;$D57+'Incremental Repayments'!$I$31),-PMT('Interest Rate'!$J$16,'Incremental Repayments'!$I$31,(HLOOKUP($D57,$E$4:$CZ$32,28,FALSE)*'Incremental Repayments'!$I$22)),0),0)</f>
        <v>0</v>
      </c>
      <c r="BG57" s="477">
        <f>IF('Incremental Repayments'!$R$22="Debt",IF(AND(BG$4&gt;=$D57,BG$4&lt;$D57+'Incremental Repayments'!$I$31),-PMT('Interest Rate'!$J$16,'Incremental Repayments'!$I$31,(HLOOKUP($D57,$E$4:$CZ$32,28,FALSE)*'Incremental Repayments'!$I$22)),0),0)</f>
        <v>0</v>
      </c>
      <c r="BH57" s="477">
        <f>IF('Incremental Repayments'!$R$22="Debt",IF(AND(BH$4&gt;=$D57,BH$4&lt;$D57+'Incremental Repayments'!$I$31),-PMT('Interest Rate'!$J$16,'Incremental Repayments'!$I$31,(HLOOKUP($D57,$E$4:$CZ$32,28,FALSE)*'Incremental Repayments'!$I$22)),0),0)</f>
        <v>0</v>
      </c>
      <c r="BI57" s="477">
        <f>IF('Incremental Repayments'!$R$22="Debt",IF(AND(BI$4&gt;=$D57,BI$4&lt;$D57+'Incremental Repayments'!$I$31),-PMT('Interest Rate'!$J$16,'Incremental Repayments'!$I$31,(HLOOKUP($D57,$E$4:$CZ$32,28,FALSE)*'Incremental Repayments'!$I$22)),0),0)</f>
        <v>0</v>
      </c>
      <c r="BJ57" s="477">
        <f>IF('Incremental Repayments'!$R$22="Debt",IF(AND(BJ$4&gt;=$D57,BJ$4&lt;$D57+'Incremental Repayments'!$I$31),-PMT('Interest Rate'!$J$16,'Incremental Repayments'!$I$31,(HLOOKUP($D57,$E$4:$CZ$32,28,FALSE)*'Incremental Repayments'!$I$22)),0),0)</f>
        <v>0</v>
      </c>
      <c r="BK57" s="477">
        <f>IF('Incremental Repayments'!$R$22="Debt",IF(AND(BK$4&gt;=$D57,BK$4&lt;$D57+'Incremental Repayments'!$I$31),-PMT('Interest Rate'!$J$16,'Incremental Repayments'!$I$31,(HLOOKUP($D57,$E$4:$CZ$32,28,FALSE)*'Incremental Repayments'!$I$22)),0),0)</f>
        <v>0</v>
      </c>
      <c r="BL57" s="477">
        <f>IF('Incremental Repayments'!$R$22="Debt",IF(AND(BL$4&gt;=$D57,BL$4&lt;$D57+'Incremental Repayments'!$I$31),-PMT('Interest Rate'!$J$16,'Incremental Repayments'!$I$31,(HLOOKUP($D57,$E$4:$CZ$32,28,FALSE)*'Incremental Repayments'!$I$22)),0),0)</f>
        <v>0</v>
      </c>
      <c r="BM57" s="477">
        <f>IF('Incremental Repayments'!$R$22="Debt",IF(AND(BM$4&gt;=$D57,BM$4&lt;$D57+'Incremental Repayments'!$I$31),-PMT('Interest Rate'!$J$16,'Incremental Repayments'!$I$31,(HLOOKUP($D57,$E$4:$CZ$32,28,FALSE)*'Incremental Repayments'!$I$22)),0),0)</f>
        <v>0</v>
      </c>
      <c r="BN57" s="477">
        <f>IF('Incremental Repayments'!$R$22="Debt",IF(AND(BN$4&gt;=$D57,BN$4&lt;$D57+'Incremental Repayments'!$I$31),-PMT('Interest Rate'!$J$16,'Incremental Repayments'!$I$31,(HLOOKUP($D57,$E$4:$CZ$32,28,FALSE)*'Incremental Repayments'!$I$22)),0),0)</f>
        <v>0</v>
      </c>
      <c r="BO57" s="477">
        <f>IF('Incremental Repayments'!$R$22="Debt",IF(AND(BO$4&gt;=$D57,BO$4&lt;$D57+'Incremental Repayments'!$I$31),-PMT('Interest Rate'!$J$16,'Incremental Repayments'!$I$31,(HLOOKUP($D57,$E$4:$CZ$32,28,FALSE)*'Incremental Repayments'!$I$22)),0),0)</f>
        <v>0</v>
      </c>
      <c r="BP57" s="477">
        <f>IF('Incremental Repayments'!$R$22="Debt",IF(AND(BP$4&gt;=$D57,BP$4&lt;$D57+'Incremental Repayments'!$I$31),-PMT('Interest Rate'!$J$16,'Incremental Repayments'!$I$31,(HLOOKUP($D57,$E$4:$CZ$32,28,FALSE)*'Incremental Repayments'!$I$22)),0),0)</f>
        <v>0</v>
      </c>
      <c r="BQ57" s="477">
        <f>IF('Incremental Repayments'!$R$22="Debt",IF(AND(BQ$4&gt;=$D57,BQ$4&lt;$D57+'Incremental Repayments'!$I$31),-PMT('Interest Rate'!$J$16,'Incremental Repayments'!$I$31,(HLOOKUP($D57,$E$4:$CZ$32,28,FALSE)*'Incremental Repayments'!$I$22)),0),0)</f>
        <v>0</v>
      </c>
      <c r="BR57" s="477">
        <f>IF('Incremental Repayments'!$R$22="Debt",IF(AND(BR$4&gt;=$D57,BR$4&lt;$D57+'Incremental Repayments'!$I$31),-PMT('Interest Rate'!$J$16,'Incremental Repayments'!$I$31,(HLOOKUP($D57,$E$4:$CZ$32,28,FALSE)*'Incremental Repayments'!$I$22)),0),0)</f>
        <v>0</v>
      </c>
      <c r="BS57" s="477">
        <f>IF('Incremental Repayments'!$R$22="Debt",IF(AND(BS$4&gt;=$D57,BS$4&lt;$D57+'Incremental Repayments'!$I$31),-PMT('Interest Rate'!$J$16,'Incremental Repayments'!$I$31,(HLOOKUP($D57,$E$4:$CZ$32,28,FALSE)*'Incremental Repayments'!$I$22)),0),0)</f>
        <v>0</v>
      </c>
      <c r="BT57" s="477">
        <f>IF('Incremental Repayments'!$R$22="Debt",IF(AND(BT$4&gt;=$D57,BT$4&lt;$D57+'Incremental Repayments'!$I$31),-PMT('Interest Rate'!$J$16,'Incremental Repayments'!$I$31,(HLOOKUP($D57,$E$4:$CZ$32,28,FALSE)*'Incremental Repayments'!$I$22)),0),0)</f>
        <v>0</v>
      </c>
      <c r="BU57" s="477">
        <f>IF('Incremental Repayments'!$R$22="Debt",IF(AND(BU$4&gt;=$D57,BU$4&lt;$D57+'Incremental Repayments'!$I$31),-PMT('Interest Rate'!$J$16,'Incremental Repayments'!$I$31,(HLOOKUP($D57,$E$4:$CZ$32,28,FALSE)*'Incremental Repayments'!$I$22)),0),0)</f>
        <v>0</v>
      </c>
      <c r="BV57" s="477">
        <f>IF('Incremental Repayments'!$R$22="Debt",IF(AND(BV$4&gt;=$D57,BV$4&lt;$D57+'Incremental Repayments'!$I$31),-PMT('Interest Rate'!$J$16,'Incremental Repayments'!$I$31,(HLOOKUP($D57,$E$4:$CZ$32,28,FALSE)*'Incremental Repayments'!$I$22)),0),0)</f>
        <v>0</v>
      </c>
      <c r="BW57" s="477">
        <f>IF('Incremental Repayments'!$R$22="Debt",IF(AND(BW$4&gt;=$D57,BW$4&lt;$D57+'Incremental Repayments'!$I$31),-PMT('Interest Rate'!$J$16,'Incremental Repayments'!$I$31,(HLOOKUP($D57,$E$4:$CZ$32,28,FALSE)*'Incremental Repayments'!$I$22)),0),0)</f>
        <v>0</v>
      </c>
      <c r="BX57" s="477">
        <f>IF('Incremental Repayments'!$R$22="Debt",IF(AND(BX$4&gt;=$D57,BX$4&lt;$D57+'Incremental Repayments'!$I$31),-PMT('Interest Rate'!$J$16,'Incremental Repayments'!$I$31,(HLOOKUP($D57,$E$4:$CZ$32,28,FALSE)*'Incremental Repayments'!$I$22)),0),0)</f>
        <v>0</v>
      </c>
      <c r="BY57" s="477">
        <f>IF('Incremental Repayments'!$R$22="Debt",IF(AND(BY$4&gt;=$D57,BY$4&lt;$D57+'Incremental Repayments'!$I$31),-PMT('Interest Rate'!$J$16,'Incremental Repayments'!$I$31,(HLOOKUP($D57,$E$4:$CZ$32,28,FALSE)*'Incremental Repayments'!$I$22)),0),0)</f>
        <v>0</v>
      </c>
      <c r="BZ57" s="477">
        <f>IF('Incremental Repayments'!$R$22="Debt",IF(AND(BZ$4&gt;=$D57,BZ$4&lt;$D57+'Incremental Repayments'!$I$31),-PMT('Interest Rate'!$J$16,'Incremental Repayments'!$I$31,(HLOOKUP($D57,$E$4:$CZ$32,28,FALSE)*'Incremental Repayments'!$I$22)),0),0)</f>
        <v>0</v>
      </c>
      <c r="CA57" s="477">
        <f>IF('Incremental Repayments'!$R$22="Debt",IF(AND(CA$4&gt;=$D57,CA$4&lt;$D57+'Incremental Repayments'!$I$31),-PMT('Interest Rate'!$J$16,'Incremental Repayments'!$I$31,(HLOOKUP($D57,$E$4:$CZ$32,28,FALSE)*'Incremental Repayments'!$I$22)),0),0)</f>
        <v>0</v>
      </c>
      <c r="CB57" s="477">
        <f>IF('Incremental Repayments'!$R$22="Debt",IF(AND(CB$4&gt;=$D57,CB$4&lt;$D57+'Incremental Repayments'!$I$31),-PMT('Interest Rate'!$J$16,'Incremental Repayments'!$I$31,(HLOOKUP($D57,$E$4:$CZ$32,28,FALSE)*'Incremental Repayments'!$I$22)),0),0)</f>
        <v>0</v>
      </c>
      <c r="CC57" s="477">
        <f>IF('Incremental Repayments'!$R$22="Debt",IF(AND(CC$4&gt;=$D57,CC$4&lt;$D57+'Incremental Repayments'!$I$31),-PMT('Interest Rate'!$J$16,'Incremental Repayments'!$I$31,(HLOOKUP($D57,$E$4:$CZ$32,28,FALSE)*'Incremental Repayments'!$I$22)),0),0)</f>
        <v>0</v>
      </c>
      <c r="CD57" s="477">
        <f>IF('Incremental Repayments'!$R$22="Debt",IF(AND(CD$4&gt;=$D57,CD$4&lt;$D57+'Incremental Repayments'!$I$31),-PMT('Interest Rate'!$J$16,'Incremental Repayments'!$I$31,(HLOOKUP($D57,$E$4:$CZ$32,28,FALSE)*'Incremental Repayments'!$I$22)),0),0)</f>
        <v>0</v>
      </c>
      <c r="CE57" s="477">
        <f>IF('Incremental Repayments'!$R$22="Debt",IF(AND(CE$4&gt;=$D57,CE$4&lt;$D57+'Incremental Repayments'!$I$31),-PMT('Interest Rate'!$J$16,'Incremental Repayments'!$I$31,(HLOOKUP($D57,$E$4:$CZ$32,28,FALSE)*'Incremental Repayments'!$I$22)),0),0)</f>
        <v>0</v>
      </c>
      <c r="CF57" s="477">
        <f>IF('Incremental Repayments'!$R$22="Debt",IF(AND(CF$4&gt;=$D57,CF$4&lt;$D57+'Incremental Repayments'!$I$31),-PMT('Interest Rate'!$J$16,'Incremental Repayments'!$I$31,(HLOOKUP($D57,$E$4:$CZ$32,28,FALSE)*'Incremental Repayments'!$I$22)),0),0)</f>
        <v>0</v>
      </c>
      <c r="CG57" s="477">
        <f>IF('Incremental Repayments'!$R$22="Debt",IF(AND(CG$4&gt;=$D57,CG$4&lt;$D57+'Incremental Repayments'!$I$31),-PMT('Interest Rate'!$J$16,'Incremental Repayments'!$I$31,(HLOOKUP($D57,$E$4:$CZ$32,28,FALSE)*'Incremental Repayments'!$I$22)),0),0)</f>
        <v>0</v>
      </c>
      <c r="CH57" s="477">
        <f>IF('Incremental Repayments'!$R$22="Debt",IF(AND(CH$4&gt;=$D57,CH$4&lt;$D57+'Incremental Repayments'!$I$31),-PMT('Interest Rate'!$J$16,'Incremental Repayments'!$I$31,(HLOOKUP($D57,$E$4:$CZ$32,28,FALSE)*'Incremental Repayments'!$I$22)),0),0)</f>
        <v>0</v>
      </c>
      <c r="CI57" s="477">
        <f>IF('Incremental Repayments'!$R$22="Debt",IF(AND(CI$4&gt;=$D57,CI$4&lt;$D57+'Incremental Repayments'!$I$31),-PMT('Interest Rate'!$J$16,'Incremental Repayments'!$I$31,(HLOOKUP($D57,$E$4:$CZ$32,28,FALSE)*'Incremental Repayments'!$I$22)),0),0)</f>
        <v>0</v>
      </c>
      <c r="CJ57" s="477">
        <f>IF('Incremental Repayments'!$R$22="Debt",IF(AND(CJ$4&gt;=$D57,CJ$4&lt;$D57+'Incremental Repayments'!$I$31),-PMT('Interest Rate'!$J$16,'Incremental Repayments'!$I$31,(HLOOKUP($D57,$E$4:$CZ$32,28,FALSE)*'Incremental Repayments'!$I$22)),0),0)</f>
        <v>0</v>
      </c>
      <c r="CK57" s="477">
        <f>IF('Incremental Repayments'!$R$22="Debt",IF(AND(CK$4&gt;=$D57,CK$4&lt;$D57+'Incremental Repayments'!$I$31),-PMT('Interest Rate'!$J$16,'Incremental Repayments'!$I$31,(HLOOKUP($D57,$E$4:$CZ$32,28,FALSE)*'Incremental Repayments'!$I$22)),0),0)</f>
        <v>0</v>
      </c>
      <c r="CL57" s="477">
        <f>IF('Incremental Repayments'!$R$22="Debt",IF(AND(CL$4&gt;=$D57,CL$4&lt;$D57+'Incremental Repayments'!$I$31),-PMT('Interest Rate'!$J$16,'Incremental Repayments'!$I$31,(HLOOKUP($D57,$E$4:$CZ$32,28,FALSE)*'Incremental Repayments'!$I$22)),0),0)</f>
        <v>0</v>
      </c>
      <c r="CM57" s="477">
        <f>IF('Incremental Repayments'!$R$22="Debt",IF(AND(CM$4&gt;=$D57,CM$4&lt;$D57+'Incremental Repayments'!$I$31),-PMT('Interest Rate'!$J$16,'Incremental Repayments'!$I$31,(HLOOKUP($D57,$E$4:$CZ$32,28,FALSE)*'Incremental Repayments'!$I$22)),0),0)</f>
        <v>0</v>
      </c>
      <c r="CN57" s="477">
        <f>IF('Incremental Repayments'!$R$22="Debt",IF(AND(CN$4&gt;=$D57,CN$4&lt;$D57+'Incremental Repayments'!$I$31),-PMT('Interest Rate'!$J$16,'Incremental Repayments'!$I$31,(HLOOKUP($D57,$E$4:$CZ$32,28,FALSE)*'Incremental Repayments'!$I$22)),0),0)</f>
        <v>0</v>
      </c>
      <c r="CO57" s="477">
        <f>IF('Incremental Repayments'!$R$22="Debt",IF(AND(CO$4&gt;=$D57,CO$4&lt;$D57+'Incremental Repayments'!$I$31),-PMT('Interest Rate'!$J$16,'Incremental Repayments'!$I$31,(HLOOKUP($D57,$E$4:$CZ$32,28,FALSE)*'Incremental Repayments'!$I$22)),0),0)</f>
        <v>0</v>
      </c>
      <c r="CP57" s="477">
        <f>IF('Incremental Repayments'!$R$22="Debt",IF(AND(CP$4&gt;=$D57,CP$4&lt;$D57+'Incremental Repayments'!$I$31),-PMT('Interest Rate'!$J$16,'Incremental Repayments'!$I$31,(HLOOKUP($D57,$E$4:$CZ$32,28,FALSE)*'Incremental Repayments'!$I$22)),0),0)</f>
        <v>0</v>
      </c>
      <c r="CQ57" s="477">
        <f>IF('Incremental Repayments'!$R$22="Debt",IF(AND(CQ$4&gt;=$D57,CQ$4&lt;$D57+'Incremental Repayments'!$I$31),-PMT('Interest Rate'!$J$16,'Incremental Repayments'!$I$31,(HLOOKUP($D57,$E$4:$CZ$32,28,FALSE)*'Incremental Repayments'!$I$22)),0),0)</f>
        <v>0</v>
      </c>
      <c r="CR57" s="477">
        <f>IF('Incremental Repayments'!$R$22="Debt",IF(AND(CR$4&gt;=$D57,CR$4&lt;$D57+'Incremental Repayments'!$I$31),-PMT('Interest Rate'!$J$16,'Incremental Repayments'!$I$31,(HLOOKUP($D57,$E$4:$CZ$32,28,FALSE)*'Incremental Repayments'!$I$22)),0),0)</f>
        <v>0</v>
      </c>
      <c r="CS57" s="477">
        <f>IF('Incremental Repayments'!$R$22="Debt",IF(AND(CS$4&gt;=$D57,CS$4&lt;$D57+'Incremental Repayments'!$I$31),-PMT('Interest Rate'!$J$16,'Incremental Repayments'!$I$31,(HLOOKUP($D57,$E$4:$CZ$32,28,FALSE)*'Incremental Repayments'!$I$22)),0),0)</f>
        <v>0</v>
      </c>
      <c r="CT57" s="477">
        <f>IF('Incremental Repayments'!$R$22="Debt",IF(AND(CT$4&gt;=$D57,CT$4&lt;$D57+'Incremental Repayments'!$I$31),-PMT('Interest Rate'!$J$16,'Incremental Repayments'!$I$31,(HLOOKUP($D57,$E$4:$CZ$32,28,FALSE)*'Incremental Repayments'!$I$22)),0),0)</f>
        <v>0</v>
      </c>
      <c r="CU57" s="477">
        <f>IF('Incremental Repayments'!$R$22="Debt",IF(AND(CU$4&gt;=$D57,CU$4&lt;$D57+'Incremental Repayments'!$I$31),-PMT('Interest Rate'!$J$16,'Incremental Repayments'!$I$31,(HLOOKUP($D57,$E$4:$CZ$32,28,FALSE)*'Incremental Repayments'!$I$22)),0),0)</f>
        <v>0</v>
      </c>
      <c r="CV57" s="477">
        <f>IF('Incremental Repayments'!$R$22="Debt",IF(AND(CV$4&gt;=$D57,CV$4&lt;$D57+'Incremental Repayments'!$I$31),-PMT('Interest Rate'!$J$16,'Incremental Repayments'!$I$31,(HLOOKUP($D57,$E$4:$CZ$32,28,FALSE)*'Incremental Repayments'!$I$22)),0),0)</f>
        <v>0</v>
      </c>
      <c r="CW57" s="477">
        <f>IF('Incremental Repayments'!$R$22="Debt",IF(AND(CW$4&gt;=$D57,CW$4&lt;$D57+'Incremental Repayments'!$I$31),-PMT('Interest Rate'!$J$16,'Incremental Repayments'!$I$31,(HLOOKUP($D57,$E$4:$CZ$32,28,FALSE)*'Incremental Repayments'!$I$22)),0),0)</f>
        <v>0</v>
      </c>
      <c r="CX57" s="477">
        <f>IF('Incremental Repayments'!$R$22="Debt",IF(AND(CX$4&gt;=$D57,CX$4&lt;$D57+'Incremental Repayments'!$I$31),-PMT('Interest Rate'!$J$16,'Incremental Repayments'!$I$31,(HLOOKUP($D57,$E$4:$CZ$32,28,FALSE)*'Incremental Repayments'!$I$22)),0),0)</f>
        <v>0</v>
      </c>
      <c r="CY57" s="477">
        <f>IF('Incremental Repayments'!$R$22="Debt",IF(AND(CY$4&gt;=$D57,CY$4&lt;$D57+'Incremental Repayments'!$I$31),-PMT('Interest Rate'!$J$16,'Incremental Repayments'!$I$31,(HLOOKUP($D57,$E$4:$CZ$32,28,FALSE)*'Incremental Repayments'!$I$22)),0),0)</f>
        <v>0</v>
      </c>
      <c r="CZ57" s="477">
        <f>IF('Incremental Repayments'!$R$22="Debt",IF(AND(CZ$4&gt;=$D57,CZ$4&lt;$D57+'Incremental Repayments'!$I$31),-PMT('Interest Rate'!$J$16,'Incremental Repayments'!$I$31,(HLOOKUP($D57,$E$4:$CZ$32,28,FALSE)*'Incremental Repayments'!$I$22)),0),0)</f>
        <v>0</v>
      </c>
    </row>
    <row r="58" spans="1:104" x14ac:dyDescent="0.25">
      <c r="B58" s="480" t="str">
        <f>CONCATENATE("Series ",D58,"A Bonds (at ",'Interest Rate'!$J$16*100,"% Interest)")</f>
        <v>Series 2036A Bonds (at 4.5% Interest)</v>
      </c>
      <c r="C58" s="480"/>
      <c r="D58" s="492">
        <f t="shared" si="492"/>
        <v>2036</v>
      </c>
      <c r="E58" s="477">
        <f>IF('Incremental Repayments'!$R$22="Debt",IF(AND(E$4&gt;=$D58,E$4&lt;$D58+'Incremental Repayments'!$I$31),-PMT('Interest Rate'!$J$16,'Incremental Repayments'!$I$31,(HLOOKUP($D58,$E$4:$CZ$32,28,FALSE)*'Incremental Repayments'!$I$22)),0),0)</f>
        <v>0</v>
      </c>
      <c r="F58" s="477">
        <f>IF('Incremental Repayments'!$R$22="Debt",IF(AND(F$4&gt;=$D58,F$4&lt;$D58+'Incremental Repayments'!$I$31),-PMT('Interest Rate'!$J$16,'Incremental Repayments'!$I$31,(HLOOKUP($D58,$E$4:$CZ$32,28,FALSE)*'Incremental Repayments'!$I$22)),0),0)</f>
        <v>0</v>
      </c>
      <c r="G58" s="477">
        <f>IF('Incremental Repayments'!$R$22="Debt",IF(AND(G$4&gt;=$D58,G$4&lt;$D58+'Incremental Repayments'!$I$31),-PMT('Interest Rate'!$J$16,'Incremental Repayments'!$I$31,(HLOOKUP($D58,$E$4:$CZ$32,28,FALSE)*'Incremental Repayments'!$I$22)),0),0)</f>
        <v>0</v>
      </c>
      <c r="H58" s="477">
        <f>IF('Incremental Repayments'!$R$22="Debt",IF(AND(H$4&gt;=$D58,H$4&lt;$D58+'Incremental Repayments'!$I$31),-PMT('Interest Rate'!$J$16,'Incremental Repayments'!$I$31,(HLOOKUP($D58,$E$4:$CZ$32,28,FALSE)*'Incremental Repayments'!$I$22)),0),0)</f>
        <v>0</v>
      </c>
      <c r="I58" s="477">
        <f>IF('Incremental Repayments'!$R$22="Debt",IF(AND(I$4&gt;=$D58,I$4&lt;$D58+'Incremental Repayments'!$I$31),-PMT('Interest Rate'!$J$16,'Incremental Repayments'!$I$31,(HLOOKUP($D58,$E$4:$CZ$32,28,FALSE)*'Incremental Repayments'!$I$22)),0),0)</f>
        <v>0</v>
      </c>
      <c r="J58" s="477">
        <f>IF('Incremental Repayments'!$R$22="Debt",IF(AND(J$4&gt;=$D58,J$4&lt;$D58+'Incremental Repayments'!$I$31),-PMT('Interest Rate'!$J$16,'Incremental Repayments'!$I$31,(HLOOKUP($D58,$E$4:$CZ$32,28,FALSE)*'Incremental Repayments'!$I$22)),0),0)</f>
        <v>0</v>
      </c>
      <c r="K58" s="477">
        <f>IF('Incremental Repayments'!$R$22="Debt",IF(AND(K$4&gt;=$D58,K$4&lt;$D58+'Incremental Repayments'!$I$31),-PMT('Interest Rate'!$J$16,'Incremental Repayments'!$I$31,(HLOOKUP($D58,$E$4:$CZ$32,28,FALSE)*'Incremental Repayments'!$I$22)),0),0)</f>
        <v>0</v>
      </c>
      <c r="L58" s="477">
        <f>IF('Incremental Repayments'!$R$22="Debt",IF(AND(L$4&gt;=$D58,L$4&lt;$D58+'Incremental Repayments'!$I$31),-PMT('Interest Rate'!$J$16,'Incremental Repayments'!$I$31,(HLOOKUP($D58,$E$4:$CZ$32,28,FALSE)*'Incremental Repayments'!$I$22)),0),0)</f>
        <v>0</v>
      </c>
      <c r="M58" s="477">
        <f>IF('Incremental Repayments'!$R$22="Debt",IF(AND(M$4&gt;=$D58,M$4&lt;$D58+'Incremental Repayments'!$I$31),-PMT('Interest Rate'!$J$16,'Incremental Repayments'!$I$31,(HLOOKUP($D58,$E$4:$CZ$32,28,FALSE)*'Incremental Repayments'!$I$22)),0),0)</f>
        <v>0</v>
      </c>
      <c r="N58" s="477">
        <f>IF('Incremental Repayments'!$R$22="Debt",IF(AND(N$4&gt;=$D58,N$4&lt;$D58+'Incremental Repayments'!$I$31),-PMT('Interest Rate'!$J$16,'Incremental Repayments'!$I$31,(HLOOKUP($D58,$E$4:$CZ$32,28,FALSE)*'Incremental Repayments'!$I$22)),0),0)</f>
        <v>0</v>
      </c>
      <c r="O58" s="477">
        <f>IF('Incremental Repayments'!$R$22="Debt",IF(AND(O$4&gt;=$D58,O$4&lt;$D58+'Incremental Repayments'!$I$31),-PMT('Interest Rate'!$J$16,'Incremental Repayments'!$I$31,(HLOOKUP($D58,$E$4:$CZ$32,28,FALSE)*'Incremental Repayments'!$I$22)),0),0)</f>
        <v>0</v>
      </c>
      <c r="P58" s="477">
        <f>IF('Incremental Repayments'!$R$22="Debt",IF(AND(P$4&gt;=$D58,P$4&lt;$D58+'Incremental Repayments'!$I$31),-PMT('Interest Rate'!$J$16,'Incremental Repayments'!$I$31,(HLOOKUP($D58,$E$4:$CZ$32,28,FALSE)*'Incremental Repayments'!$I$22)),0),0)</f>
        <v>0</v>
      </c>
      <c r="Q58" s="477">
        <f>IF('Incremental Repayments'!$R$22="Debt",IF(AND(Q$4&gt;=$D58,Q$4&lt;$D58+'Incremental Repayments'!$I$31),-PMT('Interest Rate'!$J$16,'Incremental Repayments'!$I$31,(HLOOKUP($D58,$E$4:$CZ$32,28,FALSE)*'Incremental Repayments'!$I$22)),0),0)</f>
        <v>0</v>
      </c>
      <c r="R58" s="477">
        <f>IF('Incremental Repayments'!$R$22="Debt",IF(AND(R$4&gt;=$D58,R$4&lt;$D58+'Incremental Repayments'!$I$31),-PMT('Interest Rate'!$J$16,'Incremental Repayments'!$I$31,(HLOOKUP($D58,$E$4:$CZ$32,28,FALSE)*'Incremental Repayments'!$I$22)),0),0)</f>
        <v>0</v>
      </c>
      <c r="S58" s="477">
        <f>IF('Incremental Repayments'!$R$22="Debt",IF(AND(S$4&gt;=$D58,S$4&lt;$D58+'Incremental Repayments'!$I$31),-PMT('Interest Rate'!$J$16,'Incremental Repayments'!$I$31,(HLOOKUP($D58,$E$4:$CZ$32,28,FALSE)*'Incremental Repayments'!$I$22)),0),0)</f>
        <v>0</v>
      </c>
      <c r="T58" s="477">
        <f>IF('Incremental Repayments'!$R$22="Debt",IF(AND(T$4&gt;=$D58,T$4&lt;$D58+'Incremental Repayments'!$I$31),-PMT('Interest Rate'!$J$16,'Incremental Repayments'!$I$31,(HLOOKUP($D58,$E$4:$CZ$32,28,FALSE)*'Incremental Repayments'!$I$22)),0),0)</f>
        <v>0</v>
      </c>
      <c r="U58" s="477">
        <f>IF('Incremental Repayments'!$R$22="Debt",IF(AND(U$4&gt;=$D58,U$4&lt;$D58+'Incremental Repayments'!$I$31),-PMT('Interest Rate'!$J$16,'Incremental Repayments'!$I$31,(HLOOKUP($D58,$E$4:$CZ$32,28,FALSE)*'Incremental Repayments'!$I$22)),0),0)</f>
        <v>0</v>
      </c>
      <c r="V58" s="477">
        <f>IF('Incremental Repayments'!$R$22="Debt",IF(AND(V$4&gt;=$D58,V$4&lt;$D58+'Incremental Repayments'!$I$31),-PMT('Interest Rate'!$J$16,'Incremental Repayments'!$I$31,(HLOOKUP($D58,$E$4:$CZ$32,28,FALSE)*'Incremental Repayments'!$I$22)),0),0)</f>
        <v>0</v>
      </c>
      <c r="W58" s="477">
        <f>IF('Incremental Repayments'!$R$22="Debt",IF(AND(W$4&gt;=$D58,W$4&lt;$D58+'Incremental Repayments'!$I$31),-PMT('Interest Rate'!$J$16,'Incremental Repayments'!$I$31,(HLOOKUP($D58,$E$4:$CZ$32,28,FALSE)*'Incremental Repayments'!$I$22)),0),0)</f>
        <v>0</v>
      </c>
      <c r="X58" s="477">
        <f>IF('Incremental Repayments'!$R$22="Debt",IF(AND(X$4&gt;=$D58,X$4&lt;$D58+'Incremental Repayments'!$I$31),-PMT('Interest Rate'!$J$16,'Incremental Repayments'!$I$31,(HLOOKUP($D58,$E$4:$CZ$32,28,FALSE)*'Incremental Repayments'!$I$22)),0),0)</f>
        <v>0</v>
      </c>
      <c r="Y58" s="477">
        <f>IF('Incremental Repayments'!$R$22="Debt",IF(AND(Y$4&gt;=$D58,Y$4&lt;$D58+'Incremental Repayments'!$I$31),-PMT('Interest Rate'!$J$16,'Incremental Repayments'!$I$31,(HLOOKUP($D58,$E$4:$CZ$32,28,FALSE)*'Incremental Repayments'!$I$22)),0),0)</f>
        <v>0</v>
      </c>
      <c r="Z58" s="477">
        <f>IF('Incremental Repayments'!$R$22="Debt",IF(AND(Z$4&gt;=$D58,Z$4&lt;$D58+'Incremental Repayments'!$I$31),-PMT('Interest Rate'!$J$16,'Incremental Repayments'!$I$31,(HLOOKUP($D58,$E$4:$CZ$32,28,FALSE)*'Incremental Repayments'!$I$22)),0),0)</f>
        <v>0</v>
      </c>
      <c r="AA58" s="477">
        <f>IF('Incremental Repayments'!$R$22="Debt",IF(AND(AA$4&gt;=$D58,AA$4&lt;$D58+'Incremental Repayments'!$I$31),-PMT('Interest Rate'!$J$16,'Incremental Repayments'!$I$31,(HLOOKUP($D58,$E$4:$CZ$32,28,FALSE)*'Incremental Repayments'!$I$22)),0),0)</f>
        <v>686623.68419097981</v>
      </c>
      <c r="AB58" s="477">
        <f>IF('Incremental Repayments'!$R$22="Debt",IF(AND(AB$4&gt;=$D58,AB$4&lt;$D58+'Incremental Repayments'!$I$31),-PMT('Interest Rate'!$J$16,'Incremental Repayments'!$I$31,(HLOOKUP($D58,$E$4:$CZ$32,28,FALSE)*'Incremental Repayments'!$I$22)),0),0)</f>
        <v>686623.68419097981</v>
      </c>
      <c r="AC58" s="477">
        <f>IF('Incremental Repayments'!$R$22="Debt",IF(AND(AC$4&gt;=$D58,AC$4&lt;$D58+'Incremental Repayments'!$I$31),-PMT('Interest Rate'!$J$16,'Incremental Repayments'!$I$31,(HLOOKUP($D58,$E$4:$CZ$32,28,FALSE)*'Incremental Repayments'!$I$22)),0),0)</f>
        <v>686623.68419097981</v>
      </c>
      <c r="AD58" s="477">
        <f>IF('Incremental Repayments'!$R$22="Debt",IF(AND(AD$4&gt;=$D58,AD$4&lt;$D58+'Incremental Repayments'!$I$31),-PMT('Interest Rate'!$J$16,'Incremental Repayments'!$I$31,(HLOOKUP($D58,$E$4:$CZ$32,28,FALSE)*'Incremental Repayments'!$I$22)),0),0)</f>
        <v>686623.68419097981</v>
      </c>
      <c r="AE58" s="477">
        <f>IF('Incremental Repayments'!$R$22="Debt",IF(AND(AE$4&gt;=$D58,AE$4&lt;$D58+'Incremental Repayments'!$I$31),-PMT('Interest Rate'!$J$16,'Incremental Repayments'!$I$31,(HLOOKUP($D58,$E$4:$CZ$32,28,FALSE)*'Incremental Repayments'!$I$22)),0),0)</f>
        <v>686623.68419097981</v>
      </c>
      <c r="AF58" s="477">
        <f>IF('Incremental Repayments'!$R$22="Debt",IF(AND(AF$4&gt;=$D58,AF$4&lt;$D58+'Incremental Repayments'!$I$31),-PMT('Interest Rate'!$J$16,'Incremental Repayments'!$I$31,(HLOOKUP($D58,$E$4:$CZ$32,28,FALSE)*'Incremental Repayments'!$I$22)),0),0)</f>
        <v>686623.68419097981</v>
      </c>
      <c r="AG58" s="477">
        <f>IF('Incremental Repayments'!$R$22="Debt",IF(AND(AG$4&gt;=$D58,AG$4&lt;$D58+'Incremental Repayments'!$I$31),-PMT('Interest Rate'!$J$16,'Incremental Repayments'!$I$31,(HLOOKUP($D58,$E$4:$CZ$32,28,FALSE)*'Incremental Repayments'!$I$22)),0),0)</f>
        <v>686623.68419097981</v>
      </c>
      <c r="AH58" s="477">
        <f>IF('Incremental Repayments'!$R$22="Debt",IF(AND(AH$4&gt;=$D58,AH$4&lt;$D58+'Incremental Repayments'!$I$31),-PMT('Interest Rate'!$J$16,'Incremental Repayments'!$I$31,(HLOOKUP($D58,$E$4:$CZ$32,28,FALSE)*'Incremental Repayments'!$I$22)),0),0)</f>
        <v>686623.68419097981</v>
      </c>
      <c r="AI58" s="477">
        <f>IF('Incremental Repayments'!$R$22="Debt",IF(AND(AI$4&gt;=$D58,AI$4&lt;$D58+'Incremental Repayments'!$I$31),-PMT('Interest Rate'!$J$16,'Incremental Repayments'!$I$31,(HLOOKUP($D58,$E$4:$CZ$32,28,FALSE)*'Incremental Repayments'!$I$22)),0),0)</f>
        <v>686623.68419097981</v>
      </c>
      <c r="AJ58" s="477">
        <f>IF('Incremental Repayments'!$R$22="Debt",IF(AND(AJ$4&gt;=$D58,AJ$4&lt;$D58+'Incremental Repayments'!$I$31),-PMT('Interest Rate'!$J$16,'Incremental Repayments'!$I$31,(HLOOKUP($D58,$E$4:$CZ$32,28,FALSE)*'Incremental Repayments'!$I$22)),0),0)</f>
        <v>686623.68419097981</v>
      </c>
      <c r="AK58" s="477">
        <f>IF('Incremental Repayments'!$R$22="Debt",IF(AND(AK$4&gt;=$D58,AK$4&lt;$D58+'Incremental Repayments'!$I$31),-PMT('Interest Rate'!$J$16,'Incremental Repayments'!$I$31,(HLOOKUP($D58,$E$4:$CZ$32,28,FALSE)*'Incremental Repayments'!$I$22)),0),0)</f>
        <v>686623.68419097981</v>
      </c>
      <c r="AL58" s="477">
        <f>IF('Incremental Repayments'!$R$22="Debt",IF(AND(AL$4&gt;=$D58,AL$4&lt;$D58+'Incremental Repayments'!$I$31),-PMT('Interest Rate'!$J$16,'Incremental Repayments'!$I$31,(HLOOKUP($D58,$E$4:$CZ$32,28,FALSE)*'Incremental Repayments'!$I$22)),0),0)</f>
        <v>686623.68419097981</v>
      </c>
      <c r="AM58" s="477">
        <f>IF('Incremental Repayments'!$R$22="Debt",IF(AND(AM$4&gt;=$D58,AM$4&lt;$D58+'Incremental Repayments'!$I$31),-PMT('Interest Rate'!$J$16,'Incremental Repayments'!$I$31,(HLOOKUP($D58,$E$4:$CZ$32,28,FALSE)*'Incremental Repayments'!$I$22)),0),0)</f>
        <v>686623.68419097981</v>
      </c>
      <c r="AN58" s="477">
        <f>IF('Incremental Repayments'!$R$22="Debt",IF(AND(AN$4&gt;=$D58,AN$4&lt;$D58+'Incremental Repayments'!$I$31),-PMT('Interest Rate'!$J$16,'Incremental Repayments'!$I$31,(HLOOKUP($D58,$E$4:$CZ$32,28,FALSE)*'Incremental Repayments'!$I$22)),0),0)</f>
        <v>686623.68419097981</v>
      </c>
      <c r="AO58" s="477">
        <f>IF('Incremental Repayments'!$R$22="Debt",IF(AND(AO$4&gt;=$D58,AO$4&lt;$D58+'Incremental Repayments'!$I$31),-PMT('Interest Rate'!$J$16,'Incremental Repayments'!$I$31,(HLOOKUP($D58,$E$4:$CZ$32,28,FALSE)*'Incremental Repayments'!$I$22)),0),0)</f>
        <v>686623.68419097981</v>
      </c>
      <c r="AP58" s="477">
        <f>IF('Incremental Repayments'!$R$22="Debt",IF(AND(AP$4&gt;=$D58,AP$4&lt;$D58+'Incremental Repayments'!$I$31),-PMT('Interest Rate'!$J$16,'Incremental Repayments'!$I$31,(HLOOKUP($D58,$E$4:$CZ$32,28,FALSE)*'Incremental Repayments'!$I$22)),0),0)</f>
        <v>686623.68419097981</v>
      </c>
      <c r="AQ58" s="477">
        <f>IF('Incremental Repayments'!$R$22="Debt",IF(AND(AQ$4&gt;=$D58,AQ$4&lt;$D58+'Incremental Repayments'!$I$31),-PMT('Interest Rate'!$J$16,'Incremental Repayments'!$I$31,(HLOOKUP($D58,$E$4:$CZ$32,28,FALSE)*'Incremental Repayments'!$I$22)),0),0)</f>
        <v>686623.68419097981</v>
      </c>
      <c r="AR58" s="477">
        <f>IF('Incremental Repayments'!$R$22="Debt",IF(AND(AR$4&gt;=$D58,AR$4&lt;$D58+'Incremental Repayments'!$I$31),-PMT('Interest Rate'!$J$16,'Incremental Repayments'!$I$31,(HLOOKUP($D58,$E$4:$CZ$32,28,FALSE)*'Incremental Repayments'!$I$22)),0),0)</f>
        <v>686623.68419097981</v>
      </c>
      <c r="AS58" s="477">
        <f>IF('Incremental Repayments'!$R$22="Debt",IF(AND(AS$4&gt;=$D58,AS$4&lt;$D58+'Incremental Repayments'!$I$31),-PMT('Interest Rate'!$J$16,'Incremental Repayments'!$I$31,(HLOOKUP($D58,$E$4:$CZ$32,28,FALSE)*'Incremental Repayments'!$I$22)),0),0)</f>
        <v>686623.68419097981</v>
      </c>
      <c r="AT58" s="477">
        <f>IF('Incremental Repayments'!$R$22="Debt",IF(AND(AT$4&gt;=$D58,AT$4&lt;$D58+'Incremental Repayments'!$I$31),-PMT('Interest Rate'!$J$16,'Incremental Repayments'!$I$31,(HLOOKUP($D58,$E$4:$CZ$32,28,FALSE)*'Incremental Repayments'!$I$22)),0),0)</f>
        <v>686623.68419097981</v>
      </c>
      <c r="AU58" s="477">
        <f>IF('Incremental Repayments'!$R$22="Debt",IF(AND(AU$4&gt;=$D58,AU$4&lt;$D58+'Incremental Repayments'!$I$31),-PMT('Interest Rate'!$J$16,'Incremental Repayments'!$I$31,(HLOOKUP($D58,$E$4:$CZ$32,28,FALSE)*'Incremental Repayments'!$I$22)),0),0)</f>
        <v>686623.68419097981</v>
      </c>
      <c r="AV58" s="477">
        <f>IF('Incremental Repayments'!$R$22="Debt",IF(AND(AV$4&gt;=$D58,AV$4&lt;$D58+'Incremental Repayments'!$I$31),-PMT('Interest Rate'!$J$16,'Incremental Repayments'!$I$31,(HLOOKUP($D58,$E$4:$CZ$32,28,FALSE)*'Incremental Repayments'!$I$22)),0),0)</f>
        <v>686623.68419097981</v>
      </c>
      <c r="AW58" s="477">
        <f>IF('Incremental Repayments'!$R$22="Debt",IF(AND(AW$4&gt;=$D58,AW$4&lt;$D58+'Incremental Repayments'!$I$31),-PMT('Interest Rate'!$J$16,'Incremental Repayments'!$I$31,(HLOOKUP($D58,$E$4:$CZ$32,28,FALSE)*'Incremental Repayments'!$I$22)),0),0)</f>
        <v>686623.68419097981</v>
      </c>
      <c r="AX58" s="477">
        <f>IF('Incremental Repayments'!$R$22="Debt",IF(AND(AX$4&gt;=$D58,AX$4&lt;$D58+'Incremental Repayments'!$I$31),-PMT('Interest Rate'!$J$16,'Incremental Repayments'!$I$31,(HLOOKUP($D58,$E$4:$CZ$32,28,FALSE)*'Incremental Repayments'!$I$22)),0),0)</f>
        <v>686623.68419097981</v>
      </c>
      <c r="AY58" s="477">
        <f>IF('Incremental Repayments'!$R$22="Debt",IF(AND(AY$4&gt;=$D58,AY$4&lt;$D58+'Incremental Repayments'!$I$31),-PMT('Interest Rate'!$J$16,'Incremental Repayments'!$I$31,(HLOOKUP($D58,$E$4:$CZ$32,28,FALSE)*'Incremental Repayments'!$I$22)),0),0)</f>
        <v>686623.68419097981</v>
      </c>
      <c r="AZ58" s="477">
        <f>IF('Incremental Repayments'!$R$22="Debt",IF(AND(AZ$4&gt;=$D58,AZ$4&lt;$D58+'Incremental Repayments'!$I$31),-PMT('Interest Rate'!$J$16,'Incremental Repayments'!$I$31,(HLOOKUP($D58,$E$4:$CZ$32,28,FALSE)*'Incremental Repayments'!$I$22)),0),0)</f>
        <v>686623.68419097981</v>
      </c>
      <c r="BA58" s="477">
        <f>IF('Incremental Repayments'!$R$22="Debt",IF(AND(BA$4&gt;=$D58,BA$4&lt;$D58+'Incremental Repayments'!$I$31),-PMT('Interest Rate'!$J$16,'Incremental Repayments'!$I$31,(HLOOKUP($D58,$E$4:$CZ$32,28,FALSE)*'Incremental Repayments'!$I$22)),0),0)</f>
        <v>686623.68419097981</v>
      </c>
      <c r="BB58" s="477">
        <f>IF('Incremental Repayments'!$R$22="Debt",IF(AND(BB$4&gt;=$D58,BB$4&lt;$D58+'Incremental Repayments'!$I$31),-PMT('Interest Rate'!$J$16,'Incremental Repayments'!$I$31,(HLOOKUP($D58,$E$4:$CZ$32,28,FALSE)*'Incremental Repayments'!$I$22)),0),0)</f>
        <v>686623.68419097981</v>
      </c>
      <c r="BC58" s="477">
        <f>IF('Incremental Repayments'!$R$22="Debt",IF(AND(BC$4&gt;=$D58,BC$4&lt;$D58+'Incremental Repayments'!$I$31),-PMT('Interest Rate'!$J$16,'Incremental Repayments'!$I$31,(HLOOKUP($D58,$E$4:$CZ$32,28,FALSE)*'Incremental Repayments'!$I$22)),0),0)</f>
        <v>686623.68419097981</v>
      </c>
      <c r="BD58" s="477">
        <f>IF('Incremental Repayments'!$R$22="Debt",IF(AND(BD$4&gt;=$D58,BD$4&lt;$D58+'Incremental Repayments'!$I$31),-PMT('Interest Rate'!$J$16,'Incremental Repayments'!$I$31,(HLOOKUP($D58,$E$4:$CZ$32,28,FALSE)*'Incremental Repayments'!$I$22)),0),0)</f>
        <v>686623.68419097981</v>
      </c>
      <c r="BE58" s="477">
        <f>IF('Incremental Repayments'!$R$22="Debt",IF(AND(BE$4&gt;=$D58,BE$4&lt;$D58+'Incremental Repayments'!$I$31),-PMT('Interest Rate'!$J$16,'Incremental Repayments'!$I$31,(HLOOKUP($D58,$E$4:$CZ$32,28,FALSE)*'Incremental Repayments'!$I$22)),0),0)</f>
        <v>0</v>
      </c>
      <c r="BF58" s="477">
        <f>IF('Incremental Repayments'!$R$22="Debt",IF(AND(BF$4&gt;=$D58,BF$4&lt;$D58+'Incremental Repayments'!$I$31),-PMT('Interest Rate'!$J$16,'Incremental Repayments'!$I$31,(HLOOKUP($D58,$E$4:$CZ$32,28,FALSE)*'Incremental Repayments'!$I$22)),0),0)</f>
        <v>0</v>
      </c>
      <c r="BG58" s="477">
        <f>IF('Incremental Repayments'!$R$22="Debt",IF(AND(BG$4&gt;=$D58,BG$4&lt;$D58+'Incremental Repayments'!$I$31),-PMT('Interest Rate'!$J$16,'Incremental Repayments'!$I$31,(HLOOKUP($D58,$E$4:$CZ$32,28,FALSE)*'Incremental Repayments'!$I$22)),0),0)</f>
        <v>0</v>
      </c>
      <c r="BH58" s="477">
        <f>IF('Incremental Repayments'!$R$22="Debt",IF(AND(BH$4&gt;=$D58,BH$4&lt;$D58+'Incremental Repayments'!$I$31),-PMT('Interest Rate'!$J$16,'Incremental Repayments'!$I$31,(HLOOKUP($D58,$E$4:$CZ$32,28,FALSE)*'Incremental Repayments'!$I$22)),0),0)</f>
        <v>0</v>
      </c>
      <c r="BI58" s="477">
        <f>IF('Incremental Repayments'!$R$22="Debt",IF(AND(BI$4&gt;=$D58,BI$4&lt;$D58+'Incremental Repayments'!$I$31),-PMT('Interest Rate'!$J$16,'Incremental Repayments'!$I$31,(HLOOKUP($D58,$E$4:$CZ$32,28,FALSE)*'Incremental Repayments'!$I$22)),0),0)</f>
        <v>0</v>
      </c>
      <c r="BJ58" s="477">
        <f>IF('Incremental Repayments'!$R$22="Debt",IF(AND(BJ$4&gt;=$D58,BJ$4&lt;$D58+'Incremental Repayments'!$I$31),-PMT('Interest Rate'!$J$16,'Incremental Repayments'!$I$31,(HLOOKUP($D58,$E$4:$CZ$32,28,FALSE)*'Incremental Repayments'!$I$22)),0),0)</f>
        <v>0</v>
      </c>
      <c r="BK58" s="477">
        <f>IF('Incremental Repayments'!$R$22="Debt",IF(AND(BK$4&gt;=$D58,BK$4&lt;$D58+'Incremental Repayments'!$I$31),-PMT('Interest Rate'!$J$16,'Incremental Repayments'!$I$31,(HLOOKUP($D58,$E$4:$CZ$32,28,FALSE)*'Incremental Repayments'!$I$22)),0),0)</f>
        <v>0</v>
      </c>
      <c r="BL58" s="477">
        <f>IF('Incremental Repayments'!$R$22="Debt",IF(AND(BL$4&gt;=$D58,BL$4&lt;$D58+'Incremental Repayments'!$I$31),-PMT('Interest Rate'!$J$16,'Incremental Repayments'!$I$31,(HLOOKUP($D58,$E$4:$CZ$32,28,FALSE)*'Incremental Repayments'!$I$22)),0),0)</f>
        <v>0</v>
      </c>
      <c r="BM58" s="477">
        <f>IF('Incremental Repayments'!$R$22="Debt",IF(AND(BM$4&gt;=$D58,BM$4&lt;$D58+'Incremental Repayments'!$I$31),-PMT('Interest Rate'!$J$16,'Incremental Repayments'!$I$31,(HLOOKUP($D58,$E$4:$CZ$32,28,FALSE)*'Incremental Repayments'!$I$22)),0),0)</f>
        <v>0</v>
      </c>
      <c r="BN58" s="477">
        <f>IF('Incremental Repayments'!$R$22="Debt",IF(AND(BN$4&gt;=$D58,BN$4&lt;$D58+'Incremental Repayments'!$I$31),-PMT('Interest Rate'!$J$16,'Incremental Repayments'!$I$31,(HLOOKUP($D58,$E$4:$CZ$32,28,FALSE)*'Incremental Repayments'!$I$22)),0),0)</f>
        <v>0</v>
      </c>
      <c r="BO58" s="477">
        <f>IF('Incremental Repayments'!$R$22="Debt",IF(AND(BO$4&gt;=$D58,BO$4&lt;$D58+'Incremental Repayments'!$I$31),-PMT('Interest Rate'!$J$16,'Incremental Repayments'!$I$31,(HLOOKUP($D58,$E$4:$CZ$32,28,FALSE)*'Incremental Repayments'!$I$22)),0),0)</f>
        <v>0</v>
      </c>
      <c r="BP58" s="477">
        <f>IF('Incremental Repayments'!$R$22="Debt",IF(AND(BP$4&gt;=$D58,BP$4&lt;$D58+'Incremental Repayments'!$I$31),-PMT('Interest Rate'!$J$16,'Incremental Repayments'!$I$31,(HLOOKUP($D58,$E$4:$CZ$32,28,FALSE)*'Incremental Repayments'!$I$22)),0),0)</f>
        <v>0</v>
      </c>
      <c r="BQ58" s="477">
        <f>IF('Incremental Repayments'!$R$22="Debt",IF(AND(BQ$4&gt;=$D58,BQ$4&lt;$D58+'Incremental Repayments'!$I$31),-PMT('Interest Rate'!$J$16,'Incremental Repayments'!$I$31,(HLOOKUP($D58,$E$4:$CZ$32,28,FALSE)*'Incremental Repayments'!$I$22)),0),0)</f>
        <v>0</v>
      </c>
      <c r="BR58" s="477">
        <f>IF('Incremental Repayments'!$R$22="Debt",IF(AND(BR$4&gt;=$D58,BR$4&lt;$D58+'Incremental Repayments'!$I$31),-PMT('Interest Rate'!$J$16,'Incremental Repayments'!$I$31,(HLOOKUP($D58,$E$4:$CZ$32,28,FALSE)*'Incremental Repayments'!$I$22)),0),0)</f>
        <v>0</v>
      </c>
      <c r="BS58" s="477">
        <f>IF('Incremental Repayments'!$R$22="Debt",IF(AND(BS$4&gt;=$D58,BS$4&lt;$D58+'Incremental Repayments'!$I$31),-PMT('Interest Rate'!$J$16,'Incremental Repayments'!$I$31,(HLOOKUP($D58,$E$4:$CZ$32,28,FALSE)*'Incremental Repayments'!$I$22)),0),0)</f>
        <v>0</v>
      </c>
      <c r="BT58" s="477">
        <f>IF('Incremental Repayments'!$R$22="Debt",IF(AND(BT$4&gt;=$D58,BT$4&lt;$D58+'Incremental Repayments'!$I$31),-PMT('Interest Rate'!$J$16,'Incremental Repayments'!$I$31,(HLOOKUP($D58,$E$4:$CZ$32,28,FALSE)*'Incremental Repayments'!$I$22)),0),0)</f>
        <v>0</v>
      </c>
      <c r="BU58" s="477">
        <f>IF('Incremental Repayments'!$R$22="Debt",IF(AND(BU$4&gt;=$D58,BU$4&lt;$D58+'Incremental Repayments'!$I$31),-PMT('Interest Rate'!$J$16,'Incremental Repayments'!$I$31,(HLOOKUP($D58,$E$4:$CZ$32,28,FALSE)*'Incremental Repayments'!$I$22)),0),0)</f>
        <v>0</v>
      </c>
      <c r="BV58" s="477">
        <f>IF('Incremental Repayments'!$R$22="Debt",IF(AND(BV$4&gt;=$D58,BV$4&lt;$D58+'Incremental Repayments'!$I$31),-PMT('Interest Rate'!$J$16,'Incremental Repayments'!$I$31,(HLOOKUP($D58,$E$4:$CZ$32,28,FALSE)*'Incremental Repayments'!$I$22)),0),0)</f>
        <v>0</v>
      </c>
      <c r="BW58" s="477">
        <f>IF('Incremental Repayments'!$R$22="Debt",IF(AND(BW$4&gt;=$D58,BW$4&lt;$D58+'Incremental Repayments'!$I$31),-PMT('Interest Rate'!$J$16,'Incremental Repayments'!$I$31,(HLOOKUP($D58,$E$4:$CZ$32,28,FALSE)*'Incremental Repayments'!$I$22)),0),0)</f>
        <v>0</v>
      </c>
      <c r="BX58" s="477">
        <f>IF('Incremental Repayments'!$R$22="Debt",IF(AND(BX$4&gt;=$D58,BX$4&lt;$D58+'Incremental Repayments'!$I$31),-PMT('Interest Rate'!$J$16,'Incremental Repayments'!$I$31,(HLOOKUP($D58,$E$4:$CZ$32,28,FALSE)*'Incremental Repayments'!$I$22)),0),0)</f>
        <v>0</v>
      </c>
      <c r="BY58" s="477">
        <f>IF('Incremental Repayments'!$R$22="Debt",IF(AND(BY$4&gt;=$D58,BY$4&lt;$D58+'Incremental Repayments'!$I$31),-PMT('Interest Rate'!$J$16,'Incremental Repayments'!$I$31,(HLOOKUP($D58,$E$4:$CZ$32,28,FALSE)*'Incremental Repayments'!$I$22)),0),0)</f>
        <v>0</v>
      </c>
      <c r="BZ58" s="477">
        <f>IF('Incremental Repayments'!$R$22="Debt",IF(AND(BZ$4&gt;=$D58,BZ$4&lt;$D58+'Incremental Repayments'!$I$31),-PMT('Interest Rate'!$J$16,'Incremental Repayments'!$I$31,(HLOOKUP($D58,$E$4:$CZ$32,28,FALSE)*'Incremental Repayments'!$I$22)),0),0)</f>
        <v>0</v>
      </c>
      <c r="CA58" s="477">
        <f>IF('Incremental Repayments'!$R$22="Debt",IF(AND(CA$4&gt;=$D58,CA$4&lt;$D58+'Incremental Repayments'!$I$31),-PMT('Interest Rate'!$J$16,'Incremental Repayments'!$I$31,(HLOOKUP($D58,$E$4:$CZ$32,28,FALSE)*'Incremental Repayments'!$I$22)),0),0)</f>
        <v>0</v>
      </c>
      <c r="CB58" s="477">
        <f>IF('Incremental Repayments'!$R$22="Debt",IF(AND(CB$4&gt;=$D58,CB$4&lt;$D58+'Incremental Repayments'!$I$31),-PMT('Interest Rate'!$J$16,'Incremental Repayments'!$I$31,(HLOOKUP($D58,$E$4:$CZ$32,28,FALSE)*'Incremental Repayments'!$I$22)),0),0)</f>
        <v>0</v>
      </c>
      <c r="CC58" s="477">
        <f>IF('Incremental Repayments'!$R$22="Debt",IF(AND(CC$4&gt;=$D58,CC$4&lt;$D58+'Incremental Repayments'!$I$31),-PMT('Interest Rate'!$J$16,'Incremental Repayments'!$I$31,(HLOOKUP($D58,$E$4:$CZ$32,28,FALSE)*'Incremental Repayments'!$I$22)),0),0)</f>
        <v>0</v>
      </c>
      <c r="CD58" s="477">
        <f>IF('Incremental Repayments'!$R$22="Debt",IF(AND(CD$4&gt;=$D58,CD$4&lt;$D58+'Incremental Repayments'!$I$31),-PMT('Interest Rate'!$J$16,'Incremental Repayments'!$I$31,(HLOOKUP($D58,$E$4:$CZ$32,28,FALSE)*'Incremental Repayments'!$I$22)),0),0)</f>
        <v>0</v>
      </c>
      <c r="CE58" s="477">
        <f>IF('Incremental Repayments'!$R$22="Debt",IF(AND(CE$4&gt;=$D58,CE$4&lt;$D58+'Incremental Repayments'!$I$31),-PMT('Interest Rate'!$J$16,'Incremental Repayments'!$I$31,(HLOOKUP($D58,$E$4:$CZ$32,28,FALSE)*'Incremental Repayments'!$I$22)),0),0)</f>
        <v>0</v>
      </c>
      <c r="CF58" s="477">
        <f>IF('Incremental Repayments'!$R$22="Debt",IF(AND(CF$4&gt;=$D58,CF$4&lt;$D58+'Incremental Repayments'!$I$31),-PMT('Interest Rate'!$J$16,'Incremental Repayments'!$I$31,(HLOOKUP($D58,$E$4:$CZ$32,28,FALSE)*'Incremental Repayments'!$I$22)),0),0)</f>
        <v>0</v>
      </c>
      <c r="CG58" s="477">
        <f>IF('Incremental Repayments'!$R$22="Debt",IF(AND(CG$4&gt;=$D58,CG$4&lt;$D58+'Incremental Repayments'!$I$31),-PMT('Interest Rate'!$J$16,'Incremental Repayments'!$I$31,(HLOOKUP($D58,$E$4:$CZ$32,28,FALSE)*'Incremental Repayments'!$I$22)),0),0)</f>
        <v>0</v>
      </c>
      <c r="CH58" s="477">
        <f>IF('Incremental Repayments'!$R$22="Debt",IF(AND(CH$4&gt;=$D58,CH$4&lt;$D58+'Incremental Repayments'!$I$31),-PMT('Interest Rate'!$J$16,'Incremental Repayments'!$I$31,(HLOOKUP($D58,$E$4:$CZ$32,28,FALSE)*'Incremental Repayments'!$I$22)),0),0)</f>
        <v>0</v>
      </c>
      <c r="CI58" s="477">
        <f>IF('Incremental Repayments'!$R$22="Debt",IF(AND(CI$4&gt;=$D58,CI$4&lt;$D58+'Incremental Repayments'!$I$31),-PMT('Interest Rate'!$J$16,'Incremental Repayments'!$I$31,(HLOOKUP($D58,$E$4:$CZ$32,28,FALSE)*'Incremental Repayments'!$I$22)),0),0)</f>
        <v>0</v>
      </c>
      <c r="CJ58" s="477">
        <f>IF('Incremental Repayments'!$R$22="Debt",IF(AND(CJ$4&gt;=$D58,CJ$4&lt;$D58+'Incremental Repayments'!$I$31),-PMT('Interest Rate'!$J$16,'Incremental Repayments'!$I$31,(HLOOKUP($D58,$E$4:$CZ$32,28,FALSE)*'Incremental Repayments'!$I$22)),0),0)</f>
        <v>0</v>
      </c>
      <c r="CK58" s="477">
        <f>IF('Incremental Repayments'!$R$22="Debt",IF(AND(CK$4&gt;=$D58,CK$4&lt;$D58+'Incremental Repayments'!$I$31),-PMT('Interest Rate'!$J$16,'Incremental Repayments'!$I$31,(HLOOKUP($D58,$E$4:$CZ$32,28,FALSE)*'Incremental Repayments'!$I$22)),0),0)</f>
        <v>0</v>
      </c>
      <c r="CL58" s="477">
        <f>IF('Incremental Repayments'!$R$22="Debt",IF(AND(CL$4&gt;=$D58,CL$4&lt;$D58+'Incremental Repayments'!$I$31),-PMT('Interest Rate'!$J$16,'Incremental Repayments'!$I$31,(HLOOKUP($D58,$E$4:$CZ$32,28,FALSE)*'Incremental Repayments'!$I$22)),0),0)</f>
        <v>0</v>
      </c>
      <c r="CM58" s="477">
        <f>IF('Incremental Repayments'!$R$22="Debt",IF(AND(CM$4&gt;=$D58,CM$4&lt;$D58+'Incremental Repayments'!$I$31),-PMT('Interest Rate'!$J$16,'Incremental Repayments'!$I$31,(HLOOKUP($D58,$E$4:$CZ$32,28,FALSE)*'Incremental Repayments'!$I$22)),0),0)</f>
        <v>0</v>
      </c>
      <c r="CN58" s="477">
        <f>IF('Incremental Repayments'!$R$22="Debt",IF(AND(CN$4&gt;=$D58,CN$4&lt;$D58+'Incremental Repayments'!$I$31),-PMT('Interest Rate'!$J$16,'Incremental Repayments'!$I$31,(HLOOKUP($D58,$E$4:$CZ$32,28,FALSE)*'Incremental Repayments'!$I$22)),0),0)</f>
        <v>0</v>
      </c>
      <c r="CO58" s="477">
        <f>IF('Incremental Repayments'!$R$22="Debt",IF(AND(CO$4&gt;=$D58,CO$4&lt;$D58+'Incremental Repayments'!$I$31),-PMT('Interest Rate'!$J$16,'Incremental Repayments'!$I$31,(HLOOKUP($D58,$E$4:$CZ$32,28,FALSE)*'Incremental Repayments'!$I$22)),0),0)</f>
        <v>0</v>
      </c>
      <c r="CP58" s="477">
        <f>IF('Incremental Repayments'!$R$22="Debt",IF(AND(CP$4&gt;=$D58,CP$4&lt;$D58+'Incremental Repayments'!$I$31),-PMT('Interest Rate'!$J$16,'Incremental Repayments'!$I$31,(HLOOKUP($D58,$E$4:$CZ$32,28,FALSE)*'Incremental Repayments'!$I$22)),0),0)</f>
        <v>0</v>
      </c>
      <c r="CQ58" s="477">
        <f>IF('Incremental Repayments'!$R$22="Debt",IF(AND(CQ$4&gt;=$D58,CQ$4&lt;$D58+'Incremental Repayments'!$I$31),-PMT('Interest Rate'!$J$16,'Incremental Repayments'!$I$31,(HLOOKUP($D58,$E$4:$CZ$32,28,FALSE)*'Incremental Repayments'!$I$22)),0),0)</f>
        <v>0</v>
      </c>
      <c r="CR58" s="477">
        <f>IF('Incremental Repayments'!$R$22="Debt",IF(AND(CR$4&gt;=$D58,CR$4&lt;$D58+'Incremental Repayments'!$I$31),-PMT('Interest Rate'!$J$16,'Incremental Repayments'!$I$31,(HLOOKUP($D58,$E$4:$CZ$32,28,FALSE)*'Incremental Repayments'!$I$22)),0),0)</f>
        <v>0</v>
      </c>
      <c r="CS58" s="477">
        <f>IF('Incremental Repayments'!$R$22="Debt",IF(AND(CS$4&gt;=$D58,CS$4&lt;$D58+'Incremental Repayments'!$I$31),-PMT('Interest Rate'!$J$16,'Incremental Repayments'!$I$31,(HLOOKUP($D58,$E$4:$CZ$32,28,FALSE)*'Incremental Repayments'!$I$22)),0),0)</f>
        <v>0</v>
      </c>
      <c r="CT58" s="477">
        <f>IF('Incremental Repayments'!$R$22="Debt",IF(AND(CT$4&gt;=$D58,CT$4&lt;$D58+'Incremental Repayments'!$I$31),-PMT('Interest Rate'!$J$16,'Incremental Repayments'!$I$31,(HLOOKUP($D58,$E$4:$CZ$32,28,FALSE)*'Incremental Repayments'!$I$22)),0),0)</f>
        <v>0</v>
      </c>
      <c r="CU58" s="477">
        <f>IF('Incremental Repayments'!$R$22="Debt",IF(AND(CU$4&gt;=$D58,CU$4&lt;$D58+'Incremental Repayments'!$I$31),-PMT('Interest Rate'!$J$16,'Incremental Repayments'!$I$31,(HLOOKUP($D58,$E$4:$CZ$32,28,FALSE)*'Incremental Repayments'!$I$22)),0),0)</f>
        <v>0</v>
      </c>
      <c r="CV58" s="477">
        <f>IF('Incremental Repayments'!$R$22="Debt",IF(AND(CV$4&gt;=$D58,CV$4&lt;$D58+'Incremental Repayments'!$I$31),-PMT('Interest Rate'!$J$16,'Incremental Repayments'!$I$31,(HLOOKUP($D58,$E$4:$CZ$32,28,FALSE)*'Incremental Repayments'!$I$22)),0),0)</f>
        <v>0</v>
      </c>
      <c r="CW58" s="477">
        <f>IF('Incremental Repayments'!$R$22="Debt",IF(AND(CW$4&gt;=$D58,CW$4&lt;$D58+'Incremental Repayments'!$I$31),-PMT('Interest Rate'!$J$16,'Incremental Repayments'!$I$31,(HLOOKUP($D58,$E$4:$CZ$32,28,FALSE)*'Incremental Repayments'!$I$22)),0),0)</f>
        <v>0</v>
      </c>
      <c r="CX58" s="477">
        <f>IF('Incremental Repayments'!$R$22="Debt",IF(AND(CX$4&gt;=$D58,CX$4&lt;$D58+'Incremental Repayments'!$I$31),-PMT('Interest Rate'!$J$16,'Incremental Repayments'!$I$31,(HLOOKUP($D58,$E$4:$CZ$32,28,FALSE)*'Incremental Repayments'!$I$22)),0),0)</f>
        <v>0</v>
      </c>
      <c r="CY58" s="477">
        <f>IF('Incremental Repayments'!$R$22="Debt",IF(AND(CY$4&gt;=$D58,CY$4&lt;$D58+'Incremental Repayments'!$I$31),-PMT('Interest Rate'!$J$16,'Incremental Repayments'!$I$31,(HLOOKUP($D58,$E$4:$CZ$32,28,FALSE)*'Incremental Repayments'!$I$22)),0),0)</f>
        <v>0</v>
      </c>
      <c r="CZ58" s="477">
        <f>IF('Incremental Repayments'!$R$22="Debt",IF(AND(CZ$4&gt;=$D58,CZ$4&lt;$D58+'Incremental Repayments'!$I$31),-PMT('Interest Rate'!$J$16,'Incremental Repayments'!$I$31,(HLOOKUP($D58,$E$4:$CZ$32,28,FALSE)*'Incremental Repayments'!$I$22)),0),0)</f>
        <v>0</v>
      </c>
    </row>
    <row r="59" spans="1:104" x14ac:dyDescent="0.25">
      <c r="B59" s="480" t="str">
        <f>CONCATENATE("Series ",D59,"A Bonds (at ",'Interest Rate'!$J$16*100,"% Interest)")</f>
        <v>Series 2037A Bonds (at 4.5% Interest)</v>
      </c>
      <c r="C59" s="480"/>
      <c r="D59" s="492">
        <f t="shared" si="492"/>
        <v>2037</v>
      </c>
      <c r="E59" s="477">
        <f>IF('Incremental Repayments'!$R$22="Debt",IF(AND(E$4&gt;=$D59,E$4&lt;$D59+'Incremental Repayments'!$I$31),-PMT('Interest Rate'!$J$16,'Incremental Repayments'!$I$31,(HLOOKUP($D59,$E$4:$CZ$32,28,FALSE)*'Incremental Repayments'!$I$22)),0),0)</f>
        <v>0</v>
      </c>
      <c r="F59" s="477">
        <f>IF('Incremental Repayments'!$R$22="Debt",IF(AND(F$4&gt;=$D59,F$4&lt;$D59+'Incremental Repayments'!$I$31),-PMT('Interest Rate'!$J$16,'Incremental Repayments'!$I$31,(HLOOKUP($D59,$E$4:$CZ$32,28,FALSE)*'Incremental Repayments'!$I$22)),0),0)</f>
        <v>0</v>
      </c>
      <c r="G59" s="477">
        <f>IF('Incremental Repayments'!$R$22="Debt",IF(AND(G$4&gt;=$D59,G$4&lt;$D59+'Incremental Repayments'!$I$31),-PMT('Interest Rate'!$J$16,'Incremental Repayments'!$I$31,(HLOOKUP($D59,$E$4:$CZ$32,28,FALSE)*'Incremental Repayments'!$I$22)),0),0)</f>
        <v>0</v>
      </c>
      <c r="H59" s="477">
        <f>IF('Incremental Repayments'!$R$22="Debt",IF(AND(H$4&gt;=$D59,H$4&lt;$D59+'Incremental Repayments'!$I$31),-PMT('Interest Rate'!$J$16,'Incremental Repayments'!$I$31,(HLOOKUP($D59,$E$4:$CZ$32,28,FALSE)*'Incremental Repayments'!$I$22)),0),0)</f>
        <v>0</v>
      </c>
      <c r="I59" s="477">
        <f>IF('Incremental Repayments'!$R$22="Debt",IF(AND(I$4&gt;=$D59,I$4&lt;$D59+'Incremental Repayments'!$I$31),-PMT('Interest Rate'!$J$16,'Incremental Repayments'!$I$31,(HLOOKUP($D59,$E$4:$CZ$32,28,FALSE)*'Incremental Repayments'!$I$22)),0),0)</f>
        <v>0</v>
      </c>
      <c r="J59" s="477">
        <f>IF('Incremental Repayments'!$R$22="Debt",IF(AND(J$4&gt;=$D59,J$4&lt;$D59+'Incremental Repayments'!$I$31),-PMT('Interest Rate'!$J$16,'Incremental Repayments'!$I$31,(HLOOKUP($D59,$E$4:$CZ$32,28,FALSE)*'Incremental Repayments'!$I$22)),0),0)</f>
        <v>0</v>
      </c>
      <c r="K59" s="477">
        <f>IF('Incremental Repayments'!$R$22="Debt",IF(AND(K$4&gt;=$D59,K$4&lt;$D59+'Incremental Repayments'!$I$31),-PMT('Interest Rate'!$J$16,'Incremental Repayments'!$I$31,(HLOOKUP($D59,$E$4:$CZ$32,28,FALSE)*'Incremental Repayments'!$I$22)),0),0)</f>
        <v>0</v>
      </c>
      <c r="L59" s="477">
        <f>IF('Incremental Repayments'!$R$22="Debt",IF(AND(L$4&gt;=$D59,L$4&lt;$D59+'Incremental Repayments'!$I$31),-PMT('Interest Rate'!$J$16,'Incremental Repayments'!$I$31,(HLOOKUP($D59,$E$4:$CZ$32,28,FALSE)*'Incremental Repayments'!$I$22)),0),0)</f>
        <v>0</v>
      </c>
      <c r="M59" s="477">
        <f>IF('Incremental Repayments'!$R$22="Debt",IF(AND(M$4&gt;=$D59,M$4&lt;$D59+'Incremental Repayments'!$I$31),-PMT('Interest Rate'!$J$16,'Incremental Repayments'!$I$31,(HLOOKUP($D59,$E$4:$CZ$32,28,FALSE)*'Incremental Repayments'!$I$22)),0),0)</f>
        <v>0</v>
      </c>
      <c r="N59" s="477">
        <f>IF('Incremental Repayments'!$R$22="Debt",IF(AND(N$4&gt;=$D59,N$4&lt;$D59+'Incremental Repayments'!$I$31),-PMT('Interest Rate'!$J$16,'Incremental Repayments'!$I$31,(HLOOKUP($D59,$E$4:$CZ$32,28,FALSE)*'Incremental Repayments'!$I$22)),0),0)</f>
        <v>0</v>
      </c>
      <c r="O59" s="477">
        <f>IF('Incremental Repayments'!$R$22="Debt",IF(AND(O$4&gt;=$D59,O$4&lt;$D59+'Incremental Repayments'!$I$31),-PMT('Interest Rate'!$J$16,'Incremental Repayments'!$I$31,(HLOOKUP($D59,$E$4:$CZ$32,28,FALSE)*'Incremental Repayments'!$I$22)),0),0)</f>
        <v>0</v>
      </c>
      <c r="P59" s="477">
        <f>IF('Incremental Repayments'!$R$22="Debt",IF(AND(P$4&gt;=$D59,P$4&lt;$D59+'Incremental Repayments'!$I$31),-PMT('Interest Rate'!$J$16,'Incremental Repayments'!$I$31,(HLOOKUP($D59,$E$4:$CZ$32,28,FALSE)*'Incremental Repayments'!$I$22)),0),0)</f>
        <v>0</v>
      </c>
      <c r="Q59" s="477">
        <f>IF('Incremental Repayments'!$R$22="Debt",IF(AND(Q$4&gt;=$D59,Q$4&lt;$D59+'Incremental Repayments'!$I$31),-PMT('Interest Rate'!$J$16,'Incremental Repayments'!$I$31,(HLOOKUP($D59,$E$4:$CZ$32,28,FALSE)*'Incremental Repayments'!$I$22)),0),0)</f>
        <v>0</v>
      </c>
      <c r="R59" s="477">
        <f>IF('Incremental Repayments'!$R$22="Debt",IF(AND(R$4&gt;=$D59,R$4&lt;$D59+'Incremental Repayments'!$I$31),-PMT('Interest Rate'!$J$16,'Incremental Repayments'!$I$31,(HLOOKUP($D59,$E$4:$CZ$32,28,FALSE)*'Incremental Repayments'!$I$22)),0),0)</f>
        <v>0</v>
      </c>
      <c r="S59" s="477">
        <f>IF('Incremental Repayments'!$R$22="Debt",IF(AND(S$4&gt;=$D59,S$4&lt;$D59+'Incremental Repayments'!$I$31),-PMT('Interest Rate'!$J$16,'Incremental Repayments'!$I$31,(HLOOKUP($D59,$E$4:$CZ$32,28,FALSE)*'Incremental Repayments'!$I$22)),0),0)</f>
        <v>0</v>
      </c>
      <c r="T59" s="477">
        <f>IF('Incremental Repayments'!$R$22="Debt",IF(AND(T$4&gt;=$D59,T$4&lt;$D59+'Incremental Repayments'!$I$31),-PMT('Interest Rate'!$J$16,'Incremental Repayments'!$I$31,(HLOOKUP($D59,$E$4:$CZ$32,28,FALSE)*'Incremental Repayments'!$I$22)),0),0)</f>
        <v>0</v>
      </c>
      <c r="U59" s="477">
        <f>IF('Incremental Repayments'!$R$22="Debt",IF(AND(U$4&gt;=$D59,U$4&lt;$D59+'Incremental Repayments'!$I$31),-PMT('Interest Rate'!$J$16,'Incremental Repayments'!$I$31,(HLOOKUP($D59,$E$4:$CZ$32,28,FALSE)*'Incremental Repayments'!$I$22)),0),0)</f>
        <v>0</v>
      </c>
      <c r="V59" s="477">
        <f>IF('Incremental Repayments'!$R$22="Debt",IF(AND(V$4&gt;=$D59,V$4&lt;$D59+'Incremental Repayments'!$I$31),-PMT('Interest Rate'!$J$16,'Incremental Repayments'!$I$31,(HLOOKUP($D59,$E$4:$CZ$32,28,FALSE)*'Incremental Repayments'!$I$22)),0),0)</f>
        <v>0</v>
      </c>
      <c r="W59" s="477">
        <f>IF('Incremental Repayments'!$R$22="Debt",IF(AND(W$4&gt;=$D59,W$4&lt;$D59+'Incremental Repayments'!$I$31),-PMT('Interest Rate'!$J$16,'Incremental Repayments'!$I$31,(HLOOKUP($D59,$E$4:$CZ$32,28,FALSE)*'Incremental Repayments'!$I$22)),0),0)</f>
        <v>0</v>
      </c>
      <c r="X59" s="477">
        <f>IF('Incremental Repayments'!$R$22="Debt",IF(AND(X$4&gt;=$D59,X$4&lt;$D59+'Incremental Repayments'!$I$31),-PMT('Interest Rate'!$J$16,'Incremental Repayments'!$I$31,(HLOOKUP($D59,$E$4:$CZ$32,28,FALSE)*'Incremental Repayments'!$I$22)),0),0)</f>
        <v>0</v>
      </c>
      <c r="Y59" s="477">
        <f>IF('Incremental Repayments'!$R$22="Debt",IF(AND(Y$4&gt;=$D59,Y$4&lt;$D59+'Incremental Repayments'!$I$31),-PMT('Interest Rate'!$J$16,'Incremental Repayments'!$I$31,(HLOOKUP($D59,$E$4:$CZ$32,28,FALSE)*'Incremental Repayments'!$I$22)),0),0)</f>
        <v>0</v>
      </c>
      <c r="Z59" s="477">
        <f>IF('Incremental Repayments'!$R$22="Debt",IF(AND(Z$4&gt;=$D59,Z$4&lt;$D59+'Incremental Repayments'!$I$31),-PMT('Interest Rate'!$J$16,'Incremental Repayments'!$I$31,(HLOOKUP($D59,$E$4:$CZ$32,28,FALSE)*'Incremental Repayments'!$I$22)),0),0)</f>
        <v>0</v>
      </c>
      <c r="AA59" s="477">
        <f>IF('Incremental Repayments'!$R$22="Debt",IF(AND(AA$4&gt;=$D59,AA$4&lt;$D59+'Incremental Repayments'!$I$31),-PMT('Interest Rate'!$J$16,'Incremental Repayments'!$I$31,(HLOOKUP($D59,$E$4:$CZ$32,28,FALSE)*'Incremental Repayments'!$I$22)),0),0)</f>
        <v>0</v>
      </c>
      <c r="AB59" s="477">
        <f>IF('Incremental Repayments'!$R$22="Debt",IF(AND(AB$4&gt;=$D59,AB$4&lt;$D59+'Incremental Repayments'!$I$31),-PMT('Interest Rate'!$J$16,'Incremental Repayments'!$I$31,(HLOOKUP($D59,$E$4:$CZ$32,28,FALSE)*'Incremental Repayments'!$I$22)),0),0)</f>
        <v>704185.73053127353</v>
      </c>
      <c r="AC59" s="477">
        <f>IF('Incremental Repayments'!$R$22="Debt",IF(AND(AC$4&gt;=$D59,AC$4&lt;$D59+'Incremental Repayments'!$I$31),-PMT('Interest Rate'!$J$16,'Incremental Repayments'!$I$31,(HLOOKUP($D59,$E$4:$CZ$32,28,FALSE)*'Incremental Repayments'!$I$22)),0),0)</f>
        <v>704185.73053127353</v>
      </c>
      <c r="AD59" s="477">
        <f>IF('Incremental Repayments'!$R$22="Debt",IF(AND(AD$4&gt;=$D59,AD$4&lt;$D59+'Incremental Repayments'!$I$31),-PMT('Interest Rate'!$J$16,'Incremental Repayments'!$I$31,(HLOOKUP($D59,$E$4:$CZ$32,28,FALSE)*'Incremental Repayments'!$I$22)),0),0)</f>
        <v>704185.73053127353</v>
      </c>
      <c r="AE59" s="477">
        <f>IF('Incremental Repayments'!$R$22="Debt",IF(AND(AE$4&gt;=$D59,AE$4&lt;$D59+'Incremental Repayments'!$I$31),-PMT('Interest Rate'!$J$16,'Incremental Repayments'!$I$31,(HLOOKUP($D59,$E$4:$CZ$32,28,FALSE)*'Incremental Repayments'!$I$22)),0),0)</f>
        <v>704185.73053127353</v>
      </c>
      <c r="AF59" s="477">
        <f>IF('Incremental Repayments'!$R$22="Debt",IF(AND(AF$4&gt;=$D59,AF$4&lt;$D59+'Incremental Repayments'!$I$31),-PMT('Interest Rate'!$J$16,'Incremental Repayments'!$I$31,(HLOOKUP($D59,$E$4:$CZ$32,28,FALSE)*'Incremental Repayments'!$I$22)),0),0)</f>
        <v>704185.73053127353</v>
      </c>
      <c r="AG59" s="477">
        <f>IF('Incremental Repayments'!$R$22="Debt",IF(AND(AG$4&gt;=$D59,AG$4&lt;$D59+'Incremental Repayments'!$I$31),-PMT('Interest Rate'!$J$16,'Incremental Repayments'!$I$31,(HLOOKUP($D59,$E$4:$CZ$32,28,FALSE)*'Incremental Repayments'!$I$22)),0),0)</f>
        <v>704185.73053127353</v>
      </c>
      <c r="AH59" s="477">
        <f>IF('Incremental Repayments'!$R$22="Debt",IF(AND(AH$4&gt;=$D59,AH$4&lt;$D59+'Incremental Repayments'!$I$31),-PMT('Interest Rate'!$J$16,'Incremental Repayments'!$I$31,(HLOOKUP($D59,$E$4:$CZ$32,28,FALSE)*'Incremental Repayments'!$I$22)),0),0)</f>
        <v>704185.73053127353</v>
      </c>
      <c r="AI59" s="477">
        <f>IF('Incremental Repayments'!$R$22="Debt",IF(AND(AI$4&gt;=$D59,AI$4&lt;$D59+'Incremental Repayments'!$I$31),-PMT('Interest Rate'!$J$16,'Incremental Repayments'!$I$31,(HLOOKUP($D59,$E$4:$CZ$32,28,FALSE)*'Incremental Repayments'!$I$22)),0),0)</f>
        <v>704185.73053127353</v>
      </c>
      <c r="AJ59" s="477">
        <f>IF('Incremental Repayments'!$R$22="Debt",IF(AND(AJ$4&gt;=$D59,AJ$4&lt;$D59+'Incremental Repayments'!$I$31),-PMT('Interest Rate'!$J$16,'Incremental Repayments'!$I$31,(HLOOKUP($D59,$E$4:$CZ$32,28,FALSE)*'Incremental Repayments'!$I$22)),0),0)</f>
        <v>704185.73053127353</v>
      </c>
      <c r="AK59" s="477">
        <f>IF('Incremental Repayments'!$R$22="Debt",IF(AND(AK$4&gt;=$D59,AK$4&lt;$D59+'Incremental Repayments'!$I$31),-PMT('Interest Rate'!$J$16,'Incremental Repayments'!$I$31,(HLOOKUP($D59,$E$4:$CZ$32,28,FALSE)*'Incremental Repayments'!$I$22)),0),0)</f>
        <v>704185.73053127353</v>
      </c>
      <c r="AL59" s="477">
        <f>IF('Incremental Repayments'!$R$22="Debt",IF(AND(AL$4&gt;=$D59,AL$4&lt;$D59+'Incremental Repayments'!$I$31),-PMT('Interest Rate'!$J$16,'Incremental Repayments'!$I$31,(HLOOKUP($D59,$E$4:$CZ$32,28,FALSE)*'Incremental Repayments'!$I$22)),0),0)</f>
        <v>704185.73053127353</v>
      </c>
      <c r="AM59" s="477">
        <f>IF('Incremental Repayments'!$R$22="Debt",IF(AND(AM$4&gt;=$D59,AM$4&lt;$D59+'Incremental Repayments'!$I$31),-PMT('Interest Rate'!$J$16,'Incremental Repayments'!$I$31,(HLOOKUP($D59,$E$4:$CZ$32,28,FALSE)*'Incremental Repayments'!$I$22)),0),0)</f>
        <v>704185.73053127353</v>
      </c>
      <c r="AN59" s="477">
        <f>IF('Incremental Repayments'!$R$22="Debt",IF(AND(AN$4&gt;=$D59,AN$4&lt;$D59+'Incremental Repayments'!$I$31),-PMT('Interest Rate'!$J$16,'Incremental Repayments'!$I$31,(HLOOKUP($D59,$E$4:$CZ$32,28,FALSE)*'Incremental Repayments'!$I$22)),0),0)</f>
        <v>704185.73053127353</v>
      </c>
      <c r="AO59" s="477">
        <f>IF('Incremental Repayments'!$R$22="Debt",IF(AND(AO$4&gt;=$D59,AO$4&lt;$D59+'Incremental Repayments'!$I$31),-PMT('Interest Rate'!$J$16,'Incremental Repayments'!$I$31,(HLOOKUP($D59,$E$4:$CZ$32,28,FALSE)*'Incremental Repayments'!$I$22)),0),0)</f>
        <v>704185.73053127353</v>
      </c>
      <c r="AP59" s="477">
        <f>IF('Incremental Repayments'!$R$22="Debt",IF(AND(AP$4&gt;=$D59,AP$4&lt;$D59+'Incremental Repayments'!$I$31),-PMT('Interest Rate'!$J$16,'Incremental Repayments'!$I$31,(HLOOKUP($D59,$E$4:$CZ$32,28,FALSE)*'Incremental Repayments'!$I$22)),0),0)</f>
        <v>704185.73053127353</v>
      </c>
      <c r="AQ59" s="477">
        <f>IF('Incremental Repayments'!$R$22="Debt",IF(AND(AQ$4&gt;=$D59,AQ$4&lt;$D59+'Incremental Repayments'!$I$31),-PMT('Interest Rate'!$J$16,'Incremental Repayments'!$I$31,(HLOOKUP($D59,$E$4:$CZ$32,28,FALSE)*'Incremental Repayments'!$I$22)),0),0)</f>
        <v>704185.73053127353</v>
      </c>
      <c r="AR59" s="477">
        <f>IF('Incremental Repayments'!$R$22="Debt",IF(AND(AR$4&gt;=$D59,AR$4&lt;$D59+'Incremental Repayments'!$I$31),-PMT('Interest Rate'!$J$16,'Incremental Repayments'!$I$31,(HLOOKUP($D59,$E$4:$CZ$32,28,FALSE)*'Incremental Repayments'!$I$22)),0),0)</f>
        <v>704185.73053127353</v>
      </c>
      <c r="AS59" s="477">
        <f>IF('Incremental Repayments'!$R$22="Debt",IF(AND(AS$4&gt;=$D59,AS$4&lt;$D59+'Incremental Repayments'!$I$31),-PMT('Interest Rate'!$J$16,'Incremental Repayments'!$I$31,(HLOOKUP($D59,$E$4:$CZ$32,28,FALSE)*'Incremental Repayments'!$I$22)),0),0)</f>
        <v>704185.73053127353</v>
      </c>
      <c r="AT59" s="477">
        <f>IF('Incremental Repayments'!$R$22="Debt",IF(AND(AT$4&gt;=$D59,AT$4&lt;$D59+'Incremental Repayments'!$I$31),-PMT('Interest Rate'!$J$16,'Incremental Repayments'!$I$31,(HLOOKUP($D59,$E$4:$CZ$32,28,FALSE)*'Incremental Repayments'!$I$22)),0),0)</f>
        <v>704185.73053127353</v>
      </c>
      <c r="AU59" s="477">
        <f>IF('Incremental Repayments'!$R$22="Debt",IF(AND(AU$4&gt;=$D59,AU$4&lt;$D59+'Incremental Repayments'!$I$31),-PMT('Interest Rate'!$J$16,'Incremental Repayments'!$I$31,(HLOOKUP($D59,$E$4:$CZ$32,28,FALSE)*'Incremental Repayments'!$I$22)),0),0)</f>
        <v>704185.73053127353</v>
      </c>
      <c r="AV59" s="477">
        <f>IF('Incremental Repayments'!$R$22="Debt",IF(AND(AV$4&gt;=$D59,AV$4&lt;$D59+'Incremental Repayments'!$I$31),-PMT('Interest Rate'!$J$16,'Incremental Repayments'!$I$31,(HLOOKUP($D59,$E$4:$CZ$32,28,FALSE)*'Incremental Repayments'!$I$22)),0),0)</f>
        <v>704185.73053127353</v>
      </c>
      <c r="AW59" s="477">
        <f>IF('Incremental Repayments'!$R$22="Debt",IF(AND(AW$4&gt;=$D59,AW$4&lt;$D59+'Incremental Repayments'!$I$31),-PMT('Interest Rate'!$J$16,'Incremental Repayments'!$I$31,(HLOOKUP($D59,$E$4:$CZ$32,28,FALSE)*'Incremental Repayments'!$I$22)),0),0)</f>
        <v>704185.73053127353</v>
      </c>
      <c r="AX59" s="477">
        <f>IF('Incremental Repayments'!$R$22="Debt",IF(AND(AX$4&gt;=$D59,AX$4&lt;$D59+'Incremental Repayments'!$I$31),-PMT('Interest Rate'!$J$16,'Incremental Repayments'!$I$31,(HLOOKUP($D59,$E$4:$CZ$32,28,FALSE)*'Incremental Repayments'!$I$22)),0),0)</f>
        <v>704185.73053127353</v>
      </c>
      <c r="AY59" s="477">
        <f>IF('Incremental Repayments'!$R$22="Debt",IF(AND(AY$4&gt;=$D59,AY$4&lt;$D59+'Incremental Repayments'!$I$31),-PMT('Interest Rate'!$J$16,'Incremental Repayments'!$I$31,(HLOOKUP($D59,$E$4:$CZ$32,28,FALSE)*'Incremental Repayments'!$I$22)),0),0)</f>
        <v>704185.73053127353</v>
      </c>
      <c r="AZ59" s="477">
        <f>IF('Incremental Repayments'!$R$22="Debt",IF(AND(AZ$4&gt;=$D59,AZ$4&lt;$D59+'Incremental Repayments'!$I$31),-PMT('Interest Rate'!$J$16,'Incremental Repayments'!$I$31,(HLOOKUP($D59,$E$4:$CZ$32,28,FALSE)*'Incremental Repayments'!$I$22)),0),0)</f>
        <v>704185.73053127353</v>
      </c>
      <c r="BA59" s="477">
        <f>IF('Incremental Repayments'!$R$22="Debt",IF(AND(BA$4&gt;=$D59,BA$4&lt;$D59+'Incremental Repayments'!$I$31),-PMT('Interest Rate'!$J$16,'Incremental Repayments'!$I$31,(HLOOKUP($D59,$E$4:$CZ$32,28,FALSE)*'Incremental Repayments'!$I$22)),0),0)</f>
        <v>704185.73053127353</v>
      </c>
      <c r="BB59" s="477">
        <f>IF('Incremental Repayments'!$R$22="Debt",IF(AND(BB$4&gt;=$D59,BB$4&lt;$D59+'Incremental Repayments'!$I$31),-PMT('Interest Rate'!$J$16,'Incremental Repayments'!$I$31,(HLOOKUP($D59,$E$4:$CZ$32,28,FALSE)*'Incremental Repayments'!$I$22)),0),0)</f>
        <v>704185.73053127353</v>
      </c>
      <c r="BC59" s="477">
        <f>IF('Incremental Repayments'!$R$22="Debt",IF(AND(BC$4&gt;=$D59,BC$4&lt;$D59+'Incremental Repayments'!$I$31),-PMT('Interest Rate'!$J$16,'Incremental Repayments'!$I$31,(HLOOKUP($D59,$E$4:$CZ$32,28,FALSE)*'Incremental Repayments'!$I$22)),0),0)</f>
        <v>704185.73053127353</v>
      </c>
      <c r="BD59" s="477">
        <f>IF('Incremental Repayments'!$R$22="Debt",IF(AND(BD$4&gt;=$D59,BD$4&lt;$D59+'Incremental Repayments'!$I$31),-PMT('Interest Rate'!$J$16,'Incremental Repayments'!$I$31,(HLOOKUP($D59,$E$4:$CZ$32,28,FALSE)*'Incremental Repayments'!$I$22)),0),0)</f>
        <v>704185.73053127353</v>
      </c>
      <c r="BE59" s="477">
        <f>IF('Incremental Repayments'!$R$22="Debt",IF(AND(BE$4&gt;=$D59,BE$4&lt;$D59+'Incremental Repayments'!$I$31),-PMT('Interest Rate'!$J$16,'Incremental Repayments'!$I$31,(HLOOKUP($D59,$E$4:$CZ$32,28,FALSE)*'Incremental Repayments'!$I$22)),0),0)</f>
        <v>704185.73053127353</v>
      </c>
      <c r="BF59" s="477">
        <f>IF('Incremental Repayments'!$R$22="Debt",IF(AND(BF$4&gt;=$D59,BF$4&lt;$D59+'Incremental Repayments'!$I$31),-PMT('Interest Rate'!$J$16,'Incremental Repayments'!$I$31,(HLOOKUP($D59,$E$4:$CZ$32,28,FALSE)*'Incremental Repayments'!$I$22)),0),0)</f>
        <v>0</v>
      </c>
      <c r="BG59" s="477">
        <f>IF('Incremental Repayments'!$R$22="Debt",IF(AND(BG$4&gt;=$D59,BG$4&lt;$D59+'Incremental Repayments'!$I$31),-PMT('Interest Rate'!$J$16,'Incremental Repayments'!$I$31,(HLOOKUP($D59,$E$4:$CZ$32,28,FALSE)*'Incremental Repayments'!$I$22)),0),0)</f>
        <v>0</v>
      </c>
      <c r="BH59" s="477">
        <f>IF('Incremental Repayments'!$R$22="Debt",IF(AND(BH$4&gt;=$D59,BH$4&lt;$D59+'Incremental Repayments'!$I$31),-PMT('Interest Rate'!$J$16,'Incremental Repayments'!$I$31,(HLOOKUP($D59,$E$4:$CZ$32,28,FALSE)*'Incremental Repayments'!$I$22)),0),0)</f>
        <v>0</v>
      </c>
      <c r="BI59" s="477">
        <f>IF('Incremental Repayments'!$R$22="Debt",IF(AND(BI$4&gt;=$D59,BI$4&lt;$D59+'Incremental Repayments'!$I$31),-PMT('Interest Rate'!$J$16,'Incremental Repayments'!$I$31,(HLOOKUP($D59,$E$4:$CZ$32,28,FALSE)*'Incremental Repayments'!$I$22)),0),0)</f>
        <v>0</v>
      </c>
      <c r="BJ59" s="477">
        <f>IF('Incremental Repayments'!$R$22="Debt",IF(AND(BJ$4&gt;=$D59,BJ$4&lt;$D59+'Incremental Repayments'!$I$31),-PMT('Interest Rate'!$J$16,'Incremental Repayments'!$I$31,(HLOOKUP($D59,$E$4:$CZ$32,28,FALSE)*'Incremental Repayments'!$I$22)),0),0)</f>
        <v>0</v>
      </c>
      <c r="BK59" s="477">
        <f>IF('Incremental Repayments'!$R$22="Debt",IF(AND(BK$4&gt;=$D59,BK$4&lt;$D59+'Incremental Repayments'!$I$31),-PMT('Interest Rate'!$J$16,'Incremental Repayments'!$I$31,(HLOOKUP($D59,$E$4:$CZ$32,28,FALSE)*'Incremental Repayments'!$I$22)),0),0)</f>
        <v>0</v>
      </c>
      <c r="BL59" s="477">
        <f>IF('Incremental Repayments'!$R$22="Debt",IF(AND(BL$4&gt;=$D59,BL$4&lt;$D59+'Incremental Repayments'!$I$31),-PMT('Interest Rate'!$J$16,'Incremental Repayments'!$I$31,(HLOOKUP($D59,$E$4:$CZ$32,28,FALSE)*'Incremental Repayments'!$I$22)),0),0)</f>
        <v>0</v>
      </c>
      <c r="BM59" s="477">
        <f>IF('Incremental Repayments'!$R$22="Debt",IF(AND(BM$4&gt;=$D59,BM$4&lt;$D59+'Incremental Repayments'!$I$31),-PMT('Interest Rate'!$J$16,'Incremental Repayments'!$I$31,(HLOOKUP($D59,$E$4:$CZ$32,28,FALSE)*'Incremental Repayments'!$I$22)),0),0)</f>
        <v>0</v>
      </c>
      <c r="BN59" s="477">
        <f>IF('Incremental Repayments'!$R$22="Debt",IF(AND(BN$4&gt;=$D59,BN$4&lt;$D59+'Incremental Repayments'!$I$31),-PMT('Interest Rate'!$J$16,'Incremental Repayments'!$I$31,(HLOOKUP($D59,$E$4:$CZ$32,28,FALSE)*'Incremental Repayments'!$I$22)),0),0)</f>
        <v>0</v>
      </c>
      <c r="BO59" s="477">
        <f>IF('Incremental Repayments'!$R$22="Debt",IF(AND(BO$4&gt;=$D59,BO$4&lt;$D59+'Incremental Repayments'!$I$31),-PMT('Interest Rate'!$J$16,'Incremental Repayments'!$I$31,(HLOOKUP($D59,$E$4:$CZ$32,28,FALSE)*'Incremental Repayments'!$I$22)),0),0)</f>
        <v>0</v>
      </c>
      <c r="BP59" s="477">
        <f>IF('Incremental Repayments'!$R$22="Debt",IF(AND(BP$4&gt;=$D59,BP$4&lt;$D59+'Incremental Repayments'!$I$31),-PMT('Interest Rate'!$J$16,'Incremental Repayments'!$I$31,(HLOOKUP($D59,$E$4:$CZ$32,28,FALSE)*'Incremental Repayments'!$I$22)),0),0)</f>
        <v>0</v>
      </c>
      <c r="BQ59" s="477">
        <f>IF('Incremental Repayments'!$R$22="Debt",IF(AND(BQ$4&gt;=$D59,BQ$4&lt;$D59+'Incremental Repayments'!$I$31),-PMT('Interest Rate'!$J$16,'Incremental Repayments'!$I$31,(HLOOKUP($D59,$E$4:$CZ$32,28,FALSE)*'Incremental Repayments'!$I$22)),0),0)</f>
        <v>0</v>
      </c>
      <c r="BR59" s="477">
        <f>IF('Incremental Repayments'!$R$22="Debt",IF(AND(BR$4&gt;=$D59,BR$4&lt;$D59+'Incremental Repayments'!$I$31),-PMT('Interest Rate'!$J$16,'Incremental Repayments'!$I$31,(HLOOKUP($D59,$E$4:$CZ$32,28,FALSE)*'Incremental Repayments'!$I$22)),0),0)</f>
        <v>0</v>
      </c>
      <c r="BS59" s="477">
        <f>IF('Incremental Repayments'!$R$22="Debt",IF(AND(BS$4&gt;=$D59,BS$4&lt;$D59+'Incremental Repayments'!$I$31),-PMT('Interest Rate'!$J$16,'Incremental Repayments'!$I$31,(HLOOKUP($D59,$E$4:$CZ$32,28,FALSE)*'Incremental Repayments'!$I$22)),0),0)</f>
        <v>0</v>
      </c>
      <c r="BT59" s="477">
        <f>IF('Incremental Repayments'!$R$22="Debt",IF(AND(BT$4&gt;=$D59,BT$4&lt;$D59+'Incremental Repayments'!$I$31),-PMT('Interest Rate'!$J$16,'Incremental Repayments'!$I$31,(HLOOKUP($D59,$E$4:$CZ$32,28,FALSE)*'Incremental Repayments'!$I$22)),0),0)</f>
        <v>0</v>
      </c>
      <c r="BU59" s="477">
        <f>IF('Incremental Repayments'!$R$22="Debt",IF(AND(BU$4&gt;=$D59,BU$4&lt;$D59+'Incremental Repayments'!$I$31),-PMT('Interest Rate'!$J$16,'Incremental Repayments'!$I$31,(HLOOKUP($D59,$E$4:$CZ$32,28,FALSE)*'Incremental Repayments'!$I$22)),0),0)</f>
        <v>0</v>
      </c>
      <c r="BV59" s="477">
        <f>IF('Incremental Repayments'!$R$22="Debt",IF(AND(BV$4&gt;=$D59,BV$4&lt;$D59+'Incremental Repayments'!$I$31),-PMT('Interest Rate'!$J$16,'Incremental Repayments'!$I$31,(HLOOKUP($D59,$E$4:$CZ$32,28,FALSE)*'Incremental Repayments'!$I$22)),0),0)</f>
        <v>0</v>
      </c>
      <c r="BW59" s="477">
        <f>IF('Incremental Repayments'!$R$22="Debt",IF(AND(BW$4&gt;=$D59,BW$4&lt;$D59+'Incremental Repayments'!$I$31),-PMT('Interest Rate'!$J$16,'Incremental Repayments'!$I$31,(HLOOKUP($D59,$E$4:$CZ$32,28,FALSE)*'Incremental Repayments'!$I$22)),0),0)</f>
        <v>0</v>
      </c>
      <c r="BX59" s="477">
        <f>IF('Incremental Repayments'!$R$22="Debt",IF(AND(BX$4&gt;=$D59,BX$4&lt;$D59+'Incremental Repayments'!$I$31),-PMT('Interest Rate'!$J$16,'Incremental Repayments'!$I$31,(HLOOKUP($D59,$E$4:$CZ$32,28,FALSE)*'Incremental Repayments'!$I$22)),0),0)</f>
        <v>0</v>
      </c>
      <c r="BY59" s="477">
        <f>IF('Incremental Repayments'!$R$22="Debt",IF(AND(BY$4&gt;=$D59,BY$4&lt;$D59+'Incremental Repayments'!$I$31),-PMT('Interest Rate'!$J$16,'Incremental Repayments'!$I$31,(HLOOKUP($D59,$E$4:$CZ$32,28,FALSE)*'Incremental Repayments'!$I$22)),0),0)</f>
        <v>0</v>
      </c>
      <c r="BZ59" s="477">
        <f>IF('Incremental Repayments'!$R$22="Debt",IF(AND(BZ$4&gt;=$D59,BZ$4&lt;$D59+'Incremental Repayments'!$I$31),-PMT('Interest Rate'!$J$16,'Incremental Repayments'!$I$31,(HLOOKUP($D59,$E$4:$CZ$32,28,FALSE)*'Incremental Repayments'!$I$22)),0),0)</f>
        <v>0</v>
      </c>
      <c r="CA59" s="477">
        <f>IF('Incremental Repayments'!$R$22="Debt",IF(AND(CA$4&gt;=$D59,CA$4&lt;$D59+'Incremental Repayments'!$I$31),-PMT('Interest Rate'!$J$16,'Incremental Repayments'!$I$31,(HLOOKUP($D59,$E$4:$CZ$32,28,FALSE)*'Incremental Repayments'!$I$22)),0),0)</f>
        <v>0</v>
      </c>
      <c r="CB59" s="477">
        <f>IF('Incremental Repayments'!$R$22="Debt",IF(AND(CB$4&gt;=$D59,CB$4&lt;$D59+'Incremental Repayments'!$I$31),-PMT('Interest Rate'!$J$16,'Incremental Repayments'!$I$31,(HLOOKUP($D59,$E$4:$CZ$32,28,FALSE)*'Incremental Repayments'!$I$22)),0),0)</f>
        <v>0</v>
      </c>
      <c r="CC59" s="477">
        <f>IF('Incremental Repayments'!$R$22="Debt",IF(AND(CC$4&gt;=$D59,CC$4&lt;$D59+'Incremental Repayments'!$I$31),-PMT('Interest Rate'!$J$16,'Incremental Repayments'!$I$31,(HLOOKUP($D59,$E$4:$CZ$32,28,FALSE)*'Incremental Repayments'!$I$22)),0),0)</f>
        <v>0</v>
      </c>
      <c r="CD59" s="477">
        <f>IF('Incremental Repayments'!$R$22="Debt",IF(AND(CD$4&gt;=$D59,CD$4&lt;$D59+'Incremental Repayments'!$I$31),-PMT('Interest Rate'!$J$16,'Incremental Repayments'!$I$31,(HLOOKUP($D59,$E$4:$CZ$32,28,FALSE)*'Incremental Repayments'!$I$22)),0),0)</f>
        <v>0</v>
      </c>
      <c r="CE59" s="477">
        <f>IF('Incremental Repayments'!$R$22="Debt",IF(AND(CE$4&gt;=$D59,CE$4&lt;$D59+'Incremental Repayments'!$I$31),-PMT('Interest Rate'!$J$16,'Incremental Repayments'!$I$31,(HLOOKUP($D59,$E$4:$CZ$32,28,FALSE)*'Incremental Repayments'!$I$22)),0),0)</f>
        <v>0</v>
      </c>
      <c r="CF59" s="477">
        <f>IF('Incremental Repayments'!$R$22="Debt",IF(AND(CF$4&gt;=$D59,CF$4&lt;$D59+'Incremental Repayments'!$I$31),-PMT('Interest Rate'!$J$16,'Incremental Repayments'!$I$31,(HLOOKUP($D59,$E$4:$CZ$32,28,FALSE)*'Incremental Repayments'!$I$22)),0),0)</f>
        <v>0</v>
      </c>
      <c r="CG59" s="477">
        <f>IF('Incremental Repayments'!$R$22="Debt",IF(AND(CG$4&gt;=$D59,CG$4&lt;$D59+'Incremental Repayments'!$I$31),-PMT('Interest Rate'!$J$16,'Incremental Repayments'!$I$31,(HLOOKUP($D59,$E$4:$CZ$32,28,FALSE)*'Incremental Repayments'!$I$22)),0),0)</f>
        <v>0</v>
      </c>
      <c r="CH59" s="477">
        <f>IF('Incremental Repayments'!$R$22="Debt",IF(AND(CH$4&gt;=$D59,CH$4&lt;$D59+'Incremental Repayments'!$I$31),-PMT('Interest Rate'!$J$16,'Incremental Repayments'!$I$31,(HLOOKUP($D59,$E$4:$CZ$32,28,FALSE)*'Incremental Repayments'!$I$22)),0),0)</f>
        <v>0</v>
      </c>
      <c r="CI59" s="477">
        <f>IF('Incremental Repayments'!$R$22="Debt",IF(AND(CI$4&gt;=$D59,CI$4&lt;$D59+'Incremental Repayments'!$I$31),-PMT('Interest Rate'!$J$16,'Incremental Repayments'!$I$31,(HLOOKUP($D59,$E$4:$CZ$32,28,FALSE)*'Incremental Repayments'!$I$22)),0),0)</f>
        <v>0</v>
      </c>
      <c r="CJ59" s="477">
        <f>IF('Incremental Repayments'!$R$22="Debt",IF(AND(CJ$4&gt;=$D59,CJ$4&lt;$D59+'Incremental Repayments'!$I$31),-PMT('Interest Rate'!$J$16,'Incremental Repayments'!$I$31,(HLOOKUP($D59,$E$4:$CZ$32,28,FALSE)*'Incremental Repayments'!$I$22)),0),0)</f>
        <v>0</v>
      </c>
      <c r="CK59" s="477">
        <f>IF('Incremental Repayments'!$R$22="Debt",IF(AND(CK$4&gt;=$D59,CK$4&lt;$D59+'Incremental Repayments'!$I$31),-PMT('Interest Rate'!$J$16,'Incremental Repayments'!$I$31,(HLOOKUP($D59,$E$4:$CZ$32,28,FALSE)*'Incremental Repayments'!$I$22)),0),0)</f>
        <v>0</v>
      </c>
      <c r="CL59" s="477">
        <f>IF('Incremental Repayments'!$R$22="Debt",IF(AND(CL$4&gt;=$D59,CL$4&lt;$D59+'Incremental Repayments'!$I$31),-PMT('Interest Rate'!$J$16,'Incremental Repayments'!$I$31,(HLOOKUP($D59,$E$4:$CZ$32,28,FALSE)*'Incremental Repayments'!$I$22)),0),0)</f>
        <v>0</v>
      </c>
      <c r="CM59" s="477">
        <f>IF('Incremental Repayments'!$R$22="Debt",IF(AND(CM$4&gt;=$D59,CM$4&lt;$D59+'Incremental Repayments'!$I$31),-PMT('Interest Rate'!$J$16,'Incremental Repayments'!$I$31,(HLOOKUP($D59,$E$4:$CZ$32,28,FALSE)*'Incremental Repayments'!$I$22)),0),0)</f>
        <v>0</v>
      </c>
      <c r="CN59" s="477">
        <f>IF('Incremental Repayments'!$R$22="Debt",IF(AND(CN$4&gt;=$D59,CN$4&lt;$D59+'Incremental Repayments'!$I$31),-PMT('Interest Rate'!$J$16,'Incremental Repayments'!$I$31,(HLOOKUP($D59,$E$4:$CZ$32,28,FALSE)*'Incremental Repayments'!$I$22)),0),0)</f>
        <v>0</v>
      </c>
      <c r="CO59" s="477">
        <f>IF('Incremental Repayments'!$R$22="Debt",IF(AND(CO$4&gt;=$D59,CO$4&lt;$D59+'Incremental Repayments'!$I$31),-PMT('Interest Rate'!$J$16,'Incremental Repayments'!$I$31,(HLOOKUP($D59,$E$4:$CZ$32,28,FALSE)*'Incremental Repayments'!$I$22)),0),0)</f>
        <v>0</v>
      </c>
      <c r="CP59" s="477">
        <f>IF('Incremental Repayments'!$R$22="Debt",IF(AND(CP$4&gt;=$D59,CP$4&lt;$D59+'Incremental Repayments'!$I$31),-PMT('Interest Rate'!$J$16,'Incremental Repayments'!$I$31,(HLOOKUP($D59,$E$4:$CZ$32,28,FALSE)*'Incremental Repayments'!$I$22)),0),0)</f>
        <v>0</v>
      </c>
      <c r="CQ59" s="477">
        <f>IF('Incremental Repayments'!$R$22="Debt",IF(AND(CQ$4&gt;=$D59,CQ$4&lt;$D59+'Incremental Repayments'!$I$31),-PMT('Interest Rate'!$J$16,'Incremental Repayments'!$I$31,(HLOOKUP($D59,$E$4:$CZ$32,28,FALSE)*'Incremental Repayments'!$I$22)),0),0)</f>
        <v>0</v>
      </c>
      <c r="CR59" s="477">
        <f>IF('Incremental Repayments'!$R$22="Debt",IF(AND(CR$4&gt;=$D59,CR$4&lt;$D59+'Incremental Repayments'!$I$31),-PMT('Interest Rate'!$J$16,'Incremental Repayments'!$I$31,(HLOOKUP($D59,$E$4:$CZ$32,28,FALSE)*'Incremental Repayments'!$I$22)),0),0)</f>
        <v>0</v>
      </c>
      <c r="CS59" s="477">
        <f>IF('Incremental Repayments'!$R$22="Debt",IF(AND(CS$4&gt;=$D59,CS$4&lt;$D59+'Incremental Repayments'!$I$31),-PMT('Interest Rate'!$J$16,'Incremental Repayments'!$I$31,(HLOOKUP($D59,$E$4:$CZ$32,28,FALSE)*'Incremental Repayments'!$I$22)),0),0)</f>
        <v>0</v>
      </c>
      <c r="CT59" s="477">
        <f>IF('Incremental Repayments'!$R$22="Debt",IF(AND(CT$4&gt;=$D59,CT$4&lt;$D59+'Incremental Repayments'!$I$31),-PMT('Interest Rate'!$J$16,'Incremental Repayments'!$I$31,(HLOOKUP($D59,$E$4:$CZ$32,28,FALSE)*'Incremental Repayments'!$I$22)),0),0)</f>
        <v>0</v>
      </c>
      <c r="CU59" s="477">
        <f>IF('Incremental Repayments'!$R$22="Debt",IF(AND(CU$4&gt;=$D59,CU$4&lt;$D59+'Incremental Repayments'!$I$31),-PMT('Interest Rate'!$J$16,'Incremental Repayments'!$I$31,(HLOOKUP($D59,$E$4:$CZ$32,28,FALSE)*'Incremental Repayments'!$I$22)),0),0)</f>
        <v>0</v>
      </c>
      <c r="CV59" s="477">
        <f>IF('Incremental Repayments'!$R$22="Debt",IF(AND(CV$4&gt;=$D59,CV$4&lt;$D59+'Incremental Repayments'!$I$31),-PMT('Interest Rate'!$J$16,'Incremental Repayments'!$I$31,(HLOOKUP($D59,$E$4:$CZ$32,28,FALSE)*'Incremental Repayments'!$I$22)),0),0)</f>
        <v>0</v>
      </c>
      <c r="CW59" s="477">
        <f>IF('Incremental Repayments'!$R$22="Debt",IF(AND(CW$4&gt;=$D59,CW$4&lt;$D59+'Incremental Repayments'!$I$31),-PMT('Interest Rate'!$J$16,'Incremental Repayments'!$I$31,(HLOOKUP($D59,$E$4:$CZ$32,28,FALSE)*'Incremental Repayments'!$I$22)),0),0)</f>
        <v>0</v>
      </c>
      <c r="CX59" s="477">
        <f>IF('Incremental Repayments'!$R$22="Debt",IF(AND(CX$4&gt;=$D59,CX$4&lt;$D59+'Incremental Repayments'!$I$31),-PMT('Interest Rate'!$J$16,'Incremental Repayments'!$I$31,(HLOOKUP($D59,$E$4:$CZ$32,28,FALSE)*'Incremental Repayments'!$I$22)),0),0)</f>
        <v>0</v>
      </c>
      <c r="CY59" s="477">
        <f>IF('Incremental Repayments'!$R$22="Debt",IF(AND(CY$4&gt;=$D59,CY$4&lt;$D59+'Incremental Repayments'!$I$31),-PMT('Interest Rate'!$J$16,'Incremental Repayments'!$I$31,(HLOOKUP($D59,$E$4:$CZ$32,28,FALSE)*'Incremental Repayments'!$I$22)),0),0)</f>
        <v>0</v>
      </c>
      <c r="CZ59" s="477">
        <f>IF('Incremental Repayments'!$R$22="Debt",IF(AND(CZ$4&gt;=$D59,CZ$4&lt;$D59+'Incremental Repayments'!$I$31),-PMT('Interest Rate'!$J$16,'Incremental Repayments'!$I$31,(HLOOKUP($D59,$E$4:$CZ$32,28,FALSE)*'Incremental Repayments'!$I$22)),0),0)</f>
        <v>0</v>
      </c>
    </row>
    <row r="60" spans="1:104" x14ac:dyDescent="0.25">
      <c r="B60" s="480" t="str">
        <f>CONCATENATE("Series ",D60,"A Bonds (at ",'Interest Rate'!$J$16*100,"% Interest)")</f>
        <v>Series 2038A Bonds (at 4.5% Interest)</v>
      </c>
      <c r="C60" s="480"/>
      <c r="D60" s="492">
        <f t="shared" si="492"/>
        <v>2038</v>
      </c>
      <c r="E60" s="477">
        <f>IF('Incremental Repayments'!$R$22="Debt",IF(AND(E$4&gt;=$D60,E$4&lt;$D60+'Incremental Repayments'!$I$31),-PMT('Interest Rate'!$J$16,'Incremental Repayments'!$I$31,(HLOOKUP($D60,$E$4:$CZ$32,28,FALSE)*'Incremental Repayments'!$I$22)),0),0)</f>
        <v>0</v>
      </c>
      <c r="F60" s="477">
        <f>IF('Incremental Repayments'!$R$22="Debt",IF(AND(F$4&gt;=$D60,F$4&lt;$D60+'Incremental Repayments'!$I$31),-PMT('Interest Rate'!$J$16,'Incremental Repayments'!$I$31,(HLOOKUP($D60,$E$4:$CZ$32,28,FALSE)*'Incremental Repayments'!$I$22)),0),0)</f>
        <v>0</v>
      </c>
      <c r="G60" s="477">
        <f>IF('Incremental Repayments'!$R$22="Debt",IF(AND(G$4&gt;=$D60,G$4&lt;$D60+'Incremental Repayments'!$I$31),-PMT('Interest Rate'!$J$16,'Incremental Repayments'!$I$31,(HLOOKUP($D60,$E$4:$CZ$32,28,FALSE)*'Incremental Repayments'!$I$22)),0),0)</f>
        <v>0</v>
      </c>
      <c r="H60" s="477">
        <f>IF('Incremental Repayments'!$R$22="Debt",IF(AND(H$4&gt;=$D60,H$4&lt;$D60+'Incremental Repayments'!$I$31),-PMT('Interest Rate'!$J$16,'Incremental Repayments'!$I$31,(HLOOKUP($D60,$E$4:$CZ$32,28,FALSE)*'Incremental Repayments'!$I$22)),0),0)</f>
        <v>0</v>
      </c>
      <c r="I60" s="477">
        <f>IF('Incremental Repayments'!$R$22="Debt",IF(AND(I$4&gt;=$D60,I$4&lt;$D60+'Incremental Repayments'!$I$31),-PMT('Interest Rate'!$J$16,'Incremental Repayments'!$I$31,(HLOOKUP($D60,$E$4:$CZ$32,28,FALSE)*'Incremental Repayments'!$I$22)),0),0)</f>
        <v>0</v>
      </c>
      <c r="J60" s="477">
        <f>IF('Incremental Repayments'!$R$22="Debt",IF(AND(J$4&gt;=$D60,J$4&lt;$D60+'Incremental Repayments'!$I$31),-PMT('Interest Rate'!$J$16,'Incremental Repayments'!$I$31,(HLOOKUP($D60,$E$4:$CZ$32,28,FALSE)*'Incremental Repayments'!$I$22)),0),0)</f>
        <v>0</v>
      </c>
      <c r="K60" s="477">
        <f>IF('Incremental Repayments'!$R$22="Debt",IF(AND(K$4&gt;=$D60,K$4&lt;$D60+'Incremental Repayments'!$I$31),-PMT('Interest Rate'!$J$16,'Incremental Repayments'!$I$31,(HLOOKUP($D60,$E$4:$CZ$32,28,FALSE)*'Incremental Repayments'!$I$22)),0),0)</f>
        <v>0</v>
      </c>
      <c r="L60" s="477">
        <f>IF('Incremental Repayments'!$R$22="Debt",IF(AND(L$4&gt;=$D60,L$4&lt;$D60+'Incremental Repayments'!$I$31),-PMT('Interest Rate'!$J$16,'Incremental Repayments'!$I$31,(HLOOKUP($D60,$E$4:$CZ$32,28,FALSE)*'Incremental Repayments'!$I$22)),0),0)</f>
        <v>0</v>
      </c>
      <c r="M60" s="477">
        <f>IF('Incremental Repayments'!$R$22="Debt",IF(AND(M$4&gt;=$D60,M$4&lt;$D60+'Incremental Repayments'!$I$31),-PMT('Interest Rate'!$J$16,'Incremental Repayments'!$I$31,(HLOOKUP($D60,$E$4:$CZ$32,28,FALSE)*'Incremental Repayments'!$I$22)),0),0)</f>
        <v>0</v>
      </c>
      <c r="N60" s="477">
        <f>IF('Incremental Repayments'!$R$22="Debt",IF(AND(N$4&gt;=$D60,N$4&lt;$D60+'Incremental Repayments'!$I$31),-PMT('Interest Rate'!$J$16,'Incremental Repayments'!$I$31,(HLOOKUP($D60,$E$4:$CZ$32,28,FALSE)*'Incremental Repayments'!$I$22)),0),0)</f>
        <v>0</v>
      </c>
      <c r="O60" s="477">
        <f>IF('Incremental Repayments'!$R$22="Debt",IF(AND(O$4&gt;=$D60,O$4&lt;$D60+'Incremental Repayments'!$I$31),-PMT('Interest Rate'!$J$16,'Incremental Repayments'!$I$31,(HLOOKUP($D60,$E$4:$CZ$32,28,FALSE)*'Incremental Repayments'!$I$22)),0),0)</f>
        <v>0</v>
      </c>
      <c r="P60" s="477">
        <f>IF('Incremental Repayments'!$R$22="Debt",IF(AND(P$4&gt;=$D60,P$4&lt;$D60+'Incremental Repayments'!$I$31),-PMT('Interest Rate'!$J$16,'Incremental Repayments'!$I$31,(HLOOKUP($D60,$E$4:$CZ$32,28,FALSE)*'Incremental Repayments'!$I$22)),0),0)</f>
        <v>0</v>
      </c>
      <c r="Q60" s="477">
        <f>IF('Incremental Repayments'!$R$22="Debt",IF(AND(Q$4&gt;=$D60,Q$4&lt;$D60+'Incremental Repayments'!$I$31),-PMT('Interest Rate'!$J$16,'Incremental Repayments'!$I$31,(HLOOKUP($D60,$E$4:$CZ$32,28,FALSE)*'Incremental Repayments'!$I$22)),0),0)</f>
        <v>0</v>
      </c>
      <c r="R60" s="477">
        <f>IF('Incremental Repayments'!$R$22="Debt",IF(AND(R$4&gt;=$D60,R$4&lt;$D60+'Incremental Repayments'!$I$31),-PMT('Interest Rate'!$J$16,'Incremental Repayments'!$I$31,(HLOOKUP($D60,$E$4:$CZ$32,28,FALSE)*'Incremental Repayments'!$I$22)),0),0)</f>
        <v>0</v>
      </c>
      <c r="S60" s="477">
        <f>IF('Incremental Repayments'!$R$22="Debt",IF(AND(S$4&gt;=$D60,S$4&lt;$D60+'Incremental Repayments'!$I$31),-PMT('Interest Rate'!$J$16,'Incremental Repayments'!$I$31,(HLOOKUP($D60,$E$4:$CZ$32,28,FALSE)*'Incremental Repayments'!$I$22)),0),0)</f>
        <v>0</v>
      </c>
      <c r="T60" s="477">
        <f>IF('Incremental Repayments'!$R$22="Debt",IF(AND(T$4&gt;=$D60,T$4&lt;$D60+'Incremental Repayments'!$I$31),-PMT('Interest Rate'!$J$16,'Incremental Repayments'!$I$31,(HLOOKUP($D60,$E$4:$CZ$32,28,FALSE)*'Incremental Repayments'!$I$22)),0),0)</f>
        <v>0</v>
      </c>
      <c r="U60" s="477">
        <f>IF('Incremental Repayments'!$R$22="Debt",IF(AND(U$4&gt;=$D60,U$4&lt;$D60+'Incremental Repayments'!$I$31),-PMT('Interest Rate'!$J$16,'Incremental Repayments'!$I$31,(HLOOKUP($D60,$E$4:$CZ$32,28,FALSE)*'Incremental Repayments'!$I$22)),0),0)</f>
        <v>0</v>
      </c>
      <c r="V60" s="477">
        <f>IF('Incremental Repayments'!$R$22="Debt",IF(AND(V$4&gt;=$D60,V$4&lt;$D60+'Incremental Repayments'!$I$31),-PMT('Interest Rate'!$J$16,'Incremental Repayments'!$I$31,(HLOOKUP($D60,$E$4:$CZ$32,28,FALSE)*'Incremental Repayments'!$I$22)),0),0)</f>
        <v>0</v>
      </c>
      <c r="W60" s="477">
        <f>IF('Incremental Repayments'!$R$22="Debt",IF(AND(W$4&gt;=$D60,W$4&lt;$D60+'Incremental Repayments'!$I$31),-PMT('Interest Rate'!$J$16,'Incremental Repayments'!$I$31,(HLOOKUP($D60,$E$4:$CZ$32,28,FALSE)*'Incremental Repayments'!$I$22)),0),0)</f>
        <v>0</v>
      </c>
      <c r="X60" s="477">
        <f>IF('Incremental Repayments'!$R$22="Debt",IF(AND(X$4&gt;=$D60,X$4&lt;$D60+'Incremental Repayments'!$I$31),-PMT('Interest Rate'!$J$16,'Incremental Repayments'!$I$31,(HLOOKUP($D60,$E$4:$CZ$32,28,FALSE)*'Incremental Repayments'!$I$22)),0),0)</f>
        <v>0</v>
      </c>
      <c r="Y60" s="477">
        <f>IF('Incremental Repayments'!$R$22="Debt",IF(AND(Y$4&gt;=$D60,Y$4&lt;$D60+'Incremental Repayments'!$I$31),-PMT('Interest Rate'!$J$16,'Incremental Repayments'!$I$31,(HLOOKUP($D60,$E$4:$CZ$32,28,FALSE)*'Incremental Repayments'!$I$22)),0),0)</f>
        <v>0</v>
      </c>
      <c r="Z60" s="477">
        <f>IF('Incremental Repayments'!$R$22="Debt",IF(AND(Z$4&gt;=$D60,Z$4&lt;$D60+'Incremental Repayments'!$I$31),-PMT('Interest Rate'!$J$16,'Incremental Repayments'!$I$31,(HLOOKUP($D60,$E$4:$CZ$32,28,FALSE)*'Incremental Repayments'!$I$22)),0),0)</f>
        <v>0</v>
      </c>
      <c r="AA60" s="477">
        <f>IF('Incremental Repayments'!$R$22="Debt",IF(AND(AA$4&gt;=$D60,AA$4&lt;$D60+'Incremental Repayments'!$I$31),-PMT('Interest Rate'!$J$16,'Incremental Repayments'!$I$31,(HLOOKUP($D60,$E$4:$CZ$32,28,FALSE)*'Incremental Repayments'!$I$22)),0),0)</f>
        <v>0</v>
      </c>
      <c r="AB60" s="477">
        <f>IF('Incremental Repayments'!$R$22="Debt",IF(AND(AB$4&gt;=$D60,AB$4&lt;$D60+'Incremental Repayments'!$I$31),-PMT('Interest Rate'!$J$16,'Incremental Repayments'!$I$31,(HLOOKUP($D60,$E$4:$CZ$32,28,FALSE)*'Incremental Repayments'!$I$22)),0),0)</f>
        <v>0</v>
      </c>
      <c r="AC60" s="477">
        <f>IF('Incremental Repayments'!$R$22="Debt",IF(AND(AC$4&gt;=$D60,AC$4&lt;$D60+'Incremental Repayments'!$I$31),-PMT('Interest Rate'!$J$16,'Incremental Repayments'!$I$31,(HLOOKUP($D60,$E$4:$CZ$32,28,FALSE)*'Incremental Repayments'!$I$22)),0),0)</f>
        <v>722191.1034254831</v>
      </c>
      <c r="AD60" s="477">
        <f>IF('Incremental Repayments'!$R$22="Debt",IF(AND(AD$4&gt;=$D60,AD$4&lt;$D60+'Incremental Repayments'!$I$31),-PMT('Interest Rate'!$J$16,'Incremental Repayments'!$I$31,(HLOOKUP($D60,$E$4:$CZ$32,28,FALSE)*'Incremental Repayments'!$I$22)),0),0)</f>
        <v>722191.1034254831</v>
      </c>
      <c r="AE60" s="477">
        <f>IF('Incremental Repayments'!$R$22="Debt",IF(AND(AE$4&gt;=$D60,AE$4&lt;$D60+'Incremental Repayments'!$I$31),-PMT('Interest Rate'!$J$16,'Incremental Repayments'!$I$31,(HLOOKUP($D60,$E$4:$CZ$32,28,FALSE)*'Incremental Repayments'!$I$22)),0),0)</f>
        <v>722191.1034254831</v>
      </c>
      <c r="AF60" s="477">
        <f>IF('Incremental Repayments'!$R$22="Debt",IF(AND(AF$4&gt;=$D60,AF$4&lt;$D60+'Incremental Repayments'!$I$31),-PMT('Interest Rate'!$J$16,'Incremental Repayments'!$I$31,(HLOOKUP($D60,$E$4:$CZ$32,28,FALSE)*'Incremental Repayments'!$I$22)),0),0)</f>
        <v>722191.1034254831</v>
      </c>
      <c r="AG60" s="477">
        <f>IF('Incremental Repayments'!$R$22="Debt",IF(AND(AG$4&gt;=$D60,AG$4&lt;$D60+'Incremental Repayments'!$I$31),-PMT('Interest Rate'!$J$16,'Incremental Repayments'!$I$31,(HLOOKUP($D60,$E$4:$CZ$32,28,FALSE)*'Incremental Repayments'!$I$22)),0),0)</f>
        <v>722191.1034254831</v>
      </c>
      <c r="AH60" s="477">
        <f>IF('Incremental Repayments'!$R$22="Debt",IF(AND(AH$4&gt;=$D60,AH$4&lt;$D60+'Incremental Repayments'!$I$31),-PMT('Interest Rate'!$J$16,'Incremental Repayments'!$I$31,(HLOOKUP($D60,$E$4:$CZ$32,28,FALSE)*'Incremental Repayments'!$I$22)),0),0)</f>
        <v>722191.1034254831</v>
      </c>
      <c r="AI60" s="477">
        <f>IF('Incremental Repayments'!$R$22="Debt",IF(AND(AI$4&gt;=$D60,AI$4&lt;$D60+'Incremental Repayments'!$I$31),-PMT('Interest Rate'!$J$16,'Incremental Repayments'!$I$31,(HLOOKUP($D60,$E$4:$CZ$32,28,FALSE)*'Incremental Repayments'!$I$22)),0),0)</f>
        <v>722191.1034254831</v>
      </c>
      <c r="AJ60" s="477">
        <f>IF('Incremental Repayments'!$R$22="Debt",IF(AND(AJ$4&gt;=$D60,AJ$4&lt;$D60+'Incremental Repayments'!$I$31),-PMT('Interest Rate'!$J$16,'Incremental Repayments'!$I$31,(HLOOKUP($D60,$E$4:$CZ$32,28,FALSE)*'Incremental Repayments'!$I$22)),0),0)</f>
        <v>722191.1034254831</v>
      </c>
      <c r="AK60" s="477">
        <f>IF('Incremental Repayments'!$R$22="Debt",IF(AND(AK$4&gt;=$D60,AK$4&lt;$D60+'Incremental Repayments'!$I$31),-PMT('Interest Rate'!$J$16,'Incremental Repayments'!$I$31,(HLOOKUP($D60,$E$4:$CZ$32,28,FALSE)*'Incremental Repayments'!$I$22)),0),0)</f>
        <v>722191.1034254831</v>
      </c>
      <c r="AL60" s="477">
        <f>IF('Incremental Repayments'!$R$22="Debt",IF(AND(AL$4&gt;=$D60,AL$4&lt;$D60+'Incremental Repayments'!$I$31),-PMT('Interest Rate'!$J$16,'Incremental Repayments'!$I$31,(HLOOKUP($D60,$E$4:$CZ$32,28,FALSE)*'Incremental Repayments'!$I$22)),0),0)</f>
        <v>722191.1034254831</v>
      </c>
      <c r="AM60" s="477">
        <f>IF('Incremental Repayments'!$R$22="Debt",IF(AND(AM$4&gt;=$D60,AM$4&lt;$D60+'Incremental Repayments'!$I$31),-PMT('Interest Rate'!$J$16,'Incremental Repayments'!$I$31,(HLOOKUP($D60,$E$4:$CZ$32,28,FALSE)*'Incremental Repayments'!$I$22)),0),0)</f>
        <v>722191.1034254831</v>
      </c>
      <c r="AN60" s="477">
        <f>IF('Incremental Repayments'!$R$22="Debt",IF(AND(AN$4&gt;=$D60,AN$4&lt;$D60+'Incremental Repayments'!$I$31),-PMT('Interest Rate'!$J$16,'Incremental Repayments'!$I$31,(HLOOKUP($D60,$E$4:$CZ$32,28,FALSE)*'Incremental Repayments'!$I$22)),0),0)</f>
        <v>722191.1034254831</v>
      </c>
      <c r="AO60" s="477">
        <f>IF('Incremental Repayments'!$R$22="Debt",IF(AND(AO$4&gt;=$D60,AO$4&lt;$D60+'Incremental Repayments'!$I$31),-PMT('Interest Rate'!$J$16,'Incremental Repayments'!$I$31,(HLOOKUP($D60,$E$4:$CZ$32,28,FALSE)*'Incremental Repayments'!$I$22)),0),0)</f>
        <v>722191.1034254831</v>
      </c>
      <c r="AP60" s="477">
        <f>IF('Incremental Repayments'!$R$22="Debt",IF(AND(AP$4&gt;=$D60,AP$4&lt;$D60+'Incremental Repayments'!$I$31),-PMT('Interest Rate'!$J$16,'Incremental Repayments'!$I$31,(HLOOKUP($D60,$E$4:$CZ$32,28,FALSE)*'Incremental Repayments'!$I$22)),0),0)</f>
        <v>722191.1034254831</v>
      </c>
      <c r="AQ60" s="477">
        <f>IF('Incremental Repayments'!$R$22="Debt",IF(AND(AQ$4&gt;=$D60,AQ$4&lt;$D60+'Incremental Repayments'!$I$31),-PMT('Interest Rate'!$J$16,'Incremental Repayments'!$I$31,(HLOOKUP($D60,$E$4:$CZ$32,28,FALSE)*'Incremental Repayments'!$I$22)),0),0)</f>
        <v>722191.1034254831</v>
      </c>
      <c r="AR60" s="477">
        <f>IF('Incremental Repayments'!$R$22="Debt",IF(AND(AR$4&gt;=$D60,AR$4&lt;$D60+'Incremental Repayments'!$I$31),-PMT('Interest Rate'!$J$16,'Incremental Repayments'!$I$31,(HLOOKUP($D60,$E$4:$CZ$32,28,FALSE)*'Incremental Repayments'!$I$22)),0),0)</f>
        <v>722191.1034254831</v>
      </c>
      <c r="AS60" s="477">
        <f>IF('Incremental Repayments'!$R$22="Debt",IF(AND(AS$4&gt;=$D60,AS$4&lt;$D60+'Incremental Repayments'!$I$31),-PMT('Interest Rate'!$J$16,'Incremental Repayments'!$I$31,(HLOOKUP($D60,$E$4:$CZ$32,28,FALSE)*'Incremental Repayments'!$I$22)),0),0)</f>
        <v>722191.1034254831</v>
      </c>
      <c r="AT60" s="477">
        <f>IF('Incremental Repayments'!$R$22="Debt",IF(AND(AT$4&gt;=$D60,AT$4&lt;$D60+'Incremental Repayments'!$I$31),-PMT('Interest Rate'!$J$16,'Incremental Repayments'!$I$31,(HLOOKUP($D60,$E$4:$CZ$32,28,FALSE)*'Incremental Repayments'!$I$22)),0),0)</f>
        <v>722191.1034254831</v>
      </c>
      <c r="AU60" s="477">
        <f>IF('Incremental Repayments'!$R$22="Debt",IF(AND(AU$4&gt;=$D60,AU$4&lt;$D60+'Incremental Repayments'!$I$31),-PMT('Interest Rate'!$J$16,'Incremental Repayments'!$I$31,(HLOOKUP($D60,$E$4:$CZ$32,28,FALSE)*'Incremental Repayments'!$I$22)),0),0)</f>
        <v>722191.1034254831</v>
      </c>
      <c r="AV60" s="477">
        <f>IF('Incremental Repayments'!$R$22="Debt",IF(AND(AV$4&gt;=$D60,AV$4&lt;$D60+'Incremental Repayments'!$I$31),-PMT('Interest Rate'!$J$16,'Incremental Repayments'!$I$31,(HLOOKUP($D60,$E$4:$CZ$32,28,FALSE)*'Incremental Repayments'!$I$22)),0),0)</f>
        <v>722191.1034254831</v>
      </c>
      <c r="AW60" s="477">
        <f>IF('Incremental Repayments'!$R$22="Debt",IF(AND(AW$4&gt;=$D60,AW$4&lt;$D60+'Incremental Repayments'!$I$31),-PMT('Interest Rate'!$J$16,'Incremental Repayments'!$I$31,(HLOOKUP($D60,$E$4:$CZ$32,28,FALSE)*'Incremental Repayments'!$I$22)),0),0)</f>
        <v>722191.1034254831</v>
      </c>
      <c r="AX60" s="477">
        <f>IF('Incremental Repayments'!$R$22="Debt",IF(AND(AX$4&gt;=$D60,AX$4&lt;$D60+'Incremental Repayments'!$I$31),-PMT('Interest Rate'!$J$16,'Incremental Repayments'!$I$31,(HLOOKUP($D60,$E$4:$CZ$32,28,FALSE)*'Incremental Repayments'!$I$22)),0),0)</f>
        <v>722191.1034254831</v>
      </c>
      <c r="AY60" s="477">
        <f>IF('Incremental Repayments'!$R$22="Debt",IF(AND(AY$4&gt;=$D60,AY$4&lt;$D60+'Incremental Repayments'!$I$31),-PMT('Interest Rate'!$J$16,'Incremental Repayments'!$I$31,(HLOOKUP($D60,$E$4:$CZ$32,28,FALSE)*'Incremental Repayments'!$I$22)),0),0)</f>
        <v>722191.1034254831</v>
      </c>
      <c r="AZ60" s="477">
        <f>IF('Incremental Repayments'!$R$22="Debt",IF(AND(AZ$4&gt;=$D60,AZ$4&lt;$D60+'Incremental Repayments'!$I$31),-PMT('Interest Rate'!$J$16,'Incremental Repayments'!$I$31,(HLOOKUP($D60,$E$4:$CZ$32,28,FALSE)*'Incremental Repayments'!$I$22)),0),0)</f>
        <v>722191.1034254831</v>
      </c>
      <c r="BA60" s="477">
        <f>IF('Incremental Repayments'!$R$22="Debt",IF(AND(BA$4&gt;=$D60,BA$4&lt;$D60+'Incremental Repayments'!$I$31),-PMT('Interest Rate'!$J$16,'Incremental Repayments'!$I$31,(HLOOKUP($D60,$E$4:$CZ$32,28,FALSE)*'Incremental Repayments'!$I$22)),0),0)</f>
        <v>722191.1034254831</v>
      </c>
      <c r="BB60" s="477">
        <f>IF('Incremental Repayments'!$R$22="Debt",IF(AND(BB$4&gt;=$D60,BB$4&lt;$D60+'Incremental Repayments'!$I$31),-PMT('Interest Rate'!$J$16,'Incremental Repayments'!$I$31,(HLOOKUP($D60,$E$4:$CZ$32,28,FALSE)*'Incremental Repayments'!$I$22)),0),0)</f>
        <v>722191.1034254831</v>
      </c>
      <c r="BC60" s="477">
        <f>IF('Incremental Repayments'!$R$22="Debt",IF(AND(BC$4&gt;=$D60,BC$4&lt;$D60+'Incremental Repayments'!$I$31),-PMT('Interest Rate'!$J$16,'Incremental Repayments'!$I$31,(HLOOKUP($D60,$E$4:$CZ$32,28,FALSE)*'Incremental Repayments'!$I$22)),0),0)</f>
        <v>722191.1034254831</v>
      </c>
      <c r="BD60" s="477">
        <f>IF('Incremental Repayments'!$R$22="Debt",IF(AND(BD$4&gt;=$D60,BD$4&lt;$D60+'Incremental Repayments'!$I$31),-PMT('Interest Rate'!$J$16,'Incremental Repayments'!$I$31,(HLOOKUP($D60,$E$4:$CZ$32,28,FALSE)*'Incremental Repayments'!$I$22)),0),0)</f>
        <v>722191.1034254831</v>
      </c>
      <c r="BE60" s="477">
        <f>IF('Incremental Repayments'!$R$22="Debt",IF(AND(BE$4&gt;=$D60,BE$4&lt;$D60+'Incremental Repayments'!$I$31),-PMT('Interest Rate'!$J$16,'Incremental Repayments'!$I$31,(HLOOKUP($D60,$E$4:$CZ$32,28,FALSE)*'Incremental Repayments'!$I$22)),0),0)</f>
        <v>722191.1034254831</v>
      </c>
      <c r="BF60" s="477">
        <f>IF('Incremental Repayments'!$R$22="Debt",IF(AND(BF$4&gt;=$D60,BF$4&lt;$D60+'Incremental Repayments'!$I$31),-PMT('Interest Rate'!$J$16,'Incremental Repayments'!$I$31,(HLOOKUP($D60,$E$4:$CZ$32,28,FALSE)*'Incremental Repayments'!$I$22)),0),0)</f>
        <v>722191.1034254831</v>
      </c>
      <c r="BG60" s="477">
        <f>IF('Incremental Repayments'!$R$22="Debt",IF(AND(BG$4&gt;=$D60,BG$4&lt;$D60+'Incremental Repayments'!$I$31),-PMT('Interest Rate'!$J$16,'Incremental Repayments'!$I$31,(HLOOKUP($D60,$E$4:$CZ$32,28,FALSE)*'Incremental Repayments'!$I$22)),0),0)</f>
        <v>0</v>
      </c>
      <c r="BH60" s="477">
        <f>IF('Incremental Repayments'!$R$22="Debt",IF(AND(BH$4&gt;=$D60,BH$4&lt;$D60+'Incremental Repayments'!$I$31),-PMT('Interest Rate'!$J$16,'Incremental Repayments'!$I$31,(HLOOKUP($D60,$E$4:$CZ$32,28,FALSE)*'Incremental Repayments'!$I$22)),0),0)</f>
        <v>0</v>
      </c>
      <c r="BI60" s="477">
        <f>IF('Incremental Repayments'!$R$22="Debt",IF(AND(BI$4&gt;=$D60,BI$4&lt;$D60+'Incremental Repayments'!$I$31),-PMT('Interest Rate'!$J$16,'Incremental Repayments'!$I$31,(HLOOKUP($D60,$E$4:$CZ$32,28,FALSE)*'Incremental Repayments'!$I$22)),0),0)</f>
        <v>0</v>
      </c>
      <c r="BJ60" s="477">
        <f>IF('Incremental Repayments'!$R$22="Debt",IF(AND(BJ$4&gt;=$D60,BJ$4&lt;$D60+'Incremental Repayments'!$I$31),-PMT('Interest Rate'!$J$16,'Incremental Repayments'!$I$31,(HLOOKUP($D60,$E$4:$CZ$32,28,FALSE)*'Incremental Repayments'!$I$22)),0),0)</f>
        <v>0</v>
      </c>
      <c r="BK60" s="477">
        <f>IF('Incremental Repayments'!$R$22="Debt",IF(AND(BK$4&gt;=$D60,BK$4&lt;$D60+'Incremental Repayments'!$I$31),-PMT('Interest Rate'!$J$16,'Incremental Repayments'!$I$31,(HLOOKUP($D60,$E$4:$CZ$32,28,FALSE)*'Incremental Repayments'!$I$22)),0),0)</f>
        <v>0</v>
      </c>
      <c r="BL60" s="477">
        <f>IF('Incremental Repayments'!$R$22="Debt",IF(AND(BL$4&gt;=$D60,BL$4&lt;$D60+'Incremental Repayments'!$I$31),-PMT('Interest Rate'!$J$16,'Incremental Repayments'!$I$31,(HLOOKUP($D60,$E$4:$CZ$32,28,FALSE)*'Incremental Repayments'!$I$22)),0),0)</f>
        <v>0</v>
      </c>
      <c r="BM60" s="477">
        <f>IF('Incremental Repayments'!$R$22="Debt",IF(AND(BM$4&gt;=$D60,BM$4&lt;$D60+'Incremental Repayments'!$I$31),-PMT('Interest Rate'!$J$16,'Incremental Repayments'!$I$31,(HLOOKUP($D60,$E$4:$CZ$32,28,FALSE)*'Incremental Repayments'!$I$22)),0),0)</f>
        <v>0</v>
      </c>
      <c r="BN60" s="477">
        <f>IF('Incremental Repayments'!$R$22="Debt",IF(AND(BN$4&gt;=$D60,BN$4&lt;$D60+'Incremental Repayments'!$I$31),-PMT('Interest Rate'!$J$16,'Incremental Repayments'!$I$31,(HLOOKUP($D60,$E$4:$CZ$32,28,FALSE)*'Incremental Repayments'!$I$22)),0),0)</f>
        <v>0</v>
      </c>
      <c r="BO60" s="477">
        <f>IF('Incremental Repayments'!$R$22="Debt",IF(AND(BO$4&gt;=$D60,BO$4&lt;$D60+'Incremental Repayments'!$I$31),-PMT('Interest Rate'!$J$16,'Incremental Repayments'!$I$31,(HLOOKUP($D60,$E$4:$CZ$32,28,FALSE)*'Incremental Repayments'!$I$22)),0),0)</f>
        <v>0</v>
      </c>
      <c r="BP60" s="477">
        <f>IF('Incremental Repayments'!$R$22="Debt",IF(AND(BP$4&gt;=$D60,BP$4&lt;$D60+'Incremental Repayments'!$I$31),-PMT('Interest Rate'!$J$16,'Incremental Repayments'!$I$31,(HLOOKUP($D60,$E$4:$CZ$32,28,FALSE)*'Incremental Repayments'!$I$22)),0),0)</f>
        <v>0</v>
      </c>
      <c r="BQ60" s="477">
        <f>IF('Incremental Repayments'!$R$22="Debt",IF(AND(BQ$4&gt;=$D60,BQ$4&lt;$D60+'Incremental Repayments'!$I$31),-PMT('Interest Rate'!$J$16,'Incremental Repayments'!$I$31,(HLOOKUP($D60,$E$4:$CZ$32,28,FALSE)*'Incremental Repayments'!$I$22)),0),0)</f>
        <v>0</v>
      </c>
      <c r="BR60" s="477">
        <f>IF('Incremental Repayments'!$R$22="Debt",IF(AND(BR$4&gt;=$D60,BR$4&lt;$D60+'Incremental Repayments'!$I$31),-PMT('Interest Rate'!$J$16,'Incremental Repayments'!$I$31,(HLOOKUP($D60,$E$4:$CZ$32,28,FALSE)*'Incremental Repayments'!$I$22)),0),0)</f>
        <v>0</v>
      </c>
      <c r="BS60" s="477">
        <f>IF('Incremental Repayments'!$R$22="Debt",IF(AND(BS$4&gt;=$D60,BS$4&lt;$D60+'Incremental Repayments'!$I$31),-PMT('Interest Rate'!$J$16,'Incremental Repayments'!$I$31,(HLOOKUP($D60,$E$4:$CZ$32,28,FALSE)*'Incremental Repayments'!$I$22)),0),0)</f>
        <v>0</v>
      </c>
      <c r="BT60" s="477">
        <f>IF('Incremental Repayments'!$R$22="Debt",IF(AND(BT$4&gt;=$D60,BT$4&lt;$D60+'Incremental Repayments'!$I$31),-PMT('Interest Rate'!$J$16,'Incremental Repayments'!$I$31,(HLOOKUP($D60,$E$4:$CZ$32,28,FALSE)*'Incremental Repayments'!$I$22)),0),0)</f>
        <v>0</v>
      </c>
      <c r="BU60" s="477">
        <f>IF('Incremental Repayments'!$R$22="Debt",IF(AND(BU$4&gt;=$D60,BU$4&lt;$D60+'Incremental Repayments'!$I$31),-PMT('Interest Rate'!$J$16,'Incremental Repayments'!$I$31,(HLOOKUP($D60,$E$4:$CZ$32,28,FALSE)*'Incremental Repayments'!$I$22)),0),0)</f>
        <v>0</v>
      </c>
      <c r="BV60" s="477">
        <f>IF('Incremental Repayments'!$R$22="Debt",IF(AND(BV$4&gt;=$D60,BV$4&lt;$D60+'Incremental Repayments'!$I$31),-PMT('Interest Rate'!$J$16,'Incremental Repayments'!$I$31,(HLOOKUP($D60,$E$4:$CZ$32,28,FALSE)*'Incremental Repayments'!$I$22)),0),0)</f>
        <v>0</v>
      </c>
      <c r="BW60" s="477">
        <f>IF('Incremental Repayments'!$R$22="Debt",IF(AND(BW$4&gt;=$D60,BW$4&lt;$D60+'Incremental Repayments'!$I$31),-PMT('Interest Rate'!$J$16,'Incremental Repayments'!$I$31,(HLOOKUP($D60,$E$4:$CZ$32,28,FALSE)*'Incremental Repayments'!$I$22)),0),0)</f>
        <v>0</v>
      </c>
      <c r="BX60" s="477">
        <f>IF('Incremental Repayments'!$R$22="Debt",IF(AND(BX$4&gt;=$D60,BX$4&lt;$D60+'Incremental Repayments'!$I$31),-PMT('Interest Rate'!$J$16,'Incremental Repayments'!$I$31,(HLOOKUP($D60,$E$4:$CZ$32,28,FALSE)*'Incremental Repayments'!$I$22)),0),0)</f>
        <v>0</v>
      </c>
      <c r="BY60" s="477">
        <f>IF('Incremental Repayments'!$R$22="Debt",IF(AND(BY$4&gt;=$D60,BY$4&lt;$D60+'Incremental Repayments'!$I$31),-PMT('Interest Rate'!$J$16,'Incremental Repayments'!$I$31,(HLOOKUP($D60,$E$4:$CZ$32,28,FALSE)*'Incremental Repayments'!$I$22)),0),0)</f>
        <v>0</v>
      </c>
      <c r="BZ60" s="477">
        <f>IF('Incremental Repayments'!$R$22="Debt",IF(AND(BZ$4&gt;=$D60,BZ$4&lt;$D60+'Incremental Repayments'!$I$31),-PMT('Interest Rate'!$J$16,'Incremental Repayments'!$I$31,(HLOOKUP($D60,$E$4:$CZ$32,28,FALSE)*'Incremental Repayments'!$I$22)),0),0)</f>
        <v>0</v>
      </c>
      <c r="CA60" s="477">
        <f>IF('Incremental Repayments'!$R$22="Debt",IF(AND(CA$4&gt;=$D60,CA$4&lt;$D60+'Incremental Repayments'!$I$31),-PMT('Interest Rate'!$J$16,'Incremental Repayments'!$I$31,(HLOOKUP($D60,$E$4:$CZ$32,28,FALSE)*'Incremental Repayments'!$I$22)),0),0)</f>
        <v>0</v>
      </c>
      <c r="CB60" s="477">
        <f>IF('Incremental Repayments'!$R$22="Debt",IF(AND(CB$4&gt;=$D60,CB$4&lt;$D60+'Incremental Repayments'!$I$31),-PMT('Interest Rate'!$J$16,'Incremental Repayments'!$I$31,(HLOOKUP($D60,$E$4:$CZ$32,28,FALSE)*'Incremental Repayments'!$I$22)),0),0)</f>
        <v>0</v>
      </c>
      <c r="CC60" s="477">
        <f>IF('Incremental Repayments'!$R$22="Debt",IF(AND(CC$4&gt;=$D60,CC$4&lt;$D60+'Incremental Repayments'!$I$31),-PMT('Interest Rate'!$J$16,'Incremental Repayments'!$I$31,(HLOOKUP($D60,$E$4:$CZ$32,28,FALSE)*'Incremental Repayments'!$I$22)),0),0)</f>
        <v>0</v>
      </c>
      <c r="CD60" s="477">
        <f>IF('Incremental Repayments'!$R$22="Debt",IF(AND(CD$4&gt;=$D60,CD$4&lt;$D60+'Incremental Repayments'!$I$31),-PMT('Interest Rate'!$J$16,'Incremental Repayments'!$I$31,(HLOOKUP($D60,$E$4:$CZ$32,28,FALSE)*'Incremental Repayments'!$I$22)),0),0)</f>
        <v>0</v>
      </c>
      <c r="CE60" s="477">
        <f>IF('Incremental Repayments'!$R$22="Debt",IF(AND(CE$4&gt;=$D60,CE$4&lt;$D60+'Incremental Repayments'!$I$31),-PMT('Interest Rate'!$J$16,'Incremental Repayments'!$I$31,(HLOOKUP($D60,$E$4:$CZ$32,28,FALSE)*'Incremental Repayments'!$I$22)),0),0)</f>
        <v>0</v>
      </c>
      <c r="CF60" s="477">
        <f>IF('Incremental Repayments'!$R$22="Debt",IF(AND(CF$4&gt;=$D60,CF$4&lt;$D60+'Incremental Repayments'!$I$31),-PMT('Interest Rate'!$J$16,'Incremental Repayments'!$I$31,(HLOOKUP($D60,$E$4:$CZ$32,28,FALSE)*'Incremental Repayments'!$I$22)),0),0)</f>
        <v>0</v>
      </c>
      <c r="CG60" s="477">
        <f>IF('Incremental Repayments'!$R$22="Debt",IF(AND(CG$4&gt;=$D60,CG$4&lt;$D60+'Incremental Repayments'!$I$31),-PMT('Interest Rate'!$J$16,'Incremental Repayments'!$I$31,(HLOOKUP($D60,$E$4:$CZ$32,28,FALSE)*'Incremental Repayments'!$I$22)),0),0)</f>
        <v>0</v>
      </c>
      <c r="CH60" s="477">
        <f>IF('Incremental Repayments'!$R$22="Debt",IF(AND(CH$4&gt;=$D60,CH$4&lt;$D60+'Incremental Repayments'!$I$31),-PMT('Interest Rate'!$J$16,'Incremental Repayments'!$I$31,(HLOOKUP($D60,$E$4:$CZ$32,28,FALSE)*'Incremental Repayments'!$I$22)),0),0)</f>
        <v>0</v>
      </c>
      <c r="CI60" s="477">
        <f>IF('Incremental Repayments'!$R$22="Debt",IF(AND(CI$4&gt;=$D60,CI$4&lt;$D60+'Incremental Repayments'!$I$31),-PMT('Interest Rate'!$J$16,'Incremental Repayments'!$I$31,(HLOOKUP($D60,$E$4:$CZ$32,28,FALSE)*'Incremental Repayments'!$I$22)),0),0)</f>
        <v>0</v>
      </c>
      <c r="CJ60" s="477">
        <f>IF('Incremental Repayments'!$R$22="Debt",IF(AND(CJ$4&gt;=$D60,CJ$4&lt;$D60+'Incremental Repayments'!$I$31),-PMT('Interest Rate'!$J$16,'Incremental Repayments'!$I$31,(HLOOKUP($D60,$E$4:$CZ$32,28,FALSE)*'Incremental Repayments'!$I$22)),0),0)</f>
        <v>0</v>
      </c>
      <c r="CK60" s="477">
        <f>IF('Incremental Repayments'!$R$22="Debt",IF(AND(CK$4&gt;=$D60,CK$4&lt;$D60+'Incremental Repayments'!$I$31),-PMT('Interest Rate'!$J$16,'Incremental Repayments'!$I$31,(HLOOKUP($D60,$E$4:$CZ$32,28,FALSE)*'Incremental Repayments'!$I$22)),0),0)</f>
        <v>0</v>
      </c>
      <c r="CL60" s="477">
        <f>IF('Incremental Repayments'!$R$22="Debt",IF(AND(CL$4&gt;=$D60,CL$4&lt;$D60+'Incremental Repayments'!$I$31),-PMT('Interest Rate'!$J$16,'Incremental Repayments'!$I$31,(HLOOKUP($D60,$E$4:$CZ$32,28,FALSE)*'Incremental Repayments'!$I$22)),0),0)</f>
        <v>0</v>
      </c>
      <c r="CM60" s="477">
        <f>IF('Incremental Repayments'!$R$22="Debt",IF(AND(CM$4&gt;=$D60,CM$4&lt;$D60+'Incremental Repayments'!$I$31),-PMT('Interest Rate'!$J$16,'Incremental Repayments'!$I$31,(HLOOKUP($D60,$E$4:$CZ$32,28,FALSE)*'Incremental Repayments'!$I$22)),0),0)</f>
        <v>0</v>
      </c>
      <c r="CN60" s="477">
        <f>IF('Incremental Repayments'!$R$22="Debt",IF(AND(CN$4&gt;=$D60,CN$4&lt;$D60+'Incremental Repayments'!$I$31),-PMT('Interest Rate'!$J$16,'Incremental Repayments'!$I$31,(HLOOKUP($D60,$E$4:$CZ$32,28,FALSE)*'Incremental Repayments'!$I$22)),0),0)</f>
        <v>0</v>
      </c>
      <c r="CO60" s="477">
        <f>IF('Incremental Repayments'!$R$22="Debt",IF(AND(CO$4&gt;=$D60,CO$4&lt;$D60+'Incremental Repayments'!$I$31),-PMT('Interest Rate'!$J$16,'Incremental Repayments'!$I$31,(HLOOKUP($D60,$E$4:$CZ$32,28,FALSE)*'Incremental Repayments'!$I$22)),0),0)</f>
        <v>0</v>
      </c>
      <c r="CP60" s="477">
        <f>IF('Incremental Repayments'!$R$22="Debt",IF(AND(CP$4&gt;=$D60,CP$4&lt;$D60+'Incremental Repayments'!$I$31),-PMT('Interest Rate'!$J$16,'Incremental Repayments'!$I$31,(HLOOKUP($D60,$E$4:$CZ$32,28,FALSE)*'Incremental Repayments'!$I$22)),0),0)</f>
        <v>0</v>
      </c>
      <c r="CQ60" s="477">
        <f>IF('Incremental Repayments'!$R$22="Debt",IF(AND(CQ$4&gt;=$D60,CQ$4&lt;$D60+'Incremental Repayments'!$I$31),-PMT('Interest Rate'!$J$16,'Incremental Repayments'!$I$31,(HLOOKUP($D60,$E$4:$CZ$32,28,FALSE)*'Incremental Repayments'!$I$22)),0),0)</f>
        <v>0</v>
      </c>
      <c r="CR60" s="477">
        <f>IF('Incremental Repayments'!$R$22="Debt",IF(AND(CR$4&gt;=$D60,CR$4&lt;$D60+'Incremental Repayments'!$I$31),-PMT('Interest Rate'!$J$16,'Incremental Repayments'!$I$31,(HLOOKUP($D60,$E$4:$CZ$32,28,FALSE)*'Incremental Repayments'!$I$22)),0),0)</f>
        <v>0</v>
      </c>
      <c r="CS60" s="477">
        <f>IF('Incremental Repayments'!$R$22="Debt",IF(AND(CS$4&gt;=$D60,CS$4&lt;$D60+'Incremental Repayments'!$I$31),-PMT('Interest Rate'!$J$16,'Incremental Repayments'!$I$31,(HLOOKUP($D60,$E$4:$CZ$32,28,FALSE)*'Incremental Repayments'!$I$22)),0),0)</f>
        <v>0</v>
      </c>
      <c r="CT60" s="477">
        <f>IF('Incremental Repayments'!$R$22="Debt",IF(AND(CT$4&gt;=$D60,CT$4&lt;$D60+'Incremental Repayments'!$I$31),-PMT('Interest Rate'!$J$16,'Incremental Repayments'!$I$31,(HLOOKUP($D60,$E$4:$CZ$32,28,FALSE)*'Incremental Repayments'!$I$22)),0),0)</f>
        <v>0</v>
      </c>
      <c r="CU60" s="477">
        <f>IF('Incremental Repayments'!$R$22="Debt",IF(AND(CU$4&gt;=$D60,CU$4&lt;$D60+'Incremental Repayments'!$I$31),-PMT('Interest Rate'!$J$16,'Incremental Repayments'!$I$31,(HLOOKUP($D60,$E$4:$CZ$32,28,FALSE)*'Incremental Repayments'!$I$22)),0),0)</f>
        <v>0</v>
      </c>
      <c r="CV60" s="477">
        <f>IF('Incremental Repayments'!$R$22="Debt",IF(AND(CV$4&gt;=$D60,CV$4&lt;$D60+'Incremental Repayments'!$I$31),-PMT('Interest Rate'!$J$16,'Incremental Repayments'!$I$31,(HLOOKUP($D60,$E$4:$CZ$32,28,FALSE)*'Incremental Repayments'!$I$22)),0),0)</f>
        <v>0</v>
      </c>
      <c r="CW60" s="477">
        <f>IF('Incremental Repayments'!$R$22="Debt",IF(AND(CW$4&gt;=$D60,CW$4&lt;$D60+'Incremental Repayments'!$I$31),-PMT('Interest Rate'!$J$16,'Incremental Repayments'!$I$31,(HLOOKUP($D60,$E$4:$CZ$32,28,FALSE)*'Incremental Repayments'!$I$22)),0),0)</f>
        <v>0</v>
      </c>
      <c r="CX60" s="477">
        <f>IF('Incremental Repayments'!$R$22="Debt",IF(AND(CX$4&gt;=$D60,CX$4&lt;$D60+'Incremental Repayments'!$I$31),-PMT('Interest Rate'!$J$16,'Incremental Repayments'!$I$31,(HLOOKUP($D60,$E$4:$CZ$32,28,FALSE)*'Incremental Repayments'!$I$22)),0),0)</f>
        <v>0</v>
      </c>
      <c r="CY60" s="477">
        <f>IF('Incremental Repayments'!$R$22="Debt",IF(AND(CY$4&gt;=$D60,CY$4&lt;$D60+'Incremental Repayments'!$I$31),-PMT('Interest Rate'!$J$16,'Incremental Repayments'!$I$31,(HLOOKUP($D60,$E$4:$CZ$32,28,FALSE)*'Incremental Repayments'!$I$22)),0),0)</f>
        <v>0</v>
      </c>
      <c r="CZ60" s="477">
        <f>IF('Incremental Repayments'!$R$22="Debt",IF(AND(CZ$4&gt;=$D60,CZ$4&lt;$D60+'Incremental Repayments'!$I$31),-PMT('Interest Rate'!$J$16,'Incremental Repayments'!$I$31,(HLOOKUP($D60,$E$4:$CZ$32,28,FALSE)*'Incremental Repayments'!$I$22)),0),0)</f>
        <v>0</v>
      </c>
    </row>
    <row r="61" spans="1:104" x14ac:dyDescent="0.25">
      <c r="B61" s="480" t="str">
        <f>CONCATENATE("Series ",D61,"A Bonds (at ",'Interest Rate'!$J$16*100,"% Interest)")</f>
        <v>Series 2039A Bonds (at 4.5% Interest)</v>
      </c>
      <c r="C61" s="480"/>
      <c r="D61" s="492">
        <f t="shared" si="492"/>
        <v>2039</v>
      </c>
      <c r="E61" s="477">
        <f>IF('Incremental Repayments'!$R$22="Debt",IF(AND(E$4&gt;=$D61,E$4&lt;$D61+'Incremental Repayments'!$I$31),-PMT('Interest Rate'!$J$16,'Incremental Repayments'!$I$31,(HLOOKUP($D61,$E$4:$CZ$32,28,FALSE)*'Incremental Repayments'!$I$22)),0),0)</f>
        <v>0</v>
      </c>
      <c r="F61" s="477">
        <f>IF('Incremental Repayments'!$R$22="Debt",IF(AND(F$4&gt;=$D61,F$4&lt;$D61+'Incremental Repayments'!$I$31),-PMT('Interest Rate'!$J$16,'Incremental Repayments'!$I$31,(HLOOKUP($D61,$E$4:$CZ$32,28,FALSE)*'Incremental Repayments'!$I$22)),0),0)</f>
        <v>0</v>
      </c>
      <c r="G61" s="477">
        <f>IF('Incremental Repayments'!$R$22="Debt",IF(AND(G$4&gt;=$D61,G$4&lt;$D61+'Incremental Repayments'!$I$31),-PMT('Interest Rate'!$J$16,'Incremental Repayments'!$I$31,(HLOOKUP($D61,$E$4:$CZ$32,28,FALSE)*'Incremental Repayments'!$I$22)),0),0)</f>
        <v>0</v>
      </c>
      <c r="H61" s="477">
        <f>IF('Incremental Repayments'!$R$22="Debt",IF(AND(H$4&gt;=$D61,H$4&lt;$D61+'Incremental Repayments'!$I$31),-PMT('Interest Rate'!$J$16,'Incremental Repayments'!$I$31,(HLOOKUP($D61,$E$4:$CZ$32,28,FALSE)*'Incremental Repayments'!$I$22)),0),0)</f>
        <v>0</v>
      </c>
      <c r="I61" s="477">
        <f>IF('Incremental Repayments'!$R$22="Debt",IF(AND(I$4&gt;=$D61,I$4&lt;$D61+'Incremental Repayments'!$I$31),-PMT('Interest Rate'!$J$16,'Incremental Repayments'!$I$31,(HLOOKUP($D61,$E$4:$CZ$32,28,FALSE)*'Incremental Repayments'!$I$22)),0),0)</f>
        <v>0</v>
      </c>
      <c r="J61" s="477">
        <f>IF('Incremental Repayments'!$R$22="Debt",IF(AND(J$4&gt;=$D61,J$4&lt;$D61+'Incremental Repayments'!$I$31),-PMT('Interest Rate'!$J$16,'Incremental Repayments'!$I$31,(HLOOKUP($D61,$E$4:$CZ$32,28,FALSE)*'Incremental Repayments'!$I$22)),0),0)</f>
        <v>0</v>
      </c>
      <c r="K61" s="477">
        <f>IF('Incremental Repayments'!$R$22="Debt",IF(AND(K$4&gt;=$D61,K$4&lt;$D61+'Incremental Repayments'!$I$31),-PMT('Interest Rate'!$J$16,'Incremental Repayments'!$I$31,(HLOOKUP($D61,$E$4:$CZ$32,28,FALSE)*'Incremental Repayments'!$I$22)),0),0)</f>
        <v>0</v>
      </c>
      <c r="L61" s="477">
        <f>IF('Incremental Repayments'!$R$22="Debt",IF(AND(L$4&gt;=$D61,L$4&lt;$D61+'Incremental Repayments'!$I$31),-PMT('Interest Rate'!$J$16,'Incremental Repayments'!$I$31,(HLOOKUP($D61,$E$4:$CZ$32,28,FALSE)*'Incremental Repayments'!$I$22)),0),0)</f>
        <v>0</v>
      </c>
      <c r="M61" s="477">
        <f>IF('Incremental Repayments'!$R$22="Debt",IF(AND(M$4&gt;=$D61,M$4&lt;$D61+'Incremental Repayments'!$I$31),-PMT('Interest Rate'!$J$16,'Incremental Repayments'!$I$31,(HLOOKUP($D61,$E$4:$CZ$32,28,FALSE)*'Incremental Repayments'!$I$22)),0),0)</f>
        <v>0</v>
      </c>
      <c r="N61" s="477">
        <f>IF('Incremental Repayments'!$R$22="Debt",IF(AND(N$4&gt;=$D61,N$4&lt;$D61+'Incremental Repayments'!$I$31),-PMT('Interest Rate'!$J$16,'Incremental Repayments'!$I$31,(HLOOKUP($D61,$E$4:$CZ$32,28,FALSE)*'Incremental Repayments'!$I$22)),0),0)</f>
        <v>0</v>
      </c>
      <c r="O61" s="477">
        <f>IF('Incremental Repayments'!$R$22="Debt",IF(AND(O$4&gt;=$D61,O$4&lt;$D61+'Incremental Repayments'!$I$31),-PMT('Interest Rate'!$J$16,'Incremental Repayments'!$I$31,(HLOOKUP($D61,$E$4:$CZ$32,28,FALSE)*'Incremental Repayments'!$I$22)),0),0)</f>
        <v>0</v>
      </c>
      <c r="P61" s="477">
        <f>IF('Incremental Repayments'!$R$22="Debt",IF(AND(P$4&gt;=$D61,P$4&lt;$D61+'Incremental Repayments'!$I$31),-PMT('Interest Rate'!$J$16,'Incremental Repayments'!$I$31,(HLOOKUP($D61,$E$4:$CZ$32,28,FALSE)*'Incremental Repayments'!$I$22)),0),0)</f>
        <v>0</v>
      </c>
      <c r="Q61" s="477">
        <f>IF('Incremental Repayments'!$R$22="Debt",IF(AND(Q$4&gt;=$D61,Q$4&lt;$D61+'Incremental Repayments'!$I$31),-PMT('Interest Rate'!$J$16,'Incremental Repayments'!$I$31,(HLOOKUP($D61,$E$4:$CZ$32,28,FALSE)*'Incremental Repayments'!$I$22)),0),0)</f>
        <v>0</v>
      </c>
      <c r="R61" s="477">
        <f>IF('Incremental Repayments'!$R$22="Debt",IF(AND(R$4&gt;=$D61,R$4&lt;$D61+'Incremental Repayments'!$I$31),-PMT('Interest Rate'!$J$16,'Incremental Repayments'!$I$31,(HLOOKUP($D61,$E$4:$CZ$32,28,FALSE)*'Incremental Repayments'!$I$22)),0),0)</f>
        <v>0</v>
      </c>
      <c r="S61" s="477">
        <f>IF('Incremental Repayments'!$R$22="Debt",IF(AND(S$4&gt;=$D61,S$4&lt;$D61+'Incremental Repayments'!$I$31),-PMT('Interest Rate'!$J$16,'Incremental Repayments'!$I$31,(HLOOKUP($D61,$E$4:$CZ$32,28,FALSE)*'Incremental Repayments'!$I$22)),0),0)</f>
        <v>0</v>
      </c>
      <c r="T61" s="477">
        <f>IF('Incremental Repayments'!$R$22="Debt",IF(AND(T$4&gt;=$D61,T$4&lt;$D61+'Incremental Repayments'!$I$31),-PMT('Interest Rate'!$J$16,'Incremental Repayments'!$I$31,(HLOOKUP($D61,$E$4:$CZ$32,28,FALSE)*'Incremental Repayments'!$I$22)),0),0)</f>
        <v>0</v>
      </c>
      <c r="U61" s="477">
        <f>IF('Incremental Repayments'!$R$22="Debt",IF(AND(U$4&gt;=$D61,U$4&lt;$D61+'Incremental Repayments'!$I$31),-PMT('Interest Rate'!$J$16,'Incremental Repayments'!$I$31,(HLOOKUP($D61,$E$4:$CZ$32,28,FALSE)*'Incremental Repayments'!$I$22)),0),0)</f>
        <v>0</v>
      </c>
      <c r="V61" s="477">
        <f>IF('Incremental Repayments'!$R$22="Debt",IF(AND(V$4&gt;=$D61,V$4&lt;$D61+'Incremental Repayments'!$I$31),-PMT('Interest Rate'!$J$16,'Incremental Repayments'!$I$31,(HLOOKUP($D61,$E$4:$CZ$32,28,FALSE)*'Incremental Repayments'!$I$22)),0),0)</f>
        <v>0</v>
      </c>
      <c r="W61" s="477">
        <f>IF('Incremental Repayments'!$R$22="Debt",IF(AND(W$4&gt;=$D61,W$4&lt;$D61+'Incremental Repayments'!$I$31),-PMT('Interest Rate'!$J$16,'Incremental Repayments'!$I$31,(HLOOKUP($D61,$E$4:$CZ$32,28,FALSE)*'Incremental Repayments'!$I$22)),0),0)</f>
        <v>0</v>
      </c>
      <c r="X61" s="477">
        <f>IF('Incremental Repayments'!$R$22="Debt",IF(AND(X$4&gt;=$D61,X$4&lt;$D61+'Incremental Repayments'!$I$31),-PMT('Interest Rate'!$J$16,'Incremental Repayments'!$I$31,(HLOOKUP($D61,$E$4:$CZ$32,28,FALSE)*'Incremental Repayments'!$I$22)),0),0)</f>
        <v>0</v>
      </c>
      <c r="Y61" s="477">
        <f>IF('Incremental Repayments'!$R$22="Debt",IF(AND(Y$4&gt;=$D61,Y$4&lt;$D61+'Incremental Repayments'!$I$31),-PMT('Interest Rate'!$J$16,'Incremental Repayments'!$I$31,(HLOOKUP($D61,$E$4:$CZ$32,28,FALSE)*'Incremental Repayments'!$I$22)),0),0)</f>
        <v>0</v>
      </c>
      <c r="Z61" s="477">
        <f>IF('Incremental Repayments'!$R$22="Debt",IF(AND(Z$4&gt;=$D61,Z$4&lt;$D61+'Incremental Repayments'!$I$31),-PMT('Interest Rate'!$J$16,'Incremental Repayments'!$I$31,(HLOOKUP($D61,$E$4:$CZ$32,28,FALSE)*'Incremental Repayments'!$I$22)),0),0)</f>
        <v>0</v>
      </c>
      <c r="AA61" s="477">
        <f>IF('Incremental Repayments'!$R$22="Debt",IF(AND(AA$4&gt;=$D61,AA$4&lt;$D61+'Incremental Repayments'!$I$31),-PMT('Interest Rate'!$J$16,'Incremental Repayments'!$I$31,(HLOOKUP($D61,$E$4:$CZ$32,28,FALSE)*'Incremental Repayments'!$I$22)),0),0)</f>
        <v>0</v>
      </c>
      <c r="AB61" s="477">
        <f>IF('Incremental Repayments'!$R$22="Debt",IF(AND(AB$4&gt;=$D61,AB$4&lt;$D61+'Incremental Repayments'!$I$31),-PMT('Interest Rate'!$J$16,'Incremental Repayments'!$I$31,(HLOOKUP($D61,$E$4:$CZ$32,28,FALSE)*'Incremental Repayments'!$I$22)),0),0)</f>
        <v>0</v>
      </c>
      <c r="AC61" s="477">
        <f>IF('Incremental Repayments'!$R$22="Debt",IF(AND(AC$4&gt;=$D61,AC$4&lt;$D61+'Incremental Repayments'!$I$31),-PMT('Interest Rate'!$J$16,'Incremental Repayments'!$I$31,(HLOOKUP($D61,$E$4:$CZ$32,28,FALSE)*'Incremental Repayments'!$I$22)),0),0)</f>
        <v>0</v>
      </c>
      <c r="AD61" s="477">
        <f>IF('Incremental Repayments'!$R$22="Debt",IF(AND(AD$4&gt;=$D61,AD$4&lt;$D61+'Incremental Repayments'!$I$31),-PMT('Interest Rate'!$J$16,'Incremental Repayments'!$I$31,(HLOOKUP($D61,$E$4:$CZ$32,28,FALSE)*'Incremental Repayments'!$I$22)),0),0)</f>
        <v>740650.80771502748</v>
      </c>
      <c r="AE61" s="477">
        <f>IF('Incremental Repayments'!$R$22="Debt",IF(AND(AE$4&gt;=$D61,AE$4&lt;$D61+'Incremental Repayments'!$I$31),-PMT('Interest Rate'!$J$16,'Incremental Repayments'!$I$31,(HLOOKUP($D61,$E$4:$CZ$32,28,FALSE)*'Incremental Repayments'!$I$22)),0),0)</f>
        <v>740650.80771502748</v>
      </c>
      <c r="AF61" s="477">
        <f>IF('Incremental Repayments'!$R$22="Debt",IF(AND(AF$4&gt;=$D61,AF$4&lt;$D61+'Incremental Repayments'!$I$31),-PMT('Interest Rate'!$J$16,'Incremental Repayments'!$I$31,(HLOOKUP($D61,$E$4:$CZ$32,28,FALSE)*'Incremental Repayments'!$I$22)),0),0)</f>
        <v>740650.80771502748</v>
      </c>
      <c r="AG61" s="477">
        <f>IF('Incremental Repayments'!$R$22="Debt",IF(AND(AG$4&gt;=$D61,AG$4&lt;$D61+'Incremental Repayments'!$I$31),-PMT('Interest Rate'!$J$16,'Incremental Repayments'!$I$31,(HLOOKUP($D61,$E$4:$CZ$32,28,FALSE)*'Incremental Repayments'!$I$22)),0),0)</f>
        <v>740650.80771502748</v>
      </c>
      <c r="AH61" s="477">
        <f>IF('Incremental Repayments'!$R$22="Debt",IF(AND(AH$4&gt;=$D61,AH$4&lt;$D61+'Incremental Repayments'!$I$31),-PMT('Interest Rate'!$J$16,'Incremental Repayments'!$I$31,(HLOOKUP($D61,$E$4:$CZ$32,28,FALSE)*'Incremental Repayments'!$I$22)),0),0)</f>
        <v>740650.80771502748</v>
      </c>
      <c r="AI61" s="477">
        <f>IF('Incremental Repayments'!$R$22="Debt",IF(AND(AI$4&gt;=$D61,AI$4&lt;$D61+'Incremental Repayments'!$I$31),-PMT('Interest Rate'!$J$16,'Incremental Repayments'!$I$31,(HLOOKUP($D61,$E$4:$CZ$32,28,FALSE)*'Incremental Repayments'!$I$22)),0),0)</f>
        <v>740650.80771502748</v>
      </c>
      <c r="AJ61" s="477">
        <f>IF('Incremental Repayments'!$R$22="Debt",IF(AND(AJ$4&gt;=$D61,AJ$4&lt;$D61+'Incremental Repayments'!$I$31),-PMT('Interest Rate'!$J$16,'Incremental Repayments'!$I$31,(HLOOKUP($D61,$E$4:$CZ$32,28,FALSE)*'Incremental Repayments'!$I$22)),0),0)</f>
        <v>740650.80771502748</v>
      </c>
      <c r="AK61" s="477">
        <f>IF('Incremental Repayments'!$R$22="Debt",IF(AND(AK$4&gt;=$D61,AK$4&lt;$D61+'Incremental Repayments'!$I$31),-PMT('Interest Rate'!$J$16,'Incremental Repayments'!$I$31,(HLOOKUP($D61,$E$4:$CZ$32,28,FALSE)*'Incremental Repayments'!$I$22)),0),0)</f>
        <v>740650.80771502748</v>
      </c>
      <c r="AL61" s="477">
        <f>IF('Incremental Repayments'!$R$22="Debt",IF(AND(AL$4&gt;=$D61,AL$4&lt;$D61+'Incremental Repayments'!$I$31),-PMT('Interest Rate'!$J$16,'Incremental Repayments'!$I$31,(HLOOKUP($D61,$E$4:$CZ$32,28,FALSE)*'Incremental Repayments'!$I$22)),0),0)</f>
        <v>740650.80771502748</v>
      </c>
      <c r="AM61" s="477">
        <f>IF('Incremental Repayments'!$R$22="Debt",IF(AND(AM$4&gt;=$D61,AM$4&lt;$D61+'Incremental Repayments'!$I$31),-PMT('Interest Rate'!$J$16,'Incremental Repayments'!$I$31,(HLOOKUP($D61,$E$4:$CZ$32,28,FALSE)*'Incremental Repayments'!$I$22)),0),0)</f>
        <v>740650.80771502748</v>
      </c>
      <c r="AN61" s="477">
        <f>IF('Incremental Repayments'!$R$22="Debt",IF(AND(AN$4&gt;=$D61,AN$4&lt;$D61+'Incremental Repayments'!$I$31),-PMT('Interest Rate'!$J$16,'Incremental Repayments'!$I$31,(HLOOKUP($D61,$E$4:$CZ$32,28,FALSE)*'Incremental Repayments'!$I$22)),0),0)</f>
        <v>740650.80771502748</v>
      </c>
      <c r="AO61" s="477">
        <f>IF('Incremental Repayments'!$R$22="Debt",IF(AND(AO$4&gt;=$D61,AO$4&lt;$D61+'Incremental Repayments'!$I$31),-PMT('Interest Rate'!$J$16,'Incremental Repayments'!$I$31,(HLOOKUP($D61,$E$4:$CZ$32,28,FALSE)*'Incremental Repayments'!$I$22)),0),0)</f>
        <v>740650.80771502748</v>
      </c>
      <c r="AP61" s="477">
        <f>IF('Incremental Repayments'!$R$22="Debt",IF(AND(AP$4&gt;=$D61,AP$4&lt;$D61+'Incremental Repayments'!$I$31),-PMT('Interest Rate'!$J$16,'Incremental Repayments'!$I$31,(HLOOKUP($D61,$E$4:$CZ$32,28,FALSE)*'Incremental Repayments'!$I$22)),0),0)</f>
        <v>740650.80771502748</v>
      </c>
      <c r="AQ61" s="477">
        <f>IF('Incremental Repayments'!$R$22="Debt",IF(AND(AQ$4&gt;=$D61,AQ$4&lt;$D61+'Incremental Repayments'!$I$31),-PMT('Interest Rate'!$J$16,'Incremental Repayments'!$I$31,(HLOOKUP($D61,$E$4:$CZ$32,28,FALSE)*'Incremental Repayments'!$I$22)),0),0)</f>
        <v>740650.80771502748</v>
      </c>
      <c r="AR61" s="477">
        <f>IF('Incremental Repayments'!$R$22="Debt",IF(AND(AR$4&gt;=$D61,AR$4&lt;$D61+'Incremental Repayments'!$I$31),-PMT('Interest Rate'!$J$16,'Incremental Repayments'!$I$31,(HLOOKUP($D61,$E$4:$CZ$32,28,FALSE)*'Incremental Repayments'!$I$22)),0),0)</f>
        <v>740650.80771502748</v>
      </c>
      <c r="AS61" s="477">
        <f>IF('Incremental Repayments'!$R$22="Debt",IF(AND(AS$4&gt;=$D61,AS$4&lt;$D61+'Incremental Repayments'!$I$31),-PMT('Interest Rate'!$J$16,'Incremental Repayments'!$I$31,(HLOOKUP($D61,$E$4:$CZ$32,28,FALSE)*'Incremental Repayments'!$I$22)),0),0)</f>
        <v>740650.80771502748</v>
      </c>
      <c r="AT61" s="477">
        <f>IF('Incremental Repayments'!$R$22="Debt",IF(AND(AT$4&gt;=$D61,AT$4&lt;$D61+'Incremental Repayments'!$I$31),-PMT('Interest Rate'!$J$16,'Incremental Repayments'!$I$31,(HLOOKUP($D61,$E$4:$CZ$32,28,FALSE)*'Incremental Repayments'!$I$22)),0),0)</f>
        <v>740650.80771502748</v>
      </c>
      <c r="AU61" s="477">
        <f>IF('Incremental Repayments'!$R$22="Debt",IF(AND(AU$4&gt;=$D61,AU$4&lt;$D61+'Incremental Repayments'!$I$31),-PMT('Interest Rate'!$J$16,'Incremental Repayments'!$I$31,(HLOOKUP($D61,$E$4:$CZ$32,28,FALSE)*'Incremental Repayments'!$I$22)),0),0)</f>
        <v>740650.80771502748</v>
      </c>
      <c r="AV61" s="477">
        <f>IF('Incremental Repayments'!$R$22="Debt",IF(AND(AV$4&gt;=$D61,AV$4&lt;$D61+'Incremental Repayments'!$I$31),-PMT('Interest Rate'!$J$16,'Incremental Repayments'!$I$31,(HLOOKUP($D61,$E$4:$CZ$32,28,FALSE)*'Incremental Repayments'!$I$22)),0),0)</f>
        <v>740650.80771502748</v>
      </c>
      <c r="AW61" s="477">
        <f>IF('Incremental Repayments'!$R$22="Debt",IF(AND(AW$4&gt;=$D61,AW$4&lt;$D61+'Incremental Repayments'!$I$31),-PMT('Interest Rate'!$J$16,'Incremental Repayments'!$I$31,(HLOOKUP($D61,$E$4:$CZ$32,28,FALSE)*'Incremental Repayments'!$I$22)),0),0)</f>
        <v>740650.80771502748</v>
      </c>
      <c r="AX61" s="477">
        <f>IF('Incremental Repayments'!$R$22="Debt",IF(AND(AX$4&gt;=$D61,AX$4&lt;$D61+'Incremental Repayments'!$I$31),-PMT('Interest Rate'!$J$16,'Incremental Repayments'!$I$31,(HLOOKUP($D61,$E$4:$CZ$32,28,FALSE)*'Incremental Repayments'!$I$22)),0),0)</f>
        <v>740650.80771502748</v>
      </c>
      <c r="AY61" s="477">
        <f>IF('Incremental Repayments'!$R$22="Debt",IF(AND(AY$4&gt;=$D61,AY$4&lt;$D61+'Incremental Repayments'!$I$31),-PMT('Interest Rate'!$J$16,'Incremental Repayments'!$I$31,(HLOOKUP($D61,$E$4:$CZ$32,28,FALSE)*'Incremental Repayments'!$I$22)),0),0)</f>
        <v>740650.80771502748</v>
      </c>
      <c r="AZ61" s="477">
        <f>IF('Incremental Repayments'!$R$22="Debt",IF(AND(AZ$4&gt;=$D61,AZ$4&lt;$D61+'Incremental Repayments'!$I$31),-PMT('Interest Rate'!$J$16,'Incremental Repayments'!$I$31,(HLOOKUP($D61,$E$4:$CZ$32,28,FALSE)*'Incremental Repayments'!$I$22)),0),0)</f>
        <v>740650.80771502748</v>
      </c>
      <c r="BA61" s="477">
        <f>IF('Incremental Repayments'!$R$22="Debt",IF(AND(BA$4&gt;=$D61,BA$4&lt;$D61+'Incremental Repayments'!$I$31),-PMT('Interest Rate'!$J$16,'Incremental Repayments'!$I$31,(HLOOKUP($D61,$E$4:$CZ$32,28,FALSE)*'Incremental Repayments'!$I$22)),0),0)</f>
        <v>740650.80771502748</v>
      </c>
      <c r="BB61" s="477">
        <f>IF('Incremental Repayments'!$R$22="Debt",IF(AND(BB$4&gt;=$D61,BB$4&lt;$D61+'Incremental Repayments'!$I$31),-PMT('Interest Rate'!$J$16,'Incremental Repayments'!$I$31,(HLOOKUP($D61,$E$4:$CZ$32,28,FALSE)*'Incremental Repayments'!$I$22)),0),0)</f>
        <v>740650.80771502748</v>
      </c>
      <c r="BC61" s="477">
        <f>IF('Incremental Repayments'!$R$22="Debt",IF(AND(BC$4&gt;=$D61,BC$4&lt;$D61+'Incremental Repayments'!$I$31),-PMT('Interest Rate'!$J$16,'Incremental Repayments'!$I$31,(HLOOKUP($D61,$E$4:$CZ$32,28,FALSE)*'Incremental Repayments'!$I$22)),0),0)</f>
        <v>740650.80771502748</v>
      </c>
      <c r="BD61" s="477">
        <f>IF('Incremental Repayments'!$R$22="Debt",IF(AND(BD$4&gt;=$D61,BD$4&lt;$D61+'Incremental Repayments'!$I$31),-PMT('Interest Rate'!$J$16,'Incremental Repayments'!$I$31,(HLOOKUP($D61,$E$4:$CZ$32,28,FALSE)*'Incremental Repayments'!$I$22)),0),0)</f>
        <v>740650.80771502748</v>
      </c>
      <c r="BE61" s="477">
        <f>IF('Incremental Repayments'!$R$22="Debt",IF(AND(BE$4&gt;=$D61,BE$4&lt;$D61+'Incremental Repayments'!$I$31),-PMT('Interest Rate'!$J$16,'Incremental Repayments'!$I$31,(HLOOKUP($D61,$E$4:$CZ$32,28,FALSE)*'Incremental Repayments'!$I$22)),0),0)</f>
        <v>740650.80771502748</v>
      </c>
      <c r="BF61" s="477">
        <f>IF('Incremental Repayments'!$R$22="Debt",IF(AND(BF$4&gt;=$D61,BF$4&lt;$D61+'Incremental Repayments'!$I$31),-PMT('Interest Rate'!$J$16,'Incremental Repayments'!$I$31,(HLOOKUP($D61,$E$4:$CZ$32,28,FALSE)*'Incremental Repayments'!$I$22)),0),0)</f>
        <v>740650.80771502748</v>
      </c>
      <c r="BG61" s="477">
        <f>IF('Incremental Repayments'!$R$22="Debt",IF(AND(BG$4&gt;=$D61,BG$4&lt;$D61+'Incremental Repayments'!$I$31),-PMT('Interest Rate'!$J$16,'Incremental Repayments'!$I$31,(HLOOKUP($D61,$E$4:$CZ$32,28,FALSE)*'Incremental Repayments'!$I$22)),0),0)</f>
        <v>740650.80771502748</v>
      </c>
      <c r="BH61" s="477">
        <f>IF('Incremental Repayments'!$R$22="Debt",IF(AND(BH$4&gt;=$D61,BH$4&lt;$D61+'Incremental Repayments'!$I$31),-PMT('Interest Rate'!$J$16,'Incremental Repayments'!$I$31,(HLOOKUP($D61,$E$4:$CZ$32,28,FALSE)*'Incremental Repayments'!$I$22)),0),0)</f>
        <v>0</v>
      </c>
      <c r="BI61" s="477">
        <f>IF('Incremental Repayments'!$R$22="Debt",IF(AND(BI$4&gt;=$D61,BI$4&lt;$D61+'Incremental Repayments'!$I$31),-PMT('Interest Rate'!$J$16,'Incremental Repayments'!$I$31,(HLOOKUP($D61,$E$4:$CZ$32,28,FALSE)*'Incremental Repayments'!$I$22)),0),0)</f>
        <v>0</v>
      </c>
      <c r="BJ61" s="477">
        <f>IF('Incremental Repayments'!$R$22="Debt",IF(AND(BJ$4&gt;=$D61,BJ$4&lt;$D61+'Incremental Repayments'!$I$31),-PMT('Interest Rate'!$J$16,'Incremental Repayments'!$I$31,(HLOOKUP($D61,$E$4:$CZ$32,28,FALSE)*'Incremental Repayments'!$I$22)),0),0)</f>
        <v>0</v>
      </c>
      <c r="BK61" s="477">
        <f>IF('Incremental Repayments'!$R$22="Debt",IF(AND(BK$4&gt;=$D61,BK$4&lt;$D61+'Incremental Repayments'!$I$31),-PMT('Interest Rate'!$J$16,'Incremental Repayments'!$I$31,(HLOOKUP($D61,$E$4:$CZ$32,28,FALSE)*'Incremental Repayments'!$I$22)),0),0)</f>
        <v>0</v>
      </c>
      <c r="BL61" s="477">
        <f>IF('Incremental Repayments'!$R$22="Debt",IF(AND(BL$4&gt;=$D61,BL$4&lt;$D61+'Incremental Repayments'!$I$31),-PMT('Interest Rate'!$J$16,'Incremental Repayments'!$I$31,(HLOOKUP($D61,$E$4:$CZ$32,28,FALSE)*'Incremental Repayments'!$I$22)),0),0)</f>
        <v>0</v>
      </c>
      <c r="BM61" s="477">
        <f>IF('Incremental Repayments'!$R$22="Debt",IF(AND(BM$4&gt;=$D61,BM$4&lt;$D61+'Incremental Repayments'!$I$31),-PMT('Interest Rate'!$J$16,'Incremental Repayments'!$I$31,(HLOOKUP($D61,$E$4:$CZ$32,28,FALSE)*'Incremental Repayments'!$I$22)),0),0)</f>
        <v>0</v>
      </c>
      <c r="BN61" s="477">
        <f>IF('Incremental Repayments'!$R$22="Debt",IF(AND(BN$4&gt;=$D61,BN$4&lt;$D61+'Incremental Repayments'!$I$31),-PMT('Interest Rate'!$J$16,'Incremental Repayments'!$I$31,(HLOOKUP($D61,$E$4:$CZ$32,28,FALSE)*'Incremental Repayments'!$I$22)),0),0)</f>
        <v>0</v>
      </c>
      <c r="BO61" s="477">
        <f>IF('Incremental Repayments'!$R$22="Debt",IF(AND(BO$4&gt;=$D61,BO$4&lt;$D61+'Incremental Repayments'!$I$31),-PMT('Interest Rate'!$J$16,'Incremental Repayments'!$I$31,(HLOOKUP($D61,$E$4:$CZ$32,28,FALSE)*'Incremental Repayments'!$I$22)),0),0)</f>
        <v>0</v>
      </c>
      <c r="BP61" s="477">
        <f>IF('Incremental Repayments'!$R$22="Debt",IF(AND(BP$4&gt;=$D61,BP$4&lt;$D61+'Incremental Repayments'!$I$31),-PMT('Interest Rate'!$J$16,'Incremental Repayments'!$I$31,(HLOOKUP($D61,$E$4:$CZ$32,28,FALSE)*'Incremental Repayments'!$I$22)),0),0)</f>
        <v>0</v>
      </c>
      <c r="BQ61" s="477">
        <f>IF('Incremental Repayments'!$R$22="Debt",IF(AND(BQ$4&gt;=$D61,BQ$4&lt;$D61+'Incremental Repayments'!$I$31),-PMT('Interest Rate'!$J$16,'Incremental Repayments'!$I$31,(HLOOKUP($D61,$E$4:$CZ$32,28,FALSE)*'Incremental Repayments'!$I$22)),0),0)</f>
        <v>0</v>
      </c>
      <c r="BR61" s="477">
        <f>IF('Incremental Repayments'!$R$22="Debt",IF(AND(BR$4&gt;=$D61,BR$4&lt;$D61+'Incremental Repayments'!$I$31),-PMT('Interest Rate'!$J$16,'Incremental Repayments'!$I$31,(HLOOKUP($D61,$E$4:$CZ$32,28,FALSE)*'Incremental Repayments'!$I$22)),0),0)</f>
        <v>0</v>
      </c>
      <c r="BS61" s="477">
        <f>IF('Incremental Repayments'!$R$22="Debt",IF(AND(BS$4&gt;=$D61,BS$4&lt;$D61+'Incremental Repayments'!$I$31),-PMT('Interest Rate'!$J$16,'Incremental Repayments'!$I$31,(HLOOKUP($D61,$E$4:$CZ$32,28,FALSE)*'Incremental Repayments'!$I$22)),0),0)</f>
        <v>0</v>
      </c>
      <c r="BT61" s="477">
        <f>IF('Incremental Repayments'!$R$22="Debt",IF(AND(BT$4&gt;=$D61,BT$4&lt;$D61+'Incremental Repayments'!$I$31),-PMT('Interest Rate'!$J$16,'Incremental Repayments'!$I$31,(HLOOKUP($D61,$E$4:$CZ$32,28,FALSE)*'Incremental Repayments'!$I$22)),0),0)</f>
        <v>0</v>
      </c>
      <c r="BU61" s="477">
        <f>IF('Incremental Repayments'!$R$22="Debt",IF(AND(BU$4&gt;=$D61,BU$4&lt;$D61+'Incremental Repayments'!$I$31),-PMT('Interest Rate'!$J$16,'Incremental Repayments'!$I$31,(HLOOKUP($D61,$E$4:$CZ$32,28,FALSE)*'Incremental Repayments'!$I$22)),0),0)</f>
        <v>0</v>
      </c>
      <c r="BV61" s="477">
        <f>IF('Incremental Repayments'!$R$22="Debt",IF(AND(BV$4&gt;=$D61,BV$4&lt;$D61+'Incremental Repayments'!$I$31),-PMT('Interest Rate'!$J$16,'Incremental Repayments'!$I$31,(HLOOKUP($D61,$E$4:$CZ$32,28,FALSE)*'Incremental Repayments'!$I$22)),0),0)</f>
        <v>0</v>
      </c>
      <c r="BW61" s="477">
        <f>IF('Incremental Repayments'!$R$22="Debt",IF(AND(BW$4&gt;=$D61,BW$4&lt;$D61+'Incremental Repayments'!$I$31),-PMT('Interest Rate'!$J$16,'Incremental Repayments'!$I$31,(HLOOKUP($D61,$E$4:$CZ$32,28,FALSE)*'Incremental Repayments'!$I$22)),0),0)</f>
        <v>0</v>
      </c>
      <c r="BX61" s="477">
        <f>IF('Incremental Repayments'!$R$22="Debt",IF(AND(BX$4&gt;=$D61,BX$4&lt;$D61+'Incremental Repayments'!$I$31),-PMT('Interest Rate'!$J$16,'Incremental Repayments'!$I$31,(HLOOKUP($D61,$E$4:$CZ$32,28,FALSE)*'Incremental Repayments'!$I$22)),0),0)</f>
        <v>0</v>
      </c>
      <c r="BY61" s="477">
        <f>IF('Incremental Repayments'!$R$22="Debt",IF(AND(BY$4&gt;=$D61,BY$4&lt;$D61+'Incremental Repayments'!$I$31),-PMT('Interest Rate'!$J$16,'Incremental Repayments'!$I$31,(HLOOKUP($D61,$E$4:$CZ$32,28,FALSE)*'Incremental Repayments'!$I$22)),0),0)</f>
        <v>0</v>
      </c>
      <c r="BZ61" s="477">
        <f>IF('Incremental Repayments'!$R$22="Debt",IF(AND(BZ$4&gt;=$D61,BZ$4&lt;$D61+'Incremental Repayments'!$I$31),-PMT('Interest Rate'!$J$16,'Incremental Repayments'!$I$31,(HLOOKUP($D61,$E$4:$CZ$32,28,FALSE)*'Incremental Repayments'!$I$22)),0),0)</f>
        <v>0</v>
      </c>
      <c r="CA61" s="477">
        <f>IF('Incremental Repayments'!$R$22="Debt",IF(AND(CA$4&gt;=$D61,CA$4&lt;$D61+'Incremental Repayments'!$I$31),-PMT('Interest Rate'!$J$16,'Incremental Repayments'!$I$31,(HLOOKUP($D61,$E$4:$CZ$32,28,FALSE)*'Incremental Repayments'!$I$22)),0),0)</f>
        <v>0</v>
      </c>
      <c r="CB61" s="477">
        <f>IF('Incremental Repayments'!$R$22="Debt",IF(AND(CB$4&gt;=$D61,CB$4&lt;$D61+'Incremental Repayments'!$I$31),-PMT('Interest Rate'!$J$16,'Incremental Repayments'!$I$31,(HLOOKUP($D61,$E$4:$CZ$32,28,FALSE)*'Incremental Repayments'!$I$22)),0),0)</f>
        <v>0</v>
      </c>
      <c r="CC61" s="477">
        <f>IF('Incremental Repayments'!$R$22="Debt",IF(AND(CC$4&gt;=$D61,CC$4&lt;$D61+'Incremental Repayments'!$I$31),-PMT('Interest Rate'!$J$16,'Incremental Repayments'!$I$31,(HLOOKUP($D61,$E$4:$CZ$32,28,FALSE)*'Incremental Repayments'!$I$22)),0),0)</f>
        <v>0</v>
      </c>
      <c r="CD61" s="477">
        <f>IF('Incremental Repayments'!$R$22="Debt",IF(AND(CD$4&gt;=$D61,CD$4&lt;$D61+'Incremental Repayments'!$I$31),-PMT('Interest Rate'!$J$16,'Incremental Repayments'!$I$31,(HLOOKUP($D61,$E$4:$CZ$32,28,FALSE)*'Incremental Repayments'!$I$22)),0),0)</f>
        <v>0</v>
      </c>
      <c r="CE61" s="477">
        <f>IF('Incremental Repayments'!$R$22="Debt",IF(AND(CE$4&gt;=$D61,CE$4&lt;$D61+'Incremental Repayments'!$I$31),-PMT('Interest Rate'!$J$16,'Incremental Repayments'!$I$31,(HLOOKUP($D61,$E$4:$CZ$32,28,FALSE)*'Incremental Repayments'!$I$22)),0),0)</f>
        <v>0</v>
      </c>
      <c r="CF61" s="477">
        <f>IF('Incremental Repayments'!$R$22="Debt",IF(AND(CF$4&gt;=$D61,CF$4&lt;$D61+'Incremental Repayments'!$I$31),-PMT('Interest Rate'!$J$16,'Incremental Repayments'!$I$31,(HLOOKUP($D61,$E$4:$CZ$32,28,FALSE)*'Incremental Repayments'!$I$22)),0),0)</f>
        <v>0</v>
      </c>
      <c r="CG61" s="477">
        <f>IF('Incremental Repayments'!$R$22="Debt",IF(AND(CG$4&gt;=$D61,CG$4&lt;$D61+'Incremental Repayments'!$I$31),-PMT('Interest Rate'!$J$16,'Incremental Repayments'!$I$31,(HLOOKUP($D61,$E$4:$CZ$32,28,FALSE)*'Incremental Repayments'!$I$22)),0),0)</f>
        <v>0</v>
      </c>
      <c r="CH61" s="477">
        <f>IF('Incremental Repayments'!$R$22="Debt",IF(AND(CH$4&gt;=$D61,CH$4&lt;$D61+'Incremental Repayments'!$I$31),-PMT('Interest Rate'!$J$16,'Incremental Repayments'!$I$31,(HLOOKUP($D61,$E$4:$CZ$32,28,FALSE)*'Incremental Repayments'!$I$22)),0),0)</f>
        <v>0</v>
      </c>
      <c r="CI61" s="477">
        <f>IF('Incremental Repayments'!$R$22="Debt",IF(AND(CI$4&gt;=$D61,CI$4&lt;$D61+'Incremental Repayments'!$I$31),-PMT('Interest Rate'!$J$16,'Incremental Repayments'!$I$31,(HLOOKUP($D61,$E$4:$CZ$32,28,FALSE)*'Incremental Repayments'!$I$22)),0),0)</f>
        <v>0</v>
      </c>
      <c r="CJ61" s="477">
        <f>IF('Incremental Repayments'!$R$22="Debt",IF(AND(CJ$4&gt;=$D61,CJ$4&lt;$D61+'Incremental Repayments'!$I$31),-PMT('Interest Rate'!$J$16,'Incremental Repayments'!$I$31,(HLOOKUP($D61,$E$4:$CZ$32,28,FALSE)*'Incremental Repayments'!$I$22)),0),0)</f>
        <v>0</v>
      </c>
      <c r="CK61" s="477">
        <f>IF('Incremental Repayments'!$R$22="Debt",IF(AND(CK$4&gt;=$D61,CK$4&lt;$D61+'Incremental Repayments'!$I$31),-PMT('Interest Rate'!$J$16,'Incremental Repayments'!$I$31,(HLOOKUP($D61,$E$4:$CZ$32,28,FALSE)*'Incremental Repayments'!$I$22)),0),0)</f>
        <v>0</v>
      </c>
      <c r="CL61" s="477">
        <f>IF('Incremental Repayments'!$R$22="Debt",IF(AND(CL$4&gt;=$D61,CL$4&lt;$D61+'Incremental Repayments'!$I$31),-PMT('Interest Rate'!$J$16,'Incremental Repayments'!$I$31,(HLOOKUP($D61,$E$4:$CZ$32,28,FALSE)*'Incremental Repayments'!$I$22)),0),0)</f>
        <v>0</v>
      </c>
      <c r="CM61" s="477">
        <f>IF('Incremental Repayments'!$R$22="Debt",IF(AND(CM$4&gt;=$D61,CM$4&lt;$D61+'Incremental Repayments'!$I$31),-PMT('Interest Rate'!$J$16,'Incremental Repayments'!$I$31,(HLOOKUP($D61,$E$4:$CZ$32,28,FALSE)*'Incremental Repayments'!$I$22)),0),0)</f>
        <v>0</v>
      </c>
      <c r="CN61" s="477">
        <f>IF('Incremental Repayments'!$R$22="Debt",IF(AND(CN$4&gt;=$D61,CN$4&lt;$D61+'Incremental Repayments'!$I$31),-PMT('Interest Rate'!$J$16,'Incremental Repayments'!$I$31,(HLOOKUP($D61,$E$4:$CZ$32,28,FALSE)*'Incremental Repayments'!$I$22)),0),0)</f>
        <v>0</v>
      </c>
      <c r="CO61" s="477">
        <f>IF('Incremental Repayments'!$R$22="Debt",IF(AND(CO$4&gt;=$D61,CO$4&lt;$D61+'Incremental Repayments'!$I$31),-PMT('Interest Rate'!$J$16,'Incremental Repayments'!$I$31,(HLOOKUP($D61,$E$4:$CZ$32,28,FALSE)*'Incremental Repayments'!$I$22)),0),0)</f>
        <v>0</v>
      </c>
      <c r="CP61" s="477">
        <f>IF('Incremental Repayments'!$R$22="Debt",IF(AND(CP$4&gt;=$D61,CP$4&lt;$D61+'Incremental Repayments'!$I$31),-PMT('Interest Rate'!$J$16,'Incremental Repayments'!$I$31,(HLOOKUP($D61,$E$4:$CZ$32,28,FALSE)*'Incremental Repayments'!$I$22)),0),0)</f>
        <v>0</v>
      </c>
      <c r="CQ61" s="477">
        <f>IF('Incremental Repayments'!$R$22="Debt",IF(AND(CQ$4&gt;=$D61,CQ$4&lt;$D61+'Incremental Repayments'!$I$31),-PMT('Interest Rate'!$J$16,'Incremental Repayments'!$I$31,(HLOOKUP($D61,$E$4:$CZ$32,28,FALSE)*'Incremental Repayments'!$I$22)),0),0)</f>
        <v>0</v>
      </c>
      <c r="CR61" s="477">
        <f>IF('Incremental Repayments'!$R$22="Debt",IF(AND(CR$4&gt;=$D61,CR$4&lt;$D61+'Incremental Repayments'!$I$31),-PMT('Interest Rate'!$J$16,'Incremental Repayments'!$I$31,(HLOOKUP($D61,$E$4:$CZ$32,28,FALSE)*'Incremental Repayments'!$I$22)),0),0)</f>
        <v>0</v>
      </c>
      <c r="CS61" s="477">
        <f>IF('Incremental Repayments'!$R$22="Debt",IF(AND(CS$4&gt;=$D61,CS$4&lt;$D61+'Incremental Repayments'!$I$31),-PMT('Interest Rate'!$J$16,'Incremental Repayments'!$I$31,(HLOOKUP($D61,$E$4:$CZ$32,28,FALSE)*'Incremental Repayments'!$I$22)),0),0)</f>
        <v>0</v>
      </c>
      <c r="CT61" s="477">
        <f>IF('Incremental Repayments'!$R$22="Debt",IF(AND(CT$4&gt;=$D61,CT$4&lt;$D61+'Incremental Repayments'!$I$31),-PMT('Interest Rate'!$J$16,'Incremental Repayments'!$I$31,(HLOOKUP($D61,$E$4:$CZ$32,28,FALSE)*'Incremental Repayments'!$I$22)),0),0)</f>
        <v>0</v>
      </c>
      <c r="CU61" s="477">
        <f>IF('Incremental Repayments'!$R$22="Debt",IF(AND(CU$4&gt;=$D61,CU$4&lt;$D61+'Incremental Repayments'!$I$31),-PMT('Interest Rate'!$J$16,'Incremental Repayments'!$I$31,(HLOOKUP($D61,$E$4:$CZ$32,28,FALSE)*'Incremental Repayments'!$I$22)),0),0)</f>
        <v>0</v>
      </c>
      <c r="CV61" s="477">
        <f>IF('Incremental Repayments'!$R$22="Debt",IF(AND(CV$4&gt;=$D61,CV$4&lt;$D61+'Incremental Repayments'!$I$31),-PMT('Interest Rate'!$J$16,'Incremental Repayments'!$I$31,(HLOOKUP($D61,$E$4:$CZ$32,28,FALSE)*'Incremental Repayments'!$I$22)),0),0)</f>
        <v>0</v>
      </c>
      <c r="CW61" s="477">
        <f>IF('Incremental Repayments'!$R$22="Debt",IF(AND(CW$4&gt;=$D61,CW$4&lt;$D61+'Incremental Repayments'!$I$31),-PMT('Interest Rate'!$J$16,'Incremental Repayments'!$I$31,(HLOOKUP($D61,$E$4:$CZ$32,28,FALSE)*'Incremental Repayments'!$I$22)),0),0)</f>
        <v>0</v>
      </c>
      <c r="CX61" s="477">
        <f>IF('Incremental Repayments'!$R$22="Debt",IF(AND(CX$4&gt;=$D61,CX$4&lt;$D61+'Incremental Repayments'!$I$31),-PMT('Interest Rate'!$J$16,'Incremental Repayments'!$I$31,(HLOOKUP($D61,$E$4:$CZ$32,28,FALSE)*'Incremental Repayments'!$I$22)),0),0)</f>
        <v>0</v>
      </c>
      <c r="CY61" s="477">
        <f>IF('Incremental Repayments'!$R$22="Debt",IF(AND(CY$4&gt;=$D61,CY$4&lt;$D61+'Incremental Repayments'!$I$31),-PMT('Interest Rate'!$J$16,'Incremental Repayments'!$I$31,(HLOOKUP($D61,$E$4:$CZ$32,28,FALSE)*'Incremental Repayments'!$I$22)),0),0)</f>
        <v>0</v>
      </c>
      <c r="CZ61" s="477">
        <f>IF('Incremental Repayments'!$R$22="Debt",IF(AND(CZ$4&gt;=$D61,CZ$4&lt;$D61+'Incremental Repayments'!$I$31),-PMT('Interest Rate'!$J$16,'Incremental Repayments'!$I$31,(HLOOKUP($D61,$E$4:$CZ$32,28,FALSE)*'Incremental Repayments'!$I$22)),0),0)</f>
        <v>0</v>
      </c>
    </row>
    <row r="62" spans="1:104" x14ac:dyDescent="0.25">
      <c r="B62" s="480" t="str">
        <f>CONCATENATE("Series ",D62,"A Bonds (at ",'Interest Rate'!$J$16*100,"% Interest)")</f>
        <v>Series 2040A Bonds (at 4.5% Interest)</v>
      </c>
      <c r="C62" s="480"/>
      <c r="D62" s="492">
        <f t="shared" si="492"/>
        <v>2040</v>
      </c>
      <c r="E62" s="477">
        <f>IF('Incremental Repayments'!$R$22="Debt",IF(AND(E$4&gt;=$D62,E$4&lt;$D62+'Incremental Repayments'!$I$31),-PMT('Interest Rate'!$J$16,'Incremental Repayments'!$I$31,(HLOOKUP($D62,$E$4:$CZ$32,28,FALSE)*'Incremental Repayments'!$I$22)),0),0)</f>
        <v>0</v>
      </c>
      <c r="F62" s="477">
        <f>IF('Incremental Repayments'!$R$22="Debt",IF(AND(F$4&gt;=$D62,F$4&lt;$D62+'Incremental Repayments'!$I$31),-PMT('Interest Rate'!$J$16,'Incremental Repayments'!$I$31,(HLOOKUP($D62,$E$4:$CZ$32,28,FALSE)*'Incremental Repayments'!$I$22)),0),0)</f>
        <v>0</v>
      </c>
      <c r="G62" s="477">
        <f>IF('Incremental Repayments'!$R$22="Debt",IF(AND(G$4&gt;=$D62,G$4&lt;$D62+'Incremental Repayments'!$I$31),-PMT('Interest Rate'!$J$16,'Incremental Repayments'!$I$31,(HLOOKUP($D62,$E$4:$CZ$32,28,FALSE)*'Incremental Repayments'!$I$22)),0),0)</f>
        <v>0</v>
      </c>
      <c r="H62" s="477">
        <f>IF('Incremental Repayments'!$R$22="Debt",IF(AND(H$4&gt;=$D62,H$4&lt;$D62+'Incremental Repayments'!$I$31),-PMT('Interest Rate'!$J$16,'Incremental Repayments'!$I$31,(HLOOKUP($D62,$E$4:$CZ$32,28,FALSE)*'Incremental Repayments'!$I$22)),0),0)</f>
        <v>0</v>
      </c>
      <c r="I62" s="477">
        <f>IF('Incremental Repayments'!$R$22="Debt",IF(AND(I$4&gt;=$D62,I$4&lt;$D62+'Incremental Repayments'!$I$31),-PMT('Interest Rate'!$J$16,'Incremental Repayments'!$I$31,(HLOOKUP($D62,$E$4:$CZ$32,28,FALSE)*'Incremental Repayments'!$I$22)),0),0)</f>
        <v>0</v>
      </c>
      <c r="J62" s="477">
        <f>IF('Incremental Repayments'!$R$22="Debt",IF(AND(J$4&gt;=$D62,J$4&lt;$D62+'Incremental Repayments'!$I$31),-PMT('Interest Rate'!$J$16,'Incremental Repayments'!$I$31,(HLOOKUP($D62,$E$4:$CZ$32,28,FALSE)*'Incremental Repayments'!$I$22)),0),0)</f>
        <v>0</v>
      </c>
      <c r="K62" s="477">
        <f>IF('Incremental Repayments'!$R$22="Debt",IF(AND(K$4&gt;=$D62,K$4&lt;$D62+'Incremental Repayments'!$I$31),-PMT('Interest Rate'!$J$16,'Incremental Repayments'!$I$31,(HLOOKUP($D62,$E$4:$CZ$32,28,FALSE)*'Incremental Repayments'!$I$22)),0),0)</f>
        <v>0</v>
      </c>
      <c r="L62" s="477">
        <f>IF('Incremental Repayments'!$R$22="Debt",IF(AND(L$4&gt;=$D62,L$4&lt;$D62+'Incremental Repayments'!$I$31),-PMT('Interest Rate'!$J$16,'Incremental Repayments'!$I$31,(HLOOKUP($D62,$E$4:$CZ$32,28,FALSE)*'Incremental Repayments'!$I$22)),0),0)</f>
        <v>0</v>
      </c>
      <c r="M62" s="477">
        <f>IF('Incremental Repayments'!$R$22="Debt",IF(AND(M$4&gt;=$D62,M$4&lt;$D62+'Incremental Repayments'!$I$31),-PMT('Interest Rate'!$J$16,'Incremental Repayments'!$I$31,(HLOOKUP($D62,$E$4:$CZ$32,28,FALSE)*'Incremental Repayments'!$I$22)),0),0)</f>
        <v>0</v>
      </c>
      <c r="N62" s="477">
        <f>IF('Incremental Repayments'!$R$22="Debt",IF(AND(N$4&gt;=$D62,N$4&lt;$D62+'Incremental Repayments'!$I$31),-PMT('Interest Rate'!$J$16,'Incremental Repayments'!$I$31,(HLOOKUP($D62,$E$4:$CZ$32,28,FALSE)*'Incremental Repayments'!$I$22)),0),0)</f>
        <v>0</v>
      </c>
      <c r="O62" s="477">
        <f>IF('Incremental Repayments'!$R$22="Debt",IF(AND(O$4&gt;=$D62,O$4&lt;$D62+'Incremental Repayments'!$I$31),-PMT('Interest Rate'!$J$16,'Incremental Repayments'!$I$31,(HLOOKUP($D62,$E$4:$CZ$32,28,FALSE)*'Incremental Repayments'!$I$22)),0),0)</f>
        <v>0</v>
      </c>
      <c r="P62" s="477">
        <f>IF('Incremental Repayments'!$R$22="Debt",IF(AND(P$4&gt;=$D62,P$4&lt;$D62+'Incremental Repayments'!$I$31),-PMT('Interest Rate'!$J$16,'Incremental Repayments'!$I$31,(HLOOKUP($D62,$E$4:$CZ$32,28,FALSE)*'Incremental Repayments'!$I$22)),0),0)</f>
        <v>0</v>
      </c>
      <c r="Q62" s="477">
        <f>IF('Incremental Repayments'!$R$22="Debt",IF(AND(Q$4&gt;=$D62,Q$4&lt;$D62+'Incremental Repayments'!$I$31),-PMT('Interest Rate'!$J$16,'Incremental Repayments'!$I$31,(HLOOKUP($D62,$E$4:$CZ$32,28,FALSE)*'Incremental Repayments'!$I$22)),0),0)</f>
        <v>0</v>
      </c>
      <c r="R62" s="477">
        <f>IF('Incremental Repayments'!$R$22="Debt",IF(AND(R$4&gt;=$D62,R$4&lt;$D62+'Incremental Repayments'!$I$31),-PMT('Interest Rate'!$J$16,'Incremental Repayments'!$I$31,(HLOOKUP($D62,$E$4:$CZ$32,28,FALSE)*'Incremental Repayments'!$I$22)),0),0)</f>
        <v>0</v>
      </c>
      <c r="S62" s="477">
        <f>IF('Incremental Repayments'!$R$22="Debt",IF(AND(S$4&gt;=$D62,S$4&lt;$D62+'Incremental Repayments'!$I$31),-PMT('Interest Rate'!$J$16,'Incremental Repayments'!$I$31,(HLOOKUP($D62,$E$4:$CZ$32,28,FALSE)*'Incremental Repayments'!$I$22)),0),0)</f>
        <v>0</v>
      </c>
      <c r="T62" s="477">
        <f>IF('Incremental Repayments'!$R$22="Debt",IF(AND(T$4&gt;=$D62,T$4&lt;$D62+'Incremental Repayments'!$I$31),-PMT('Interest Rate'!$J$16,'Incremental Repayments'!$I$31,(HLOOKUP($D62,$E$4:$CZ$32,28,FALSE)*'Incremental Repayments'!$I$22)),0),0)</f>
        <v>0</v>
      </c>
      <c r="U62" s="477">
        <f>IF('Incremental Repayments'!$R$22="Debt",IF(AND(U$4&gt;=$D62,U$4&lt;$D62+'Incremental Repayments'!$I$31),-PMT('Interest Rate'!$J$16,'Incremental Repayments'!$I$31,(HLOOKUP($D62,$E$4:$CZ$32,28,FALSE)*'Incremental Repayments'!$I$22)),0),0)</f>
        <v>0</v>
      </c>
      <c r="V62" s="477">
        <f>IF('Incremental Repayments'!$R$22="Debt",IF(AND(V$4&gt;=$D62,V$4&lt;$D62+'Incremental Repayments'!$I$31),-PMT('Interest Rate'!$J$16,'Incremental Repayments'!$I$31,(HLOOKUP($D62,$E$4:$CZ$32,28,FALSE)*'Incremental Repayments'!$I$22)),0),0)</f>
        <v>0</v>
      </c>
      <c r="W62" s="477">
        <f>IF('Incremental Repayments'!$R$22="Debt",IF(AND(W$4&gt;=$D62,W$4&lt;$D62+'Incremental Repayments'!$I$31),-PMT('Interest Rate'!$J$16,'Incremental Repayments'!$I$31,(HLOOKUP($D62,$E$4:$CZ$32,28,FALSE)*'Incremental Repayments'!$I$22)),0),0)</f>
        <v>0</v>
      </c>
      <c r="X62" s="477">
        <f>IF('Incremental Repayments'!$R$22="Debt",IF(AND(X$4&gt;=$D62,X$4&lt;$D62+'Incremental Repayments'!$I$31),-PMT('Interest Rate'!$J$16,'Incremental Repayments'!$I$31,(HLOOKUP($D62,$E$4:$CZ$32,28,FALSE)*'Incremental Repayments'!$I$22)),0),0)</f>
        <v>0</v>
      </c>
      <c r="Y62" s="477">
        <f>IF('Incremental Repayments'!$R$22="Debt",IF(AND(Y$4&gt;=$D62,Y$4&lt;$D62+'Incremental Repayments'!$I$31),-PMT('Interest Rate'!$J$16,'Incremental Repayments'!$I$31,(HLOOKUP($D62,$E$4:$CZ$32,28,FALSE)*'Incremental Repayments'!$I$22)),0),0)</f>
        <v>0</v>
      </c>
      <c r="Z62" s="477">
        <f>IF('Incremental Repayments'!$R$22="Debt",IF(AND(Z$4&gt;=$D62,Z$4&lt;$D62+'Incremental Repayments'!$I$31),-PMT('Interest Rate'!$J$16,'Incremental Repayments'!$I$31,(HLOOKUP($D62,$E$4:$CZ$32,28,FALSE)*'Incremental Repayments'!$I$22)),0),0)</f>
        <v>0</v>
      </c>
      <c r="AA62" s="477">
        <f>IF('Incremental Repayments'!$R$22="Debt",IF(AND(AA$4&gt;=$D62,AA$4&lt;$D62+'Incremental Repayments'!$I$31),-PMT('Interest Rate'!$J$16,'Incremental Repayments'!$I$31,(HLOOKUP($D62,$E$4:$CZ$32,28,FALSE)*'Incremental Repayments'!$I$22)),0),0)</f>
        <v>0</v>
      </c>
      <c r="AB62" s="477">
        <f>IF('Incremental Repayments'!$R$22="Debt",IF(AND(AB$4&gt;=$D62,AB$4&lt;$D62+'Incremental Repayments'!$I$31),-PMT('Interest Rate'!$J$16,'Incremental Repayments'!$I$31,(HLOOKUP($D62,$E$4:$CZ$32,28,FALSE)*'Incremental Repayments'!$I$22)),0),0)</f>
        <v>0</v>
      </c>
      <c r="AC62" s="477">
        <f>IF('Incremental Repayments'!$R$22="Debt",IF(AND(AC$4&gt;=$D62,AC$4&lt;$D62+'Incremental Repayments'!$I$31),-PMT('Interest Rate'!$J$16,'Incremental Repayments'!$I$31,(HLOOKUP($D62,$E$4:$CZ$32,28,FALSE)*'Incremental Repayments'!$I$22)),0),0)</f>
        <v>0</v>
      </c>
      <c r="AD62" s="477">
        <f>IF('Incremental Repayments'!$R$22="Debt",IF(AND(AD$4&gt;=$D62,AD$4&lt;$D62+'Incremental Repayments'!$I$31),-PMT('Interest Rate'!$J$16,'Incremental Repayments'!$I$31,(HLOOKUP($D62,$E$4:$CZ$32,28,FALSE)*'Incremental Repayments'!$I$22)),0),0)</f>
        <v>0</v>
      </c>
      <c r="AE62" s="477">
        <f>IF('Incremental Repayments'!$R$22="Debt",IF(AND(AE$4&gt;=$D62,AE$4&lt;$D62+'Incremental Repayments'!$I$31),-PMT('Interest Rate'!$J$16,'Incremental Repayments'!$I$31,(HLOOKUP($D62,$E$4:$CZ$32,28,FALSE)*'Incremental Repayments'!$I$22)),0),0)</f>
        <v>759576.11542533943</v>
      </c>
      <c r="AF62" s="477">
        <f>IF('Incremental Repayments'!$R$22="Debt",IF(AND(AF$4&gt;=$D62,AF$4&lt;$D62+'Incremental Repayments'!$I$31),-PMT('Interest Rate'!$J$16,'Incremental Repayments'!$I$31,(HLOOKUP($D62,$E$4:$CZ$32,28,FALSE)*'Incremental Repayments'!$I$22)),0),0)</f>
        <v>759576.11542533943</v>
      </c>
      <c r="AG62" s="477">
        <f>IF('Incremental Repayments'!$R$22="Debt",IF(AND(AG$4&gt;=$D62,AG$4&lt;$D62+'Incremental Repayments'!$I$31),-PMT('Interest Rate'!$J$16,'Incremental Repayments'!$I$31,(HLOOKUP($D62,$E$4:$CZ$32,28,FALSE)*'Incremental Repayments'!$I$22)),0),0)</f>
        <v>759576.11542533943</v>
      </c>
      <c r="AH62" s="477">
        <f>IF('Incremental Repayments'!$R$22="Debt",IF(AND(AH$4&gt;=$D62,AH$4&lt;$D62+'Incremental Repayments'!$I$31),-PMT('Interest Rate'!$J$16,'Incremental Repayments'!$I$31,(HLOOKUP($D62,$E$4:$CZ$32,28,FALSE)*'Incremental Repayments'!$I$22)),0),0)</f>
        <v>759576.11542533943</v>
      </c>
      <c r="AI62" s="477">
        <f>IF('Incremental Repayments'!$R$22="Debt",IF(AND(AI$4&gt;=$D62,AI$4&lt;$D62+'Incremental Repayments'!$I$31),-PMT('Interest Rate'!$J$16,'Incremental Repayments'!$I$31,(HLOOKUP($D62,$E$4:$CZ$32,28,FALSE)*'Incremental Repayments'!$I$22)),0),0)</f>
        <v>759576.11542533943</v>
      </c>
      <c r="AJ62" s="477">
        <f>IF('Incremental Repayments'!$R$22="Debt",IF(AND(AJ$4&gt;=$D62,AJ$4&lt;$D62+'Incremental Repayments'!$I$31),-PMT('Interest Rate'!$J$16,'Incremental Repayments'!$I$31,(HLOOKUP($D62,$E$4:$CZ$32,28,FALSE)*'Incremental Repayments'!$I$22)),0),0)</f>
        <v>759576.11542533943</v>
      </c>
      <c r="AK62" s="477">
        <f>IF('Incremental Repayments'!$R$22="Debt",IF(AND(AK$4&gt;=$D62,AK$4&lt;$D62+'Incremental Repayments'!$I$31),-PMT('Interest Rate'!$J$16,'Incremental Repayments'!$I$31,(HLOOKUP($D62,$E$4:$CZ$32,28,FALSE)*'Incremental Repayments'!$I$22)),0),0)</f>
        <v>759576.11542533943</v>
      </c>
      <c r="AL62" s="477">
        <f>IF('Incremental Repayments'!$R$22="Debt",IF(AND(AL$4&gt;=$D62,AL$4&lt;$D62+'Incremental Repayments'!$I$31),-PMT('Interest Rate'!$J$16,'Incremental Repayments'!$I$31,(HLOOKUP($D62,$E$4:$CZ$32,28,FALSE)*'Incremental Repayments'!$I$22)),0),0)</f>
        <v>759576.11542533943</v>
      </c>
      <c r="AM62" s="477">
        <f>IF('Incremental Repayments'!$R$22="Debt",IF(AND(AM$4&gt;=$D62,AM$4&lt;$D62+'Incremental Repayments'!$I$31),-PMT('Interest Rate'!$J$16,'Incremental Repayments'!$I$31,(HLOOKUP($D62,$E$4:$CZ$32,28,FALSE)*'Incremental Repayments'!$I$22)),0),0)</f>
        <v>759576.11542533943</v>
      </c>
      <c r="AN62" s="477">
        <f>IF('Incremental Repayments'!$R$22="Debt",IF(AND(AN$4&gt;=$D62,AN$4&lt;$D62+'Incremental Repayments'!$I$31),-PMT('Interest Rate'!$J$16,'Incremental Repayments'!$I$31,(HLOOKUP($D62,$E$4:$CZ$32,28,FALSE)*'Incremental Repayments'!$I$22)),0),0)</f>
        <v>759576.11542533943</v>
      </c>
      <c r="AO62" s="477">
        <f>IF('Incremental Repayments'!$R$22="Debt",IF(AND(AO$4&gt;=$D62,AO$4&lt;$D62+'Incremental Repayments'!$I$31),-PMT('Interest Rate'!$J$16,'Incremental Repayments'!$I$31,(HLOOKUP($D62,$E$4:$CZ$32,28,FALSE)*'Incremental Repayments'!$I$22)),0),0)</f>
        <v>759576.11542533943</v>
      </c>
      <c r="AP62" s="477">
        <f>IF('Incremental Repayments'!$R$22="Debt",IF(AND(AP$4&gt;=$D62,AP$4&lt;$D62+'Incremental Repayments'!$I$31),-PMT('Interest Rate'!$J$16,'Incremental Repayments'!$I$31,(HLOOKUP($D62,$E$4:$CZ$32,28,FALSE)*'Incremental Repayments'!$I$22)),0),0)</f>
        <v>759576.11542533943</v>
      </c>
      <c r="AQ62" s="477">
        <f>IF('Incremental Repayments'!$R$22="Debt",IF(AND(AQ$4&gt;=$D62,AQ$4&lt;$D62+'Incremental Repayments'!$I$31),-PMT('Interest Rate'!$J$16,'Incremental Repayments'!$I$31,(HLOOKUP($D62,$E$4:$CZ$32,28,FALSE)*'Incremental Repayments'!$I$22)),0),0)</f>
        <v>759576.11542533943</v>
      </c>
      <c r="AR62" s="477">
        <f>IF('Incremental Repayments'!$R$22="Debt",IF(AND(AR$4&gt;=$D62,AR$4&lt;$D62+'Incremental Repayments'!$I$31),-PMT('Interest Rate'!$J$16,'Incremental Repayments'!$I$31,(HLOOKUP($D62,$E$4:$CZ$32,28,FALSE)*'Incremental Repayments'!$I$22)),0),0)</f>
        <v>759576.11542533943</v>
      </c>
      <c r="AS62" s="477">
        <f>IF('Incremental Repayments'!$R$22="Debt",IF(AND(AS$4&gt;=$D62,AS$4&lt;$D62+'Incremental Repayments'!$I$31),-PMT('Interest Rate'!$J$16,'Incremental Repayments'!$I$31,(HLOOKUP($D62,$E$4:$CZ$32,28,FALSE)*'Incremental Repayments'!$I$22)),0),0)</f>
        <v>759576.11542533943</v>
      </c>
      <c r="AT62" s="477">
        <f>IF('Incremental Repayments'!$R$22="Debt",IF(AND(AT$4&gt;=$D62,AT$4&lt;$D62+'Incremental Repayments'!$I$31),-PMT('Interest Rate'!$J$16,'Incremental Repayments'!$I$31,(HLOOKUP($D62,$E$4:$CZ$32,28,FALSE)*'Incremental Repayments'!$I$22)),0),0)</f>
        <v>759576.11542533943</v>
      </c>
      <c r="AU62" s="477">
        <f>IF('Incremental Repayments'!$R$22="Debt",IF(AND(AU$4&gt;=$D62,AU$4&lt;$D62+'Incremental Repayments'!$I$31),-PMT('Interest Rate'!$J$16,'Incremental Repayments'!$I$31,(HLOOKUP($D62,$E$4:$CZ$32,28,FALSE)*'Incremental Repayments'!$I$22)),0),0)</f>
        <v>759576.11542533943</v>
      </c>
      <c r="AV62" s="477">
        <f>IF('Incremental Repayments'!$R$22="Debt",IF(AND(AV$4&gt;=$D62,AV$4&lt;$D62+'Incremental Repayments'!$I$31),-PMT('Interest Rate'!$J$16,'Incremental Repayments'!$I$31,(HLOOKUP($D62,$E$4:$CZ$32,28,FALSE)*'Incremental Repayments'!$I$22)),0),0)</f>
        <v>759576.11542533943</v>
      </c>
      <c r="AW62" s="477">
        <f>IF('Incremental Repayments'!$R$22="Debt",IF(AND(AW$4&gt;=$D62,AW$4&lt;$D62+'Incremental Repayments'!$I$31),-PMT('Interest Rate'!$J$16,'Incremental Repayments'!$I$31,(HLOOKUP($D62,$E$4:$CZ$32,28,FALSE)*'Incremental Repayments'!$I$22)),0),0)</f>
        <v>759576.11542533943</v>
      </c>
      <c r="AX62" s="477">
        <f>IF('Incremental Repayments'!$R$22="Debt",IF(AND(AX$4&gt;=$D62,AX$4&lt;$D62+'Incremental Repayments'!$I$31),-PMT('Interest Rate'!$J$16,'Incremental Repayments'!$I$31,(HLOOKUP($D62,$E$4:$CZ$32,28,FALSE)*'Incremental Repayments'!$I$22)),0),0)</f>
        <v>759576.11542533943</v>
      </c>
      <c r="AY62" s="477">
        <f>IF('Incremental Repayments'!$R$22="Debt",IF(AND(AY$4&gt;=$D62,AY$4&lt;$D62+'Incremental Repayments'!$I$31),-PMT('Interest Rate'!$J$16,'Incremental Repayments'!$I$31,(HLOOKUP($D62,$E$4:$CZ$32,28,FALSE)*'Incremental Repayments'!$I$22)),0),0)</f>
        <v>759576.11542533943</v>
      </c>
      <c r="AZ62" s="477">
        <f>IF('Incremental Repayments'!$R$22="Debt",IF(AND(AZ$4&gt;=$D62,AZ$4&lt;$D62+'Incremental Repayments'!$I$31),-PMT('Interest Rate'!$J$16,'Incremental Repayments'!$I$31,(HLOOKUP($D62,$E$4:$CZ$32,28,FALSE)*'Incremental Repayments'!$I$22)),0),0)</f>
        <v>759576.11542533943</v>
      </c>
      <c r="BA62" s="477">
        <f>IF('Incremental Repayments'!$R$22="Debt",IF(AND(BA$4&gt;=$D62,BA$4&lt;$D62+'Incremental Repayments'!$I$31),-PMT('Interest Rate'!$J$16,'Incremental Repayments'!$I$31,(HLOOKUP($D62,$E$4:$CZ$32,28,FALSE)*'Incremental Repayments'!$I$22)),0),0)</f>
        <v>759576.11542533943</v>
      </c>
      <c r="BB62" s="477">
        <f>IF('Incremental Repayments'!$R$22="Debt",IF(AND(BB$4&gt;=$D62,BB$4&lt;$D62+'Incremental Repayments'!$I$31),-PMT('Interest Rate'!$J$16,'Incremental Repayments'!$I$31,(HLOOKUP($D62,$E$4:$CZ$32,28,FALSE)*'Incremental Repayments'!$I$22)),0),0)</f>
        <v>759576.11542533943</v>
      </c>
      <c r="BC62" s="477">
        <f>IF('Incremental Repayments'!$R$22="Debt",IF(AND(BC$4&gt;=$D62,BC$4&lt;$D62+'Incremental Repayments'!$I$31),-PMT('Interest Rate'!$J$16,'Incremental Repayments'!$I$31,(HLOOKUP($D62,$E$4:$CZ$32,28,FALSE)*'Incremental Repayments'!$I$22)),0),0)</f>
        <v>759576.11542533943</v>
      </c>
      <c r="BD62" s="477">
        <f>IF('Incremental Repayments'!$R$22="Debt",IF(AND(BD$4&gt;=$D62,BD$4&lt;$D62+'Incremental Repayments'!$I$31),-PMT('Interest Rate'!$J$16,'Incremental Repayments'!$I$31,(HLOOKUP($D62,$E$4:$CZ$32,28,FALSE)*'Incremental Repayments'!$I$22)),0),0)</f>
        <v>759576.11542533943</v>
      </c>
      <c r="BE62" s="477">
        <f>IF('Incremental Repayments'!$R$22="Debt",IF(AND(BE$4&gt;=$D62,BE$4&lt;$D62+'Incremental Repayments'!$I$31),-PMT('Interest Rate'!$J$16,'Incremental Repayments'!$I$31,(HLOOKUP($D62,$E$4:$CZ$32,28,FALSE)*'Incremental Repayments'!$I$22)),0),0)</f>
        <v>759576.11542533943</v>
      </c>
      <c r="BF62" s="477">
        <f>IF('Incremental Repayments'!$R$22="Debt",IF(AND(BF$4&gt;=$D62,BF$4&lt;$D62+'Incremental Repayments'!$I$31),-PMT('Interest Rate'!$J$16,'Incremental Repayments'!$I$31,(HLOOKUP($D62,$E$4:$CZ$32,28,FALSE)*'Incremental Repayments'!$I$22)),0),0)</f>
        <v>759576.11542533943</v>
      </c>
      <c r="BG62" s="477">
        <f>IF('Incremental Repayments'!$R$22="Debt",IF(AND(BG$4&gt;=$D62,BG$4&lt;$D62+'Incremental Repayments'!$I$31),-PMT('Interest Rate'!$J$16,'Incremental Repayments'!$I$31,(HLOOKUP($D62,$E$4:$CZ$32,28,FALSE)*'Incremental Repayments'!$I$22)),0),0)</f>
        <v>759576.11542533943</v>
      </c>
      <c r="BH62" s="477">
        <f>IF('Incremental Repayments'!$R$22="Debt",IF(AND(BH$4&gt;=$D62,BH$4&lt;$D62+'Incremental Repayments'!$I$31),-PMT('Interest Rate'!$J$16,'Incremental Repayments'!$I$31,(HLOOKUP($D62,$E$4:$CZ$32,28,FALSE)*'Incremental Repayments'!$I$22)),0),0)</f>
        <v>759576.11542533943</v>
      </c>
      <c r="BI62" s="477">
        <f>IF('Incremental Repayments'!$R$22="Debt",IF(AND(BI$4&gt;=$D62,BI$4&lt;$D62+'Incremental Repayments'!$I$31),-PMT('Interest Rate'!$J$16,'Incremental Repayments'!$I$31,(HLOOKUP($D62,$E$4:$CZ$32,28,FALSE)*'Incremental Repayments'!$I$22)),0),0)</f>
        <v>0</v>
      </c>
      <c r="BJ62" s="477">
        <f>IF('Incremental Repayments'!$R$22="Debt",IF(AND(BJ$4&gt;=$D62,BJ$4&lt;$D62+'Incremental Repayments'!$I$31),-PMT('Interest Rate'!$J$16,'Incremental Repayments'!$I$31,(HLOOKUP($D62,$E$4:$CZ$32,28,FALSE)*'Incremental Repayments'!$I$22)),0),0)</f>
        <v>0</v>
      </c>
      <c r="BK62" s="477">
        <f>IF('Incremental Repayments'!$R$22="Debt",IF(AND(BK$4&gt;=$D62,BK$4&lt;$D62+'Incremental Repayments'!$I$31),-PMT('Interest Rate'!$J$16,'Incremental Repayments'!$I$31,(HLOOKUP($D62,$E$4:$CZ$32,28,FALSE)*'Incremental Repayments'!$I$22)),0),0)</f>
        <v>0</v>
      </c>
      <c r="BL62" s="477">
        <f>IF('Incremental Repayments'!$R$22="Debt",IF(AND(BL$4&gt;=$D62,BL$4&lt;$D62+'Incremental Repayments'!$I$31),-PMT('Interest Rate'!$J$16,'Incremental Repayments'!$I$31,(HLOOKUP($D62,$E$4:$CZ$32,28,FALSE)*'Incremental Repayments'!$I$22)),0),0)</f>
        <v>0</v>
      </c>
      <c r="BM62" s="477">
        <f>IF('Incremental Repayments'!$R$22="Debt",IF(AND(BM$4&gt;=$D62,BM$4&lt;$D62+'Incremental Repayments'!$I$31),-PMT('Interest Rate'!$J$16,'Incremental Repayments'!$I$31,(HLOOKUP($D62,$E$4:$CZ$32,28,FALSE)*'Incremental Repayments'!$I$22)),0),0)</f>
        <v>0</v>
      </c>
      <c r="BN62" s="477">
        <f>IF('Incremental Repayments'!$R$22="Debt",IF(AND(BN$4&gt;=$D62,BN$4&lt;$D62+'Incremental Repayments'!$I$31),-PMT('Interest Rate'!$J$16,'Incremental Repayments'!$I$31,(HLOOKUP($D62,$E$4:$CZ$32,28,FALSE)*'Incremental Repayments'!$I$22)),0),0)</f>
        <v>0</v>
      </c>
      <c r="BO62" s="477">
        <f>IF('Incremental Repayments'!$R$22="Debt",IF(AND(BO$4&gt;=$D62,BO$4&lt;$D62+'Incremental Repayments'!$I$31),-PMT('Interest Rate'!$J$16,'Incremental Repayments'!$I$31,(HLOOKUP($D62,$E$4:$CZ$32,28,FALSE)*'Incremental Repayments'!$I$22)),0),0)</f>
        <v>0</v>
      </c>
      <c r="BP62" s="477">
        <f>IF('Incremental Repayments'!$R$22="Debt",IF(AND(BP$4&gt;=$D62,BP$4&lt;$D62+'Incremental Repayments'!$I$31),-PMT('Interest Rate'!$J$16,'Incremental Repayments'!$I$31,(HLOOKUP($D62,$E$4:$CZ$32,28,FALSE)*'Incremental Repayments'!$I$22)),0),0)</f>
        <v>0</v>
      </c>
      <c r="BQ62" s="477">
        <f>IF('Incremental Repayments'!$R$22="Debt",IF(AND(BQ$4&gt;=$D62,BQ$4&lt;$D62+'Incremental Repayments'!$I$31),-PMT('Interest Rate'!$J$16,'Incremental Repayments'!$I$31,(HLOOKUP($D62,$E$4:$CZ$32,28,FALSE)*'Incremental Repayments'!$I$22)),0),0)</f>
        <v>0</v>
      </c>
      <c r="BR62" s="477">
        <f>IF('Incremental Repayments'!$R$22="Debt",IF(AND(BR$4&gt;=$D62,BR$4&lt;$D62+'Incremental Repayments'!$I$31),-PMT('Interest Rate'!$J$16,'Incremental Repayments'!$I$31,(HLOOKUP($D62,$E$4:$CZ$32,28,FALSE)*'Incremental Repayments'!$I$22)),0),0)</f>
        <v>0</v>
      </c>
      <c r="BS62" s="477">
        <f>IF('Incremental Repayments'!$R$22="Debt",IF(AND(BS$4&gt;=$D62,BS$4&lt;$D62+'Incremental Repayments'!$I$31),-PMT('Interest Rate'!$J$16,'Incremental Repayments'!$I$31,(HLOOKUP($D62,$E$4:$CZ$32,28,FALSE)*'Incremental Repayments'!$I$22)),0),0)</f>
        <v>0</v>
      </c>
      <c r="BT62" s="477">
        <f>IF('Incremental Repayments'!$R$22="Debt",IF(AND(BT$4&gt;=$D62,BT$4&lt;$D62+'Incremental Repayments'!$I$31),-PMT('Interest Rate'!$J$16,'Incremental Repayments'!$I$31,(HLOOKUP($D62,$E$4:$CZ$32,28,FALSE)*'Incremental Repayments'!$I$22)),0),0)</f>
        <v>0</v>
      </c>
      <c r="BU62" s="477">
        <f>IF('Incremental Repayments'!$R$22="Debt",IF(AND(BU$4&gt;=$D62,BU$4&lt;$D62+'Incremental Repayments'!$I$31),-PMT('Interest Rate'!$J$16,'Incremental Repayments'!$I$31,(HLOOKUP($D62,$E$4:$CZ$32,28,FALSE)*'Incremental Repayments'!$I$22)),0),0)</f>
        <v>0</v>
      </c>
      <c r="BV62" s="477">
        <f>IF('Incremental Repayments'!$R$22="Debt",IF(AND(BV$4&gt;=$D62,BV$4&lt;$D62+'Incremental Repayments'!$I$31),-PMT('Interest Rate'!$J$16,'Incremental Repayments'!$I$31,(HLOOKUP($D62,$E$4:$CZ$32,28,FALSE)*'Incremental Repayments'!$I$22)),0),0)</f>
        <v>0</v>
      </c>
      <c r="BW62" s="477">
        <f>IF('Incremental Repayments'!$R$22="Debt",IF(AND(BW$4&gt;=$D62,BW$4&lt;$D62+'Incremental Repayments'!$I$31),-PMT('Interest Rate'!$J$16,'Incremental Repayments'!$I$31,(HLOOKUP($D62,$E$4:$CZ$32,28,FALSE)*'Incremental Repayments'!$I$22)),0),0)</f>
        <v>0</v>
      </c>
      <c r="BX62" s="477">
        <f>IF('Incremental Repayments'!$R$22="Debt",IF(AND(BX$4&gt;=$D62,BX$4&lt;$D62+'Incremental Repayments'!$I$31),-PMT('Interest Rate'!$J$16,'Incremental Repayments'!$I$31,(HLOOKUP($D62,$E$4:$CZ$32,28,FALSE)*'Incremental Repayments'!$I$22)),0),0)</f>
        <v>0</v>
      </c>
      <c r="BY62" s="477">
        <f>IF('Incremental Repayments'!$R$22="Debt",IF(AND(BY$4&gt;=$D62,BY$4&lt;$D62+'Incremental Repayments'!$I$31),-PMT('Interest Rate'!$J$16,'Incremental Repayments'!$I$31,(HLOOKUP($D62,$E$4:$CZ$32,28,FALSE)*'Incremental Repayments'!$I$22)),0),0)</f>
        <v>0</v>
      </c>
      <c r="BZ62" s="477">
        <f>IF('Incremental Repayments'!$R$22="Debt",IF(AND(BZ$4&gt;=$D62,BZ$4&lt;$D62+'Incremental Repayments'!$I$31),-PMT('Interest Rate'!$J$16,'Incremental Repayments'!$I$31,(HLOOKUP($D62,$E$4:$CZ$32,28,FALSE)*'Incremental Repayments'!$I$22)),0),0)</f>
        <v>0</v>
      </c>
      <c r="CA62" s="477">
        <f>IF('Incremental Repayments'!$R$22="Debt",IF(AND(CA$4&gt;=$D62,CA$4&lt;$D62+'Incremental Repayments'!$I$31),-PMT('Interest Rate'!$J$16,'Incremental Repayments'!$I$31,(HLOOKUP($D62,$E$4:$CZ$32,28,FALSE)*'Incremental Repayments'!$I$22)),0),0)</f>
        <v>0</v>
      </c>
      <c r="CB62" s="477">
        <f>IF('Incremental Repayments'!$R$22="Debt",IF(AND(CB$4&gt;=$D62,CB$4&lt;$D62+'Incremental Repayments'!$I$31),-PMT('Interest Rate'!$J$16,'Incremental Repayments'!$I$31,(HLOOKUP($D62,$E$4:$CZ$32,28,FALSE)*'Incremental Repayments'!$I$22)),0),0)</f>
        <v>0</v>
      </c>
      <c r="CC62" s="477">
        <f>IF('Incremental Repayments'!$R$22="Debt",IF(AND(CC$4&gt;=$D62,CC$4&lt;$D62+'Incremental Repayments'!$I$31),-PMT('Interest Rate'!$J$16,'Incremental Repayments'!$I$31,(HLOOKUP($D62,$E$4:$CZ$32,28,FALSE)*'Incremental Repayments'!$I$22)),0),0)</f>
        <v>0</v>
      </c>
      <c r="CD62" s="477">
        <f>IF('Incremental Repayments'!$R$22="Debt",IF(AND(CD$4&gt;=$D62,CD$4&lt;$D62+'Incremental Repayments'!$I$31),-PMT('Interest Rate'!$J$16,'Incremental Repayments'!$I$31,(HLOOKUP($D62,$E$4:$CZ$32,28,FALSE)*'Incremental Repayments'!$I$22)),0),0)</f>
        <v>0</v>
      </c>
      <c r="CE62" s="477">
        <f>IF('Incremental Repayments'!$R$22="Debt",IF(AND(CE$4&gt;=$D62,CE$4&lt;$D62+'Incremental Repayments'!$I$31),-PMT('Interest Rate'!$J$16,'Incremental Repayments'!$I$31,(HLOOKUP($D62,$E$4:$CZ$32,28,FALSE)*'Incremental Repayments'!$I$22)),0),0)</f>
        <v>0</v>
      </c>
      <c r="CF62" s="477">
        <f>IF('Incremental Repayments'!$R$22="Debt",IF(AND(CF$4&gt;=$D62,CF$4&lt;$D62+'Incremental Repayments'!$I$31),-PMT('Interest Rate'!$J$16,'Incremental Repayments'!$I$31,(HLOOKUP($D62,$E$4:$CZ$32,28,FALSE)*'Incremental Repayments'!$I$22)),0),0)</f>
        <v>0</v>
      </c>
      <c r="CG62" s="477">
        <f>IF('Incremental Repayments'!$R$22="Debt",IF(AND(CG$4&gt;=$D62,CG$4&lt;$D62+'Incremental Repayments'!$I$31),-PMT('Interest Rate'!$J$16,'Incremental Repayments'!$I$31,(HLOOKUP($D62,$E$4:$CZ$32,28,FALSE)*'Incremental Repayments'!$I$22)),0),0)</f>
        <v>0</v>
      </c>
      <c r="CH62" s="477">
        <f>IF('Incremental Repayments'!$R$22="Debt",IF(AND(CH$4&gt;=$D62,CH$4&lt;$D62+'Incremental Repayments'!$I$31),-PMT('Interest Rate'!$J$16,'Incremental Repayments'!$I$31,(HLOOKUP($D62,$E$4:$CZ$32,28,FALSE)*'Incremental Repayments'!$I$22)),0),0)</f>
        <v>0</v>
      </c>
      <c r="CI62" s="477">
        <f>IF('Incremental Repayments'!$R$22="Debt",IF(AND(CI$4&gt;=$D62,CI$4&lt;$D62+'Incremental Repayments'!$I$31),-PMT('Interest Rate'!$J$16,'Incremental Repayments'!$I$31,(HLOOKUP($D62,$E$4:$CZ$32,28,FALSE)*'Incremental Repayments'!$I$22)),0),0)</f>
        <v>0</v>
      </c>
      <c r="CJ62" s="477">
        <f>IF('Incremental Repayments'!$R$22="Debt",IF(AND(CJ$4&gt;=$D62,CJ$4&lt;$D62+'Incremental Repayments'!$I$31),-PMT('Interest Rate'!$J$16,'Incremental Repayments'!$I$31,(HLOOKUP($D62,$E$4:$CZ$32,28,FALSE)*'Incremental Repayments'!$I$22)),0),0)</f>
        <v>0</v>
      </c>
      <c r="CK62" s="477">
        <f>IF('Incremental Repayments'!$R$22="Debt",IF(AND(CK$4&gt;=$D62,CK$4&lt;$D62+'Incremental Repayments'!$I$31),-PMT('Interest Rate'!$J$16,'Incremental Repayments'!$I$31,(HLOOKUP($D62,$E$4:$CZ$32,28,FALSE)*'Incremental Repayments'!$I$22)),0),0)</f>
        <v>0</v>
      </c>
      <c r="CL62" s="477">
        <f>IF('Incremental Repayments'!$R$22="Debt",IF(AND(CL$4&gt;=$D62,CL$4&lt;$D62+'Incremental Repayments'!$I$31),-PMT('Interest Rate'!$J$16,'Incremental Repayments'!$I$31,(HLOOKUP($D62,$E$4:$CZ$32,28,FALSE)*'Incremental Repayments'!$I$22)),0),0)</f>
        <v>0</v>
      </c>
      <c r="CM62" s="477">
        <f>IF('Incremental Repayments'!$R$22="Debt",IF(AND(CM$4&gt;=$D62,CM$4&lt;$D62+'Incremental Repayments'!$I$31),-PMT('Interest Rate'!$J$16,'Incremental Repayments'!$I$31,(HLOOKUP($D62,$E$4:$CZ$32,28,FALSE)*'Incremental Repayments'!$I$22)),0),0)</f>
        <v>0</v>
      </c>
      <c r="CN62" s="477">
        <f>IF('Incremental Repayments'!$R$22="Debt",IF(AND(CN$4&gt;=$D62,CN$4&lt;$D62+'Incremental Repayments'!$I$31),-PMT('Interest Rate'!$J$16,'Incremental Repayments'!$I$31,(HLOOKUP($D62,$E$4:$CZ$32,28,FALSE)*'Incremental Repayments'!$I$22)),0),0)</f>
        <v>0</v>
      </c>
      <c r="CO62" s="477">
        <f>IF('Incremental Repayments'!$R$22="Debt",IF(AND(CO$4&gt;=$D62,CO$4&lt;$D62+'Incremental Repayments'!$I$31),-PMT('Interest Rate'!$J$16,'Incremental Repayments'!$I$31,(HLOOKUP($D62,$E$4:$CZ$32,28,FALSE)*'Incremental Repayments'!$I$22)),0),0)</f>
        <v>0</v>
      </c>
      <c r="CP62" s="477">
        <f>IF('Incremental Repayments'!$R$22="Debt",IF(AND(CP$4&gt;=$D62,CP$4&lt;$D62+'Incremental Repayments'!$I$31),-PMT('Interest Rate'!$J$16,'Incremental Repayments'!$I$31,(HLOOKUP($D62,$E$4:$CZ$32,28,FALSE)*'Incremental Repayments'!$I$22)),0),0)</f>
        <v>0</v>
      </c>
      <c r="CQ62" s="477">
        <f>IF('Incremental Repayments'!$R$22="Debt",IF(AND(CQ$4&gt;=$D62,CQ$4&lt;$D62+'Incremental Repayments'!$I$31),-PMT('Interest Rate'!$J$16,'Incremental Repayments'!$I$31,(HLOOKUP($D62,$E$4:$CZ$32,28,FALSE)*'Incremental Repayments'!$I$22)),0),0)</f>
        <v>0</v>
      </c>
      <c r="CR62" s="477">
        <f>IF('Incremental Repayments'!$R$22="Debt",IF(AND(CR$4&gt;=$D62,CR$4&lt;$D62+'Incremental Repayments'!$I$31),-PMT('Interest Rate'!$J$16,'Incremental Repayments'!$I$31,(HLOOKUP($D62,$E$4:$CZ$32,28,FALSE)*'Incremental Repayments'!$I$22)),0),0)</f>
        <v>0</v>
      </c>
      <c r="CS62" s="477">
        <f>IF('Incremental Repayments'!$R$22="Debt",IF(AND(CS$4&gt;=$D62,CS$4&lt;$D62+'Incremental Repayments'!$I$31),-PMT('Interest Rate'!$J$16,'Incremental Repayments'!$I$31,(HLOOKUP($D62,$E$4:$CZ$32,28,FALSE)*'Incremental Repayments'!$I$22)),0),0)</f>
        <v>0</v>
      </c>
      <c r="CT62" s="477">
        <f>IF('Incremental Repayments'!$R$22="Debt",IF(AND(CT$4&gt;=$D62,CT$4&lt;$D62+'Incremental Repayments'!$I$31),-PMT('Interest Rate'!$J$16,'Incremental Repayments'!$I$31,(HLOOKUP($D62,$E$4:$CZ$32,28,FALSE)*'Incremental Repayments'!$I$22)),0),0)</f>
        <v>0</v>
      </c>
      <c r="CU62" s="477">
        <f>IF('Incremental Repayments'!$R$22="Debt",IF(AND(CU$4&gt;=$D62,CU$4&lt;$D62+'Incremental Repayments'!$I$31),-PMT('Interest Rate'!$J$16,'Incremental Repayments'!$I$31,(HLOOKUP($D62,$E$4:$CZ$32,28,FALSE)*'Incremental Repayments'!$I$22)),0),0)</f>
        <v>0</v>
      </c>
      <c r="CV62" s="477">
        <f>IF('Incremental Repayments'!$R$22="Debt",IF(AND(CV$4&gt;=$D62,CV$4&lt;$D62+'Incremental Repayments'!$I$31),-PMT('Interest Rate'!$J$16,'Incremental Repayments'!$I$31,(HLOOKUP($D62,$E$4:$CZ$32,28,FALSE)*'Incremental Repayments'!$I$22)),0),0)</f>
        <v>0</v>
      </c>
      <c r="CW62" s="477">
        <f>IF('Incremental Repayments'!$R$22="Debt",IF(AND(CW$4&gt;=$D62,CW$4&lt;$D62+'Incremental Repayments'!$I$31),-PMT('Interest Rate'!$J$16,'Incremental Repayments'!$I$31,(HLOOKUP($D62,$E$4:$CZ$32,28,FALSE)*'Incremental Repayments'!$I$22)),0),0)</f>
        <v>0</v>
      </c>
      <c r="CX62" s="477">
        <f>IF('Incremental Repayments'!$R$22="Debt",IF(AND(CX$4&gt;=$D62,CX$4&lt;$D62+'Incremental Repayments'!$I$31),-PMT('Interest Rate'!$J$16,'Incremental Repayments'!$I$31,(HLOOKUP($D62,$E$4:$CZ$32,28,FALSE)*'Incremental Repayments'!$I$22)),0),0)</f>
        <v>0</v>
      </c>
      <c r="CY62" s="477">
        <f>IF('Incremental Repayments'!$R$22="Debt",IF(AND(CY$4&gt;=$D62,CY$4&lt;$D62+'Incremental Repayments'!$I$31),-PMT('Interest Rate'!$J$16,'Incremental Repayments'!$I$31,(HLOOKUP($D62,$E$4:$CZ$32,28,FALSE)*'Incremental Repayments'!$I$22)),0),0)</f>
        <v>0</v>
      </c>
      <c r="CZ62" s="477">
        <f>IF('Incremental Repayments'!$R$22="Debt",IF(AND(CZ$4&gt;=$D62,CZ$4&lt;$D62+'Incremental Repayments'!$I$31),-PMT('Interest Rate'!$J$16,'Incremental Repayments'!$I$31,(HLOOKUP($D62,$E$4:$CZ$32,28,FALSE)*'Incremental Repayments'!$I$22)),0),0)</f>
        <v>0</v>
      </c>
    </row>
    <row r="63" spans="1:104" x14ac:dyDescent="0.25">
      <c r="B63" s="480" t="str">
        <f>CONCATENATE("Series ",D63,"A Bonds (at ",'Interest Rate'!$J$16*100,"% Interest)")</f>
        <v>Series 2041A Bonds (at 4.5% Interest)</v>
      </c>
      <c r="C63" s="480"/>
      <c r="D63" s="492">
        <f t="shared" si="492"/>
        <v>2041</v>
      </c>
      <c r="E63" s="477">
        <f>IF('Incremental Repayments'!$R$22="Debt",IF(AND(E$4&gt;=$D63,E$4&lt;$D63+'Incremental Repayments'!$I$31),-PMT('Interest Rate'!$J$16,'Incremental Repayments'!$I$31,(HLOOKUP($D63,$E$4:$CZ$32,28,FALSE)*'Incremental Repayments'!$I$22)),0),0)</f>
        <v>0</v>
      </c>
      <c r="F63" s="477">
        <f>IF('Incremental Repayments'!$R$22="Debt",IF(AND(F$4&gt;=$D63,F$4&lt;$D63+'Incremental Repayments'!$I$31),-PMT('Interest Rate'!$J$16,'Incremental Repayments'!$I$31,(HLOOKUP($D63,$E$4:$CZ$32,28,FALSE)*'Incremental Repayments'!$I$22)),0),0)</f>
        <v>0</v>
      </c>
      <c r="G63" s="477">
        <f>IF('Incremental Repayments'!$R$22="Debt",IF(AND(G$4&gt;=$D63,G$4&lt;$D63+'Incremental Repayments'!$I$31),-PMT('Interest Rate'!$J$16,'Incremental Repayments'!$I$31,(HLOOKUP($D63,$E$4:$CZ$32,28,FALSE)*'Incremental Repayments'!$I$22)),0),0)</f>
        <v>0</v>
      </c>
      <c r="H63" s="477">
        <f>IF('Incremental Repayments'!$R$22="Debt",IF(AND(H$4&gt;=$D63,H$4&lt;$D63+'Incremental Repayments'!$I$31),-PMT('Interest Rate'!$J$16,'Incremental Repayments'!$I$31,(HLOOKUP($D63,$E$4:$CZ$32,28,FALSE)*'Incremental Repayments'!$I$22)),0),0)</f>
        <v>0</v>
      </c>
      <c r="I63" s="477">
        <f>IF('Incremental Repayments'!$R$22="Debt",IF(AND(I$4&gt;=$D63,I$4&lt;$D63+'Incremental Repayments'!$I$31),-PMT('Interest Rate'!$J$16,'Incremental Repayments'!$I$31,(HLOOKUP($D63,$E$4:$CZ$32,28,FALSE)*'Incremental Repayments'!$I$22)),0),0)</f>
        <v>0</v>
      </c>
      <c r="J63" s="477">
        <f>IF('Incremental Repayments'!$R$22="Debt",IF(AND(J$4&gt;=$D63,J$4&lt;$D63+'Incremental Repayments'!$I$31),-PMT('Interest Rate'!$J$16,'Incremental Repayments'!$I$31,(HLOOKUP($D63,$E$4:$CZ$32,28,FALSE)*'Incremental Repayments'!$I$22)),0),0)</f>
        <v>0</v>
      </c>
      <c r="K63" s="477">
        <f>IF('Incremental Repayments'!$R$22="Debt",IF(AND(K$4&gt;=$D63,K$4&lt;$D63+'Incremental Repayments'!$I$31),-PMT('Interest Rate'!$J$16,'Incremental Repayments'!$I$31,(HLOOKUP($D63,$E$4:$CZ$32,28,FALSE)*'Incremental Repayments'!$I$22)),0),0)</f>
        <v>0</v>
      </c>
      <c r="L63" s="477">
        <f>IF('Incremental Repayments'!$R$22="Debt",IF(AND(L$4&gt;=$D63,L$4&lt;$D63+'Incremental Repayments'!$I$31),-PMT('Interest Rate'!$J$16,'Incremental Repayments'!$I$31,(HLOOKUP($D63,$E$4:$CZ$32,28,FALSE)*'Incremental Repayments'!$I$22)),0),0)</f>
        <v>0</v>
      </c>
      <c r="M63" s="477">
        <f>IF('Incremental Repayments'!$R$22="Debt",IF(AND(M$4&gt;=$D63,M$4&lt;$D63+'Incremental Repayments'!$I$31),-PMT('Interest Rate'!$J$16,'Incremental Repayments'!$I$31,(HLOOKUP($D63,$E$4:$CZ$32,28,FALSE)*'Incremental Repayments'!$I$22)),0),0)</f>
        <v>0</v>
      </c>
      <c r="N63" s="477">
        <f>IF('Incremental Repayments'!$R$22="Debt",IF(AND(N$4&gt;=$D63,N$4&lt;$D63+'Incremental Repayments'!$I$31),-PMT('Interest Rate'!$J$16,'Incremental Repayments'!$I$31,(HLOOKUP($D63,$E$4:$CZ$32,28,FALSE)*'Incremental Repayments'!$I$22)),0),0)</f>
        <v>0</v>
      </c>
      <c r="O63" s="477">
        <f>IF('Incremental Repayments'!$R$22="Debt",IF(AND(O$4&gt;=$D63,O$4&lt;$D63+'Incremental Repayments'!$I$31),-PMT('Interest Rate'!$J$16,'Incremental Repayments'!$I$31,(HLOOKUP($D63,$E$4:$CZ$32,28,FALSE)*'Incremental Repayments'!$I$22)),0),0)</f>
        <v>0</v>
      </c>
      <c r="P63" s="477">
        <f>IF('Incremental Repayments'!$R$22="Debt",IF(AND(P$4&gt;=$D63,P$4&lt;$D63+'Incremental Repayments'!$I$31),-PMT('Interest Rate'!$J$16,'Incremental Repayments'!$I$31,(HLOOKUP($D63,$E$4:$CZ$32,28,FALSE)*'Incremental Repayments'!$I$22)),0),0)</f>
        <v>0</v>
      </c>
      <c r="Q63" s="477">
        <f>IF('Incremental Repayments'!$R$22="Debt",IF(AND(Q$4&gt;=$D63,Q$4&lt;$D63+'Incremental Repayments'!$I$31),-PMT('Interest Rate'!$J$16,'Incremental Repayments'!$I$31,(HLOOKUP($D63,$E$4:$CZ$32,28,FALSE)*'Incremental Repayments'!$I$22)),0),0)</f>
        <v>0</v>
      </c>
      <c r="R63" s="477">
        <f>IF('Incremental Repayments'!$R$22="Debt",IF(AND(R$4&gt;=$D63,R$4&lt;$D63+'Incremental Repayments'!$I$31),-PMT('Interest Rate'!$J$16,'Incremental Repayments'!$I$31,(HLOOKUP($D63,$E$4:$CZ$32,28,FALSE)*'Incremental Repayments'!$I$22)),0),0)</f>
        <v>0</v>
      </c>
      <c r="S63" s="477">
        <f>IF('Incremental Repayments'!$R$22="Debt",IF(AND(S$4&gt;=$D63,S$4&lt;$D63+'Incremental Repayments'!$I$31),-PMT('Interest Rate'!$J$16,'Incremental Repayments'!$I$31,(HLOOKUP($D63,$E$4:$CZ$32,28,FALSE)*'Incremental Repayments'!$I$22)),0),0)</f>
        <v>0</v>
      </c>
      <c r="T63" s="477">
        <f>IF('Incremental Repayments'!$R$22="Debt",IF(AND(T$4&gt;=$D63,T$4&lt;$D63+'Incremental Repayments'!$I$31),-PMT('Interest Rate'!$J$16,'Incremental Repayments'!$I$31,(HLOOKUP($D63,$E$4:$CZ$32,28,FALSE)*'Incremental Repayments'!$I$22)),0),0)</f>
        <v>0</v>
      </c>
      <c r="U63" s="477">
        <f>IF('Incremental Repayments'!$R$22="Debt",IF(AND(U$4&gt;=$D63,U$4&lt;$D63+'Incremental Repayments'!$I$31),-PMT('Interest Rate'!$J$16,'Incremental Repayments'!$I$31,(HLOOKUP($D63,$E$4:$CZ$32,28,FALSE)*'Incremental Repayments'!$I$22)),0),0)</f>
        <v>0</v>
      </c>
      <c r="V63" s="477">
        <f>IF('Incremental Repayments'!$R$22="Debt",IF(AND(V$4&gt;=$D63,V$4&lt;$D63+'Incremental Repayments'!$I$31),-PMT('Interest Rate'!$J$16,'Incremental Repayments'!$I$31,(HLOOKUP($D63,$E$4:$CZ$32,28,FALSE)*'Incremental Repayments'!$I$22)),0),0)</f>
        <v>0</v>
      </c>
      <c r="W63" s="477">
        <f>IF('Incremental Repayments'!$R$22="Debt",IF(AND(W$4&gt;=$D63,W$4&lt;$D63+'Incremental Repayments'!$I$31),-PMT('Interest Rate'!$J$16,'Incremental Repayments'!$I$31,(HLOOKUP($D63,$E$4:$CZ$32,28,FALSE)*'Incremental Repayments'!$I$22)),0),0)</f>
        <v>0</v>
      </c>
      <c r="X63" s="477">
        <f>IF('Incremental Repayments'!$R$22="Debt",IF(AND(X$4&gt;=$D63,X$4&lt;$D63+'Incremental Repayments'!$I$31),-PMT('Interest Rate'!$J$16,'Incremental Repayments'!$I$31,(HLOOKUP($D63,$E$4:$CZ$32,28,FALSE)*'Incremental Repayments'!$I$22)),0),0)</f>
        <v>0</v>
      </c>
      <c r="Y63" s="477">
        <f>IF('Incremental Repayments'!$R$22="Debt",IF(AND(Y$4&gt;=$D63,Y$4&lt;$D63+'Incremental Repayments'!$I$31),-PMT('Interest Rate'!$J$16,'Incremental Repayments'!$I$31,(HLOOKUP($D63,$E$4:$CZ$32,28,FALSE)*'Incremental Repayments'!$I$22)),0),0)</f>
        <v>0</v>
      </c>
      <c r="Z63" s="477">
        <f>IF('Incremental Repayments'!$R$22="Debt",IF(AND(Z$4&gt;=$D63,Z$4&lt;$D63+'Incremental Repayments'!$I$31),-PMT('Interest Rate'!$J$16,'Incremental Repayments'!$I$31,(HLOOKUP($D63,$E$4:$CZ$32,28,FALSE)*'Incremental Repayments'!$I$22)),0),0)</f>
        <v>0</v>
      </c>
      <c r="AA63" s="477">
        <f>IF('Incremental Repayments'!$R$22="Debt",IF(AND(AA$4&gt;=$D63,AA$4&lt;$D63+'Incremental Repayments'!$I$31),-PMT('Interest Rate'!$J$16,'Incremental Repayments'!$I$31,(HLOOKUP($D63,$E$4:$CZ$32,28,FALSE)*'Incremental Repayments'!$I$22)),0),0)</f>
        <v>0</v>
      </c>
      <c r="AB63" s="477">
        <f>IF('Incremental Repayments'!$R$22="Debt",IF(AND(AB$4&gt;=$D63,AB$4&lt;$D63+'Incremental Repayments'!$I$31),-PMT('Interest Rate'!$J$16,'Incremental Repayments'!$I$31,(HLOOKUP($D63,$E$4:$CZ$32,28,FALSE)*'Incremental Repayments'!$I$22)),0),0)</f>
        <v>0</v>
      </c>
      <c r="AC63" s="477">
        <f>IF('Incremental Repayments'!$R$22="Debt",IF(AND(AC$4&gt;=$D63,AC$4&lt;$D63+'Incremental Repayments'!$I$31),-PMT('Interest Rate'!$J$16,'Incremental Repayments'!$I$31,(HLOOKUP($D63,$E$4:$CZ$32,28,FALSE)*'Incremental Repayments'!$I$22)),0),0)</f>
        <v>0</v>
      </c>
      <c r="AD63" s="477">
        <f>IF('Incremental Repayments'!$R$22="Debt",IF(AND(AD$4&gt;=$D63,AD$4&lt;$D63+'Incremental Repayments'!$I$31),-PMT('Interest Rate'!$J$16,'Incremental Repayments'!$I$31,(HLOOKUP($D63,$E$4:$CZ$32,28,FALSE)*'Incremental Repayments'!$I$22)),0),0)</f>
        <v>0</v>
      </c>
      <c r="AE63" s="477">
        <f>IF('Incremental Repayments'!$R$22="Debt",IF(AND(AE$4&gt;=$D63,AE$4&lt;$D63+'Incremental Repayments'!$I$31),-PMT('Interest Rate'!$J$16,'Incremental Repayments'!$I$31,(HLOOKUP($D63,$E$4:$CZ$32,28,FALSE)*'Incremental Repayments'!$I$22)),0),0)</f>
        <v>0</v>
      </c>
      <c r="AF63" s="477">
        <f>IF('Incremental Repayments'!$R$22="Debt",IF(AND(AF$4&gt;=$D63,AF$4&lt;$D63+'Incremental Repayments'!$I$31),-PMT('Interest Rate'!$J$16,'Incremental Repayments'!$I$31,(HLOOKUP($D63,$E$4:$CZ$32,28,FALSE)*'Incremental Repayments'!$I$22)),0),0)</f>
        <v>778978.57205655123</v>
      </c>
      <c r="AG63" s="477">
        <f>IF('Incremental Repayments'!$R$22="Debt",IF(AND(AG$4&gt;=$D63,AG$4&lt;$D63+'Incremental Repayments'!$I$31),-PMT('Interest Rate'!$J$16,'Incremental Repayments'!$I$31,(HLOOKUP($D63,$E$4:$CZ$32,28,FALSE)*'Incremental Repayments'!$I$22)),0),0)</f>
        <v>778978.57205655123</v>
      </c>
      <c r="AH63" s="477">
        <f>IF('Incremental Repayments'!$R$22="Debt",IF(AND(AH$4&gt;=$D63,AH$4&lt;$D63+'Incremental Repayments'!$I$31),-PMT('Interest Rate'!$J$16,'Incremental Repayments'!$I$31,(HLOOKUP($D63,$E$4:$CZ$32,28,FALSE)*'Incremental Repayments'!$I$22)),0),0)</f>
        <v>778978.57205655123</v>
      </c>
      <c r="AI63" s="477">
        <f>IF('Incremental Repayments'!$R$22="Debt",IF(AND(AI$4&gt;=$D63,AI$4&lt;$D63+'Incremental Repayments'!$I$31),-PMT('Interest Rate'!$J$16,'Incremental Repayments'!$I$31,(HLOOKUP($D63,$E$4:$CZ$32,28,FALSE)*'Incremental Repayments'!$I$22)),0),0)</f>
        <v>778978.57205655123</v>
      </c>
      <c r="AJ63" s="477">
        <f>IF('Incremental Repayments'!$R$22="Debt",IF(AND(AJ$4&gt;=$D63,AJ$4&lt;$D63+'Incremental Repayments'!$I$31),-PMT('Interest Rate'!$J$16,'Incremental Repayments'!$I$31,(HLOOKUP($D63,$E$4:$CZ$32,28,FALSE)*'Incremental Repayments'!$I$22)),0),0)</f>
        <v>778978.57205655123</v>
      </c>
      <c r="AK63" s="477">
        <f>IF('Incremental Repayments'!$R$22="Debt",IF(AND(AK$4&gt;=$D63,AK$4&lt;$D63+'Incremental Repayments'!$I$31),-PMT('Interest Rate'!$J$16,'Incremental Repayments'!$I$31,(HLOOKUP($D63,$E$4:$CZ$32,28,FALSE)*'Incremental Repayments'!$I$22)),0),0)</f>
        <v>778978.57205655123</v>
      </c>
      <c r="AL63" s="477">
        <f>IF('Incremental Repayments'!$R$22="Debt",IF(AND(AL$4&gt;=$D63,AL$4&lt;$D63+'Incremental Repayments'!$I$31),-PMT('Interest Rate'!$J$16,'Incremental Repayments'!$I$31,(HLOOKUP($D63,$E$4:$CZ$32,28,FALSE)*'Incremental Repayments'!$I$22)),0),0)</f>
        <v>778978.57205655123</v>
      </c>
      <c r="AM63" s="477">
        <f>IF('Incremental Repayments'!$R$22="Debt",IF(AND(AM$4&gt;=$D63,AM$4&lt;$D63+'Incremental Repayments'!$I$31),-PMT('Interest Rate'!$J$16,'Incremental Repayments'!$I$31,(HLOOKUP($D63,$E$4:$CZ$32,28,FALSE)*'Incremental Repayments'!$I$22)),0),0)</f>
        <v>778978.57205655123</v>
      </c>
      <c r="AN63" s="477">
        <f>IF('Incremental Repayments'!$R$22="Debt",IF(AND(AN$4&gt;=$D63,AN$4&lt;$D63+'Incremental Repayments'!$I$31),-PMT('Interest Rate'!$J$16,'Incremental Repayments'!$I$31,(HLOOKUP($D63,$E$4:$CZ$32,28,FALSE)*'Incremental Repayments'!$I$22)),0),0)</f>
        <v>778978.57205655123</v>
      </c>
      <c r="AO63" s="477">
        <f>IF('Incremental Repayments'!$R$22="Debt",IF(AND(AO$4&gt;=$D63,AO$4&lt;$D63+'Incremental Repayments'!$I$31),-PMT('Interest Rate'!$J$16,'Incremental Repayments'!$I$31,(HLOOKUP($D63,$E$4:$CZ$32,28,FALSE)*'Incremental Repayments'!$I$22)),0),0)</f>
        <v>778978.57205655123</v>
      </c>
      <c r="AP63" s="477">
        <f>IF('Incremental Repayments'!$R$22="Debt",IF(AND(AP$4&gt;=$D63,AP$4&lt;$D63+'Incremental Repayments'!$I$31),-PMT('Interest Rate'!$J$16,'Incremental Repayments'!$I$31,(HLOOKUP($D63,$E$4:$CZ$32,28,FALSE)*'Incremental Repayments'!$I$22)),0),0)</f>
        <v>778978.57205655123</v>
      </c>
      <c r="AQ63" s="477">
        <f>IF('Incremental Repayments'!$R$22="Debt",IF(AND(AQ$4&gt;=$D63,AQ$4&lt;$D63+'Incremental Repayments'!$I$31),-PMT('Interest Rate'!$J$16,'Incremental Repayments'!$I$31,(HLOOKUP($D63,$E$4:$CZ$32,28,FALSE)*'Incremental Repayments'!$I$22)),0),0)</f>
        <v>778978.57205655123</v>
      </c>
      <c r="AR63" s="477">
        <f>IF('Incremental Repayments'!$R$22="Debt",IF(AND(AR$4&gt;=$D63,AR$4&lt;$D63+'Incremental Repayments'!$I$31),-PMT('Interest Rate'!$J$16,'Incremental Repayments'!$I$31,(HLOOKUP($D63,$E$4:$CZ$32,28,FALSE)*'Incremental Repayments'!$I$22)),0),0)</f>
        <v>778978.57205655123</v>
      </c>
      <c r="AS63" s="477">
        <f>IF('Incremental Repayments'!$R$22="Debt",IF(AND(AS$4&gt;=$D63,AS$4&lt;$D63+'Incremental Repayments'!$I$31),-PMT('Interest Rate'!$J$16,'Incremental Repayments'!$I$31,(HLOOKUP($D63,$E$4:$CZ$32,28,FALSE)*'Incremental Repayments'!$I$22)),0),0)</f>
        <v>778978.57205655123</v>
      </c>
      <c r="AT63" s="477">
        <f>IF('Incremental Repayments'!$R$22="Debt",IF(AND(AT$4&gt;=$D63,AT$4&lt;$D63+'Incremental Repayments'!$I$31),-PMT('Interest Rate'!$J$16,'Incremental Repayments'!$I$31,(HLOOKUP($D63,$E$4:$CZ$32,28,FALSE)*'Incremental Repayments'!$I$22)),0),0)</f>
        <v>778978.57205655123</v>
      </c>
      <c r="AU63" s="477">
        <f>IF('Incremental Repayments'!$R$22="Debt",IF(AND(AU$4&gt;=$D63,AU$4&lt;$D63+'Incremental Repayments'!$I$31),-PMT('Interest Rate'!$J$16,'Incremental Repayments'!$I$31,(HLOOKUP($D63,$E$4:$CZ$32,28,FALSE)*'Incremental Repayments'!$I$22)),0),0)</f>
        <v>778978.57205655123</v>
      </c>
      <c r="AV63" s="477">
        <f>IF('Incremental Repayments'!$R$22="Debt",IF(AND(AV$4&gt;=$D63,AV$4&lt;$D63+'Incremental Repayments'!$I$31),-PMT('Interest Rate'!$J$16,'Incremental Repayments'!$I$31,(HLOOKUP($D63,$E$4:$CZ$32,28,FALSE)*'Incremental Repayments'!$I$22)),0),0)</f>
        <v>778978.57205655123</v>
      </c>
      <c r="AW63" s="477">
        <f>IF('Incremental Repayments'!$R$22="Debt",IF(AND(AW$4&gt;=$D63,AW$4&lt;$D63+'Incremental Repayments'!$I$31),-PMT('Interest Rate'!$J$16,'Incremental Repayments'!$I$31,(HLOOKUP($D63,$E$4:$CZ$32,28,FALSE)*'Incremental Repayments'!$I$22)),0),0)</f>
        <v>778978.57205655123</v>
      </c>
      <c r="AX63" s="477">
        <f>IF('Incremental Repayments'!$R$22="Debt",IF(AND(AX$4&gt;=$D63,AX$4&lt;$D63+'Incremental Repayments'!$I$31),-PMT('Interest Rate'!$J$16,'Incremental Repayments'!$I$31,(HLOOKUP($D63,$E$4:$CZ$32,28,FALSE)*'Incremental Repayments'!$I$22)),0),0)</f>
        <v>778978.57205655123</v>
      </c>
      <c r="AY63" s="477">
        <f>IF('Incremental Repayments'!$R$22="Debt",IF(AND(AY$4&gt;=$D63,AY$4&lt;$D63+'Incremental Repayments'!$I$31),-PMT('Interest Rate'!$J$16,'Incremental Repayments'!$I$31,(HLOOKUP($D63,$E$4:$CZ$32,28,FALSE)*'Incremental Repayments'!$I$22)),0),0)</f>
        <v>778978.57205655123</v>
      </c>
      <c r="AZ63" s="477">
        <f>IF('Incremental Repayments'!$R$22="Debt",IF(AND(AZ$4&gt;=$D63,AZ$4&lt;$D63+'Incremental Repayments'!$I$31),-PMT('Interest Rate'!$J$16,'Incremental Repayments'!$I$31,(HLOOKUP($D63,$E$4:$CZ$32,28,FALSE)*'Incremental Repayments'!$I$22)),0),0)</f>
        <v>778978.57205655123</v>
      </c>
      <c r="BA63" s="477">
        <f>IF('Incremental Repayments'!$R$22="Debt",IF(AND(BA$4&gt;=$D63,BA$4&lt;$D63+'Incremental Repayments'!$I$31),-PMT('Interest Rate'!$J$16,'Incremental Repayments'!$I$31,(HLOOKUP($D63,$E$4:$CZ$32,28,FALSE)*'Incremental Repayments'!$I$22)),0),0)</f>
        <v>778978.57205655123</v>
      </c>
      <c r="BB63" s="477">
        <f>IF('Incremental Repayments'!$R$22="Debt",IF(AND(BB$4&gt;=$D63,BB$4&lt;$D63+'Incremental Repayments'!$I$31),-PMT('Interest Rate'!$J$16,'Incremental Repayments'!$I$31,(HLOOKUP($D63,$E$4:$CZ$32,28,FALSE)*'Incremental Repayments'!$I$22)),0),0)</f>
        <v>778978.57205655123</v>
      </c>
      <c r="BC63" s="477">
        <f>IF('Incremental Repayments'!$R$22="Debt",IF(AND(BC$4&gt;=$D63,BC$4&lt;$D63+'Incremental Repayments'!$I$31),-PMT('Interest Rate'!$J$16,'Incremental Repayments'!$I$31,(HLOOKUP($D63,$E$4:$CZ$32,28,FALSE)*'Incremental Repayments'!$I$22)),0),0)</f>
        <v>778978.57205655123</v>
      </c>
      <c r="BD63" s="477">
        <f>IF('Incremental Repayments'!$R$22="Debt",IF(AND(BD$4&gt;=$D63,BD$4&lt;$D63+'Incremental Repayments'!$I$31),-PMT('Interest Rate'!$J$16,'Incremental Repayments'!$I$31,(HLOOKUP($D63,$E$4:$CZ$32,28,FALSE)*'Incremental Repayments'!$I$22)),0),0)</f>
        <v>778978.57205655123</v>
      </c>
      <c r="BE63" s="477">
        <f>IF('Incremental Repayments'!$R$22="Debt",IF(AND(BE$4&gt;=$D63,BE$4&lt;$D63+'Incremental Repayments'!$I$31),-PMT('Interest Rate'!$J$16,'Incremental Repayments'!$I$31,(HLOOKUP($D63,$E$4:$CZ$32,28,FALSE)*'Incremental Repayments'!$I$22)),0),0)</f>
        <v>778978.57205655123</v>
      </c>
      <c r="BF63" s="477">
        <f>IF('Incremental Repayments'!$R$22="Debt",IF(AND(BF$4&gt;=$D63,BF$4&lt;$D63+'Incremental Repayments'!$I$31),-PMT('Interest Rate'!$J$16,'Incremental Repayments'!$I$31,(HLOOKUP($D63,$E$4:$CZ$32,28,FALSE)*'Incremental Repayments'!$I$22)),0),0)</f>
        <v>778978.57205655123</v>
      </c>
      <c r="BG63" s="477">
        <f>IF('Incremental Repayments'!$R$22="Debt",IF(AND(BG$4&gt;=$D63,BG$4&lt;$D63+'Incremental Repayments'!$I$31),-PMT('Interest Rate'!$J$16,'Incremental Repayments'!$I$31,(HLOOKUP($D63,$E$4:$CZ$32,28,FALSE)*'Incremental Repayments'!$I$22)),0),0)</f>
        <v>778978.57205655123</v>
      </c>
      <c r="BH63" s="477">
        <f>IF('Incremental Repayments'!$R$22="Debt",IF(AND(BH$4&gt;=$D63,BH$4&lt;$D63+'Incremental Repayments'!$I$31),-PMT('Interest Rate'!$J$16,'Incremental Repayments'!$I$31,(HLOOKUP($D63,$E$4:$CZ$32,28,FALSE)*'Incremental Repayments'!$I$22)),0),0)</f>
        <v>778978.57205655123</v>
      </c>
      <c r="BI63" s="477">
        <f>IF('Incremental Repayments'!$R$22="Debt",IF(AND(BI$4&gt;=$D63,BI$4&lt;$D63+'Incremental Repayments'!$I$31),-PMT('Interest Rate'!$J$16,'Incremental Repayments'!$I$31,(HLOOKUP($D63,$E$4:$CZ$32,28,FALSE)*'Incremental Repayments'!$I$22)),0),0)</f>
        <v>778978.57205655123</v>
      </c>
      <c r="BJ63" s="477">
        <f>IF('Incremental Repayments'!$R$22="Debt",IF(AND(BJ$4&gt;=$D63,BJ$4&lt;$D63+'Incremental Repayments'!$I$31),-PMT('Interest Rate'!$J$16,'Incremental Repayments'!$I$31,(HLOOKUP($D63,$E$4:$CZ$32,28,FALSE)*'Incremental Repayments'!$I$22)),0),0)</f>
        <v>0</v>
      </c>
      <c r="BK63" s="477">
        <f>IF('Incremental Repayments'!$R$22="Debt",IF(AND(BK$4&gt;=$D63,BK$4&lt;$D63+'Incremental Repayments'!$I$31),-PMT('Interest Rate'!$J$16,'Incremental Repayments'!$I$31,(HLOOKUP($D63,$E$4:$CZ$32,28,FALSE)*'Incremental Repayments'!$I$22)),0),0)</f>
        <v>0</v>
      </c>
      <c r="BL63" s="477">
        <f>IF('Incremental Repayments'!$R$22="Debt",IF(AND(BL$4&gt;=$D63,BL$4&lt;$D63+'Incremental Repayments'!$I$31),-PMT('Interest Rate'!$J$16,'Incremental Repayments'!$I$31,(HLOOKUP($D63,$E$4:$CZ$32,28,FALSE)*'Incremental Repayments'!$I$22)),0),0)</f>
        <v>0</v>
      </c>
      <c r="BM63" s="477">
        <f>IF('Incremental Repayments'!$R$22="Debt",IF(AND(BM$4&gt;=$D63,BM$4&lt;$D63+'Incremental Repayments'!$I$31),-PMT('Interest Rate'!$J$16,'Incremental Repayments'!$I$31,(HLOOKUP($D63,$E$4:$CZ$32,28,FALSE)*'Incremental Repayments'!$I$22)),0),0)</f>
        <v>0</v>
      </c>
      <c r="BN63" s="477">
        <f>IF('Incremental Repayments'!$R$22="Debt",IF(AND(BN$4&gt;=$D63,BN$4&lt;$D63+'Incremental Repayments'!$I$31),-PMT('Interest Rate'!$J$16,'Incremental Repayments'!$I$31,(HLOOKUP($D63,$E$4:$CZ$32,28,FALSE)*'Incremental Repayments'!$I$22)),0),0)</f>
        <v>0</v>
      </c>
      <c r="BO63" s="477">
        <f>IF('Incremental Repayments'!$R$22="Debt",IF(AND(BO$4&gt;=$D63,BO$4&lt;$D63+'Incremental Repayments'!$I$31),-PMT('Interest Rate'!$J$16,'Incremental Repayments'!$I$31,(HLOOKUP($D63,$E$4:$CZ$32,28,FALSE)*'Incremental Repayments'!$I$22)),0),0)</f>
        <v>0</v>
      </c>
      <c r="BP63" s="477">
        <f>IF('Incremental Repayments'!$R$22="Debt",IF(AND(BP$4&gt;=$D63,BP$4&lt;$D63+'Incremental Repayments'!$I$31),-PMT('Interest Rate'!$J$16,'Incremental Repayments'!$I$31,(HLOOKUP($D63,$E$4:$CZ$32,28,FALSE)*'Incremental Repayments'!$I$22)),0),0)</f>
        <v>0</v>
      </c>
      <c r="BQ63" s="477">
        <f>IF('Incremental Repayments'!$R$22="Debt",IF(AND(BQ$4&gt;=$D63,BQ$4&lt;$D63+'Incremental Repayments'!$I$31),-PMT('Interest Rate'!$J$16,'Incremental Repayments'!$I$31,(HLOOKUP($D63,$E$4:$CZ$32,28,FALSE)*'Incremental Repayments'!$I$22)),0),0)</f>
        <v>0</v>
      </c>
      <c r="BR63" s="477">
        <f>IF('Incremental Repayments'!$R$22="Debt",IF(AND(BR$4&gt;=$D63,BR$4&lt;$D63+'Incremental Repayments'!$I$31),-PMT('Interest Rate'!$J$16,'Incremental Repayments'!$I$31,(HLOOKUP($D63,$E$4:$CZ$32,28,FALSE)*'Incremental Repayments'!$I$22)),0),0)</f>
        <v>0</v>
      </c>
      <c r="BS63" s="477">
        <f>IF('Incremental Repayments'!$R$22="Debt",IF(AND(BS$4&gt;=$D63,BS$4&lt;$D63+'Incremental Repayments'!$I$31),-PMT('Interest Rate'!$J$16,'Incremental Repayments'!$I$31,(HLOOKUP($D63,$E$4:$CZ$32,28,FALSE)*'Incremental Repayments'!$I$22)),0),0)</f>
        <v>0</v>
      </c>
      <c r="BT63" s="477">
        <f>IF('Incremental Repayments'!$R$22="Debt",IF(AND(BT$4&gt;=$D63,BT$4&lt;$D63+'Incremental Repayments'!$I$31),-PMT('Interest Rate'!$J$16,'Incremental Repayments'!$I$31,(HLOOKUP($D63,$E$4:$CZ$32,28,FALSE)*'Incremental Repayments'!$I$22)),0),0)</f>
        <v>0</v>
      </c>
      <c r="BU63" s="477">
        <f>IF('Incremental Repayments'!$R$22="Debt",IF(AND(BU$4&gt;=$D63,BU$4&lt;$D63+'Incremental Repayments'!$I$31),-PMT('Interest Rate'!$J$16,'Incremental Repayments'!$I$31,(HLOOKUP($D63,$E$4:$CZ$32,28,FALSE)*'Incremental Repayments'!$I$22)),0),0)</f>
        <v>0</v>
      </c>
      <c r="BV63" s="477">
        <f>IF('Incremental Repayments'!$R$22="Debt",IF(AND(BV$4&gt;=$D63,BV$4&lt;$D63+'Incremental Repayments'!$I$31),-PMT('Interest Rate'!$J$16,'Incremental Repayments'!$I$31,(HLOOKUP($D63,$E$4:$CZ$32,28,FALSE)*'Incremental Repayments'!$I$22)),0),0)</f>
        <v>0</v>
      </c>
      <c r="BW63" s="477">
        <f>IF('Incremental Repayments'!$R$22="Debt",IF(AND(BW$4&gt;=$D63,BW$4&lt;$D63+'Incremental Repayments'!$I$31),-PMT('Interest Rate'!$J$16,'Incremental Repayments'!$I$31,(HLOOKUP($D63,$E$4:$CZ$32,28,FALSE)*'Incremental Repayments'!$I$22)),0),0)</f>
        <v>0</v>
      </c>
      <c r="BX63" s="477">
        <f>IF('Incremental Repayments'!$R$22="Debt",IF(AND(BX$4&gt;=$D63,BX$4&lt;$D63+'Incremental Repayments'!$I$31),-PMT('Interest Rate'!$J$16,'Incremental Repayments'!$I$31,(HLOOKUP($D63,$E$4:$CZ$32,28,FALSE)*'Incremental Repayments'!$I$22)),0),0)</f>
        <v>0</v>
      </c>
      <c r="BY63" s="477">
        <f>IF('Incremental Repayments'!$R$22="Debt",IF(AND(BY$4&gt;=$D63,BY$4&lt;$D63+'Incremental Repayments'!$I$31),-PMT('Interest Rate'!$J$16,'Incremental Repayments'!$I$31,(HLOOKUP($D63,$E$4:$CZ$32,28,FALSE)*'Incremental Repayments'!$I$22)),0),0)</f>
        <v>0</v>
      </c>
      <c r="BZ63" s="477">
        <f>IF('Incremental Repayments'!$R$22="Debt",IF(AND(BZ$4&gt;=$D63,BZ$4&lt;$D63+'Incremental Repayments'!$I$31),-PMT('Interest Rate'!$J$16,'Incremental Repayments'!$I$31,(HLOOKUP($D63,$E$4:$CZ$32,28,FALSE)*'Incremental Repayments'!$I$22)),0),0)</f>
        <v>0</v>
      </c>
      <c r="CA63" s="477">
        <f>IF('Incremental Repayments'!$R$22="Debt",IF(AND(CA$4&gt;=$D63,CA$4&lt;$D63+'Incremental Repayments'!$I$31),-PMT('Interest Rate'!$J$16,'Incremental Repayments'!$I$31,(HLOOKUP($D63,$E$4:$CZ$32,28,FALSE)*'Incremental Repayments'!$I$22)),0),0)</f>
        <v>0</v>
      </c>
      <c r="CB63" s="477">
        <f>IF('Incremental Repayments'!$R$22="Debt",IF(AND(CB$4&gt;=$D63,CB$4&lt;$D63+'Incremental Repayments'!$I$31),-PMT('Interest Rate'!$J$16,'Incremental Repayments'!$I$31,(HLOOKUP($D63,$E$4:$CZ$32,28,FALSE)*'Incremental Repayments'!$I$22)),0),0)</f>
        <v>0</v>
      </c>
      <c r="CC63" s="477">
        <f>IF('Incremental Repayments'!$R$22="Debt",IF(AND(CC$4&gt;=$D63,CC$4&lt;$D63+'Incremental Repayments'!$I$31),-PMT('Interest Rate'!$J$16,'Incremental Repayments'!$I$31,(HLOOKUP($D63,$E$4:$CZ$32,28,FALSE)*'Incremental Repayments'!$I$22)),0),0)</f>
        <v>0</v>
      </c>
      <c r="CD63" s="477">
        <f>IF('Incremental Repayments'!$R$22="Debt",IF(AND(CD$4&gt;=$D63,CD$4&lt;$D63+'Incremental Repayments'!$I$31),-PMT('Interest Rate'!$J$16,'Incremental Repayments'!$I$31,(HLOOKUP($D63,$E$4:$CZ$32,28,FALSE)*'Incremental Repayments'!$I$22)),0),0)</f>
        <v>0</v>
      </c>
      <c r="CE63" s="477">
        <f>IF('Incremental Repayments'!$R$22="Debt",IF(AND(CE$4&gt;=$D63,CE$4&lt;$D63+'Incremental Repayments'!$I$31),-PMT('Interest Rate'!$J$16,'Incremental Repayments'!$I$31,(HLOOKUP($D63,$E$4:$CZ$32,28,FALSE)*'Incremental Repayments'!$I$22)),0),0)</f>
        <v>0</v>
      </c>
      <c r="CF63" s="477">
        <f>IF('Incremental Repayments'!$R$22="Debt",IF(AND(CF$4&gt;=$D63,CF$4&lt;$D63+'Incremental Repayments'!$I$31),-PMT('Interest Rate'!$J$16,'Incremental Repayments'!$I$31,(HLOOKUP($D63,$E$4:$CZ$32,28,FALSE)*'Incremental Repayments'!$I$22)),0),0)</f>
        <v>0</v>
      </c>
      <c r="CG63" s="477">
        <f>IF('Incremental Repayments'!$R$22="Debt",IF(AND(CG$4&gt;=$D63,CG$4&lt;$D63+'Incremental Repayments'!$I$31),-PMT('Interest Rate'!$J$16,'Incremental Repayments'!$I$31,(HLOOKUP($D63,$E$4:$CZ$32,28,FALSE)*'Incremental Repayments'!$I$22)),0),0)</f>
        <v>0</v>
      </c>
      <c r="CH63" s="477">
        <f>IF('Incremental Repayments'!$R$22="Debt",IF(AND(CH$4&gt;=$D63,CH$4&lt;$D63+'Incremental Repayments'!$I$31),-PMT('Interest Rate'!$J$16,'Incremental Repayments'!$I$31,(HLOOKUP($D63,$E$4:$CZ$32,28,FALSE)*'Incremental Repayments'!$I$22)),0),0)</f>
        <v>0</v>
      </c>
      <c r="CI63" s="477">
        <f>IF('Incremental Repayments'!$R$22="Debt",IF(AND(CI$4&gt;=$D63,CI$4&lt;$D63+'Incremental Repayments'!$I$31),-PMT('Interest Rate'!$J$16,'Incremental Repayments'!$I$31,(HLOOKUP($D63,$E$4:$CZ$32,28,FALSE)*'Incremental Repayments'!$I$22)),0),0)</f>
        <v>0</v>
      </c>
      <c r="CJ63" s="477">
        <f>IF('Incremental Repayments'!$R$22="Debt",IF(AND(CJ$4&gt;=$D63,CJ$4&lt;$D63+'Incremental Repayments'!$I$31),-PMT('Interest Rate'!$J$16,'Incremental Repayments'!$I$31,(HLOOKUP($D63,$E$4:$CZ$32,28,FALSE)*'Incremental Repayments'!$I$22)),0),0)</f>
        <v>0</v>
      </c>
      <c r="CK63" s="477">
        <f>IF('Incremental Repayments'!$R$22="Debt",IF(AND(CK$4&gt;=$D63,CK$4&lt;$D63+'Incremental Repayments'!$I$31),-PMT('Interest Rate'!$J$16,'Incremental Repayments'!$I$31,(HLOOKUP($D63,$E$4:$CZ$32,28,FALSE)*'Incremental Repayments'!$I$22)),0),0)</f>
        <v>0</v>
      </c>
      <c r="CL63" s="477">
        <f>IF('Incremental Repayments'!$R$22="Debt",IF(AND(CL$4&gt;=$D63,CL$4&lt;$D63+'Incremental Repayments'!$I$31),-PMT('Interest Rate'!$J$16,'Incremental Repayments'!$I$31,(HLOOKUP($D63,$E$4:$CZ$32,28,FALSE)*'Incremental Repayments'!$I$22)),0),0)</f>
        <v>0</v>
      </c>
      <c r="CM63" s="477">
        <f>IF('Incremental Repayments'!$R$22="Debt",IF(AND(CM$4&gt;=$D63,CM$4&lt;$D63+'Incremental Repayments'!$I$31),-PMT('Interest Rate'!$J$16,'Incremental Repayments'!$I$31,(HLOOKUP($D63,$E$4:$CZ$32,28,FALSE)*'Incremental Repayments'!$I$22)),0),0)</f>
        <v>0</v>
      </c>
      <c r="CN63" s="477">
        <f>IF('Incremental Repayments'!$R$22="Debt",IF(AND(CN$4&gt;=$D63,CN$4&lt;$D63+'Incremental Repayments'!$I$31),-PMT('Interest Rate'!$J$16,'Incremental Repayments'!$I$31,(HLOOKUP($D63,$E$4:$CZ$32,28,FALSE)*'Incremental Repayments'!$I$22)),0),0)</f>
        <v>0</v>
      </c>
      <c r="CO63" s="477">
        <f>IF('Incremental Repayments'!$R$22="Debt",IF(AND(CO$4&gt;=$D63,CO$4&lt;$D63+'Incremental Repayments'!$I$31),-PMT('Interest Rate'!$J$16,'Incremental Repayments'!$I$31,(HLOOKUP($D63,$E$4:$CZ$32,28,FALSE)*'Incremental Repayments'!$I$22)),0),0)</f>
        <v>0</v>
      </c>
      <c r="CP63" s="477">
        <f>IF('Incremental Repayments'!$R$22="Debt",IF(AND(CP$4&gt;=$D63,CP$4&lt;$D63+'Incremental Repayments'!$I$31),-PMT('Interest Rate'!$J$16,'Incremental Repayments'!$I$31,(HLOOKUP($D63,$E$4:$CZ$32,28,FALSE)*'Incremental Repayments'!$I$22)),0),0)</f>
        <v>0</v>
      </c>
      <c r="CQ63" s="477">
        <f>IF('Incremental Repayments'!$R$22="Debt",IF(AND(CQ$4&gt;=$D63,CQ$4&lt;$D63+'Incremental Repayments'!$I$31),-PMT('Interest Rate'!$J$16,'Incremental Repayments'!$I$31,(HLOOKUP($D63,$E$4:$CZ$32,28,FALSE)*'Incremental Repayments'!$I$22)),0),0)</f>
        <v>0</v>
      </c>
      <c r="CR63" s="477">
        <f>IF('Incremental Repayments'!$R$22="Debt",IF(AND(CR$4&gt;=$D63,CR$4&lt;$D63+'Incremental Repayments'!$I$31),-PMT('Interest Rate'!$J$16,'Incremental Repayments'!$I$31,(HLOOKUP($D63,$E$4:$CZ$32,28,FALSE)*'Incremental Repayments'!$I$22)),0),0)</f>
        <v>0</v>
      </c>
      <c r="CS63" s="477">
        <f>IF('Incremental Repayments'!$R$22="Debt",IF(AND(CS$4&gt;=$D63,CS$4&lt;$D63+'Incremental Repayments'!$I$31),-PMT('Interest Rate'!$J$16,'Incremental Repayments'!$I$31,(HLOOKUP($D63,$E$4:$CZ$32,28,FALSE)*'Incremental Repayments'!$I$22)),0),0)</f>
        <v>0</v>
      </c>
      <c r="CT63" s="477">
        <f>IF('Incremental Repayments'!$R$22="Debt",IF(AND(CT$4&gt;=$D63,CT$4&lt;$D63+'Incremental Repayments'!$I$31),-PMT('Interest Rate'!$J$16,'Incremental Repayments'!$I$31,(HLOOKUP($D63,$E$4:$CZ$32,28,FALSE)*'Incremental Repayments'!$I$22)),0),0)</f>
        <v>0</v>
      </c>
      <c r="CU63" s="477">
        <f>IF('Incremental Repayments'!$R$22="Debt",IF(AND(CU$4&gt;=$D63,CU$4&lt;$D63+'Incremental Repayments'!$I$31),-PMT('Interest Rate'!$J$16,'Incremental Repayments'!$I$31,(HLOOKUP($D63,$E$4:$CZ$32,28,FALSE)*'Incremental Repayments'!$I$22)),0),0)</f>
        <v>0</v>
      </c>
      <c r="CV63" s="477">
        <f>IF('Incremental Repayments'!$R$22="Debt",IF(AND(CV$4&gt;=$D63,CV$4&lt;$D63+'Incremental Repayments'!$I$31),-PMT('Interest Rate'!$J$16,'Incremental Repayments'!$I$31,(HLOOKUP($D63,$E$4:$CZ$32,28,FALSE)*'Incremental Repayments'!$I$22)),0),0)</f>
        <v>0</v>
      </c>
      <c r="CW63" s="477">
        <f>IF('Incremental Repayments'!$R$22="Debt",IF(AND(CW$4&gt;=$D63,CW$4&lt;$D63+'Incremental Repayments'!$I$31),-PMT('Interest Rate'!$J$16,'Incremental Repayments'!$I$31,(HLOOKUP($D63,$E$4:$CZ$32,28,FALSE)*'Incremental Repayments'!$I$22)),0),0)</f>
        <v>0</v>
      </c>
      <c r="CX63" s="477">
        <f>IF('Incremental Repayments'!$R$22="Debt",IF(AND(CX$4&gt;=$D63,CX$4&lt;$D63+'Incremental Repayments'!$I$31),-PMT('Interest Rate'!$J$16,'Incremental Repayments'!$I$31,(HLOOKUP($D63,$E$4:$CZ$32,28,FALSE)*'Incremental Repayments'!$I$22)),0),0)</f>
        <v>0</v>
      </c>
      <c r="CY63" s="477">
        <f>IF('Incremental Repayments'!$R$22="Debt",IF(AND(CY$4&gt;=$D63,CY$4&lt;$D63+'Incremental Repayments'!$I$31),-PMT('Interest Rate'!$J$16,'Incremental Repayments'!$I$31,(HLOOKUP($D63,$E$4:$CZ$32,28,FALSE)*'Incremental Repayments'!$I$22)),0),0)</f>
        <v>0</v>
      </c>
      <c r="CZ63" s="477">
        <f>IF('Incremental Repayments'!$R$22="Debt",IF(AND(CZ$4&gt;=$D63,CZ$4&lt;$D63+'Incremental Repayments'!$I$31),-PMT('Interest Rate'!$J$16,'Incremental Repayments'!$I$31,(HLOOKUP($D63,$E$4:$CZ$32,28,FALSE)*'Incremental Repayments'!$I$22)),0),0)</f>
        <v>0</v>
      </c>
    </row>
    <row r="64" spans="1:104" x14ac:dyDescent="0.25">
      <c r="B64" s="480" t="str">
        <f>CONCATENATE("Series ",D64,"A Bonds (at ",'Interest Rate'!$J$16*100,"% Interest)")</f>
        <v>Series 2042A Bonds (at 4.5% Interest)</v>
      </c>
      <c r="C64" s="480"/>
      <c r="D64" s="492">
        <f t="shared" si="492"/>
        <v>2042</v>
      </c>
      <c r="E64" s="477">
        <f>IF('Incremental Repayments'!$R$22="Debt",IF(AND(E$4&gt;=$D64,E$4&lt;$D64+'Incremental Repayments'!$I$31),-PMT('Interest Rate'!$J$16,'Incremental Repayments'!$I$31,(HLOOKUP($D64,$E$4:$CZ$32,28,FALSE)*'Incremental Repayments'!$I$22)),0),0)</f>
        <v>0</v>
      </c>
      <c r="F64" s="477">
        <f>IF('Incremental Repayments'!$R$22="Debt",IF(AND(F$4&gt;=$D64,F$4&lt;$D64+'Incremental Repayments'!$I$31),-PMT('Interest Rate'!$J$16,'Incremental Repayments'!$I$31,(HLOOKUP($D64,$E$4:$CZ$32,28,FALSE)*'Incremental Repayments'!$I$22)),0),0)</f>
        <v>0</v>
      </c>
      <c r="G64" s="477">
        <f>IF('Incremental Repayments'!$R$22="Debt",IF(AND(G$4&gt;=$D64,G$4&lt;$D64+'Incremental Repayments'!$I$31),-PMT('Interest Rate'!$J$16,'Incremental Repayments'!$I$31,(HLOOKUP($D64,$E$4:$CZ$32,28,FALSE)*'Incremental Repayments'!$I$22)),0),0)</f>
        <v>0</v>
      </c>
      <c r="H64" s="477">
        <f>IF('Incremental Repayments'!$R$22="Debt",IF(AND(H$4&gt;=$D64,H$4&lt;$D64+'Incremental Repayments'!$I$31),-PMT('Interest Rate'!$J$16,'Incremental Repayments'!$I$31,(HLOOKUP($D64,$E$4:$CZ$32,28,FALSE)*'Incremental Repayments'!$I$22)),0),0)</f>
        <v>0</v>
      </c>
      <c r="I64" s="477">
        <f>IF('Incremental Repayments'!$R$22="Debt",IF(AND(I$4&gt;=$D64,I$4&lt;$D64+'Incremental Repayments'!$I$31),-PMT('Interest Rate'!$J$16,'Incremental Repayments'!$I$31,(HLOOKUP($D64,$E$4:$CZ$32,28,FALSE)*'Incremental Repayments'!$I$22)),0),0)</f>
        <v>0</v>
      </c>
      <c r="J64" s="477">
        <f>IF('Incremental Repayments'!$R$22="Debt",IF(AND(J$4&gt;=$D64,J$4&lt;$D64+'Incremental Repayments'!$I$31),-PMT('Interest Rate'!$J$16,'Incremental Repayments'!$I$31,(HLOOKUP($D64,$E$4:$CZ$32,28,FALSE)*'Incremental Repayments'!$I$22)),0),0)</f>
        <v>0</v>
      </c>
      <c r="K64" s="477">
        <f>IF('Incremental Repayments'!$R$22="Debt",IF(AND(K$4&gt;=$D64,K$4&lt;$D64+'Incremental Repayments'!$I$31),-PMT('Interest Rate'!$J$16,'Incremental Repayments'!$I$31,(HLOOKUP($D64,$E$4:$CZ$32,28,FALSE)*'Incremental Repayments'!$I$22)),0),0)</f>
        <v>0</v>
      </c>
      <c r="L64" s="477">
        <f>IF('Incremental Repayments'!$R$22="Debt",IF(AND(L$4&gt;=$D64,L$4&lt;$D64+'Incremental Repayments'!$I$31),-PMT('Interest Rate'!$J$16,'Incremental Repayments'!$I$31,(HLOOKUP($D64,$E$4:$CZ$32,28,FALSE)*'Incremental Repayments'!$I$22)),0),0)</f>
        <v>0</v>
      </c>
      <c r="M64" s="477">
        <f>IF('Incremental Repayments'!$R$22="Debt",IF(AND(M$4&gt;=$D64,M$4&lt;$D64+'Incremental Repayments'!$I$31),-PMT('Interest Rate'!$J$16,'Incremental Repayments'!$I$31,(HLOOKUP($D64,$E$4:$CZ$32,28,FALSE)*'Incremental Repayments'!$I$22)),0),0)</f>
        <v>0</v>
      </c>
      <c r="N64" s="477">
        <f>IF('Incremental Repayments'!$R$22="Debt",IF(AND(N$4&gt;=$D64,N$4&lt;$D64+'Incremental Repayments'!$I$31),-PMT('Interest Rate'!$J$16,'Incremental Repayments'!$I$31,(HLOOKUP($D64,$E$4:$CZ$32,28,FALSE)*'Incremental Repayments'!$I$22)),0),0)</f>
        <v>0</v>
      </c>
      <c r="O64" s="477">
        <f>IF('Incremental Repayments'!$R$22="Debt",IF(AND(O$4&gt;=$D64,O$4&lt;$D64+'Incremental Repayments'!$I$31),-PMT('Interest Rate'!$J$16,'Incremental Repayments'!$I$31,(HLOOKUP($D64,$E$4:$CZ$32,28,FALSE)*'Incremental Repayments'!$I$22)),0),0)</f>
        <v>0</v>
      </c>
      <c r="P64" s="477">
        <f>IF('Incremental Repayments'!$R$22="Debt",IF(AND(P$4&gt;=$D64,P$4&lt;$D64+'Incremental Repayments'!$I$31),-PMT('Interest Rate'!$J$16,'Incremental Repayments'!$I$31,(HLOOKUP($D64,$E$4:$CZ$32,28,FALSE)*'Incremental Repayments'!$I$22)),0),0)</f>
        <v>0</v>
      </c>
      <c r="Q64" s="477">
        <f>IF('Incremental Repayments'!$R$22="Debt",IF(AND(Q$4&gt;=$D64,Q$4&lt;$D64+'Incremental Repayments'!$I$31),-PMT('Interest Rate'!$J$16,'Incremental Repayments'!$I$31,(HLOOKUP($D64,$E$4:$CZ$32,28,FALSE)*'Incremental Repayments'!$I$22)),0),0)</f>
        <v>0</v>
      </c>
      <c r="R64" s="477">
        <f>IF('Incremental Repayments'!$R$22="Debt",IF(AND(R$4&gt;=$D64,R$4&lt;$D64+'Incremental Repayments'!$I$31),-PMT('Interest Rate'!$J$16,'Incremental Repayments'!$I$31,(HLOOKUP($D64,$E$4:$CZ$32,28,FALSE)*'Incremental Repayments'!$I$22)),0),0)</f>
        <v>0</v>
      </c>
      <c r="S64" s="477">
        <f>IF('Incremental Repayments'!$R$22="Debt",IF(AND(S$4&gt;=$D64,S$4&lt;$D64+'Incremental Repayments'!$I$31),-PMT('Interest Rate'!$J$16,'Incremental Repayments'!$I$31,(HLOOKUP($D64,$E$4:$CZ$32,28,FALSE)*'Incremental Repayments'!$I$22)),0),0)</f>
        <v>0</v>
      </c>
      <c r="T64" s="477">
        <f>IF('Incremental Repayments'!$R$22="Debt",IF(AND(T$4&gt;=$D64,T$4&lt;$D64+'Incremental Repayments'!$I$31),-PMT('Interest Rate'!$J$16,'Incremental Repayments'!$I$31,(HLOOKUP($D64,$E$4:$CZ$32,28,FALSE)*'Incremental Repayments'!$I$22)),0),0)</f>
        <v>0</v>
      </c>
      <c r="U64" s="477">
        <f>IF('Incremental Repayments'!$R$22="Debt",IF(AND(U$4&gt;=$D64,U$4&lt;$D64+'Incremental Repayments'!$I$31),-PMT('Interest Rate'!$J$16,'Incremental Repayments'!$I$31,(HLOOKUP($D64,$E$4:$CZ$32,28,FALSE)*'Incremental Repayments'!$I$22)),0),0)</f>
        <v>0</v>
      </c>
      <c r="V64" s="477">
        <f>IF('Incremental Repayments'!$R$22="Debt",IF(AND(V$4&gt;=$D64,V$4&lt;$D64+'Incremental Repayments'!$I$31),-PMT('Interest Rate'!$J$16,'Incremental Repayments'!$I$31,(HLOOKUP($D64,$E$4:$CZ$32,28,FALSE)*'Incremental Repayments'!$I$22)),0),0)</f>
        <v>0</v>
      </c>
      <c r="W64" s="477">
        <f>IF('Incremental Repayments'!$R$22="Debt",IF(AND(W$4&gt;=$D64,W$4&lt;$D64+'Incremental Repayments'!$I$31),-PMT('Interest Rate'!$J$16,'Incremental Repayments'!$I$31,(HLOOKUP($D64,$E$4:$CZ$32,28,FALSE)*'Incremental Repayments'!$I$22)),0),0)</f>
        <v>0</v>
      </c>
      <c r="X64" s="477">
        <f>IF('Incremental Repayments'!$R$22="Debt",IF(AND(X$4&gt;=$D64,X$4&lt;$D64+'Incremental Repayments'!$I$31),-PMT('Interest Rate'!$J$16,'Incremental Repayments'!$I$31,(HLOOKUP($D64,$E$4:$CZ$32,28,FALSE)*'Incremental Repayments'!$I$22)),0),0)</f>
        <v>0</v>
      </c>
      <c r="Y64" s="477">
        <f>IF('Incremental Repayments'!$R$22="Debt",IF(AND(Y$4&gt;=$D64,Y$4&lt;$D64+'Incremental Repayments'!$I$31),-PMT('Interest Rate'!$J$16,'Incremental Repayments'!$I$31,(HLOOKUP($D64,$E$4:$CZ$32,28,FALSE)*'Incremental Repayments'!$I$22)),0),0)</f>
        <v>0</v>
      </c>
      <c r="Z64" s="477">
        <f>IF('Incremental Repayments'!$R$22="Debt",IF(AND(Z$4&gt;=$D64,Z$4&lt;$D64+'Incremental Repayments'!$I$31),-PMT('Interest Rate'!$J$16,'Incremental Repayments'!$I$31,(HLOOKUP($D64,$E$4:$CZ$32,28,FALSE)*'Incremental Repayments'!$I$22)),0),0)</f>
        <v>0</v>
      </c>
      <c r="AA64" s="477">
        <f>IF('Incremental Repayments'!$R$22="Debt",IF(AND(AA$4&gt;=$D64,AA$4&lt;$D64+'Incremental Repayments'!$I$31),-PMT('Interest Rate'!$J$16,'Incremental Repayments'!$I$31,(HLOOKUP($D64,$E$4:$CZ$32,28,FALSE)*'Incremental Repayments'!$I$22)),0),0)</f>
        <v>0</v>
      </c>
      <c r="AB64" s="477">
        <f>IF('Incremental Repayments'!$R$22="Debt",IF(AND(AB$4&gt;=$D64,AB$4&lt;$D64+'Incremental Repayments'!$I$31),-PMT('Interest Rate'!$J$16,'Incremental Repayments'!$I$31,(HLOOKUP($D64,$E$4:$CZ$32,28,FALSE)*'Incremental Repayments'!$I$22)),0),0)</f>
        <v>0</v>
      </c>
      <c r="AC64" s="477">
        <f>IF('Incremental Repayments'!$R$22="Debt",IF(AND(AC$4&gt;=$D64,AC$4&lt;$D64+'Incremental Repayments'!$I$31),-PMT('Interest Rate'!$J$16,'Incremental Repayments'!$I$31,(HLOOKUP($D64,$E$4:$CZ$32,28,FALSE)*'Incremental Repayments'!$I$22)),0),0)</f>
        <v>0</v>
      </c>
      <c r="AD64" s="477">
        <f>IF('Incremental Repayments'!$R$22="Debt",IF(AND(AD$4&gt;=$D64,AD$4&lt;$D64+'Incremental Repayments'!$I$31),-PMT('Interest Rate'!$J$16,'Incremental Repayments'!$I$31,(HLOOKUP($D64,$E$4:$CZ$32,28,FALSE)*'Incremental Repayments'!$I$22)),0),0)</f>
        <v>0</v>
      </c>
      <c r="AE64" s="477">
        <f>IF('Incremental Repayments'!$R$22="Debt",IF(AND(AE$4&gt;=$D64,AE$4&lt;$D64+'Incremental Repayments'!$I$31),-PMT('Interest Rate'!$J$16,'Incremental Repayments'!$I$31,(HLOOKUP($D64,$E$4:$CZ$32,28,FALSE)*'Incremental Repayments'!$I$22)),0),0)</f>
        <v>0</v>
      </c>
      <c r="AF64" s="477">
        <f>IF('Incremental Repayments'!$R$22="Debt",IF(AND(AF$4&gt;=$D64,AF$4&lt;$D64+'Incremental Repayments'!$I$31),-PMT('Interest Rate'!$J$16,'Incremental Repayments'!$I$31,(HLOOKUP($D64,$E$4:$CZ$32,28,FALSE)*'Incremental Repayments'!$I$22)),0),0)</f>
        <v>0</v>
      </c>
      <c r="AG64" s="477">
        <f>IF('Incremental Repayments'!$R$22="Debt",IF(AND(AG$4&gt;=$D64,AG$4&lt;$D64+'Incremental Repayments'!$I$31),-PMT('Interest Rate'!$J$16,'Incremental Repayments'!$I$31,(HLOOKUP($D64,$E$4:$CZ$32,28,FALSE)*'Incremental Repayments'!$I$22)),0),0)</f>
        <v>798870.003016009</v>
      </c>
      <c r="AH64" s="477">
        <f>IF('Incremental Repayments'!$R$22="Debt",IF(AND(AH$4&gt;=$D64,AH$4&lt;$D64+'Incremental Repayments'!$I$31),-PMT('Interest Rate'!$J$16,'Incremental Repayments'!$I$31,(HLOOKUP($D64,$E$4:$CZ$32,28,FALSE)*'Incremental Repayments'!$I$22)),0),0)</f>
        <v>798870.003016009</v>
      </c>
      <c r="AI64" s="477">
        <f>IF('Incremental Repayments'!$R$22="Debt",IF(AND(AI$4&gt;=$D64,AI$4&lt;$D64+'Incremental Repayments'!$I$31),-PMT('Interest Rate'!$J$16,'Incremental Repayments'!$I$31,(HLOOKUP($D64,$E$4:$CZ$32,28,FALSE)*'Incremental Repayments'!$I$22)),0),0)</f>
        <v>798870.003016009</v>
      </c>
      <c r="AJ64" s="477">
        <f>IF('Incremental Repayments'!$R$22="Debt",IF(AND(AJ$4&gt;=$D64,AJ$4&lt;$D64+'Incremental Repayments'!$I$31),-PMT('Interest Rate'!$J$16,'Incremental Repayments'!$I$31,(HLOOKUP($D64,$E$4:$CZ$32,28,FALSE)*'Incremental Repayments'!$I$22)),0),0)</f>
        <v>798870.003016009</v>
      </c>
      <c r="AK64" s="477">
        <f>IF('Incremental Repayments'!$R$22="Debt",IF(AND(AK$4&gt;=$D64,AK$4&lt;$D64+'Incremental Repayments'!$I$31),-PMT('Interest Rate'!$J$16,'Incremental Repayments'!$I$31,(HLOOKUP($D64,$E$4:$CZ$32,28,FALSE)*'Incremental Repayments'!$I$22)),0),0)</f>
        <v>798870.003016009</v>
      </c>
      <c r="AL64" s="477">
        <f>IF('Incremental Repayments'!$R$22="Debt",IF(AND(AL$4&gt;=$D64,AL$4&lt;$D64+'Incremental Repayments'!$I$31),-PMT('Interest Rate'!$J$16,'Incremental Repayments'!$I$31,(HLOOKUP($D64,$E$4:$CZ$32,28,FALSE)*'Incremental Repayments'!$I$22)),0),0)</f>
        <v>798870.003016009</v>
      </c>
      <c r="AM64" s="477">
        <f>IF('Incremental Repayments'!$R$22="Debt",IF(AND(AM$4&gt;=$D64,AM$4&lt;$D64+'Incremental Repayments'!$I$31),-PMT('Interest Rate'!$J$16,'Incremental Repayments'!$I$31,(HLOOKUP($D64,$E$4:$CZ$32,28,FALSE)*'Incremental Repayments'!$I$22)),0),0)</f>
        <v>798870.003016009</v>
      </c>
      <c r="AN64" s="477">
        <f>IF('Incremental Repayments'!$R$22="Debt",IF(AND(AN$4&gt;=$D64,AN$4&lt;$D64+'Incremental Repayments'!$I$31),-PMT('Interest Rate'!$J$16,'Incremental Repayments'!$I$31,(HLOOKUP($D64,$E$4:$CZ$32,28,FALSE)*'Incremental Repayments'!$I$22)),0),0)</f>
        <v>798870.003016009</v>
      </c>
      <c r="AO64" s="477">
        <f>IF('Incremental Repayments'!$R$22="Debt",IF(AND(AO$4&gt;=$D64,AO$4&lt;$D64+'Incremental Repayments'!$I$31),-PMT('Interest Rate'!$J$16,'Incremental Repayments'!$I$31,(HLOOKUP($D64,$E$4:$CZ$32,28,FALSE)*'Incremental Repayments'!$I$22)),0),0)</f>
        <v>798870.003016009</v>
      </c>
      <c r="AP64" s="477">
        <f>IF('Incremental Repayments'!$R$22="Debt",IF(AND(AP$4&gt;=$D64,AP$4&lt;$D64+'Incremental Repayments'!$I$31),-PMT('Interest Rate'!$J$16,'Incremental Repayments'!$I$31,(HLOOKUP($D64,$E$4:$CZ$32,28,FALSE)*'Incremental Repayments'!$I$22)),0),0)</f>
        <v>798870.003016009</v>
      </c>
      <c r="AQ64" s="477">
        <f>IF('Incremental Repayments'!$R$22="Debt",IF(AND(AQ$4&gt;=$D64,AQ$4&lt;$D64+'Incremental Repayments'!$I$31),-PMT('Interest Rate'!$J$16,'Incremental Repayments'!$I$31,(HLOOKUP($D64,$E$4:$CZ$32,28,FALSE)*'Incremental Repayments'!$I$22)),0),0)</f>
        <v>798870.003016009</v>
      </c>
      <c r="AR64" s="477">
        <f>IF('Incremental Repayments'!$R$22="Debt",IF(AND(AR$4&gt;=$D64,AR$4&lt;$D64+'Incremental Repayments'!$I$31),-PMT('Interest Rate'!$J$16,'Incremental Repayments'!$I$31,(HLOOKUP($D64,$E$4:$CZ$32,28,FALSE)*'Incremental Repayments'!$I$22)),0),0)</f>
        <v>798870.003016009</v>
      </c>
      <c r="AS64" s="477">
        <f>IF('Incremental Repayments'!$R$22="Debt",IF(AND(AS$4&gt;=$D64,AS$4&lt;$D64+'Incremental Repayments'!$I$31),-PMT('Interest Rate'!$J$16,'Incremental Repayments'!$I$31,(HLOOKUP($D64,$E$4:$CZ$32,28,FALSE)*'Incremental Repayments'!$I$22)),0),0)</f>
        <v>798870.003016009</v>
      </c>
      <c r="AT64" s="477">
        <f>IF('Incremental Repayments'!$R$22="Debt",IF(AND(AT$4&gt;=$D64,AT$4&lt;$D64+'Incremental Repayments'!$I$31),-PMT('Interest Rate'!$J$16,'Incremental Repayments'!$I$31,(HLOOKUP($D64,$E$4:$CZ$32,28,FALSE)*'Incremental Repayments'!$I$22)),0),0)</f>
        <v>798870.003016009</v>
      </c>
      <c r="AU64" s="477">
        <f>IF('Incremental Repayments'!$R$22="Debt",IF(AND(AU$4&gt;=$D64,AU$4&lt;$D64+'Incremental Repayments'!$I$31),-PMT('Interest Rate'!$J$16,'Incremental Repayments'!$I$31,(HLOOKUP($D64,$E$4:$CZ$32,28,FALSE)*'Incremental Repayments'!$I$22)),0),0)</f>
        <v>798870.003016009</v>
      </c>
      <c r="AV64" s="477">
        <f>IF('Incremental Repayments'!$R$22="Debt",IF(AND(AV$4&gt;=$D64,AV$4&lt;$D64+'Incremental Repayments'!$I$31),-PMT('Interest Rate'!$J$16,'Incremental Repayments'!$I$31,(HLOOKUP($D64,$E$4:$CZ$32,28,FALSE)*'Incremental Repayments'!$I$22)),0),0)</f>
        <v>798870.003016009</v>
      </c>
      <c r="AW64" s="477">
        <f>IF('Incremental Repayments'!$R$22="Debt",IF(AND(AW$4&gt;=$D64,AW$4&lt;$D64+'Incremental Repayments'!$I$31),-PMT('Interest Rate'!$J$16,'Incremental Repayments'!$I$31,(HLOOKUP($D64,$E$4:$CZ$32,28,FALSE)*'Incremental Repayments'!$I$22)),0),0)</f>
        <v>798870.003016009</v>
      </c>
      <c r="AX64" s="477">
        <f>IF('Incremental Repayments'!$R$22="Debt",IF(AND(AX$4&gt;=$D64,AX$4&lt;$D64+'Incremental Repayments'!$I$31),-PMT('Interest Rate'!$J$16,'Incremental Repayments'!$I$31,(HLOOKUP($D64,$E$4:$CZ$32,28,FALSE)*'Incremental Repayments'!$I$22)),0),0)</f>
        <v>798870.003016009</v>
      </c>
      <c r="AY64" s="477">
        <f>IF('Incremental Repayments'!$R$22="Debt",IF(AND(AY$4&gt;=$D64,AY$4&lt;$D64+'Incremental Repayments'!$I$31),-PMT('Interest Rate'!$J$16,'Incremental Repayments'!$I$31,(HLOOKUP($D64,$E$4:$CZ$32,28,FALSE)*'Incremental Repayments'!$I$22)),0),0)</f>
        <v>798870.003016009</v>
      </c>
      <c r="AZ64" s="477">
        <f>IF('Incremental Repayments'!$R$22="Debt",IF(AND(AZ$4&gt;=$D64,AZ$4&lt;$D64+'Incremental Repayments'!$I$31),-PMT('Interest Rate'!$J$16,'Incremental Repayments'!$I$31,(HLOOKUP($D64,$E$4:$CZ$32,28,FALSE)*'Incremental Repayments'!$I$22)),0),0)</f>
        <v>798870.003016009</v>
      </c>
      <c r="BA64" s="477">
        <f>IF('Incremental Repayments'!$R$22="Debt",IF(AND(BA$4&gt;=$D64,BA$4&lt;$D64+'Incremental Repayments'!$I$31),-PMT('Interest Rate'!$J$16,'Incremental Repayments'!$I$31,(HLOOKUP($D64,$E$4:$CZ$32,28,FALSE)*'Incremental Repayments'!$I$22)),0),0)</f>
        <v>798870.003016009</v>
      </c>
      <c r="BB64" s="477">
        <f>IF('Incremental Repayments'!$R$22="Debt",IF(AND(BB$4&gt;=$D64,BB$4&lt;$D64+'Incremental Repayments'!$I$31),-PMT('Interest Rate'!$J$16,'Incremental Repayments'!$I$31,(HLOOKUP($D64,$E$4:$CZ$32,28,FALSE)*'Incremental Repayments'!$I$22)),0),0)</f>
        <v>798870.003016009</v>
      </c>
      <c r="BC64" s="477">
        <f>IF('Incremental Repayments'!$R$22="Debt",IF(AND(BC$4&gt;=$D64,BC$4&lt;$D64+'Incremental Repayments'!$I$31),-PMT('Interest Rate'!$J$16,'Incremental Repayments'!$I$31,(HLOOKUP($D64,$E$4:$CZ$32,28,FALSE)*'Incremental Repayments'!$I$22)),0),0)</f>
        <v>798870.003016009</v>
      </c>
      <c r="BD64" s="477">
        <f>IF('Incremental Repayments'!$R$22="Debt",IF(AND(BD$4&gt;=$D64,BD$4&lt;$D64+'Incremental Repayments'!$I$31),-PMT('Interest Rate'!$J$16,'Incremental Repayments'!$I$31,(HLOOKUP($D64,$E$4:$CZ$32,28,FALSE)*'Incremental Repayments'!$I$22)),0),0)</f>
        <v>798870.003016009</v>
      </c>
      <c r="BE64" s="477">
        <f>IF('Incremental Repayments'!$R$22="Debt",IF(AND(BE$4&gt;=$D64,BE$4&lt;$D64+'Incremental Repayments'!$I$31),-PMT('Interest Rate'!$J$16,'Incremental Repayments'!$I$31,(HLOOKUP($D64,$E$4:$CZ$32,28,FALSE)*'Incremental Repayments'!$I$22)),0),0)</f>
        <v>798870.003016009</v>
      </c>
      <c r="BF64" s="477">
        <f>IF('Incremental Repayments'!$R$22="Debt",IF(AND(BF$4&gt;=$D64,BF$4&lt;$D64+'Incremental Repayments'!$I$31),-PMT('Interest Rate'!$J$16,'Incremental Repayments'!$I$31,(HLOOKUP($D64,$E$4:$CZ$32,28,FALSE)*'Incremental Repayments'!$I$22)),0),0)</f>
        <v>798870.003016009</v>
      </c>
      <c r="BG64" s="477">
        <f>IF('Incremental Repayments'!$R$22="Debt",IF(AND(BG$4&gt;=$D64,BG$4&lt;$D64+'Incremental Repayments'!$I$31),-PMT('Interest Rate'!$J$16,'Incremental Repayments'!$I$31,(HLOOKUP($D64,$E$4:$CZ$32,28,FALSE)*'Incremental Repayments'!$I$22)),0),0)</f>
        <v>798870.003016009</v>
      </c>
      <c r="BH64" s="477">
        <f>IF('Incremental Repayments'!$R$22="Debt",IF(AND(BH$4&gt;=$D64,BH$4&lt;$D64+'Incremental Repayments'!$I$31),-PMT('Interest Rate'!$J$16,'Incremental Repayments'!$I$31,(HLOOKUP($D64,$E$4:$CZ$32,28,FALSE)*'Incremental Repayments'!$I$22)),0),0)</f>
        <v>798870.003016009</v>
      </c>
      <c r="BI64" s="477">
        <f>IF('Incremental Repayments'!$R$22="Debt",IF(AND(BI$4&gt;=$D64,BI$4&lt;$D64+'Incremental Repayments'!$I$31),-PMT('Interest Rate'!$J$16,'Incremental Repayments'!$I$31,(HLOOKUP($D64,$E$4:$CZ$32,28,FALSE)*'Incremental Repayments'!$I$22)),0),0)</f>
        <v>798870.003016009</v>
      </c>
      <c r="BJ64" s="477">
        <f>IF('Incremental Repayments'!$R$22="Debt",IF(AND(BJ$4&gt;=$D64,BJ$4&lt;$D64+'Incremental Repayments'!$I$31),-PMT('Interest Rate'!$J$16,'Incremental Repayments'!$I$31,(HLOOKUP($D64,$E$4:$CZ$32,28,FALSE)*'Incremental Repayments'!$I$22)),0),0)</f>
        <v>798870.003016009</v>
      </c>
      <c r="BK64" s="477">
        <f>IF('Incremental Repayments'!$R$22="Debt",IF(AND(BK$4&gt;=$D64,BK$4&lt;$D64+'Incremental Repayments'!$I$31),-PMT('Interest Rate'!$J$16,'Incremental Repayments'!$I$31,(HLOOKUP($D64,$E$4:$CZ$32,28,FALSE)*'Incremental Repayments'!$I$22)),0),0)</f>
        <v>0</v>
      </c>
      <c r="BL64" s="477">
        <f>IF('Incremental Repayments'!$R$22="Debt",IF(AND(BL$4&gt;=$D64,BL$4&lt;$D64+'Incremental Repayments'!$I$31),-PMT('Interest Rate'!$J$16,'Incremental Repayments'!$I$31,(HLOOKUP($D64,$E$4:$CZ$32,28,FALSE)*'Incremental Repayments'!$I$22)),0),0)</f>
        <v>0</v>
      </c>
      <c r="BM64" s="477">
        <f>IF('Incremental Repayments'!$R$22="Debt",IF(AND(BM$4&gt;=$D64,BM$4&lt;$D64+'Incremental Repayments'!$I$31),-PMT('Interest Rate'!$J$16,'Incremental Repayments'!$I$31,(HLOOKUP($D64,$E$4:$CZ$32,28,FALSE)*'Incremental Repayments'!$I$22)),0),0)</f>
        <v>0</v>
      </c>
      <c r="BN64" s="477">
        <f>IF('Incremental Repayments'!$R$22="Debt",IF(AND(BN$4&gt;=$D64,BN$4&lt;$D64+'Incremental Repayments'!$I$31),-PMT('Interest Rate'!$J$16,'Incremental Repayments'!$I$31,(HLOOKUP($D64,$E$4:$CZ$32,28,FALSE)*'Incremental Repayments'!$I$22)),0),0)</f>
        <v>0</v>
      </c>
      <c r="BO64" s="477">
        <f>IF('Incremental Repayments'!$R$22="Debt",IF(AND(BO$4&gt;=$D64,BO$4&lt;$D64+'Incremental Repayments'!$I$31),-PMT('Interest Rate'!$J$16,'Incremental Repayments'!$I$31,(HLOOKUP($D64,$E$4:$CZ$32,28,FALSE)*'Incremental Repayments'!$I$22)),0),0)</f>
        <v>0</v>
      </c>
      <c r="BP64" s="477">
        <f>IF('Incremental Repayments'!$R$22="Debt",IF(AND(BP$4&gt;=$D64,BP$4&lt;$D64+'Incremental Repayments'!$I$31),-PMT('Interest Rate'!$J$16,'Incremental Repayments'!$I$31,(HLOOKUP($D64,$E$4:$CZ$32,28,FALSE)*'Incremental Repayments'!$I$22)),0),0)</f>
        <v>0</v>
      </c>
      <c r="BQ64" s="477">
        <f>IF('Incremental Repayments'!$R$22="Debt",IF(AND(BQ$4&gt;=$D64,BQ$4&lt;$D64+'Incremental Repayments'!$I$31),-PMT('Interest Rate'!$J$16,'Incremental Repayments'!$I$31,(HLOOKUP($D64,$E$4:$CZ$32,28,FALSE)*'Incremental Repayments'!$I$22)),0),0)</f>
        <v>0</v>
      </c>
      <c r="BR64" s="477">
        <f>IF('Incremental Repayments'!$R$22="Debt",IF(AND(BR$4&gt;=$D64,BR$4&lt;$D64+'Incremental Repayments'!$I$31),-PMT('Interest Rate'!$J$16,'Incremental Repayments'!$I$31,(HLOOKUP($D64,$E$4:$CZ$32,28,FALSE)*'Incremental Repayments'!$I$22)),0),0)</f>
        <v>0</v>
      </c>
      <c r="BS64" s="477">
        <f>IF('Incremental Repayments'!$R$22="Debt",IF(AND(BS$4&gt;=$D64,BS$4&lt;$D64+'Incremental Repayments'!$I$31),-PMT('Interest Rate'!$J$16,'Incremental Repayments'!$I$31,(HLOOKUP($D64,$E$4:$CZ$32,28,FALSE)*'Incremental Repayments'!$I$22)),0),0)</f>
        <v>0</v>
      </c>
      <c r="BT64" s="477">
        <f>IF('Incremental Repayments'!$R$22="Debt",IF(AND(BT$4&gt;=$D64,BT$4&lt;$D64+'Incremental Repayments'!$I$31),-PMT('Interest Rate'!$J$16,'Incremental Repayments'!$I$31,(HLOOKUP($D64,$E$4:$CZ$32,28,FALSE)*'Incremental Repayments'!$I$22)),0),0)</f>
        <v>0</v>
      </c>
      <c r="BU64" s="477">
        <f>IF('Incremental Repayments'!$R$22="Debt",IF(AND(BU$4&gt;=$D64,BU$4&lt;$D64+'Incremental Repayments'!$I$31),-PMT('Interest Rate'!$J$16,'Incremental Repayments'!$I$31,(HLOOKUP($D64,$E$4:$CZ$32,28,FALSE)*'Incremental Repayments'!$I$22)),0),0)</f>
        <v>0</v>
      </c>
      <c r="BV64" s="477">
        <f>IF('Incremental Repayments'!$R$22="Debt",IF(AND(BV$4&gt;=$D64,BV$4&lt;$D64+'Incremental Repayments'!$I$31),-PMT('Interest Rate'!$J$16,'Incremental Repayments'!$I$31,(HLOOKUP($D64,$E$4:$CZ$32,28,FALSE)*'Incremental Repayments'!$I$22)),0),0)</f>
        <v>0</v>
      </c>
      <c r="BW64" s="477">
        <f>IF('Incremental Repayments'!$R$22="Debt",IF(AND(BW$4&gt;=$D64,BW$4&lt;$D64+'Incremental Repayments'!$I$31),-PMT('Interest Rate'!$J$16,'Incremental Repayments'!$I$31,(HLOOKUP($D64,$E$4:$CZ$32,28,FALSE)*'Incremental Repayments'!$I$22)),0),0)</f>
        <v>0</v>
      </c>
      <c r="BX64" s="477">
        <f>IF('Incremental Repayments'!$R$22="Debt",IF(AND(BX$4&gt;=$D64,BX$4&lt;$D64+'Incremental Repayments'!$I$31),-PMT('Interest Rate'!$J$16,'Incremental Repayments'!$I$31,(HLOOKUP($D64,$E$4:$CZ$32,28,FALSE)*'Incremental Repayments'!$I$22)),0),0)</f>
        <v>0</v>
      </c>
      <c r="BY64" s="477">
        <f>IF('Incremental Repayments'!$R$22="Debt",IF(AND(BY$4&gt;=$D64,BY$4&lt;$D64+'Incremental Repayments'!$I$31),-PMT('Interest Rate'!$J$16,'Incremental Repayments'!$I$31,(HLOOKUP($D64,$E$4:$CZ$32,28,FALSE)*'Incremental Repayments'!$I$22)),0),0)</f>
        <v>0</v>
      </c>
      <c r="BZ64" s="477">
        <f>IF('Incremental Repayments'!$R$22="Debt",IF(AND(BZ$4&gt;=$D64,BZ$4&lt;$D64+'Incremental Repayments'!$I$31),-PMT('Interest Rate'!$J$16,'Incremental Repayments'!$I$31,(HLOOKUP($D64,$E$4:$CZ$32,28,FALSE)*'Incremental Repayments'!$I$22)),0),0)</f>
        <v>0</v>
      </c>
      <c r="CA64" s="477">
        <f>IF('Incremental Repayments'!$R$22="Debt",IF(AND(CA$4&gt;=$D64,CA$4&lt;$D64+'Incremental Repayments'!$I$31),-PMT('Interest Rate'!$J$16,'Incremental Repayments'!$I$31,(HLOOKUP($D64,$E$4:$CZ$32,28,FALSE)*'Incremental Repayments'!$I$22)),0),0)</f>
        <v>0</v>
      </c>
      <c r="CB64" s="477">
        <f>IF('Incremental Repayments'!$R$22="Debt",IF(AND(CB$4&gt;=$D64,CB$4&lt;$D64+'Incremental Repayments'!$I$31),-PMT('Interest Rate'!$J$16,'Incremental Repayments'!$I$31,(HLOOKUP($D64,$E$4:$CZ$32,28,FALSE)*'Incremental Repayments'!$I$22)),0),0)</f>
        <v>0</v>
      </c>
      <c r="CC64" s="477">
        <f>IF('Incremental Repayments'!$R$22="Debt",IF(AND(CC$4&gt;=$D64,CC$4&lt;$D64+'Incremental Repayments'!$I$31),-PMT('Interest Rate'!$J$16,'Incremental Repayments'!$I$31,(HLOOKUP($D64,$E$4:$CZ$32,28,FALSE)*'Incremental Repayments'!$I$22)),0),0)</f>
        <v>0</v>
      </c>
      <c r="CD64" s="477">
        <f>IF('Incremental Repayments'!$R$22="Debt",IF(AND(CD$4&gt;=$D64,CD$4&lt;$D64+'Incremental Repayments'!$I$31),-PMT('Interest Rate'!$J$16,'Incremental Repayments'!$I$31,(HLOOKUP($D64,$E$4:$CZ$32,28,FALSE)*'Incremental Repayments'!$I$22)),0),0)</f>
        <v>0</v>
      </c>
      <c r="CE64" s="477">
        <f>IF('Incremental Repayments'!$R$22="Debt",IF(AND(CE$4&gt;=$D64,CE$4&lt;$D64+'Incremental Repayments'!$I$31),-PMT('Interest Rate'!$J$16,'Incremental Repayments'!$I$31,(HLOOKUP($D64,$E$4:$CZ$32,28,FALSE)*'Incremental Repayments'!$I$22)),0),0)</f>
        <v>0</v>
      </c>
      <c r="CF64" s="477">
        <f>IF('Incremental Repayments'!$R$22="Debt",IF(AND(CF$4&gt;=$D64,CF$4&lt;$D64+'Incremental Repayments'!$I$31),-PMT('Interest Rate'!$J$16,'Incremental Repayments'!$I$31,(HLOOKUP($D64,$E$4:$CZ$32,28,FALSE)*'Incremental Repayments'!$I$22)),0),0)</f>
        <v>0</v>
      </c>
      <c r="CG64" s="477">
        <f>IF('Incremental Repayments'!$R$22="Debt",IF(AND(CG$4&gt;=$D64,CG$4&lt;$D64+'Incremental Repayments'!$I$31),-PMT('Interest Rate'!$J$16,'Incremental Repayments'!$I$31,(HLOOKUP($D64,$E$4:$CZ$32,28,FALSE)*'Incremental Repayments'!$I$22)),0),0)</f>
        <v>0</v>
      </c>
      <c r="CH64" s="477">
        <f>IF('Incremental Repayments'!$R$22="Debt",IF(AND(CH$4&gt;=$D64,CH$4&lt;$D64+'Incremental Repayments'!$I$31),-PMT('Interest Rate'!$J$16,'Incremental Repayments'!$I$31,(HLOOKUP($D64,$E$4:$CZ$32,28,FALSE)*'Incremental Repayments'!$I$22)),0),0)</f>
        <v>0</v>
      </c>
      <c r="CI64" s="477">
        <f>IF('Incremental Repayments'!$R$22="Debt",IF(AND(CI$4&gt;=$D64,CI$4&lt;$D64+'Incremental Repayments'!$I$31),-PMT('Interest Rate'!$J$16,'Incremental Repayments'!$I$31,(HLOOKUP($D64,$E$4:$CZ$32,28,FALSE)*'Incremental Repayments'!$I$22)),0),0)</f>
        <v>0</v>
      </c>
      <c r="CJ64" s="477">
        <f>IF('Incremental Repayments'!$R$22="Debt",IF(AND(CJ$4&gt;=$D64,CJ$4&lt;$D64+'Incremental Repayments'!$I$31),-PMT('Interest Rate'!$J$16,'Incremental Repayments'!$I$31,(HLOOKUP($D64,$E$4:$CZ$32,28,FALSE)*'Incremental Repayments'!$I$22)),0),0)</f>
        <v>0</v>
      </c>
      <c r="CK64" s="477">
        <f>IF('Incremental Repayments'!$R$22="Debt",IF(AND(CK$4&gt;=$D64,CK$4&lt;$D64+'Incremental Repayments'!$I$31),-PMT('Interest Rate'!$J$16,'Incremental Repayments'!$I$31,(HLOOKUP($D64,$E$4:$CZ$32,28,FALSE)*'Incremental Repayments'!$I$22)),0),0)</f>
        <v>0</v>
      </c>
      <c r="CL64" s="477">
        <f>IF('Incremental Repayments'!$R$22="Debt",IF(AND(CL$4&gt;=$D64,CL$4&lt;$D64+'Incremental Repayments'!$I$31),-PMT('Interest Rate'!$J$16,'Incremental Repayments'!$I$31,(HLOOKUP($D64,$E$4:$CZ$32,28,FALSE)*'Incremental Repayments'!$I$22)),0),0)</f>
        <v>0</v>
      </c>
      <c r="CM64" s="477">
        <f>IF('Incremental Repayments'!$R$22="Debt",IF(AND(CM$4&gt;=$D64,CM$4&lt;$D64+'Incremental Repayments'!$I$31),-PMT('Interest Rate'!$J$16,'Incremental Repayments'!$I$31,(HLOOKUP($D64,$E$4:$CZ$32,28,FALSE)*'Incremental Repayments'!$I$22)),0),0)</f>
        <v>0</v>
      </c>
      <c r="CN64" s="477">
        <f>IF('Incremental Repayments'!$R$22="Debt",IF(AND(CN$4&gt;=$D64,CN$4&lt;$D64+'Incremental Repayments'!$I$31),-PMT('Interest Rate'!$J$16,'Incremental Repayments'!$I$31,(HLOOKUP($D64,$E$4:$CZ$32,28,FALSE)*'Incremental Repayments'!$I$22)),0),0)</f>
        <v>0</v>
      </c>
      <c r="CO64" s="477">
        <f>IF('Incremental Repayments'!$R$22="Debt",IF(AND(CO$4&gt;=$D64,CO$4&lt;$D64+'Incremental Repayments'!$I$31),-PMT('Interest Rate'!$J$16,'Incremental Repayments'!$I$31,(HLOOKUP($D64,$E$4:$CZ$32,28,FALSE)*'Incremental Repayments'!$I$22)),0),0)</f>
        <v>0</v>
      </c>
      <c r="CP64" s="477">
        <f>IF('Incremental Repayments'!$R$22="Debt",IF(AND(CP$4&gt;=$D64,CP$4&lt;$D64+'Incremental Repayments'!$I$31),-PMT('Interest Rate'!$J$16,'Incremental Repayments'!$I$31,(HLOOKUP($D64,$E$4:$CZ$32,28,FALSE)*'Incremental Repayments'!$I$22)),0),0)</f>
        <v>0</v>
      </c>
      <c r="CQ64" s="477">
        <f>IF('Incremental Repayments'!$R$22="Debt",IF(AND(CQ$4&gt;=$D64,CQ$4&lt;$D64+'Incremental Repayments'!$I$31),-PMT('Interest Rate'!$J$16,'Incremental Repayments'!$I$31,(HLOOKUP($D64,$E$4:$CZ$32,28,FALSE)*'Incremental Repayments'!$I$22)),0),0)</f>
        <v>0</v>
      </c>
      <c r="CR64" s="477">
        <f>IF('Incremental Repayments'!$R$22="Debt",IF(AND(CR$4&gt;=$D64,CR$4&lt;$D64+'Incremental Repayments'!$I$31),-PMT('Interest Rate'!$J$16,'Incremental Repayments'!$I$31,(HLOOKUP($D64,$E$4:$CZ$32,28,FALSE)*'Incremental Repayments'!$I$22)),0),0)</f>
        <v>0</v>
      </c>
      <c r="CS64" s="477">
        <f>IF('Incremental Repayments'!$R$22="Debt",IF(AND(CS$4&gt;=$D64,CS$4&lt;$D64+'Incremental Repayments'!$I$31),-PMT('Interest Rate'!$J$16,'Incremental Repayments'!$I$31,(HLOOKUP($D64,$E$4:$CZ$32,28,FALSE)*'Incremental Repayments'!$I$22)),0),0)</f>
        <v>0</v>
      </c>
      <c r="CT64" s="477">
        <f>IF('Incremental Repayments'!$R$22="Debt",IF(AND(CT$4&gt;=$D64,CT$4&lt;$D64+'Incremental Repayments'!$I$31),-PMT('Interest Rate'!$J$16,'Incremental Repayments'!$I$31,(HLOOKUP($D64,$E$4:$CZ$32,28,FALSE)*'Incremental Repayments'!$I$22)),0),0)</f>
        <v>0</v>
      </c>
      <c r="CU64" s="477">
        <f>IF('Incremental Repayments'!$R$22="Debt",IF(AND(CU$4&gt;=$D64,CU$4&lt;$D64+'Incremental Repayments'!$I$31),-PMT('Interest Rate'!$J$16,'Incremental Repayments'!$I$31,(HLOOKUP($D64,$E$4:$CZ$32,28,FALSE)*'Incremental Repayments'!$I$22)),0),0)</f>
        <v>0</v>
      </c>
      <c r="CV64" s="477">
        <f>IF('Incremental Repayments'!$R$22="Debt",IF(AND(CV$4&gt;=$D64,CV$4&lt;$D64+'Incremental Repayments'!$I$31),-PMT('Interest Rate'!$J$16,'Incremental Repayments'!$I$31,(HLOOKUP($D64,$E$4:$CZ$32,28,FALSE)*'Incremental Repayments'!$I$22)),0),0)</f>
        <v>0</v>
      </c>
      <c r="CW64" s="477">
        <f>IF('Incremental Repayments'!$R$22="Debt",IF(AND(CW$4&gt;=$D64,CW$4&lt;$D64+'Incremental Repayments'!$I$31),-PMT('Interest Rate'!$J$16,'Incremental Repayments'!$I$31,(HLOOKUP($D64,$E$4:$CZ$32,28,FALSE)*'Incremental Repayments'!$I$22)),0),0)</f>
        <v>0</v>
      </c>
      <c r="CX64" s="477">
        <f>IF('Incremental Repayments'!$R$22="Debt",IF(AND(CX$4&gt;=$D64,CX$4&lt;$D64+'Incremental Repayments'!$I$31),-PMT('Interest Rate'!$J$16,'Incremental Repayments'!$I$31,(HLOOKUP($D64,$E$4:$CZ$32,28,FALSE)*'Incremental Repayments'!$I$22)),0),0)</f>
        <v>0</v>
      </c>
      <c r="CY64" s="477">
        <f>IF('Incremental Repayments'!$R$22="Debt",IF(AND(CY$4&gt;=$D64,CY$4&lt;$D64+'Incremental Repayments'!$I$31),-PMT('Interest Rate'!$J$16,'Incremental Repayments'!$I$31,(HLOOKUP($D64,$E$4:$CZ$32,28,FALSE)*'Incremental Repayments'!$I$22)),0),0)</f>
        <v>0</v>
      </c>
      <c r="CZ64" s="477">
        <f>IF('Incremental Repayments'!$R$22="Debt",IF(AND(CZ$4&gt;=$D64,CZ$4&lt;$D64+'Incremental Repayments'!$I$31),-PMT('Interest Rate'!$J$16,'Incremental Repayments'!$I$31,(HLOOKUP($D64,$E$4:$CZ$32,28,FALSE)*'Incremental Repayments'!$I$22)),0),0)</f>
        <v>0</v>
      </c>
    </row>
    <row r="65" spans="2:104" x14ac:dyDescent="0.25">
      <c r="B65" s="480" t="str">
        <f>CONCATENATE("Series ",D65,"A Bonds (at ",'Interest Rate'!$J$16*100,"% Interest)")</f>
        <v>Series 2043A Bonds (at 4.5% Interest)</v>
      </c>
      <c r="C65" s="480"/>
      <c r="D65" s="492">
        <f t="shared" si="492"/>
        <v>2043</v>
      </c>
      <c r="E65" s="477">
        <f>IF('Incremental Repayments'!$R$22="Debt",IF(AND(E$4&gt;=$D65,E$4&lt;$D65+'Incremental Repayments'!$I$31),-PMT('Interest Rate'!$J$16,'Incremental Repayments'!$I$31,(HLOOKUP($D65,$E$4:$CZ$32,28,FALSE)*'Incremental Repayments'!$I$22)),0),0)</f>
        <v>0</v>
      </c>
      <c r="F65" s="477">
        <f>IF('Incremental Repayments'!$R$22="Debt",IF(AND(F$4&gt;=$D65,F$4&lt;$D65+'Incremental Repayments'!$I$31),-PMT('Interest Rate'!$J$16,'Incremental Repayments'!$I$31,(HLOOKUP($D65,$E$4:$CZ$32,28,FALSE)*'Incremental Repayments'!$I$22)),0),0)</f>
        <v>0</v>
      </c>
      <c r="G65" s="477">
        <f>IF('Incremental Repayments'!$R$22="Debt",IF(AND(G$4&gt;=$D65,G$4&lt;$D65+'Incremental Repayments'!$I$31),-PMT('Interest Rate'!$J$16,'Incremental Repayments'!$I$31,(HLOOKUP($D65,$E$4:$CZ$32,28,FALSE)*'Incremental Repayments'!$I$22)),0),0)</f>
        <v>0</v>
      </c>
      <c r="H65" s="477">
        <f>IF('Incremental Repayments'!$R$22="Debt",IF(AND(H$4&gt;=$D65,H$4&lt;$D65+'Incremental Repayments'!$I$31),-PMT('Interest Rate'!$J$16,'Incremental Repayments'!$I$31,(HLOOKUP($D65,$E$4:$CZ$32,28,FALSE)*'Incremental Repayments'!$I$22)),0),0)</f>
        <v>0</v>
      </c>
      <c r="I65" s="477">
        <f>IF('Incremental Repayments'!$R$22="Debt",IF(AND(I$4&gt;=$D65,I$4&lt;$D65+'Incremental Repayments'!$I$31),-PMT('Interest Rate'!$J$16,'Incremental Repayments'!$I$31,(HLOOKUP($D65,$E$4:$CZ$32,28,FALSE)*'Incremental Repayments'!$I$22)),0),0)</f>
        <v>0</v>
      </c>
      <c r="J65" s="477">
        <f>IF('Incremental Repayments'!$R$22="Debt",IF(AND(J$4&gt;=$D65,J$4&lt;$D65+'Incremental Repayments'!$I$31),-PMT('Interest Rate'!$J$16,'Incremental Repayments'!$I$31,(HLOOKUP($D65,$E$4:$CZ$32,28,FALSE)*'Incremental Repayments'!$I$22)),0),0)</f>
        <v>0</v>
      </c>
      <c r="K65" s="477">
        <f>IF('Incremental Repayments'!$R$22="Debt",IF(AND(K$4&gt;=$D65,K$4&lt;$D65+'Incremental Repayments'!$I$31),-PMT('Interest Rate'!$J$16,'Incremental Repayments'!$I$31,(HLOOKUP($D65,$E$4:$CZ$32,28,FALSE)*'Incremental Repayments'!$I$22)),0),0)</f>
        <v>0</v>
      </c>
      <c r="L65" s="477">
        <f>IF('Incremental Repayments'!$R$22="Debt",IF(AND(L$4&gt;=$D65,L$4&lt;$D65+'Incremental Repayments'!$I$31),-PMT('Interest Rate'!$J$16,'Incremental Repayments'!$I$31,(HLOOKUP($D65,$E$4:$CZ$32,28,FALSE)*'Incremental Repayments'!$I$22)),0),0)</f>
        <v>0</v>
      </c>
      <c r="M65" s="477">
        <f>IF('Incremental Repayments'!$R$22="Debt",IF(AND(M$4&gt;=$D65,M$4&lt;$D65+'Incremental Repayments'!$I$31),-PMT('Interest Rate'!$J$16,'Incremental Repayments'!$I$31,(HLOOKUP($D65,$E$4:$CZ$32,28,FALSE)*'Incremental Repayments'!$I$22)),0),0)</f>
        <v>0</v>
      </c>
      <c r="N65" s="477">
        <f>IF('Incremental Repayments'!$R$22="Debt",IF(AND(N$4&gt;=$D65,N$4&lt;$D65+'Incremental Repayments'!$I$31),-PMT('Interest Rate'!$J$16,'Incremental Repayments'!$I$31,(HLOOKUP($D65,$E$4:$CZ$32,28,FALSE)*'Incremental Repayments'!$I$22)),0),0)</f>
        <v>0</v>
      </c>
      <c r="O65" s="477">
        <f>IF('Incremental Repayments'!$R$22="Debt",IF(AND(O$4&gt;=$D65,O$4&lt;$D65+'Incremental Repayments'!$I$31),-PMT('Interest Rate'!$J$16,'Incremental Repayments'!$I$31,(HLOOKUP($D65,$E$4:$CZ$32,28,FALSE)*'Incremental Repayments'!$I$22)),0),0)</f>
        <v>0</v>
      </c>
      <c r="P65" s="477">
        <f>IF('Incremental Repayments'!$R$22="Debt",IF(AND(P$4&gt;=$D65,P$4&lt;$D65+'Incremental Repayments'!$I$31),-PMT('Interest Rate'!$J$16,'Incremental Repayments'!$I$31,(HLOOKUP($D65,$E$4:$CZ$32,28,FALSE)*'Incremental Repayments'!$I$22)),0),0)</f>
        <v>0</v>
      </c>
      <c r="Q65" s="477">
        <f>IF('Incremental Repayments'!$R$22="Debt",IF(AND(Q$4&gt;=$D65,Q$4&lt;$D65+'Incremental Repayments'!$I$31),-PMT('Interest Rate'!$J$16,'Incremental Repayments'!$I$31,(HLOOKUP($D65,$E$4:$CZ$32,28,FALSE)*'Incremental Repayments'!$I$22)),0),0)</f>
        <v>0</v>
      </c>
      <c r="R65" s="477">
        <f>IF('Incremental Repayments'!$R$22="Debt",IF(AND(R$4&gt;=$D65,R$4&lt;$D65+'Incremental Repayments'!$I$31),-PMT('Interest Rate'!$J$16,'Incremental Repayments'!$I$31,(HLOOKUP($D65,$E$4:$CZ$32,28,FALSE)*'Incremental Repayments'!$I$22)),0),0)</f>
        <v>0</v>
      </c>
      <c r="S65" s="477">
        <f>IF('Incremental Repayments'!$R$22="Debt",IF(AND(S$4&gt;=$D65,S$4&lt;$D65+'Incremental Repayments'!$I$31),-PMT('Interest Rate'!$J$16,'Incremental Repayments'!$I$31,(HLOOKUP($D65,$E$4:$CZ$32,28,FALSE)*'Incremental Repayments'!$I$22)),0),0)</f>
        <v>0</v>
      </c>
      <c r="T65" s="477">
        <f>IF('Incremental Repayments'!$R$22="Debt",IF(AND(T$4&gt;=$D65,T$4&lt;$D65+'Incremental Repayments'!$I$31),-PMT('Interest Rate'!$J$16,'Incremental Repayments'!$I$31,(HLOOKUP($D65,$E$4:$CZ$32,28,FALSE)*'Incremental Repayments'!$I$22)),0),0)</f>
        <v>0</v>
      </c>
      <c r="U65" s="477">
        <f>IF('Incremental Repayments'!$R$22="Debt",IF(AND(U$4&gt;=$D65,U$4&lt;$D65+'Incremental Repayments'!$I$31),-PMT('Interest Rate'!$J$16,'Incremental Repayments'!$I$31,(HLOOKUP($D65,$E$4:$CZ$32,28,FALSE)*'Incremental Repayments'!$I$22)),0),0)</f>
        <v>0</v>
      </c>
      <c r="V65" s="477">
        <f>IF('Incremental Repayments'!$R$22="Debt",IF(AND(V$4&gt;=$D65,V$4&lt;$D65+'Incremental Repayments'!$I$31),-PMT('Interest Rate'!$J$16,'Incremental Repayments'!$I$31,(HLOOKUP($D65,$E$4:$CZ$32,28,FALSE)*'Incremental Repayments'!$I$22)),0),0)</f>
        <v>0</v>
      </c>
      <c r="W65" s="477">
        <f>IF('Incremental Repayments'!$R$22="Debt",IF(AND(W$4&gt;=$D65,W$4&lt;$D65+'Incremental Repayments'!$I$31),-PMT('Interest Rate'!$J$16,'Incremental Repayments'!$I$31,(HLOOKUP($D65,$E$4:$CZ$32,28,FALSE)*'Incremental Repayments'!$I$22)),0),0)</f>
        <v>0</v>
      </c>
      <c r="X65" s="477">
        <f>IF('Incremental Repayments'!$R$22="Debt",IF(AND(X$4&gt;=$D65,X$4&lt;$D65+'Incremental Repayments'!$I$31),-PMT('Interest Rate'!$J$16,'Incremental Repayments'!$I$31,(HLOOKUP($D65,$E$4:$CZ$32,28,FALSE)*'Incremental Repayments'!$I$22)),0),0)</f>
        <v>0</v>
      </c>
      <c r="Y65" s="477">
        <f>IF('Incremental Repayments'!$R$22="Debt",IF(AND(Y$4&gt;=$D65,Y$4&lt;$D65+'Incremental Repayments'!$I$31),-PMT('Interest Rate'!$J$16,'Incremental Repayments'!$I$31,(HLOOKUP($D65,$E$4:$CZ$32,28,FALSE)*'Incremental Repayments'!$I$22)),0),0)</f>
        <v>0</v>
      </c>
      <c r="Z65" s="477">
        <f>IF('Incremental Repayments'!$R$22="Debt",IF(AND(Z$4&gt;=$D65,Z$4&lt;$D65+'Incremental Repayments'!$I$31),-PMT('Interest Rate'!$J$16,'Incremental Repayments'!$I$31,(HLOOKUP($D65,$E$4:$CZ$32,28,FALSE)*'Incremental Repayments'!$I$22)),0),0)</f>
        <v>0</v>
      </c>
      <c r="AA65" s="477">
        <f>IF('Incremental Repayments'!$R$22="Debt",IF(AND(AA$4&gt;=$D65,AA$4&lt;$D65+'Incremental Repayments'!$I$31),-PMT('Interest Rate'!$J$16,'Incremental Repayments'!$I$31,(HLOOKUP($D65,$E$4:$CZ$32,28,FALSE)*'Incremental Repayments'!$I$22)),0),0)</f>
        <v>0</v>
      </c>
      <c r="AB65" s="477">
        <f>IF('Incremental Repayments'!$R$22="Debt",IF(AND(AB$4&gt;=$D65,AB$4&lt;$D65+'Incremental Repayments'!$I$31),-PMT('Interest Rate'!$J$16,'Incremental Repayments'!$I$31,(HLOOKUP($D65,$E$4:$CZ$32,28,FALSE)*'Incremental Repayments'!$I$22)),0),0)</f>
        <v>0</v>
      </c>
      <c r="AC65" s="477">
        <f>IF('Incremental Repayments'!$R$22="Debt",IF(AND(AC$4&gt;=$D65,AC$4&lt;$D65+'Incremental Repayments'!$I$31),-PMT('Interest Rate'!$J$16,'Incremental Repayments'!$I$31,(HLOOKUP($D65,$E$4:$CZ$32,28,FALSE)*'Incremental Repayments'!$I$22)),0),0)</f>
        <v>0</v>
      </c>
      <c r="AD65" s="477">
        <f>IF('Incremental Repayments'!$R$22="Debt",IF(AND(AD$4&gt;=$D65,AD$4&lt;$D65+'Incremental Repayments'!$I$31),-PMT('Interest Rate'!$J$16,'Incremental Repayments'!$I$31,(HLOOKUP($D65,$E$4:$CZ$32,28,FALSE)*'Incremental Repayments'!$I$22)),0),0)</f>
        <v>0</v>
      </c>
      <c r="AE65" s="477">
        <f>IF('Incremental Repayments'!$R$22="Debt",IF(AND(AE$4&gt;=$D65,AE$4&lt;$D65+'Incremental Repayments'!$I$31),-PMT('Interest Rate'!$J$16,'Incremental Repayments'!$I$31,(HLOOKUP($D65,$E$4:$CZ$32,28,FALSE)*'Incremental Repayments'!$I$22)),0),0)</f>
        <v>0</v>
      </c>
      <c r="AF65" s="477">
        <f>IF('Incremental Repayments'!$R$22="Debt",IF(AND(AF$4&gt;=$D65,AF$4&lt;$D65+'Incremental Repayments'!$I$31),-PMT('Interest Rate'!$J$16,'Incremental Repayments'!$I$31,(HLOOKUP($D65,$E$4:$CZ$32,28,FALSE)*'Incremental Repayments'!$I$22)),0),0)</f>
        <v>0</v>
      </c>
      <c r="AG65" s="477">
        <f>IF('Incremental Repayments'!$R$22="Debt",IF(AND(AG$4&gt;=$D65,AG$4&lt;$D65+'Incremental Repayments'!$I$31),-PMT('Interest Rate'!$J$16,'Incremental Repayments'!$I$31,(HLOOKUP($D65,$E$4:$CZ$32,28,FALSE)*'Incremental Repayments'!$I$22)),0),0)</f>
        <v>0</v>
      </c>
      <c r="AH65" s="477">
        <f>IF('Incremental Repayments'!$R$22="Debt",IF(AND(AH$4&gt;=$D65,AH$4&lt;$D65+'Incremental Repayments'!$I$31),-PMT('Interest Rate'!$J$16,'Incremental Repayments'!$I$31,(HLOOKUP($D65,$E$4:$CZ$32,28,FALSE)*'Incremental Repayments'!$I$22)),0),0)</f>
        <v>819262.52019498055</v>
      </c>
      <c r="AI65" s="477">
        <f>IF('Incremental Repayments'!$R$22="Debt",IF(AND(AI$4&gt;=$D65,AI$4&lt;$D65+'Incremental Repayments'!$I$31),-PMT('Interest Rate'!$J$16,'Incremental Repayments'!$I$31,(HLOOKUP($D65,$E$4:$CZ$32,28,FALSE)*'Incremental Repayments'!$I$22)),0),0)</f>
        <v>819262.52019498055</v>
      </c>
      <c r="AJ65" s="477">
        <f>IF('Incremental Repayments'!$R$22="Debt",IF(AND(AJ$4&gt;=$D65,AJ$4&lt;$D65+'Incremental Repayments'!$I$31),-PMT('Interest Rate'!$J$16,'Incremental Repayments'!$I$31,(HLOOKUP($D65,$E$4:$CZ$32,28,FALSE)*'Incremental Repayments'!$I$22)),0),0)</f>
        <v>819262.52019498055</v>
      </c>
      <c r="AK65" s="477">
        <f>IF('Incremental Repayments'!$R$22="Debt",IF(AND(AK$4&gt;=$D65,AK$4&lt;$D65+'Incremental Repayments'!$I$31),-PMT('Interest Rate'!$J$16,'Incremental Repayments'!$I$31,(HLOOKUP($D65,$E$4:$CZ$32,28,FALSE)*'Incremental Repayments'!$I$22)),0),0)</f>
        <v>819262.52019498055</v>
      </c>
      <c r="AL65" s="477">
        <f>IF('Incremental Repayments'!$R$22="Debt",IF(AND(AL$4&gt;=$D65,AL$4&lt;$D65+'Incremental Repayments'!$I$31),-PMT('Interest Rate'!$J$16,'Incremental Repayments'!$I$31,(HLOOKUP($D65,$E$4:$CZ$32,28,FALSE)*'Incremental Repayments'!$I$22)),0),0)</f>
        <v>819262.52019498055</v>
      </c>
      <c r="AM65" s="477">
        <f>IF('Incremental Repayments'!$R$22="Debt",IF(AND(AM$4&gt;=$D65,AM$4&lt;$D65+'Incremental Repayments'!$I$31),-PMT('Interest Rate'!$J$16,'Incremental Repayments'!$I$31,(HLOOKUP($D65,$E$4:$CZ$32,28,FALSE)*'Incremental Repayments'!$I$22)),0),0)</f>
        <v>819262.52019498055</v>
      </c>
      <c r="AN65" s="477">
        <f>IF('Incremental Repayments'!$R$22="Debt",IF(AND(AN$4&gt;=$D65,AN$4&lt;$D65+'Incremental Repayments'!$I$31),-PMT('Interest Rate'!$J$16,'Incremental Repayments'!$I$31,(HLOOKUP($D65,$E$4:$CZ$32,28,FALSE)*'Incremental Repayments'!$I$22)),0),0)</f>
        <v>819262.52019498055</v>
      </c>
      <c r="AO65" s="477">
        <f>IF('Incremental Repayments'!$R$22="Debt",IF(AND(AO$4&gt;=$D65,AO$4&lt;$D65+'Incremental Repayments'!$I$31),-PMT('Interest Rate'!$J$16,'Incremental Repayments'!$I$31,(HLOOKUP($D65,$E$4:$CZ$32,28,FALSE)*'Incremental Repayments'!$I$22)),0),0)</f>
        <v>819262.52019498055</v>
      </c>
      <c r="AP65" s="477">
        <f>IF('Incremental Repayments'!$R$22="Debt",IF(AND(AP$4&gt;=$D65,AP$4&lt;$D65+'Incremental Repayments'!$I$31),-PMT('Interest Rate'!$J$16,'Incremental Repayments'!$I$31,(HLOOKUP($D65,$E$4:$CZ$32,28,FALSE)*'Incremental Repayments'!$I$22)),0),0)</f>
        <v>819262.52019498055</v>
      </c>
      <c r="AQ65" s="477">
        <f>IF('Incremental Repayments'!$R$22="Debt",IF(AND(AQ$4&gt;=$D65,AQ$4&lt;$D65+'Incremental Repayments'!$I$31),-PMT('Interest Rate'!$J$16,'Incremental Repayments'!$I$31,(HLOOKUP($D65,$E$4:$CZ$32,28,FALSE)*'Incremental Repayments'!$I$22)),0),0)</f>
        <v>819262.52019498055</v>
      </c>
      <c r="AR65" s="477">
        <f>IF('Incremental Repayments'!$R$22="Debt",IF(AND(AR$4&gt;=$D65,AR$4&lt;$D65+'Incremental Repayments'!$I$31),-PMT('Interest Rate'!$J$16,'Incremental Repayments'!$I$31,(HLOOKUP($D65,$E$4:$CZ$32,28,FALSE)*'Incremental Repayments'!$I$22)),0),0)</f>
        <v>819262.52019498055</v>
      </c>
      <c r="AS65" s="477">
        <f>IF('Incremental Repayments'!$R$22="Debt",IF(AND(AS$4&gt;=$D65,AS$4&lt;$D65+'Incremental Repayments'!$I$31),-PMT('Interest Rate'!$J$16,'Incremental Repayments'!$I$31,(HLOOKUP($D65,$E$4:$CZ$32,28,FALSE)*'Incremental Repayments'!$I$22)),0),0)</f>
        <v>819262.52019498055</v>
      </c>
      <c r="AT65" s="477">
        <f>IF('Incremental Repayments'!$R$22="Debt",IF(AND(AT$4&gt;=$D65,AT$4&lt;$D65+'Incremental Repayments'!$I$31),-PMT('Interest Rate'!$J$16,'Incremental Repayments'!$I$31,(HLOOKUP($D65,$E$4:$CZ$32,28,FALSE)*'Incremental Repayments'!$I$22)),0),0)</f>
        <v>819262.52019498055</v>
      </c>
      <c r="AU65" s="477">
        <f>IF('Incremental Repayments'!$R$22="Debt",IF(AND(AU$4&gt;=$D65,AU$4&lt;$D65+'Incremental Repayments'!$I$31),-PMT('Interest Rate'!$J$16,'Incremental Repayments'!$I$31,(HLOOKUP($D65,$E$4:$CZ$32,28,FALSE)*'Incremental Repayments'!$I$22)),0),0)</f>
        <v>819262.52019498055</v>
      </c>
      <c r="AV65" s="477">
        <f>IF('Incremental Repayments'!$R$22="Debt",IF(AND(AV$4&gt;=$D65,AV$4&lt;$D65+'Incremental Repayments'!$I$31),-PMT('Interest Rate'!$J$16,'Incremental Repayments'!$I$31,(HLOOKUP($D65,$E$4:$CZ$32,28,FALSE)*'Incremental Repayments'!$I$22)),0),0)</f>
        <v>819262.52019498055</v>
      </c>
      <c r="AW65" s="477">
        <f>IF('Incremental Repayments'!$R$22="Debt",IF(AND(AW$4&gt;=$D65,AW$4&lt;$D65+'Incremental Repayments'!$I$31),-PMT('Interest Rate'!$J$16,'Incremental Repayments'!$I$31,(HLOOKUP($D65,$E$4:$CZ$32,28,FALSE)*'Incremental Repayments'!$I$22)),0),0)</f>
        <v>819262.52019498055</v>
      </c>
      <c r="AX65" s="477">
        <f>IF('Incremental Repayments'!$R$22="Debt",IF(AND(AX$4&gt;=$D65,AX$4&lt;$D65+'Incremental Repayments'!$I$31),-PMT('Interest Rate'!$J$16,'Incremental Repayments'!$I$31,(HLOOKUP($D65,$E$4:$CZ$32,28,FALSE)*'Incremental Repayments'!$I$22)),0),0)</f>
        <v>819262.52019498055</v>
      </c>
      <c r="AY65" s="477">
        <f>IF('Incremental Repayments'!$R$22="Debt",IF(AND(AY$4&gt;=$D65,AY$4&lt;$D65+'Incremental Repayments'!$I$31),-PMT('Interest Rate'!$J$16,'Incremental Repayments'!$I$31,(HLOOKUP($D65,$E$4:$CZ$32,28,FALSE)*'Incremental Repayments'!$I$22)),0),0)</f>
        <v>819262.52019498055</v>
      </c>
      <c r="AZ65" s="477">
        <f>IF('Incremental Repayments'!$R$22="Debt",IF(AND(AZ$4&gt;=$D65,AZ$4&lt;$D65+'Incremental Repayments'!$I$31),-PMT('Interest Rate'!$J$16,'Incremental Repayments'!$I$31,(HLOOKUP($D65,$E$4:$CZ$32,28,FALSE)*'Incremental Repayments'!$I$22)),0),0)</f>
        <v>819262.52019498055</v>
      </c>
      <c r="BA65" s="477">
        <f>IF('Incremental Repayments'!$R$22="Debt",IF(AND(BA$4&gt;=$D65,BA$4&lt;$D65+'Incremental Repayments'!$I$31),-PMT('Interest Rate'!$J$16,'Incremental Repayments'!$I$31,(HLOOKUP($D65,$E$4:$CZ$32,28,FALSE)*'Incremental Repayments'!$I$22)),0),0)</f>
        <v>819262.52019498055</v>
      </c>
      <c r="BB65" s="477">
        <f>IF('Incremental Repayments'!$R$22="Debt",IF(AND(BB$4&gt;=$D65,BB$4&lt;$D65+'Incremental Repayments'!$I$31),-PMT('Interest Rate'!$J$16,'Incremental Repayments'!$I$31,(HLOOKUP($D65,$E$4:$CZ$32,28,FALSE)*'Incremental Repayments'!$I$22)),0),0)</f>
        <v>819262.52019498055</v>
      </c>
      <c r="BC65" s="477">
        <f>IF('Incremental Repayments'!$R$22="Debt",IF(AND(BC$4&gt;=$D65,BC$4&lt;$D65+'Incremental Repayments'!$I$31),-PMT('Interest Rate'!$J$16,'Incremental Repayments'!$I$31,(HLOOKUP($D65,$E$4:$CZ$32,28,FALSE)*'Incremental Repayments'!$I$22)),0),0)</f>
        <v>819262.52019498055</v>
      </c>
      <c r="BD65" s="477">
        <f>IF('Incremental Repayments'!$R$22="Debt",IF(AND(BD$4&gt;=$D65,BD$4&lt;$D65+'Incremental Repayments'!$I$31),-PMT('Interest Rate'!$J$16,'Incremental Repayments'!$I$31,(HLOOKUP($D65,$E$4:$CZ$32,28,FALSE)*'Incremental Repayments'!$I$22)),0),0)</f>
        <v>819262.52019498055</v>
      </c>
      <c r="BE65" s="477">
        <f>IF('Incremental Repayments'!$R$22="Debt",IF(AND(BE$4&gt;=$D65,BE$4&lt;$D65+'Incremental Repayments'!$I$31),-PMT('Interest Rate'!$J$16,'Incremental Repayments'!$I$31,(HLOOKUP($D65,$E$4:$CZ$32,28,FALSE)*'Incremental Repayments'!$I$22)),0),0)</f>
        <v>819262.52019498055</v>
      </c>
      <c r="BF65" s="477">
        <f>IF('Incremental Repayments'!$R$22="Debt",IF(AND(BF$4&gt;=$D65,BF$4&lt;$D65+'Incremental Repayments'!$I$31),-PMT('Interest Rate'!$J$16,'Incremental Repayments'!$I$31,(HLOOKUP($D65,$E$4:$CZ$32,28,FALSE)*'Incremental Repayments'!$I$22)),0),0)</f>
        <v>819262.52019498055</v>
      </c>
      <c r="BG65" s="477">
        <f>IF('Incremental Repayments'!$R$22="Debt",IF(AND(BG$4&gt;=$D65,BG$4&lt;$D65+'Incremental Repayments'!$I$31),-PMT('Interest Rate'!$J$16,'Incremental Repayments'!$I$31,(HLOOKUP($D65,$E$4:$CZ$32,28,FALSE)*'Incremental Repayments'!$I$22)),0),0)</f>
        <v>819262.52019498055</v>
      </c>
      <c r="BH65" s="477">
        <f>IF('Incremental Repayments'!$R$22="Debt",IF(AND(BH$4&gt;=$D65,BH$4&lt;$D65+'Incremental Repayments'!$I$31),-PMT('Interest Rate'!$J$16,'Incremental Repayments'!$I$31,(HLOOKUP($D65,$E$4:$CZ$32,28,FALSE)*'Incremental Repayments'!$I$22)),0),0)</f>
        <v>819262.52019498055</v>
      </c>
      <c r="BI65" s="477">
        <f>IF('Incremental Repayments'!$R$22="Debt",IF(AND(BI$4&gt;=$D65,BI$4&lt;$D65+'Incremental Repayments'!$I$31),-PMT('Interest Rate'!$J$16,'Incremental Repayments'!$I$31,(HLOOKUP($D65,$E$4:$CZ$32,28,FALSE)*'Incremental Repayments'!$I$22)),0),0)</f>
        <v>819262.52019498055</v>
      </c>
      <c r="BJ65" s="477">
        <f>IF('Incremental Repayments'!$R$22="Debt",IF(AND(BJ$4&gt;=$D65,BJ$4&lt;$D65+'Incremental Repayments'!$I$31),-PMT('Interest Rate'!$J$16,'Incremental Repayments'!$I$31,(HLOOKUP($D65,$E$4:$CZ$32,28,FALSE)*'Incremental Repayments'!$I$22)),0),0)</f>
        <v>819262.52019498055</v>
      </c>
      <c r="BK65" s="477">
        <f>IF('Incremental Repayments'!$R$22="Debt",IF(AND(BK$4&gt;=$D65,BK$4&lt;$D65+'Incremental Repayments'!$I$31),-PMT('Interest Rate'!$J$16,'Incremental Repayments'!$I$31,(HLOOKUP($D65,$E$4:$CZ$32,28,FALSE)*'Incremental Repayments'!$I$22)),0),0)</f>
        <v>819262.52019498055</v>
      </c>
      <c r="BL65" s="477">
        <f>IF('Incremental Repayments'!$R$22="Debt",IF(AND(BL$4&gt;=$D65,BL$4&lt;$D65+'Incremental Repayments'!$I$31),-PMT('Interest Rate'!$J$16,'Incremental Repayments'!$I$31,(HLOOKUP($D65,$E$4:$CZ$32,28,FALSE)*'Incremental Repayments'!$I$22)),0),0)</f>
        <v>0</v>
      </c>
      <c r="BM65" s="477">
        <f>IF('Incremental Repayments'!$R$22="Debt",IF(AND(BM$4&gt;=$D65,BM$4&lt;$D65+'Incremental Repayments'!$I$31),-PMT('Interest Rate'!$J$16,'Incremental Repayments'!$I$31,(HLOOKUP($D65,$E$4:$CZ$32,28,FALSE)*'Incremental Repayments'!$I$22)),0),0)</f>
        <v>0</v>
      </c>
      <c r="BN65" s="477">
        <f>IF('Incremental Repayments'!$R$22="Debt",IF(AND(BN$4&gt;=$D65,BN$4&lt;$D65+'Incremental Repayments'!$I$31),-PMT('Interest Rate'!$J$16,'Incremental Repayments'!$I$31,(HLOOKUP($D65,$E$4:$CZ$32,28,FALSE)*'Incremental Repayments'!$I$22)),0),0)</f>
        <v>0</v>
      </c>
      <c r="BO65" s="477">
        <f>IF('Incremental Repayments'!$R$22="Debt",IF(AND(BO$4&gt;=$D65,BO$4&lt;$D65+'Incremental Repayments'!$I$31),-PMT('Interest Rate'!$J$16,'Incremental Repayments'!$I$31,(HLOOKUP($D65,$E$4:$CZ$32,28,FALSE)*'Incremental Repayments'!$I$22)),0),0)</f>
        <v>0</v>
      </c>
      <c r="BP65" s="477">
        <f>IF('Incremental Repayments'!$R$22="Debt",IF(AND(BP$4&gt;=$D65,BP$4&lt;$D65+'Incremental Repayments'!$I$31),-PMT('Interest Rate'!$J$16,'Incremental Repayments'!$I$31,(HLOOKUP($D65,$E$4:$CZ$32,28,FALSE)*'Incremental Repayments'!$I$22)),0),0)</f>
        <v>0</v>
      </c>
      <c r="BQ65" s="477">
        <f>IF('Incremental Repayments'!$R$22="Debt",IF(AND(BQ$4&gt;=$D65,BQ$4&lt;$D65+'Incremental Repayments'!$I$31),-PMT('Interest Rate'!$J$16,'Incremental Repayments'!$I$31,(HLOOKUP($D65,$E$4:$CZ$32,28,FALSE)*'Incremental Repayments'!$I$22)),0),0)</f>
        <v>0</v>
      </c>
      <c r="BR65" s="477">
        <f>IF('Incremental Repayments'!$R$22="Debt",IF(AND(BR$4&gt;=$D65,BR$4&lt;$D65+'Incremental Repayments'!$I$31),-PMT('Interest Rate'!$J$16,'Incremental Repayments'!$I$31,(HLOOKUP($D65,$E$4:$CZ$32,28,FALSE)*'Incremental Repayments'!$I$22)),0),0)</f>
        <v>0</v>
      </c>
      <c r="BS65" s="477">
        <f>IF('Incremental Repayments'!$R$22="Debt",IF(AND(BS$4&gt;=$D65,BS$4&lt;$D65+'Incremental Repayments'!$I$31),-PMT('Interest Rate'!$J$16,'Incremental Repayments'!$I$31,(HLOOKUP($D65,$E$4:$CZ$32,28,FALSE)*'Incremental Repayments'!$I$22)),0),0)</f>
        <v>0</v>
      </c>
      <c r="BT65" s="477">
        <f>IF('Incremental Repayments'!$R$22="Debt",IF(AND(BT$4&gt;=$D65,BT$4&lt;$D65+'Incremental Repayments'!$I$31),-PMT('Interest Rate'!$J$16,'Incremental Repayments'!$I$31,(HLOOKUP($D65,$E$4:$CZ$32,28,FALSE)*'Incremental Repayments'!$I$22)),0),0)</f>
        <v>0</v>
      </c>
      <c r="BU65" s="477">
        <f>IF('Incremental Repayments'!$R$22="Debt",IF(AND(BU$4&gt;=$D65,BU$4&lt;$D65+'Incremental Repayments'!$I$31),-PMT('Interest Rate'!$J$16,'Incremental Repayments'!$I$31,(HLOOKUP($D65,$E$4:$CZ$32,28,FALSE)*'Incremental Repayments'!$I$22)),0),0)</f>
        <v>0</v>
      </c>
      <c r="BV65" s="477">
        <f>IF('Incremental Repayments'!$R$22="Debt",IF(AND(BV$4&gt;=$D65,BV$4&lt;$D65+'Incremental Repayments'!$I$31),-PMT('Interest Rate'!$J$16,'Incremental Repayments'!$I$31,(HLOOKUP($D65,$E$4:$CZ$32,28,FALSE)*'Incremental Repayments'!$I$22)),0),0)</f>
        <v>0</v>
      </c>
      <c r="BW65" s="477">
        <f>IF('Incremental Repayments'!$R$22="Debt",IF(AND(BW$4&gt;=$D65,BW$4&lt;$D65+'Incremental Repayments'!$I$31),-PMT('Interest Rate'!$J$16,'Incremental Repayments'!$I$31,(HLOOKUP($D65,$E$4:$CZ$32,28,FALSE)*'Incremental Repayments'!$I$22)),0),0)</f>
        <v>0</v>
      </c>
      <c r="BX65" s="477">
        <f>IF('Incremental Repayments'!$R$22="Debt",IF(AND(BX$4&gt;=$D65,BX$4&lt;$D65+'Incremental Repayments'!$I$31),-PMT('Interest Rate'!$J$16,'Incremental Repayments'!$I$31,(HLOOKUP($D65,$E$4:$CZ$32,28,FALSE)*'Incremental Repayments'!$I$22)),0),0)</f>
        <v>0</v>
      </c>
      <c r="BY65" s="477">
        <f>IF('Incremental Repayments'!$R$22="Debt",IF(AND(BY$4&gt;=$D65,BY$4&lt;$D65+'Incremental Repayments'!$I$31),-PMT('Interest Rate'!$J$16,'Incremental Repayments'!$I$31,(HLOOKUP($D65,$E$4:$CZ$32,28,FALSE)*'Incremental Repayments'!$I$22)),0),0)</f>
        <v>0</v>
      </c>
      <c r="BZ65" s="477">
        <f>IF('Incremental Repayments'!$R$22="Debt",IF(AND(BZ$4&gt;=$D65,BZ$4&lt;$D65+'Incremental Repayments'!$I$31),-PMT('Interest Rate'!$J$16,'Incremental Repayments'!$I$31,(HLOOKUP($D65,$E$4:$CZ$32,28,FALSE)*'Incremental Repayments'!$I$22)),0),0)</f>
        <v>0</v>
      </c>
      <c r="CA65" s="477">
        <f>IF('Incremental Repayments'!$R$22="Debt",IF(AND(CA$4&gt;=$D65,CA$4&lt;$D65+'Incremental Repayments'!$I$31),-PMT('Interest Rate'!$J$16,'Incremental Repayments'!$I$31,(HLOOKUP($D65,$E$4:$CZ$32,28,FALSE)*'Incremental Repayments'!$I$22)),0),0)</f>
        <v>0</v>
      </c>
      <c r="CB65" s="477">
        <f>IF('Incremental Repayments'!$R$22="Debt",IF(AND(CB$4&gt;=$D65,CB$4&lt;$D65+'Incremental Repayments'!$I$31),-PMT('Interest Rate'!$J$16,'Incremental Repayments'!$I$31,(HLOOKUP($D65,$E$4:$CZ$32,28,FALSE)*'Incremental Repayments'!$I$22)),0),0)</f>
        <v>0</v>
      </c>
      <c r="CC65" s="477">
        <f>IF('Incremental Repayments'!$R$22="Debt",IF(AND(CC$4&gt;=$D65,CC$4&lt;$D65+'Incremental Repayments'!$I$31),-PMT('Interest Rate'!$J$16,'Incremental Repayments'!$I$31,(HLOOKUP($D65,$E$4:$CZ$32,28,FALSE)*'Incremental Repayments'!$I$22)),0),0)</f>
        <v>0</v>
      </c>
      <c r="CD65" s="477">
        <f>IF('Incremental Repayments'!$R$22="Debt",IF(AND(CD$4&gt;=$D65,CD$4&lt;$D65+'Incremental Repayments'!$I$31),-PMT('Interest Rate'!$J$16,'Incremental Repayments'!$I$31,(HLOOKUP($D65,$E$4:$CZ$32,28,FALSE)*'Incremental Repayments'!$I$22)),0),0)</f>
        <v>0</v>
      </c>
      <c r="CE65" s="477">
        <f>IF('Incremental Repayments'!$R$22="Debt",IF(AND(CE$4&gt;=$D65,CE$4&lt;$D65+'Incremental Repayments'!$I$31),-PMT('Interest Rate'!$J$16,'Incremental Repayments'!$I$31,(HLOOKUP($D65,$E$4:$CZ$32,28,FALSE)*'Incremental Repayments'!$I$22)),0),0)</f>
        <v>0</v>
      </c>
      <c r="CF65" s="477">
        <f>IF('Incremental Repayments'!$R$22="Debt",IF(AND(CF$4&gt;=$D65,CF$4&lt;$D65+'Incremental Repayments'!$I$31),-PMT('Interest Rate'!$J$16,'Incremental Repayments'!$I$31,(HLOOKUP($D65,$E$4:$CZ$32,28,FALSE)*'Incremental Repayments'!$I$22)),0),0)</f>
        <v>0</v>
      </c>
      <c r="CG65" s="477">
        <f>IF('Incremental Repayments'!$R$22="Debt",IF(AND(CG$4&gt;=$D65,CG$4&lt;$D65+'Incremental Repayments'!$I$31),-PMT('Interest Rate'!$J$16,'Incremental Repayments'!$I$31,(HLOOKUP($D65,$E$4:$CZ$32,28,FALSE)*'Incremental Repayments'!$I$22)),0),0)</f>
        <v>0</v>
      </c>
      <c r="CH65" s="477">
        <f>IF('Incremental Repayments'!$R$22="Debt",IF(AND(CH$4&gt;=$D65,CH$4&lt;$D65+'Incremental Repayments'!$I$31),-PMT('Interest Rate'!$J$16,'Incremental Repayments'!$I$31,(HLOOKUP($D65,$E$4:$CZ$32,28,FALSE)*'Incremental Repayments'!$I$22)),0),0)</f>
        <v>0</v>
      </c>
      <c r="CI65" s="477">
        <f>IF('Incremental Repayments'!$R$22="Debt",IF(AND(CI$4&gt;=$D65,CI$4&lt;$D65+'Incremental Repayments'!$I$31),-PMT('Interest Rate'!$J$16,'Incremental Repayments'!$I$31,(HLOOKUP($D65,$E$4:$CZ$32,28,FALSE)*'Incremental Repayments'!$I$22)),0),0)</f>
        <v>0</v>
      </c>
      <c r="CJ65" s="477">
        <f>IF('Incremental Repayments'!$R$22="Debt",IF(AND(CJ$4&gt;=$D65,CJ$4&lt;$D65+'Incremental Repayments'!$I$31),-PMT('Interest Rate'!$J$16,'Incremental Repayments'!$I$31,(HLOOKUP($D65,$E$4:$CZ$32,28,FALSE)*'Incremental Repayments'!$I$22)),0),0)</f>
        <v>0</v>
      </c>
      <c r="CK65" s="477">
        <f>IF('Incremental Repayments'!$R$22="Debt",IF(AND(CK$4&gt;=$D65,CK$4&lt;$D65+'Incremental Repayments'!$I$31),-PMT('Interest Rate'!$J$16,'Incremental Repayments'!$I$31,(HLOOKUP($D65,$E$4:$CZ$32,28,FALSE)*'Incremental Repayments'!$I$22)),0),0)</f>
        <v>0</v>
      </c>
      <c r="CL65" s="477">
        <f>IF('Incremental Repayments'!$R$22="Debt",IF(AND(CL$4&gt;=$D65,CL$4&lt;$D65+'Incremental Repayments'!$I$31),-PMT('Interest Rate'!$J$16,'Incremental Repayments'!$I$31,(HLOOKUP($D65,$E$4:$CZ$32,28,FALSE)*'Incremental Repayments'!$I$22)),0),0)</f>
        <v>0</v>
      </c>
      <c r="CM65" s="477">
        <f>IF('Incremental Repayments'!$R$22="Debt",IF(AND(CM$4&gt;=$D65,CM$4&lt;$D65+'Incremental Repayments'!$I$31),-PMT('Interest Rate'!$J$16,'Incremental Repayments'!$I$31,(HLOOKUP($D65,$E$4:$CZ$32,28,FALSE)*'Incremental Repayments'!$I$22)),0),0)</f>
        <v>0</v>
      </c>
      <c r="CN65" s="477">
        <f>IF('Incremental Repayments'!$R$22="Debt",IF(AND(CN$4&gt;=$D65,CN$4&lt;$D65+'Incremental Repayments'!$I$31),-PMT('Interest Rate'!$J$16,'Incremental Repayments'!$I$31,(HLOOKUP($D65,$E$4:$CZ$32,28,FALSE)*'Incremental Repayments'!$I$22)),0),0)</f>
        <v>0</v>
      </c>
      <c r="CO65" s="477">
        <f>IF('Incremental Repayments'!$R$22="Debt",IF(AND(CO$4&gt;=$D65,CO$4&lt;$D65+'Incremental Repayments'!$I$31),-PMT('Interest Rate'!$J$16,'Incremental Repayments'!$I$31,(HLOOKUP($D65,$E$4:$CZ$32,28,FALSE)*'Incremental Repayments'!$I$22)),0),0)</f>
        <v>0</v>
      </c>
      <c r="CP65" s="477">
        <f>IF('Incremental Repayments'!$R$22="Debt",IF(AND(CP$4&gt;=$D65,CP$4&lt;$D65+'Incremental Repayments'!$I$31),-PMT('Interest Rate'!$J$16,'Incremental Repayments'!$I$31,(HLOOKUP($D65,$E$4:$CZ$32,28,FALSE)*'Incremental Repayments'!$I$22)),0),0)</f>
        <v>0</v>
      </c>
      <c r="CQ65" s="477">
        <f>IF('Incremental Repayments'!$R$22="Debt",IF(AND(CQ$4&gt;=$D65,CQ$4&lt;$D65+'Incremental Repayments'!$I$31),-PMT('Interest Rate'!$J$16,'Incremental Repayments'!$I$31,(HLOOKUP($D65,$E$4:$CZ$32,28,FALSE)*'Incremental Repayments'!$I$22)),0),0)</f>
        <v>0</v>
      </c>
      <c r="CR65" s="477">
        <f>IF('Incremental Repayments'!$R$22="Debt",IF(AND(CR$4&gt;=$D65,CR$4&lt;$D65+'Incremental Repayments'!$I$31),-PMT('Interest Rate'!$J$16,'Incremental Repayments'!$I$31,(HLOOKUP($D65,$E$4:$CZ$32,28,FALSE)*'Incremental Repayments'!$I$22)),0),0)</f>
        <v>0</v>
      </c>
      <c r="CS65" s="477">
        <f>IF('Incremental Repayments'!$R$22="Debt",IF(AND(CS$4&gt;=$D65,CS$4&lt;$D65+'Incremental Repayments'!$I$31),-PMT('Interest Rate'!$J$16,'Incremental Repayments'!$I$31,(HLOOKUP($D65,$E$4:$CZ$32,28,FALSE)*'Incremental Repayments'!$I$22)),0),0)</f>
        <v>0</v>
      </c>
      <c r="CT65" s="477">
        <f>IF('Incremental Repayments'!$R$22="Debt",IF(AND(CT$4&gt;=$D65,CT$4&lt;$D65+'Incremental Repayments'!$I$31),-PMT('Interest Rate'!$J$16,'Incremental Repayments'!$I$31,(HLOOKUP($D65,$E$4:$CZ$32,28,FALSE)*'Incremental Repayments'!$I$22)),0),0)</f>
        <v>0</v>
      </c>
      <c r="CU65" s="477">
        <f>IF('Incremental Repayments'!$R$22="Debt",IF(AND(CU$4&gt;=$D65,CU$4&lt;$D65+'Incremental Repayments'!$I$31),-PMT('Interest Rate'!$J$16,'Incremental Repayments'!$I$31,(HLOOKUP($D65,$E$4:$CZ$32,28,FALSE)*'Incremental Repayments'!$I$22)),0),0)</f>
        <v>0</v>
      </c>
      <c r="CV65" s="477">
        <f>IF('Incremental Repayments'!$R$22="Debt",IF(AND(CV$4&gt;=$D65,CV$4&lt;$D65+'Incremental Repayments'!$I$31),-PMT('Interest Rate'!$J$16,'Incremental Repayments'!$I$31,(HLOOKUP($D65,$E$4:$CZ$32,28,FALSE)*'Incremental Repayments'!$I$22)),0),0)</f>
        <v>0</v>
      </c>
      <c r="CW65" s="477">
        <f>IF('Incremental Repayments'!$R$22="Debt",IF(AND(CW$4&gt;=$D65,CW$4&lt;$D65+'Incremental Repayments'!$I$31),-PMT('Interest Rate'!$J$16,'Incremental Repayments'!$I$31,(HLOOKUP($D65,$E$4:$CZ$32,28,FALSE)*'Incremental Repayments'!$I$22)),0),0)</f>
        <v>0</v>
      </c>
      <c r="CX65" s="477">
        <f>IF('Incremental Repayments'!$R$22="Debt",IF(AND(CX$4&gt;=$D65,CX$4&lt;$D65+'Incremental Repayments'!$I$31),-PMT('Interest Rate'!$J$16,'Incremental Repayments'!$I$31,(HLOOKUP($D65,$E$4:$CZ$32,28,FALSE)*'Incremental Repayments'!$I$22)),0),0)</f>
        <v>0</v>
      </c>
      <c r="CY65" s="477">
        <f>IF('Incremental Repayments'!$R$22="Debt",IF(AND(CY$4&gt;=$D65,CY$4&lt;$D65+'Incremental Repayments'!$I$31),-PMT('Interest Rate'!$J$16,'Incremental Repayments'!$I$31,(HLOOKUP($D65,$E$4:$CZ$32,28,FALSE)*'Incremental Repayments'!$I$22)),0),0)</f>
        <v>0</v>
      </c>
      <c r="CZ65" s="477">
        <f>IF('Incremental Repayments'!$R$22="Debt",IF(AND(CZ$4&gt;=$D65,CZ$4&lt;$D65+'Incremental Repayments'!$I$31),-PMT('Interest Rate'!$J$16,'Incremental Repayments'!$I$31,(HLOOKUP($D65,$E$4:$CZ$32,28,FALSE)*'Incremental Repayments'!$I$22)),0),0)</f>
        <v>0</v>
      </c>
    </row>
    <row r="66" spans="2:104" x14ac:dyDescent="0.25">
      <c r="B66" s="480" t="str">
        <f>CONCATENATE("Series ",D66,"A Bonds (at ",'Interest Rate'!$J$16*100,"% Interest)")</f>
        <v>Series 2044A Bonds (at 4.5% Interest)</v>
      </c>
      <c r="C66" s="480"/>
      <c r="D66" s="492">
        <f t="shared" si="492"/>
        <v>2044</v>
      </c>
      <c r="E66" s="477">
        <f>IF('Incremental Repayments'!$R$22="Debt",IF(AND(E$4&gt;=$D66,E$4&lt;$D66+'Incremental Repayments'!$I$31),-PMT('Interest Rate'!$J$16,'Incremental Repayments'!$I$31,(HLOOKUP($D66,$E$4:$CZ$32,28,FALSE)*'Incremental Repayments'!$I$22)),0),0)</f>
        <v>0</v>
      </c>
      <c r="F66" s="477">
        <f>IF('Incremental Repayments'!$R$22="Debt",IF(AND(F$4&gt;=$D66,F$4&lt;$D66+'Incremental Repayments'!$I$31),-PMT('Interest Rate'!$J$16,'Incremental Repayments'!$I$31,(HLOOKUP($D66,$E$4:$CZ$32,28,FALSE)*'Incremental Repayments'!$I$22)),0),0)</f>
        <v>0</v>
      </c>
      <c r="G66" s="477">
        <f>IF('Incremental Repayments'!$R$22="Debt",IF(AND(G$4&gt;=$D66,G$4&lt;$D66+'Incremental Repayments'!$I$31),-PMT('Interest Rate'!$J$16,'Incremental Repayments'!$I$31,(HLOOKUP($D66,$E$4:$CZ$32,28,FALSE)*'Incremental Repayments'!$I$22)),0),0)</f>
        <v>0</v>
      </c>
      <c r="H66" s="477">
        <f>IF('Incremental Repayments'!$R$22="Debt",IF(AND(H$4&gt;=$D66,H$4&lt;$D66+'Incremental Repayments'!$I$31),-PMT('Interest Rate'!$J$16,'Incremental Repayments'!$I$31,(HLOOKUP($D66,$E$4:$CZ$32,28,FALSE)*'Incremental Repayments'!$I$22)),0),0)</f>
        <v>0</v>
      </c>
      <c r="I66" s="477">
        <f>IF('Incremental Repayments'!$R$22="Debt",IF(AND(I$4&gt;=$D66,I$4&lt;$D66+'Incremental Repayments'!$I$31),-PMT('Interest Rate'!$J$16,'Incremental Repayments'!$I$31,(HLOOKUP($D66,$E$4:$CZ$32,28,FALSE)*'Incremental Repayments'!$I$22)),0),0)</f>
        <v>0</v>
      </c>
      <c r="J66" s="477">
        <f>IF('Incremental Repayments'!$R$22="Debt",IF(AND(J$4&gt;=$D66,J$4&lt;$D66+'Incremental Repayments'!$I$31),-PMT('Interest Rate'!$J$16,'Incremental Repayments'!$I$31,(HLOOKUP($D66,$E$4:$CZ$32,28,FALSE)*'Incremental Repayments'!$I$22)),0),0)</f>
        <v>0</v>
      </c>
      <c r="K66" s="477">
        <f>IF('Incremental Repayments'!$R$22="Debt",IF(AND(K$4&gt;=$D66,K$4&lt;$D66+'Incremental Repayments'!$I$31),-PMT('Interest Rate'!$J$16,'Incremental Repayments'!$I$31,(HLOOKUP($D66,$E$4:$CZ$32,28,FALSE)*'Incremental Repayments'!$I$22)),0),0)</f>
        <v>0</v>
      </c>
      <c r="L66" s="477">
        <f>IF('Incremental Repayments'!$R$22="Debt",IF(AND(L$4&gt;=$D66,L$4&lt;$D66+'Incremental Repayments'!$I$31),-PMT('Interest Rate'!$J$16,'Incremental Repayments'!$I$31,(HLOOKUP($D66,$E$4:$CZ$32,28,FALSE)*'Incremental Repayments'!$I$22)),0),0)</f>
        <v>0</v>
      </c>
      <c r="M66" s="477">
        <f>IF('Incremental Repayments'!$R$22="Debt",IF(AND(M$4&gt;=$D66,M$4&lt;$D66+'Incremental Repayments'!$I$31),-PMT('Interest Rate'!$J$16,'Incremental Repayments'!$I$31,(HLOOKUP($D66,$E$4:$CZ$32,28,FALSE)*'Incremental Repayments'!$I$22)),0),0)</f>
        <v>0</v>
      </c>
      <c r="N66" s="477">
        <f>IF('Incremental Repayments'!$R$22="Debt",IF(AND(N$4&gt;=$D66,N$4&lt;$D66+'Incremental Repayments'!$I$31),-PMT('Interest Rate'!$J$16,'Incremental Repayments'!$I$31,(HLOOKUP($D66,$E$4:$CZ$32,28,FALSE)*'Incremental Repayments'!$I$22)),0),0)</f>
        <v>0</v>
      </c>
      <c r="O66" s="477">
        <f>IF('Incremental Repayments'!$R$22="Debt",IF(AND(O$4&gt;=$D66,O$4&lt;$D66+'Incremental Repayments'!$I$31),-PMT('Interest Rate'!$J$16,'Incremental Repayments'!$I$31,(HLOOKUP($D66,$E$4:$CZ$32,28,FALSE)*'Incremental Repayments'!$I$22)),0),0)</f>
        <v>0</v>
      </c>
      <c r="P66" s="477">
        <f>IF('Incremental Repayments'!$R$22="Debt",IF(AND(P$4&gt;=$D66,P$4&lt;$D66+'Incremental Repayments'!$I$31),-PMT('Interest Rate'!$J$16,'Incremental Repayments'!$I$31,(HLOOKUP($D66,$E$4:$CZ$32,28,FALSE)*'Incremental Repayments'!$I$22)),0),0)</f>
        <v>0</v>
      </c>
      <c r="Q66" s="477">
        <f>IF('Incremental Repayments'!$R$22="Debt",IF(AND(Q$4&gt;=$D66,Q$4&lt;$D66+'Incremental Repayments'!$I$31),-PMT('Interest Rate'!$J$16,'Incremental Repayments'!$I$31,(HLOOKUP($D66,$E$4:$CZ$32,28,FALSE)*'Incremental Repayments'!$I$22)),0),0)</f>
        <v>0</v>
      </c>
      <c r="R66" s="477">
        <f>IF('Incremental Repayments'!$R$22="Debt",IF(AND(R$4&gt;=$D66,R$4&lt;$D66+'Incremental Repayments'!$I$31),-PMT('Interest Rate'!$J$16,'Incremental Repayments'!$I$31,(HLOOKUP($D66,$E$4:$CZ$32,28,FALSE)*'Incremental Repayments'!$I$22)),0),0)</f>
        <v>0</v>
      </c>
      <c r="S66" s="477">
        <f>IF('Incremental Repayments'!$R$22="Debt",IF(AND(S$4&gt;=$D66,S$4&lt;$D66+'Incremental Repayments'!$I$31),-PMT('Interest Rate'!$J$16,'Incremental Repayments'!$I$31,(HLOOKUP($D66,$E$4:$CZ$32,28,FALSE)*'Incremental Repayments'!$I$22)),0),0)</f>
        <v>0</v>
      </c>
      <c r="T66" s="477">
        <f>IF('Incremental Repayments'!$R$22="Debt",IF(AND(T$4&gt;=$D66,T$4&lt;$D66+'Incremental Repayments'!$I$31),-PMT('Interest Rate'!$J$16,'Incremental Repayments'!$I$31,(HLOOKUP($D66,$E$4:$CZ$32,28,FALSE)*'Incremental Repayments'!$I$22)),0),0)</f>
        <v>0</v>
      </c>
      <c r="U66" s="477">
        <f>IF('Incremental Repayments'!$R$22="Debt",IF(AND(U$4&gt;=$D66,U$4&lt;$D66+'Incremental Repayments'!$I$31),-PMT('Interest Rate'!$J$16,'Incremental Repayments'!$I$31,(HLOOKUP($D66,$E$4:$CZ$32,28,FALSE)*'Incremental Repayments'!$I$22)),0),0)</f>
        <v>0</v>
      </c>
      <c r="V66" s="477">
        <f>IF('Incremental Repayments'!$R$22="Debt",IF(AND(V$4&gt;=$D66,V$4&lt;$D66+'Incremental Repayments'!$I$31),-PMT('Interest Rate'!$J$16,'Incremental Repayments'!$I$31,(HLOOKUP($D66,$E$4:$CZ$32,28,FALSE)*'Incremental Repayments'!$I$22)),0),0)</f>
        <v>0</v>
      </c>
      <c r="W66" s="477">
        <f>IF('Incremental Repayments'!$R$22="Debt",IF(AND(W$4&gt;=$D66,W$4&lt;$D66+'Incremental Repayments'!$I$31),-PMT('Interest Rate'!$J$16,'Incremental Repayments'!$I$31,(HLOOKUP($D66,$E$4:$CZ$32,28,FALSE)*'Incremental Repayments'!$I$22)),0),0)</f>
        <v>0</v>
      </c>
      <c r="X66" s="477">
        <f>IF('Incremental Repayments'!$R$22="Debt",IF(AND(X$4&gt;=$D66,X$4&lt;$D66+'Incremental Repayments'!$I$31),-PMT('Interest Rate'!$J$16,'Incremental Repayments'!$I$31,(HLOOKUP($D66,$E$4:$CZ$32,28,FALSE)*'Incremental Repayments'!$I$22)),0),0)</f>
        <v>0</v>
      </c>
      <c r="Y66" s="477">
        <f>IF('Incremental Repayments'!$R$22="Debt",IF(AND(Y$4&gt;=$D66,Y$4&lt;$D66+'Incremental Repayments'!$I$31),-PMT('Interest Rate'!$J$16,'Incremental Repayments'!$I$31,(HLOOKUP($D66,$E$4:$CZ$32,28,FALSE)*'Incremental Repayments'!$I$22)),0),0)</f>
        <v>0</v>
      </c>
      <c r="Z66" s="477">
        <f>IF('Incremental Repayments'!$R$22="Debt",IF(AND(Z$4&gt;=$D66,Z$4&lt;$D66+'Incremental Repayments'!$I$31),-PMT('Interest Rate'!$J$16,'Incremental Repayments'!$I$31,(HLOOKUP($D66,$E$4:$CZ$32,28,FALSE)*'Incremental Repayments'!$I$22)),0),0)</f>
        <v>0</v>
      </c>
      <c r="AA66" s="477">
        <f>IF('Incremental Repayments'!$R$22="Debt",IF(AND(AA$4&gt;=$D66,AA$4&lt;$D66+'Incremental Repayments'!$I$31),-PMT('Interest Rate'!$J$16,'Incremental Repayments'!$I$31,(HLOOKUP($D66,$E$4:$CZ$32,28,FALSE)*'Incremental Repayments'!$I$22)),0),0)</f>
        <v>0</v>
      </c>
      <c r="AB66" s="477">
        <f>IF('Incremental Repayments'!$R$22="Debt",IF(AND(AB$4&gt;=$D66,AB$4&lt;$D66+'Incremental Repayments'!$I$31),-PMT('Interest Rate'!$J$16,'Incremental Repayments'!$I$31,(HLOOKUP($D66,$E$4:$CZ$32,28,FALSE)*'Incremental Repayments'!$I$22)),0),0)</f>
        <v>0</v>
      </c>
      <c r="AC66" s="477">
        <f>IF('Incremental Repayments'!$R$22="Debt",IF(AND(AC$4&gt;=$D66,AC$4&lt;$D66+'Incremental Repayments'!$I$31),-PMT('Interest Rate'!$J$16,'Incremental Repayments'!$I$31,(HLOOKUP($D66,$E$4:$CZ$32,28,FALSE)*'Incremental Repayments'!$I$22)),0),0)</f>
        <v>0</v>
      </c>
      <c r="AD66" s="477">
        <f>IF('Incremental Repayments'!$R$22="Debt",IF(AND(AD$4&gt;=$D66,AD$4&lt;$D66+'Incremental Repayments'!$I$31),-PMT('Interest Rate'!$J$16,'Incremental Repayments'!$I$31,(HLOOKUP($D66,$E$4:$CZ$32,28,FALSE)*'Incremental Repayments'!$I$22)),0),0)</f>
        <v>0</v>
      </c>
      <c r="AE66" s="477">
        <f>IF('Incremental Repayments'!$R$22="Debt",IF(AND(AE$4&gt;=$D66,AE$4&lt;$D66+'Incremental Repayments'!$I$31),-PMT('Interest Rate'!$J$16,'Incremental Repayments'!$I$31,(HLOOKUP($D66,$E$4:$CZ$32,28,FALSE)*'Incremental Repayments'!$I$22)),0),0)</f>
        <v>0</v>
      </c>
      <c r="AF66" s="477">
        <f>IF('Incremental Repayments'!$R$22="Debt",IF(AND(AF$4&gt;=$D66,AF$4&lt;$D66+'Incremental Repayments'!$I$31),-PMT('Interest Rate'!$J$16,'Incremental Repayments'!$I$31,(HLOOKUP($D66,$E$4:$CZ$32,28,FALSE)*'Incremental Repayments'!$I$22)),0),0)</f>
        <v>0</v>
      </c>
      <c r="AG66" s="477">
        <f>IF('Incremental Repayments'!$R$22="Debt",IF(AND(AG$4&gt;=$D66,AG$4&lt;$D66+'Incremental Repayments'!$I$31),-PMT('Interest Rate'!$J$16,'Incremental Repayments'!$I$31,(HLOOKUP($D66,$E$4:$CZ$32,28,FALSE)*'Incremental Repayments'!$I$22)),0),0)</f>
        <v>0</v>
      </c>
      <c r="AH66" s="477">
        <f>IF('Incremental Repayments'!$R$22="Debt",IF(AND(AH$4&gt;=$D66,AH$4&lt;$D66+'Incremental Repayments'!$I$31),-PMT('Interest Rate'!$J$16,'Incremental Repayments'!$I$31,(HLOOKUP($D66,$E$4:$CZ$32,28,FALSE)*'Incremental Repayments'!$I$22)),0),0)</f>
        <v>0</v>
      </c>
      <c r="AI66" s="477">
        <f>IF('Incremental Repayments'!$R$22="Debt",IF(AND(AI$4&gt;=$D66,AI$4&lt;$D66+'Incremental Repayments'!$I$31),-PMT('Interest Rate'!$J$16,'Incremental Repayments'!$I$31,(HLOOKUP($D66,$E$4:$CZ$32,28,FALSE)*'Incremental Repayments'!$I$22)),0),0)</f>
        <v>840168.52869321813</v>
      </c>
      <c r="AJ66" s="477">
        <f>IF('Incremental Repayments'!$R$22="Debt",IF(AND(AJ$4&gt;=$D66,AJ$4&lt;$D66+'Incremental Repayments'!$I$31),-PMT('Interest Rate'!$J$16,'Incremental Repayments'!$I$31,(HLOOKUP($D66,$E$4:$CZ$32,28,FALSE)*'Incremental Repayments'!$I$22)),0),0)</f>
        <v>840168.52869321813</v>
      </c>
      <c r="AK66" s="477">
        <f>IF('Incremental Repayments'!$R$22="Debt",IF(AND(AK$4&gt;=$D66,AK$4&lt;$D66+'Incremental Repayments'!$I$31),-PMT('Interest Rate'!$J$16,'Incremental Repayments'!$I$31,(HLOOKUP($D66,$E$4:$CZ$32,28,FALSE)*'Incremental Repayments'!$I$22)),0),0)</f>
        <v>840168.52869321813</v>
      </c>
      <c r="AL66" s="477">
        <f>IF('Incremental Repayments'!$R$22="Debt",IF(AND(AL$4&gt;=$D66,AL$4&lt;$D66+'Incremental Repayments'!$I$31),-PMT('Interest Rate'!$J$16,'Incremental Repayments'!$I$31,(HLOOKUP($D66,$E$4:$CZ$32,28,FALSE)*'Incremental Repayments'!$I$22)),0),0)</f>
        <v>840168.52869321813</v>
      </c>
      <c r="AM66" s="477">
        <f>IF('Incremental Repayments'!$R$22="Debt",IF(AND(AM$4&gt;=$D66,AM$4&lt;$D66+'Incremental Repayments'!$I$31),-PMT('Interest Rate'!$J$16,'Incremental Repayments'!$I$31,(HLOOKUP($D66,$E$4:$CZ$32,28,FALSE)*'Incremental Repayments'!$I$22)),0),0)</f>
        <v>840168.52869321813</v>
      </c>
      <c r="AN66" s="477">
        <f>IF('Incremental Repayments'!$R$22="Debt",IF(AND(AN$4&gt;=$D66,AN$4&lt;$D66+'Incremental Repayments'!$I$31),-PMT('Interest Rate'!$J$16,'Incremental Repayments'!$I$31,(HLOOKUP($D66,$E$4:$CZ$32,28,FALSE)*'Incremental Repayments'!$I$22)),0),0)</f>
        <v>840168.52869321813</v>
      </c>
      <c r="AO66" s="477">
        <f>IF('Incremental Repayments'!$R$22="Debt",IF(AND(AO$4&gt;=$D66,AO$4&lt;$D66+'Incremental Repayments'!$I$31),-PMT('Interest Rate'!$J$16,'Incremental Repayments'!$I$31,(HLOOKUP($D66,$E$4:$CZ$32,28,FALSE)*'Incremental Repayments'!$I$22)),0),0)</f>
        <v>840168.52869321813</v>
      </c>
      <c r="AP66" s="477">
        <f>IF('Incremental Repayments'!$R$22="Debt",IF(AND(AP$4&gt;=$D66,AP$4&lt;$D66+'Incremental Repayments'!$I$31),-PMT('Interest Rate'!$J$16,'Incremental Repayments'!$I$31,(HLOOKUP($D66,$E$4:$CZ$32,28,FALSE)*'Incremental Repayments'!$I$22)),0),0)</f>
        <v>840168.52869321813</v>
      </c>
      <c r="AQ66" s="477">
        <f>IF('Incremental Repayments'!$R$22="Debt",IF(AND(AQ$4&gt;=$D66,AQ$4&lt;$D66+'Incremental Repayments'!$I$31),-PMT('Interest Rate'!$J$16,'Incremental Repayments'!$I$31,(HLOOKUP($D66,$E$4:$CZ$32,28,FALSE)*'Incremental Repayments'!$I$22)),0),0)</f>
        <v>840168.52869321813</v>
      </c>
      <c r="AR66" s="477">
        <f>IF('Incremental Repayments'!$R$22="Debt",IF(AND(AR$4&gt;=$D66,AR$4&lt;$D66+'Incremental Repayments'!$I$31),-PMT('Interest Rate'!$J$16,'Incremental Repayments'!$I$31,(HLOOKUP($D66,$E$4:$CZ$32,28,FALSE)*'Incremental Repayments'!$I$22)),0),0)</f>
        <v>840168.52869321813</v>
      </c>
      <c r="AS66" s="477">
        <f>IF('Incremental Repayments'!$R$22="Debt",IF(AND(AS$4&gt;=$D66,AS$4&lt;$D66+'Incremental Repayments'!$I$31),-PMT('Interest Rate'!$J$16,'Incremental Repayments'!$I$31,(HLOOKUP($D66,$E$4:$CZ$32,28,FALSE)*'Incremental Repayments'!$I$22)),0),0)</f>
        <v>840168.52869321813</v>
      </c>
      <c r="AT66" s="477">
        <f>IF('Incremental Repayments'!$R$22="Debt",IF(AND(AT$4&gt;=$D66,AT$4&lt;$D66+'Incremental Repayments'!$I$31),-PMT('Interest Rate'!$J$16,'Incremental Repayments'!$I$31,(HLOOKUP($D66,$E$4:$CZ$32,28,FALSE)*'Incremental Repayments'!$I$22)),0),0)</f>
        <v>840168.52869321813</v>
      </c>
      <c r="AU66" s="477">
        <f>IF('Incremental Repayments'!$R$22="Debt",IF(AND(AU$4&gt;=$D66,AU$4&lt;$D66+'Incremental Repayments'!$I$31),-PMT('Interest Rate'!$J$16,'Incremental Repayments'!$I$31,(HLOOKUP($D66,$E$4:$CZ$32,28,FALSE)*'Incremental Repayments'!$I$22)),0),0)</f>
        <v>840168.52869321813</v>
      </c>
      <c r="AV66" s="477">
        <f>IF('Incremental Repayments'!$R$22="Debt",IF(AND(AV$4&gt;=$D66,AV$4&lt;$D66+'Incremental Repayments'!$I$31),-PMT('Interest Rate'!$J$16,'Incremental Repayments'!$I$31,(HLOOKUP($D66,$E$4:$CZ$32,28,FALSE)*'Incremental Repayments'!$I$22)),0),0)</f>
        <v>840168.52869321813</v>
      </c>
      <c r="AW66" s="477">
        <f>IF('Incremental Repayments'!$R$22="Debt",IF(AND(AW$4&gt;=$D66,AW$4&lt;$D66+'Incremental Repayments'!$I$31),-PMT('Interest Rate'!$J$16,'Incremental Repayments'!$I$31,(HLOOKUP($D66,$E$4:$CZ$32,28,FALSE)*'Incremental Repayments'!$I$22)),0),0)</f>
        <v>840168.52869321813</v>
      </c>
      <c r="AX66" s="477">
        <f>IF('Incremental Repayments'!$R$22="Debt",IF(AND(AX$4&gt;=$D66,AX$4&lt;$D66+'Incremental Repayments'!$I$31),-PMT('Interest Rate'!$J$16,'Incremental Repayments'!$I$31,(HLOOKUP($D66,$E$4:$CZ$32,28,FALSE)*'Incremental Repayments'!$I$22)),0),0)</f>
        <v>840168.52869321813</v>
      </c>
      <c r="AY66" s="477">
        <f>IF('Incremental Repayments'!$R$22="Debt",IF(AND(AY$4&gt;=$D66,AY$4&lt;$D66+'Incremental Repayments'!$I$31),-PMT('Interest Rate'!$J$16,'Incremental Repayments'!$I$31,(HLOOKUP($D66,$E$4:$CZ$32,28,FALSE)*'Incremental Repayments'!$I$22)),0),0)</f>
        <v>840168.52869321813</v>
      </c>
      <c r="AZ66" s="477">
        <f>IF('Incremental Repayments'!$R$22="Debt",IF(AND(AZ$4&gt;=$D66,AZ$4&lt;$D66+'Incremental Repayments'!$I$31),-PMT('Interest Rate'!$J$16,'Incremental Repayments'!$I$31,(HLOOKUP($D66,$E$4:$CZ$32,28,FALSE)*'Incremental Repayments'!$I$22)),0),0)</f>
        <v>840168.52869321813</v>
      </c>
      <c r="BA66" s="477">
        <f>IF('Incremental Repayments'!$R$22="Debt",IF(AND(BA$4&gt;=$D66,BA$4&lt;$D66+'Incremental Repayments'!$I$31),-PMT('Interest Rate'!$J$16,'Incremental Repayments'!$I$31,(HLOOKUP($D66,$E$4:$CZ$32,28,FALSE)*'Incremental Repayments'!$I$22)),0),0)</f>
        <v>840168.52869321813</v>
      </c>
      <c r="BB66" s="477">
        <f>IF('Incremental Repayments'!$R$22="Debt",IF(AND(BB$4&gt;=$D66,BB$4&lt;$D66+'Incremental Repayments'!$I$31),-PMT('Interest Rate'!$J$16,'Incremental Repayments'!$I$31,(HLOOKUP($D66,$E$4:$CZ$32,28,FALSE)*'Incremental Repayments'!$I$22)),0),0)</f>
        <v>840168.52869321813</v>
      </c>
      <c r="BC66" s="477">
        <f>IF('Incremental Repayments'!$R$22="Debt",IF(AND(BC$4&gt;=$D66,BC$4&lt;$D66+'Incremental Repayments'!$I$31),-PMT('Interest Rate'!$J$16,'Incremental Repayments'!$I$31,(HLOOKUP($D66,$E$4:$CZ$32,28,FALSE)*'Incremental Repayments'!$I$22)),0),0)</f>
        <v>840168.52869321813</v>
      </c>
      <c r="BD66" s="477">
        <f>IF('Incremental Repayments'!$R$22="Debt",IF(AND(BD$4&gt;=$D66,BD$4&lt;$D66+'Incremental Repayments'!$I$31),-PMT('Interest Rate'!$J$16,'Incremental Repayments'!$I$31,(HLOOKUP($D66,$E$4:$CZ$32,28,FALSE)*'Incremental Repayments'!$I$22)),0),0)</f>
        <v>840168.52869321813</v>
      </c>
      <c r="BE66" s="477">
        <f>IF('Incremental Repayments'!$R$22="Debt",IF(AND(BE$4&gt;=$D66,BE$4&lt;$D66+'Incremental Repayments'!$I$31),-PMT('Interest Rate'!$J$16,'Incremental Repayments'!$I$31,(HLOOKUP($D66,$E$4:$CZ$32,28,FALSE)*'Incremental Repayments'!$I$22)),0),0)</f>
        <v>840168.52869321813</v>
      </c>
      <c r="BF66" s="477">
        <f>IF('Incremental Repayments'!$R$22="Debt",IF(AND(BF$4&gt;=$D66,BF$4&lt;$D66+'Incremental Repayments'!$I$31),-PMT('Interest Rate'!$J$16,'Incremental Repayments'!$I$31,(HLOOKUP($D66,$E$4:$CZ$32,28,FALSE)*'Incremental Repayments'!$I$22)),0),0)</f>
        <v>840168.52869321813</v>
      </c>
      <c r="BG66" s="477">
        <f>IF('Incremental Repayments'!$R$22="Debt",IF(AND(BG$4&gt;=$D66,BG$4&lt;$D66+'Incremental Repayments'!$I$31),-PMT('Interest Rate'!$J$16,'Incremental Repayments'!$I$31,(HLOOKUP($D66,$E$4:$CZ$32,28,FALSE)*'Incremental Repayments'!$I$22)),0),0)</f>
        <v>840168.52869321813</v>
      </c>
      <c r="BH66" s="477">
        <f>IF('Incremental Repayments'!$R$22="Debt",IF(AND(BH$4&gt;=$D66,BH$4&lt;$D66+'Incremental Repayments'!$I$31),-PMT('Interest Rate'!$J$16,'Incremental Repayments'!$I$31,(HLOOKUP($D66,$E$4:$CZ$32,28,FALSE)*'Incremental Repayments'!$I$22)),0),0)</f>
        <v>840168.52869321813</v>
      </c>
      <c r="BI66" s="477">
        <f>IF('Incremental Repayments'!$R$22="Debt",IF(AND(BI$4&gt;=$D66,BI$4&lt;$D66+'Incremental Repayments'!$I$31),-PMT('Interest Rate'!$J$16,'Incremental Repayments'!$I$31,(HLOOKUP($D66,$E$4:$CZ$32,28,FALSE)*'Incremental Repayments'!$I$22)),0),0)</f>
        <v>840168.52869321813</v>
      </c>
      <c r="BJ66" s="477">
        <f>IF('Incremental Repayments'!$R$22="Debt",IF(AND(BJ$4&gt;=$D66,BJ$4&lt;$D66+'Incremental Repayments'!$I$31),-PMT('Interest Rate'!$J$16,'Incremental Repayments'!$I$31,(HLOOKUP($D66,$E$4:$CZ$32,28,FALSE)*'Incremental Repayments'!$I$22)),0),0)</f>
        <v>840168.52869321813</v>
      </c>
      <c r="BK66" s="477">
        <f>IF('Incremental Repayments'!$R$22="Debt",IF(AND(BK$4&gt;=$D66,BK$4&lt;$D66+'Incremental Repayments'!$I$31),-PMT('Interest Rate'!$J$16,'Incremental Repayments'!$I$31,(HLOOKUP($D66,$E$4:$CZ$32,28,FALSE)*'Incremental Repayments'!$I$22)),0),0)</f>
        <v>840168.52869321813</v>
      </c>
      <c r="BL66" s="477">
        <f>IF('Incremental Repayments'!$R$22="Debt",IF(AND(BL$4&gt;=$D66,BL$4&lt;$D66+'Incremental Repayments'!$I$31),-PMT('Interest Rate'!$J$16,'Incremental Repayments'!$I$31,(HLOOKUP($D66,$E$4:$CZ$32,28,FALSE)*'Incremental Repayments'!$I$22)),0),0)</f>
        <v>840168.52869321813</v>
      </c>
      <c r="BM66" s="477">
        <f>IF('Incremental Repayments'!$R$22="Debt",IF(AND(BM$4&gt;=$D66,BM$4&lt;$D66+'Incremental Repayments'!$I$31),-PMT('Interest Rate'!$J$16,'Incremental Repayments'!$I$31,(HLOOKUP($D66,$E$4:$CZ$32,28,FALSE)*'Incremental Repayments'!$I$22)),0),0)</f>
        <v>0</v>
      </c>
      <c r="BN66" s="477">
        <f>IF('Incremental Repayments'!$R$22="Debt",IF(AND(BN$4&gt;=$D66,BN$4&lt;$D66+'Incremental Repayments'!$I$31),-PMT('Interest Rate'!$J$16,'Incremental Repayments'!$I$31,(HLOOKUP($D66,$E$4:$CZ$32,28,FALSE)*'Incremental Repayments'!$I$22)),0),0)</f>
        <v>0</v>
      </c>
      <c r="BO66" s="477">
        <f>IF('Incremental Repayments'!$R$22="Debt",IF(AND(BO$4&gt;=$D66,BO$4&lt;$D66+'Incremental Repayments'!$I$31),-PMT('Interest Rate'!$J$16,'Incremental Repayments'!$I$31,(HLOOKUP($D66,$E$4:$CZ$32,28,FALSE)*'Incremental Repayments'!$I$22)),0),0)</f>
        <v>0</v>
      </c>
      <c r="BP66" s="477">
        <f>IF('Incremental Repayments'!$R$22="Debt",IF(AND(BP$4&gt;=$D66,BP$4&lt;$D66+'Incremental Repayments'!$I$31),-PMT('Interest Rate'!$J$16,'Incremental Repayments'!$I$31,(HLOOKUP($D66,$E$4:$CZ$32,28,FALSE)*'Incremental Repayments'!$I$22)),0),0)</f>
        <v>0</v>
      </c>
      <c r="BQ66" s="477">
        <f>IF('Incremental Repayments'!$R$22="Debt",IF(AND(BQ$4&gt;=$D66,BQ$4&lt;$D66+'Incremental Repayments'!$I$31),-PMT('Interest Rate'!$J$16,'Incremental Repayments'!$I$31,(HLOOKUP($D66,$E$4:$CZ$32,28,FALSE)*'Incremental Repayments'!$I$22)),0),0)</f>
        <v>0</v>
      </c>
      <c r="BR66" s="477">
        <f>IF('Incremental Repayments'!$R$22="Debt",IF(AND(BR$4&gt;=$D66,BR$4&lt;$D66+'Incremental Repayments'!$I$31),-PMT('Interest Rate'!$J$16,'Incremental Repayments'!$I$31,(HLOOKUP($D66,$E$4:$CZ$32,28,FALSE)*'Incremental Repayments'!$I$22)),0),0)</f>
        <v>0</v>
      </c>
      <c r="BS66" s="477">
        <f>IF('Incremental Repayments'!$R$22="Debt",IF(AND(BS$4&gt;=$D66,BS$4&lt;$D66+'Incremental Repayments'!$I$31),-PMT('Interest Rate'!$J$16,'Incremental Repayments'!$I$31,(HLOOKUP($D66,$E$4:$CZ$32,28,FALSE)*'Incremental Repayments'!$I$22)),0),0)</f>
        <v>0</v>
      </c>
      <c r="BT66" s="477">
        <f>IF('Incremental Repayments'!$R$22="Debt",IF(AND(BT$4&gt;=$D66,BT$4&lt;$D66+'Incremental Repayments'!$I$31),-PMT('Interest Rate'!$J$16,'Incremental Repayments'!$I$31,(HLOOKUP($D66,$E$4:$CZ$32,28,FALSE)*'Incremental Repayments'!$I$22)),0),0)</f>
        <v>0</v>
      </c>
      <c r="BU66" s="477">
        <f>IF('Incremental Repayments'!$R$22="Debt",IF(AND(BU$4&gt;=$D66,BU$4&lt;$D66+'Incremental Repayments'!$I$31),-PMT('Interest Rate'!$J$16,'Incremental Repayments'!$I$31,(HLOOKUP($D66,$E$4:$CZ$32,28,FALSE)*'Incremental Repayments'!$I$22)),0),0)</f>
        <v>0</v>
      </c>
      <c r="BV66" s="477">
        <f>IF('Incremental Repayments'!$R$22="Debt",IF(AND(BV$4&gt;=$D66,BV$4&lt;$D66+'Incremental Repayments'!$I$31),-PMT('Interest Rate'!$J$16,'Incremental Repayments'!$I$31,(HLOOKUP($D66,$E$4:$CZ$32,28,FALSE)*'Incremental Repayments'!$I$22)),0),0)</f>
        <v>0</v>
      </c>
      <c r="BW66" s="477">
        <f>IF('Incremental Repayments'!$R$22="Debt",IF(AND(BW$4&gt;=$D66,BW$4&lt;$D66+'Incremental Repayments'!$I$31),-PMT('Interest Rate'!$J$16,'Incremental Repayments'!$I$31,(HLOOKUP($D66,$E$4:$CZ$32,28,FALSE)*'Incremental Repayments'!$I$22)),0),0)</f>
        <v>0</v>
      </c>
      <c r="BX66" s="477">
        <f>IF('Incremental Repayments'!$R$22="Debt",IF(AND(BX$4&gt;=$D66,BX$4&lt;$D66+'Incremental Repayments'!$I$31),-PMT('Interest Rate'!$J$16,'Incremental Repayments'!$I$31,(HLOOKUP($D66,$E$4:$CZ$32,28,FALSE)*'Incremental Repayments'!$I$22)),0),0)</f>
        <v>0</v>
      </c>
      <c r="BY66" s="477">
        <f>IF('Incremental Repayments'!$R$22="Debt",IF(AND(BY$4&gt;=$D66,BY$4&lt;$D66+'Incremental Repayments'!$I$31),-PMT('Interest Rate'!$J$16,'Incremental Repayments'!$I$31,(HLOOKUP($D66,$E$4:$CZ$32,28,FALSE)*'Incremental Repayments'!$I$22)),0),0)</f>
        <v>0</v>
      </c>
      <c r="BZ66" s="477">
        <f>IF('Incremental Repayments'!$R$22="Debt",IF(AND(BZ$4&gt;=$D66,BZ$4&lt;$D66+'Incremental Repayments'!$I$31),-PMT('Interest Rate'!$J$16,'Incremental Repayments'!$I$31,(HLOOKUP($D66,$E$4:$CZ$32,28,FALSE)*'Incremental Repayments'!$I$22)),0),0)</f>
        <v>0</v>
      </c>
      <c r="CA66" s="477">
        <f>IF('Incremental Repayments'!$R$22="Debt",IF(AND(CA$4&gt;=$D66,CA$4&lt;$D66+'Incremental Repayments'!$I$31),-PMT('Interest Rate'!$J$16,'Incremental Repayments'!$I$31,(HLOOKUP($D66,$E$4:$CZ$32,28,FALSE)*'Incremental Repayments'!$I$22)),0),0)</f>
        <v>0</v>
      </c>
      <c r="CB66" s="477">
        <f>IF('Incremental Repayments'!$R$22="Debt",IF(AND(CB$4&gt;=$D66,CB$4&lt;$D66+'Incremental Repayments'!$I$31),-PMT('Interest Rate'!$J$16,'Incremental Repayments'!$I$31,(HLOOKUP($D66,$E$4:$CZ$32,28,FALSE)*'Incremental Repayments'!$I$22)),0),0)</f>
        <v>0</v>
      </c>
      <c r="CC66" s="477">
        <f>IF('Incremental Repayments'!$R$22="Debt",IF(AND(CC$4&gt;=$D66,CC$4&lt;$D66+'Incremental Repayments'!$I$31),-PMT('Interest Rate'!$J$16,'Incremental Repayments'!$I$31,(HLOOKUP($D66,$E$4:$CZ$32,28,FALSE)*'Incremental Repayments'!$I$22)),0),0)</f>
        <v>0</v>
      </c>
      <c r="CD66" s="477">
        <f>IF('Incremental Repayments'!$R$22="Debt",IF(AND(CD$4&gt;=$D66,CD$4&lt;$D66+'Incremental Repayments'!$I$31),-PMT('Interest Rate'!$J$16,'Incremental Repayments'!$I$31,(HLOOKUP($D66,$E$4:$CZ$32,28,FALSE)*'Incremental Repayments'!$I$22)),0),0)</f>
        <v>0</v>
      </c>
      <c r="CE66" s="477">
        <f>IF('Incremental Repayments'!$R$22="Debt",IF(AND(CE$4&gt;=$D66,CE$4&lt;$D66+'Incremental Repayments'!$I$31),-PMT('Interest Rate'!$J$16,'Incremental Repayments'!$I$31,(HLOOKUP($D66,$E$4:$CZ$32,28,FALSE)*'Incremental Repayments'!$I$22)),0),0)</f>
        <v>0</v>
      </c>
      <c r="CF66" s="477">
        <f>IF('Incremental Repayments'!$R$22="Debt",IF(AND(CF$4&gt;=$D66,CF$4&lt;$D66+'Incremental Repayments'!$I$31),-PMT('Interest Rate'!$J$16,'Incremental Repayments'!$I$31,(HLOOKUP($D66,$E$4:$CZ$32,28,FALSE)*'Incremental Repayments'!$I$22)),0),0)</f>
        <v>0</v>
      </c>
      <c r="CG66" s="477">
        <f>IF('Incremental Repayments'!$R$22="Debt",IF(AND(CG$4&gt;=$D66,CG$4&lt;$D66+'Incremental Repayments'!$I$31),-PMT('Interest Rate'!$J$16,'Incremental Repayments'!$I$31,(HLOOKUP($D66,$E$4:$CZ$32,28,FALSE)*'Incremental Repayments'!$I$22)),0),0)</f>
        <v>0</v>
      </c>
      <c r="CH66" s="477">
        <f>IF('Incremental Repayments'!$R$22="Debt",IF(AND(CH$4&gt;=$D66,CH$4&lt;$D66+'Incremental Repayments'!$I$31),-PMT('Interest Rate'!$J$16,'Incremental Repayments'!$I$31,(HLOOKUP($D66,$E$4:$CZ$32,28,FALSE)*'Incremental Repayments'!$I$22)),0),0)</f>
        <v>0</v>
      </c>
      <c r="CI66" s="477">
        <f>IF('Incremental Repayments'!$R$22="Debt",IF(AND(CI$4&gt;=$D66,CI$4&lt;$D66+'Incremental Repayments'!$I$31),-PMT('Interest Rate'!$J$16,'Incremental Repayments'!$I$31,(HLOOKUP($D66,$E$4:$CZ$32,28,FALSE)*'Incremental Repayments'!$I$22)),0),0)</f>
        <v>0</v>
      </c>
      <c r="CJ66" s="477">
        <f>IF('Incremental Repayments'!$R$22="Debt",IF(AND(CJ$4&gt;=$D66,CJ$4&lt;$D66+'Incremental Repayments'!$I$31),-PMT('Interest Rate'!$J$16,'Incremental Repayments'!$I$31,(HLOOKUP($D66,$E$4:$CZ$32,28,FALSE)*'Incremental Repayments'!$I$22)),0),0)</f>
        <v>0</v>
      </c>
      <c r="CK66" s="477">
        <f>IF('Incremental Repayments'!$R$22="Debt",IF(AND(CK$4&gt;=$D66,CK$4&lt;$D66+'Incremental Repayments'!$I$31),-PMT('Interest Rate'!$J$16,'Incremental Repayments'!$I$31,(HLOOKUP($D66,$E$4:$CZ$32,28,FALSE)*'Incremental Repayments'!$I$22)),0),0)</f>
        <v>0</v>
      </c>
      <c r="CL66" s="477">
        <f>IF('Incremental Repayments'!$R$22="Debt",IF(AND(CL$4&gt;=$D66,CL$4&lt;$D66+'Incremental Repayments'!$I$31),-PMT('Interest Rate'!$J$16,'Incremental Repayments'!$I$31,(HLOOKUP($D66,$E$4:$CZ$32,28,FALSE)*'Incremental Repayments'!$I$22)),0),0)</f>
        <v>0</v>
      </c>
      <c r="CM66" s="477">
        <f>IF('Incremental Repayments'!$R$22="Debt",IF(AND(CM$4&gt;=$D66,CM$4&lt;$D66+'Incremental Repayments'!$I$31),-PMT('Interest Rate'!$J$16,'Incremental Repayments'!$I$31,(HLOOKUP($D66,$E$4:$CZ$32,28,FALSE)*'Incremental Repayments'!$I$22)),0),0)</f>
        <v>0</v>
      </c>
      <c r="CN66" s="477">
        <f>IF('Incremental Repayments'!$R$22="Debt",IF(AND(CN$4&gt;=$D66,CN$4&lt;$D66+'Incremental Repayments'!$I$31),-PMT('Interest Rate'!$J$16,'Incremental Repayments'!$I$31,(HLOOKUP($D66,$E$4:$CZ$32,28,FALSE)*'Incremental Repayments'!$I$22)),0),0)</f>
        <v>0</v>
      </c>
      <c r="CO66" s="477">
        <f>IF('Incremental Repayments'!$R$22="Debt",IF(AND(CO$4&gt;=$D66,CO$4&lt;$D66+'Incremental Repayments'!$I$31),-PMT('Interest Rate'!$J$16,'Incremental Repayments'!$I$31,(HLOOKUP($D66,$E$4:$CZ$32,28,FALSE)*'Incremental Repayments'!$I$22)),0),0)</f>
        <v>0</v>
      </c>
      <c r="CP66" s="477">
        <f>IF('Incremental Repayments'!$R$22="Debt",IF(AND(CP$4&gt;=$D66,CP$4&lt;$D66+'Incremental Repayments'!$I$31),-PMT('Interest Rate'!$J$16,'Incremental Repayments'!$I$31,(HLOOKUP($D66,$E$4:$CZ$32,28,FALSE)*'Incremental Repayments'!$I$22)),0),0)</f>
        <v>0</v>
      </c>
      <c r="CQ66" s="477">
        <f>IF('Incremental Repayments'!$R$22="Debt",IF(AND(CQ$4&gt;=$D66,CQ$4&lt;$D66+'Incremental Repayments'!$I$31),-PMT('Interest Rate'!$J$16,'Incremental Repayments'!$I$31,(HLOOKUP($D66,$E$4:$CZ$32,28,FALSE)*'Incremental Repayments'!$I$22)),0),0)</f>
        <v>0</v>
      </c>
      <c r="CR66" s="477">
        <f>IF('Incremental Repayments'!$R$22="Debt",IF(AND(CR$4&gt;=$D66,CR$4&lt;$D66+'Incremental Repayments'!$I$31),-PMT('Interest Rate'!$J$16,'Incremental Repayments'!$I$31,(HLOOKUP($D66,$E$4:$CZ$32,28,FALSE)*'Incremental Repayments'!$I$22)),0),0)</f>
        <v>0</v>
      </c>
      <c r="CS66" s="477">
        <f>IF('Incremental Repayments'!$R$22="Debt",IF(AND(CS$4&gt;=$D66,CS$4&lt;$D66+'Incremental Repayments'!$I$31),-PMT('Interest Rate'!$J$16,'Incremental Repayments'!$I$31,(HLOOKUP($D66,$E$4:$CZ$32,28,FALSE)*'Incremental Repayments'!$I$22)),0),0)</f>
        <v>0</v>
      </c>
      <c r="CT66" s="477">
        <f>IF('Incremental Repayments'!$R$22="Debt",IF(AND(CT$4&gt;=$D66,CT$4&lt;$D66+'Incremental Repayments'!$I$31),-PMT('Interest Rate'!$J$16,'Incremental Repayments'!$I$31,(HLOOKUP($D66,$E$4:$CZ$32,28,FALSE)*'Incremental Repayments'!$I$22)),0),0)</f>
        <v>0</v>
      </c>
      <c r="CU66" s="477">
        <f>IF('Incremental Repayments'!$R$22="Debt",IF(AND(CU$4&gt;=$D66,CU$4&lt;$D66+'Incremental Repayments'!$I$31),-PMT('Interest Rate'!$J$16,'Incremental Repayments'!$I$31,(HLOOKUP($D66,$E$4:$CZ$32,28,FALSE)*'Incremental Repayments'!$I$22)),0),0)</f>
        <v>0</v>
      </c>
      <c r="CV66" s="477">
        <f>IF('Incremental Repayments'!$R$22="Debt",IF(AND(CV$4&gt;=$D66,CV$4&lt;$D66+'Incremental Repayments'!$I$31),-PMT('Interest Rate'!$J$16,'Incremental Repayments'!$I$31,(HLOOKUP($D66,$E$4:$CZ$32,28,FALSE)*'Incremental Repayments'!$I$22)),0),0)</f>
        <v>0</v>
      </c>
      <c r="CW66" s="477">
        <f>IF('Incremental Repayments'!$R$22="Debt",IF(AND(CW$4&gt;=$D66,CW$4&lt;$D66+'Incremental Repayments'!$I$31),-PMT('Interest Rate'!$J$16,'Incremental Repayments'!$I$31,(HLOOKUP($D66,$E$4:$CZ$32,28,FALSE)*'Incremental Repayments'!$I$22)),0),0)</f>
        <v>0</v>
      </c>
      <c r="CX66" s="477">
        <f>IF('Incremental Repayments'!$R$22="Debt",IF(AND(CX$4&gt;=$D66,CX$4&lt;$D66+'Incremental Repayments'!$I$31),-PMT('Interest Rate'!$J$16,'Incremental Repayments'!$I$31,(HLOOKUP($D66,$E$4:$CZ$32,28,FALSE)*'Incremental Repayments'!$I$22)),0),0)</f>
        <v>0</v>
      </c>
      <c r="CY66" s="477">
        <f>IF('Incremental Repayments'!$R$22="Debt",IF(AND(CY$4&gt;=$D66,CY$4&lt;$D66+'Incremental Repayments'!$I$31),-PMT('Interest Rate'!$J$16,'Incremental Repayments'!$I$31,(HLOOKUP($D66,$E$4:$CZ$32,28,FALSE)*'Incremental Repayments'!$I$22)),0),0)</f>
        <v>0</v>
      </c>
      <c r="CZ66" s="477">
        <f>IF('Incremental Repayments'!$R$22="Debt",IF(AND(CZ$4&gt;=$D66,CZ$4&lt;$D66+'Incremental Repayments'!$I$31),-PMT('Interest Rate'!$J$16,'Incremental Repayments'!$I$31,(HLOOKUP($D66,$E$4:$CZ$32,28,FALSE)*'Incremental Repayments'!$I$22)),0),0)</f>
        <v>0</v>
      </c>
    </row>
    <row r="67" spans="2:104" x14ac:dyDescent="0.25">
      <c r="B67" s="480" t="str">
        <f>CONCATENATE("Series ",D67,"A Bonds (at ",'Interest Rate'!$J$16*100,"% Interest)")</f>
        <v>Series 2045A Bonds (at 4.5% Interest)</v>
      </c>
      <c r="C67" s="480"/>
      <c r="D67" s="492">
        <f t="shared" si="492"/>
        <v>2045</v>
      </c>
      <c r="E67" s="477">
        <f>IF('Incremental Repayments'!$R$22="Debt",IF(AND(E$4&gt;=$D67,E$4&lt;$D67+'Incremental Repayments'!$I$31),-PMT('Interest Rate'!$J$16,'Incremental Repayments'!$I$31,(HLOOKUP($D67,$E$4:$CZ$32,28,FALSE)*'Incremental Repayments'!$I$22)),0),0)</f>
        <v>0</v>
      </c>
      <c r="F67" s="477">
        <f>IF('Incremental Repayments'!$R$22="Debt",IF(AND(F$4&gt;=$D67,F$4&lt;$D67+'Incremental Repayments'!$I$31),-PMT('Interest Rate'!$J$16,'Incremental Repayments'!$I$31,(HLOOKUP($D67,$E$4:$CZ$32,28,FALSE)*'Incremental Repayments'!$I$22)),0),0)</f>
        <v>0</v>
      </c>
      <c r="G67" s="477">
        <f>IF('Incremental Repayments'!$R$22="Debt",IF(AND(G$4&gt;=$D67,G$4&lt;$D67+'Incremental Repayments'!$I$31),-PMT('Interest Rate'!$J$16,'Incremental Repayments'!$I$31,(HLOOKUP($D67,$E$4:$CZ$32,28,FALSE)*'Incremental Repayments'!$I$22)),0),0)</f>
        <v>0</v>
      </c>
      <c r="H67" s="477">
        <f>IF('Incremental Repayments'!$R$22="Debt",IF(AND(H$4&gt;=$D67,H$4&lt;$D67+'Incremental Repayments'!$I$31),-PMT('Interest Rate'!$J$16,'Incremental Repayments'!$I$31,(HLOOKUP($D67,$E$4:$CZ$32,28,FALSE)*'Incremental Repayments'!$I$22)),0),0)</f>
        <v>0</v>
      </c>
      <c r="I67" s="477">
        <f>IF('Incremental Repayments'!$R$22="Debt",IF(AND(I$4&gt;=$D67,I$4&lt;$D67+'Incremental Repayments'!$I$31),-PMT('Interest Rate'!$J$16,'Incremental Repayments'!$I$31,(HLOOKUP($D67,$E$4:$CZ$32,28,FALSE)*'Incremental Repayments'!$I$22)),0),0)</f>
        <v>0</v>
      </c>
      <c r="J67" s="477">
        <f>IF('Incremental Repayments'!$R$22="Debt",IF(AND(J$4&gt;=$D67,J$4&lt;$D67+'Incremental Repayments'!$I$31),-PMT('Interest Rate'!$J$16,'Incremental Repayments'!$I$31,(HLOOKUP($D67,$E$4:$CZ$32,28,FALSE)*'Incremental Repayments'!$I$22)),0),0)</f>
        <v>0</v>
      </c>
      <c r="K67" s="477">
        <f>IF('Incremental Repayments'!$R$22="Debt",IF(AND(K$4&gt;=$D67,K$4&lt;$D67+'Incremental Repayments'!$I$31),-PMT('Interest Rate'!$J$16,'Incremental Repayments'!$I$31,(HLOOKUP($D67,$E$4:$CZ$32,28,FALSE)*'Incremental Repayments'!$I$22)),0),0)</f>
        <v>0</v>
      </c>
      <c r="L67" s="477">
        <f>IF('Incremental Repayments'!$R$22="Debt",IF(AND(L$4&gt;=$D67,L$4&lt;$D67+'Incremental Repayments'!$I$31),-PMT('Interest Rate'!$J$16,'Incremental Repayments'!$I$31,(HLOOKUP($D67,$E$4:$CZ$32,28,FALSE)*'Incremental Repayments'!$I$22)),0),0)</f>
        <v>0</v>
      </c>
      <c r="M67" s="477">
        <f>IF('Incremental Repayments'!$R$22="Debt",IF(AND(M$4&gt;=$D67,M$4&lt;$D67+'Incremental Repayments'!$I$31),-PMT('Interest Rate'!$J$16,'Incremental Repayments'!$I$31,(HLOOKUP($D67,$E$4:$CZ$32,28,FALSE)*'Incremental Repayments'!$I$22)),0),0)</f>
        <v>0</v>
      </c>
      <c r="N67" s="477">
        <f>IF('Incremental Repayments'!$R$22="Debt",IF(AND(N$4&gt;=$D67,N$4&lt;$D67+'Incremental Repayments'!$I$31),-PMT('Interest Rate'!$J$16,'Incremental Repayments'!$I$31,(HLOOKUP($D67,$E$4:$CZ$32,28,FALSE)*'Incremental Repayments'!$I$22)),0),0)</f>
        <v>0</v>
      </c>
      <c r="O67" s="477">
        <f>IF('Incremental Repayments'!$R$22="Debt",IF(AND(O$4&gt;=$D67,O$4&lt;$D67+'Incremental Repayments'!$I$31),-PMT('Interest Rate'!$J$16,'Incremental Repayments'!$I$31,(HLOOKUP($D67,$E$4:$CZ$32,28,FALSE)*'Incremental Repayments'!$I$22)),0),0)</f>
        <v>0</v>
      </c>
      <c r="P67" s="477">
        <f>IF('Incremental Repayments'!$R$22="Debt",IF(AND(P$4&gt;=$D67,P$4&lt;$D67+'Incremental Repayments'!$I$31),-PMT('Interest Rate'!$J$16,'Incremental Repayments'!$I$31,(HLOOKUP($D67,$E$4:$CZ$32,28,FALSE)*'Incremental Repayments'!$I$22)),0),0)</f>
        <v>0</v>
      </c>
      <c r="Q67" s="477">
        <f>IF('Incremental Repayments'!$R$22="Debt",IF(AND(Q$4&gt;=$D67,Q$4&lt;$D67+'Incremental Repayments'!$I$31),-PMT('Interest Rate'!$J$16,'Incremental Repayments'!$I$31,(HLOOKUP($D67,$E$4:$CZ$32,28,FALSE)*'Incremental Repayments'!$I$22)),0),0)</f>
        <v>0</v>
      </c>
      <c r="R67" s="477">
        <f>IF('Incremental Repayments'!$R$22="Debt",IF(AND(R$4&gt;=$D67,R$4&lt;$D67+'Incremental Repayments'!$I$31),-PMT('Interest Rate'!$J$16,'Incremental Repayments'!$I$31,(HLOOKUP($D67,$E$4:$CZ$32,28,FALSE)*'Incremental Repayments'!$I$22)),0),0)</f>
        <v>0</v>
      </c>
      <c r="S67" s="477">
        <f>IF('Incremental Repayments'!$R$22="Debt",IF(AND(S$4&gt;=$D67,S$4&lt;$D67+'Incremental Repayments'!$I$31),-PMT('Interest Rate'!$J$16,'Incremental Repayments'!$I$31,(HLOOKUP($D67,$E$4:$CZ$32,28,FALSE)*'Incremental Repayments'!$I$22)),0),0)</f>
        <v>0</v>
      </c>
      <c r="T67" s="477">
        <f>IF('Incremental Repayments'!$R$22="Debt",IF(AND(T$4&gt;=$D67,T$4&lt;$D67+'Incremental Repayments'!$I$31),-PMT('Interest Rate'!$J$16,'Incremental Repayments'!$I$31,(HLOOKUP($D67,$E$4:$CZ$32,28,FALSE)*'Incremental Repayments'!$I$22)),0),0)</f>
        <v>0</v>
      </c>
      <c r="U67" s="477">
        <f>IF('Incremental Repayments'!$R$22="Debt",IF(AND(U$4&gt;=$D67,U$4&lt;$D67+'Incremental Repayments'!$I$31),-PMT('Interest Rate'!$J$16,'Incremental Repayments'!$I$31,(HLOOKUP($D67,$E$4:$CZ$32,28,FALSE)*'Incremental Repayments'!$I$22)),0),0)</f>
        <v>0</v>
      </c>
      <c r="V67" s="477">
        <f>IF('Incremental Repayments'!$R$22="Debt",IF(AND(V$4&gt;=$D67,V$4&lt;$D67+'Incremental Repayments'!$I$31),-PMT('Interest Rate'!$J$16,'Incremental Repayments'!$I$31,(HLOOKUP($D67,$E$4:$CZ$32,28,FALSE)*'Incremental Repayments'!$I$22)),0),0)</f>
        <v>0</v>
      </c>
      <c r="W67" s="477">
        <f>IF('Incremental Repayments'!$R$22="Debt",IF(AND(W$4&gt;=$D67,W$4&lt;$D67+'Incremental Repayments'!$I$31),-PMT('Interest Rate'!$J$16,'Incremental Repayments'!$I$31,(HLOOKUP($D67,$E$4:$CZ$32,28,FALSE)*'Incremental Repayments'!$I$22)),0),0)</f>
        <v>0</v>
      </c>
      <c r="X67" s="477">
        <f>IF('Incremental Repayments'!$R$22="Debt",IF(AND(X$4&gt;=$D67,X$4&lt;$D67+'Incremental Repayments'!$I$31),-PMT('Interest Rate'!$J$16,'Incremental Repayments'!$I$31,(HLOOKUP($D67,$E$4:$CZ$32,28,FALSE)*'Incremental Repayments'!$I$22)),0),0)</f>
        <v>0</v>
      </c>
      <c r="Y67" s="477">
        <f>IF('Incremental Repayments'!$R$22="Debt",IF(AND(Y$4&gt;=$D67,Y$4&lt;$D67+'Incremental Repayments'!$I$31),-PMT('Interest Rate'!$J$16,'Incremental Repayments'!$I$31,(HLOOKUP($D67,$E$4:$CZ$32,28,FALSE)*'Incremental Repayments'!$I$22)),0),0)</f>
        <v>0</v>
      </c>
      <c r="Z67" s="477">
        <f>IF('Incremental Repayments'!$R$22="Debt",IF(AND(Z$4&gt;=$D67,Z$4&lt;$D67+'Incremental Repayments'!$I$31),-PMT('Interest Rate'!$J$16,'Incremental Repayments'!$I$31,(HLOOKUP($D67,$E$4:$CZ$32,28,FALSE)*'Incremental Repayments'!$I$22)),0),0)</f>
        <v>0</v>
      </c>
      <c r="AA67" s="477">
        <f>IF('Incremental Repayments'!$R$22="Debt",IF(AND(AA$4&gt;=$D67,AA$4&lt;$D67+'Incremental Repayments'!$I$31),-PMT('Interest Rate'!$J$16,'Incremental Repayments'!$I$31,(HLOOKUP($D67,$E$4:$CZ$32,28,FALSE)*'Incremental Repayments'!$I$22)),0),0)</f>
        <v>0</v>
      </c>
      <c r="AB67" s="477">
        <f>IF('Incremental Repayments'!$R$22="Debt",IF(AND(AB$4&gt;=$D67,AB$4&lt;$D67+'Incremental Repayments'!$I$31),-PMT('Interest Rate'!$J$16,'Incremental Repayments'!$I$31,(HLOOKUP($D67,$E$4:$CZ$32,28,FALSE)*'Incremental Repayments'!$I$22)),0),0)</f>
        <v>0</v>
      </c>
      <c r="AC67" s="477">
        <f>IF('Incremental Repayments'!$R$22="Debt",IF(AND(AC$4&gt;=$D67,AC$4&lt;$D67+'Incremental Repayments'!$I$31),-PMT('Interest Rate'!$J$16,'Incremental Repayments'!$I$31,(HLOOKUP($D67,$E$4:$CZ$32,28,FALSE)*'Incremental Repayments'!$I$22)),0),0)</f>
        <v>0</v>
      </c>
      <c r="AD67" s="477">
        <f>IF('Incremental Repayments'!$R$22="Debt",IF(AND(AD$4&gt;=$D67,AD$4&lt;$D67+'Incremental Repayments'!$I$31),-PMT('Interest Rate'!$J$16,'Incremental Repayments'!$I$31,(HLOOKUP($D67,$E$4:$CZ$32,28,FALSE)*'Incremental Repayments'!$I$22)),0),0)</f>
        <v>0</v>
      </c>
      <c r="AE67" s="477">
        <f>IF('Incremental Repayments'!$R$22="Debt",IF(AND(AE$4&gt;=$D67,AE$4&lt;$D67+'Incremental Repayments'!$I$31),-PMT('Interest Rate'!$J$16,'Incremental Repayments'!$I$31,(HLOOKUP($D67,$E$4:$CZ$32,28,FALSE)*'Incremental Repayments'!$I$22)),0),0)</f>
        <v>0</v>
      </c>
      <c r="AF67" s="477">
        <f>IF('Incremental Repayments'!$R$22="Debt",IF(AND(AF$4&gt;=$D67,AF$4&lt;$D67+'Incremental Repayments'!$I$31),-PMT('Interest Rate'!$J$16,'Incremental Repayments'!$I$31,(HLOOKUP($D67,$E$4:$CZ$32,28,FALSE)*'Incremental Repayments'!$I$22)),0),0)</f>
        <v>0</v>
      </c>
      <c r="AG67" s="477">
        <f>IF('Incremental Repayments'!$R$22="Debt",IF(AND(AG$4&gt;=$D67,AG$4&lt;$D67+'Incremental Repayments'!$I$31),-PMT('Interest Rate'!$J$16,'Incremental Repayments'!$I$31,(HLOOKUP($D67,$E$4:$CZ$32,28,FALSE)*'Incremental Repayments'!$I$22)),0),0)</f>
        <v>0</v>
      </c>
      <c r="AH67" s="477">
        <f>IF('Incremental Repayments'!$R$22="Debt",IF(AND(AH$4&gt;=$D67,AH$4&lt;$D67+'Incremental Repayments'!$I$31),-PMT('Interest Rate'!$J$16,'Incremental Repayments'!$I$31,(HLOOKUP($D67,$E$4:$CZ$32,28,FALSE)*'Incremental Repayments'!$I$22)),0),0)</f>
        <v>0</v>
      </c>
      <c r="AI67" s="477">
        <f>IF('Incremental Repayments'!$R$22="Debt",IF(AND(AI$4&gt;=$D67,AI$4&lt;$D67+'Incremental Repayments'!$I$31),-PMT('Interest Rate'!$J$16,'Incremental Repayments'!$I$31,(HLOOKUP($D67,$E$4:$CZ$32,28,FALSE)*'Incremental Repayments'!$I$22)),0),0)</f>
        <v>0</v>
      </c>
      <c r="AJ67" s="477">
        <f>IF('Incremental Repayments'!$R$22="Debt",IF(AND(AJ$4&gt;=$D67,AJ$4&lt;$D67+'Incremental Repayments'!$I$31),-PMT('Interest Rate'!$J$16,'Incremental Repayments'!$I$31,(HLOOKUP($D67,$E$4:$CZ$32,28,FALSE)*'Incremental Repayments'!$I$22)),0),0)</f>
        <v>861600.73369381542</v>
      </c>
      <c r="AK67" s="477">
        <f>IF('Incremental Repayments'!$R$22="Debt",IF(AND(AK$4&gt;=$D67,AK$4&lt;$D67+'Incremental Repayments'!$I$31),-PMT('Interest Rate'!$J$16,'Incremental Repayments'!$I$31,(HLOOKUP($D67,$E$4:$CZ$32,28,FALSE)*'Incremental Repayments'!$I$22)),0),0)</f>
        <v>861600.73369381542</v>
      </c>
      <c r="AL67" s="477">
        <f>IF('Incremental Repayments'!$R$22="Debt",IF(AND(AL$4&gt;=$D67,AL$4&lt;$D67+'Incremental Repayments'!$I$31),-PMT('Interest Rate'!$J$16,'Incremental Repayments'!$I$31,(HLOOKUP($D67,$E$4:$CZ$32,28,FALSE)*'Incremental Repayments'!$I$22)),0),0)</f>
        <v>861600.73369381542</v>
      </c>
      <c r="AM67" s="477">
        <f>IF('Incremental Repayments'!$R$22="Debt",IF(AND(AM$4&gt;=$D67,AM$4&lt;$D67+'Incremental Repayments'!$I$31),-PMT('Interest Rate'!$J$16,'Incremental Repayments'!$I$31,(HLOOKUP($D67,$E$4:$CZ$32,28,FALSE)*'Incremental Repayments'!$I$22)),0),0)</f>
        <v>861600.73369381542</v>
      </c>
      <c r="AN67" s="477">
        <f>IF('Incremental Repayments'!$R$22="Debt",IF(AND(AN$4&gt;=$D67,AN$4&lt;$D67+'Incremental Repayments'!$I$31),-PMT('Interest Rate'!$J$16,'Incremental Repayments'!$I$31,(HLOOKUP($D67,$E$4:$CZ$32,28,FALSE)*'Incremental Repayments'!$I$22)),0),0)</f>
        <v>861600.73369381542</v>
      </c>
      <c r="AO67" s="477">
        <f>IF('Incremental Repayments'!$R$22="Debt",IF(AND(AO$4&gt;=$D67,AO$4&lt;$D67+'Incremental Repayments'!$I$31),-PMT('Interest Rate'!$J$16,'Incremental Repayments'!$I$31,(HLOOKUP($D67,$E$4:$CZ$32,28,FALSE)*'Incremental Repayments'!$I$22)),0),0)</f>
        <v>861600.73369381542</v>
      </c>
      <c r="AP67" s="477">
        <f>IF('Incremental Repayments'!$R$22="Debt",IF(AND(AP$4&gt;=$D67,AP$4&lt;$D67+'Incremental Repayments'!$I$31),-PMT('Interest Rate'!$J$16,'Incremental Repayments'!$I$31,(HLOOKUP($D67,$E$4:$CZ$32,28,FALSE)*'Incremental Repayments'!$I$22)),0),0)</f>
        <v>861600.73369381542</v>
      </c>
      <c r="AQ67" s="477">
        <f>IF('Incremental Repayments'!$R$22="Debt",IF(AND(AQ$4&gt;=$D67,AQ$4&lt;$D67+'Incremental Repayments'!$I$31),-PMT('Interest Rate'!$J$16,'Incremental Repayments'!$I$31,(HLOOKUP($D67,$E$4:$CZ$32,28,FALSE)*'Incremental Repayments'!$I$22)),0),0)</f>
        <v>861600.73369381542</v>
      </c>
      <c r="AR67" s="477">
        <f>IF('Incremental Repayments'!$R$22="Debt",IF(AND(AR$4&gt;=$D67,AR$4&lt;$D67+'Incremental Repayments'!$I$31),-PMT('Interest Rate'!$J$16,'Incremental Repayments'!$I$31,(HLOOKUP($D67,$E$4:$CZ$32,28,FALSE)*'Incremental Repayments'!$I$22)),0),0)</f>
        <v>861600.73369381542</v>
      </c>
      <c r="AS67" s="477">
        <f>IF('Incremental Repayments'!$R$22="Debt",IF(AND(AS$4&gt;=$D67,AS$4&lt;$D67+'Incremental Repayments'!$I$31),-PMT('Interest Rate'!$J$16,'Incremental Repayments'!$I$31,(HLOOKUP($D67,$E$4:$CZ$32,28,FALSE)*'Incremental Repayments'!$I$22)),0),0)</f>
        <v>861600.73369381542</v>
      </c>
      <c r="AT67" s="477">
        <f>IF('Incremental Repayments'!$R$22="Debt",IF(AND(AT$4&gt;=$D67,AT$4&lt;$D67+'Incremental Repayments'!$I$31),-PMT('Interest Rate'!$J$16,'Incremental Repayments'!$I$31,(HLOOKUP($D67,$E$4:$CZ$32,28,FALSE)*'Incremental Repayments'!$I$22)),0),0)</f>
        <v>861600.73369381542</v>
      </c>
      <c r="AU67" s="477">
        <f>IF('Incremental Repayments'!$R$22="Debt",IF(AND(AU$4&gt;=$D67,AU$4&lt;$D67+'Incremental Repayments'!$I$31),-PMT('Interest Rate'!$J$16,'Incremental Repayments'!$I$31,(HLOOKUP($D67,$E$4:$CZ$32,28,FALSE)*'Incremental Repayments'!$I$22)),0),0)</f>
        <v>861600.73369381542</v>
      </c>
      <c r="AV67" s="477">
        <f>IF('Incremental Repayments'!$R$22="Debt",IF(AND(AV$4&gt;=$D67,AV$4&lt;$D67+'Incremental Repayments'!$I$31),-PMT('Interest Rate'!$J$16,'Incremental Repayments'!$I$31,(HLOOKUP($D67,$E$4:$CZ$32,28,FALSE)*'Incremental Repayments'!$I$22)),0),0)</f>
        <v>861600.73369381542</v>
      </c>
      <c r="AW67" s="477">
        <f>IF('Incremental Repayments'!$R$22="Debt",IF(AND(AW$4&gt;=$D67,AW$4&lt;$D67+'Incremental Repayments'!$I$31),-PMT('Interest Rate'!$J$16,'Incremental Repayments'!$I$31,(HLOOKUP($D67,$E$4:$CZ$32,28,FALSE)*'Incremental Repayments'!$I$22)),0),0)</f>
        <v>861600.73369381542</v>
      </c>
      <c r="AX67" s="477">
        <f>IF('Incremental Repayments'!$R$22="Debt",IF(AND(AX$4&gt;=$D67,AX$4&lt;$D67+'Incremental Repayments'!$I$31),-PMT('Interest Rate'!$J$16,'Incremental Repayments'!$I$31,(HLOOKUP($D67,$E$4:$CZ$32,28,FALSE)*'Incremental Repayments'!$I$22)),0),0)</f>
        <v>861600.73369381542</v>
      </c>
      <c r="AY67" s="477">
        <f>IF('Incremental Repayments'!$R$22="Debt",IF(AND(AY$4&gt;=$D67,AY$4&lt;$D67+'Incremental Repayments'!$I$31),-PMT('Interest Rate'!$J$16,'Incremental Repayments'!$I$31,(HLOOKUP($D67,$E$4:$CZ$32,28,FALSE)*'Incremental Repayments'!$I$22)),0),0)</f>
        <v>861600.73369381542</v>
      </c>
      <c r="AZ67" s="477">
        <f>IF('Incremental Repayments'!$R$22="Debt",IF(AND(AZ$4&gt;=$D67,AZ$4&lt;$D67+'Incremental Repayments'!$I$31),-PMT('Interest Rate'!$J$16,'Incremental Repayments'!$I$31,(HLOOKUP($D67,$E$4:$CZ$32,28,FALSE)*'Incremental Repayments'!$I$22)),0),0)</f>
        <v>861600.73369381542</v>
      </c>
      <c r="BA67" s="477">
        <f>IF('Incremental Repayments'!$R$22="Debt",IF(AND(BA$4&gt;=$D67,BA$4&lt;$D67+'Incremental Repayments'!$I$31),-PMT('Interest Rate'!$J$16,'Incremental Repayments'!$I$31,(HLOOKUP($D67,$E$4:$CZ$32,28,FALSE)*'Incremental Repayments'!$I$22)),0),0)</f>
        <v>861600.73369381542</v>
      </c>
      <c r="BB67" s="477">
        <f>IF('Incremental Repayments'!$R$22="Debt",IF(AND(BB$4&gt;=$D67,BB$4&lt;$D67+'Incremental Repayments'!$I$31),-PMT('Interest Rate'!$J$16,'Incremental Repayments'!$I$31,(HLOOKUP($D67,$E$4:$CZ$32,28,FALSE)*'Incremental Repayments'!$I$22)),0),0)</f>
        <v>861600.73369381542</v>
      </c>
      <c r="BC67" s="477">
        <f>IF('Incremental Repayments'!$R$22="Debt",IF(AND(BC$4&gt;=$D67,BC$4&lt;$D67+'Incremental Repayments'!$I$31),-PMT('Interest Rate'!$J$16,'Incremental Repayments'!$I$31,(HLOOKUP($D67,$E$4:$CZ$32,28,FALSE)*'Incremental Repayments'!$I$22)),0),0)</f>
        <v>861600.73369381542</v>
      </c>
      <c r="BD67" s="477">
        <f>IF('Incremental Repayments'!$R$22="Debt",IF(AND(BD$4&gt;=$D67,BD$4&lt;$D67+'Incremental Repayments'!$I$31),-PMT('Interest Rate'!$J$16,'Incremental Repayments'!$I$31,(HLOOKUP($D67,$E$4:$CZ$32,28,FALSE)*'Incremental Repayments'!$I$22)),0),0)</f>
        <v>861600.73369381542</v>
      </c>
      <c r="BE67" s="477">
        <f>IF('Incremental Repayments'!$R$22="Debt",IF(AND(BE$4&gt;=$D67,BE$4&lt;$D67+'Incremental Repayments'!$I$31),-PMT('Interest Rate'!$J$16,'Incremental Repayments'!$I$31,(HLOOKUP($D67,$E$4:$CZ$32,28,FALSE)*'Incremental Repayments'!$I$22)),0),0)</f>
        <v>861600.73369381542</v>
      </c>
      <c r="BF67" s="477">
        <f>IF('Incremental Repayments'!$R$22="Debt",IF(AND(BF$4&gt;=$D67,BF$4&lt;$D67+'Incremental Repayments'!$I$31),-PMT('Interest Rate'!$J$16,'Incremental Repayments'!$I$31,(HLOOKUP($D67,$E$4:$CZ$32,28,FALSE)*'Incremental Repayments'!$I$22)),0),0)</f>
        <v>861600.73369381542</v>
      </c>
      <c r="BG67" s="477">
        <f>IF('Incremental Repayments'!$R$22="Debt",IF(AND(BG$4&gt;=$D67,BG$4&lt;$D67+'Incremental Repayments'!$I$31),-PMT('Interest Rate'!$J$16,'Incremental Repayments'!$I$31,(HLOOKUP($D67,$E$4:$CZ$32,28,FALSE)*'Incremental Repayments'!$I$22)),0),0)</f>
        <v>861600.73369381542</v>
      </c>
      <c r="BH67" s="477">
        <f>IF('Incremental Repayments'!$R$22="Debt",IF(AND(BH$4&gt;=$D67,BH$4&lt;$D67+'Incremental Repayments'!$I$31),-PMT('Interest Rate'!$J$16,'Incremental Repayments'!$I$31,(HLOOKUP($D67,$E$4:$CZ$32,28,FALSE)*'Incremental Repayments'!$I$22)),0),0)</f>
        <v>861600.73369381542</v>
      </c>
      <c r="BI67" s="477">
        <f>IF('Incremental Repayments'!$R$22="Debt",IF(AND(BI$4&gt;=$D67,BI$4&lt;$D67+'Incremental Repayments'!$I$31),-PMT('Interest Rate'!$J$16,'Incremental Repayments'!$I$31,(HLOOKUP($D67,$E$4:$CZ$32,28,FALSE)*'Incremental Repayments'!$I$22)),0),0)</f>
        <v>861600.73369381542</v>
      </c>
      <c r="BJ67" s="477">
        <f>IF('Incremental Repayments'!$R$22="Debt",IF(AND(BJ$4&gt;=$D67,BJ$4&lt;$D67+'Incremental Repayments'!$I$31),-PMT('Interest Rate'!$J$16,'Incremental Repayments'!$I$31,(HLOOKUP($D67,$E$4:$CZ$32,28,FALSE)*'Incremental Repayments'!$I$22)),0),0)</f>
        <v>861600.73369381542</v>
      </c>
      <c r="BK67" s="477">
        <f>IF('Incremental Repayments'!$R$22="Debt",IF(AND(BK$4&gt;=$D67,BK$4&lt;$D67+'Incremental Repayments'!$I$31),-PMT('Interest Rate'!$J$16,'Incremental Repayments'!$I$31,(HLOOKUP($D67,$E$4:$CZ$32,28,FALSE)*'Incremental Repayments'!$I$22)),0),0)</f>
        <v>861600.73369381542</v>
      </c>
      <c r="BL67" s="477">
        <f>IF('Incremental Repayments'!$R$22="Debt",IF(AND(BL$4&gt;=$D67,BL$4&lt;$D67+'Incremental Repayments'!$I$31),-PMT('Interest Rate'!$J$16,'Incremental Repayments'!$I$31,(HLOOKUP($D67,$E$4:$CZ$32,28,FALSE)*'Incremental Repayments'!$I$22)),0),0)</f>
        <v>861600.73369381542</v>
      </c>
      <c r="BM67" s="477">
        <f>IF('Incremental Repayments'!$R$22="Debt",IF(AND(BM$4&gt;=$D67,BM$4&lt;$D67+'Incremental Repayments'!$I$31),-PMT('Interest Rate'!$J$16,'Incremental Repayments'!$I$31,(HLOOKUP($D67,$E$4:$CZ$32,28,FALSE)*'Incremental Repayments'!$I$22)),0),0)</f>
        <v>861600.73369381542</v>
      </c>
      <c r="BN67" s="477">
        <f>IF('Incremental Repayments'!$R$22="Debt",IF(AND(BN$4&gt;=$D67,BN$4&lt;$D67+'Incremental Repayments'!$I$31),-PMT('Interest Rate'!$J$16,'Incremental Repayments'!$I$31,(HLOOKUP($D67,$E$4:$CZ$32,28,FALSE)*'Incremental Repayments'!$I$22)),0),0)</f>
        <v>0</v>
      </c>
      <c r="BO67" s="477">
        <f>IF('Incremental Repayments'!$R$22="Debt",IF(AND(BO$4&gt;=$D67,BO$4&lt;$D67+'Incremental Repayments'!$I$31),-PMT('Interest Rate'!$J$16,'Incremental Repayments'!$I$31,(HLOOKUP($D67,$E$4:$CZ$32,28,FALSE)*'Incremental Repayments'!$I$22)),0),0)</f>
        <v>0</v>
      </c>
      <c r="BP67" s="477">
        <f>IF('Incremental Repayments'!$R$22="Debt",IF(AND(BP$4&gt;=$D67,BP$4&lt;$D67+'Incremental Repayments'!$I$31),-PMT('Interest Rate'!$J$16,'Incremental Repayments'!$I$31,(HLOOKUP($D67,$E$4:$CZ$32,28,FALSE)*'Incremental Repayments'!$I$22)),0),0)</f>
        <v>0</v>
      </c>
      <c r="BQ67" s="477">
        <f>IF('Incremental Repayments'!$R$22="Debt",IF(AND(BQ$4&gt;=$D67,BQ$4&lt;$D67+'Incremental Repayments'!$I$31),-PMT('Interest Rate'!$J$16,'Incremental Repayments'!$I$31,(HLOOKUP($D67,$E$4:$CZ$32,28,FALSE)*'Incremental Repayments'!$I$22)),0),0)</f>
        <v>0</v>
      </c>
      <c r="BR67" s="477">
        <f>IF('Incremental Repayments'!$R$22="Debt",IF(AND(BR$4&gt;=$D67,BR$4&lt;$D67+'Incremental Repayments'!$I$31),-PMT('Interest Rate'!$J$16,'Incremental Repayments'!$I$31,(HLOOKUP($D67,$E$4:$CZ$32,28,FALSE)*'Incremental Repayments'!$I$22)),0),0)</f>
        <v>0</v>
      </c>
      <c r="BS67" s="477">
        <f>IF('Incremental Repayments'!$R$22="Debt",IF(AND(BS$4&gt;=$D67,BS$4&lt;$D67+'Incremental Repayments'!$I$31),-PMT('Interest Rate'!$J$16,'Incremental Repayments'!$I$31,(HLOOKUP($D67,$E$4:$CZ$32,28,FALSE)*'Incremental Repayments'!$I$22)),0),0)</f>
        <v>0</v>
      </c>
      <c r="BT67" s="477">
        <f>IF('Incremental Repayments'!$R$22="Debt",IF(AND(BT$4&gt;=$D67,BT$4&lt;$D67+'Incremental Repayments'!$I$31),-PMT('Interest Rate'!$J$16,'Incremental Repayments'!$I$31,(HLOOKUP($D67,$E$4:$CZ$32,28,FALSE)*'Incremental Repayments'!$I$22)),0),0)</f>
        <v>0</v>
      </c>
      <c r="BU67" s="477">
        <f>IF('Incremental Repayments'!$R$22="Debt",IF(AND(BU$4&gt;=$D67,BU$4&lt;$D67+'Incremental Repayments'!$I$31),-PMT('Interest Rate'!$J$16,'Incremental Repayments'!$I$31,(HLOOKUP($D67,$E$4:$CZ$32,28,FALSE)*'Incremental Repayments'!$I$22)),0),0)</f>
        <v>0</v>
      </c>
      <c r="BV67" s="477">
        <f>IF('Incremental Repayments'!$R$22="Debt",IF(AND(BV$4&gt;=$D67,BV$4&lt;$D67+'Incremental Repayments'!$I$31),-PMT('Interest Rate'!$J$16,'Incremental Repayments'!$I$31,(HLOOKUP($D67,$E$4:$CZ$32,28,FALSE)*'Incremental Repayments'!$I$22)),0),0)</f>
        <v>0</v>
      </c>
      <c r="BW67" s="477">
        <f>IF('Incremental Repayments'!$R$22="Debt",IF(AND(BW$4&gt;=$D67,BW$4&lt;$D67+'Incremental Repayments'!$I$31),-PMT('Interest Rate'!$J$16,'Incremental Repayments'!$I$31,(HLOOKUP($D67,$E$4:$CZ$32,28,FALSE)*'Incremental Repayments'!$I$22)),0),0)</f>
        <v>0</v>
      </c>
      <c r="BX67" s="477">
        <f>IF('Incremental Repayments'!$R$22="Debt",IF(AND(BX$4&gt;=$D67,BX$4&lt;$D67+'Incremental Repayments'!$I$31),-PMT('Interest Rate'!$J$16,'Incremental Repayments'!$I$31,(HLOOKUP($D67,$E$4:$CZ$32,28,FALSE)*'Incremental Repayments'!$I$22)),0),0)</f>
        <v>0</v>
      </c>
      <c r="BY67" s="477">
        <f>IF('Incremental Repayments'!$R$22="Debt",IF(AND(BY$4&gt;=$D67,BY$4&lt;$D67+'Incremental Repayments'!$I$31),-PMT('Interest Rate'!$J$16,'Incremental Repayments'!$I$31,(HLOOKUP($D67,$E$4:$CZ$32,28,FALSE)*'Incremental Repayments'!$I$22)),0),0)</f>
        <v>0</v>
      </c>
      <c r="BZ67" s="477">
        <f>IF('Incremental Repayments'!$R$22="Debt",IF(AND(BZ$4&gt;=$D67,BZ$4&lt;$D67+'Incremental Repayments'!$I$31),-PMT('Interest Rate'!$J$16,'Incremental Repayments'!$I$31,(HLOOKUP($D67,$E$4:$CZ$32,28,FALSE)*'Incremental Repayments'!$I$22)),0),0)</f>
        <v>0</v>
      </c>
      <c r="CA67" s="477">
        <f>IF('Incremental Repayments'!$R$22="Debt",IF(AND(CA$4&gt;=$D67,CA$4&lt;$D67+'Incremental Repayments'!$I$31),-PMT('Interest Rate'!$J$16,'Incremental Repayments'!$I$31,(HLOOKUP($D67,$E$4:$CZ$32,28,FALSE)*'Incremental Repayments'!$I$22)),0),0)</f>
        <v>0</v>
      </c>
      <c r="CB67" s="477">
        <f>IF('Incremental Repayments'!$R$22="Debt",IF(AND(CB$4&gt;=$D67,CB$4&lt;$D67+'Incremental Repayments'!$I$31),-PMT('Interest Rate'!$J$16,'Incremental Repayments'!$I$31,(HLOOKUP($D67,$E$4:$CZ$32,28,FALSE)*'Incremental Repayments'!$I$22)),0),0)</f>
        <v>0</v>
      </c>
      <c r="CC67" s="477">
        <f>IF('Incremental Repayments'!$R$22="Debt",IF(AND(CC$4&gt;=$D67,CC$4&lt;$D67+'Incremental Repayments'!$I$31),-PMT('Interest Rate'!$J$16,'Incremental Repayments'!$I$31,(HLOOKUP($D67,$E$4:$CZ$32,28,FALSE)*'Incremental Repayments'!$I$22)),0),0)</f>
        <v>0</v>
      </c>
      <c r="CD67" s="477">
        <f>IF('Incremental Repayments'!$R$22="Debt",IF(AND(CD$4&gt;=$D67,CD$4&lt;$D67+'Incremental Repayments'!$I$31),-PMT('Interest Rate'!$J$16,'Incremental Repayments'!$I$31,(HLOOKUP($D67,$E$4:$CZ$32,28,FALSE)*'Incremental Repayments'!$I$22)),0),0)</f>
        <v>0</v>
      </c>
      <c r="CE67" s="477">
        <f>IF('Incremental Repayments'!$R$22="Debt",IF(AND(CE$4&gt;=$D67,CE$4&lt;$D67+'Incremental Repayments'!$I$31),-PMT('Interest Rate'!$J$16,'Incremental Repayments'!$I$31,(HLOOKUP($D67,$E$4:$CZ$32,28,FALSE)*'Incremental Repayments'!$I$22)),0),0)</f>
        <v>0</v>
      </c>
      <c r="CF67" s="477">
        <f>IF('Incremental Repayments'!$R$22="Debt",IF(AND(CF$4&gt;=$D67,CF$4&lt;$D67+'Incremental Repayments'!$I$31),-PMT('Interest Rate'!$J$16,'Incremental Repayments'!$I$31,(HLOOKUP($D67,$E$4:$CZ$32,28,FALSE)*'Incremental Repayments'!$I$22)),0),0)</f>
        <v>0</v>
      </c>
      <c r="CG67" s="477">
        <f>IF('Incremental Repayments'!$R$22="Debt",IF(AND(CG$4&gt;=$D67,CG$4&lt;$D67+'Incremental Repayments'!$I$31),-PMT('Interest Rate'!$J$16,'Incremental Repayments'!$I$31,(HLOOKUP($D67,$E$4:$CZ$32,28,FALSE)*'Incremental Repayments'!$I$22)),0),0)</f>
        <v>0</v>
      </c>
      <c r="CH67" s="477">
        <f>IF('Incremental Repayments'!$R$22="Debt",IF(AND(CH$4&gt;=$D67,CH$4&lt;$D67+'Incremental Repayments'!$I$31),-PMT('Interest Rate'!$J$16,'Incremental Repayments'!$I$31,(HLOOKUP($D67,$E$4:$CZ$32,28,FALSE)*'Incremental Repayments'!$I$22)),0),0)</f>
        <v>0</v>
      </c>
      <c r="CI67" s="477">
        <f>IF('Incremental Repayments'!$R$22="Debt",IF(AND(CI$4&gt;=$D67,CI$4&lt;$D67+'Incremental Repayments'!$I$31),-PMT('Interest Rate'!$J$16,'Incremental Repayments'!$I$31,(HLOOKUP($D67,$E$4:$CZ$32,28,FALSE)*'Incremental Repayments'!$I$22)),0),0)</f>
        <v>0</v>
      </c>
      <c r="CJ67" s="477">
        <f>IF('Incremental Repayments'!$R$22="Debt",IF(AND(CJ$4&gt;=$D67,CJ$4&lt;$D67+'Incremental Repayments'!$I$31),-PMT('Interest Rate'!$J$16,'Incremental Repayments'!$I$31,(HLOOKUP($D67,$E$4:$CZ$32,28,FALSE)*'Incremental Repayments'!$I$22)),0),0)</f>
        <v>0</v>
      </c>
      <c r="CK67" s="477">
        <f>IF('Incremental Repayments'!$R$22="Debt",IF(AND(CK$4&gt;=$D67,CK$4&lt;$D67+'Incremental Repayments'!$I$31),-PMT('Interest Rate'!$J$16,'Incremental Repayments'!$I$31,(HLOOKUP($D67,$E$4:$CZ$32,28,FALSE)*'Incremental Repayments'!$I$22)),0),0)</f>
        <v>0</v>
      </c>
      <c r="CL67" s="477">
        <f>IF('Incremental Repayments'!$R$22="Debt",IF(AND(CL$4&gt;=$D67,CL$4&lt;$D67+'Incremental Repayments'!$I$31),-PMT('Interest Rate'!$J$16,'Incremental Repayments'!$I$31,(HLOOKUP($D67,$E$4:$CZ$32,28,FALSE)*'Incremental Repayments'!$I$22)),0),0)</f>
        <v>0</v>
      </c>
      <c r="CM67" s="477">
        <f>IF('Incremental Repayments'!$R$22="Debt",IF(AND(CM$4&gt;=$D67,CM$4&lt;$D67+'Incremental Repayments'!$I$31),-PMT('Interest Rate'!$J$16,'Incremental Repayments'!$I$31,(HLOOKUP($D67,$E$4:$CZ$32,28,FALSE)*'Incremental Repayments'!$I$22)),0),0)</f>
        <v>0</v>
      </c>
      <c r="CN67" s="477">
        <f>IF('Incremental Repayments'!$R$22="Debt",IF(AND(CN$4&gt;=$D67,CN$4&lt;$D67+'Incremental Repayments'!$I$31),-PMT('Interest Rate'!$J$16,'Incremental Repayments'!$I$31,(HLOOKUP($D67,$E$4:$CZ$32,28,FALSE)*'Incremental Repayments'!$I$22)),0),0)</f>
        <v>0</v>
      </c>
      <c r="CO67" s="477">
        <f>IF('Incremental Repayments'!$R$22="Debt",IF(AND(CO$4&gt;=$D67,CO$4&lt;$D67+'Incremental Repayments'!$I$31),-PMT('Interest Rate'!$J$16,'Incremental Repayments'!$I$31,(HLOOKUP($D67,$E$4:$CZ$32,28,FALSE)*'Incremental Repayments'!$I$22)),0),0)</f>
        <v>0</v>
      </c>
      <c r="CP67" s="477">
        <f>IF('Incremental Repayments'!$R$22="Debt",IF(AND(CP$4&gt;=$D67,CP$4&lt;$D67+'Incremental Repayments'!$I$31),-PMT('Interest Rate'!$J$16,'Incremental Repayments'!$I$31,(HLOOKUP($D67,$E$4:$CZ$32,28,FALSE)*'Incremental Repayments'!$I$22)),0),0)</f>
        <v>0</v>
      </c>
      <c r="CQ67" s="477">
        <f>IF('Incremental Repayments'!$R$22="Debt",IF(AND(CQ$4&gt;=$D67,CQ$4&lt;$D67+'Incremental Repayments'!$I$31),-PMT('Interest Rate'!$J$16,'Incremental Repayments'!$I$31,(HLOOKUP($D67,$E$4:$CZ$32,28,FALSE)*'Incremental Repayments'!$I$22)),0),0)</f>
        <v>0</v>
      </c>
      <c r="CR67" s="477">
        <f>IF('Incremental Repayments'!$R$22="Debt",IF(AND(CR$4&gt;=$D67,CR$4&lt;$D67+'Incremental Repayments'!$I$31),-PMT('Interest Rate'!$J$16,'Incremental Repayments'!$I$31,(HLOOKUP($D67,$E$4:$CZ$32,28,FALSE)*'Incremental Repayments'!$I$22)),0),0)</f>
        <v>0</v>
      </c>
      <c r="CS67" s="477">
        <f>IF('Incremental Repayments'!$R$22="Debt",IF(AND(CS$4&gt;=$D67,CS$4&lt;$D67+'Incremental Repayments'!$I$31),-PMT('Interest Rate'!$J$16,'Incremental Repayments'!$I$31,(HLOOKUP($D67,$E$4:$CZ$32,28,FALSE)*'Incremental Repayments'!$I$22)),0),0)</f>
        <v>0</v>
      </c>
      <c r="CT67" s="477">
        <f>IF('Incremental Repayments'!$R$22="Debt",IF(AND(CT$4&gt;=$D67,CT$4&lt;$D67+'Incremental Repayments'!$I$31),-PMT('Interest Rate'!$J$16,'Incremental Repayments'!$I$31,(HLOOKUP($D67,$E$4:$CZ$32,28,FALSE)*'Incremental Repayments'!$I$22)),0),0)</f>
        <v>0</v>
      </c>
      <c r="CU67" s="477">
        <f>IF('Incremental Repayments'!$R$22="Debt",IF(AND(CU$4&gt;=$D67,CU$4&lt;$D67+'Incremental Repayments'!$I$31),-PMT('Interest Rate'!$J$16,'Incremental Repayments'!$I$31,(HLOOKUP($D67,$E$4:$CZ$32,28,FALSE)*'Incremental Repayments'!$I$22)),0),0)</f>
        <v>0</v>
      </c>
      <c r="CV67" s="477">
        <f>IF('Incremental Repayments'!$R$22="Debt",IF(AND(CV$4&gt;=$D67,CV$4&lt;$D67+'Incremental Repayments'!$I$31),-PMT('Interest Rate'!$J$16,'Incremental Repayments'!$I$31,(HLOOKUP($D67,$E$4:$CZ$32,28,FALSE)*'Incremental Repayments'!$I$22)),0),0)</f>
        <v>0</v>
      </c>
      <c r="CW67" s="477">
        <f>IF('Incremental Repayments'!$R$22="Debt",IF(AND(CW$4&gt;=$D67,CW$4&lt;$D67+'Incremental Repayments'!$I$31),-PMT('Interest Rate'!$J$16,'Incremental Repayments'!$I$31,(HLOOKUP($D67,$E$4:$CZ$32,28,FALSE)*'Incremental Repayments'!$I$22)),0),0)</f>
        <v>0</v>
      </c>
      <c r="CX67" s="477">
        <f>IF('Incremental Repayments'!$R$22="Debt",IF(AND(CX$4&gt;=$D67,CX$4&lt;$D67+'Incremental Repayments'!$I$31),-PMT('Interest Rate'!$J$16,'Incremental Repayments'!$I$31,(HLOOKUP($D67,$E$4:$CZ$32,28,FALSE)*'Incremental Repayments'!$I$22)),0),0)</f>
        <v>0</v>
      </c>
      <c r="CY67" s="477">
        <f>IF('Incremental Repayments'!$R$22="Debt",IF(AND(CY$4&gt;=$D67,CY$4&lt;$D67+'Incremental Repayments'!$I$31),-PMT('Interest Rate'!$J$16,'Incremental Repayments'!$I$31,(HLOOKUP($D67,$E$4:$CZ$32,28,FALSE)*'Incremental Repayments'!$I$22)),0),0)</f>
        <v>0</v>
      </c>
      <c r="CZ67" s="477">
        <f>IF('Incremental Repayments'!$R$22="Debt",IF(AND(CZ$4&gt;=$D67,CZ$4&lt;$D67+'Incremental Repayments'!$I$31),-PMT('Interest Rate'!$J$16,'Incremental Repayments'!$I$31,(HLOOKUP($D67,$E$4:$CZ$32,28,FALSE)*'Incremental Repayments'!$I$22)),0),0)</f>
        <v>0</v>
      </c>
    </row>
    <row r="68" spans="2:104" x14ac:dyDescent="0.25">
      <c r="B68" s="480" t="str">
        <f>CONCATENATE("Series ",D68,"A Bonds (at ",'Interest Rate'!$J$16*100,"% Interest)")</f>
        <v>Series 2046A Bonds (at 4.5% Interest)</v>
      </c>
      <c r="C68" s="480"/>
      <c r="D68" s="492">
        <f t="shared" si="492"/>
        <v>2046</v>
      </c>
      <c r="E68" s="477">
        <f>IF('Incremental Repayments'!$R$22="Debt",IF(AND(E$4&gt;=$D68,E$4&lt;$D68+'Incremental Repayments'!$I$31),-PMT('Interest Rate'!$J$16,'Incremental Repayments'!$I$31,(HLOOKUP($D68,$E$4:$CZ$32,28,FALSE)*'Incremental Repayments'!$I$22)),0),0)</f>
        <v>0</v>
      </c>
      <c r="F68" s="477">
        <f>IF('Incremental Repayments'!$R$22="Debt",IF(AND(F$4&gt;=$D68,F$4&lt;$D68+'Incremental Repayments'!$I$31),-PMT('Interest Rate'!$J$16,'Incremental Repayments'!$I$31,(HLOOKUP($D68,$E$4:$CZ$32,28,FALSE)*'Incremental Repayments'!$I$22)),0),0)</f>
        <v>0</v>
      </c>
      <c r="G68" s="477">
        <f>IF('Incremental Repayments'!$R$22="Debt",IF(AND(G$4&gt;=$D68,G$4&lt;$D68+'Incremental Repayments'!$I$31),-PMT('Interest Rate'!$J$16,'Incremental Repayments'!$I$31,(HLOOKUP($D68,$E$4:$CZ$32,28,FALSE)*'Incremental Repayments'!$I$22)),0),0)</f>
        <v>0</v>
      </c>
      <c r="H68" s="477">
        <f>IF('Incremental Repayments'!$R$22="Debt",IF(AND(H$4&gt;=$D68,H$4&lt;$D68+'Incremental Repayments'!$I$31),-PMT('Interest Rate'!$J$16,'Incremental Repayments'!$I$31,(HLOOKUP($D68,$E$4:$CZ$32,28,FALSE)*'Incremental Repayments'!$I$22)),0),0)</f>
        <v>0</v>
      </c>
      <c r="I68" s="477">
        <f>IF('Incremental Repayments'!$R$22="Debt",IF(AND(I$4&gt;=$D68,I$4&lt;$D68+'Incremental Repayments'!$I$31),-PMT('Interest Rate'!$J$16,'Incremental Repayments'!$I$31,(HLOOKUP($D68,$E$4:$CZ$32,28,FALSE)*'Incremental Repayments'!$I$22)),0),0)</f>
        <v>0</v>
      </c>
      <c r="J68" s="477">
        <f>IF('Incremental Repayments'!$R$22="Debt",IF(AND(J$4&gt;=$D68,J$4&lt;$D68+'Incremental Repayments'!$I$31),-PMT('Interest Rate'!$J$16,'Incremental Repayments'!$I$31,(HLOOKUP($D68,$E$4:$CZ$32,28,FALSE)*'Incremental Repayments'!$I$22)),0),0)</f>
        <v>0</v>
      </c>
      <c r="K68" s="477">
        <f>IF('Incremental Repayments'!$R$22="Debt",IF(AND(K$4&gt;=$D68,K$4&lt;$D68+'Incremental Repayments'!$I$31),-PMT('Interest Rate'!$J$16,'Incremental Repayments'!$I$31,(HLOOKUP($D68,$E$4:$CZ$32,28,FALSE)*'Incremental Repayments'!$I$22)),0),0)</f>
        <v>0</v>
      </c>
      <c r="L68" s="477">
        <f>IF('Incremental Repayments'!$R$22="Debt",IF(AND(L$4&gt;=$D68,L$4&lt;$D68+'Incremental Repayments'!$I$31),-PMT('Interest Rate'!$J$16,'Incremental Repayments'!$I$31,(HLOOKUP($D68,$E$4:$CZ$32,28,FALSE)*'Incremental Repayments'!$I$22)),0),0)</f>
        <v>0</v>
      </c>
      <c r="M68" s="477">
        <f>IF('Incremental Repayments'!$R$22="Debt",IF(AND(M$4&gt;=$D68,M$4&lt;$D68+'Incremental Repayments'!$I$31),-PMT('Interest Rate'!$J$16,'Incremental Repayments'!$I$31,(HLOOKUP($D68,$E$4:$CZ$32,28,FALSE)*'Incremental Repayments'!$I$22)),0),0)</f>
        <v>0</v>
      </c>
      <c r="N68" s="477">
        <f>IF('Incremental Repayments'!$R$22="Debt",IF(AND(N$4&gt;=$D68,N$4&lt;$D68+'Incremental Repayments'!$I$31),-PMT('Interest Rate'!$J$16,'Incremental Repayments'!$I$31,(HLOOKUP($D68,$E$4:$CZ$32,28,FALSE)*'Incremental Repayments'!$I$22)),0),0)</f>
        <v>0</v>
      </c>
      <c r="O68" s="477">
        <f>IF('Incremental Repayments'!$R$22="Debt",IF(AND(O$4&gt;=$D68,O$4&lt;$D68+'Incremental Repayments'!$I$31),-PMT('Interest Rate'!$J$16,'Incremental Repayments'!$I$31,(HLOOKUP($D68,$E$4:$CZ$32,28,FALSE)*'Incremental Repayments'!$I$22)),0),0)</f>
        <v>0</v>
      </c>
      <c r="P68" s="477">
        <f>IF('Incremental Repayments'!$R$22="Debt",IF(AND(P$4&gt;=$D68,P$4&lt;$D68+'Incremental Repayments'!$I$31),-PMT('Interest Rate'!$J$16,'Incremental Repayments'!$I$31,(HLOOKUP($D68,$E$4:$CZ$32,28,FALSE)*'Incremental Repayments'!$I$22)),0),0)</f>
        <v>0</v>
      </c>
      <c r="Q68" s="477">
        <f>IF('Incremental Repayments'!$R$22="Debt",IF(AND(Q$4&gt;=$D68,Q$4&lt;$D68+'Incremental Repayments'!$I$31),-PMT('Interest Rate'!$J$16,'Incremental Repayments'!$I$31,(HLOOKUP($D68,$E$4:$CZ$32,28,FALSE)*'Incremental Repayments'!$I$22)),0),0)</f>
        <v>0</v>
      </c>
      <c r="R68" s="477">
        <f>IF('Incremental Repayments'!$R$22="Debt",IF(AND(R$4&gt;=$D68,R$4&lt;$D68+'Incremental Repayments'!$I$31),-PMT('Interest Rate'!$J$16,'Incremental Repayments'!$I$31,(HLOOKUP($D68,$E$4:$CZ$32,28,FALSE)*'Incremental Repayments'!$I$22)),0),0)</f>
        <v>0</v>
      </c>
      <c r="S68" s="477">
        <f>IF('Incremental Repayments'!$R$22="Debt",IF(AND(S$4&gt;=$D68,S$4&lt;$D68+'Incremental Repayments'!$I$31),-PMT('Interest Rate'!$J$16,'Incremental Repayments'!$I$31,(HLOOKUP($D68,$E$4:$CZ$32,28,FALSE)*'Incremental Repayments'!$I$22)),0),0)</f>
        <v>0</v>
      </c>
      <c r="T68" s="477">
        <f>IF('Incremental Repayments'!$R$22="Debt",IF(AND(T$4&gt;=$D68,T$4&lt;$D68+'Incremental Repayments'!$I$31),-PMT('Interest Rate'!$J$16,'Incremental Repayments'!$I$31,(HLOOKUP($D68,$E$4:$CZ$32,28,FALSE)*'Incremental Repayments'!$I$22)),0),0)</f>
        <v>0</v>
      </c>
      <c r="U68" s="477">
        <f>IF('Incremental Repayments'!$R$22="Debt",IF(AND(U$4&gt;=$D68,U$4&lt;$D68+'Incremental Repayments'!$I$31),-PMT('Interest Rate'!$J$16,'Incremental Repayments'!$I$31,(HLOOKUP($D68,$E$4:$CZ$32,28,FALSE)*'Incremental Repayments'!$I$22)),0),0)</f>
        <v>0</v>
      </c>
      <c r="V68" s="477">
        <f>IF('Incremental Repayments'!$R$22="Debt",IF(AND(V$4&gt;=$D68,V$4&lt;$D68+'Incremental Repayments'!$I$31),-PMT('Interest Rate'!$J$16,'Incremental Repayments'!$I$31,(HLOOKUP($D68,$E$4:$CZ$32,28,FALSE)*'Incremental Repayments'!$I$22)),0),0)</f>
        <v>0</v>
      </c>
      <c r="W68" s="477">
        <f>IF('Incremental Repayments'!$R$22="Debt",IF(AND(W$4&gt;=$D68,W$4&lt;$D68+'Incremental Repayments'!$I$31),-PMT('Interest Rate'!$J$16,'Incremental Repayments'!$I$31,(HLOOKUP($D68,$E$4:$CZ$32,28,FALSE)*'Incremental Repayments'!$I$22)),0),0)</f>
        <v>0</v>
      </c>
      <c r="X68" s="477">
        <f>IF('Incremental Repayments'!$R$22="Debt",IF(AND(X$4&gt;=$D68,X$4&lt;$D68+'Incremental Repayments'!$I$31),-PMT('Interest Rate'!$J$16,'Incremental Repayments'!$I$31,(HLOOKUP($D68,$E$4:$CZ$32,28,FALSE)*'Incremental Repayments'!$I$22)),0),0)</f>
        <v>0</v>
      </c>
      <c r="Y68" s="477">
        <f>IF('Incremental Repayments'!$R$22="Debt",IF(AND(Y$4&gt;=$D68,Y$4&lt;$D68+'Incremental Repayments'!$I$31),-PMT('Interest Rate'!$J$16,'Incremental Repayments'!$I$31,(HLOOKUP($D68,$E$4:$CZ$32,28,FALSE)*'Incremental Repayments'!$I$22)),0),0)</f>
        <v>0</v>
      </c>
      <c r="Z68" s="477">
        <f>IF('Incremental Repayments'!$R$22="Debt",IF(AND(Z$4&gt;=$D68,Z$4&lt;$D68+'Incremental Repayments'!$I$31),-PMT('Interest Rate'!$J$16,'Incremental Repayments'!$I$31,(HLOOKUP($D68,$E$4:$CZ$32,28,FALSE)*'Incremental Repayments'!$I$22)),0),0)</f>
        <v>0</v>
      </c>
      <c r="AA68" s="477">
        <f>IF('Incremental Repayments'!$R$22="Debt",IF(AND(AA$4&gt;=$D68,AA$4&lt;$D68+'Incremental Repayments'!$I$31),-PMT('Interest Rate'!$J$16,'Incremental Repayments'!$I$31,(HLOOKUP($D68,$E$4:$CZ$32,28,FALSE)*'Incremental Repayments'!$I$22)),0),0)</f>
        <v>0</v>
      </c>
      <c r="AB68" s="477">
        <f>IF('Incremental Repayments'!$R$22="Debt",IF(AND(AB$4&gt;=$D68,AB$4&lt;$D68+'Incremental Repayments'!$I$31),-PMT('Interest Rate'!$J$16,'Incremental Repayments'!$I$31,(HLOOKUP($D68,$E$4:$CZ$32,28,FALSE)*'Incremental Repayments'!$I$22)),0),0)</f>
        <v>0</v>
      </c>
      <c r="AC68" s="477">
        <f>IF('Incremental Repayments'!$R$22="Debt",IF(AND(AC$4&gt;=$D68,AC$4&lt;$D68+'Incremental Repayments'!$I$31),-PMT('Interest Rate'!$J$16,'Incremental Repayments'!$I$31,(HLOOKUP($D68,$E$4:$CZ$32,28,FALSE)*'Incremental Repayments'!$I$22)),0),0)</f>
        <v>0</v>
      </c>
      <c r="AD68" s="477">
        <f>IF('Incremental Repayments'!$R$22="Debt",IF(AND(AD$4&gt;=$D68,AD$4&lt;$D68+'Incremental Repayments'!$I$31),-PMT('Interest Rate'!$J$16,'Incremental Repayments'!$I$31,(HLOOKUP($D68,$E$4:$CZ$32,28,FALSE)*'Incremental Repayments'!$I$22)),0),0)</f>
        <v>0</v>
      </c>
      <c r="AE68" s="477">
        <f>IF('Incremental Repayments'!$R$22="Debt",IF(AND(AE$4&gt;=$D68,AE$4&lt;$D68+'Incremental Repayments'!$I$31),-PMT('Interest Rate'!$J$16,'Incremental Repayments'!$I$31,(HLOOKUP($D68,$E$4:$CZ$32,28,FALSE)*'Incremental Repayments'!$I$22)),0),0)</f>
        <v>0</v>
      </c>
      <c r="AF68" s="477">
        <f>IF('Incremental Repayments'!$R$22="Debt",IF(AND(AF$4&gt;=$D68,AF$4&lt;$D68+'Incremental Repayments'!$I$31),-PMT('Interest Rate'!$J$16,'Incremental Repayments'!$I$31,(HLOOKUP($D68,$E$4:$CZ$32,28,FALSE)*'Incremental Repayments'!$I$22)),0),0)</f>
        <v>0</v>
      </c>
      <c r="AG68" s="477">
        <f>IF('Incremental Repayments'!$R$22="Debt",IF(AND(AG$4&gt;=$D68,AG$4&lt;$D68+'Incremental Repayments'!$I$31),-PMT('Interest Rate'!$J$16,'Incremental Repayments'!$I$31,(HLOOKUP($D68,$E$4:$CZ$32,28,FALSE)*'Incremental Repayments'!$I$22)),0),0)</f>
        <v>0</v>
      </c>
      <c r="AH68" s="477">
        <f>IF('Incremental Repayments'!$R$22="Debt",IF(AND(AH$4&gt;=$D68,AH$4&lt;$D68+'Incremental Repayments'!$I$31),-PMT('Interest Rate'!$J$16,'Incremental Repayments'!$I$31,(HLOOKUP($D68,$E$4:$CZ$32,28,FALSE)*'Incremental Repayments'!$I$22)),0),0)</f>
        <v>0</v>
      </c>
      <c r="AI68" s="477">
        <f>IF('Incremental Repayments'!$R$22="Debt",IF(AND(AI$4&gt;=$D68,AI$4&lt;$D68+'Incremental Repayments'!$I$31),-PMT('Interest Rate'!$J$16,'Incremental Repayments'!$I$31,(HLOOKUP($D68,$E$4:$CZ$32,28,FALSE)*'Incremental Repayments'!$I$22)),0),0)</f>
        <v>0</v>
      </c>
      <c r="AJ68" s="477">
        <f>IF('Incremental Repayments'!$R$22="Debt",IF(AND(AJ$4&gt;=$D68,AJ$4&lt;$D68+'Incremental Repayments'!$I$31),-PMT('Interest Rate'!$J$16,'Incremental Repayments'!$I$31,(HLOOKUP($D68,$E$4:$CZ$32,28,FALSE)*'Incremental Repayments'!$I$22)),0),0)</f>
        <v>0</v>
      </c>
      <c r="AK68" s="477">
        <f>IF('Incremental Repayments'!$R$22="Debt",IF(AND(AK$4&gt;=$D68,AK$4&lt;$D68+'Incremental Repayments'!$I$31),-PMT('Interest Rate'!$J$16,'Incremental Repayments'!$I$31,(HLOOKUP($D68,$E$4:$CZ$32,28,FALSE)*'Incremental Repayments'!$I$22)),0),0)</f>
        <v>883572.14749204018</v>
      </c>
      <c r="AL68" s="477">
        <f>IF('Incremental Repayments'!$R$22="Debt",IF(AND(AL$4&gt;=$D68,AL$4&lt;$D68+'Incremental Repayments'!$I$31),-PMT('Interest Rate'!$J$16,'Incremental Repayments'!$I$31,(HLOOKUP($D68,$E$4:$CZ$32,28,FALSE)*'Incremental Repayments'!$I$22)),0),0)</f>
        <v>883572.14749204018</v>
      </c>
      <c r="AM68" s="477">
        <f>IF('Incremental Repayments'!$R$22="Debt",IF(AND(AM$4&gt;=$D68,AM$4&lt;$D68+'Incremental Repayments'!$I$31),-PMT('Interest Rate'!$J$16,'Incremental Repayments'!$I$31,(HLOOKUP($D68,$E$4:$CZ$32,28,FALSE)*'Incremental Repayments'!$I$22)),0),0)</f>
        <v>883572.14749204018</v>
      </c>
      <c r="AN68" s="477">
        <f>IF('Incremental Repayments'!$R$22="Debt",IF(AND(AN$4&gt;=$D68,AN$4&lt;$D68+'Incremental Repayments'!$I$31),-PMT('Interest Rate'!$J$16,'Incremental Repayments'!$I$31,(HLOOKUP($D68,$E$4:$CZ$32,28,FALSE)*'Incremental Repayments'!$I$22)),0),0)</f>
        <v>883572.14749204018</v>
      </c>
      <c r="AO68" s="477">
        <f>IF('Incremental Repayments'!$R$22="Debt",IF(AND(AO$4&gt;=$D68,AO$4&lt;$D68+'Incremental Repayments'!$I$31),-PMT('Interest Rate'!$J$16,'Incremental Repayments'!$I$31,(HLOOKUP($D68,$E$4:$CZ$32,28,FALSE)*'Incremental Repayments'!$I$22)),0),0)</f>
        <v>883572.14749204018</v>
      </c>
      <c r="AP68" s="477">
        <f>IF('Incremental Repayments'!$R$22="Debt",IF(AND(AP$4&gt;=$D68,AP$4&lt;$D68+'Incremental Repayments'!$I$31),-PMT('Interest Rate'!$J$16,'Incremental Repayments'!$I$31,(HLOOKUP($D68,$E$4:$CZ$32,28,FALSE)*'Incremental Repayments'!$I$22)),0),0)</f>
        <v>883572.14749204018</v>
      </c>
      <c r="AQ68" s="477">
        <f>IF('Incremental Repayments'!$R$22="Debt",IF(AND(AQ$4&gt;=$D68,AQ$4&lt;$D68+'Incremental Repayments'!$I$31),-PMT('Interest Rate'!$J$16,'Incremental Repayments'!$I$31,(HLOOKUP($D68,$E$4:$CZ$32,28,FALSE)*'Incremental Repayments'!$I$22)),0),0)</f>
        <v>883572.14749204018</v>
      </c>
      <c r="AR68" s="477">
        <f>IF('Incremental Repayments'!$R$22="Debt",IF(AND(AR$4&gt;=$D68,AR$4&lt;$D68+'Incremental Repayments'!$I$31),-PMT('Interest Rate'!$J$16,'Incremental Repayments'!$I$31,(HLOOKUP($D68,$E$4:$CZ$32,28,FALSE)*'Incremental Repayments'!$I$22)),0),0)</f>
        <v>883572.14749204018</v>
      </c>
      <c r="AS68" s="477">
        <f>IF('Incremental Repayments'!$R$22="Debt",IF(AND(AS$4&gt;=$D68,AS$4&lt;$D68+'Incremental Repayments'!$I$31),-PMT('Interest Rate'!$J$16,'Incremental Repayments'!$I$31,(HLOOKUP($D68,$E$4:$CZ$32,28,FALSE)*'Incremental Repayments'!$I$22)),0),0)</f>
        <v>883572.14749204018</v>
      </c>
      <c r="AT68" s="477">
        <f>IF('Incremental Repayments'!$R$22="Debt",IF(AND(AT$4&gt;=$D68,AT$4&lt;$D68+'Incremental Repayments'!$I$31),-PMT('Interest Rate'!$J$16,'Incremental Repayments'!$I$31,(HLOOKUP($D68,$E$4:$CZ$32,28,FALSE)*'Incremental Repayments'!$I$22)),0),0)</f>
        <v>883572.14749204018</v>
      </c>
      <c r="AU68" s="477">
        <f>IF('Incremental Repayments'!$R$22="Debt",IF(AND(AU$4&gt;=$D68,AU$4&lt;$D68+'Incremental Repayments'!$I$31),-PMT('Interest Rate'!$J$16,'Incremental Repayments'!$I$31,(HLOOKUP($D68,$E$4:$CZ$32,28,FALSE)*'Incremental Repayments'!$I$22)),0),0)</f>
        <v>883572.14749204018</v>
      </c>
      <c r="AV68" s="477">
        <f>IF('Incremental Repayments'!$R$22="Debt",IF(AND(AV$4&gt;=$D68,AV$4&lt;$D68+'Incremental Repayments'!$I$31),-PMT('Interest Rate'!$J$16,'Incremental Repayments'!$I$31,(HLOOKUP($D68,$E$4:$CZ$32,28,FALSE)*'Incremental Repayments'!$I$22)),0),0)</f>
        <v>883572.14749204018</v>
      </c>
      <c r="AW68" s="477">
        <f>IF('Incremental Repayments'!$R$22="Debt",IF(AND(AW$4&gt;=$D68,AW$4&lt;$D68+'Incremental Repayments'!$I$31),-PMT('Interest Rate'!$J$16,'Incremental Repayments'!$I$31,(HLOOKUP($D68,$E$4:$CZ$32,28,FALSE)*'Incremental Repayments'!$I$22)),0),0)</f>
        <v>883572.14749204018</v>
      </c>
      <c r="AX68" s="477">
        <f>IF('Incremental Repayments'!$R$22="Debt",IF(AND(AX$4&gt;=$D68,AX$4&lt;$D68+'Incremental Repayments'!$I$31),-PMT('Interest Rate'!$J$16,'Incremental Repayments'!$I$31,(HLOOKUP($D68,$E$4:$CZ$32,28,FALSE)*'Incremental Repayments'!$I$22)),0),0)</f>
        <v>883572.14749204018</v>
      </c>
      <c r="AY68" s="477">
        <f>IF('Incremental Repayments'!$R$22="Debt",IF(AND(AY$4&gt;=$D68,AY$4&lt;$D68+'Incremental Repayments'!$I$31),-PMT('Interest Rate'!$J$16,'Incremental Repayments'!$I$31,(HLOOKUP($D68,$E$4:$CZ$32,28,FALSE)*'Incremental Repayments'!$I$22)),0),0)</f>
        <v>883572.14749204018</v>
      </c>
      <c r="AZ68" s="477">
        <f>IF('Incremental Repayments'!$R$22="Debt",IF(AND(AZ$4&gt;=$D68,AZ$4&lt;$D68+'Incremental Repayments'!$I$31),-PMT('Interest Rate'!$J$16,'Incremental Repayments'!$I$31,(HLOOKUP($D68,$E$4:$CZ$32,28,FALSE)*'Incremental Repayments'!$I$22)),0),0)</f>
        <v>883572.14749204018</v>
      </c>
      <c r="BA68" s="477">
        <f>IF('Incremental Repayments'!$R$22="Debt",IF(AND(BA$4&gt;=$D68,BA$4&lt;$D68+'Incremental Repayments'!$I$31),-PMT('Interest Rate'!$J$16,'Incremental Repayments'!$I$31,(HLOOKUP($D68,$E$4:$CZ$32,28,FALSE)*'Incremental Repayments'!$I$22)),0),0)</f>
        <v>883572.14749204018</v>
      </c>
      <c r="BB68" s="477">
        <f>IF('Incremental Repayments'!$R$22="Debt",IF(AND(BB$4&gt;=$D68,BB$4&lt;$D68+'Incremental Repayments'!$I$31),-PMT('Interest Rate'!$J$16,'Incremental Repayments'!$I$31,(HLOOKUP($D68,$E$4:$CZ$32,28,FALSE)*'Incremental Repayments'!$I$22)),0),0)</f>
        <v>883572.14749204018</v>
      </c>
      <c r="BC68" s="477">
        <f>IF('Incremental Repayments'!$R$22="Debt",IF(AND(BC$4&gt;=$D68,BC$4&lt;$D68+'Incremental Repayments'!$I$31),-PMT('Interest Rate'!$J$16,'Incremental Repayments'!$I$31,(HLOOKUP($D68,$E$4:$CZ$32,28,FALSE)*'Incremental Repayments'!$I$22)),0),0)</f>
        <v>883572.14749204018</v>
      </c>
      <c r="BD68" s="477">
        <f>IF('Incremental Repayments'!$R$22="Debt",IF(AND(BD$4&gt;=$D68,BD$4&lt;$D68+'Incremental Repayments'!$I$31),-PMT('Interest Rate'!$J$16,'Incremental Repayments'!$I$31,(HLOOKUP($D68,$E$4:$CZ$32,28,FALSE)*'Incremental Repayments'!$I$22)),0),0)</f>
        <v>883572.14749204018</v>
      </c>
      <c r="BE68" s="477">
        <f>IF('Incremental Repayments'!$R$22="Debt",IF(AND(BE$4&gt;=$D68,BE$4&lt;$D68+'Incremental Repayments'!$I$31),-PMT('Interest Rate'!$J$16,'Incremental Repayments'!$I$31,(HLOOKUP($D68,$E$4:$CZ$32,28,FALSE)*'Incremental Repayments'!$I$22)),0),0)</f>
        <v>883572.14749204018</v>
      </c>
      <c r="BF68" s="477">
        <f>IF('Incremental Repayments'!$R$22="Debt",IF(AND(BF$4&gt;=$D68,BF$4&lt;$D68+'Incremental Repayments'!$I$31),-PMT('Interest Rate'!$J$16,'Incremental Repayments'!$I$31,(HLOOKUP($D68,$E$4:$CZ$32,28,FALSE)*'Incremental Repayments'!$I$22)),0),0)</f>
        <v>883572.14749204018</v>
      </c>
      <c r="BG68" s="477">
        <f>IF('Incremental Repayments'!$R$22="Debt",IF(AND(BG$4&gt;=$D68,BG$4&lt;$D68+'Incremental Repayments'!$I$31),-PMT('Interest Rate'!$J$16,'Incremental Repayments'!$I$31,(HLOOKUP($D68,$E$4:$CZ$32,28,FALSE)*'Incremental Repayments'!$I$22)),0),0)</f>
        <v>883572.14749204018</v>
      </c>
      <c r="BH68" s="477">
        <f>IF('Incremental Repayments'!$R$22="Debt",IF(AND(BH$4&gt;=$D68,BH$4&lt;$D68+'Incremental Repayments'!$I$31),-PMT('Interest Rate'!$J$16,'Incremental Repayments'!$I$31,(HLOOKUP($D68,$E$4:$CZ$32,28,FALSE)*'Incremental Repayments'!$I$22)),0),0)</f>
        <v>883572.14749204018</v>
      </c>
      <c r="BI68" s="477">
        <f>IF('Incremental Repayments'!$R$22="Debt",IF(AND(BI$4&gt;=$D68,BI$4&lt;$D68+'Incremental Repayments'!$I$31),-PMT('Interest Rate'!$J$16,'Incremental Repayments'!$I$31,(HLOOKUP($D68,$E$4:$CZ$32,28,FALSE)*'Incremental Repayments'!$I$22)),0),0)</f>
        <v>883572.14749204018</v>
      </c>
      <c r="BJ68" s="477">
        <f>IF('Incremental Repayments'!$R$22="Debt",IF(AND(BJ$4&gt;=$D68,BJ$4&lt;$D68+'Incremental Repayments'!$I$31),-PMT('Interest Rate'!$J$16,'Incremental Repayments'!$I$31,(HLOOKUP($D68,$E$4:$CZ$32,28,FALSE)*'Incremental Repayments'!$I$22)),0),0)</f>
        <v>883572.14749204018</v>
      </c>
      <c r="BK68" s="477">
        <f>IF('Incremental Repayments'!$R$22="Debt",IF(AND(BK$4&gt;=$D68,BK$4&lt;$D68+'Incremental Repayments'!$I$31),-PMT('Interest Rate'!$J$16,'Incremental Repayments'!$I$31,(HLOOKUP($D68,$E$4:$CZ$32,28,FALSE)*'Incremental Repayments'!$I$22)),0),0)</f>
        <v>883572.14749204018</v>
      </c>
      <c r="BL68" s="477">
        <f>IF('Incremental Repayments'!$R$22="Debt",IF(AND(BL$4&gt;=$D68,BL$4&lt;$D68+'Incremental Repayments'!$I$31),-PMT('Interest Rate'!$J$16,'Incremental Repayments'!$I$31,(HLOOKUP($D68,$E$4:$CZ$32,28,FALSE)*'Incremental Repayments'!$I$22)),0),0)</f>
        <v>883572.14749204018</v>
      </c>
      <c r="BM68" s="477">
        <f>IF('Incremental Repayments'!$R$22="Debt",IF(AND(BM$4&gt;=$D68,BM$4&lt;$D68+'Incremental Repayments'!$I$31),-PMT('Interest Rate'!$J$16,'Incremental Repayments'!$I$31,(HLOOKUP($D68,$E$4:$CZ$32,28,FALSE)*'Incremental Repayments'!$I$22)),0),0)</f>
        <v>883572.14749204018</v>
      </c>
      <c r="BN68" s="477">
        <f>IF('Incremental Repayments'!$R$22="Debt",IF(AND(BN$4&gt;=$D68,BN$4&lt;$D68+'Incremental Repayments'!$I$31),-PMT('Interest Rate'!$J$16,'Incremental Repayments'!$I$31,(HLOOKUP($D68,$E$4:$CZ$32,28,FALSE)*'Incremental Repayments'!$I$22)),0),0)</f>
        <v>883572.14749204018</v>
      </c>
      <c r="BO68" s="477">
        <f>IF('Incremental Repayments'!$R$22="Debt",IF(AND(BO$4&gt;=$D68,BO$4&lt;$D68+'Incremental Repayments'!$I$31),-PMT('Interest Rate'!$J$16,'Incremental Repayments'!$I$31,(HLOOKUP($D68,$E$4:$CZ$32,28,FALSE)*'Incremental Repayments'!$I$22)),0),0)</f>
        <v>0</v>
      </c>
      <c r="BP68" s="477">
        <f>IF('Incremental Repayments'!$R$22="Debt",IF(AND(BP$4&gt;=$D68,BP$4&lt;$D68+'Incremental Repayments'!$I$31),-PMT('Interest Rate'!$J$16,'Incremental Repayments'!$I$31,(HLOOKUP($D68,$E$4:$CZ$32,28,FALSE)*'Incremental Repayments'!$I$22)),0),0)</f>
        <v>0</v>
      </c>
      <c r="BQ68" s="477">
        <f>IF('Incremental Repayments'!$R$22="Debt",IF(AND(BQ$4&gt;=$D68,BQ$4&lt;$D68+'Incremental Repayments'!$I$31),-PMT('Interest Rate'!$J$16,'Incremental Repayments'!$I$31,(HLOOKUP($D68,$E$4:$CZ$32,28,FALSE)*'Incremental Repayments'!$I$22)),0),0)</f>
        <v>0</v>
      </c>
      <c r="BR68" s="477">
        <f>IF('Incremental Repayments'!$R$22="Debt",IF(AND(BR$4&gt;=$D68,BR$4&lt;$D68+'Incremental Repayments'!$I$31),-PMT('Interest Rate'!$J$16,'Incremental Repayments'!$I$31,(HLOOKUP($D68,$E$4:$CZ$32,28,FALSE)*'Incremental Repayments'!$I$22)),0),0)</f>
        <v>0</v>
      </c>
      <c r="BS68" s="477">
        <f>IF('Incremental Repayments'!$R$22="Debt",IF(AND(BS$4&gt;=$D68,BS$4&lt;$D68+'Incremental Repayments'!$I$31),-PMT('Interest Rate'!$J$16,'Incremental Repayments'!$I$31,(HLOOKUP($D68,$E$4:$CZ$32,28,FALSE)*'Incremental Repayments'!$I$22)),0),0)</f>
        <v>0</v>
      </c>
      <c r="BT68" s="477">
        <f>IF('Incremental Repayments'!$R$22="Debt",IF(AND(BT$4&gt;=$D68,BT$4&lt;$D68+'Incremental Repayments'!$I$31),-PMT('Interest Rate'!$J$16,'Incremental Repayments'!$I$31,(HLOOKUP($D68,$E$4:$CZ$32,28,FALSE)*'Incremental Repayments'!$I$22)),0),0)</f>
        <v>0</v>
      </c>
      <c r="BU68" s="477">
        <f>IF('Incremental Repayments'!$R$22="Debt",IF(AND(BU$4&gt;=$D68,BU$4&lt;$D68+'Incremental Repayments'!$I$31),-PMT('Interest Rate'!$J$16,'Incremental Repayments'!$I$31,(HLOOKUP($D68,$E$4:$CZ$32,28,FALSE)*'Incremental Repayments'!$I$22)),0),0)</f>
        <v>0</v>
      </c>
      <c r="BV68" s="477">
        <f>IF('Incremental Repayments'!$R$22="Debt",IF(AND(BV$4&gt;=$D68,BV$4&lt;$D68+'Incremental Repayments'!$I$31),-PMT('Interest Rate'!$J$16,'Incremental Repayments'!$I$31,(HLOOKUP($D68,$E$4:$CZ$32,28,FALSE)*'Incremental Repayments'!$I$22)),0),0)</f>
        <v>0</v>
      </c>
      <c r="BW68" s="477">
        <f>IF('Incremental Repayments'!$R$22="Debt",IF(AND(BW$4&gt;=$D68,BW$4&lt;$D68+'Incremental Repayments'!$I$31),-PMT('Interest Rate'!$J$16,'Incremental Repayments'!$I$31,(HLOOKUP($D68,$E$4:$CZ$32,28,FALSE)*'Incremental Repayments'!$I$22)),0),0)</f>
        <v>0</v>
      </c>
      <c r="BX68" s="477">
        <f>IF('Incremental Repayments'!$R$22="Debt",IF(AND(BX$4&gt;=$D68,BX$4&lt;$D68+'Incremental Repayments'!$I$31),-PMT('Interest Rate'!$J$16,'Incremental Repayments'!$I$31,(HLOOKUP($D68,$E$4:$CZ$32,28,FALSE)*'Incremental Repayments'!$I$22)),0),0)</f>
        <v>0</v>
      </c>
      <c r="BY68" s="477">
        <f>IF('Incremental Repayments'!$R$22="Debt",IF(AND(BY$4&gt;=$D68,BY$4&lt;$D68+'Incremental Repayments'!$I$31),-PMT('Interest Rate'!$J$16,'Incremental Repayments'!$I$31,(HLOOKUP($D68,$E$4:$CZ$32,28,FALSE)*'Incremental Repayments'!$I$22)),0),0)</f>
        <v>0</v>
      </c>
      <c r="BZ68" s="477">
        <f>IF('Incremental Repayments'!$R$22="Debt",IF(AND(BZ$4&gt;=$D68,BZ$4&lt;$D68+'Incremental Repayments'!$I$31),-PMT('Interest Rate'!$J$16,'Incremental Repayments'!$I$31,(HLOOKUP($D68,$E$4:$CZ$32,28,FALSE)*'Incremental Repayments'!$I$22)),0),0)</f>
        <v>0</v>
      </c>
      <c r="CA68" s="477">
        <f>IF('Incremental Repayments'!$R$22="Debt",IF(AND(CA$4&gt;=$D68,CA$4&lt;$D68+'Incremental Repayments'!$I$31),-PMT('Interest Rate'!$J$16,'Incremental Repayments'!$I$31,(HLOOKUP($D68,$E$4:$CZ$32,28,FALSE)*'Incremental Repayments'!$I$22)),0),0)</f>
        <v>0</v>
      </c>
      <c r="CB68" s="477">
        <f>IF('Incremental Repayments'!$R$22="Debt",IF(AND(CB$4&gt;=$D68,CB$4&lt;$D68+'Incremental Repayments'!$I$31),-PMT('Interest Rate'!$J$16,'Incremental Repayments'!$I$31,(HLOOKUP($D68,$E$4:$CZ$32,28,FALSE)*'Incremental Repayments'!$I$22)),0),0)</f>
        <v>0</v>
      </c>
      <c r="CC68" s="477">
        <f>IF('Incremental Repayments'!$R$22="Debt",IF(AND(CC$4&gt;=$D68,CC$4&lt;$D68+'Incremental Repayments'!$I$31),-PMT('Interest Rate'!$J$16,'Incremental Repayments'!$I$31,(HLOOKUP($D68,$E$4:$CZ$32,28,FALSE)*'Incremental Repayments'!$I$22)),0),0)</f>
        <v>0</v>
      </c>
      <c r="CD68" s="477">
        <f>IF('Incremental Repayments'!$R$22="Debt",IF(AND(CD$4&gt;=$D68,CD$4&lt;$D68+'Incremental Repayments'!$I$31),-PMT('Interest Rate'!$J$16,'Incremental Repayments'!$I$31,(HLOOKUP($D68,$E$4:$CZ$32,28,FALSE)*'Incremental Repayments'!$I$22)),0),0)</f>
        <v>0</v>
      </c>
      <c r="CE68" s="477">
        <f>IF('Incremental Repayments'!$R$22="Debt",IF(AND(CE$4&gt;=$D68,CE$4&lt;$D68+'Incremental Repayments'!$I$31),-PMT('Interest Rate'!$J$16,'Incremental Repayments'!$I$31,(HLOOKUP($D68,$E$4:$CZ$32,28,FALSE)*'Incremental Repayments'!$I$22)),0),0)</f>
        <v>0</v>
      </c>
      <c r="CF68" s="477">
        <f>IF('Incremental Repayments'!$R$22="Debt",IF(AND(CF$4&gt;=$D68,CF$4&lt;$D68+'Incremental Repayments'!$I$31),-PMT('Interest Rate'!$J$16,'Incremental Repayments'!$I$31,(HLOOKUP($D68,$E$4:$CZ$32,28,FALSE)*'Incremental Repayments'!$I$22)),0),0)</f>
        <v>0</v>
      </c>
      <c r="CG68" s="477">
        <f>IF('Incremental Repayments'!$R$22="Debt",IF(AND(CG$4&gt;=$D68,CG$4&lt;$D68+'Incremental Repayments'!$I$31),-PMT('Interest Rate'!$J$16,'Incremental Repayments'!$I$31,(HLOOKUP($D68,$E$4:$CZ$32,28,FALSE)*'Incremental Repayments'!$I$22)),0),0)</f>
        <v>0</v>
      </c>
      <c r="CH68" s="477">
        <f>IF('Incremental Repayments'!$R$22="Debt",IF(AND(CH$4&gt;=$D68,CH$4&lt;$D68+'Incremental Repayments'!$I$31),-PMT('Interest Rate'!$J$16,'Incremental Repayments'!$I$31,(HLOOKUP($D68,$E$4:$CZ$32,28,FALSE)*'Incremental Repayments'!$I$22)),0),0)</f>
        <v>0</v>
      </c>
      <c r="CI68" s="477">
        <f>IF('Incremental Repayments'!$R$22="Debt",IF(AND(CI$4&gt;=$D68,CI$4&lt;$D68+'Incremental Repayments'!$I$31),-PMT('Interest Rate'!$J$16,'Incremental Repayments'!$I$31,(HLOOKUP($D68,$E$4:$CZ$32,28,FALSE)*'Incremental Repayments'!$I$22)),0),0)</f>
        <v>0</v>
      </c>
      <c r="CJ68" s="477">
        <f>IF('Incremental Repayments'!$R$22="Debt",IF(AND(CJ$4&gt;=$D68,CJ$4&lt;$D68+'Incremental Repayments'!$I$31),-PMT('Interest Rate'!$J$16,'Incremental Repayments'!$I$31,(HLOOKUP($D68,$E$4:$CZ$32,28,FALSE)*'Incremental Repayments'!$I$22)),0),0)</f>
        <v>0</v>
      </c>
      <c r="CK68" s="477">
        <f>IF('Incremental Repayments'!$R$22="Debt",IF(AND(CK$4&gt;=$D68,CK$4&lt;$D68+'Incremental Repayments'!$I$31),-PMT('Interest Rate'!$J$16,'Incremental Repayments'!$I$31,(HLOOKUP($D68,$E$4:$CZ$32,28,FALSE)*'Incremental Repayments'!$I$22)),0),0)</f>
        <v>0</v>
      </c>
      <c r="CL68" s="477">
        <f>IF('Incremental Repayments'!$R$22="Debt",IF(AND(CL$4&gt;=$D68,CL$4&lt;$D68+'Incremental Repayments'!$I$31),-PMT('Interest Rate'!$J$16,'Incremental Repayments'!$I$31,(HLOOKUP($D68,$E$4:$CZ$32,28,FALSE)*'Incremental Repayments'!$I$22)),0),0)</f>
        <v>0</v>
      </c>
      <c r="CM68" s="477">
        <f>IF('Incremental Repayments'!$R$22="Debt",IF(AND(CM$4&gt;=$D68,CM$4&lt;$D68+'Incremental Repayments'!$I$31),-PMT('Interest Rate'!$J$16,'Incremental Repayments'!$I$31,(HLOOKUP($D68,$E$4:$CZ$32,28,FALSE)*'Incremental Repayments'!$I$22)),0),0)</f>
        <v>0</v>
      </c>
      <c r="CN68" s="477">
        <f>IF('Incremental Repayments'!$R$22="Debt",IF(AND(CN$4&gt;=$D68,CN$4&lt;$D68+'Incremental Repayments'!$I$31),-PMT('Interest Rate'!$J$16,'Incremental Repayments'!$I$31,(HLOOKUP($D68,$E$4:$CZ$32,28,FALSE)*'Incremental Repayments'!$I$22)),0),0)</f>
        <v>0</v>
      </c>
      <c r="CO68" s="477">
        <f>IF('Incremental Repayments'!$R$22="Debt",IF(AND(CO$4&gt;=$D68,CO$4&lt;$D68+'Incremental Repayments'!$I$31),-PMT('Interest Rate'!$J$16,'Incremental Repayments'!$I$31,(HLOOKUP($D68,$E$4:$CZ$32,28,FALSE)*'Incremental Repayments'!$I$22)),0),0)</f>
        <v>0</v>
      </c>
      <c r="CP68" s="477">
        <f>IF('Incremental Repayments'!$R$22="Debt",IF(AND(CP$4&gt;=$D68,CP$4&lt;$D68+'Incremental Repayments'!$I$31),-PMT('Interest Rate'!$J$16,'Incremental Repayments'!$I$31,(HLOOKUP($D68,$E$4:$CZ$32,28,FALSE)*'Incremental Repayments'!$I$22)),0),0)</f>
        <v>0</v>
      </c>
      <c r="CQ68" s="477">
        <f>IF('Incremental Repayments'!$R$22="Debt",IF(AND(CQ$4&gt;=$D68,CQ$4&lt;$D68+'Incremental Repayments'!$I$31),-PMT('Interest Rate'!$J$16,'Incremental Repayments'!$I$31,(HLOOKUP($D68,$E$4:$CZ$32,28,FALSE)*'Incremental Repayments'!$I$22)),0),0)</f>
        <v>0</v>
      </c>
      <c r="CR68" s="477">
        <f>IF('Incremental Repayments'!$R$22="Debt",IF(AND(CR$4&gt;=$D68,CR$4&lt;$D68+'Incremental Repayments'!$I$31),-PMT('Interest Rate'!$J$16,'Incremental Repayments'!$I$31,(HLOOKUP($D68,$E$4:$CZ$32,28,FALSE)*'Incremental Repayments'!$I$22)),0),0)</f>
        <v>0</v>
      </c>
      <c r="CS68" s="477">
        <f>IF('Incremental Repayments'!$R$22="Debt",IF(AND(CS$4&gt;=$D68,CS$4&lt;$D68+'Incremental Repayments'!$I$31),-PMT('Interest Rate'!$J$16,'Incremental Repayments'!$I$31,(HLOOKUP($D68,$E$4:$CZ$32,28,FALSE)*'Incremental Repayments'!$I$22)),0),0)</f>
        <v>0</v>
      </c>
      <c r="CT68" s="477">
        <f>IF('Incremental Repayments'!$R$22="Debt",IF(AND(CT$4&gt;=$D68,CT$4&lt;$D68+'Incremental Repayments'!$I$31),-PMT('Interest Rate'!$J$16,'Incremental Repayments'!$I$31,(HLOOKUP($D68,$E$4:$CZ$32,28,FALSE)*'Incremental Repayments'!$I$22)),0),0)</f>
        <v>0</v>
      </c>
      <c r="CU68" s="477">
        <f>IF('Incremental Repayments'!$R$22="Debt",IF(AND(CU$4&gt;=$D68,CU$4&lt;$D68+'Incremental Repayments'!$I$31),-PMT('Interest Rate'!$J$16,'Incremental Repayments'!$I$31,(HLOOKUP($D68,$E$4:$CZ$32,28,FALSE)*'Incremental Repayments'!$I$22)),0),0)</f>
        <v>0</v>
      </c>
      <c r="CV68" s="477">
        <f>IF('Incremental Repayments'!$R$22="Debt",IF(AND(CV$4&gt;=$D68,CV$4&lt;$D68+'Incremental Repayments'!$I$31),-PMT('Interest Rate'!$J$16,'Incremental Repayments'!$I$31,(HLOOKUP($D68,$E$4:$CZ$32,28,FALSE)*'Incremental Repayments'!$I$22)),0),0)</f>
        <v>0</v>
      </c>
      <c r="CW68" s="477">
        <f>IF('Incremental Repayments'!$R$22="Debt",IF(AND(CW$4&gt;=$D68,CW$4&lt;$D68+'Incremental Repayments'!$I$31),-PMT('Interest Rate'!$J$16,'Incremental Repayments'!$I$31,(HLOOKUP($D68,$E$4:$CZ$32,28,FALSE)*'Incremental Repayments'!$I$22)),0),0)</f>
        <v>0</v>
      </c>
      <c r="CX68" s="477">
        <f>IF('Incremental Repayments'!$R$22="Debt",IF(AND(CX$4&gt;=$D68,CX$4&lt;$D68+'Incremental Repayments'!$I$31),-PMT('Interest Rate'!$J$16,'Incremental Repayments'!$I$31,(HLOOKUP($D68,$E$4:$CZ$32,28,FALSE)*'Incremental Repayments'!$I$22)),0),0)</f>
        <v>0</v>
      </c>
      <c r="CY68" s="477">
        <f>IF('Incremental Repayments'!$R$22="Debt",IF(AND(CY$4&gt;=$D68,CY$4&lt;$D68+'Incremental Repayments'!$I$31),-PMT('Interest Rate'!$J$16,'Incremental Repayments'!$I$31,(HLOOKUP($D68,$E$4:$CZ$32,28,FALSE)*'Incremental Repayments'!$I$22)),0),0)</f>
        <v>0</v>
      </c>
      <c r="CZ68" s="477">
        <f>IF('Incremental Repayments'!$R$22="Debt",IF(AND(CZ$4&gt;=$D68,CZ$4&lt;$D68+'Incremental Repayments'!$I$31),-PMT('Interest Rate'!$J$16,'Incremental Repayments'!$I$31,(HLOOKUP($D68,$E$4:$CZ$32,28,FALSE)*'Incremental Repayments'!$I$22)),0),0)</f>
        <v>0</v>
      </c>
    </row>
    <row r="69" spans="2:104" x14ac:dyDescent="0.25">
      <c r="B69" s="480" t="str">
        <f>CONCATENATE("Series ",D69,"A Bonds (at ",'Interest Rate'!$J$16*100,"% Interest)")</f>
        <v>Series 2047A Bonds (at 4.5% Interest)</v>
      </c>
      <c r="C69" s="480"/>
      <c r="D69" s="492">
        <f t="shared" si="492"/>
        <v>2047</v>
      </c>
      <c r="E69" s="477">
        <f>IF('Incremental Repayments'!$R$22="Debt",IF(AND(E$4&gt;=$D69,E$4&lt;$D69+'Incremental Repayments'!$I$31),-PMT('Interest Rate'!$J$16,'Incremental Repayments'!$I$31,(HLOOKUP($D69,$E$4:$CZ$32,28,FALSE)*'Incremental Repayments'!$I$22)),0),0)</f>
        <v>0</v>
      </c>
      <c r="F69" s="477">
        <f>IF('Incremental Repayments'!$R$22="Debt",IF(AND(F$4&gt;=$D69,F$4&lt;$D69+'Incremental Repayments'!$I$31),-PMT('Interest Rate'!$J$16,'Incremental Repayments'!$I$31,(HLOOKUP($D69,$E$4:$CZ$32,28,FALSE)*'Incremental Repayments'!$I$22)),0),0)</f>
        <v>0</v>
      </c>
      <c r="G69" s="477">
        <f>IF('Incremental Repayments'!$R$22="Debt",IF(AND(G$4&gt;=$D69,G$4&lt;$D69+'Incremental Repayments'!$I$31),-PMT('Interest Rate'!$J$16,'Incremental Repayments'!$I$31,(HLOOKUP($D69,$E$4:$CZ$32,28,FALSE)*'Incremental Repayments'!$I$22)),0),0)</f>
        <v>0</v>
      </c>
      <c r="H69" s="477">
        <f>IF('Incremental Repayments'!$R$22="Debt",IF(AND(H$4&gt;=$D69,H$4&lt;$D69+'Incremental Repayments'!$I$31),-PMT('Interest Rate'!$J$16,'Incremental Repayments'!$I$31,(HLOOKUP($D69,$E$4:$CZ$32,28,FALSE)*'Incremental Repayments'!$I$22)),0),0)</f>
        <v>0</v>
      </c>
      <c r="I69" s="477">
        <f>IF('Incremental Repayments'!$R$22="Debt",IF(AND(I$4&gt;=$D69,I$4&lt;$D69+'Incremental Repayments'!$I$31),-PMT('Interest Rate'!$J$16,'Incremental Repayments'!$I$31,(HLOOKUP($D69,$E$4:$CZ$32,28,FALSE)*'Incremental Repayments'!$I$22)),0),0)</f>
        <v>0</v>
      </c>
      <c r="J69" s="477">
        <f>IF('Incremental Repayments'!$R$22="Debt",IF(AND(J$4&gt;=$D69,J$4&lt;$D69+'Incremental Repayments'!$I$31),-PMT('Interest Rate'!$J$16,'Incremental Repayments'!$I$31,(HLOOKUP($D69,$E$4:$CZ$32,28,FALSE)*'Incremental Repayments'!$I$22)),0),0)</f>
        <v>0</v>
      </c>
      <c r="K69" s="477">
        <f>IF('Incremental Repayments'!$R$22="Debt",IF(AND(K$4&gt;=$D69,K$4&lt;$D69+'Incremental Repayments'!$I$31),-PMT('Interest Rate'!$J$16,'Incremental Repayments'!$I$31,(HLOOKUP($D69,$E$4:$CZ$32,28,FALSE)*'Incremental Repayments'!$I$22)),0),0)</f>
        <v>0</v>
      </c>
      <c r="L69" s="477">
        <f>IF('Incremental Repayments'!$R$22="Debt",IF(AND(L$4&gt;=$D69,L$4&lt;$D69+'Incremental Repayments'!$I$31),-PMT('Interest Rate'!$J$16,'Incremental Repayments'!$I$31,(HLOOKUP($D69,$E$4:$CZ$32,28,FALSE)*'Incremental Repayments'!$I$22)),0),0)</f>
        <v>0</v>
      </c>
      <c r="M69" s="477">
        <f>IF('Incremental Repayments'!$R$22="Debt",IF(AND(M$4&gt;=$D69,M$4&lt;$D69+'Incremental Repayments'!$I$31),-PMT('Interest Rate'!$J$16,'Incremental Repayments'!$I$31,(HLOOKUP($D69,$E$4:$CZ$32,28,FALSE)*'Incremental Repayments'!$I$22)),0),0)</f>
        <v>0</v>
      </c>
      <c r="N69" s="477">
        <f>IF('Incremental Repayments'!$R$22="Debt",IF(AND(N$4&gt;=$D69,N$4&lt;$D69+'Incremental Repayments'!$I$31),-PMT('Interest Rate'!$J$16,'Incremental Repayments'!$I$31,(HLOOKUP($D69,$E$4:$CZ$32,28,FALSE)*'Incremental Repayments'!$I$22)),0),0)</f>
        <v>0</v>
      </c>
      <c r="O69" s="477">
        <f>IF('Incremental Repayments'!$R$22="Debt",IF(AND(O$4&gt;=$D69,O$4&lt;$D69+'Incremental Repayments'!$I$31),-PMT('Interest Rate'!$J$16,'Incremental Repayments'!$I$31,(HLOOKUP($D69,$E$4:$CZ$32,28,FALSE)*'Incremental Repayments'!$I$22)),0),0)</f>
        <v>0</v>
      </c>
      <c r="P69" s="477">
        <f>IF('Incremental Repayments'!$R$22="Debt",IF(AND(P$4&gt;=$D69,P$4&lt;$D69+'Incremental Repayments'!$I$31),-PMT('Interest Rate'!$J$16,'Incremental Repayments'!$I$31,(HLOOKUP($D69,$E$4:$CZ$32,28,FALSE)*'Incremental Repayments'!$I$22)),0),0)</f>
        <v>0</v>
      </c>
      <c r="Q69" s="477">
        <f>IF('Incremental Repayments'!$R$22="Debt",IF(AND(Q$4&gt;=$D69,Q$4&lt;$D69+'Incremental Repayments'!$I$31),-PMT('Interest Rate'!$J$16,'Incremental Repayments'!$I$31,(HLOOKUP($D69,$E$4:$CZ$32,28,FALSE)*'Incremental Repayments'!$I$22)),0),0)</f>
        <v>0</v>
      </c>
      <c r="R69" s="477">
        <f>IF('Incremental Repayments'!$R$22="Debt",IF(AND(R$4&gt;=$D69,R$4&lt;$D69+'Incremental Repayments'!$I$31),-PMT('Interest Rate'!$J$16,'Incremental Repayments'!$I$31,(HLOOKUP($D69,$E$4:$CZ$32,28,FALSE)*'Incremental Repayments'!$I$22)),0),0)</f>
        <v>0</v>
      </c>
      <c r="S69" s="477">
        <f>IF('Incremental Repayments'!$R$22="Debt",IF(AND(S$4&gt;=$D69,S$4&lt;$D69+'Incremental Repayments'!$I$31),-PMT('Interest Rate'!$J$16,'Incremental Repayments'!$I$31,(HLOOKUP($D69,$E$4:$CZ$32,28,FALSE)*'Incremental Repayments'!$I$22)),0),0)</f>
        <v>0</v>
      </c>
      <c r="T69" s="477">
        <f>IF('Incremental Repayments'!$R$22="Debt",IF(AND(T$4&gt;=$D69,T$4&lt;$D69+'Incremental Repayments'!$I$31),-PMT('Interest Rate'!$J$16,'Incremental Repayments'!$I$31,(HLOOKUP($D69,$E$4:$CZ$32,28,FALSE)*'Incremental Repayments'!$I$22)),0),0)</f>
        <v>0</v>
      </c>
      <c r="U69" s="477">
        <f>IF('Incremental Repayments'!$R$22="Debt",IF(AND(U$4&gt;=$D69,U$4&lt;$D69+'Incremental Repayments'!$I$31),-PMT('Interest Rate'!$J$16,'Incremental Repayments'!$I$31,(HLOOKUP($D69,$E$4:$CZ$32,28,FALSE)*'Incremental Repayments'!$I$22)),0),0)</f>
        <v>0</v>
      </c>
      <c r="V69" s="477">
        <f>IF('Incremental Repayments'!$R$22="Debt",IF(AND(V$4&gt;=$D69,V$4&lt;$D69+'Incremental Repayments'!$I$31),-PMT('Interest Rate'!$J$16,'Incremental Repayments'!$I$31,(HLOOKUP($D69,$E$4:$CZ$32,28,FALSE)*'Incremental Repayments'!$I$22)),0),0)</f>
        <v>0</v>
      </c>
      <c r="W69" s="477">
        <f>IF('Incremental Repayments'!$R$22="Debt",IF(AND(W$4&gt;=$D69,W$4&lt;$D69+'Incremental Repayments'!$I$31),-PMT('Interest Rate'!$J$16,'Incremental Repayments'!$I$31,(HLOOKUP($D69,$E$4:$CZ$32,28,FALSE)*'Incremental Repayments'!$I$22)),0),0)</f>
        <v>0</v>
      </c>
      <c r="X69" s="477">
        <f>IF('Incremental Repayments'!$R$22="Debt",IF(AND(X$4&gt;=$D69,X$4&lt;$D69+'Incremental Repayments'!$I$31),-PMT('Interest Rate'!$J$16,'Incremental Repayments'!$I$31,(HLOOKUP($D69,$E$4:$CZ$32,28,FALSE)*'Incremental Repayments'!$I$22)),0),0)</f>
        <v>0</v>
      </c>
      <c r="Y69" s="477">
        <f>IF('Incremental Repayments'!$R$22="Debt",IF(AND(Y$4&gt;=$D69,Y$4&lt;$D69+'Incremental Repayments'!$I$31),-PMT('Interest Rate'!$J$16,'Incremental Repayments'!$I$31,(HLOOKUP($D69,$E$4:$CZ$32,28,FALSE)*'Incremental Repayments'!$I$22)),0),0)</f>
        <v>0</v>
      </c>
      <c r="Z69" s="477">
        <f>IF('Incremental Repayments'!$R$22="Debt",IF(AND(Z$4&gt;=$D69,Z$4&lt;$D69+'Incremental Repayments'!$I$31),-PMT('Interest Rate'!$J$16,'Incremental Repayments'!$I$31,(HLOOKUP($D69,$E$4:$CZ$32,28,FALSE)*'Incremental Repayments'!$I$22)),0),0)</f>
        <v>0</v>
      </c>
      <c r="AA69" s="477">
        <f>IF('Incremental Repayments'!$R$22="Debt",IF(AND(AA$4&gt;=$D69,AA$4&lt;$D69+'Incremental Repayments'!$I$31),-PMT('Interest Rate'!$J$16,'Incremental Repayments'!$I$31,(HLOOKUP($D69,$E$4:$CZ$32,28,FALSE)*'Incremental Repayments'!$I$22)),0),0)</f>
        <v>0</v>
      </c>
      <c r="AB69" s="477">
        <f>IF('Incremental Repayments'!$R$22="Debt",IF(AND(AB$4&gt;=$D69,AB$4&lt;$D69+'Incremental Repayments'!$I$31),-PMT('Interest Rate'!$J$16,'Incremental Repayments'!$I$31,(HLOOKUP($D69,$E$4:$CZ$32,28,FALSE)*'Incremental Repayments'!$I$22)),0),0)</f>
        <v>0</v>
      </c>
      <c r="AC69" s="477">
        <f>IF('Incremental Repayments'!$R$22="Debt",IF(AND(AC$4&gt;=$D69,AC$4&lt;$D69+'Incremental Repayments'!$I$31),-PMT('Interest Rate'!$J$16,'Incremental Repayments'!$I$31,(HLOOKUP($D69,$E$4:$CZ$32,28,FALSE)*'Incremental Repayments'!$I$22)),0),0)</f>
        <v>0</v>
      </c>
      <c r="AD69" s="477">
        <f>IF('Incremental Repayments'!$R$22="Debt",IF(AND(AD$4&gt;=$D69,AD$4&lt;$D69+'Incremental Repayments'!$I$31),-PMT('Interest Rate'!$J$16,'Incremental Repayments'!$I$31,(HLOOKUP($D69,$E$4:$CZ$32,28,FALSE)*'Incremental Repayments'!$I$22)),0),0)</f>
        <v>0</v>
      </c>
      <c r="AE69" s="477">
        <f>IF('Incremental Repayments'!$R$22="Debt",IF(AND(AE$4&gt;=$D69,AE$4&lt;$D69+'Incremental Repayments'!$I$31),-PMT('Interest Rate'!$J$16,'Incremental Repayments'!$I$31,(HLOOKUP($D69,$E$4:$CZ$32,28,FALSE)*'Incremental Repayments'!$I$22)),0),0)</f>
        <v>0</v>
      </c>
      <c r="AF69" s="477">
        <f>IF('Incremental Repayments'!$R$22="Debt",IF(AND(AF$4&gt;=$D69,AF$4&lt;$D69+'Incremental Repayments'!$I$31),-PMT('Interest Rate'!$J$16,'Incremental Repayments'!$I$31,(HLOOKUP($D69,$E$4:$CZ$32,28,FALSE)*'Incremental Repayments'!$I$22)),0),0)</f>
        <v>0</v>
      </c>
      <c r="AG69" s="477">
        <f>IF('Incremental Repayments'!$R$22="Debt",IF(AND(AG$4&gt;=$D69,AG$4&lt;$D69+'Incremental Repayments'!$I$31),-PMT('Interest Rate'!$J$16,'Incremental Repayments'!$I$31,(HLOOKUP($D69,$E$4:$CZ$32,28,FALSE)*'Incremental Repayments'!$I$22)),0),0)</f>
        <v>0</v>
      </c>
      <c r="AH69" s="477">
        <f>IF('Incremental Repayments'!$R$22="Debt",IF(AND(AH$4&gt;=$D69,AH$4&lt;$D69+'Incremental Repayments'!$I$31),-PMT('Interest Rate'!$J$16,'Incremental Repayments'!$I$31,(HLOOKUP($D69,$E$4:$CZ$32,28,FALSE)*'Incremental Repayments'!$I$22)),0),0)</f>
        <v>0</v>
      </c>
      <c r="AI69" s="477">
        <f>IF('Incremental Repayments'!$R$22="Debt",IF(AND(AI$4&gt;=$D69,AI$4&lt;$D69+'Incremental Repayments'!$I$31),-PMT('Interest Rate'!$J$16,'Incremental Repayments'!$I$31,(HLOOKUP($D69,$E$4:$CZ$32,28,FALSE)*'Incremental Repayments'!$I$22)),0),0)</f>
        <v>0</v>
      </c>
      <c r="AJ69" s="477">
        <f>IF('Incremental Repayments'!$R$22="Debt",IF(AND(AJ$4&gt;=$D69,AJ$4&lt;$D69+'Incremental Repayments'!$I$31),-PMT('Interest Rate'!$J$16,'Incremental Repayments'!$I$31,(HLOOKUP($D69,$E$4:$CZ$32,28,FALSE)*'Incremental Repayments'!$I$22)),0),0)</f>
        <v>0</v>
      </c>
      <c r="AK69" s="477">
        <f>IF('Incremental Repayments'!$R$22="Debt",IF(AND(AK$4&gt;=$D69,AK$4&lt;$D69+'Incremental Repayments'!$I$31),-PMT('Interest Rate'!$J$16,'Incremental Repayments'!$I$31,(HLOOKUP($D69,$E$4:$CZ$32,28,FALSE)*'Incremental Repayments'!$I$22)),0),0)</f>
        <v>0</v>
      </c>
      <c r="AL69" s="477">
        <f>IF('Incremental Repayments'!$R$22="Debt",IF(AND(AL$4&gt;=$D69,AL$4&lt;$D69+'Incremental Repayments'!$I$31),-PMT('Interest Rate'!$J$16,'Incremental Repayments'!$I$31,(HLOOKUP($D69,$E$4:$CZ$32,28,FALSE)*'Incremental Repayments'!$I$22)),0),0)</f>
        <v>906096.09668079228</v>
      </c>
      <c r="AM69" s="477">
        <f>IF('Incremental Repayments'!$R$22="Debt",IF(AND(AM$4&gt;=$D69,AM$4&lt;$D69+'Incremental Repayments'!$I$31),-PMT('Interest Rate'!$J$16,'Incremental Repayments'!$I$31,(HLOOKUP($D69,$E$4:$CZ$32,28,FALSE)*'Incremental Repayments'!$I$22)),0),0)</f>
        <v>906096.09668079228</v>
      </c>
      <c r="AN69" s="477">
        <f>IF('Incremental Repayments'!$R$22="Debt",IF(AND(AN$4&gt;=$D69,AN$4&lt;$D69+'Incremental Repayments'!$I$31),-PMT('Interest Rate'!$J$16,'Incremental Repayments'!$I$31,(HLOOKUP($D69,$E$4:$CZ$32,28,FALSE)*'Incremental Repayments'!$I$22)),0),0)</f>
        <v>906096.09668079228</v>
      </c>
      <c r="AO69" s="477">
        <f>IF('Incremental Repayments'!$R$22="Debt",IF(AND(AO$4&gt;=$D69,AO$4&lt;$D69+'Incremental Repayments'!$I$31),-PMT('Interest Rate'!$J$16,'Incremental Repayments'!$I$31,(HLOOKUP($D69,$E$4:$CZ$32,28,FALSE)*'Incremental Repayments'!$I$22)),0),0)</f>
        <v>906096.09668079228</v>
      </c>
      <c r="AP69" s="477">
        <f>IF('Incremental Repayments'!$R$22="Debt",IF(AND(AP$4&gt;=$D69,AP$4&lt;$D69+'Incremental Repayments'!$I$31),-PMT('Interest Rate'!$J$16,'Incremental Repayments'!$I$31,(HLOOKUP($D69,$E$4:$CZ$32,28,FALSE)*'Incremental Repayments'!$I$22)),0),0)</f>
        <v>906096.09668079228</v>
      </c>
      <c r="AQ69" s="477">
        <f>IF('Incremental Repayments'!$R$22="Debt",IF(AND(AQ$4&gt;=$D69,AQ$4&lt;$D69+'Incremental Repayments'!$I$31),-PMT('Interest Rate'!$J$16,'Incremental Repayments'!$I$31,(HLOOKUP($D69,$E$4:$CZ$32,28,FALSE)*'Incremental Repayments'!$I$22)),0),0)</f>
        <v>906096.09668079228</v>
      </c>
      <c r="AR69" s="477">
        <f>IF('Incremental Repayments'!$R$22="Debt",IF(AND(AR$4&gt;=$D69,AR$4&lt;$D69+'Incremental Repayments'!$I$31),-PMT('Interest Rate'!$J$16,'Incremental Repayments'!$I$31,(HLOOKUP($D69,$E$4:$CZ$32,28,FALSE)*'Incremental Repayments'!$I$22)),0),0)</f>
        <v>906096.09668079228</v>
      </c>
      <c r="AS69" s="477">
        <f>IF('Incremental Repayments'!$R$22="Debt",IF(AND(AS$4&gt;=$D69,AS$4&lt;$D69+'Incremental Repayments'!$I$31),-PMT('Interest Rate'!$J$16,'Incremental Repayments'!$I$31,(HLOOKUP($D69,$E$4:$CZ$32,28,FALSE)*'Incremental Repayments'!$I$22)),0),0)</f>
        <v>906096.09668079228</v>
      </c>
      <c r="AT69" s="477">
        <f>IF('Incremental Repayments'!$R$22="Debt",IF(AND(AT$4&gt;=$D69,AT$4&lt;$D69+'Incremental Repayments'!$I$31),-PMT('Interest Rate'!$J$16,'Incremental Repayments'!$I$31,(HLOOKUP($D69,$E$4:$CZ$32,28,FALSE)*'Incremental Repayments'!$I$22)),0),0)</f>
        <v>906096.09668079228</v>
      </c>
      <c r="AU69" s="477">
        <f>IF('Incremental Repayments'!$R$22="Debt",IF(AND(AU$4&gt;=$D69,AU$4&lt;$D69+'Incremental Repayments'!$I$31),-PMT('Interest Rate'!$J$16,'Incremental Repayments'!$I$31,(HLOOKUP($D69,$E$4:$CZ$32,28,FALSE)*'Incremental Repayments'!$I$22)),0),0)</f>
        <v>906096.09668079228</v>
      </c>
      <c r="AV69" s="477">
        <f>IF('Incremental Repayments'!$R$22="Debt",IF(AND(AV$4&gt;=$D69,AV$4&lt;$D69+'Incremental Repayments'!$I$31),-PMT('Interest Rate'!$J$16,'Incremental Repayments'!$I$31,(HLOOKUP($D69,$E$4:$CZ$32,28,FALSE)*'Incremental Repayments'!$I$22)),0),0)</f>
        <v>906096.09668079228</v>
      </c>
      <c r="AW69" s="477">
        <f>IF('Incremental Repayments'!$R$22="Debt",IF(AND(AW$4&gt;=$D69,AW$4&lt;$D69+'Incremental Repayments'!$I$31),-PMT('Interest Rate'!$J$16,'Incremental Repayments'!$I$31,(HLOOKUP($D69,$E$4:$CZ$32,28,FALSE)*'Incremental Repayments'!$I$22)),0),0)</f>
        <v>906096.09668079228</v>
      </c>
      <c r="AX69" s="477">
        <f>IF('Incremental Repayments'!$R$22="Debt",IF(AND(AX$4&gt;=$D69,AX$4&lt;$D69+'Incremental Repayments'!$I$31),-PMT('Interest Rate'!$J$16,'Incremental Repayments'!$I$31,(HLOOKUP($D69,$E$4:$CZ$32,28,FALSE)*'Incremental Repayments'!$I$22)),0),0)</f>
        <v>906096.09668079228</v>
      </c>
      <c r="AY69" s="477">
        <f>IF('Incremental Repayments'!$R$22="Debt",IF(AND(AY$4&gt;=$D69,AY$4&lt;$D69+'Incremental Repayments'!$I$31),-PMT('Interest Rate'!$J$16,'Incremental Repayments'!$I$31,(HLOOKUP($D69,$E$4:$CZ$32,28,FALSE)*'Incremental Repayments'!$I$22)),0),0)</f>
        <v>906096.09668079228</v>
      </c>
      <c r="AZ69" s="477">
        <f>IF('Incremental Repayments'!$R$22="Debt",IF(AND(AZ$4&gt;=$D69,AZ$4&lt;$D69+'Incremental Repayments'!$I$31),-PMT('Interest Rate'!$J$16,'Incremental Repayments'!$I$31,(HLOOKUP($D69,$E$4:$CZ$32,28,FALSE)*'Incremental Repayments'!$I$22)),0),0)</f>
        <v>906096.09668079228</v>
      </c>
      <c r="BA69" s="477">
        <f>IF('Incremental Repayments'!$R$22="Debt",IF(AND(BA$4&gt;=$D69,BA$4&lt;$D69+'Incremental Repayments'!$I$31),-PMT('Interest Rate'!$J$16,'Incremental Repayments'!$I$31,(HLOOKUP($D69,$E$4:$CZ$32,28,FALSE)*'Incremental Repayments'!$I$22)),0),0)</f>
        <v>906096.09668079228</v>
      </c>
      <c r="BB69" s="477">
        <f>IF('Incremental Repayments'!$R$22="Debt",IF(AND(BB$4&gt;=$D69,BB$4&lt;$D69+'Incremental Repayments'!$I$31),-PMT('Interest Rate'!$J$16,'Incremental Repayments'!$I$31,(HLOOKUP($D69,$E$4:$CZ$32,28,FALSE)*'Incremental Repayments'!$I$22)),0),0)</f>
        <v>906096.09668079228</v>
      </c>
      <c r="BC69" s="477">
        <f>IF('Incremental Repayments'!$R$22="Debt",IF(AND(BC$4&gt;=$D69,BC$4&lt;$D69+'Incremental Repayments'!$I$31),-PMT('Interest Rate'!$J$16,'Incremental Repayments'!$I$31,(HLOOKUP($D69,$E$4:$CZ$32,28,FALSE)*'Incremental Repayments'!$I$22)),0),0)</f>
        <v>906096.09668079228</v>
      </c>
      <c r="BD69" s="477">
        <f>IF('Incremental Repayments'!$R$22="Debt",IF(AND(BD$4&gt;=$D69,BD$4&lt;$D69+'Incremental Repayments'!$I$31),-PMT('Interest Rate'!$J$16,'Incremental Repayments'!$I$31,(HLOOKUP($D69,$E$4:$CZ$32,28,FALSE)*'Incremental Repayments'!$I$22)),0),0)</f>
        <v>906096.09668079228</v>
      </c>
      <c r="BE69" s="477">
        <f>IF('Incremental Repayments'!$R$22="Debt",IF(AND(BE$4&gt;=$D69,BE$4&lt;$D69+'Incremental Repayments'!$I$31),-PMT('Interest Rate'!$J$16,'Incremental Repayments'!$I$31,(HLOOKUP($D69,$E$4:$CZ$32,28,FALSE)*'Incremental Repayments'!$I$22)),0),0)</f>
        <v>906096.09668079228</v>
      </c>
      <c r="BF69" s="477">
        <f>IF('Incremental Repayments'!$R$22="Debt",IF(AND(BF$4&gt;=$D69,BF$4&lt;$D69+'Incremental Repayments'!$I$31),-PMT('Interest Rate'!$J$16,'Incremental Repayments'!$I$31,(HLOOKUP($D69,$E$4:$CZ$32,28,FALSE)*'Incremental Repayments'!$I$22)),0),0)</f>
        <v>906096.09668079228</v>
      </c>
      <c r="BG69" s="477">
        <f>IF('Incremental Repayments'!$R$22="Debt",IF(AND(BG$4&gt;=$D69,BG$4&lt;$D69+'Incremental Repayments'!$I$31),-PMT('Interest Rate'!$J$16,'Incremental Repayments'!$I$31,(HLOOKUP($D69,$E$4:$CZ$32,28,FALSE)*'Incremental Repayments'!$I$22)),0),0)</f>
        <v>906096.09668079228</v>
      </c>
      <c r="BH69" s="477">
        <f>IF('Incremental Repayments'!$R$22="Debt",IF(AND(BH$4&gt;=$D69,BH$4&lt;$D69+'Incremental Repayments'!$I$31),-PMT('Interest Rate'!$J$16,'Incremental Repayments'!$I$31,(HLOOKUP($D69,$E$4:$CZ$32,28,FALSE)*'Incremental Repayments'!$I$22)),0),0)</f>
        <v>906096.09668079228</v>
      </c>
      <c r="BI69" s="477">
        <f>IF('Incremental Repayments'!$R$22="Debt",IF(AND(BI$4&gt;=$D69,BI$4&lt;$D69+'Incremental Repayments'!$I$31),-PMT('Interest Rate'!$J$16,'Incremental Repayments'!$I$31,(HLOOKUP($D69,$E$4:$CZ$32,28,FALSE)*'Incremental Repayments'!$I$22)),0),0)</f>
        <v>906096.09668079228</v>
      </c>
      <c r="BJ69" s="477">
        <f>IF('Incremental Repayments'!$R$22="Debt",IF(AND(BJ$4&gt;=$D69,BJ$4&lt;$D69+'Incremental Repayments'!$I$31),-PMT('Interest Rate'!$J$16,'Incremental Repayments'!$I$31,(HLOOKUP($D69,$E$4:$CZ$32,28,FALSE)*'Incremental Repayments'!$I$22)),0),0)</f>
        <v>906096.09668079228</v>
      </c>
      <c r="BK69" s="477">
        <f>IF('Incremental Repayments'!$R$22="Debt",IF(AND(BK$4&gt;=$D69,BK$4&lt;$D69+'Incremental Repayments'!$I$31),-PMT('Interest Rate'!$J$16,'Incremental Repayments'!$I$31,(HLOOKUP($D69,$E$4:$CZ$32,28,FALSE)*'Incremental Repayments'!$I$22)),0),0)</f>
        <v>906096.09668079228</v>
      </c>
      <c r="BL69" s="477">
        <f>IF('Incremental Repayments'!$R$22="Debt",IF(AND(BL$4&gt;=$D69,BL$4&lt;$D69+'Incremental Repayments'!$I$31),-PMT('Interest Rate'!$J$16,'Incremental Repayments'!$I$31,(HLOOKUP($D69,$E$4:$CZ$32,28,FALSE)*'Incremental Repayments'!$I$22)),0),0)</f>
        <v>906096.09668079228</v>
      </c>
      <c r="BM69" s="477">
        <f>IF('Incremental Repayments'!$R$22="Debt",IF(AND(BM$4&gt;=$D69,BM$4&lt;$D69+'Incremental Repayments'!$I$31),-PMT('Interest Rate'!$J$16,'Incremental Repayments'!$I$31,(HLOOKUP($D69,$E$4:$CZ$32,28,FALSE)*'Incremental Repayments'!$I$22)),0),0)</f>
        <v>906096.09668079228</v>
      </c>
      <c r="BN69" s="477">
        <f>IF('Incremental Repayments'!$R$22="Debt",IF(AND(BN$4&gt;=$D69,BN$4&lt;$D69+'Incremental Repayments'!$I$31),-PMT('Interest Rate'!$J$16,'Incremental Repayments'!$I$31,(HLOOKUP($D69,$E$4:$CZ$32,28,FALSE)*'Incremental Repayments'!$I$22)),0),0)</f>
        <v>906096.09668079228</v>
      </c>
      <c r="BO69" s="477">
        <f>IF('Incremental Repayments'!$R$22="Debt",IF(AND(BO$4&gt;=$D69,BO$4&lt;$D69+'Incremental Repayments'!$I$31),-PMT('Interest Rate'!$J$16,'Incremental Repayments'!$I$31,(HLOOKUP($D69,$E$4:$CZ$32,28,FALSE)*'Incremental Repayments'!$I$22)),0),0)</f>
        <v>906096.09668079228</v>
      </c>
      <c r="BP69" s="477">
        <f>IF('Incremental Repayments'!$R$22="Debt",IF(AND(BP$4&gt;=$D69,BP$4&lt;$D69+'Incremental Repayments'!$I$31),-PMT('Interest Rate'!$J$16,'Incremental Repayments'!$I$31,(HLOOKUP($D69,$E$4:$CZ$32,28,FALSE)*'Incremental Repayments'!$I$22)),0),0)</f>
        <v>0</v>
      </c>
      <c r="BQ69" s="477">
        <f>IF('Incremental Repayments'!$R$22="Debt",IF(AND(BQ$4&gt;=$D69,BQ$4&lt;$D69+'Incremental Repayments'!$I$31),-PMT('Interest Rate'!$J$16,'Incremental Repayments'!$I$31,(HLOOKUP($D69,$E$4:$CZ$32,28,FALSE)*'Incremental Repayments'!$I$22)),0),0)</f>
        <v>0</v>
      </c>
      <c r="BR69" s="477">
        <f>IF('Incremental Repayments'!$R$22="Debt",IF(AND(BR$4&gt;=$D69,BR$4&lt;$D69+'Incremental Repayments'!$I$31),-PMT('Interest Rate'!$J$16,'Incremental Repayments'!$I$31,(HLOOKUP($D69,$E$4:$CZ$32,28,FALSE)*'Incremental Repayments'!$I$22)),0),0)</f>
        <v>0</v>
      </c>
      <c r="BS69" s="477">
        <f>IF('Incremental Repayments'!$R$22="Debt",IF(AND(BS$4&gt;=$D69,BS$4&lt;$D69+'Incremental Repayments'!$I$31),-PMT('Interest Rate'!$J$16,'Incremental Repayments'!$I$31,(HLOOKUP($D69,$E$4:$CZ$32,28,FALSE)*'Incremental Repayments'!$I$22)),0),0)</f>
        <v>0</v>
      </c>
      <c r="BT69" s="477">
        <f>IF('Incremental Repayments'!$R$22="Debt",IF(AND(BT$4&gt;=$D69,BT$4&lt;$D69+'Incremental Repayments'!$I$31),-PMT('Interest Rate'!$J$16,'Incremental Repayments'!$I$31,(HLOOKUP($D69,$E$4:$CZ$32,28,FALSE)*'Incremental Repayments'!$I$22)),0),0)</f>
        <v>0</v>
      </c>
      <c r="BU69" s="477">
        <f>IF('Incremental Repayments'!$R$22="Debt",IF(AND(BU$4&gt;=$D69,BU$4&lt;$D69+'Incremental Repayments'!$I$31),-PMT('Interest Rate'!$J$16,'Incremental Repayments'!$I$31,(HLOOKUP($D69,$E$4:$CZ$32,28,FALSE)*'Incremental Repayments'!$I$22)),0),0)</f>
        <v>0</v>
      </c>
      <c r="BV69" s="477">
        <f>IF('Incremental Repayments'!$R$22="Debt",IF(AND(BV$4&gt;=$D69,BV$4&lt;$D69+'Incremental Repayments'!$I$31),-PMT('Interest Rate'!$J$16,'Incremental Repayments'!$I$31,(HLOOKUP($D69,$E$4:$CZ$32,28,FALSE)*'Incremental Repayments'!$I$22)),0),0)</f>
        <v>0</v>
      </c>
      <c r="BW69" s="477">
        <f>IF('Incremental Repayments'!$R$22="Debt",IF(AND(BW$4&gt;=$D69,BW$4&lt;$D69+'Incremental Repayments'!$I$31),-PMT('Interest Rate'!$J$16,'Incremental Repayments'!$I$31,(HLOOKUP($D69,$E$4:$CZ$32,28,FALSE)*'Incremental Repayments'!$I$22)),0),0)</f>
        <v>0</v>
      </c>
      <c r="BX69" s="477">
        <f>IF('Incremental Repayments'!$R$22="Debt",IF(AND(BX$4&gt;=$D69,BX$4&lt;$D69+'Incremental Repayments'!$I$31),-PMT('Interest Rate'!$J$16,'Incremental Repayments'!$I$31,(HLOOKUP($D69,$E$4:$CZ$32,28,FALSE)*'Incremental Repayments'!$I$22)),0),0)</f>
        <v>0</v>
      </c>
      <c r="BY69" s="477">
        <f>IF('Incremental Repayments'!$R$22="Debt",IF(AND(BY$4&gt;=$D69,BY$4&lt;$D69+'Incremental Repayments'!$I$31),-PMT('Interest Rate'!$J$16,'Incremental Repayments'!$I$31,(HLOOKUP($D69,$E$4:$CZ$32,28,FALSE)*'Incremental Repayments'!$I$22)),0),0)</f>
        <v>0</v>
      </c>
      <c r="BZ69" s="477">
        <f>IF('Incremental Repayments'!$R$22="Debt",IF(AND(BZ$4&gt;=$D69,BZ$4&lt;$D69+'Incremental Repayments'!$I$31),-PMT('Interest Rate'!$J$16,'Incremental Repayments'!$I$31,(HLOOKUP($D69,$E$4:$CZ$32,28,FALSE)*'Incremental Repayments'!$I$22)),0),0)</f>
        <v>0</v>
      </c>
      <c r="CA69" s="477">
        <f>IF('Incremental Repayments'!$R$22="Debt",IF(AND(CA$4&gt;=$D69,CA$4&lt;$D69+'Incremental Repayments'!$I$31),-PMT('Interest Rate'!$J$16,'Incremental Repayments'!$I$31,(HLOOKUP($D69,$E$4:$CZ$32,28,FALSE)*'Incremental Repayments'!$I$22)),0),0)</f>
        <v>0</v>
      </c>
      <c r="CB69" s="477">
        <f>IF('Incremental Repayments'!$R$22="Debt",IF(AND(CB$4&gt;=$D69,CB$4&lt;$D69+'Incremental Repayments'!$I$31),-PMT('Interest Rate'!$J$16,'Incremental Repayments'!$I$31,(HLOOKUP($D69,$E$4:$CZ$32,28,FALSE)*'Incremental Repayments'!$I$22)),0),0)</f>
        <v>0</v>
      </c>
      <c r="CC69" s="477">
        <f>IF('Incremental Repayments'!$R$22="Debt",IF(AND(CC$4&gt;=$D69,CC$4&lt;$D69+'Incremental Repayments'!$I$31),-PMT('Interest Rate'!$J$16,'Incremental Repayments'!$I$31,(HLOOKUP($D69,$E$4:$CZ$32,28,FALSE)*'Incremental Repayments'!$I$22)),0),0)</f>
        <v>0</v>
      </c>
      <c r="CD69" s="477">
        <f>IF('Incremental Repayments'!$R$22="Debt",IF(AND(CD$4&gt;=$D69,CD$4&lt;$D69+'Incremental Repayments'!$I$31),-PMT('Interest Rate'!$J$16,'Incremental Repayments'!$I$31,(HLOOKUP($D69,$E$4:$CZ$32,28,FALSE)*'Incremental Repayments'!$I$22)),0),0)</f>
        <v>0</v>
      </c>
      <c r="CE69" s="477">
        <f>IF('Incremental Repayments'!$R$22="Debt",IF(AND(CE$4&gt;=$D69,CE$4&lt;$D69+'Incremental Repayments'!$I$31),-PMT('Interest Rate'!$J$16,'Incremental Repayments'!$I$31,(HLOOKUP($D69,$E$4:$CZ$32,28,FALSE)*'Incremental Repayments'!$I$22)),0),0)</f>
        <v>0</v>
      </c>
      <c r="CF69" s="477">
        <f>IF('Incremental Repayments'!$R$22="Debt",IF(AND(CF$4&gt;=$D69,CF$4&lt;$D69+'Incremental Repayments'!$I$31),-PMT('Interest Rate'!$J$16,'Incremental Repayments'!$I$31,(HLOOKUP($D69,$E$4:$CZ$32,28,FALSE)*'Incremental Repayments'!$I$22)),0),0)</f>
        <v>0</v>
      </c>
      <c r="CG69" s="477">
        <f>IF('Incremental Repayments'!$R$22="Debt",IF(AND(CG$4&gt;=$D69,CG$4&lt;$D69+'Incremental Repayments'!$I$31),-PMT('Interest Rate'!$J$16,'Incremental Repayments'!$I$31,(HLOOKUP($D69,$E$4:$CZ$32,28,FALSE)*'Incremental Repayments'!$I$22)),0),0)</f>
        <v>0</v>
      </c>
      <c r="CH69" s="477">
        <f>IF('Incremental Repayments'!$R$22="Debt",IF(AND(CH$4&gt;=$D69,CH$4&lt;$D69+'Incremental Repayments'!$I$31),-PMT('Interest Rate'!$J$16,'Incremental Repayments'!$I$31,(HLOOKUP($D69,$E$4:$CZ$32,28,FALSE)*'Incremental Repayments'!$I$22)),0),0)</f>
        <v>0</v>
      </c>
      <c r="CI69" s="477">
        <f>IF('Incremental Repayments'!$R$22="Debt",IF(AND(CI$4&gt;=$D69,CI$4&lt;$D69+'Incremental Repayments'!$I$31),-PMT('Interest Rate'!$J$16,'Incremental Repayments'!$I$31,(HLOOKUP($D69,$E$4:$CZ$32,28,FALSE)*'Incremental Repayments'!$I$22)),0),0)</f>
        <v>0</v>
      </c>
      <c r="CJ69" s="477">
        <f>IF('Incremental Repayments'!$R$22="Debt",IF(AND(CJ$4&gt;=$D69,CJ$4&lt;$D69+'Incremental Repayments'!$I$31),-PMT('Interest Rate'!$J$16,'Incremental Repayments'!$I$31,(HLOOKUP($D69,$E$4:$CZ$32,28,FALSE)*'Incremental Repayments'!$I$22)),0),0)</f>
        <v>0</v>
      </c>
      <c r="CK69" s="477">
        <f>IF('Incremental Repayments'!$R$22="Debt",IF(AND(CK$4&gt;=$D69,CK$4&lt;$D69+'Incremental Repayments'!$I$31),-PMT('Interest Rate'!$J$16,'Incremental Repayments'!$I$31,(HLOOKUP($D69,$E$4:$CZ$32,28,FALSE)*'Incremental Repayments'!$I$22)),0),0)</f>
        <v>0</v>
      </c>
      <c r="CL69" s="477">
        <f>IF('Incremental Repayments'!$R$22="Debt",IF(AND(CL$4&gt;=$D69,CL$4&lt;$D69+'Incremental Repayments'!$I$31),-PMT('Interest Rate'!$J$16,'Incremental Repayments'!$I$31,(HLOOKUP($D69,$E$4:$CZ$32,28,FALSE)*'Incremental Repayments'!$I$22)),0),0)</f>
        <v>0</v>
      </c>
      <c r="CM69" s="477">
        <f>IF('Incremental Repayments'!$R$22="Debt",IF(AND(CM$4&gt;=$D69,CM$4&lt;$D69+'Incremental Repayments'!$I$31),-PMT('Interest Rate'!$J$16,'Incremental Repayments'!$I$31,(HLOOKUP($D69,$E$4:$CZ$32,28,FALSE)*'Incremental Repayments'!$I$22)),0),0)</f>
        <v>0</v>
      </c>
      <c r="CN69" s="477">
        <f>IF('Incremental Repayments'!$R$22="Debt",IF(AND(CN$4&gt;=$D69,CN$4&lt;$D69+'Incremental Repayments'!$I$31),-PMT('Interest Rate'!$J$16,'Incremental Repayments'!$I$31,(HLOOKUP($D69,$E$4:$CZ$32,28,FALSE)*'Incremental Repayments'!$I$22)),0),0)</f>
        <v>0</v>
      </c>
      <c r="CO69" s="477">
        <f>IF('Incremental Repayments'!$R$22="Debt",IF(AND(CO$4&gt;=$D69,CO$4&lt;$D69+'Incremental Repayments'!$I$31),-PMT('Interest Rate'!$J$16,'Incremental Repayments'!$I$31,(HLOOKUP($D69,$E$4:$CZ$32,28,FALSE)*'Incremental Repayments'!$I$22)),0),0)</f>
        <v>0</v>
      </c>
      <c r="CP69" s="477">
        <f>IF('Incremental Repayments'!$R$22="Debt",IF(AND(CP$4&gt;=$D69,CP$4&lt;$D69+'Incremental Repayments'!$I$31),-PMT('Interest Rate'!$J$16,'Incremental Repayments'!$I$31,(HLOOKUP($D69,$E$4:$CZ$32,28,FALSE)*'Incremental Repayments'!$I$22)),0),0)</f>
        <v>0</v>
      </c>
      <c r="CQ69" s="477">
        <f>IF('Incremental Repayments'!$R$22="Debt",IF(AND(CQ$4&gt;=$D69,CQ$4&lt;$D69+'Incremental Repayments'!$I$31),-PMT('Interest Rate'!$J$16,'Incremental Repayments'!$I$31,(HLOOKUP($D69,$E$4:$CZ$32,28,FALSE)*'Incremental Repayments'!$I$22)),0),0)</f>
        <v>0</v>
      </c>
      <c r="CR69" s="477">
        <f>IF('Incremental Repayments'!$R$22="Debt",IF(AND(CR$4&gt;=$D69,CR$4&lt;$D69+'Incremental Repayments'!$I$31),-PMT('Interest Rate'!$J$16,'Incremental Repayments'!$I$31,(HLOOKUP($D69,$E$4:$CZ$32,28,FALSE)*'Incremental Repayments'!$I$22)),0),0)</f>
        <v>0</v>
      </c>
      <c r="CS69" s="477">
        <f>IF('Incremental Repayments'!$R$22="Debt",IF(AND(CS$4&gt;=$D69,CS$4&lt;$D69+'Incremental Repayments'!$I$31),-PMT('Interest Rate'!$J$16,'Incremental Repayments'!$I$31,(HLOOKUP($D69,$E$4:$CZ$32,28,FALSE)*'Incremental Repayments'!$I$22)),0),0)</f>
        <v>0</v>
      </c>
      <c r="CT69" s="477">
        <f>IF('Incremental Repayments'!$R$22="Debt",IF(AND(CT$4&gt;=$D69,CT$4&lt;$D69+'Incremental Repayments'!$I$31),-PMT('Interest Rate'!$J$16,'Incremental Repayments'!$I$31,(HLOOKUP($D69,$E$4:$CZ$32,28,FALSE)*'Incremental Repayments'!$I$22)),0),0)</f>
        <v>0</v>
      </c>
      <c r="CU69" s="477">
        <f>IF('Incremental Repayments'!$R$22="Debt",IF(AND(CU$4&gt;=$D69,CU$4&lt;$D69+'Incremental Repayments'!$I$31),-PMT('Interest Rate'!$J$16,'Incremental Repayments'!$I$31,(HLOOKUP($D69,$E$4:$CZ$32,28,FALSE)*'Incremental Repayments'!$I$22)),0),0)</f>
        <v>0</v>
      </c>
      <c r="CV69" s="477">
        <f>IF('Incremental Repayments'!$R$22="Debt",IF(AND(CV$4&gt;=$D69,CV$4&lt;$D69+'Incremental Repayments'!$I$31),-PMT('Interest Rate'!$J$16,'Incremental Repayments'!$I$31,(HLOOKUP($D69,$E$4:$CZ$32,28,FALSE)*'Incremental Repayments'!$I$22)),0),0)</f>
        <v>0</v>
      </c>
      <c r="CW69" s="477">
        <f>IF('Incremental Repayments'!$R$22="Debt",IF(AND(CW$4&gt;=$D69,CW$4&lt;$D69+'Incremental Repayments'!$I$31),-PMT('Interest Rate'!$J$16,'Incremental Repayments'!$I$31,(HLOOKUP($D69,$E$4:$CZ$32,28,FALSE)*'Incremental Repayments'!$I$22)),0),0)</f>
        <v>0</v>
      </c>
      <c r="CX69" s="477">
        <f>IF('Incremental Repayments'!$R$22="Debt",IF(AND(CX$4&gt;=$D69,CX$4&lt;$D69+'Incremental Repayments'!$I$31),-PMT('Interest Rate'!$J$16,'Incremental Repayments'!$I$31,(HLOOKUP($D69,$E$4:$CZ$32,28,FALSE)*'Incremental Repayments'!$I$22)),0),0)</f>
        <v>0</v>
      </c>
      <c r="CY69" s="477">
        <f>IF('Incremental Repayments'!$R$22="Debt",IF(AND(CY$4&gt;=$D69,CY$4&lt;$D69+'Incremental Repayments'!$I$31),-PMT('Interest Rate'!$J$16,'Incremental Repayments'!$I$31,(HLOOKUP($D69,$E$4:$CZ$32,28,FALSE)*'Incremental Repayments'!$I$22)),0),0)</f>
        <v>0</v>
      </c>
      <c r="CZ69" s="477">
        <f>IF('Incremental Repayments'!$R$22="Debt",IF(AND(CZ$4&gt;=$D69,CZ$4&lt;$D69+'Incremental Repayments'!$I$31),-PMT('Interest Rate'!$J$16,'Incremental Repayments'!$I$31,(HLOOKUP($D69,$E$4:$CZ$32,28,FALSE)*'Incremental Repayments'!$I$22)),0),0)</f>
        <v>0</v>
      </c>
    </row>
    <row r="70" spans="2:104" x14ac:dyDescent="0.25">
      <c r="B70" s="480" t="str">
        <f>CONCATENATE("Series ",D70,"A Bonds (at ",'Interest Rate'!$J$16*100,"% Interest)")</f>
        <v>Series 2048A Bonds (at 4.5% Interest)</v>
      </c>
      <c r="C70" s="480"/>
      <c r="D70" s="492">
        <f t="shared" si="492"/>
        <v>2048</v>
      </c>
      <c r="E70" s="477">
        <f>IF('Incremental Repayments'!$R$22="Debt",IF(AND(E$4&gt;=$D70,E$4&lt;$D70+'Incremental Repayments'!$I$31),-PMT('Interest Rate'!$J$16,'Incremental Repayments'!$I$31,(HLOOKUP($D70,$E$4:$CZ$32,28,FALSE)*'Incremental Repayments'!$I$22)),0),0)</f>
        <v>0</v>
      </c>
      <c r="F70" s="477">
        <f>IF('Incremental Repayments'!$R$22="Debt",IF(AND(F$4&gt;=$D70,F$4&lt;$D70+'Incremental Repayments'!$I$31),-PMT('Interest Rate'!$J$16,'Incremental Repayments'!$I$31,(HLOOKUP($D70,$E$4:$CZ$32,28,FALSE)*'Incremental Repayments'!$I$22)),0),0)</f>
        <v>0</v>
      </c>
      <c r="G70" s="477">
        <f>IF('Incremental Repayments'!$R$22="Debt",IF(AND(G$4&gt;=$D70,G$4&lt;$D70+'Incremental Repayments'!$I$31),-PMT('Interest Rate'!$J$16,'Incremental Repayments'!$I$31,(HLOOKUP($D70,$E$4:$CZ$32,28,FALSE)*'Incremental Repayments'!$I$22)),0),0)</f>
        <v>0</v>
      </c>
      <c r="H70" s="477">
        <f>IF('Incremental Repayments'!$R$22="Debt",IF(AND(H$4&gt;=$D70,H$4&lt;$D70+'Incremental Repayments'!$I$31),-PMT('Interest Rate'!$J$16,'Incremental Repayments'!$I$31,(HLOOKUP($D70,$E$4:$CZ$32,28,FALSE)*'Incremental Repayments'!$I$22)),0),0)</f>
        <v>0</v>
      </c>
      <c r="I70" s="477">
        <f>IF('Incremental Repayments'!$R$22="Debt",IF(AND(I$4&gt;=$D70,I$4&lt;$D70+'Incremental Repayments'!$I$31),-PMT('Interest Rate'!$J$16,'Incremental Repayments'!$I$31,(HLOOKUP($D70,$E$4:$CZ$32,28,FALSE)*'Incremental Repayments'!$I$22)),0),0)</f>
        <v>0</v>
      </c>
      <c r="J70" s="477">
        <f>IF('Incremental Repayments'!$R$22="Debt",IF(AND(J$4&gt;=$D70,J$4&lt;$D70+'Incremental Repayments'!$I$31),-PMT('Interest Rate'!$J$16,'Incremental Repayments'!$I$31,(HLOOKUP($D70,$E$4:$CZ$32,28,FALSE)*'Incremental Repayments'!$I$22)),0),0)</f>
        <v>0</v>
      </c>
      <c r="K70" s="477">
        <f>IF('Incremental Repayments'!$R$22="Debt",IF(AND(K$4&gt;=$D70,K$4&lt;$D70+'Incremental Repayments'!$I$31),-PMT('Interest Rate'!$J$16,'Incremental Repayments'!$I$31,(HLOOKUP($D70,$E$4:$CZ$32,28,FALSE)*'Incremental Repayments'!$I$22)),0),0)</f>
        <v>0</v>
      </c>
      <c r="L70" s="477">
        <f>IF('Incremental Repayments'!$R$22="Debt",IF(AND(L$4&gt;=$D70,L$4&lt;$D70+'Incremental Repayments'!$I$31),-PMT('Interest Rate'!$J$16,'Incremental Repayments'!$I$31,(HLOOKUP($D70,$E$4:$CZ$32,28,FALSE)*'Incremental Repayments'!$I$22)),0),0)</f>
        <v>0</v>
      </c>
      <c r="M70" s="477">
        <f>IF('Incremental Repayments'!$R$22="Debt",IF(AND(M$4&gt;=$D70,M$4&lt;$D70+'Incremental Repayments'!$I$31),-PMT('Interest Rate'!$J$16,'Incremental Repayments'!$I$31,(HLOOKUP($D70,$E$4:$CZ$32,28,FALSE)*'Incremental Repayments'!$I$22)),0),0)</f>
        <v>0</v>
      </c>
      <c r="N70" s="477">
        <f>IF('Incremental Repayments'!$R$22="Debt",IF(AND(N$4&gt;=$D70,N$4&lt;$D70+'Incremental Repayments'!$I$31),-PMT('Interest Rate'!$J$16,'Incremental Repayments'!$I$31,(HLOOKUP($D70,$E$4:$CZ$32,28,FALSE)*'Incremental Repayments'!$I$22)),0),0)</f>
        <v>0</v>
      </c>
      <c r="O70" s="477">
        <f>IF('Incremental Repayments'!$R$22="Debt",IF(AND(O$4&gt;=$D70,O$4&lt;$D70+'Incremental Repayments'!$I$31),-PMT('Interest Rate'!$J$16,'Incremental Repayments'!$I$31,(HLOOKUP($D70,$E$4:$CZ$32,28,FALSE)*'Incremental Repayments'!$I$22)),0),0)</f>
        <v>0</v>
      </c>
      <c r="P70" s="477">
        <f>IF('Incremental Repayments'!$R$22="Debt",IF(AND(P$4&gt;=$D70,P$4&lt;$D70+'Incremental Repayments'!$I$31),-PMT('Interest Rate'!$J$16,'Incremental Repayments'!$I$31,(HLOOKUP($D70,$E$4:$CZ$32,28,FALSE)*'Incremental Repayments'!$I$22)),0),0)</f>
        <v>0</v>
      </c>
      <c r="Q70" s="477">
        <f>IF('Incremental Repayments'!$R$22="Debt",IF(AND(Q$4&gt;=$D70,Q$4&lt;$D70+'Incremental Repayments'!$I$31),-PMT('Interest Rate'!$J$16,'Incremental Repayments'!$I$31,(HLOOKUP($D70,$E$4:$CZ$32,28,FALSE)*'Incremental Repayments'!$I$22)),0),0)</f>
        <v>0</v>
      </c>
      <c r="R70" s="477">
        <f>IF('Incremental Repayments'!$R$22="Debt",IF(AND(R$4&gt;=$D70,R$4&lt;$D70+'Incremental Repayments'!$I$31),-PMT('Interest Rate'!$J$16,'Incremental Repayments'!$I$31,(HLOOKUP($D70,$E$4:$CZ$32,28,FALSE)*'Incremental Repayments'!$I$22)),0),0)</f>
        <v>0</v>
      </c>
      <c r="S70" s="477">
        <f>IF('Incremental Repayments'!$R$22="Debt",IF(AND(S$4&gt;=$D70,S$4&lt;$D70+'Incremental Repayments'!$I$31),-PMT('Interest Rate'!$J$16,'Incremental Repayments'!$I$31,(HLOOKUP($D70,$E$4:$CZ$32,28,FALSE)*'Incremental Repayments'!$I$22)),0),0)</f>
        <v>0</v>
      </c>
      <c r="T70" s="477">
        <f>IF('Incremental Repayments'!$R$22="Debt",IF(AND(T$4&gt;=$D70,T$4&lt;$D70+'Incremental Repayments'!$I$31),-PMT('Interest Rate'!$J$16,'Incremental Repayments'!$I$31,(HLOOKUP($D70,$E$4:$CZ$32,28,FALSE)*'Incremental Repayments'!$I$22)),0),0)</f>
        <v>0</v>
      </c>
      <c r="U70" s="477">
        <f>IF('Incremental Repayments'!$R$22="Debt",IF(AND(U$4&gt;=$D70,U$4&lt;$D70+'Incremental Repayments'!$I$31),-PMT('Interest Rate'!$J$16,'Incremental Repayments'!$I$31,(HLOOKUP($D70,$E$4:$CZ$32,28,FALSE)*'Incremental Repayments'!$I$22)),0),0)</f>
        <v>0</v>
      </c>
      <c r="V70" s="477">
        <f>IF('Incremental Repayments'!$R$22="Debt",IF(AND(V$4&gt;=$D70,V$4&lt;$D70+'Incremental Repayments'!$I$31),-PMT('Interest Rate'!$J$16,'Incremental Repayments'!$I$31,(HLOOKUP($D70,$E$4:$CZ$32,28,FALSE)*'Incremental Repayments'!$I$22)),0),0)</f>
        <v>0</v>
      </c>
      <c r="W70" s="477">
        <f>IF('Incremental Repayments'!$R$22="Debt",IF(AND(W$4&gt;=$D70,W$4&lt;$D70+'Incremental Repayments'!$I$31),-PMT('Interest Rate'!$J$16,'Incremental Repayments'!$I$31,(HLOOKUP($D70,$E$4:$CZ$32,28,FALSE)*'Incremental Repayments'!$I$22)),0),0)</f>
        <v>0</v>
      </c>
      <c r="X70" s="477">
        <f>IF('Incremental Repayments'!$R$22="Debt",IF(AND(X$4&gt;=$D70,X$4&lt;$D70+'Incremental Repayments'!$I$31),-PMT('Interest Rate'!$J$16,'Incremental Repayments'!$I$31,(HLOOKUP($D70,$E$4:$CZ$32,28,FALSE)*'Incremental Repayments'!$I$22)),0),0)</f>
        <v>0</v>
      </c>
      <c r="Y70" s="477">
        <f>IF('Incremental Repayments'!$R$22="Debt",IF(AND(Y$4&gt;=$D70,Y$4&lt;$D70+'Incremental Repayments'!$I$31),-PMT('Interest Rate'!$J$16,'Incremental Repayments'!$I$31,(HLOOKUP($D70,$E$4:$CZ$32,28,FALSE)*'Incremental Repayments'!$I$22)),0),0)</f>
        <v>0</v>
      </c>
      <c r="Z70" s="477">
        <f>IF('Incremental Repayments'!$R$22="Debt",IF(AND(Z$4&gt;=$D70,Z$4&lt;$D70+'Incremental Repayments'!$I$31),-PMT('Interest Rate'!$J$16,'Incremental Repayments'!$I$31,(HLOOKUP($D70,$E$4:$CZ$32,28,FALSE)*'Incremental Repayments'!$I$22)),0),0)</f>
        <v>0</v>
      </c>
      <c r="AA70" s="477">
        <f>IF('Incremental Repayments'!$R$22="Debt",IF(AND(AA$4&gt;=$D70,AA$4&lt;$D70+'Incremental Repayments'!$I$31),-PMT('Interest Rate'!$J$16,'Incremental Repayments'!$I$31,(HLOOKUP($D70,$E$4:$CZ$32,28,FALSE)*'Incremental Repayments'!$I$22)),0),0)</f>
        <v>0</v>
      </c>
      <c r="AB70" s="477">
        <f>IF('Incremental Repayments'!$R$22="Debt",IF(AND(AB$4&gt;=$D70,AB$4&lt;$D70+'Incremental Repayments'!$I$31),-PMT('Interest Rate'!$J$16,'Incremental Repayments'!$I$31,(HLOOKUP($D70,$E$4:$CZ$32,28,FALSE)*'Incremental Repayments'!$I$22)),0),0)</f>
        <v>0</v>
      </c>
      <c r="AC70" s="477">
        <f>IF('Incremental Repayments'!$R$22="Debt",IF(AND(AC$4&gt;=$D70,AC$4&lt;$D70+'Incremental Repayments'!$I$31),-PMT('Interest Rate'!$J$16,'Incremental Repayments'!$I$31,(HLOOKUP($D70,$E$4:$CZ$32,28,FALSE)*'Incremental Repayments'!$I$22)),0),0)</f>
        <v>0</v>
      </c>
      <c r="AD70" s="477">
        <f>IF('Incremental Repayments'!$R$22="Debt",IF(AND(AD$4&gt;=$D70,AD$4&lt;$D70+'Incremental Repayments'!$I$31),-PMT('Interest Rate'!$J$16,'Incremental Repayments'!$I$31,(HLOOKUP($D70,$E$4:$CZ$32,28,FALSE)*'Incremental Repayments'!$I$22)),0),0)</f>
        <v>0</v>
      </c>
      <c r="AE70" s="477">
        <f>IF('Incremental Repayments'!$R$22="Debt",IF(AND(AE$4&gt;=$D70,AE$4&lt;$D70+'Incremental Repayments'!$I$31),-PMT('Interest Rate'!$J$16,'Incremental Repayments'!$I$31,(HLOOKUP($D70,$E$4:$CZ$32,28,FALSE)*'Incremental Repayments'!$I$22)),0),0)</f>
        <v>0</v>
      </c>
      <c r="AF70" s="477">
        <f>IF('Incremental Repayments'!$R$22="Debt",IF(AND(AF$4&gt;=$D70,AF$4&lt;$D70+'Incremental Repayments'!$I$31),-PMT('Interest Rate'!$J$16,'Incremental Repayments'!$I$31,(HLOOKUP($D70,$E$4:$CZ$32,28,FALSE)*'Incremental Repayments'!$I$22)),0),0)</f>
        <v>0</v>
      </c>
      <c r="AG70" s="477">
        <f>IF('Incremental Repayments'!$R$22="Debt",IF(AND(AG$4&gt;=$D70,AG$4&lt;$D70+'Incremental Repayments'!$I$31),-PMT('Interest Rate'!$J$16,'Incremental Repayments'!$I$31,(HLOOKUP($D70,$E$4:$CZ$32,28,FALSE)*'Incremental Repayments'!$I$22)),0),0)</f>
        <v>0</v>
      </c>
      <c r="AH70" s="477">
        <f>IF('Incremental Repayments'!$R$22="Debt",IF(AND(AH$4&gt;=$D70,AH$4&lt;$D70+'Incremental Repayments'!$I$31),-PMT('Interest Rate'!$J$16,'Incremental Repayments'!$I$31,(HLOOKUP($D70,$E$4:$CZ$32,28,FALSE)*'Incremental Repayments'!$I$22)),0),0)</f>
        <v>0</v>
      </c>
      <c r="AI70" s="477">
        <f>IF('Incremental Repayments'!$R$22="Debt",IF(AND(AI$4&gt;=$D70,AI$4&lt;$D70+'Incremental Repayments'!$I$31),-PMT('Interest Rate'!$J$16,'Incremental Repayments'!$I$31,(HLOOKUP($D70,$E$4:$CZ$32,28,FALSE)*'Incremental Repayments'!$I$22)),0),0)</f>
        <v>0</v>
      </c>
      <c r="AJ70" s="477">
        <f>IF('Incremental Repayments'!$R$22="Debt",IF(AND(AJ$4&gt;=$D70,AJ$4&lt;$D70+'Incremental Repayments'!$I$31),-PMT('Interest Rate'!$J$16,'Incremental Repayments'!$I$31,(HLOOKUP($D70,$E$4:$CZ$32,28,FALSE)*'Incremental Repayments'!$I$22)),0),0)</f>
        <v>0</v>
      </c>
      <c r="AK70" s="477">
        <f>IF('Incremental Repayments'!$R$22="Debt",IF(AND(AK$4&gt;=$D70,AK$4&lt;$D70+'Incremental Repayments'!$I$31),-PMT('Interest Rate'!$J$16,'Incremental Repayments'!$I$31,(HLOOKUP($D70,$E$4:$CZ$32,28,FALSE)*'Incremental Repayments'!$I$22)),0),0)</f>
        <v>0</v>
      </c>
      <c r="AL70" s="477">
        <f>IF('Incremental Repayments'!$R$22="Debt",IF(AND(AL$4&gt;=$D70,AL$4&lt;$D70+'Incremental Repayments'!$I$31),-PMT('Interest Rate'!$J$16,'Incremental Repayments'!$I$31,(HLOOKUP($D70,$E$4:$CZ$32,28,FALSE)*'Incremental Repayments'!$I$22)),0),0)</f>
        <v>0</v>
      </c>
      <c r="AM70" s="477">
        <f>IF('Incremental Repayments'!$R$22="Debt",IF(AND(AM$4&gt;=$D70,AM$4&lt;$D70+'Incremental Repayments'!$I$31),-PMT('Interest Rate'!$J$16,'Incremental Repayments'!$I$31,(HLOOKUP($D70,$E$4:$CZ$32,28,FALSE)*'Incremental Repayments'!$I$22)),0),0)</f>
        <v>929186.22949652292</v>
      </c>
      <c r="AN70" s="477">
        <f>IF('Incremental Repayments'!$R$22="Debt",IF(AND(AN$4&gt;=$D70,AN$4&lt;$D70+'Incremental Repayments'!$I$31),-PMT('Interest Rate'!$J$16,'Incremental Repayments'!$I$31,(HLOOKUP($D70,$E$4:$CZ$32,28,FALSE)*'Incremental Repayments'!$I$22)),0),0)</f>
        <v>929186.22949652292</v>
      </c>
      <c r="AO70" s="477">
        <f>IF('Incremental Repayments'!$R$22="Debt",IF(AND(AO$4&gt;=$D70,AO$4&lt;$D70+'Incremental Repayments'!$I$31),-PMT('Interest Rate'!$J$16,'Incremental Repayments'!$I$31,(HLOOKUP($D70,$E$4:$CZ$32,28,FALSE)*'Incremental Repayments'!$I$22)),0),0)</f>
        <v>929186.22949652292</v>
      </c>
      <c r="AP70" s="477">
        <f>IF('Incremental Repayments'!$R$22="Debt",IF(AND(AP$4&gt;=$D70,AP$4&lt;$D70+'Incremental Repayments'!$I$31),-PMT('Interest Rate'!$J$16,'Incremental Repayments'!$I$31,(HLOOKUP($D70,$E$4:$CZ$32,28,FALSE)*'Incremental Repayments'!$I$22)),0),0)</f>
        <v>929186.22949652292</v>
      </c>
      <c r="AQ70" s="477">
        <f>IF('Incremental Repayments'!$R$22="Debt",IF(AND(AQ$4&gt;=$D70,AQ$4&lt;$D70+'Incremental Repayments'!$I$31),-PMT('Interest Rate'!$J$16,'Incremental Repayments'!$I$31,(HLOOKUP($D70,$E$4:$CZ$32,28,FALSE)*'Incremental Repayments'!$I$22)),0),0)</f>
        <v>929186.22949652292</v>
      </c>
      <c r="AR70" s="477">
        <f>IF('Incremental Repayments'!$R$22="Debt",IF(AND(AR$4&gt;=$D70,AR$4&lt;$D70+'Incremental Repayments'!$I$31),-PMT('Interest Rate'!$J$16,'Incremental Repayments'!$I$31,(HLOOKUP($D70,$E$4:$CZ$32,28,FALSE)*'Incremental Repayments'!$I$22)),0),0)</f>
        <v>929186.22949652292</v>
      </c>
      <c r="AS70" s="477">
        <f>IF('Incremental Repayments'!$R$22="Debt",IF(AND(AS$4&gt;=$D70,AS$4&lt;$D70+'Incremental Repayments'!$I$31),-PMT('Interest Rate'!$J$16,'Incremental Repayments'!$I$31,(HLOOKUP($D70,$E$4:$CZ$32,28,FALSE)*'Incremental Repayments'!$I$22)),0),0)</f>
        <v>929186.22949652292</v>
      </c>
      <c r="AT70" s="477">
        <f>IF('Incremental Repayments'!$R$22="Debt",IF(AND(AT$4&gt;=$D70,AT$4&lt;$D70+'Incremental Repayments'!$I$31),-PMT('Interest Rate'!$J$16,'Incremental Repayments'!$I$31,(HLOOKUP($D70,$E$4:$CZ$32,28,FALSE)*'Incremental Repayments'!$I$22)),0),0)</f>
        <v>929186.22949652292</v>
      </c>
      <c r="AU70" s="477">
        <f>IF('Incremental Repayments'!$R$22="Debt",IF(AND(AU$4&gt;=$D70,AU$4&lt;$D70+'Incremental Repayments'!$I$31),-PMT('Interest Rate'!$J$16,'Incremental Repayments'!$I$31,(HLOOKUP($D70,$E$4:$CZ$32,28,FALSE)*'Incremental Repayments'!$I$22)),0),0)</f>
        <v>929186.22949652292</v>
      </c>
      <c r="AV70" s="477">
        <f>IF('Incremental Repayments'!$R$22="Debt",IF(AND(AV$4&gt;=$D70,AV$4&lt;$D70+'Incremental Repayments'!$I$31),-PMT('Interest Rate'!$J$16,'Incremental Repayments'!$I$31,(HLOOKUP($D70,$E$4:$CZ$32,28,FALSE)*'Incremental Repayments'!$I$22)),0),0)</f>
        <v>929186.22949652292</v>
      </c>
      <c r="AW70" s="477">
        <f>IF('Incremental Repayments'!$R$22="Debt",IF(AND(AW$4&gt;=$D70,AW$4&lt;$D70+'Incremental Repayments'!$I$31),-PMT('Interest Rate'!$J$16,'Incremental Repayments'!$I$31,(HLOOKUP($D70,$E$4:$CZ$32,28,FALSE)*'Incremental Repayments'!$I$22)),0),0)</f>
        <v>929186.22949652292</v>
      </c>
      <c r="AX70" s="477">
        <f>IF('Incremental Repayments'!$R$22="Debt",IF(AND(AX$4&gt;=$D70,AX$4&lt;$D70+'Incremental Repayments'!$I$31),-PMT('Interest Rate'!$J$16,'Incremental Repayments'!$I$31,(HLOOKUP($D70,$E$4:$CZ$32,28,FALSE)*'Incremental Repayments'!$I$22)),0),0)</f>
        <v>929186.22949652292</v>
      </c>
      <c r="AY70" s="477">
        <f>IF('Incremental Repayments'!$R$22="Debt",IF(AND(AY$4&gt;=$D70,AY$4&lt;$D70+'Incremental Repayments'!$I$31),-PMT('Interest Rate'!$J$16,'Incremental Repayments'!$I$31,(HLOOKUP($D70,$E$4:$CZ$32,28,FALSE)*'Incremental Repayments'!$I$22)),0),0)</f>
        <v>929186.22949652292</v>
      </c>
      <c r="AZ70" s="477">
        <f>IF('Incremental Repayments'!$R$22="Debt",IF(AND(AZ$4&gt;=$D70,AZ$4&lt;$D70+'Incremental Repayments'!$I$31),-PMT('Interest Rate'!$J$16,'Incremental Repayments'!$I$31,(HLOOKUP($D70,$E$4:$CZ$32,28,FALSE)*'Incremental Repayments'!$I$22)),0),0)</f>
        <v>929186.22949652292</v>
      </c>
      <c r="BA70" s="477">
        <f>IF('Incremental Repayments'!$R$22="Debt",IF(AND(BA$4&gt;=$D70,BA$4&lt;$D70+'Incremental Repayments'!$I$31),-PMT('Interest Rate'!$J$16,'Incremental Repayments'!$I$31,(HLOOKUP($D70,$E$4:$CZ$32,28,FALSE)*'Incremental Repayments'!$I$22)),0),0)</f>
        <v>929186.22949652292</v>
      </c>
      <c r="BB70" s="477">
        <f>IF('Incremental Repayments'!$R$22="Debt",IF(AND(BB$4&gt;=$D70,BB$4&lt;$D70+'Incremental Repayments'!$I$31),-PMT('Interest Rate'!$J$16,'Incremental Repayments'!$I$31,(HLOOKUP($D70,$E$4:$CZ$32,28,FALSE)*'Incremental Repayments'!$I$22)),0),0)</f>
        <v>929186.22949652292</v>
      </c>
      <c r="BC70" s="477">
        <f>IF('Incremental Repayments'!$R$22="Debt",IF(AND(BC$4&gt;=$D70,BC$4&lt;$D70+'Incremental Repayments'!$I$31),-PMT('Interest Rate'!$J$16,'Incremental Repayments'!$I$31,(HLOOKUP($D70,$E$4:$CZ$32,28,FALSE)*'Incremental Repayments'!$I$22)),0),0)</f>
        <v>929186.22949652292</v>
      </c>
      <c r="BD70" s="477">
        <f>IF('Incremental Repayments'!$R$22="Debt",IF(AND(BD$4&gt;=$D70,BD$4&lt;$D70+'Incremental Repayments'!$I$31),-PMT('Interest Rate'!$J$16,'Incremental Repayments'!$I$31,(HLOOKUP($D70,$E$4:$CZ$32,28,FALSE)*'Incremental Repayments'!$I$22)),0),0)</f>
        <v>929186.22949652292</v>
      </c>
      <c r="BE70" s="477">
        <f>IF('Incremental Repayments'!$R$22="Debt",IF(AND(BE$4&gt;=$D70,BE$4&lt;$D70+'Incremental Repayments'!$I$31),-PMT('Interest Rate'!$J$16,'Incremental Repayments'!$I$31,(HLOOKUP($D70,$E$4:$CZ$32,28,FALSE)*'Incremental Repayments'!$I$22)),0),0)</f>
        <v>929186.22949652292</v>
      </c>
      <c r="BF70" s="477">
        <f>IF('Incremental Repayments'!$R$22="Debt",IF(AND(BF$4&gt;=$D70,BF$4&lt;$D70+'Incremental Repayments'!$I$31),-PMT('Interest Rate'!$J$16,'Incremental Repayments'!$I$31,(HLOOKUP($D70,$E$4:$CZ$32,28,FALSE)*'Incremental Repayments'!$I$22)),0),0)</f>
        <v>929186.22949652292</v>
      </c>
      <c r="BG70" s="477">
        <f>IF('Incremental Repayments'!$R$22="Debt",IF(AND(BG$4&gt;=$D70,BG$4&lt;$D70+'Incremental Repayments'!$I$31),-PMT('Interest Rate'!$J$16,'Incremental Repayments'!$I$31,(HLOOKUP($D70,$E$4:$CZ$32,28,FALSE)*'Incremental Repayments'!$I$22)),0),0)</f>
        <v>929186.22949652292</v>
      </c>
      <c r="BH70" s="477">
        <f>IF('Incremental Repayments'!$R$22="Debt",IF(AND(BH$4&gt;=$D70,BH$4&lt;$D70+'Incremental Repayments'!$I$31),-PMT('Interest Rate'!$J$16,'Incremental Repayments'!$I$31,(HLOOKUP($D70,$E$4:$CZ$32,28,FALSE)*'Incremental Repayments'!$I$22)),0),0)</f>
        <v>929186.22949652292</v>
      </c>
      <c r="BI70" s="477">
        <f>IF('Incremental Repayments'!$R$22="Debt",IF(AND(BI$4&gt;=$D70,BI$4&lt;$D70+'Incremental Repayments'!$I$31),-PMT('Interest Rate'!$J$16,'Incremental Repayments'!$I$31,(HLOOKUP($D70,$E$4:$CZ$32,28,FALSE)*'Incremental Repayments'!$I$22)),0),0)</f>
        <v>929186.22949652292</v>
      </c>
      <c r="BJ70" s="477">
        <f>IF('Incremental Repayments'!$R$22="Debt",IF(AND(BJ$4&gt;=$D70,BJ$4&lt;$D70+'Incremental Repayments'!$I$31),-PMT('Interest Rate'!$J$16,'Incremental Repayments'!$I$31,(HLOOKUP($D70,$E$4:$CZ$32,28,FALSE)*'Incremental Repayments'!$I$22)),0),0)</f>
        <v>929186.22949652292</v>
      </c>
      <c r="BK70" s="477">
        <f>IF('Incremental Repayments'!$R$22="Debt",IF(AND(BK$4&gt;=$D70,BK$4&lt;$D70+'Incremental Repayments'!$I$31),-PMT('Interest Rate'!$J$16,'Incremental Repayments'!$I$31,(HLOOKUP($D70,$E$4:$CZ$32,28,FALSE)*'Incremental Repayments'!$I$22)),0),0)</f>
        <v>929186.22949652292</v>
      </c>
      <c r="BL70" s="477">
        <f>IF('Incremental Repayments'!$R$22="Debt",IF(AND(BL$4&gt;=$D70,BL$4&lt;$D70+'Incremental Repayments'!$I$31),-PMT('Interest Rate'!$J$16,'Incremental Repayments'!$I$31,(HLOOKUP($D70,$E$4:$CZ$32,28,FALSE)*'Incremental Repayments'!$I$22)),0),0)</f>
        <v>929186.22949652292</v>
      </c>
      <c r="BM70" s="477">
        <f>IF('Incremental Repayments'!$R$22="Debt",IF(AND(BM$4&gt;=$D70,BM$4&lt;$D70+'Incremental Repayments'!$I$31),-PMT('Interest Rate'!$J$16,'Incremental Repayments'!$I$31,(HLOOKUP($D70,$E$4:$CZ$32,28,FALSE)*'Incremental Repayments'!$I$22)),0),0)</f>
        <v>929186.22949652292</v>
      </c>
      <c r="BN70" s="477">
        <f>IF('Incremental Repayments'!$R$22="Debt",IF(AND(BN$4&gt;=$D70,BN$4&lt;$D70+'Incremental Repayments'!$I$31),-PMT('Interest Rate'!$J$16,'Incremental Repayments'!$I$31,(HLOOKUP($D70,$E$4:$CZ$32,28,FALSE)*'Incremental Repayments'!$I$22)),0),0)</f>
        <v>929186.22949652292</v>
      </c>
      <c r="BO70" s="477">
        <f>IF('Incremental Repayments'!$R$22="Debt",IF(AND(BO$4&gt;=$D70,BO$4&lt;$D70+'Incremental Repayments'!$I$31),-PMT('Interest Rate'!$J$16,'Incremental Repayments'!$I$31,(HLOOKUP($D70,$E$4:$CZ$32,28,FALSE)*'Incremental Repayments'!$I$22)),0),0)</f>
        <v>929186.22949652292</v>
      </c>
      <c r="BP70" s="477">
        <f>IF('Incremental Repayments'!$R$22="Debt",IF(AND(BP$4&gt;=$D70,BP$4&lt;$D70+'Incremental Repayments'!$I$31),-PMT('Interest Rate'!$J$16,'Incremental Repayments'!$I$31,(HLOOKUP($D70,$E$4:$CZ$32,28,FALSE)*'Incremental Repayments'!$I$22)),0),0)</f>
        <v>929186.22949652292</v>
      </c>
      <c r="BQ70" s="477">
        <f>IF('Incremental Repayments'!$R$22="Debt",IF(AND(BQ$4&gt;=$D70,BQ$4&lt;$D70+'Incremental Repayments'!$I$31),-PMT('Interest Rate'!$J$16,'Incremental Repayments'!$I$31,(HLOOKUP($D70,$E$4:$CZ$32,28,FALSE)*'Incremental Repayments'!$I$22)),0),0)</f>
        <v>0</v>
      </c>
      <c r="BR70" s="477">
        <f>IF('Incremental Repayments'!$R$22="Debt",IF(AND(BR$4&gt;=$D70,BR$4&lt;$D70+'Incremental Repayments'!$I$31),-PMT('Interest Rate'!$J$16,'Incremental Repayments'!$I$31,(HLOOKUP($D70,$E$4:$CZ$32,28,FALSE)*'Incremental Repayments'!$I$22)),0),0)</f>
        <v>0</v>
      </c>
      <c r="BS70" s="477">
        <f>IF('Incremental Repayments'!$R$22="Debt",IF(AND(BS$4&gt;=$D70,BS$4&lt;$D70+'Incremental Repayments'!$I$31),-PMT('Interest Rate'!$J$16,'Incremental Repayments'!$I$31,(HLOOKUP($D70,$E$4:$CZ$32,28,FALSE)*'Incremental Repayments'!$I$22)),0),0)</f>
        <v>0</v>
      </c>
      <c r="BT70" s="477">
        <f>IF('Incremental Repayments'!$R$22="Debt",IF(AND(BT$4&gt;=$D70,BT$4&lt;$D70+'Incremental Repayments'!$I$31),-PMT('Interest Rate'!$J$16,'Incremental Repayments'!$I$31,(HLOOKUP($D70,$E$4:$CZ$32,28,FALSE)*'Incremental Repayments'!$I$22)),0),0)</f>
        <v>0</v>
      </c>
      <c r="BU70" s="477">
        <f>IF('Incremental Repayments'!$R$22="Debt",IF(AND(BU$4&gt;=$D70,BU$4&lt;$D70+'Incremental Repayments'!$I$31),-PMT('Interest Rate'!$J$16,'Incremental Repayments'!$I$31,(HLOOKUP($D70,$E$4:$CZ$32,28,FALSE)*'Incremental Repayments'!$I$22)),0),0)</f>
        <v>0</v>
      </c>
      <c r="BV70" s="477">
        <f>IF('Incremental Repayments'!$R$22="Debt",IF(AND(BV$4&gt;=$D70,BV$4&lt;$D70+'Incremental Repayments'!$I$31),-PMT('Interest Rate'!$J$16,'Incremental Repayments'!$I$31,(HLOOKUP($D70,$E$4:$CZ$32,28,FALSE)*'Incremental Repayments'!$I$22)),0),0)</f>
        <v>0</v>
      </c>
      <c r="BW70" s="477">
        <f>IF('Incremental Repayments'!$R$22="Debt",IF(AND(BW$4&gt;=$D70,BW$4&lt;$D70+'Incremental Repayments'!$I$31),-PMT('Interest Rate'!$J$16,'Incremental Repayments'!$I$31,(HLOOKUP($D70,$E$4:$CZ$32,28,FALSE)*'Incremental Repayments'!$I$22)),0),0)</f>
        <v>0</v>
      </c>
      <c r="BX70" s="477">
        <f>IF('Incremental Repayments'!$R$22="Debt",IF(AND(BX$4&gt;=$D70,BX$4&lt;$D70+'Incremental Repayments'!$I$31),-PMT('Interest Rate'!$J$16,'Incremental Repayments'!$I$31,(HLOOKUP($D70,$E$4:$CZ$32,28,FALSE)*'Incremental Repayments'!$I$22)),0),0)</f>
        <v>0</v>
      </c>
      <c r="BY70" s="477">
        <f>IF('Incremental Repayments'!$R$22="Debt",IF(AND(BY$4&gt;=$D70,BY$4&lt;$D70+'Incremental Repayments'!$I$31),-PMT('Interest Rate'!$J$16,'Incremental Repayments'!$I$31,(HLOOKUP($D70,$E$4:$CZ$32,28,FALSE)*'Incremental Repayments'!$I$22)),0),0)</f>
        <v>0</v>
      </c>
      <c r="BZ70" s="477">
        <f>IF('Incremental Repayments'!$R$22="Debt",IF(AND(BZ$4&gt;=$D70,BZ$4&lt;$D70+'Incremental Repayments'!$I$31),-PMT('Interest Rate'!$J$16,'Incremental Repayments'!$I$31,(HLOOKUP($D70,$E$4:$CZ$32,28,FALSE)*'Incremental Repayments'!$I$22)),0),0)</f>
        <v>0</v>
      </c>
      <c r="CA70" s="477">
        <f>IF('Incremental Repayments'!$R$22="Debt",IF(AND(CA$4&gt;=$D70,CA$4&lt;$D70+'Incremental Repayments'!$I$31),-PMT('Interest Rate'!$J$16,'Incremental Repayments'!$I$31,(HLOOKUP($D70,$E$4:$CZ$32,28,FALSE)*'Incremental Repayments'!$I$22)),0),0)</f>
        <v>0</v>
      </c>
      <c r="CB70" s="477">
        <f>IF('Incremental Repayments'!$R$22="Debt",IF(AND(CB$4&gt;=$D70,CB$4&lt;$D70+'Incremental Repayments'!$I$31),-PMT('Interest Rate'!$J$16,'Incremental Repayments'!$I$31,(HLOOKUP($D70,$E$4:$CZ$32,28,FALSE)*'Incremental Repayments'!$I$22)),0),0)</f>
        <v>0</v>
      </c>
      <c r="CC70" s="477">
        <f>IF('Incremental Repayments'!$R$22="Debt",IF(AND(CC$4&gt;=$D70,CC$4&lt;$D70+'Incremental Repayments'!$I$31),-PMT('Interest Rate'!$J$16,'Incremental Repayments'!$I$31,(HLOOKUP($D70,$E$4:$CZ$32,28,FALSE)*'Incremental Repayments'!$I$22)),0),0)</f>
        <v>0</v>
      </c>
      <c r="CD70" s="477">
        <f>IF('Incremental Repayments'!$R$22="Debt",IF(AND(CD$4&gt;=$D70,CD$4&lt;$D70+'Incremental Repayments'!$I$31),-PMT('Interest Rate'!$J$16,'Incremental Repayments'!$I$31,(HLOOKUP($D70,$E$4:$CZ$32,28,FALSE)*'Incremental Repayments'!$I$22)),0),0)</f>
        <v>0</v>
      </c>
      <c r="CE70" s="477">
        <f>IF('Incremental Repayments'!$R$22="Debt",IF(AND(CE$4&gt;=$D70,CE$4&lt;$D70+'Incremental Repayments'!$I$31),-PMT('Interest Rate'!$J$16,'Incremental Repayments'!$I$31,(HLOOKUP($D70,$E$4:$CZ$32,28,FALSE)*'Incremental Repayments'!$I$22)),0),0)</f>
        <v>0</v>
      </c>
      <c r="CF70" s="477">
        <f>IF('Incremental Repayments'!$R$22="Debt",IF(AND(CF$4&gt;=$D70,CF$4&lt;$D70+'Incremental Repayments'!$I$31),-PMT('Interest Rate'!$J$16,'Incremental Repayments'!$I$31,(HLOOKUP($D70,$E$4:$CZ$32,28,FALSE)*'Incremental Repayments'!$I$22)),0),0)</f>
        <v>0</v>
      </c>
      <c r="CG70" s="477">
        <f>IF('Incremental Repayments'!$R$22="Debt",IF(AND(CG$4&gt;=$D70,CG$4&lt;$D70+'Incremental Repayments'!$I$31),-PMT('Interest Rate'!$J$16,'Incremental Repayments'!$I$31,(HLOOKUP($D70,$E$4:$CZ$32,28,FALSE)*'Incremental Repayments'!$I$22)),0),0)</f>
        <v>0</v>
      </c>
      <c r="CH70" s="477">
        <f>IF('Incremental Repayments'!$R$22="Debt",IF(AND(CH$4&gt;=$D70,CH$4&lt;$D70+'Incremental Repayments'!$I$31),-PMT('Interest Rate'!$J$16,'Incremental Repayments'!$I$31,(HLOOKUP($D70,$E$4:$CZ$32,28,FALSE)*'Incremental Repayments'!$I$22)),0),0)</f>
        <v>0</v>
      </c>
      <c r="CI70" s="477">
        <f>IF('Incremental Repayments'!$R$22="Debt",IF(AND(CI$4&gt;=$D70,CI$4&lt;$D70+'Incremental Repayments'!$I$31),-PMT('Interest Rate'!$J$16,'Incremental Repayments'!$I$31,(HLOOKUP($D70,$E$4:$CZ$32,28,FALSE)*'Incremental Repayments'!$I$22)),0),0)</f>
        <v>0</v>
      </c>
      <c r="CJ70" s="477">
        <f>IF('Incremental Repayments'!$R$22="Debt",IF(AND(CJ$4&gt;=$D70,CJ$4&lt;$D70+'Incremental Repayments'!$I$31),-PMT('Interest Rate'!$J$16,'Incremental Repayments'!$I$31,(HLOOKUP($D70,$E$4:$CZ$32,28,FALSE)*'Incremental Repayments'!$I$22)),0),0)</f>
        <v>0</v>
      </c>
      <c r="CK70" s="477">
        <f>IF('Incremental Repayments'!$R$22="Debt",IF(AND(CK$4&gt;=$D70,CK$4&lt;$D70+'Incremental Repayments'!$I$31),-PMT('Interest Rate'!$J$16,'Incremental Repayments'!$I$31,(HLOOKUP($D70,$E$4:$CZ$32,28,FALSE)*'Incremental Repayments'!$I$22)),0),0)</f>
        <v>0</v>
      </c>
      <c r="CL70" s="477">
        <f>IF('Incremental Repayments'!$R$22="Debt",IF(AND(CL$4&gt;=$D70,CL$4&lt;$D70+'Incremental Repayments'!$I$31),-PMT('Interest Rate'!$J$16,'Incremental Repayments'!$I$31,(HLOOKUP($D70,$E$4:$CZ$32,28,FALSE)*'Incremental Repayments'!$I$22)),0),0)</f>
        <v>0</v>
      </c>
      <c r="CM70" s="477">
        <f>IF('Incremental Repayments'!$R$22="Debt",IF(AND(CM$4&gt;=$D70,CM$4&lt;$D70+'Incremental Repayments'!$I$31),-PMT('Interest Rate'!$J$16,'Incremental Repayments'!$I$31,(HLOOKUP($D70,$E$4:$CZ$32,28,FALSE)*'Incremental Repayments'!$I$22)),0),0)</f>
        <v>0</v>
      </c>
      <c r="CN70" s="477">
        <f>IF('Incremental Repayments'!$R$22="Debt",IF(AND(CN$4&gt;=$D70,CN$4&lt;$D70+'Incremental Repayments'!$I$31),-PMT('Interest Rate'!$J$16,'Incremental Repayments'!$I$31,(HLOOKUP($D70,$E$4:$CZ$32,28,FALSE)*'Incremental Repayments'!$I$22)),0),0)</f>
        <v>0</v>
      </c>
      <c r="CO70" s="477">
        <f>IF('Incremental Repayments'!$R$22="Debt",IF(AND(CO$4&gt;=$D70,CO$4&lt;$D70+'Incremental Repayments'!$I$31),-PMT('Interest Rate'!$J$16,'Incremental Repayments'!$I$31,(HLOOKUP($D70,$E$4:$CZ$32,28,FALSE)*'Incremental Repayments'!$I$22)),0),0)</f>
        <v>0</v>
      </c>
      <c r="CP70" s="477">
        <f>IF('Incremental Repayments'!$R$22="Debt",IF(AND(CP$4&gt;=$D70,CP$4&lt;$D70+'Incremental Repayments'!$I$31),-PMT('Interest Rate'!$J$16,'Incremental Repayments'!$I$31,(HLOOKUP($D70,$E$4:$CZ$32,28,FALSE)*'Incremental Repayments'!$I$22)),0),0)</f>
        <v>0</v>
      </c>
      <c r="CQ70" s="477">
        <f>IF('Incremental Repayments'!$R$22="Debt",IF(AND(CQ$4&gt;=$D70,CQ$4&lt;$D70+'Incremental Repayments'!$I$31),-PMT('Interest Rate'!$J$16,'Incremental Repayments'!$I$31,(HLOOKUP($D70,$E$4:$CZ$32,28,FALSE)*'Incremental Repayments'!$I$22)),0),0)</f>
        <v>0</v>
      </c>
      <c r="CR70" s="477">
        <f>IF('Incremental Repayments'!$R$22="Debt",IF(AND(CR$4&gt;=$D70,CR$4&lt;$D70+'Incremental Repayments'!$I$31),-PMT('Interest Rate'!$J$16,'Incremental Repayments'!$I$31,(HLOOKUP($D70,$E$4:$CZ$32,28,FALSE)*'Incremental Repayments'!$I$22)),0),0)</f>
        <v>0</v>
      </c>
      <c r="CS70" s="477">
        <f>IF('Incremental Repayments'!$R$22="Debt",IF(AND(CS$4&gt;=$D70,CS$4&lt;$D70+'Incremental Repayments'!$I$31),-PMT('Interest Rate'!$J$16,'Incremental Repayments'!$I$31,(HLOOKUP($D70,$E$4:$CZ$32,28,FALSE)*'Incremental Repayments'!$I$22)),0),0)</f>
        <v>0</v>
      </c>
      <c r="CT70" s="477">
        <f>IF('Incremental Repayments'!$R$22="Debt",IF(AND(CT$4&gt;=$D70,CT$4&lt;$D70+'Incremental Repayments'!$I$31),-PMT('Interest Rate'!$J$16,'Incremental Repayments'!$I$31,(HLOOKUP($D70,$E$4:$CZ$32,28,FALSE)*'Incremental Repayments'!$I$22)),0),0)</f>
        <v>0</v>
      </c>
      <c r="CU70" s="477">
        <f>IF('Incremental Repayments'!$R$22="Debt",IF(AND(CU$4&gt;=$D70,CU$4&lt;$D70+'Incremental Repayments'!$I$31),-PMT('Interest Rate'!$J$16,'Incremental Repayments'!$I$31,(HLOOKUP($D70,$E$4:$CZ$32,28,FALSE)*'Incremental Repayments'!$I$22)),0),0)</f>
        <v>0</v>
      </c>
      <c r="CV70" s="477">
        <f>IF('Incremental Repayments'!$R$22="Debt",IF(AND(CV$4&gt;=$D70,CV$4&lt;$D70+'Incremental Repayments'!$I$31),-PMT('Interest Rate'!$J$16,'Incremental Repayments'!$I$31,(HLOOKUP($D70,$E$4:$CZ$32,28,FALSE)*'Incremental Repayments'!$I$22)),0),0)</f>
        <v>0</v>
      </c>
      <c r="CW70" s="477">
        <f>IF('Incremental Repayments'!$R$22="Debt",IF(AND(CW$4&gt;=$D70,CW$4&lt;$D70+'Incremental Repayments'!$I$31),-PMT('Interest Rate'!$J$16,'Incremental Repayments'!$I$31,(HLOOKUP($D70,$E$4:$CZ$32,28,FALSE)*'Incremental Repayments'!$I$22)),0),0)</f>
        <v>0</v>
      </c>
      <c r="CX70" s="477">
        <f>IF('Incremental Repayments'!$R$22="Debt",IF(AND(CX$4&gt;=$D70,CX$4&lt;$D70+'Incremental Repayments'!$I$31),-PMT('Interest Rate'!$J$16,'Incremental Repayments'!$I$31,(HLOOKUP($D70,$E$4:$CZ$32,28,FALSE)*'Incremental Repayments'!$I$22)),0),0)</f>
        <v>0</v>
      </c>
      <c r="CY70" s="477">
        <f>IF('Incremental Repayments'!$R$22="Debt",IF(AND(CY$4&gt;=$D70,CY$4&lt;$D70+'Incremental Repayments'!$I$31),-PMT('Interest Rate'!$J$16,'Incremental Repayments'!$I$31,(HLOOKUP($D70,$E$4:$CZ$32,28,FALSE)*'Incremental Repayments'!$I$22)),0),0)</f>
        <v>0</v>
      </c>
      <c r="CZ70" s="477">
        <f>IF('Incremental Repayments'!$R$22="Debt",IF(AND(CZ$4&gt;=$D70,CZ$4&lt;$D70+'Incremental Repayments'!$I$31),-PMT('Interest Rate'!$J$16,'Incremental Repayments'!$I$31,(HLOOKUP($D70,$E$4:$CZ$32,28,FALSE)*'Incremental Repayments'!$I$22)),0),0)</f>
        <v>0</v>
      </c>
    </row>
    <row r="71" spans="2:104" x14ac:dyDescent="0.25">
      <c r="B71" s="480" t="str">
        <f>CONCATENATE("Series ",D71,"A Bonds (at ",'Interest Rate'!$J$16*100,"% Interest)")</f>
        <v>Series 2049A Bonds (at 4.5% Interest)</v>
      </c>
      <c r="C71" s="480"/>
      <c r="D71" s="492">
        <f t="shared" si="492"/>
        <v>2049</v>
      </c>
      <c r="E71" s="477">
        <f>IF('Incremental Repayments'!$R$22="Debt",IF(AND(E$4&gt;=$D71,E$4&lt;$D71+'Incremental Repayments'!$I$31),-PMT('Interest Rate'!$J$16,'Incremental Repayments'!$I$31,(HLOOKUP($D71,$E$4:$CZ$32,28,FALSE)*'Incremental Repayments'!$I$22)),0),0)</f>
        <v>0</v>
      </c>
      <c r="F71" s="477">
        <f>IF('Incremental Repayments'!$R$22="Debt",IF(AND(F$4&gt;=$D71,F$4&lt;$D71+'Incremental Repayments'!$I$31),-PMT('Interest Rate'!$J$16,'Incremental Repayments'!$I$31,(HLOOKUP($D71,$E$4:$CZ$32,28,FALSE)*'Incremental Repayments'!$I$22)),0),0)</f>
        <v>0</v>
      </c>
      <c r="G71" s="477">
        <f>IF('Incremental Repayments'!$R$22="Debt",IF(AND(G$4&gt;=$D71,G$4&lt;$D71+'Incremental Repayments'!$I$31),-PMT('Interest Rate'!$J$16,'Incremental Repayments'!$I$31,(HLOOKUP($D71,$E$4:$CZ$32,28,FALSE)*'Incremental Repayments'!$I$22)),0),0)</f>
        <v>0</v>
      </c>
      <c r="H71" s="477">
        <f>IF('Incremental Repayments'!$R$22="Debt",IF(AND(H$4&gt;=$D71,H$4&lt;$D71+'Incremental Repayments'!$I$31),-PMT('Interest Rate'!$J$16,'Incremental Repayments'!$I$31,(HLOOKUP($D71,$E$4:$CZ$32,28,FALSE)*'Incremental Repayments'!$I$22)),0),0)</f>
        <v>0</v>
      </c>
      <c r="I71" s="477">
        <f>IF('Incremental Repayments'!$R$22="Debt",IF(AND(I$4&gt;=$D71,I$4&lt;$D71+'Incremental Repayments'!$I$31),-PMT('Interest Rate'!$J$16,'Incremental Repayments'!$I$31,(HLOOKUP($D71,$E$4:$CZ$32,28,FALSE)*'Incremental Repayments'!$I$22)),0),0)</f>
        <v>0</v>
      </c>
      <c r="J71" s="477">
        <f>IF('Incremental Repayments'!$R$22="Debt",IF(AND(J$4&gt;=$D71,J$4&lt;$D71+'Incremental Repayments'!$I$31),-PMT('Interest Rate'!$J$16,'Incremental Repayments'!$I$31,(HLOOKUP($D71,$E$4:$CZ$32,28,FALSE)*'Incremental Repayments'!$I$22)),0),0)</f>
        <v>0</v>
      </c>
      <c r="K71" s="477">
        <f>IF('Incremental Repayments'!$R$22="Debt",IF(AND(K$4&gt;=$D71,K$4&lt;$D71+'Incremental Repayments'!$I$31),-PMT('Interest Rate'!$J$16,'Incremental Repayments'!$I$31,(HLOOKUP($D71,$E$4:$CZ$32,28,FALSE)*'Incremental Repayments'!$I$22)),0),0)</f>
        <v>0</v>
      </c>
      <c r="L71" s="477">
        <f>IF('Incremental Repayments'!$R$22="Debt",IF(AND(L$4&gt;=$D71,L$4&lt;$D71+'Incremental Repayments'!$I$31),-PMT('Interest Rate'!$J$16,'Incremental Repayments'!$I$31,(HLOOKUP($D71,$E$4:$CZ$32,28,FALSE)*'Incremental Repayments'!$I$22)),0),0)</f>
        <v>0</v>
      </c>
      <c r="M71" s="477">
        <f>IF('Incremental Repayments'!$R$22="Debt",IF(AND(M$4&gt;=$D71,M$4&lt;$D71+'Incremental Repayments'!$I$31),-PMT('Interest Rate'!$J$16,'Incremental Repayments'!$I$31,(HLOOKUP($D71,$E$4:$CZ$32,28,FALSE)*'Incremental Repayments'!$I$22)),0),0)</f>
        <v>0</v>
      </c>
      <c r="N71" s="477">
        <f>IF('Incremental Repayments'!$R$22="Debt",IF(AND(N$4&gt;=$D71,N$4&lt;$D71+'Incremental Repayments'!$I$31),-PMT('Interest Rate'!$J$16,'Incremental Repayments'!$I$31,(HLOOKUP($D71,$E$4:$CZ$32,28,FALSE)*'Incremental Repayments'!$I$22)),0),0)</f>
        <v>0</v>
      </c>
      <c r="O71" s="477">
        <f>IF('Incremental Repayments'!$R$22="Debt",IF(AND(O$4&gt;=$D71,O$4&lt;$D71+'Incremental Repayments'!$I$31),-PMT('Interest Rate'!$J$16,'Incremental Repayments'!$I$31,(HLOOKUP($D71,$E$4:$CZ$32,28,FALSE)*'Incremental Repayments'!$I$22)),0),0)</f>
        <v>0</v>
      </c>
      <c r="P71" s="477">
        <f>IF('Incremental Repayments'!$R$22="Debt",IF(AND(P$4&gt;=$D71,P$4&lt;$D71+'Incremental Repayments'!$I$31),-PMT('Interest Rate'!$J$16,'Incremental Repayments'!$I$31,(HLOOKUP($D71,$E$4:$CZ$32,28,FALSE)*'Incremental Repayments'!$I$22)),0),0)</f>
        <v>0</v>
      </c>
      <c r="Q71" s="477">
        <f>IF('Incremental Repayments'!$R$22="Debt",IF(AND(Q$4&gt;=$D71,Q$4&lt;$D71+'Incremental Repayments'!$I$31),-PMT('Interest Rate'!$J$16,'Incremental Repayments'!$I$31,(HLOOKUP($D71,$E$4:$CZ$32,28,FALSE)*'Incremental Repayments'!$I$22)),0),0)</f>
        <v>0</v>
      </c>
      <c r="R71" s="477">
        <f>IF('Incremental Repayments'!$R$22="Debt",IF(AND(R$4&gt;=$D71,R$4&lt;$D71+'Incremental Repayments'!$I$31),-PMT('Interest Rate'!$J$16,'Incremental Repayments'!$I$31,(HLOOKUP($D71,$E$4:$CZ$32,28,FALSE)*'Incremental Repayments'!$I$22)),0),0)</f>
        <v>0</v>
      </c>
      <c r="S71" s="477">
        <f>IF('Incremental Repayments'!$R$22="Debt",IF(AND(S$4&gt;=$D71,S$4&lt;$D71+'Incremental Repayments'!$I$31),-PMT('Interest Rate'!$J$16,'Incremental Repayments'!$I$31,(HLOOKUP($D71,$E$4:$CZ$32,28,FALSE)*'Incremental Repayments'!$I$22)),0),0)</f>
        <v>0</v>
      </c>
      <c r="T71" s="477">
        <f>IF('Incremental Repayments'!$R$22="Debt",IF(AND(T$4&gt;=$D71,T$4&lt;$D71+'Incremental Repayments'!$I$31),-PMT('Interest Rate'!$J$16,'Incremental Repayments'!$I$31,(HLOOKUP($D71,$E$4:$CZ$32,28,FALSE)*'Incremental Repayments'!$I$22)),0),0)</f>
        <v>0</v>
      </c>
      <c r="U71" s="477">
        <f>IF('Incremental Repayments'!$R$22="Debt",IF(AND(U$4&gt;=$D71,U$4&lt;$D71+'Incremental Repayments'!$I$31),-PMT('Interest Rate'!$J$16,'Incremental Repayments'!$I$31,(HLOOKUP($D71,$E$4:$CZ$32,28,FALSE)*'Incremental Repayments'!$I$22)),0),0)</f>
        <v>0</v>
      </c>
      <c r="V71" s="477">
        <f>IF('Incremental Repayments'!$R$22="Debt",IF(AND(V$4&gt;=$D71,V$4&lt;$D71+'Incremental Repayments'!$I$31),-PMT('Interest Rate'!$J$16,'Incremental Repayments'!$I$31,(HLOOKUP($D71,$E$4:$CZ$32,28,FALSE)*'Incremental Repayments'!$I$22)),0),0)</f>
        <v>0</v>
      </c>
      <c r="W71" s="477">
        <f>IF('Incremental Repayments'!$R$22="Debt",IF(AND(W$4&gt;=$D71,W$4&lt;$D71+'Incremental Repayments'!$I$31),-PMT('Interest Rate'!$J$16,'Incremental Repayments'!$I$31,(HLOOKUP($D71,$E$4:$CZ$32,28,FALSE)*'Incremental Repayments'!$I$22)),0),0)</f>
        <v>0</v>
      </c>
      <c r="X71" s="477">
        <f>IF('Incremental Repayments'!$R$22="Debt",IF(AND(X$4&gt;=$D71,X$4&lt;$D71+'Incremental Repayments'!$I$31),-PMT('Interest Rate'!$J$16,'Incremental Repayments'!$I$31,(HLOOKUP($D71,$E$4:$CZ$32,28,FALSE)*'Incremental Repayments'!$I$22)),0),0)</f>
        <v>0</v>
      </c>
      <c r="Y71" s="477">
        <f>IF('Incremental Repayments'!$R$22="Debt",IF(AND(Y$4&gt;=$D71,Y$4&lt;$D71+'Incremental Repayments'!$I$31),-PMT('Interest Rate'!$J$16,'Incremental Repayments'!$I$31,(HLOOKUP($D71,$E$4:$CZ$32,28,FALSE)*'Incremental Repayments'!$I$22)),0),0)</f>
        <v>0</v>
      </c>
      <c r="Z71" s="477">
        <f>IF('Incremental Repayments'!$R$22="Debt",IF(AND(Z$4&gt;=$D71,Z$4&lt;$D71+'Incremental Repayments'!$I$31),-PMT('Interest Rate'!$J$16,'Incremental Repayments'!$I$31,(HLOOKUP($D71,$E$4:$CZ$32,28,FALSE)*'Incremental Repayments'!$I$22)),0),0)</f>
        <v>0</v>
      </c>
      <c r="AA71" s="477">
        <f>IF('Incremental Repayments'!$R$22="Debt",IF(AND(AA$4&gt;=$D71,AA$4&lt;$D71+'Incremental Repayments'!$I$31),-PMT('Interest Rate'!$J$16,'Incremental Repayments'!$I$31,(HLOOKUP($D71,$E$4:$CZ$32,28,FALSE)*'Incremental Repayments'!$I$22)),0),0)</f>
        <v>0</v>
      </c>
      <c r="AB71" s="477">
        <f>IF('Incremental Repayments'!$R$22="Debt",IF(AND(AB$4&gt;=$D71,AB$4&lt;$D71+'Incremental Repayments'!$I$31),-PMT('Interest Rate'!$J$16,'Incremental Repayments'!$I$31,(HLOOKUP($D71,$E$4:$CZ$32,28,FALSE)*'Incremental Repayments'!$I$22)),0),0)</f>
        <v>0</v>
      </c>
      <c r="AC71" s="477">
        <f>IF('Incremental Repayments'!$R$22="Debt",IF(AND(AC$4&gt;=$D71,AC$4&lt;$D71+'Incremental Repayments'!$I$31),-PMT('Interest Rate'!$J$16,'Incremental Repayments'!$I$31,(HLOOKUP($D71,$E$4:$CZ$32,28,FALSE)*'Incremental Repayments'!$I$22)),0),0)</f>
        <v>0</v>
      </c>
      <c r="AD71" s="477">
        <f>IF('Incremental Repayments'!$R$22="Debt",IF(AND(AD$4&gt;=$D71,AD$4&lt;$D71+'Incremental Repayments'!$I$31),-PMT('Interest Rate'!$J$16,'Incremental Repayments'!$I$31,(HLOOKUP($D71,$E$4:$CZ$32,28,FALSE)*'Incremental Repayments'!$I$22)),0),0)</f>
        <v>0</v>
      </c>
      <c r="AE71" s="477">
        <f>IF('Incremental Repayments'!$R$22="Debt",IF(AND(AE$4&gt;=$D71,AE$4&lt;$D71+'Incremental Repayments'!$I$31),-PMT('Interest Rate'!$J$16,'Incremental Repayments'!$I$31,(HLOOKUP($D71,$E$4:$CZ$32,28,FALSE)*'Incremental Repayments'!$I$22)),0),0)</f>
        <v>0</v>
      </c>
      <c r="AF71" s="477">
        <f>IF('Incremental Repayments'!$R$22="Debt",IF(AND(AF$4&gt;=$D71,AF$4&lt;$D71+'Incremental Repayments'!$I$31),-PMT('Interest Rate'!$J$16,'Incremental Repayments'!$I$31,(HLOOKUP($D71,$E$4:$CZ$32,28,FALSE)*'Incremental Repayments'!$I$22)),0),0)</f>
        <v>0</v>
      </c>
      <c r="AG71" s="477">
        <f>IF('Incremental Repayments'!$R$22="Debt",IF(AND(AG$4&gt;=$D71,AG$4&lt;$D71+'Incremental Repayments'!$I$31),-PMT('Interest Rate'!$J$16,'Incremental Repayments'!$I$31,(HLOOKUP($D71,$E$4:$CZ$32,28,FALSE)*'Incremental Repayments'!$I$22)),0),0)</f>
        <v>0</v>
      </c>
      <c r="AH71" s="477">
        <f>IF('Incremental Repayments'!$R$22="Debt",IF(AND(AH$4&gt;=$D71,AH$4&lt;$D71+'Incremental Repayments'!$I$31),-PMT('Interest Rate'!$J$16,'Incremental Repayments'!$I$31,(HLOOKUP($D71,$E$4:$CZ$32,28,FALSE)*'Incremental Repayments'!$I$22)),0),0)</f>
        <v>0</v>
      </c>
      <c r="AI71" s="477">
        <f>IF('Incremental Repayments'!$R$22="Debt",IF(AND(AI$4&gt;=$D71,AI$4&lt;$D71+'Incremental Repayments'!$I$31),-PMT('Interest Rate'!$J$16,'Incremental Repayments'!$I$31,(HLOOKUP($D71,$E$4:$CZ$32,28,FALSE)*'Incremental Repayments'!$I$22)),0),0)</f>
        <v>0</v>
      </c>
      <c r="AJ71" s="477">
        <f>IF('Incremental Repayments'!$R$22="Debt",IF(AND(AJ$4&gt;=$D71,AJ$4&lt;$D71+'Incremental Repayments'!$I$31),-PMT('Interest Rate'!$J$16,'Incremental Repayments'!$I$31,(HLOOKUP($D71,$E$4:$CZ$32,28,FALSE)*'Incremental Repayments'!$I$22)),0),0)</f>
        <v>0</v>
      </c>
      <c r="AK71" s="477">
        <f>IF('Incremental Repayments'!$R$22="Debt",IF(AND(AK$4&gt;=$D71,AK$4&lt;$D71+'Incremental Repayments'!$I$31),-PMT('Interest Rate'!$J$16,'Incremental Repayments'!$I$31,(HLOOKUP($D71,$E$4:$CZ$32,28,FALSE)*'Incremental Repayments'!$I$22)),0),0)</f>
        <v>0</v>
      </c>
      <c r="AL71" s="477">
        <f>IF('Incremental Repayments'!$R$22="Debt",IF(AND(AL$4&gt;=$D71,AL$4&lt;$D71+'Incremental Repayments'!$I$31),-PMT('Interest Rate'!$J$16,'Incremental Repayments'!$I$31,(HLOOKUP($D71,$E$4:$CZ$32,28,FALSE)*'Incremental Repayments'!$I$22)),0),0)</f>
        <v>0</v>
      </c>
      <c r="AM71" s="477">
        <f>IF('Incremental Repayments'!$R$22="Debt",IF(AND(AM$4&gt;=$D71,AM$4&lt;$D71+'Incremental Repayments'!$I$31),-PMT('Interest Rate'!$J$16,'Incremental Repayments'!$I$31,(HLOOKUP($D71,$E$4:$CZ$32,28,FALSE)*'Incremental Repayments'!$I$22)),0),0)</f>
        <v>0</v>
      </c>
      <c r="AN71" s="477">
        <f>IF('Incremental Repayments'!$R$22="Debt",IF(AND(AN$4&gt;=$D71,AN$4&lt;$D71+'Incremental Repayments'!$I$31),-PMT('Interest Rate'!$J$16,'Incremental Repayments'!$I$31,(HLOOKUP($D71,$E$4:$CZ$32,28,FALSE)*'Incremental Repayments'!$I$22)),0),0)</f>
        <v>1054317.6408603487</v>
      </c>
      <c r="AO71" s="477">
        <f>IF('Incremental Repayments'!$R$22="Debt",IF(AND(AO$4&gt;=$D71,AO$4&lt;$D71+'Incremental Repayments'!$I$31),-PMT('Interest Rate'!$J$16,'Incremental Repayments'!$I$31,(HLOOKUP($D71,$E$4:$CZ$32,28,FALSE)*'Incremental Repayments'!$I$22)),0),0)</f>
        <v>1054317.6408603487</v>
      </c>
      <c r="AP71" s="477">
        <f>IF('Incremental Repayments'!$R$22="Debt",IF(AND(AP$4&gt;=$D71,AP$4&lt;$D71+'Incremental Repayments'!$I$31),-PMT('Interest Rate'!$J$16,'Incremental Repayments'!$I$31,(HLOOKUP($D71,$E$4:$CZ$32,28,FALSE)*'Incremental Repayments'!$I$22)),0),0)</f>
        <v>1054317.6408603487</v>
      </c>
      <c r="AQ71" s="477">
        <f>IF('Incremental Repayments'!$R$22="Debt",IF(AND(AQ$4&gt;=$D71,AQ$4&lt;$D71+'Incremental Repayments'!$I$31),-PMT('Interest Rate'!$J$16,'Incremental Repayments'!$I$31,(HLOOKUP($D71,$E$4:$CZ$32,28,FALSE)*'Incremental Repayments'!$I$22)),0),0)</f>
        <v>1054317.6408603487</v>
      </c>
      <c r="AR71" s="477">
        <f>IF('Incremental Repayments'!$R$22="Debt",IF(AND(AR$4&gt;=$D71,AR$4&lt;$D71+'Incremental Repayments'!$I$31),-PMT('Interest Rate'!$J$16,'Incremental Repayments'!$I$31,(HLOOKUP($D71,$E$4:$CZ$32,28,FALSE)*'Incremental Repayments'!$I$22)),0),0)</f>
        <v>1054317.6408603487</v>
      </c>
      <c r="AS71" s="477">
        <f>IF('Incremental Repayments'!$R$22="Debt",IF(AND(AS$4&gt;=$D71,AS$4&lt;$D71+'Incremental Repayments'!$I$31),-PMT('Interest Rate'!$J$16,'Incremental Repayments'!$I$31,(HLOOKUP($D71,$E$4:$CZ$32,28,FALSE)*'Incremental Repayments'!$I$22)),0),0)</f>
        <v>1054317.6408603487</v>
      </c>
      <c r="AT71" s="477">
        <f>IF('Incremental Repayments'!$R$22="Debt",IF(AND(AT$4&gt;=$D71,AT$4&lt;$D71+'Incremental Repayments'!$I$31),-PMT('Interest Rate'!$J$16,'Incremental Repayments'!$I$31,(HLOOKUP($D71,$E$4:$CZ$32,28,FALSE)*'Incremental Repayments'!$I$22)),0),0)</f>
        <v>1054317.6408603487</v>
      </c>
      <c r="AU71" s="477">
        <f>IF('Incremental Repayments'!$R$22="Debt",IF(AND(AU$4&gt;=$D71,AU$4&lt;$D71+'Incremental Repayments'!$I$31),-PMT('Interest Rate'!$J$16,'Incremental Repayments'!$I$31,(HLOOKUP($D71,$E$4:$CZ$32,28,FALSE)*'Incremental Repayments'!$I$22)),0),0)</f>
        <v>1054317.6408603487</v>
      </c>
      <c r="AV71" s="477">
        <f>IF('Incremental Repayments'!$R$22="Debt",IF(AND(AV$4&gt;=$D71,AV$4&lt;$D71+'Incremental Repayments'!$I$31),-PMT('Interest Rate'!$J$16,'Incremental Repayments'!$I$31,(HLOOKUP($D71,$E$4:$CZ$32,28,FALSE)*'Incremental Repayments'!$I$22)),0),0)</f>
        <v>1054317.6408603487</v>
      </c>
      <c r="AW71" s="477">
        <f>IF('Incremental Repayments'!$R$22="Debt",IF(AND(AW$4&gt;=$D71,AW$4&lt;$D71+'Incremental Repayments'!$I$31),-PMT('Interest Rate'!$J$16,'Incremental Repayments'!$I$31,(HLOOKUP($D71,$E$4:$CZ$32,28,FALSE)*'Incremental Repayments'!$I$22)),0),0)</f>
        <v>1054317.6408603487</v>
      </c>
      <c r="AX71" s="477">
        <f>IF('Incremental Repayments'!$R$22="Debt",IF(AND(AX$4&gt;=$D71,AX$4&lt;$D71+'Incremental Repayments'!$I$31),-PMT('Interest Rate'!$J$16,'Incremental Repayments'!$I$31,(HLOOKUP($D71,$E$4:$CZ$32,28,FALSE)*'Incremental Repayments'!$I$22)),0),0)</f>
        <v>1054317.6408603487</v>
      </c>
      <c r="AY71" s="477">
        <f>IF('Incremental Repayments'!$R$22="Debt",IF(AND(AY$4&gt;=$D71,AY$4&lt;$D71+'Incremental Repayments'!$I$31),-PMT('Interest Rate'!$J$16,'Incremental Repayments'!$I$31,(HLOOKUP($D71,$E$4:$CZ$32,28,FALSE)*'Incremental Repayments'!$I$22)),0),0)</f>
        <v>1054317.6408603487</v>
      </c>
      <c r="AZ71" s="477">
        <f>IF('Incremental Repayments'!$R$22="Debt",IF(AND(AZ$4&gt;=$D71,AZ$4&lt;$D71+'Incremental Repayments'!$I$31),-PMT('Interest Rate'!$J$16,'Incremental Repayments'!$I$31,(HLOOKUP($D71,$E$4:$CZ$32,28,FALSE)*'Incremental Repayments'!$I$22)),0),0)</f>
        <v>1054317.6408603487</v>
      </c>
      <c r="BA71" s="477">
        <f>IF('Incremental Repayments'!$R$22="Debt",IF(AND(BA$4&gt;=$D71,BA$4&lt;$D71+'Incremental Repayments'!$I$31),-PMT('Interest Rate'!$J$16,'Incremental Repayments'!$I$31,(HLOOKUP($D71,$E$4:$CZ$32,28,FALSE)*'Incremental Repayments'!$I$22)),0),0)</f>
        <v>1054317.6408603487</v>
      </c>
      <c r="BB71" s="477">
        <f>IF('Incremental Repayments'!$R$22="Debt",IF(AND(BB$4&gt;=$D71,BB$4&lt;$D71+'Incremental Repayments'!$I$31),-PMT('Interest Rate'!$J$16,'Incremental Repayments'!$I$31,(HLOOKUP($D71,$E$4:$CZ$32,28,FALSE)*'Incremental Repayments'!$I$22)),0),0)</f>
        <v>1054317.6408603487</v>
      </c>
      <c r="BC71" s="477">
        <f>IF('Incremental Repayments'!$R$22="Debt",IF(AND(BC$4&gt;=$D71,BC$4&lt;$D71+'Incremental Repayments'!$I$31),-PMT('Interest Rate'!$J$16,'Incremental Repayments'!$I$31,(HLOOKUP($D71,$E$4:$CZ$32,28,FALSE)*'Incremental Repayments'!$I$22)),0),0)</f>
        <v>1054317.6408603487</v>
      </c>
      <c r="BD71" s="477">
        <f>IF('Incremental Repayments'!$R$22="Debt",IF(AND(BD$4&gt;=$D71,BD$4&lt;$D71+'Incremental Repayments'!$I$31),-PMT('Interest Rate'!$J$16,'Incremental Repayments'!$I$31,(HLOOKUP($D71,$E$4:$CZ$32,28,FALSE)*'Incremental Repayments'!$I$22)),0),0)</f>
        <v>1054317.6408603487</v>
      </c>
      <c r="BE71" s="477">
        <f>IF('Incremental Repayments'!$R$22="Debt",IF(AND(BE$4&gt;=$D71,BE$4&lt;$D71+'Incremental Repayments'!$I$31),-PMT('Interest Rate'!$J$16,'Incremental Repayments'!$I$31,(HLOOKUP($D71,$E$4:$CZ$32,28,FALSE)*'Incremental Repayments'!$I$22)),0),0)</f>
        <v>1054317.6408603487</v>
      </c>
      <c r="BF71" s="477">
        <f>IF('Incremental Repayments'!$R$22="Debt",IF(AND(BF$4&gt;=$D71,BF$4&lt;$D71+'Incremental Repayments'!$I$31),-PMT('Interest Rate'!$J$16,'Incremental Repayments'!$I$31,(HLOOKUP($D71,$E$4:$CZ$32,28,FALSE)*'Incremental Repayments'!$I$22)),0),0)</f>
        <v>1054317.6408603487</v>
      </c>
      <c r="BG71" s="477">
        <f>IF('Incremental Repayments'!$R$22="Debt",IF(AND(BG$4&gt;=$D71,BG$4&lt;$D71+'Incremental Repayments'!$I$31),-PMT('Interest Rate'!$J$16,'Incremental Repayments'!$I$31,(HLOOKUP($D71,$E$4:$CZ$32,28,FALSE)*'Incremental Repayments'!$I$22)),0),0)</f>
        <v>1054317.6408603487</v>
      </c>
      <c r="BH71" s="477">
        <f>IF('Incremental Repayments'!$R$22="Debt",IF(AND(BH$4&gt;=$D71,BH$4&lt;$D71+'Incremental Repayments'!$I$31),-PMT('Interest Rate'!$J$16,'Incremental Repayments'!$I$31,(HLOOKUP($D71,$E$4:$CZ$32,28,FALSE)*'Incremental Repayments'!$I$22)),0),0)</f>
        <v>1054317.6408603487</v>
      </c>
      <c r="BI71" s="477">
        <f>IF('Incremental Repayments'!$R$22="Debt",IF(AND(BI$4&gt;=$D71,BI$4&lt;$D71+'Incremental Repayments'!$I$31),-PMT('Interest Rate'!$J$16,'Incremental Repayments'!$I$31,(HLOOKUP($D71,$E$4:$CZ$32,28,FALSE)*'Incremental Repayments'!$I$22)),0),0)</f>
        <v>1054317.6408603487</v>
      </c>
      <c r="BJ71" s="477">
        <f>IF('Incremental Repayments'!$R$22="Debt",IF(AND(BJ$4&gt;=$D71,BJ$4&lt;$D71+'Incremental Repayments'!$I$31),-PMT('Interest Rate'!$J$16,'Incremental Repayments'!$I$31,(HLOOKUP($D71,$E$4:$CZ$32,28,FALSE)*'Incremental Repayments'!$I$22)),0),0)</f>
        <v>1054317.6408603487</v>
      </c>
      <c r="BK71" s="477">
        <f>IF('Incremental Repayments'!$R$22="Debt",IF(AND(BK$4&gt;=$D71,BK$4&lt;$D71+'Incremental Repayments'!$I$31),-PMT('Interest Rate'!$J$16,'Incremental Repayments'!$I$31,(HLOOKUP($D71,$E$4:$CZ$32,28,FALSE)*'Incremental Repayments'!$I$22)),0),0)</f>
        <v>1054317.6408603487</v>
      </c>
      <c r="BL71" s="477">
        <f>IF('Incremental Repayments'!$R$22="Debt",IF(AND(BL$4&gt;=$D71,BL$4&lt;$D71+'Incremental Repayments'!$I$31),-PMT('Interest Rate'!$J$16,'Incremental Repayments'!$I$31,(HLOOKUP($D71,$E$4:$CZ$32,28,FALSE)*'Incremental Repayments'!$I$22)),0),0)</f>
        <v>1054317.6408603487</v>
      </c>
      <c r="BM71" s="477">
        <f>IF('Incremental Repayments'!$R$22="Debt",IF(AND(BM$4&gt;=$D71,BM$4&lt;$D71+'Incremental Repayments'!$I$31),-PMT('Interest Rate'!$J$16,'Incremental Repayments'!$I$31,(HLOOKUP($D71,$E$4:$CZ$32,28,FALSE)*'Incremental Repayments'!$I$22)),0),0)</f>
        <v>1054317.6408603487</v>
      </c>
      <c r="BN71" s="477">
        <f>IF('Incremental Repayments'!$R$22="Debt",IF(AND(BN$4&gt;=$D71,BN$4&lt;$D71+'Incremental Repayments'!$I$31),-PMT('Interest Rate'!$J$16,'Incremental Repayments'!$I$31,(HLOOKUP($D71,$E$4:$CZ$32,28,FALSE)*'Incremental Repayments'!$I$22)),0),0)</f>
        <v>1054317.6408603487</v>
      </c>
      <c r="BO71" s="477">
        <f>IF('Incremental Repayments'!$R$22="Debt",IF(AND(BO$4&gt;=$D71,BO$4&lt;$D71+'Incremental Repayments'!$I$31),-PMT('Interest Rate'!$J$16,'Incremental Repayments'!$I$31,(HLOOKUP($D71,$E$4:$CZ$32,28,FALSE)*'Incremental Repayments'!$I$22)),0),0)</f>
        <v>1054317.6408603487</v>
      </c>
      <c r="BP71" s="477">
        <f>IF('Incremental Repayments'!$R$22="Debt",IF(AND(BP$4&gt;=$D71,BP$4&lt;$D71+'Incremental Repayments'!$I$31),-PMT('Interest Rate'!$J$16,'Incremental Repayments'!$I$31,(HLOOKUP($D71,$E$4:$CZ$32,28,FALSE)*'Incremental Repayments'!$I$22)),0),0)</f>
        <v>1054317.6408603487</v>
      </c>
      <c r="BQ71" s="477">
        <f>IF('Incremental Repayments'!$R$22="Debt",IF(AND(BQ$4&gt;=$D71,BQ$4&lt;$D71+'Incremental Repayments'!$I$31),-PMT('Interest Rate'!$J$16,'Incremental Repayments'!$I$31,(HLOOKUP($D71,$E$4:$CZ$32,28,FALSE)*'Incremental Repayments'!$I$22)),0),0)</f>
        <v>1054317.6408603487</v>
      </c>
      <c r="BR71" s="477">
        <f>IF('Incremental Repayments'!$R$22="Debt",IF(AND(BR$4&gt;=$D71,BR$4&lt;$D71+'Incremental Repayments'!$I$31),-PMT('Interest Rate'!$J$16,'Incremental Repayments'!$I$31,(HLOOKUP($D71,$E$4:$CZ$32,28,FALSE)*'Incremental Repayments'!$I$22)),0),0)</f>
        <v>0</v>
      </c>
      <c r="BS71" s="477">
        <f>IF('Incremental Repayments'!$R$22="Debt",IF(AND(BS$4&gt;=$D71,BS$4&lt;$D71+'Incremental Repayments'!$I$31),-PMT('Interest Rate'!$J$16,'Incremental Repayments'!$I$31,(HLOOKUP($D71,$E$4:$CZ$32,28,FALSE)*'Incremental Repayments'!$I$22)),0),0)</f>
        <v>0</v>
      </c>
      <c r="BT71" s="477">
        <f>IF('Incremental Repayments'!$R$22="Debt",IF(AND(BT$4&gt;=$D71,BT$4&lt;$D71+'Incremental Repayments'!$I$31),-PMT('Interest Rate'!$J$16,'Incremental Repayments'!$I$31,(HLOOKUP($D71,$E$4:$CZ$32,28,FALSE)*'Incremental Repayments'!$I$22)),0),0)</f>
        <v>0</v>
      </c>
      <c r="BU71" s="477">
        <f>IF('Incremental Repayments'!$R$22="Debt",IF(AND(BU$4&gt;=$D71,BU$4&lt;$D71+'Incremental Repayments'!$I$31),-PMT('Interest Rate'!$J$16,'Incremental Repayments'!$I$31,(HLOOKUP($D71,$E$4:$CZ$32,28,FALSE)*'Incremental Repayments'!$I$22)),0),0)</f>
        <v>0</v>
      </c>
      <c r="BV71" s="477">
        <f>IF('Incremental Repayments'!$R$22="Debt",IF(AND(BV$4&gt;=$D71,BV$4&lt;$D71+'Incremental Repayments'!$I$31),-PMT('Interest Rate'!$J$16,'Incremental Repayments'!$I$31,(HLOOKUP($D71,$E$4:$CZ$32,28,FALSE)*'Incremental Repayments'!$I$22)),0),0)</f>
        <v>0</v>
      </c>
      <c r="BW71" s="477">
        <f>IF('Incremental Repayments'!$R$22="Debt",IF(AND(BW$4&gt;=$D71,BW$4&lt;$D71+'Incremental Repayments'!$I$31),-PMT('Interest Rate'!$J$16,'Incremental Repayments'!$I$31,(HLOOKUP($D71,$E$4:$CZ$32,28,FALSE)*'Incremental Repayments'!$I$22)),0),0)</f>
        <v>0</v>
      </c>
      <c r="BX71" s="477">
        <f>IF('Incremental Repayments'!$R$22="Debt",IF(AND(BX$4&gt;=$D71,BX$4&lt;$D71+'Incremental Repayments'!$I$31),-PMT('Interest Rate'!$J$16,'Incremental Repayments'!$I$31,(HLOOKUP($D71,$E$4:$CZ$32,28,FALSE)*'Incremental Repayments'!$I$22)),0),0)</f>
        <v>0</v>
      </c>
      <c r="BY71" s="477">
        <f>IF('Incremental Repayments'!$R$22="Debt",IF(AND(BY$4&gt;=$D71,BY$4&lt;$D71+'Incremental Repayments'!$I$31),-PMT('Interest Rate'!$J$16,'Incremental Repayments'!$I$31,(HLOOKUP($D71,$E$4:$CZ$32,28,FALSE)*'Incremental Repayments'!$I$22)),0),0)</f>
        <v>0</v>
      </c>
      <c r="BZ71" s="477">
        <f>IF('Incremental Repayments'!$R$22="Debt",IF(AND(BZ$4&gt;=$D71,BZ$4&lt;$D71+'Incremental Repayments'!$I$31),-PMT('Interest Rate'!$J$16,'Incremental Repayments'!$I$31,(HLOOKUP($D71,$E$4:$CZ$32,28,FALSE)*'Incremental Repayments'!$I$22)),0),0)</f>
        <v>0</v>
      </c>
      <c r="CA71" s="477">
        <f>IF('Incremental Repayments'!$R$22="Debt",IF(AND(CA$4&gt;=$D71,CA$4&lt;$D71+'Incremental Repayments'!$I$31),-PMT('Interest Rate'!$J$16,'Incremental Repayments'!$I$31,(HLOOKUP($D71,$E$4:$CZ$32,28,FALSE)*'Incremental Repayments'!$I$22)),0),0)</f>
        <v>0</v>
      </c>
      <c r="CB71" s="477">
        <f>IF('Incremental Repayments'!$R$22="Debt",IF(AND(CB$4&gt;=$D71,CB$4&lt;$D71+'Incremental Repayments'!$I$31),-PMT('Interest Rate'!$J$16,'Incremental Repayments'!$I$31,(HLOOKUP($D71,$E$4:$CZ$32,28,FALSE)*'Incremental Repayments'!$I$22)),0),0)</f>
        <v>0</v>
      </c>
      <c r="CC71" s="477">
        <f>IF('Incremental Repayments'!$R$22="Debt",IF(AND(CC$4&gt;=$D71,CC$4&lt;$D71+'Incremental Repayments'!$I$31),-PMT('Interest Rate'!$J$16,'Incremental Repayments'!$I$31,(HLOOKUP($D71,$E$4:$CZ$32,28,FALSE)*'Incremental Repayments'!$I$22)),0),0)</f>
        <v>0</v>
      </c>
      <c r="CD71" s="477">
        <f>IF('Incremental Repayments'!$R$22="Debt",IF(AND(CD$4&gt;=$D71,CD$4&lt;$D71+'Incremental Repayments'!$I$31),-PMT('Interest Rate'!$J$16,'Incremental Repayments'!$I$31,(HLOOKUP($D71,$E$4:$CZ$32,28,FALSE)*'Incremental Repayments'!$I$22)),0),0)</f>
        <v>0</v>
      </c>
      <c r="CE71" s="477">
        <f>IF('Incremental Repayments'!$R$22="Debt",IF(AND(CE$4&gt;=$D71,CE$4&lt;$D71+'Incremental Repayments'!$I$31),-PMT('Interest Rate'!$J$16,'Incremental Repayments'!$I$31,(HLOOKUP($D71,$E$4:$CZ$32,28,FALSE)*'Incremental Repayments'!$I$22)),0),0)</f>
        <v>0</v>
      </c>
      <c r="CF71" s="477">
        <f>IF('Incremental Repayments'!$R$22="Debt",IF(AND(CF$4&gt;=$D71,CF$4&lt;$D71+'Incremental Repayments'!$I$31),-PMT('Interest Rate'!$J$16,'Incremental Repayments'!$I$31,(HLOOKUP($D71,$E$4:$CZ$32,28,FALSE)*'Incremental Repayments'!$I$22)),0),0)</f>
        <v>0</v>
      </c>
      <c r="CG71" s="477">
        <f>IF('Incremental Repayments'!$R$22="Debt",IF(AND(CG$4&gt;=$D71,CG$4&lt;$D71+'Incremental Repayments'!$I$31),-PMT('Interest Rate'!$J$16,'Incremental Repayments'!$I$31,(HLOOKUP($D71,$E$4:$CZ$32,28,FALSE)*'Incremental Repayments'!$I$22)),0),0)</f>
        <v>0</v>
      </c>
      <c r="CH71" s="477">
        <f>IF('Incremental Repayments'!$R$22="Debt",IF(AND(CH$4&gt;=$D71,CH$4&lt;$D71+'Incremental Repayments'!$I$31),-PMT('Interest Rate'!$J$16,'Incremental Repayments'!$I$31,(HLOOKUP($D71,$E$4:$CZ$32,28,FALSE)*'Incremental Repayments'!$I$22)),0),0)</f>
        <v>0</v>
      </c>
      <c r="CI71" s="477">
        <f>IF('Incremental Repayments'!$R$22="Debt",IF(AND(CI$4&gt;=$D71,CI$4&lt;$D71+'Incremental Repayments'!$I$31),-PMT('Interest Rate'!$J$16,'Incremental Repayments'!$I$31,(HLOOKUP($D71,$E$4:$CZ$32,28,FALSE)*'Incremental Repayments'!$I$22)),0),0)</f>
        <v>0</v>
      </c>
      <c r="CJ71" s="477">
        <f>IF('Incremental Repayments'!$R$22="Debt",IF(AND(CJ$4&gt;=$D71,CJ$4&lt;$D71+'Incremental Repayments'!$I$31),-PMT('Interest Rate'!$J$16,'Incremental Repayments'!$I$31,(HLOOKUP($D71,$E$4:$CZ$32,28,FALSE)*'Incremental Repayments'!$I$22)),0),0)</f>
        <v>0</v>
      </c>
      <c r="CK71" s="477">
        <f>IF('Incremental Repayments'!$R$22="Debt",IF(AND(CK$4&gt;=$D71,CK$4&lt;$D71+'Incremental Repayments'!$I$31),-PMT('Interest Rate'!$J$16,'Incremental Repayments'!$I$31,(HLOOKUP($D71,$E$4:$CZ$32,28,FALSE)*'Incremental Repayments'!$I$22)),0),0)</f>
        <v>0</v>
      </c>
      <c r="CL71" s="477">
        <f>IF('Incremental Repayments'!$R$22="Debt",IF(AND(CL$4&gt;=$D71,CL$4&lt;$D71+'Incremental Repayments'!$I$31),-PMT('Interest Rate'!$J$16,'Incremental Repayments'!$I$31,(HLOOKUP($D71,$E$4:$CZ$32,28,FALSE)*'Incremental Repayments'!$I$22)),0),0)</f>
        <v>0</v>
      </c>
      <c r="CM71" s="477">
        <f>IF('Incremental Repayments'!$R$22="Debt",IF(AND(CM$4&gt;=$D71,CM$4&lt;$D71+'Incremental Repayments'!$I$31),-PMT('Interest Rate'!$J$16,'Incremental Repayments'!$I$31,(HLOOKUP($D71,$E$4:$CZ$32,28,FALSE)*'Incremental Repayments'!$I$22)),0),0)</f>
        <v>0</v>
      </c>
      <c r="CN71" s="477">
        <f>IF('Incremental Repayments'!$R$22="Debt",IF(AND(CN$4&gt;=$D71,CN$4&lt;$D71+'Incremental Repayments'!$I$31),-PMT('Interest Rate'!$J$16,'Incremental Repayments'!$I$31,(HLOOKUP($D71,$E$4:$CZ$32,28,FALSE)*'Incremental Repayments'!$I$22)),0),0)</f>
        <v>0</v>
      </c>
      <c r="CO71" s="477">
        <f>IF('Incremental Repayments'!$R$22="Debt",IF(AND(CO$4&gt;=$D71,CO$4&lt;$D71+'Incremental Repayments'!$I$31),-PMT('Interest Rate'!$J$16,'Incremental Repayments'!$I$31,(HLOOKUP($D71,$E$4:$CZ$32,28,FALSE)*'Incremental Repayments'!$I$22)),0),0)</f>
        <v>0</v>
      </c>
      <c r="CP71" s="477">
        <f>IF('Incremental Repayments'!$R$22="Debt",IF(AND(CP$4&gt;=$D71,CP$4&lt;$D71+'Incremental Repayments'!$I$31),-PMT('Interest Rate'!$J$16,'Incremental Repayments'!$I$31,(HLOOKUP($D71,$E$4:$CZ$32,28,FALSE)*'Incremental Repayments'!$I$22)),0),0)</f>
        <v>0</v>
      </c>
      <c r="CQ71" s="477">
        <f>IF('Incremental Repayments'!$R$22="Debt",IF(AND(CQ$4&gt;=$D71,CQ$4&lt;$D71+'Incremental Repayments'!$I$31),-PMT('Interest Rate'!$J$16,'Incremental Repayments'!$I$31,(HLOOKUP($D71,$E$4:$CZ$32,28,FALSE)*'Incremental Repayments'!$I$22)),0),0)</f>
        <v>0</v>
      </c>
      <c r="CR71" s="477">
        <f>IF('Incremental Repayments'!$R$22="Debt",IF(AND(CR$4&gt;=$D71,CR$4&lt;$D71+'Incremental Repayments'!$I$31),-PMT('Interest Rate'!$J$16,'Incremental Repayments'!$I$31,(HLOOKUP($D71,$E$4:$CZ$32,28,FALSE)*'Incremental Repayments'!$I$22)),0),0)</f>
        <v>0</v>
      </c>
      <c r="CS71" s="477">
        <f>IF('Incremental Repayments'!$R$22="Debt",IF(AND(CS$4&gt;=$D71,CS$4&lt;$D71+'Incremental Repayments'!$I$31),-PMT('Interest Rate'!$J$16,'Incremental Repayments'!$I$31,(HLOOKUP($D71,$E$4:$CZ$32,28,FALSE)*'Incremental Repayments'!$I$22)),0),0)</f>
        <v>0</v>
      </c>
      <c r="CT71" s="477">
        <f>IF('Incremental Repayments'!$R$22="Debt",IF(AND(CT$4&gt;=$D71,CT$4&lt;$D71+'Incremental Repayments'!$I$31),-PMT('Interest Rate'!$J$16,'Incremental Repayments'!$I$31,(HLOOKUP($D71,$E$4:$CZ$32,28,FALSE)*'Incremental Repayments'!$I$22)),0),0)</f>
        <v>0</v>
      </c>
      <c r="CU71" s="477">
        <f>IF('Incremental Repayments'!$R$22="Debt",IF(AND(CU$4&gt;=$D71,CU$4&lt;$D71+'Incremental Repayments'!$I$31),-PMT('Interest Rate'!$J$16,'Incremental Repayments'!$I$31,(HLOOKUP($D71,$E$4:$CZ$32,28,FALSE)*'Incremental Repayments'!$I$22)),0),0)</f>
        <v>0</v>
      </c>
      <c r="CV71" s="477">
        <f>IF('Incremental Repayments'!$R$22="Debt",IF(AND(CV$4&gt;=$D71,CV$4&lt;$D71+'Incremental Repayments'!$I$31),-PMT('Interest Rate'!$J$16,'Incremental Repayments'!$I$31,(HLOOKUP($D71,$E$4:$CZ$32,28,FALSE)*'Incremental Repayments'!$I$22)),0),0)</f>
        <v>0</v>
      </c>
      <c r="CW71" s="477">
        <f>IF('Incremental Repayments'!$R$22="Debt",IF(AND(CW$4&gt;=$D71,CW$4&lt;$D71+'Incremental Repayments'!$I$31),-PMT('Interest Rate'!$J$16,'Incremental Repayments'!$I$31,(HLOOKUP($D71,$E$4:$CZ$32,28,FALSE)*'Incremental Repayments'!$I$22)),0),0)</f>
        <v>0</v>
      </c>
      <c r="CX71" s="477">
        <f>IF('Incremental Repayments'!$R$22="Debt",IF(AND(CX$4&gt;=$D71,CX$4&lt;$D71+'Incremental Repayments'!$I$31),-PMT('Interest Rate'!$J$16,'Incremental Repayments'!$I$31,(HLOOKUP($D71,$E$4:$CZ$32,28,FALSE)*'Incremental Repayments'!$I$22)),0),0)</f>
        <v>0</v>
      </c>
      <c r="CY71" s="477">
        <f>IF('Incremental Repayments'!$R$22="Debt",IF(AND(CY$4&gt;=$D71,CY$4&lt;$D71+'Incremental Repayments'!$I$31),-PMT('Interest Rate'!$J$16,'Incremental Repayments'!$I$31,(HLOOKUP($D71,$E$4:$CZ$32,28,FALSE)*'Incremental Repayments'!$I$22)),0),0)</f>
        <v>0</v>
      </c>
      <c r="CZ71" s="477">
        <f>IF('Incremental Repayments'!$R$22="Debt",IF(AND(CZ$4&gt;=$D71,CZ$4&lt;$D71+'Incremental Repayments'!$I$31),-PMT('Interest Rate'!$J$16,'Incremental Repayments'!$I$31,(HLOOKUP($D71,$E$4:$CZ$32,28,FALSE)*'Incremental Repayments'!$I$22)),0),0)</f>
        <v>0</v>
      </c>
    </row>
    <row r="72" spans="2:104" x14ac:dyDescent="0.25">
      <c r="B72" s="480" t="str">
        <f>CONCATENATE("Series ",D72,"A Bonds (at ",'Interest Rate'!$J$16*100,"% Interest)")</f>
        <v>Series 2050A Bonds (at 4.5% Interest)</v>
      </c>
      <c r="C72" s="480"/>
      <c r="D72" s="492">
        <f t="shared" si="492"/>
        <v>2050</v>
      </c>
      <c r="E72" s="477">
        <f>IF('Incremental Repayments'!$R$22="Debt",IF(AND(E$4&gt;=$D72,E$4&lt;$D72+'Incremental Repayments'!$I$31),-PMT('Interest Rate'!$J$16,'Incremental Repayments'!$I$31,(HLOOKUP($D72,$E$4:$CZ$32,28,FALSE)*'Incremental Repayments'!$I$22)),0),0)</f>
        <v>0</v>
      </c>
      <c r="F72" s="477">
        <f>IF('Incremental Repayments'!$R$22="Debt",IF(AND(F$4&gt;=$D72,F$4&lt;$D72+'Incremental Repayments'!$I$31),-PMT('Interest Rate'!$J$16,'Incremental Repayments'!$I$31,(HLOOKUP($D72,$E$4:$CZ$32,28,FALSE)*'Incremental Repayments'!$I$22)),0),0)</f>
        <v>0</v>
      </c>
      <c r="G72" s="477">
        <f>IF('Incremental Repayments'!$R$22="Debt",IF(AND(G$4&gt;=$D72,G$4&lt;$D72+'Incremental Repayments'!$I$31),-PMT('Interest Rate'!$J$16,'Incremental Repayments'!$I$31,(HLOOKUP($D72,$E$4:$CZ$32,28,FALSE)*'Incremental Repayments'!$I$22)),0),0)</f>
        <v>0</v>
      </c>
      <c r="H72" s="477">
        <f>IF('Incremental Repayments'!$R$22="Debt",IF(AND(H$4&gt;=$D72,H$4&lt;$D72+'Incremental Repayments'!$I$31),-PMT('Interest Rate'!$J$16,'Incremental Repayments'!$I$31,(HLOOKUP($D72,$E$4:$CZ$32,28,FALSE)*'Incremental Repayments'!$I$22)),0),0)</f>
        <v>0</v>
      </c>
      <c r="I72" s="477">
        <f>IF('Incremental Repayments'!$R$22="Debt",IF(AND(I$4&gt;=$D72,I$4&lt;$D72+'Incremental Repayments'!$I$31),-PMT('Interest Rate'!$J$16,'Incremental Repayments'!$I$31,(HLOOKUP($D72,$E$4:$CZ$32,28,FALSE)*'Incremental Repayments'!$I$22)),0),0)</f>
        <v>0</v>
      </c>
      <c r="J72" s="477">
        <f>IF('Incremental Repayments'!$R$22="Debt",IF(AND(J$4&gt;=$D72,J$4&lt;$D72+'Incremental Repayments'!$I$31),-PMT('Interest Rate'!$J$16,'Incremental Repayments'!$I$31,(HLOOKUP($D72,$E$4:$CZ$32,28,FALSE)*'Incremental Repayments'!$I$22)),0),0)</f>
        <v>0</v>
      </c>
      <c r="K72" s="477">
        <f>IF('Incremental Repayments'!$R$22="Debt",IF(AND(K$4&gt;=$D72,K$4&lt;$D72+'Incremental Repayments'!$I$31),-PMT('Interest Rate'!$J$16,'Incremental Repayments'!$I$31,(HLOOKUP($D72,$E$4:$CZ$32,28,FALSE)*'Incremental Repayments'!$I$22)),0),0)</f>
        <v>0</v>
      </c>
      <c r="L72" s="477">
        <f>IF('Incremental Repayments'!$R$22="Debt",IF(AND(L$4&gt;=$D72,L$4&lt;$D72+'Incremental Repayments'!$I$31),-PMT('Interest Rate'!$J$16,'Incremental Repayments'!$I$31,(HLOOKUP($D72,$E$4:$CZ$32,28,FALSE)*'Incremental Repayments'!$I$22)),0),0)</f>
        <v>0</v>
      </c>
      <c r="M72" s="477">
        <f>IF('Incremental Repayments'!$R$22="Debt",IF(AND(M$4&gt;=$D72,M$4&lt;$D72+'Incremental Repayments'!$I$31),-PMT('Interest Rate'!$J$16,'Incremental Repayments'!$I$31,(HLOOKUP($D72,$E$4:$CZ$32,28,FALSE)*'Incremental Repayments'!$I$22)),0),0)</f>
        <v>0</v>
      </c>
      <c r="N72" s="477">
        <f>IF('Incremental Repayments'!$R$22="Debt",IF(AND(N$4&gt;=$D72,N$4&lt;$D72+'Incremental Repayments'!$I$31),-PMT('Interest Rate'!$J$16,'Incremental Repayments'!$I$31,(HLOOKUP($D72,$E$4:$CZ$32,28,FALSE)*'Incremental Repayments'!$I$22)),0),0)</f>
        <v>0</v>
      </c>
      <c r="O72" s="477">
        <f>IF('Incremental Repayments'!$R$22="Debt",IF(AND(O$4&gt;=$D72,O$4&lt;$D72+'Incremental Repayments'!$I$31),-PMT('Interest Rate'!$J$16,'Incremental Repayments'!$I$31,(HLOOKUP($D72,$E$4:$CZ$32,28,FALSE)*'Incremental Repayments'!$I$22)),0),0)</f>
        <v>0</v>
      </c>
      <c r="P72" s="477">
        <f>IF('Incremental Repayments'!$R$22="Debt",IF(AND(P$4&gt;=$D72,P$4&lt;$D72+'Incremental Repayments'!$I$31),-PMT('Interest Rate'!$J$16,'Incremental Repayments'!$I$31,(HLOOKUP($D72,$E$4:$CZ$32,28,FALSE)*'Incremental Repayments'!$I$22)),0),0)</f>
        <v>0</v>
      </c>
      <c r="Q72" s="477">
        <f>IF('Incremental Repayments'!$R$22="Debt",IF(AND(Q$4&gt;=$D72,Q$4&lt;$D72+'Incremental Repayments'!$I$31),-PMT('Interest Rate'!$J$16,'Incremental Repayments'!$I$31,(HLOOKUP($D72,$E$4:$CZ$32,28,FALSE)*'Incremental Repayments'!$I$22)),0),0)</f>
        <v>0</v>
      </c>
      <c r="R72" s="477">
        <f>IF('Incremental Repayments'!$R$22="Debt",IF(AND(R$4&gt;=$D72,R$4&lt;$D72+'Incremental Repayments'!$I$31),-PMT('Interest Rate'!$J$16,'Incremental Repayments'!$I$31,(HLOOKUP($D72,$E$4:$CZ$32,28,FALSE)*'Incremental Repayments'!$I$22)),0),0)</f>
        <v>0</v>
      </c>
      <c r="S72" s="477">
        <f>IF('Incremental Repayments'!$R$22="Debt",IF(AND(S$4&gt;=$D72,S$4&lt;$D72+'Incremental Repayments'!$I$31),-PMT('Interest Rate'!$J$16,'Incremental Repayments'!$I$31,(HLOOKUP($D72,$E$4:$CZ$32,28,FALSE)*'Incremental Repayments'!$I$22)),0),0)</f>
        <v>0</v>
      </c>
      <c r="T72" s="477">
        <f>IF('Incremental Repayments'!$R$22="Debt",IF(AND(T$4&gt;=$D72,T$4&lt;$D72+'Incremental Repayments'!$I$31),-PMT('Interest Rate'!$J$16,'Incremental Repayments'!$I$31,(HLOOKUP($D72,$E$4:$CZ$32,28,FALSE)*'Incremental Repayments'!$I$22)),0),0)</f>
        <v>0</v>
      </c>
      <c r="U72" s="477">
        <f>IF('Incremental Repayments'!$R$22="Debt",IF(AND(U$4&gt;=$D72,U$4&lt;$D72+'Incremental Repayments'!$I$31),-PMT('Interest Rate'!$J$16,'Incremental Repayments'!$I$31,(HLOOKUP($D72,$E$4:$CZ$32,28,FALSE)*'Incremental Repayments'!$I$22)),0),0)</f>
        <v>0</v>
      </c>
      <c r="V72" s="477">
        <f>IF('Incremental Repayments'!$R$22="Debt",IF(AND(V$4&gt;=$D72,V$4&lt;$D72+'Incremental Repayments'!$I$31),-PMT('Interest Rate'!$J$16,'Incremental Repayments'!$I$31,(HLOOKUP($D72,$E$4:$CZ$32,28,FALSE)*'Incremental Repayments'!$I$22)),0),0)</f>
        <v>0</v>
      </c>
      <c r="W72" s="477">
        <f>IF('Incremental Repayments'!$R$22="Debt",IF(AND(W$4&gt;=$D72,W$4&lt;$D72+'Incremental Repayments'!$I$31),-PMT('Interest Rate'!$J$16,'Incremental Repayments'!$I$31,(HLOOKUP($D72,$E$4:$CZ$32,28,FALSE)*'Incremental Repayments'!$I$22)),0),0)</f>
        <v>0</v>
      </c>
      <c r="X72" s="477">
        <f>IF('Incremental Repayments'!$R$22="Debt",IF(AND(X$4&gt;=$D72,X$4&lt;$D72+'Incremental Repayments'!$I$31),-PMT('Interest Rate'!$J$16,'Incremental Repayments'!$I$31,(HLOOKUP($D72,$E$4:$CZ$32,28,FALSE)*'Incremental Repayments'!$I$22)),0),0)</f>
        <v>0</v>
      </c>
      <c r="Y72" s="477">
        <f>IF('Incremental Repayments'!$R$22="Debt",IF(AND(Y$4&gt;=$D72,Y$4&lt;$D72+'Incremental Repayments'!$I$31),-PMT('Interest Rate'!$J$16,'Incremental Repayments'!$I$31,(HLOOKUP($D72,$E$4:$CZ$32,28,FALSE)*'Incremental Repayments'!$I$22)),0),0)</f>
        <v>0</v>
      </c>
      <c r="Z72" s="477">
        <f>IF('Incremental Repayments'!$R$22="Debt",IF(AND(Z$4&gt;=$D72,Z$4&lt;$D72+'Incremental Repayments'!$I$31),-PMT('Interest Rate'!$J$16,'Incremental Repayments'!$I$31,(HLOOKUP($D72,$E$4:$CZ$32,28,FALSE)*'Incremental Repayments'!$I$22)),0),0)</f>
        <v>0</v>
      </c>
      <c r="AA72" s="477">
        <f>IF('Incremental Repayments'!$R$22="Debt",IF(AND(AA$4&gt;=$D72,AA$4&lt;$D72+'Incremental Repayments'!$I$31),-PMT('Interest Rate'!$J$16,'Incremental Repayments'!$I$31,(HLOOKUP($D72,$E$4:$CZ$32,28,FALSE)*'Incremental Repayments'!$I$22)),0),0)</f>
        <v>0</v>
      </c>
      <c r="AB72" s="477">
        <f>IF('Incremental Repayments'!$R$22="Debt",IF(AND(AB$4&gt;=$D72,AB$4&lt;$D72+'Incremental Repayments'!$I$31),-PMT('Interest Rate'!$J$16,'Incremental Repayments'!$I$31,(HLOOKUP($D72,$E$4:$CZ$32,28,FALSE)*'Incremental Repayments'!$I$22)),0),0)</f>
        <v>0</v>
      </c>
      <c r="AC72" s="477">
        <f>IF('Incremental Repayments'!$R$22="Debt",IF(AND(AC$4&gt;=$D72,AC$4&lt;$D72+'Incremental Repayments'!$I$31),-PMT('Interest Rate'!$J$16,'Incremental Repayments'!$I$31,(HLOOKUP($D72,$E$4:$CZ$32,28,FALSE)*'Incremental Repayments'!$I$22)),0),0)</f>
        <v>0</v>
      </c>
      <c r="AD72" s="477">
        <f>IF('Incremental Repayments'!$R$22="Debt",IF(AND(AD$4&gt;=$D72,AD$4&lt;$D72+'Incremental Repayments'!$I$31),-PMT('Interest Rate'!$J$16,'Incremental Repayments'!$I$31,(HLOOKUP($D72,$E$4:$CZ$32,28,FALSE)*'Incremental Repayments'!$I$22)),0),0)</f>
        <v>0</v>
      </c>
      <c r="AE72" s="477">
        <f>IF('Incremental Repayments'!$R$22="Debt",IF(AND(AE$4&gt;=$D72,AE$4&lt;$D72+'Incremental Repayments'!$I$31),-PMT('Interest Rate'!$J$16,'Incremental Repayments'!$I$31,(HLOOKUP($D72,$E$4:$CZ$32,28,FALSE)*'Incremental Repayments'!$I$22)),0),0)</f>
        <v>0</v>
      </c>
      <c r="AF72" s="477">
        <f>IF('Incremental Repayments'!$R$22="Debt",IF(AND(AF$4&gt;=$D72,AF$4&lt;$D72+'Incremental Repayments'!$I$31),-PMT('Interest Rate'!$J$16,'Incremental Repayments'!$I$31,(HLOOKUP($D72,$E$4:$CZ$32,28,FALSE)*'Incremental Repayments'!$I$22)),0),0)</f>
        <v>0</v>
      </c>
      <c r="AG72" s="477">
        <f>IF('Incremental Repayments'!$R$22="Debt",IF(AND(AG$4&gt;=$D72,AG$4&lt;$D72+'Incremental Repayments'!$I$31),-PMT('Interest Rate'!$J$16,'Incremental Repayments'!$I$31,(HLOOKUP($D72,$E$4:$CZ$32,28,FALSE)*'Incremental Repayments'!$I$22)),0),0)</f>
        <v>0</v>
      </c>
      <c r="AH72" s="477">
        <f>IF('Incremental Repayments'!$R$22="Debt",IF(AND(AH$4&gt;=$D72,AH$4&lt;$D72+'Incremental Repayments'!$I$31),-PMT('Interest Rate'!$J$16,'Incremental Repayments'!$I$31,(HLOOKUP($D72,$E$4:$CZ$32,28,FALSE)*'Incremental Repayments'!$I$22)),0),0)</f>
        <v>0</v>
      </c>
      <c r="AI72" s="477">
        <f>IF('Incremental Repayments'!$R$22="Debt",IF(AND(AI$4&gt;=$D72,AI$4&lt;$D72+'Incremental Repayments'!$I$31),-PMT('Interest Rate'!$J$16,'Incremental Repayments'!$I$31,(HLOOKUP($D72,$E$4:$CZ$32,28,FALSE)*'Incremental Repayments'!$I$22)),0),0)</f>
        <v>0</v>
      </c>
      <c r="AJ72" s="477">
        <f>IF('Incremental Repayments'!$R$22="Debt",IF(AND(AJ$4&gt;=$D72,AJ$4&lt;$D72+'Incremental Repayments'!$I$31),-PMT('Interest Rate'!$J$16,'Incremental Repayments'!$I$31,(HLOOKUP($D72,$E$4:$CZ$32,28,FALSE)*'Incremental Repayments'!$I$22)),0),0)</f>
        <v>0</v>
      </c>
      <c r="AK72" s="477">
        <f>IF('Incremental Repayments'!$R$22="Debt",IF(AND(AK$4&gt;=$D72,AK$4&lt;$D72+'Incremental Repayments'!$I$31),-PMT('Interest Rate'!$J$16,'Incremental Repayments'!$I$31,(HLOOKUP($D72,$E$4:$CZ$32,28,FALSE)*'Incremental Repayments'!$I$22)),0),0)</f>
        <v>0</v>
      </c>
      <c r="AL72" s="477">
        <f>IF('Incremental Repayments'!$R$22="Debt",IF(AND(AL$4&gt;=$D72,AL$4&lt;$D72+'Incremental Repayments'!$I$31),-PMT('Interest Rate'!$J$16,'Incremental Repayments'!$I$31,(HLOOKUP($D72,$E$4:$CZ$32,28,FALSE)*'Incremental Repayments'!$I$22)),0),0)</f>
        <v>0</v>
      </c>
      <c r="AM72" s="477">
        <f>IF('Incremental Repayments'!$R$22="Debt",IF(AND(AM$4&gt;=$D72,AM$4&lt;$D72+'Incremental Repayments'!$I$31),-PMT('Interest Rate'!$J$16,'Incremental Repayments'!$I$31,(HLOOKUP($D72,$E$4:$CZ$32,28,FALSE)*'Incremental Repayments'!$I$22)),0),0)</f>
        <v>0</v>
      </c>
      <c r="AN72" s="477">
        <f>IF('Incremental Repayments'!$R$22="Debt",IF(AND(AN$4&gt;=$D72,AN$4&lt;$D72+'Incremental Repayments'!$I$31),-PMT('Interest Rate'!$J$16,'Incremental Repayments'!$I$31,(HLOOKUP($D72,$E$4:$CZ$32,28,FALSE)*'Incremental Repayments'!$I$22)),0),0)</f>
        <v>0</v>
      </c>
      <c r="AO72" s="477">
        <f>IF('Incremental Repayments'!$R$22="Debt",IF(AND(AO$4&gt;=$D72,AO$4&lt;$D72+'Incremental Repayments'!$I$31),-PMT('Interest Rate'!$J$16,'Incremental Repayments'!$I$31,(HLOOKUP($D72,$E$4:$CZ$32,28,FALSE)*'Incremental Repayments'!$I$22)),0),0)</f>
        <v>1084365.6936248823</v>
      </c>
      <c r="AP72" s="477">
        <f>IF('Incremental Repayments'!$R$22="Debt",IF(AND(AP$4&gt;=$D72,AP$4&lt;$D72+'Incremental Repayments'!$I$31),-PMT('Interest Rate'!$J$16,'Incremental Repayments'!$I$31,(HLOOKUP($D72,$E$4:$CZ$32,28,FALSE)*'Incremental Repayments'!$I$22)),0),0)</f>
        <v>1084365.6936248823</v>
      </c>
      <c r="AQ72" s="477">
        <f>IF('Incremental Repayments'!$R$22="Debt",IF(AND(AQ$4&gt;=$D72,AQ$4&lt;$D72+'Incremental Repayments'!$I$31),-PMT('Interest Rate'!$J$16,'Incremental Repayments'!$I$31,(HLOOKUP($D72,$E$4:$CZ$32,28,FALSE)*'Incremental Repayments'!$I$22)),0),0)</f>
        <v>1084365.6936248823</v>
      </c>
      <c r="AR72" s="477">
        <f>IF('Incremental Repayments'!$R$22="Debt",IF(AND(AR$4&gt;=$D72,AR$4&lt;$D72+'Incremental Repayments'!$I$31),-PMT('Interest Rate'!$J$16,'Incremental Repayments'!$I$31,(HLOOKUP($D72,$E$4:$CZ$32,28,FALSE)*'Incremental Repayments'!$I$22)),0),0)</f>
        <v>1084365.6936248823</v>
      </c>
      <c r="AS72" s="477">
        <f>IF('Incremental Repayments'!$R$22="Debt",IF(AND(AS$4&gt;=$D72,AS$4&lt;$D72+'Incremental Repayments'!$I$31),-PMT('Interest Rate'!$J$16,'Incremental Repayments'!$I$31,(HLOOKUP($D72,$E$4:$CZ$32,28,FALSE)*'Incremental Repayments'!$I$22)),0),0)</f>
        <v>1084365.6936248823</v>
      </c>
      <c r="AT72" s="477">
        <f>IF('Incremental Repayments'!$R$22="Debt",IF(AND(AT$4&gt;=$D72,AT$4&lt;$D72+'Incremental Repayments'!$I$31),-PMT('Interest Rate'!$J$16,'Incremental Repayments'!$I$31,(HLOOKUP($D72,$E$4:$CZ$32,28,FALSE)*'Incremental Repayments'!$I$22)),0),0)</f>
        <v>1084365.6936248823</v>
      </c>
      <c r="AU72" s="477">
        <f>IF('Incremental Repayments'!$R$22="Debt",IF(AND(AU$4&gt;=$D72,AU$4&lt;$D72+'Incremental Repayments'!$I$31),-PMT('Interest Rate'!$J$16,'Incremental Repayments'!$I$31,(HLOOKUP($D72,$E$4:$CZ$32,28,FALSE)*'Incremental Repayments'!$I$22)),0),0)</f>
        <v>1084365.6936248823</v>
      </c>
      <c r="AV72" s="477">
        <f>IF('Incremental Repayments'!$R$22="Debt",IF(AND(AV$4&gt;=$D72,AV$4&lt;$D72+'Incremental Repayments'!$I$31),-PMT('Interest Rate'!$J$16,'Incremental Repayments'!$I$31,(HLOOKUP($D72,$E$4:$CZ$32,28,FALSE)*'Incremental Repayments'!$I$22)),0),0)</f>
        <v>1084365.6936248823</v>
      </c>
      <c r="AW72" s="477">
        <f>IF('Incremental Repayments'!$R$22="Debt",IF(AND(AW$4&gt;=$D72,AW$4&lt;$D72+'Incremental Repayments'!$I$31),-PMT('Interest Rate'!$J$16,'Incremental Repayments'!$I$31,(HLOOKUP($D72,$E$4:$CZ$32,28,FALSE)*'Incremental Repayments'!$I$22)),0),0)</f>
        <v>1084365.6936248823</v>
      </c>
      <c r="AX72" s="477">
        <f>IF('Incremental Repayments'!$R$22="Debt",IF(AND(AX$4&gt;=$D72,AX$4&lt;$D72+'Incremental Repayments'!$I$31),-PMT('Interest Rate'!$J$16,'Incremental Repayments'!$I$31,(HLOOKUP($D72,$E$4:$CZ$32,28,FALSE)*'Incremental Repayments'!$I$22)),0),0)</f>
        <v>1084365.6936248823</v>
      </c>
      <c r="AY72" s="477">
        <f>IF('Incremental Repayments'!$R$22="Debt",IF(AND(AY$4&gt;=$D72,AY$4&lt;$D72+'Incremental Repayments'!$I$31),-PMT('Interest Rate'!$J$16,'Incremental Repayments'!$I$31,(HLOOKUP($D72,$E$4:$CZ$32,28,FALSE)*'Incremental Repayments'!$I$22)),0),0)</f>
        <v>1084365.6936248823</v>
      </c>
      <c r="AZ72" s="477">
        <f>IF('Incremental Repayments'!$R$22="Debt",IF(AND(AZ$4&gt;=$D72,AZ$4&lt;$D72+'Incremental Repayments'!$I$31),-PMT('Interest Rate'!$J$16,'Incremental Repayments'!$I$31,(HLOOKUP($D72,$E$4:$CZ$32,28,FALSE)*'Incremental Repayments'!$I$22)),0),0)</f>
        <v>1084365.6936248823</v>
      </c>
      <c r="BA72" s="477">
        <f>IF('Incremental Repayments'!$R$22="Debt",IF(AND(BA$4&gt;=$D72,BA$4&lt;$D72+'Incremental Repayments'!$I$31),-PMT('Interest Rate'!$J$16,'Incremental Repayments'!$I$31,(HLOOKUP($D72,$E$4:$CZ$32,28,FALSE)*'Incremental Repayments'!$I$22)),0),0)</f>
        <v>1084365.6936248823</v>
      </c>
      <c r="BB72" s="477">
        <f>IF('Incremental Repayments'!$R$22="Debt",IF(AND(BB$4&gt;=$D72,BB$4&lt;$D72+'Incremental Repayments'!$I$31),-PMT('Interest Rate'!$J$16,'Incremental Repayments'!$I$31,(HLOOKUP($D72,$E$4:$CZ$32,28,FALSE)*'Incremental Repayments'!$I$22)),0),0)</f>
        <v>1084365.6936248823</v>
      </c>
      <c r="BC72" s="477">
        <f>IF('Incremental Repayments'!$R$22="Debt",IF(AND(BC$4&gt;=$D72,BC$4&lt;$D72+'Incremental Repayments'!$I$31),-PMT('Interest Rate'!$J$16,'Incremental Repayments'!$I$31,(HLOOKUP($D72,$E$4:$CZ$32,28,FALSE)*'Incremental Repayments'!$I$22)),0),0)</f>
        <v>1084365.6936248823</v>
      </c>
      <c r="BD72" s="477">
        <f>IF('Incremental Repayments'!$R$22="Debt",IF(AND(BD$4&gt;=$D72,BD$4&lt;$D72+'Incremental Repayments'!$I$31),-PMT('Interest Rate'!$J$16,'Incremental Repayments'!$I$31,(HLOOKUP($D72,$E$4:$CZ$32,28,FALSE)*'Incremental Repayments'!$I$22)),0),0)</f>
        <v>1084365.6936248823</v>
      </c>
      <c r="BE72" s="477">
        <f>IF('Incremental Repayments'!$R$22="Debt",IF(AND(BE$4&gt;=$D72,BE$4&lt;$D72+'Incremental Repayments'!$I$31),-PMT('Interest Rate'!$J$16,'Incremental Repayments'!$I$31,(HLOOKUP($D72,$E$4:$CZ$32,28,FALSE)*'Incremental Repayments'!$I$22)),0),0)</f>
        <v>1084365.6936248823</v>
      </c>
      <c r="BF72" s="477">
        <f>IF('Incremental Repayments'!$R$22="Debt",IF(AND(BF$4&gt;=$D72,BF$4&lt;$D72+'Incremental Repayments'!$I$31),-PMT('Interest Rate'!$J$16,'Incremental Repayments'!$I$31,(HLOOKUP($D72,$E$4:$CZ$32,28,FALSE)*'Incremental Repayments'!$I$22)),0),0)</f>
        <v>1084365.6936248823</v>
      </c>
      <c r="BG72" s="477">
        <f>IF('Incremental Repayments'!$R$22="Debt",IF(AND(BG$4&gt;=$D72,BG$4&lt;$D72+'Incremental Repayments'!$I$31),-PMT('Interest Rate'!$J$16,'Incremental Repayments'!$I$31,(HLOOKUP($D72,$E$4:$CZ$32,28,FALSE)*'Incremental Repayments'!$I$22)),0),0)</f>
        <v>1084365.6936248823</v>
      </c>
      <c r="BH72" s="477">
        <f>IF('Incremental Repayments'!$R$22="Debt",IF(AND(BH$4&gt;=$D72,BH$4&lt;$D72+'Incremental Repayments'!$I$31),-PMT('Interest Rate'!$J$16,'Incremental Repayments'!$I$31,(HLOOKUP($D72,$E$4:$CZ$32,28,FALSE)*'Incremental Repayments'!$I$22)),0),0)</f>
        <v>1084365.6936248823</v>
      </c>
      <c r="BI72" s="477">
        <f>IF('Incremental Repayments'!$R$22="Debt",IF(AND(BI$4&gt;=$D72,BI$4&lt;$D72+'Incremental Repayments'!$I$31),-PMT('Interest Rate'!$J$16,'Incremental Repayments'!$I$31,(HLOOKUP($D72,$E$4:$CZ$32,28,FALSE)*'Incremental Repayments'!$I$22)),0),0)</f>
        <v>1084365.6936248823</v>
      </c>
      <c r="BJ72" s="477">
        <f>IF('Incremental Repayments'!$R$22="Debt",IF(AND(BJ$4&gt;=$D72,BJ$4&lt;$D72+'Incremental Repayments'!$I$31),-PMT('Interest Rate'!$J$16,'Incremental Repayments'!$I$31,(HLOOKUP($D72,$E$4:$CZ$32,28,FALSE)*'Incremental Repayments'!$I$22)),0),0)</f>
        <v>1084365.6936248823</v>
      </c>
      <c r="BK72" s="477">
        <f>IF('Incremental Repayments'!$R$22="Debt",IF(AND(BK$4&gt;=$D72,BK$4&lt;$D72+'Incremental Repayments'!$I$31),-PMT('Interest Rate'!$J$16,'Incremental Repayments'!$I$31,(HLOOKUP($D72,$E$4:$CZ$32,28,FALSE)*'Incremental Repayments'!$I$22)),0),0)</f>
        <v>1084365.6936248823</v>
      </c>
      <c r="BL72" s="477">
        <f>IF('Incremental Repayments'!$R$22="Debt",IF(AND(BL$4&gt;=$D72,BL$4&lt;$D72+'Incremental Repayments'!$I$31),-PMT('Interest Rate'!$J$16,'Incremental Repayments'!$I$31,(HLOOKUP($D72,$E$4:$CZ$32,28,FALSE)*'Incremental Repayments'!$I$22)),0),0)</f>
        <v>1084365.6936248823</v>
      </c>
      <c r="BM72" s="477">
        <f>IF('Incremental Repayments'!$R$22="Debt",IF(AND(BM$4&gt;=$D72,BM$4&lt;$D72+'Incremental Repayments'!$I$31),-PMT('Interest Rate'!$J$16,'Incremental Repayments'!$I$31,(HLOOKUP($D72,$E$4:$CZ$32,28,FALSE)*'Incremental Repayments'!$I$22)),0),0)</f>
        <v>1084365.6936248823</v>
      </c>
      <c r="BN72" s="477">
        <f>IF('Incremental Repayments'!$R$22="Debt",IF(AND(BN$4&gt;=$D72,BN$4&lt;$D72+'Incremental Repayments'!$I$31),-PMT('Interest Rate'!$J$16,'Incremental Repayments'!$I$31,(HLOOKUP($D72,$E$4:$CZ$32,28,FALSE)*'Incremental Repayments'!$I$22)),0),0)</f>
        <v>1084365.6936248823</v>
      </c>
      <c r="BO72" s="477">
        <f>IF('Incremental Repayments'!$R$22="Debt",IF(AND(BO$4&gt;=$D72,BO$4&lt;$D72+'Incremental Repayments'!$I$31),-PMT('Interest Rate'!$J$16,'Incremental Repayments'!$I$31,(HLOOKUP($D72,$E$4:$CZ$32,28,FALSE)*'Incremental Repayments'!$I$22)),0),0)</f>
        <v>1084365.6936248823</v>
      </c>
      <c r="BP72" s="477">
        <f>IF('Incremental Repayments'!$R$22="Debt",IF(AND(BP$4&gt;=$D72,BP$4&lt;$D72+'Incremental Repayments'!$I$31),-PMT('Interest Rate'!$J$16,'Incremental Repayments'!$I$31,(HLOOKUP($D72,$E$4:$CZ$32,28,FALSE)*'Incremental Repayments'!$I$22)),0),0)</f>
        <v>1084365.6936248823</v>
      </c>
      <c r="BQ72" s="477">
        <f>IF('Incremental Repayments'!$R$22="Debt",IF(AND(BQ$4&gt;=$D72,BQ$4&lt;$D72+'Incremental Repayments'!$I$31),-PMT('Interest Rate'!$J$16,'Incremental Repayments'!$I$31,(HLOOKUP($D72,$E$4:$CZ$32,28,FALSE)*'Incremental Repayments'!$I$22)),0),0)</f>
        <v>1084365.6936248823</v>
      </c>
      <c r="BR72" s="477">
        <f>IF('Incremental Repayments'!$R$22="Debt",IF(AND(BR$4&gt;=$D72,BR$4&lt;$D72+'Incremental Repayments'!$I$31),-PMT('Interest Rate'!$J$16,'Incremental Repayments'!$I$31,(HLOOKUP($D72,$E$4:$CZ$32,28,FALSE)*'Incremental Repayments'!$I$22)),0),0)</f>
        <v>1084365.6936248823</v>
      </c>
      <c r="BS72" s="477">
        <f>IF('Incremental Repayments'!$R$22="Debt",IF(AND(BS$4&gt;=$D72,BS$4&lt;$D72+'Incremental Repayments'!$I$31),-PMT('Interest Rate'!$J$16,'Incremental Repayments'!$I$31,(HLOOKUP($D72,$E$4:$CZ$32,28,FALSE)*'Incremental Repayments'!$I$22)),0),0)</f>
        <v>0</v>
      </c>
      <c r="BT72" s="477">
        <f>IF('Incremental Repayments'!$R$22="Debt",IF(AND(BT$4&gt;=$D72,BT$4&lt;$D72+'Incremental Repayments'!$I$31),-PMT('Interest Rate'!$J$16,'Incremental Repayments'!$I$31,(HLOOKUP($D72,$E$4:$CZ$32,28,FALSE)*'Incremental Repayments'!$I$22)),0),0)</f>
        <v>0</v>
      </c>
      <c r="BU72" s="477">
        <f>IF('Incremental Repayments'!$R$22="Debt",IF(AND(BU$4&gt;=$D72,BU$4&lt;$D72+'Incremental Repayments'!$I$31),-PMT('Interest Rate'!$J$16,'Incremental Repayments'!$I$31,(HLOOKUP($D72,$E$4:$CZ$32,28,FALSE)*'Incremental Repayments'!$I$22)),0),0)</f>
        <v>0</v>
      </c>
      <c r="BV72" s="477">
        <f>IF('Incremental Repayments'!$R$22="Debt",IF(AND(BV$4&gt;=$D72,BV$4&lt;$D72+'Incremental Repayments'!$I$31),-PMT('Interest Rate'!$J$16,'Incremental Repayments'!$I$31,(HLOOKUP($D72,$E$4:$CZ$32,28,FALSE)*'Incremental Repayments'!$I$22)),0),0)</f>
        <v>0</v>
      </c>
      <c r="BW72" s="477">
        <f>IF('Incremental Repayments'!$R$22="Debt",IF(AND(BW$4&gt;=$D72,BW$4&lt;$D72+'Incremental Repayments'!$I$31),-PMT('Interest Rate'!$J$16,'Incremental Repayments'!$I$31,(HLOOKUP($D72,$E$4:$CZ$32,28,FALSE)*'Incremental Repayments'!$I$22)),0),0)</f>
        <v>0</v>
      </c>
      <c r="BX72" s="477">
        <f>IF('Incremental Repayments'!$R$22="Debt",IF(AND(BX$4&gt;=$D72,BX$4&lt;$D72+'Incremental Repayments'!$I$31),-PMT('Interest Rate'!$J$16,'Incremental Repayments'!$I$31,(HLOOKUP($D72,$E$4:$CZ$32,28,FALSE)*'Incremental Repayments'!$I$22)),0),0)</f>
        <v>0</v>
      </c>
      <c r="BY72" s="477">
        <f>IF('Incremental Repayments'!$R$22="Debt",IF(AND(BY$4&gt;=$D72,BY$4&lt;$D72+'Incremental Repayments'!$I$31),-PMT('Interest Rate'!$J$16,'Incremental Repayments'!$I$31,(HLOOKUP($D72,$E$4:$CZ$32,28,FALSE)*'Incremental Repayments'!$I$22)),0),0)</f>
        <v>0</v>
      </c>
      <c r="BZ72" s="477">
        <f>IF('Incremental Repayments'!$R$22="Debt",IF(AND(BZ$4&gt;=$D72,BZ$4&lt;$D72+'Incremental Repayments'!$I$31),-PMT('Interest Rate'!$J$16,'Incremental Repayments'!$I$31,(HLOOKUP($D72,$E$4:$CZ$32,28,FALSE)*'Incremental Repayments'!$I$22)),0),0)</f>
        <v>0</v>
      </c>
      <c r="CA72" s="477">
        <f>IF('Incremental Repayments'!$R$22="Debt",IF(AND(CA$4&gt;=$D72,CA$4&lt;$D72+'Incremental Repayments'!$I$31),-PMT('Interest Rate'!$J$16,'Incremental Repayments'!$I$31,(HLOOKUP($D72,$E$4:$CZ$32,28,FALSE)*'Incremental Repayments'!$I$22)),0),0)</f>
        <v>0</v>
      </c>
      <c r="CB72" s="477">
        <f>IF('Incremental Repayments'!$R$22="Debt",IF(AND(CB$4&gt;=$D72,CB$4&lt;$D72+'Incremental Repayments'!$I$31),-PMT('Interest Rate'!$J$16,'Incremental Repayments'!$I$31,(HLOOKUP($D72,$E$4:$CZ$32,28,FALSE)*'Incremental Repayments'!$I$22)),0),0)</f>
        <v>0</v>
      </c>
      <c r="CC72" s="477">
        <f>IF('Incremental Repayments'!$R$22="Debt",IF(AND(CC$4&gt;=$D72,CC$4&lt;$D72+'Incremental Repayments'!$I$31),-PMT('Interest Rate'!$J$16,'Incremental Repayments'!$I$31,(HLOOKUP($D72,$E$4:$CZ$32,28,FALSE)*'Incremental Repayments'!$I$22)),0),0)</f>
        <v>0</v>
      </c>
      <c r="CD72" s="477">
        <f>IF('Incremental Repayments'!$R$22="Debt",IF(AND(CD$4&gt;=$D72,CD$4&lt;$D72+'Incremental Repayments'!$I$31),-PMT('Interest Rate'!$J$16,'Incremental Repayments'!$I$31,(HLOOKUP($D72,$E$4:$CZ$32,28,FALSE)*'Incremental Repayments'!$I$22)),0),0)</f>
        <v>0</v>
      </c>
      <c r="CE72" s="477">
        <f>IF('Incremental Repayments'!$R$22="Debt",IF(AND(CE$4&gt;=$D72,CE$4&lt;$D72+'Incremental Repayments'!$I$31),-PMT('Interest Rate'!$J$16,'Incremental Repayments'!$I$31,(HLOOKUP($D72,$E$4:$CZ$32,28,FALSE)*'Incremental Repayments'!$I$22)),0),0)</f>
        <v>0</v>
      </c>
      <c r="CF72" s="477">
        <f>IF('Incremental Repayments'!$R$22="Debt",IF(AND(CF$4&gt;=$D72,CF$4&lt;$D72+'Incremental Repayments'!$I$31),-PMT('Interest Rate'!$J$16,'Incremental Repayments'!$I$31,(HLOOKUP($D72,$E$4:$CZ$32,28,FALSE)*'Incremental Repayments'!$I$22)),0),0)</f>
        <v>0</v>
      </c>
      <c r="CG72" s="477">
        <f>IF('Incremental Repayments'!$R$22="Debt",IF(AND(CG$4&gt;=$D72,CG$4&lt;$D72+'Incremental Repayments'!$I$31),-PMT('Interest Rate'!$J$16,'Incremental Repayments'!$I$31,(HLOOKUP($D72,$E$4:$CZ$32,28,FALSE)*'Incremental Repayments'!$I$22)),0),0)</f>
        <v>0</v>
      </c>
      <c r="CH72" s="477">
        <f>IF('Incremental Repayments'!$R$22="Debt",IF(AND(CH$4&gt;=$D72,CH$4&lt;$D72+'Incremental Repayments'!$I$31),-PMT('Interest Rate'!$J$16,'Incremental Repayments'!$I$31,(HLOOKUP($D72,$E$4:$CZ$32,28,FALSE)*'Incremental Repayments'!$I$22)),0),0)</f>
        <v>0</v>
      </c>
      <c r="CI72" s="477">
        <f>IF('Incremental Repayments'!$R$22="Debt",IF(AND(CI$4&gt;=$D72,CI$4&lt;$D72+'Incremental Repayments'!$I$31),-PMT('Interest Rate'!$J$16,'Incremental Repayments'!$I$31,(HLOOKUP($D72,$E$4:$CZ$32,28,FALSE)*'Incremental Repayments'!$I$22)),0),0)</f>
        <v>0</v>
      </c>
      <c r="CJ72" s="477">
        <f>IF('Incremental Repayments'!$R$22="Debt",IF(AND(CJ$4&gt;=$D72,CJ$4&lt;$D72+'Incremental Repayments'!$I$31),-PMT('Interest Rate'!$J$16,'Incremental Repayments'!$I$31,(HLOOKUP($D72,$E$4:$CZ$32,28,FALSE)*'Incremental Repayments'!$I$22)),0),0)</f>
        <v>0</v>
      </c>
      <c r="CK72" s="477">
        <f>IF('Incremental Repayments'!$R$22="Debt",IF(AND(CK$4&gt;=$D72,CK$4&lt;$D72+'Incremental Repayments'!$I$31),-PMT('Interest Rate'!$J$16,'Incremental Repayments'!$I$31,(HLOOKUP($D72,$E$4:$CZ$32,28,FALSE)*'Incremental Repayments'!$I$22)),0),0)</f>
        <v>0</v>
      </c>
      <c r="CL72" s="477">
        <f>IF('Incremental Repayments'!$R$22="Debt",IF(AND(CL$4&gt;=$D72,CL$4&lt;$D72+'Incremental Repayments'!$I$31),-PMT('Interest Rate'!$J$16,'Incremental Repayments'!$I$31,(HLOOKUP($D72,$E$4:$CZ$32,28,FALSE)*'Incremental Repayments'!$I$22)),0),0)</f>
        <v>0</v>
      </c>
      <c r="CM72" s="477">
        <f>IF('Incremental Repayments'!$R$22="Debt",IF(AND(CM$4&gt;=$D72,CM$4&lt;$D72+'Incremental Repayments'!$I$31),-PMT('Interest Rate'!$J$16,'Incremental Repayments'!$I$31,(HLOOKUP($D72,$E$4:$CZ$32,28,FALSE)*'Incremental Repayments'!$I$22)),0),0)</f>
        <v>0</v>
      </c>
      <c r="CN72" s="477">
        <f>IF('Incremental Repayments'!$R$22="Debt",IF(AND(CN$4&gt;=$D72,CN$4&lt;$D72+'Incremental Repayments'!$I$31),-PMT('Interest Rate'!$J$16,'Incremental Repayments'!$I$31,(HLOOKUP($D72,$E$4:$CZ$32,28,FALSE)*'Incremental Repayments'!$I$22)),0),0)</f>
        <v>0</v>
      </c>
      <c r="CO72" s="477">
        <f>IF('Incremental Repayments'!$R$22="Debt",IF(AND(CO$4&gt;=$D72,CO$4&lt;$D72+'Incremental Repayments'!$I$31),-PMT('Interest Rate'!$J$16,'Incremental Repayments'!$I$31,(HLOOKUP($D72,$E$4:$CZ$32,28,FALSE)*'Incremental Repayments'!$I$22)),0),0)</f>
        <v>0</v>
      </c>
      <c r="CP72" s="477">
        <f>IF('Incremental Repayments'!$R$22="Debt",IF(AND(CP$4&gt;=$D72,CP$4&lt;$D72+'Incremental Repayments'!$I$31),-PMT('Interest Rate'!$J$16,'Incremental Repayments'!$I$31,(HLOOKUP($D72,$E$4:$CZ$32,28,FALSE)*'Incremental Repayments'!$I$22)),0),0)</f>
        <v>0</v>
      </c>
      <c r="CQ72" s="477">
        <f>IF('Incremental Repayments'!$R$22="Debt",IF(AND(CQ$4&gt;=$D72,CQ$4&lt;$D72+'Incremental Repayments'!$I$31),-PMT('Interest Rate'!$J$16,'Incremental Repayments'!$I$31,(HLOOKUP($D72,$E$4:$CZ$32,28,FALSE)*'Incremental Repayments'!$I$22)),0),0)</f>
        <v>0</v>
      </c>
      <c r="CR72" s="477">
        <f>IF('Incremental Repayments'!$R$22="Debt",IF(AND(CR$4&gt;=$D72,CR$4&lt;$D72+'Incremental Repayments'!$I$31),-PMT('Interest Rate'!$J$16,'Incremental Repayments'!$I$31,(HLOOKUP($D72,$E$4:$CZ$32,28,FALSE)*'Incremental Repayments'!$I$22)),0),0)</f>
        <v>0</v>
      </c>
      <c r="CS72" s="477">
        <f>IF('Incremental Repayments'!$R$22="Debt",IF(AND(CS$4&gt;=$D72,CS$4&lt;$D72+'Incremental Repayments'!$I$31),-PMT('Interest Rate'!$J$16,'Incremental Repayments'!$I$31,(HLOOKUP($D72,$E$4:$CZ$32,28,FALSE)*'Incremental Repayments'!$I$22)),0),0)</f>
        <v>0</v>
      </c>
      <c r="CT72" s="477">
        <f>IF('Incremental Repayments'!$R$22="Debt",IF(AND(CT$4&gt;=$D72,CT$4&lt;$D72+'Incremental Repayments'!$I$31),-PMT('Interest Rate'!$J$16,'Incremental Repayments'!$I$31,(HLOOKUP($D72,$E$4:$CZ$32,28,FALSE)*'Incremental Repayments'!$I$22)),0),0)</f>
        <v>0</v>
      </c>
      <c r="CU72" s="477">
        <f>IF('Incremental Repayments'!$R$22="Debt",IF(AND(CU$4&gt;=$D72,CU$4&lt;$D72+'Incremental Repayments'!$I$31),-PMT('Interest Rate'!$J$16,'Incremental Repayments'!$I$31,(HLOOKUP($D72,$E$4:$CZ$32,28,FALSE)*'Incremental Repayments'!$I$22)),0),0)</f>
        <v>0</v>
      </c>
      <c r="CV72" s="477">
        <f>IF('Incremental Repayments'!$R$22="Debt",IF(AND(CV$4&gt;=$D72,CV$4&lt;$D72+'Incremental Repayments'!$I$31),-PMT('Interest Rate'!$J$16,'Incremental Repayments'!$I$31,(HLOOKUP($D72,$E$4:$CZ$32,28,FALSE)*'Incremental Repayments'!$I$22)),0),0)</f>
        <v>0</v>
      </c>
      <c r="CW72" s="477">
        <f>IF('Incremental Repayments'!$R$22="Debt",IF(AND(CW$4&gt;=$D72,CW$4&lt;$D72+'Incremental Repayments'!$I$31),-PMT('Interest Rate'!$J$16,'Incremental Repayments'!$I$31,(HLOOKUP($D72,$E$4:$CZ$32,28,FALSE)*'Incremental Repayments'!$I$22)),0),0)</f>
        <v>0</v>
      </c>
      <c r="CX72" s="477">
        <f>IF('Incremental Repayments'!$R$22="Debt",IF(AND(CX$4&gt;=$D72,CX$4&lt;$D72+'Incremental Repayments'!$I$31),-PMT('Interest Rate'!$J$16,'Incremental Repayments'!$I$31,(HLOOKUP($D72,$E$4:$CZ$32,28,FALSE)*'Incremental Repayments'!$I$22)),0),0)</f>
        <v>0</v>
      </c>
      <c r="CY72" s="477">
        <f>IF('Incremental Repayments'!$R$22="Debt",IF(AND(CY$4&gt;=$D72,CY$4&lt;$D72+'Incremental Repayments'!$I$31),-PMT('Interest Rate'!$J$16,'Incremental Repayments'!$I$31,(HLOOKUP($D72,$E$4:$CZ$32,28,FALSE)*'Incremental Repayments'!$I$22)),0),0)</f>
        <v>0</v>
      </c>
      <c r="CZ72" s="477">
        <f>IF('Incremental Repayments'!$R$22="Debt",IF(AND(CZ$4&gt;=$D72,CZ$4&lt;$D72+'Incremental Repayments'!$I$31),-PMT('Interest Rate'!$J$16,'Incremental Repayments'!$I$31,(HLOOKUP($D72,$E$4:$CZ$32,28,FALSE)*'Incremental Repayments'!$I$22)),0),0)</f>
        <v>0</v>
      </c>
    </row>
    <row r="73" spans="2:104" x14ac:dyDescent="0.25">
      <c r="B73" s="480" t="str">
        <f>CONCATENATE("Series ",D73,"A Bonds (at ",'Interest Rate'!$J$16*100,"% Interest)")</f>
        <v>Series 2051A Bonds (at 4.5% Interest)</v>
      </c>
      <c r="C73" s="480"/>
      <c r="D73" s="492">
        <f t="shared" si="492"/>
        <v>2051</v>
      </c>
      <c r="E73" s="477">
        <f>IF('Incremental Repayments'!$R$22="Debt",IF(AND(E$4&gt;=$D73,E$4&lt;$D73+'Incremental Repayments'!$I$31),-PMT('Interest Rate'!$J$16,'Incremental Repayments'!$I$31,(HLOOKUP($D73,$E$4:$CZ$32,28,FALSE)*'Incremental Repayments'!$I$22)),0),0)</f>
        <v>0</v>
      </c>
      <c r="F73" s="477">
        <f>IF('Incremental Repayments'!$R$22="Debt",IF(AND(F$4&gt;=$D73,F$4&lt;$D73+'Incremental Repayments'!$I$31),-PMT('Interest Rate'!$J$16,'Incremental Repayments'!$I$31,(HLOOKUP($D73,$E$4:$CZ$32,28,FALSE)*'Incremental Repayments'!$I$22)),0),0)</f>
        <v>0</v>
      </c>
      <c r="G73" s="477">
        <f>IF('Incremental Repayments'!$R$22="Debt",IF(AND(G$4&gt;=$D73,G$4&lt;$D73+'Incremental Repayments'!$I$31),-PMT('Interest Rate'!$J$16,'Incremental Repayments'!$I$31,(HLOOKUP($D73,$E$4:$CZ$32,28,FALSE)*'Incremental Repayments'!$I$22)),0),0)</f>
        <v>0</v>
      </c>
      <c r="H73" s="477">
        <f>IF('Incremental Repayments'!$R$22="Debt",IF(AND(H$4&gt;=$D73,H$4&lt;$D73+'Incremental Repayments'!$I$31),-PMT('Interest Rate'!$J$16,'Incremental Repayments'!$I$31,(HLOOKUP($D73,$E$4:$CZ$32,28,FALSE)*'Incremental Repayments'!$I$22)),0),0)</f>
        <v>0</v>
      </c>
      <c r="I73" s="477">
        <f>IF('Incremental Repayments'!$R$22="Debt",IF(AND(I$4&gt;=$D73,I$4&lt;$D73+'Incremental Repayments'!$I$31),-PMT('Interest Rate'!$J$16,'Incremental Repayments'!$I$31,(HLOOKUP($D73,$E$4:$CZ$32,28,FALSE)*'Incremental Repayments'!$I$22)),0),0)</f>
        <v>0</v>
      </c>
      <c r="J73" s="477">
        <f>IF('Incremental Repayments'!$R$22="Debt",IF(AND(J$4&gt;=$D73,J$4&lt;$D73+'Incremental Repayments'!$I$31),-PMT('Interest Rate'!$J$16,'Incremental Repayments'!$I$31,(HLOOKUP($D73,$E$4:$CZ$32,28,FALSE)*'Incremental Repayments'!$I$22)),0),0)</f>
        <v>0</v>
      </c>
      <c r="K73" s="477">
        <f>IF('Incremental Repayments'!$R$22="Debt",IF(AND(K$4&gt;=$D73,K$4&lt;$D73+'Incremental Repayments'!$I$31),-PMT('Interest Rate'!$J$16,'Incremental Repayments'!$I$31,(HLOOKUP($D73,$E$4:$CZ$32,28,FALSE)*'Incremental Repayments'!$I$22)),0),0)</f>
        <v>0</v>
      </c>
      <c r="L73" s="477">
        <f>IF('Incremental Repayments'!$R$22="Debt",IF(AND(L$4&gt;=$D73,L$4&lt;$D73+'Incremental Repayments'!$I$31),-PMT('Interest Rate'!$J$16,'Incremental Repayments'!$I$31,(HLOOKUP($D73,$E$4:$CZ$32,28,FALSE)*'Incremental Repayments'!$I$22)),0),0)</f>
        <v>0</v>
      </c>
      <c r="M73" s="477">
        <f>IF('Incremental Repayments'!$R$22="Debt",IF(AND(M$4&gt;=$D73,M$4&lt;$D73+'Incremental Repayments'!$I$31),-PMT('Interest Rate'!$J$16,'Incremental Repayments'!$I$31,(HLOOKUP($D73,$E$4:$CZ$32,28,FALSE)*'Incremental Repayments'!$I$22)),0),0)</f>
        <v>0</v>
      </c>
      <c r="N73" s="477">
        <f>IF('Incremental Repayments'!$R$22="Debt",IF(AND(N$4&gt;=$D73,N$4&lt;$D73+'Incremental Repayments'!$I$31),-PMT('Interest Rate'!$J$16,'Incremental Repayments'!$I$31,(HLOOKUP($D73,$E$4:$CZ$32,28,FALSE)*'Incremental Repayments'!$I$22)),0),0)</f>
        <v>0</v>
      </c>
      <c r="O73" s="477">
        <f>IF('Incremental Repayments'!$R$22="Debt",IF(AND(O$4&gt;=$D73,O$4&lt;$D73+'Incremental Repayments'!$I$31),-PMT('Interest Rate'!$J$16,'Incremental Repayments'!$I$31,(HLOOKUP($D73,$E$4:$CZ$32,28,FALSE)*'Incremental Repayments'!$I$22)),0),0)</f>
        <v>0</v>
      </c>
      <c r="P73" s="477">
        <f>IF('Incremental Repayments'!$R$22="Debt",IF(AND(P$4&gt;=$D73,P$4&lt;$D73+'Incremental Repayments'!$I$31),-PMT('Interest Rate'!$J$16,'Incremental Repayments'!$I$31,(HLOOKUP($D73,$E$4:$CZ$32,28,FALSE)*'Incremental Repayments'!$I$22)),0),0)</f>
        <v>0</v>
      </c>
      <c r="Q73" s="477">
        <f>IF('Incremental Repayments'!$R$22="Debt",IF(AND(Q$4&gt;=$D73,Q$4&lt;$D73+'Incremental Repayments'!$I$31),-PMT('Interest Rate'!$J$16,'Incremental Repayments'!$I$31,(HLOOKUP($D73,$E$4:$CZ$32,28,FALSE)*'Incremental Repayments'!$I$22)),0),0)</f>
        <v>0</v>
      </c>
      <c r="R73" s="477">
        <f>IF('Incremental Repayments'!$R$22="Debt",IF(AND(R$4&gt;=$D73,R$4&lt;$D73+'Incremental Repayments'!$I$31),-PMT('Interest Rate'!$J$16,'Incremental Repayments'!$I$31,(HLOOKUP($D73,$E$4:$CZ$32,28,FALSE)*'Incremental Repayments'!$I$22)),0),0)</f>
        <v>0</v>
      </c>
      <c r="S73" s="477">
        <f>IF('Incremental Repayments'!$R$22="Debt",IF(AND(S$4&gt;=$D73,S$4&lt;$D73+'Incremental Repayments'!$I$31),-PMT('Interest Rate'!$J$16,'Incremental Repayments'!$I$31,(HLOOKUP($D73,$E$4:$CZ$32,28,FALSE)*'Incremental Repayments'!$I$22)),0),0)</f>
        <v>0</v>
      </c>
      <c r="T73" s="477">
        <f>IF('Incremental Repayments'!$R$22="Debt",IF(AND(T$4&gt;=$D73,T$4&lt;$D73+'Incremental Repayments'!$I$31),-PMT('Interest Rate'!$J$16,'Incremental Repayments'!$I$31,(HLOOKUP($D73,$E$4:$CZ$32,28,FALSE)*'Incremental Repayments'!$I$22)),0),0)</f>
        <v>0</v>
      </c>
      <c r="U73" s="477">
        <f>IF('Incremental Repayments'!$R$22="Debt",IF(AND(U$4&gt;=$D73,U$4&lt;$D73+'Incremental Repayments'!$I$31),-PMT('Interest Rate'!$J$16,'Incremental Repayments'!$I$31,(HLOOKUP($D73,$E$4:$CZ$32,28,FALSE)*'Incremental Repayments'!$I$22)),0),0)</f>
        <v>0</v>
      </c>
      <c r="V73" s="477">
        <f>IF('Incremental Repayments'!$R$22="Debt",IF(AND(V$4&gt;=$D73,V$4&lt;$D73+'Incremental Repayments'!$I$31),-PMT('Interest Rate'!$J$16,'Incremental Repayments'!$I$31,(HLOOKUP($D73,$E$4:$CZ$32,28,FALSE)*'Incremental Repayments'!$I$22)),0),0)</f>
        <v>0</v>
      </c>
      <c r="W73" s="477">
        <f>IF('Incremental Repayments'!$R$22="Debt",IF(AND(W$4&gt;=$D73,W$4&lt;$D73+'Incremental Repayments'!$I$31),-PMT('Interest Rate'!$J$16,'Incremental Repayments'!$I$31,(HLOOKUP($D73,$E$4:$CZ$32,28,FALSE)*'Incremental Repayments'!$I$22)),0),0)</f>
        <v>0</v>
      </c>
      <c r="X73" s="477">
        <f>IF('Incremental Repayments'!$R$22="Debt",IF(AND(X$4&gt;=$D73,X$4&lt;$D73+'Incremental Repayments'!$I$31),-PMT('Interest Rate'!$J$16,'Incremental Repayments'!$I$31,(HLOOKUP($D73,$E$4:$CZ$32,28,FALSE)*'Incremental Repayments'!$I$22)),0),0)</f>
        <v>0</v>
      </c>
      <c r="Y73" s="477">
        <f>IF('Incremental Repayments'!$R$22="Debt",IF(AND(Y$4&gt;=$D73,Y$4&lt;$D73+'Incremental Repayments'!$I$31),-PMT('Interest Rate'!$J$16,'Incremental Repayments'!$I$31,(HLOOKUP($D73,$E$4:$CZ$32,28,FALSE)*'Incremental Repayments'!$I$22)),0),0)</f>
        <v>0</v>
      </c>
      <c r="Z73" s="477">
        <f>IF('Incremental Repayments'!$R$22="Debt",IF(AND(Z$4&gt;=$D73,Z$4&lt;$D73+'Incremental Repayments'!$I$31),-PMT('Interest Rate'!$J$16,'Incremental Repayments'!$I$31,(HLOOKUP($D73,$E$4:$CZ$32,28,FALSE)*'Incremental Repayments'!$I$22)),0),0)</f>
        <v>0</v>
      </c>
      <c r="AA73" s="477">
        <f>IF('Incremental Repayments'!$R$22="Debt",IF(AND(AA$4&gt;=$D73,AA$4&lt;$D73+'Incremental Repayments'!$I$31),-PMT('Interest Rate'!$J$16,'Incremental Repayments'!$I$31,(HLOOKUP($D73,$E$4:$CZ$32,28,FALSE)*'Incremental Repayments'!$I$22)),0),0)</f>
        <v>0</v>
      </c>
      <c r="AB73" s="477">
        <f>IF('Incremental Repayments'!$R$22="Debt",IF(AND(AB$4&gt;=$D73,AB$4&lt;$D73+'Incremental Repayments'!$I$31),-PMT('Interest Rate'!$J$16,'Incremental Repayments'!$I$31,(HLOOKUP($D73,$E$4:$CZ$32,28,FALSE)*'Incremental Repayments'!$I$22)),0),0)</f>
        <v>0</v>
      </c>
      <c r="AC73" s="477">
        <f>IF('Incremental Repayments'!$R$22="Debt",IF(AND(AC$4&gt;=$D73,AC$4&lt;$D73+'Incremental Repayments'!$I$31),-PMT('Interest Rate'!$J$16,'Incremental Repayments'!$I$31,(HLOOKUP($D73,$E$4:$CZ$32,28,FALSE)*'Incremental Repayments'!$I$22)),0),0)</f>
        <v>0</v>
      </c>
      <c r="AD73" s="477">
        <f>IF('Incremental Repayments'!$R$22="Debt",IF(AND(AD$4&gt;=$D73,AD$4&lt;$D73+'Incremental Repayments'!$I$31),-PMT('Interest Rate'!$J$16,'Incremental Repayments'!$I$31,(HLOOKUP($D73,$E$4:$CZ$32,28,FALSE)*'Incremental Repayments'!$I$22)),0),0)</f>
        <v>0</v>
      </c>
      <c r="AE73" s="477">
        <f>IF('Incremental Repayments'!$R$22="Debt",IF(AND(AE$4&gt;=$D73,AE$4&lt;$D73+'Incremental Repayments'!$I$31),-PMT('Interest Rate'!$J$16,'Incremental Repayments'!$I$31,(HLOOKUP($D73,$E$4:$CZ$32,28,FALSE)*'Incremental Repayments'!$I$22)),0),0)</f>
        <v>0</v>
      </c>
      <c r="AF73" s="477">
        <f>IF('Incremental Repayments'!$R$22="Debt",IF(AND(AF$4&gt;=$D73,AF$4&lt;$D73+'Incremental Repayments'!$I$31),-PMT('Interest Rate'!$J$16,'Incremental Repayments'!$I$31,(HLOOKUP($D73,$E$4:$CZ$32,28,FALSE)*'Incremental Repayments'!$I$22)),0),0)</f>
        <v>0</v>
      </c>
      <c r="AG73" s="477">
        <f>IF('Incremental Repayments'!$R$22="Debt",IF(AND(AG$4&gt;=$D73,AG$4&lt;$D73+'Incremental Repayments'!$I$31),-PMT('Interest Rate'!$J$16,'Incremental Repayments'!$I$31,(HLOOKUP($D73,$E$4:$CZ$32,28,FALSE)*'Incremental Repayments'!$I$22)),0),0)</f>
        <v>0</v>
      </c>
      <c r="AH73" s="477">
        <f>IF('Incremental Repayments'!$R$22="Debt",IF(AND(AH$4&gt;=$D73,AH$4&lt;$D73+'Incremental Repayments'!$I$31),-PMT('Interest Rate'!$J$16,'Incremental Repayments'!$I$31,(HLOOKUP($D73,$E$4:$CZ$32,28,FALSE)*'Incremental Repayments'!$I$22)),0),0)</f>
        <v>0</v>
      </c>
      <c r="AI73" s="477">
        <f>IF('Incremental Repayments'!$R$22="Debt",IF(AND(AI$4&gt;=$D73,AI$4&lt;$D73+'Incremental Repayments'!$I$31),-PMT('Interest Rate'!$J$16,'Incremental Repayments'!$I$31,(HLOOKUP($D73,$E$4:$CZ$32,28,FALSE)*'Incremental Repayments'!$I$22)),0),0)</f>
        <v>0</v>
      </c>
      <c r="AJ73" s="477">
        <f>IF('Incremental Repayments'!$R$22="Debt",IF(AND(AJ$4&gt;=$D73,AJ$4&lt;$D73+'Incremental Repayments'!$I$31),-PMT('Interest Rate'!$J$16,'Incremental Repayments'!$I$31,(HLOOKUP($D73,$E$4:$CZ$32,28,FALSE)*'Incremental Repayments'!$I$22)),0),0)</f>
        <v>0</v>
      </c>
      <c r="AK73" s="477">
        <f>IF('Incremental Repayments'!$R$22="Debt",IF(AND(AK$4&gt;=$D73,AK$4&lt;$D73+'Incremental Repayments'!$I$31),-PMT('Interest Rate'!$J$16,'Incremental Repayments'!$I$31,(HLOOKUP($D73,$E$4:$CZ$32,28,FALSE)*'Incremental Repayments'!$I$22)),0),0)</f>
        <v>0</v>
      </c>
      <c r="AL73" s="477">
        <f>IF('Incremental Repayments'!$R$22="Debt",IF(AND(AL$4&gt;=$D73,AL$4&lt;$D73+'Incremental Repayments'!$I$31),-PMT('Interest Rate'!$J$16,'Incremental Repayments'!$I$31,(HLOOKUP($D73,$E$4:$CZ$32,28,FALSE)*'Incremental Repayments'!$I$22)),0),0)</f>
        <v>0</v>
      </c>
      <c r="AM73" s="477">
        <f>IF('Incremental Repayments'!$R$22="Debt",IF(AND(AM$4&gt;=$D73,AM$4&lt;$D73+'Incremental Repayments'!$I$31),-PMT('Interest Rate'!$J$16,'Incremental Repayments'!$I$31,(HLOOKUP($D73,$E$4:$CZ$32,28,FALSE)*'Incremental Repayments'!$I$22)),0),0)</f>
        <v>0</v>
      </c>
      <c r="AN73" s="477">
        <f>IF('Incremental Repayments'!$R$22="Debt",IF(AND(AN$4&gt;=$D73,AN$4&lt;$D73+'Incremental Repayments'!$I$31),-PMT('Interest Rate'!$J$16,'Incremental Repayments'!$I$31,(HLOOKUP($D73,$E$4:$CZ$32,28,FALSE)*'Incremental Repayments'!$I$22)),0),0)</f>
        <v>0</v>
      </c>
      <c r="AO73" s="477">
        <f>IF('Incremental Repayments'!$R$22="Debt",IF(AND(AO$4&gt;=$D73,AO$4&lt;$D73+'Incremental Repayments'!$I$31),-PMT('Interest Rate'!$J$16,'Incremental Repayments'!$I$31,(HLOOKUP($D73,$E$4:$CZ$32,28,FALSE)*'Incremental Repayments'!$I$22)),0),0)</f>
        <v>0</v>
      </c>
      <c r="AP73" s="477">
        <f>IF('Incremental Repayments'!$R$22="Debt",IF(AND(AP$4&gt;=$D73,AP$4&lt;$D73+'Incremental Repayments'!$I$31),-PMT('Interest Rate'!$J$16,'Incremental Repayments'!$I$31,(HLOOKUP($D73,$E$4:$CZ$32,28,FALSE)*'Incremental Repayments'!$I$22)),0),0)</f>
        <v>1115270.1158931924</v>
      </c>
      <c r="AQ73" s="477">
        <f>IF('Incremental Repayments'!$R$22="Debt",IF(AND(AQ$4&gt;=$D73,AQ$4&lt;$D73+'Incremental Repayments'!$I$31),-PMT('Interest Rate'!$J$16,'Incremental Repayments'!$I$31,(HLOOKUP($D73,$E$4:$CZ$32,28,FALSE)*'Incremental Repayments'!$I$22)),0),0)</f>
        <v>1115270.1158931924</v>
      </c>
      <c r="AR73" s="477">
        <f>IF('Incremental Repayments'!$R$22="Debt",IF(AND(AR$4&gt;=$D73,AR$4&lt;$D73+'Incremental Repayments'!$I$31),-PMT('Interest Rate'!$J$16,'Incremental Repayments'!$I$31,(HLOOKUP($D73,$E$4:$CZ$32,28,FALSE)*'Incremental Repayments'!$I$22)),0),0)</f>
        <v>1115270.1158931924</v>
      </c>
      <c r="AS73" s="477">
        <f>IF('Incremental Repayments'!$R$22="Debt",IF(AND(AS$4&gt;=$D73,AS$4&lt;$D73+'Incremental Repayments'!$I$31),-PMT('Interest Rate'!$J$16,'Incremental Repayments'!$I$31,(HLOOKUP($D73,$E$4:$CZ$32,28,FALSE)*'Incremental Repayments'!$I$22)),0),0)</f>
        <v>1115270.1158931924</v>
      </c>
      <c r="AT73" s="477">
        <f>IF('Incremental Repayments'!$R$22="Debt",IF(AND(AT$4&gt;=$D73,AT$4&lt;$D73+'Incremental Repayments'!$I$31),-PMT('Interest Rate'!$J$16,'Incremental Repayments'!$I$31,(HLOOKUP($D73,$E$4:$CZ$32,28,FALSE)*'Incremental Repayments'!$I$22)),0),0)</f>
        <v>1115270.1158931924</v>
      </c>
      <c r="AU73" s="477">
        <f>IF('Incremental Repayments'!$R$22="Debt",IF(AND(AU$4&gt;=$D73,AU$4&lt;$D73+'Incremental Repayments'!$I$31),-PMT('Interest Rate'!$J$16,'Incremental Repayments'!$I$31,(HLOOKUP($D73,$E$4:$CZ$32,28,FALSE)*'Incremental Repayments'!$I$22)),0),0)</f>
        <v>1115270.1158931924</v>
      </c>
      <c r="AV73" s="477">
        <f>IF('Incremental Repayments'!$R$22="Debt",IF(AND(AV$4&gt;=$D73,AV$4&lt;$D73+'Incremental Repayments'!$I$31),-PMT('Interest Rate'!$J$16,'Incremental Repayments'!$I$31,(HLOOKUP($D73,$E$4:$CZ$32,28,FALSE)*'Incremental Repayments'!$I$22)),0),0)</f>
        <v>1115270.1158931924</v>
      </c>
      <c r="AW73" s="477">
        <f>IF('Incremental Repayments'!$R$22="Debt",IF(AND(AW$4&gt;=$D73,AW$4&lt;$D73+'Incremental Repayments'!$I$31),-PMT('Interest Rate'!$J$16,'Incremental Repayments'!$I$31,(HLOOKUP($D73,$E$4:$CZ$32,28,FALSE)*'Incremental Repayments'!$I$22)),0),0)</f>
        <v>1115270.1158931924</v>
      </c>
      <c r="AX73" s="477">
        <f>IF('Incremental Repayments'!$R$22="Debt",IF(AND(AX$4&gt;=$D73,AX$4&lt;$D73+'Incremental Repayments'!$I$31),-PMT('Interest Rate'!$J$16,'Incremental Repayments'!$I$31,(HLOOKUP($D73,$E$4:$CZ$32,28,FALSE)*'Incremental Repayments'!$I$22)),0),0)</f>
        <v>1115270.1158931924</v>
      </c>
      <c r="AY73" s="477">
        <f>IF('Incremental Repayments'!$R$22="Debt",IF(AND(AY$4&gt;=$D73,AY$4&lt;$D73+'Incremental Repayments'!$I$31),-PMT('Interest Rate'!$J$16,'Incremental Repayments'!$I$31,(HLOOKUP($D73,$E$4:$CZ$32,28,FALSE)*'Incremental Repayments'!$I$22)),0),0)</f>
        <v>1115270.1158931924</v>
      </c>
      <c r="AZ73" s="477">
        <f>IF('Incremental Repayments'!$R$22="Debt",IF(AND(AZ$4&gt;=$D73,AZ$4&lt;$D73+'Incremental Repayments'!$I$31),-PMT('Interest Rate'!$J$16,'Incremental Repayments'!$I$31,(HLOOKUP($D73,$E$4:$CZ$32,28,FALSE)*'Incremental Repayments'!$I$22)),0),0)</f>
        <v>1115270.1158931924</v>
      </c>
      <c r="BA73" s="477">
        <f>IF('Incremental Repayments'!$R$22="Debt",IF(AND(BA$4&gt;=$D73,BA$4&lt;$D73+'Incremental Repayments'!$I$31),-PMT('Interest Rate'!$J$16,'Incremental Repayments'!$I$31,(HLOOKUP($D73,$E$4:$CZ$32,28,FALSE)*'Incremental Repayments'!$I$22)),0),0)</f>
        <v>1115270.1158931924</v>
      </c>
      <c r="BB73" s="477">
        <f>IF('Incremental Repayments'!$R$22="Debt",IF(AND(BB$4&gt;=$D73,BB$4&lt;$D73+'Incremental Repayments'!$I$31),-PMT('Interest Rate'!$J$16,'Incremental Repayments'!$I$31,(HLOOKUP($D73,$E$4:$CZ$32,28,FALSE)*'Incremental Repayments'!$I$22)),0),0)</f>
        <v>1115270.1158931924</v>
      </c>
      <c r="BC73" s="477">
        <f>IF('Incremental Repayments'!$R$22="Debt",IF(AND(BC$4&gt;=$D73,BC$4&lt;$D73+'Incremental Repayments'!$I$31),-PMT('Interest Rate'!$J$16,'Incremental Repayments'!$I$31,(HLOOKUP($D73,$E$4:$CZ$32,28,FALSE)*'Incremental Repayments'!$I$22)),0),0)</f>
        <v>1115270.1158931924</v>
      </c>
      <c r="BD73" s="477">
        <f>IF('Incremental Repayments'!$R$22="Debt",IF(AND(BD$4&gt;=$D73,BD$4&lt;$D73+'Incremental Repayments'!$I$31),-PMT('Interest Rate'!$J$16,'Incremental Repayments'!$I$31,(HLOOKUP($D73,$E$4:$CZ$32,28,FALSE)*'Incremental Repayments'!$I$22)),0),0)</f>
        <v>1115270.1158931924</v>
      </c>
      <c r="BE73" s="477">
        <f>IF('Incremental Repayments'!$R$22="Debt",IF(AND(BE$4&gt;=$D73,BE$4&lt;$D73+'Incremental Repayments'!$I$31),-PMT('Interest Rate'!$J$16,'Incremental Repayments'!$I$31,(HLOOKUP($D73,$E$4:$CZ$32,28,FALSE)*'Incremental Repayments'!$I$22)),0),0)</f>
        <v>1115270.1158931924</v>
      </c>
      <c r="BF73" s="477">
        <f>IF('Incremental Repayments'!$R$22="Debt",IF(AND(BF$4&gt;=$D73,BF$4&lt;$D73+'Incremental Repayments'!$I$31),-PMT('Interest Rate'!$J$16,'Incremental Repayments'!$I$31,(HLOOKUP($D73,$E$4:$CZ$32,28,FALSE)*'Incremental Repayments'!$I$22)),0),0)</f>
        <v>1115270.1158931924</v>
      </c>
      <c r="BG73" s="477">
        <f>IF('Incremental Repayments'!$R$22="Debt",IF(AND(BG$4&gt;=$D73,BG$4&lt;$D73+'Incremental Repayments'!$I$31),-PMT('Interest Rate'!$J$16,'Incremental Repayments'!$I$31,(HLOOKUP($D73,$E$4:$CZ$32,28,FALSE)*'Incremental Repayments'!$I$22)),0),0)</f>
        <v>1115270.1158931924</v>
      </c>
      <c r="BH73" s="477">
        <f>IF('Incremental Repayments'!$R$22="Debt",IF(AND(BH$4&gt;=$D73,BH$4&lt;$D73+'Incremental Repayments'!$I$31),-PMT('Interest Rate'!$J$16,'Incremental Repayments'!$I$31,(HLOOKUP($D73,$E$4:$CZ$32,28,FALSE)*'Incremental Repayments'!$I$22)),0),0)</f>
        <v>1115270.1158931924</v>
      </c>
      <c r="BI73" s="477">
        <f>IF('Incremental Repayments'!$R$22="Debt",IF(AND(BI$4&gt;=$D73,BI$4&lt;$D73+'Incremental Repayments'!$I$31),-PMT('Interest Rate'!$J$16,'Incremental Repayments'!$I$31,(HLOOKUP($D73,$E$4:$CZ$32,28,FALSE)*'Incremental Repayments'!$I$22)),0),0)</f>
        <v>1115270.1158931924</v>
      </c>
      <c r="BJ73" s="477">
        <f>IF('Incremental Repayments'!$R$22="Debt",IF(AND(BJ$4&gt;=$D73,BJ$4&lt;$D73+'Incremental Repayments'!$I$31),-PMT('Interest Rate'!$J$16,'Incremental Repayments'!$I$31,(HLOOKUP($D73,$E$4:$CZ$32,28,FALSE)*'Incremental Repayments'!$I$22)),0),0)</f>
        <v>1115270.1158931924</v>
      </c>
      <c r="BK73" s="477">
        <f>IF('Incremental Repayments'!$R$22="Debt",IF(AND(BK$4&gt;=$D73,BK$4&lt;$D73+'Incremental Repayments'!$I$31),-PMT('Interest Rate'!$J$16,'Incremental Repayments'!$I$31,(HLOOKUP($D73,$E$4:$CZ$32,28,FALSE)*'Incremental Repayments'!$I$22)),0),0)</f>
        <v>1115270.1158931924</v>
      </c>
      <c r="BL73" s="477">
        <f>IF('Incremental Repayments'!$R$22="Debt",IF(AND(BL$4&gt;=$D73,BL$4&lt;$D73+'Incremental Repayments'!$I$31),-PMT('Interest Rate'!$J$16,'Incremental Repayments'!$I$31,(HLOOKUP($D73,$E$4:$CZ$32,28,FALSE)*'Incremental Repayments'!$I$22)),0),0)</f>
        <v>1115270.1158931924</v>
      </c>
      <c r="BM73" s="477">
        <f>IF('Incremental Repayments'!$R$22="Debt",IF(AND(BM$4&gt;=$D73,BM$4&lt;$D73+'Incremental Repayments'!$I$31),-PMT('Interest Rate'!$J$16,'Incremental Repayments'!$I$31,(HLOOKUP($D73,$E$4:$CZ$32,28,FALSE)*'Incremental Repayments'!$I$22)),0),0)</f>
        <v>1115270.1158931924</v>
      </c>
      <c r="BN73" s="477">
        <f>IF('Incremental Repayments'!$R$22="Debt",IF(AND(BN$4&gt;=$D73,BN$4&lt;$D73+'Incremental Repayments'!$I$31),-PMT('Interest Rate'!$J$16,'Incremental Repayments'!$I$31,(HLOOKUP($D73,$E$4:$CZ$32,28,FALSE)*'Incremental Repayments'!$I$22)),0),0)</f>
        <v>1115270.1158931924</v>
      </c>
      <c r="BO73" s="477">
        <f>IF('Incremental Repayments'!$R$22="Debt",IF(AND(BO$4&gt;=$D73,BO$4&lt;$D73+'Incremental Repayments'!$I$31),-PMT('Interest Rate'!$J$16,'Incremental Repayments'!$I$31,(HLOOKUP($D73,$E$4:$CZ$32,28,FALSE)*'Incremental Repayments'!$I$22)),0),0)</f>
        <v>1115270.1158931924</v>
      </c>
      <c r="BP73" s="477">
        <f>IF('Incremental Repayments'!$R$22="Debt",IF(AND(BP$4&gt;=$D73,BP$4&lt;$D73+'Incremental Repayments'!$I$31),-PMT('Interest Rate'!$J$16,'Incremental Repayments'!$I$31,(HLOOKUP($D73,$E$4:$CZ$32,28,FALSE)*'Incremental Repayments'!$I$22)),0),0)</f>
        <v>1115270.1158931924</v>
      </c>
      <c r="BQ73" s="477">
        <f>IF('Incremental Repayments'!$R$22="Debt",IF(AND(BQ$4&gt;=$D73,BQ$4&lt;$D73+'Incremental Repayments'!$I$31),-PMT('Interest Rate'!$J$16,'Incremental Repayments'!$I$31,(HLOOKUP($D73,$E$4:$CZ$32,28,FALSE)*'Incremental Repayments'!$I$22)),0),0)</f>
        <v>1115270.1158931924</v>
      </c>
      <c r="BR73" s="477">
        <f>IF('Incremental Repayments'!$R$22="Debt",IF(AND(BR$4&gt;=$D73,BR$4&lt;$D73+'Incremental Repayments'!$I$31),-PMT('Interest Rate'!$J$16,'Incremental Repayments'!$I$31,(HLOOKUP($D73,$E$4:$CZ$32,28,FALSE)*'Incremental Repayments'!$I$22)),0),0)</f>
        <v>1115270.1158931924</v>
      </c>
      <c r="BS73" s="477">
        <f>IF('Incremental Repayments'!$R$22="Debt",IF(AND(BS$4&gt;=$D73,BS$4&lt;$D73+'Incremental Repayments'!$I$31),-PMT('Interest Rate'!$J$16,'Incremental Repayments'!$I$31,(HLOOKUP($D73,$E$4:$CZ$32,28,FALSE)*'Incremental Repayments'!$I$22)),0),0)</f>
        <v>1115270.1158931924</v>
      </c>
      <c r="BT73" s="477">
        <f>IF('Incremental Repayments'!$R$22="Debt",IF(AND(BT$4&gt;=$D73,BT$4&lt;$D73+'Incremental Repayments'!$I$31),-PMT('Interest Rate'!$J$16,'Incremental Repayments'!$I$31,(HLOOKUP($D73,$E$4:$CZ$32,28,FALSE)*'Incremental Repayments'!$I$22)),0),0)</f>
        <v>0</v>
      </c>
      <c r="BU73" s="477">
        <f>IF('Incremental Repayments'!$R$22="Debt",IF(AND(BU$4&gt;=$D73,BU$4&lt;$D73+'Incremental Repayments'!$I$31),-PMT('Interest Rate'!$J$16,'Incremental Repayments'!$I$31,(HLOOKUP($D73,$E$4:$CZ$32,28,FALSE)*'Incremental Repayments'!$I$22)),0),0)</f>
        <v>0</v>
      </c>
      <c r="BV73" s="477">
        <f>IF('Incremental Repayments'!$R$22="Debt",IF(AND(BV$4&gt;=$D73,BV$4&lt;$D73+'Incremental Repayments'!$I$31),-PMT('Interest Rate'!$J$16,'Incremental Repayments'!$I$31,(HLOOKUP($D73,$E$4:$CZ$32,28,FALSE)*'Incremental Repayments'!$I$22)),0),0)</f>
        <v>0</v>
      </c>
      <c r="BW73" s="477">
        <f>IF('Incremental Repayments'!$R$22="Debt",IF(AND(BW$4&gt;=$D73,BW$4&lt;$D73+'Incremental Repayments'!$I$31),-PMT('Interest Rate'!$J$16,'Incremental Repayments'!$I$31,(HLOOKUP($D73,$E$4:$CZ$32,28,FALSE)*'Incremental Repayments'!$I$22)),0),0)</f>
        <v>0</v>
      </c>
      <c r="BX73" s="477">
        <f>IF('Incremental Repayments'!$R$22="Debt",IF(AND(BX$4&gt;=$D73,BX$4&lt;$D73+'Incremental Repayments'!$I$31),-PMT('Interest Rate'!$J$16,'Incremental Repayments'!$I$31,(HLOOKUP($D73,$E$4:$CZ$32,28,FALSE)*'Incremental Repayments'!$I$22)),0),0)</f>
        <v>0</v>
      </c>
      <c r="BY73" s="477">
        <f>IF('Incremental Repayments'!$R$22="Debt",IF(AND(BY$4&gt;=$D73,BY$4&lt;$D73+'Incremental Repayments'!$I$31),-PMT('Interest Rate'!$J$16,'Incremental Repayments'!$I$31,(HLOOKUP($D73,$E$4:$CZ$32,28,FALSE)*'Incremental Repayments'!$I$22)),0),0)</f>
        <v>0</v>
      </c>
      <c r="BZ73" s="477">
        <f>IF('Incremental Repayments'!$R$22="Debt",IF(AND(BZ$4&gt;=$D73,BZ$4&lt;$D73+'Incremental Repayments'!$I$31),-PMT('Interest Rate'!$J$16,'Incremental Repayments'!$I$31,(HLOOKUP($D73,$E$4:$CZ$32,28,FALSE)*'Incremental Repayments'!$I$22)),0),0)</f>
        <v>0</v>
      </c>
      <c r="CA73" s="477">
        <f>IF('Incremental Repayments'!$R$22="Debt",IF(AND(CA$4&gt;=$D73,CA$4&lt;$D73+'Incremental Repayments'!$I$31),-PMT('Interest Rate'!$J$16,'Incremental Repayments'!$I$31,(HLOOKUP($D73,$E$4:$CZ$32,28,FALSE)*'Incremental Repayments'!$I$22)),0),0)</f>
        <v>0</v>
      </c>
      <c r="CB73" s="477">
        <f>IF('Incremental Repayments'!$R$22="Debt",IF(AND(CB$4&gt;=$D73,CB$4&lt;$D73+'Incremental Repayments'!$I$31),-PMT('Interest Rate'!$J$16,'Incremental Repayments'!$I$31,(HLOOKUP($D73,$E$4:$CZ$32,28,FALSE)*'Incremental Repayments'!$I$22)),0),0)</f>
        <v>0</v>
      </c>
      <c r="CC73" s="477">
        <f>IF('Incremental Repayments'!$R$22="Debt",IF(AND(CC$4&gt;=$D73,CC$4&lt;$D73+'Incremental Repayments'!$I$31),-PMT('Interest Rate'!$J$16,'Incremental Repayments'!$I$31,(HLOOKUP($D73,$E$4:$CZ$32,28,FALSE)*'Incremental Repayments'!$I$22)),0),0)</f>
        <v>0</v>
      </c>
      <c r="CD73" s="477">
        <f>IF('Incremental Repayments'!$R$22="Debt",IF(AND(CD$4&gt;=$D73,CD$4&lt;$D73+'Incremental Repayments'!$I$31),-PMT('Interest Rate'!$J$16,'Incremental Repayments'!$I$31,(HLOOKUP($D73,$E$4:$CZ$32,28,FALSE)*'Incremental Repayments'!$I$22)),0),0)</f>
        <v>0</v>
      </c>
      <c r="CE73" s="477">
        <f>IF('Incremental Repayments'!$R$22="Debt",IF(AND(CE$4&gt;=$D73,CE$4&lt;$D73+'Incremental Repayments'!$I$31),-PMT('Interest Rate'!$J$16,'Incremental Repayments'!$I$31,(HLOOKUP($D73,$E$4:$CZ$32,28,FALSE)*'Incremental Repayments'!$I$22)),0),0)</f>
        <v>0</v>
      </c>
      <c r="CF73" s="477">
        <f>IF('Incremental Repayments'!$R$22="Debt",IF(AND(CF$4&gt;=$D73,CF$4&lt;$D73+'Incremental Repayments'!$I$31),-PMT('Interest Rate'!$J$16,'Incremental Repayments'!$I$31,(HLOOKUP($D73,$E$4:$CZ$32,28,FALSE)*'Incremental Repayments'!$I$22)),0),0)</f>
        <v>0</v>
      </c>
      <c r="CG73" s="477">
        <f>IF('Incremental Repayments'!$R$22="Debt",IF(AND(CG$4&gt;=$D73,CG$4&lt;$D73+'Incremental Repayments'!$I$31),-PMT('Interest Rate'!$J$16,'Incremental Repayments'!$I$31,(HLOOKUP($D73,$E$4:$CZ$32,28,FALSE)*'Incremental Repayments'!$I$22)),0),0)</f>
        <v>0</v>
      </c>
      <c r="CH73" s="477">
        <f>IF('Incremental Repayments'!$R$22="Debt",IF(AND(CH$4&gt;=$D73,CH$4&lt;$D73+'Incremental Repayments'!$I$31),-PMT('Interest Rate'!$J$16,'Incremental Repayments'!$I$31,(HLOOKUP($D73,$E$4:$CZ$32,28,FALSE)*'Incremental Repayments'!$I$22)),0),0)</f>
        <v>0</v>
      </c>
      <c r="CI73" s="477">
        <f>IF('Incremental Repayments'!$R$22="Debt",IF(AND(CI$4&gt;=$D73,CI$4&lt;$D73+'Incremental Repayments'!$I$31),-PMT('Interest Rate'!$J$16,'Incremental Repayments'!$I$31,(HLOOKUP($D73,$E$4:$CZ$32,28,FALSE)*'Incremental Repayments'!$I$22)),0),0)</f>
        <v>0</v>
      </c>
      <c r="CJ73" s="477">
        <f>IF('Incremental Repayments'!$R$22="Debt",IF(AND(CJ$4&gt;=$D73,CJ$4&lt;$D73+'Incremental Repayments'!$I$31),-PMT('Interest Rate'!$J$16,'Incremental Repayments'!$I$31,(HLOOKUP($D73,$E$4:$CZ$32,28,FALSE)*'Incremental Repayments'!$I$22)),0),0)</f>
        <v>0</v>
      </c>
      <c r="CK73" s="477">
        <f>IF('Incremental Repayments'!$R$22="Debt",IF(AND(CK$4&gt;=$D73,CK$4&lt;$D73+'Incremental Repayments'!$I$31),-PMT('Interest Rate'!$J$16,'Incremental Repayments'!$I$31,(HLOOKUP($D73,$E$4:$CZ$32,28,FALSE)*'Incremental Repayments'!$I$22)),0),0)</f>
        <v>0</v>
      </c>
      <c r="CL73" s="477">
        <f>IF('Incremental Repayments'!$R$22="Debt",IF(AND(CL$4&gt;=$D73,CL$4&lt;$D73+'Incremental Repayments'!$I$31),-PMT('Interest Rate'!$J$16,'Incremental Repayments'!$I$31,(HLOOKUP($D73,$E$4:$CZ$32,28,FALSE)*'Incremental Repayments'!$I$22)),0),0)</f>
        <v>0</v>
      </c>
      <c r="CM73" s="477">
        <f>IF('Incremental Repayments'!$R$22="Debt",IF(AND(CM$4&gt;=$D73,CM$4&lt;$D73+'Incremental Repayments'!$I$31),-PMT('Interest Rate'!$J$16,'Incremental Repayments'!$I$31,(HLOOKUP($D73,$E$4:$CZ$32,28,FALSE)*'Incremental Repayments'!$I$22)),0),0)</f>
        <v>0</v>
      </c>
      <c r="CN73" s="477">
        <f>IF('Incremental Repayments'!$R$22="Debt",IF(AND(CN$4&gt;=$D73,CN$4&lt;$D73+'Incremental Repayments'!$I$31),-PMT('Interest Rate'!$J$16,'Incremental Repayments'!$I$31,(HLOOKUP($D73,$E$4:$CZ$32,28,FALSE)*'Incremental Repayments'!$I$22)),0),0)</f>
        <v>0</v>
      </c>
      <c r="CO73" s="477">
        <f>IF('Incremental Repayments'!$R$22="Debt",IF(AND(CO$4&gt;=$D73,CO$4&lt;$D73+'Incremental Repayments'!$I$31),-PMT('Interest Rate'!$J$16,'Incremental Repayments'!$I$31,(HLOOKUP($D73,$E$4:$CZ$32,28,FALSE)*'Incremental Repayments'!$I$22)),0),0)</f>
        <v>0</v>
      </c>
      <c r="CP73" s="477">
        <f>IF('Incremental Repayments'!$R$22="Debt",IF(AND(CP$4&gt;=$D73,CP$4&lt;$D73+'Incremental Repayments'!$I$31),-PMT('Interest Rate'!$J$16,'Incremental Repayments'!$I$31,(HLOOKUP($D73,$E$4:$CZ$32,28,FALSE)*'Incremental Repayments'!$I$22)),0),0)</f>
        <v>0</v>
      </c>
      <c r="CQ73" s="477">
        <f>IF('Incremental Repayments'!$R$22="Debt",IF(AND(CQ$4&gt;=$D73,CQ$4&lt;$D73+'Incremental Repayments'!$I$31),-PMT('Interest Rate'!$J$16,'Incremental Repayments'!$I$31,(HLOOKUP($D73,$E$4:$CZ$32,28,FALSE)*'Incremental Repayments'!$I$22)),0),0)</f>
        <v>0</v>
      </c>
      <c r="CR73" s="477">
        <f>IF('Incremental Repayments'!$R$22="Debt",IF(AND(CR$4&gt;=$D73,CR$4&lt;$D73+'Incremental Repayments'!$I$31),-PMT('Interest Rate'!$J$16,'Incremental Repayments'!$I$31,(HLOOKUP($D73,$E$4:$CZ$32,28,FALSE)*'Incremental Repayments'!$I$22)),0),0)</f>
        <v>0</v>
      </c>
      <c r="CS73" s="477">
        <f>IF('Incremental Repayments'!$R$22="Debt",IF(AND(CS$4&gt;=$D73,CS$4&lt;$D73+'Incremental Repayments'!$I$31),-PMT('Interest Rate'!$J$16,'Incremental Repayments'!$I$31,(HLOOKUP($D73,$E$4:$CZ$32,28,FALSE)*'Incremental Repayments'!$I$22)),0),0)</f>
        <v>0</v>
      </c>
      <c r="CT73" s="477">
        <f>IF('Incremental Repayments'!$R$22="Debt",IF(AND(CT$4&gt;=$D73,CT$4&lt;$D73+'Incremental Repayments'!$I$31),-PMT('Interest Rate'!$J$16,'Incremental Repayments'!$I$31,(HLOOKUP($D73,$E$4:$CZ$32,28,FALSE)*'Incremental Repayments'!$I$22)),0),0)</f>
        <v>0</v>
      </c>
      <c r="CU73" s="477">
        <f>IF('Incremental Repayments'!$R$22="Debt",IF(AND(CU$4&gt;=$D73,CU$4&lt;$D73+'Incremental Repayments'!$I$31),-PMT('Interest Rate'!$J$16,'Incremental Repayments'!$I$31,(HLOOKUP($D73,$E$4:$CZ$32,28,FALSE)*'Incremental Repayments'!$I$22)),0),0)</f>
        <v>0</v>
      </c>
      <c r="CV73" s="477">
        <f>IF('Incremental Repayments'!$R$22="Debt",IF(AND(CV$4&gt;=$D73,CV$4&lt;$D73+'Incremental Repayments'!$I$31),-PMT('Interest Rate'!$J$16,'Incremental Repayments'!$I$31,(HLOOKUP($D73,$E$4:$CZ$32,28,FALSE)*'Incremental Repayments'!$I$22)),0),0)</f>
        <v>0</v>
      </c>
      <c r="CW73" s="477">
        <f>IF('Incremental Repayments'!$R$22="Debt",IF(AND(CW$4&gt;=$D73,CW$4&lt;$D73+'Incremental Repayments'!$I$31),-PMT('Interest Rate'!$J$16,'Incremental Repayments'!$I$31,(HLOOKUP($D73,$E$4:$CZ$32,28,FALSE)*'Incremental Repayments'!$I$22)),0),0)</f>
        <v>0</v>
      </c>
      <c r="CX73" s="477">
        <f>IF('Incremental Repayments'!$R$22="Debt",IF(AND(CX$4&gt;=$D73,CX$4&lt;$D73+'Incremental Repayments'!$I$31),-PMT('Interest Rate'!$J$16,'Incremental Repayments'!$I$31,(HLOOKUP($D73,$E$4:$CZ$32,28,FALSE)*'Incremental Repayments'!$I$22)),0),0)</f>
        <v>0</v>
      </c>
      <c r="CY73" s="477">
        <f>IF('Incremental Repayments'!$R$22="Debt",IF(AND(CY$4&gt;=$D73,CY$4&lt;$D73+'Incremental Repayments'!$I$31),-PMT('Interest Rate'!$J$16,'Incremental Repayments'!$I$31,(HLOOKUP($D73,$E$4:$CZ$32,28,FALSE)*'Incremental Repayments'!$I$22)),0),0)</f>
        <v>0</v>
      </c>
      <c r="CZ73" s="477">
        <f>IF('Incremental Repayments'!$R$22="Debt",IF(AND(CZ$4&gt;=$D73,CZ$4&lt;$D73+'Incremental Repayments'!$I$31),-PMT('Interest Rate'!$J$16,'Incremental Repayments'!$I$31,(HLOOKUP($D73,$E$4:$CZ$32,28,FALSE)*'Incremental Repayments'!$I$22)),0),0)</f>
        <v>0</v>
      </c>
    </row>
    <row r="74" spans="2:104" x14ac:dyDescent="0.25">
      <c r="B74" s="480" t="str">
        <f>CONCATENATE("Series ",D74,"A Bonds (at ",'Interest Rate'!$J$16*100,"% Interest)")</f>
        <v>Series 2052A Bonds (at 4.5% Interest)</v>
      </c>
      <c r="C74" s="480"/>
      <c r="D74" s="492">
        <f t="shared" ref="D74:D79" si="493">D73+1</f>
        <v>2052</v>
      </c>
      <c r="E74" s="477">
        <f>IF('Incremental Repayments'!$R$22="Debt",IF(AND(E$4&gt;=$D74,E$4&lt;$D74+'Incremental Repayments'!$I$31),-PMT('Interest Rate'!$J$16,'Incremental Repayments'!$I$31,(HLOOKUP($D74,$E$4:$CZ$32,28,FALSE)*'Incremental Repayments'!$I$22)),0),0)</f>
        <v>0</v>
      </c>
      <c r="F74" s="477">
        <f>IF('Incremental Repayments'!$R$22="Debt",IF(AND(F$4&gt;=$D74,F$4&lt;$D74+'Incremental Repayments'!$I$31),-PMT('Interest Rate'!$J$16,'Incremental Repayments'!$I$31,(HLOOKUP($D74,$E$4:$CZ$32,28,FALSE)*'Incremental Repayments'!$I$22)),0),0)</f>
        <v>0</v>
      </c>
      <c r="G74" s="477">
        <f>IF('Incremental Repayments'!$R$22="Debt",IF(AND(G$4&gt;=$D74,G$4&lt;$D74+'Incremental Repayments'!$I$31),-PMT('Interest Rate'!$J$16,'Incremental Repayments'!$I$31,(HLOOKUP($D74,$E$4:$CZ$32,28,FALSE)*'Incremental Repayments'!$I$22)),0),0)</f>
        <v>0</v>
      </c>
      <c r="H74" s="477">
        <f>IF('Incremental Repayments'!$R$22="Debt",IF(AND(H$4&gt;=$D74,H$4&lt;$D74+'Incremental Repayments'!$I$31),-PMT('Interest Rate'!$J$16,'Incremental Repayments'!$I$31,(HLOOKUP($D74,$E$4:$CZ$32,28,FALSE)*'Incremental Repayments'!$I$22)),0),0)</f>
        <v>0</v>
      </c>
      <c r="I74" s="477">
        <f>IF('Incremental Repayments'!$R$22="Debt",IF(AND(I$4&gt;=$D74,I$4&lt;$D74+'Incremental Repayments'!$I$31),-PMT('Interest Rate'!$J$16,'Incremental Repayments'!$I$31,(HLOOKUP($D74,$E$4:$CZ$32,28,FALSE)*'Incremental Repayments'!$I$22)),0),0)</f>
        <v>0</v>
      </c>
      <c r="J74" s="477">
        <f>IF('Incremental Repayments'!$R$22="Debt",IF(AND(J$4&gt;=$D74,J$4&lt;$D74+'Incremental Repayments'!$I$31),-PMT('Interest Rate'!$J$16,'Incremental Repayments'!$I$31,(HLOOKUP($D74,$E$4:$CZ$32,28,FALSE)*'Incremental Repayments'!$I$22)),0),0)</f>
        <v>0</v>
      </c>
      <c r="K74" s="477">
        <f>IF('Incremental Repayments'!$R$22="Debt",IF(AND(K$4&gt;=$D74,K$4&lt;$D74+'Incremental Repayments'!$I$31),-PMT('Interest Rate'!$J$16,'Incremental Repayments'!$I$31,(HLOOKUP($D74,$E$4:$CZ$32,28,FALSE)*'Incremental Repayments'!$I$22)),0),0)</f>
        <v>0</v>
      </c>
      <c r="L74" s="477">
        <f>IF('Incremental Repayments'!$R$22="Debt",IF(AND(L$4&gt;=$D74,L$4&lt;$D74+'Incremental Repayments'!$I$31),-PMT('Interest Rate'!$J$16,'Incremental Repayments'!$I$31,(HLOOKUP($D74,$E$4:$CZ$32,28,FALSE)*'Incremental Repayments'!$I$22)),0),0)</f>
        <v>0</v>
      </c>
      <c r="M74" s="477">
        <f>IF('Incremental Repayments'!$R$22="Debt",IF(AND(M$4&gt;=$D74,M$4&lt;$D74+'Incremental Repayments'!$I$31),-PMT('Interest Rate'!$J$16,'Incremental Repayments'!$I$31,(HLOOKUP($D74,$E$4:$CZ$32,28,FALSE)*'Incremental Repayments'!$I$22)),0),0)</f>
        <v>0</v>
      </c>
      <c r="N74" s="477">
        <f>IF('Incremental Repayments'!$R$22="Debt",IF(AND(N$4&gt;=$D74,N$4&lt;$D74+'Incremental Repayments'!$I$31),-PMT('Interest Rate'!$J$16,'Incremental Repayments'!$I$31,(HLOOKUP($D74,$E$4:$CZ$32,28,FALSE)*'Incremental Repayments'!$I$22)),0),0)</f>
        <v>0</v>
      </c>
      <c r="O74" s="477">
        <f>IF('Incremental Repayments'!$R$22="Debt",IF(AND(O$4&gt;=$D74,O$4&lt;$D74+'Incremental Repayments'!$I$31),-PMT('Interest Rate'!$J$16,'Incremental Repayments'!$I$31,(HLOOKUP($D74,$E$4:$CZ$32,28,FALSE)*'Incremental Repayments'!$I$22)),0),0)</f>
        <v>0</v>
      </c>
      <c r="P74" s="477">
        <f>IF('Incremental Repayments'!$R$22="Debt",IF(AND(P$4&gt;=$D74,P$4&lt;$D74+'Incremental Repayments'!$I$31),-PMT('Interest Rate'!$J$16,'Incremental Repayments'!$I$31,(HLOOKUP($D74,$E$4:$CZ$32,28,FALSE)*'Incremental Repayments'!$I$22)),0),0)</f>
        <v>0</v>
      </c>
      <c r="Q74" s="477">
        <f>IF('Incremental Repayments'!$R$22="Debt",IF(AND(Q$4&gt;=$D74,Q$4&lt;$D74+'Incremental Repayments'!$I$31),-PMT('Interest Rate'!$J$16,'Incremental Repayments'!$I$31,(HLOOKUP($D74,$E$4:$CZ$32,28,FALSE)*'Incremental Repayments'!$I$22)),0),0)</f>
        <v>0</v>
      </c>
      <c r="R74" s="477">
        <f>IF('Incremental Repayments'!$R$22="Debt",IF(AND(R$4&gt;=$D74,R$4&lt;$D74+'Incremental Repayments'!$I$31),-PMT('Interest Rate'!$J$16,'Incremental Repayments'!$I$31,(HLOOKUP($D74,$E$4:$CZ$32,28,FALSE)*'Incremental Repayments'!$I$22)),0),0)</f>
        <v>0</v>
      </c>
      <c r="S74" s="477">
        <f>IF('Incremental Repayments'!$R$22="Debt",IF(AND(S$4&gt;=$D74,S$4&lt;$D74+'Incremental Repayments'!$I$31),-PMT('Interest Rate'!$J$16,'Incremental Repayments'!$I$31,(HLOOKUP($D74,$E$4:$CZ$32,28,FALSE)*'Incremental Repayments'!$I$22)),0),0)</f>
        <v>0</v>
      </c>
      <c r="T74" s="477">
        <f>IF('Incremental Repayments'!$R$22="Debt",IF(AND(T$4&gt;=$D74,T$4&lt;$D74+'Incremental Repayments'!$I$31),-PMT('Interest Rate'!$J$16,'Incremental Repayments'!$I$31,(HLOOKUP($D74,$E$4:$CZ$32,28,FALSE)*'Incremental Repayments'!$I$22)),0),0)</f>
        <v>0</v>
      </c>
      <c r="U74" s="477">
        <f>IF('Incremental Repayments'!$R$22="Debt",IF(AND(U$4&gt;=$D74,U$4&lt;$D74+'Incremental Repayments'!$I$31),-PMT('Interest Rate'!$J$16,'Incremental Repayments'!$I$31,(HLOOKUP($D74,$E$4:$CZ$32,28,FALSE)*'Incremental Repayments'!$I$22)),0),0)</f>
        <v>0</v>
      </c>
      <c r="V74" s="477">
        <f>IF('Incremental Repayments'!$R$22="Debt",IF(AND(V$4&gt;=$D74,V$4&lt;$D74+'Incremental Repayments'!$I$31),-PMT('Interest Rate'!$J$16,'Incremental Repayments'!$I$31,(HLOOKUP($D74,$E$4:$CZ$32,28,FALSE)*'Incremental Repayments'!$I$22)),0),0)</f>
        <v>0</v>
      </c>
      <c r="W74" s="477">
        <f>IF('Incremental Repayments'!$R$22="Debt",IF(AND(W$4&gt;=$D74,W$4&lt;$D74+'Incremental Repayments'!$I$31),-PMT('Interest Rate'!$J$16,'Incremental Repayments'!$I$31,(HLOOKUP($D74,$E$4:$CZ$32,28,FALSE)*'Incremental Repayments'!$I$22)),0),0)</f>
        <v>0</v>
      </c>
      <c r="X74" s="477">
        <f>IF('Incremental Repayments'!$R$22="Debt",IF(AND(X$4&gt;=$D74,X$4&lt;$D74+'Incremental Repayments'!$I$31),-PMT('Interest Rate'!$J$16,'Incremental Repayments'!$I$31,(HLOOKUP($D74,$E$4:$CZ$32,28,FALSE)*'Incremental Repayments'!$I$22)),0),0)</f>
        <v>0</v>
      </c>
      <c r="Y74" s="477">
        <f>IF('Incremental Repayments'!$R$22="Debt",IF(AND(Y$4&gt;=$D74,Y$4&lt;$D74+'Incremental Repayments'!$I$31),-PMT('Interest Rate'!$J$16,'Incremental Repayments'!$I$31,(HLOOKUP($D74,$E$4:$CZ$32,28,FALSE)*'Incremental Repayments'!$I$22)),0),0)</f>
        <v>0</v>
      </c>
      <c r="Z74" s="477">
        <f>IF('Incremental Repayments'!$R$22="Debt",IF(AND(Z$4&gt;=$D74,Z$4&lt;$D74+'Incremental Repayments'!$I$31),-PMT('Interest Rate'!$J$16,'Incremental Repayments'!$I$31,(HLOOKUP($D74,$E$4:$CZ$32,28,FALSE)*'Incremental Repayments'!$I$22)),0),0)</f>
        <v>0</v>
      </c>
      <c r="AA74" s="477">
        <f>IF('Incremental Repayments'!$R$22="Debt",IF(AND(AA$4&gt;=$D74,AA$4&lt;$D74+'Incremental Repayments'!$I$31),-PMT('Interest Rate'!$J$16,'Incremental Repayments'!$I$31,(HLOOKUP($D74,$E$4:$CZ$32,28,FALSE)*'Incremental Repayments'!$I$22)),0),0)</f>
        <v>0</v>
      </c>
      <c r="AB74" s="477">
        <f>IF('Incremental Repayments'!$R$22="Debt",IF(AND(AB$4&gt;=$D74,AB$4&lt;$D74+'Incremental Repayments'!$I$31),-PMT('Interest Rate'!$J$16,'Incremental Repayments'!$I$31,(HLOOKUP($D74,$E$4:$CZ$32,28,FALSE)*'Incremental Repayments'!$I$22)),0),0)</f>
        <v>0</v>
      </c>
      <c r="AC74" s="477">
        <f>IF('Incremental Repayments'!$R$22="Debt",IF(AND(AC$4&gt;=$D74,AC$4&lt;$D74+'Incremental Repayments'!$I$31),-PMT('Interest Rate'!$J$16,'Incremental Repayments'!$I$31,(HLOOKUP($D74,$E$4:$CZ$32,28,FALSE)*'Incremental Repayments'!$I$22)),0),0)</f>
        <v>0</v>
      </c>
      <c r="AD74" s="477">
        <f>IF('Incremental Repayments'!$R$22="Debt",IF(AND(AD$4&gt;=$D74,AD$4&lt;$D74+'Incremental Repayments'!$I$31),-PMT('Interest Rate'!$J$16,'Incremental Repayments'!$I$31,(HLOOKUP($D74,$E$4:$CZ$32,28,FALSE)*'Incremental Repayments'!$I$22)),0),0)</f>
        <v>0</v>
      </c>
      <c r="AE74" s="477">
        <f>IF('Incremental Repayments'!$R$22="Debt",IF(AND(AE$4&gt;=$D74,AE$4&lt;$D74+'Incremental Repayments'!$I$31),-PMT('Interest Rate'!$J$16,'Incremental Repayments'!$I$31,(HLOOKUP($D74,$E$4:$CZ$32,28,FALSE)*'Incremental Repayments'!$I$22)),0),0)</f>
        <v>0</v>
      </c>
      <c r="AF74" s="477">
        <f>IF('Incremental Repayments'!$R$22="Debt",IF(AND(AF$4&gt;=$D74,AF$4&lt;$D74+'Incremental Repayments'!$I$31),-PMT('Interest Rate'!$J$16,'Incremental Repayments'!$I$31,(HLOOKUP($D74,$E$4:$CZ$32,28,FALSE)*'Incremental Repayments'!$I$22)),0),0)</f>
        <v>0</v>
      </c>
      <c r="AG74" s="477">
        <f>IF('Incremental Repayments'!$R$22="Debt",IF(AND(AG$4&gt;=$D74,AG$4&lt;$D74+'Incremental Repayments'!$I$31),-PMT('Interest Rate'!$J$16,'Incremental Repayments'!$I$31,(HLOOKUP($D74,$E$4:$CZ$32,28,FALSE)*'Incremental Repayments'!$I$22)),0),0)</f>
        <v>0</v>
      </c>
      <c r="AH74" s="477">
        <f>IF('Incremental Repayments'!$R$22="Debt",IF(AND(AH$4&gt;=$D74,AH$4&lt;$D74+'Incremental Repayments'!$I$31),-PMT('Interest Rate'!$J$16,'Incremental Repayments'!$I$31,(HLOOKUP($D74,$E$4:$CZ$32,28,FALSE)*'Incremental Repayments'!$I$22)),0),0)</f>
        <v>0</v>
      </c>
      <c r="AI74" s="477">
        <f>IF('Incremental Repayments'!$R$22="Debt",IF(AND(AI$4&gt;=$D74,AI$4&lt;$D74+'Incremental Repayments'!$I$31),-PMT('Interest Rate'!$J$16,'Incremental Repayments'!$I$31,(HLOOKUP($D74,$E$4:$CZ$32,28,FALSE)*'Incremental Repayments'!$I$22)),0),0)</f>
        <v>0</v>
      </c>
      <c r="AJ74" s="477">
        <f>IF('Incremental Repayments'!$R$22="Debt",IF(AND(AJ$4&gt;=$D74,AJ$4&lt;$D74+'Incremental Repayments'!$I$31),-PMT('Interest Rate'!$J$16,'Incremental Repayments'!$I$31,(HLOOKUP($D74,$E$4:$CZ$32,28,FALSE)*'Incremental Repayments'!$I$22)),0),0)</f>
        <v>0</v>
      </c>
      <c r="AK74" s="477">
        <f>IF('Incremental Repayments'!$R$22="Debt",IF(AND(AK$4&gt;=$D74,AK$4&lt;$D74+'Incremental Repayments'!$I$31),-PMT('Interest Rate'!$J$16,'Incremental Repayments'!$I$31,(HLOOKUP($D74,$E$4:$CZ$32,28,FALSE)*'Incremental Repayments'!$I$22)),0),0)</f>
        <v>0</v>
      </c>
      <c r="AL74" s="477">
        <f>IF('Incremental Repayments'!$R$22="Debt",IF(AND(AL$4&gt;=$D74,AL$4&lt;$D74+'Incremental Repayments'!$I$31),-PMT('Interest Rate'!$J$16,'Incremental Repayments'!$I$31,(HLOOKUP($D74,$E$4:$CZ$32,28,FALSE)*'Incremental Repayments'!$I$22)),0),0)</f>
        <v>0</v>
      </c>
      <c r="AM74" s="477">
        <f>IF('Incremental Repayments'!$R$22="Debt",IF(AND(AM$4&gt;=$D74,AM$4&lt;$D74+'Incremental Repayments'!$I$31),-PMT('Interest Rate'!$J$16,'Incremental Repayments'!$I$31,(HLOOKUP($D74,$E$4:$CZ$32,28,FALSE)*'Incremental Repayments'!$I$22)),0),0)</f>
        <v>0</v>
      </c>
      <c r="AN74" s="477">
        <f>IF('Incremental Repayments'!$R$22="Debt",IF(AND(AN$4&gt;=$D74,AN$4&lt;$D74+'Incremental Repayments'!$I$31),-PMT('Interest Rate'!$J$16,'Incremental Repayments'!$I$31,(HLOOKUP($D74,$E$4:$CZ$32,28,FALSE)*'Incremental Repayments'!$I$22)),0),0)</f>
        <v>0</v>
      </c>
      <c r="AO74" s="477">
        <f>IF('Incremental Repayments'!$R$22="Debt",IF(AND(AO$4&gt;=$D74,AO$4&lt;$D74+'Incremental Repayments'!$I$31),-PMT('Interest Rate'!$J$16,'Incremental Repayments'!$I$31,(HLOOKUP($D74,$E$4:$CZ$32,28,FALSE)*'Incremental Repayments'!$I$22)),0),0)</f>
        <v>0</v>
      </c>
      <c r="AP74" s="477">
        <f>IF('Incremental Repayments'!$R$22="Debt",IF(AND(AP$4&gt;=$D74,AP$4&lt;$D74+'Incremental Repayments'!$I$31),-PMT('Interest Rate'!$J$16,'Incremental Repayments'!$I$31,(HLOOKUP($D74,$E$4:$CZ$32,28,FALSE)*'Incremental Repayments'!$I$22)),0),0)</f>
        <v>0</v>
      </c>
      <c r="AQ74" s="477">
        <f>IF('Incremental Repayments'!$R$22="Debt",IF(AND(AQ$4&gt;=$D74,AQ$4&lt;$D74+'Incremental Repayments'!$I$31),-PMT('Interest Rate'!$J$16,'Incremental Repayments'!$I$31,(HLOOKUP($D74,$E$4:$CZ$32,28,FALSE)*'Incremental Repayments'!$I$22)),0),0)</f>
        <v>1147055.3141961431</v>
      </c>
      <c r="AR74" s="477">
        <f>IF('Incremental Repayments'!$R$22="Debt",IF(AND(AR$4&gt;=$D74,AR$4&lt;$D74+'Incremental Repayments'!$I$31),-PMT('Interest Rate'!$J$16,'Incremental Repayments'!$I$31,(HLOOKUP($D74,$E$4:$CZ$32,28,FALSE)*'Incremental Repayments'!$I$22)),0),0)</f>
        <v>1147055.3141961431</v>
      </c>
      <c r="AS74" s="477">
        <f>IF('Incremental Repayments'!$R$22="Debt",IF(AND(AS$4&gt;=$D74,AS$4&lt;$D74+'Incremental Repayments'!$I$31),-PMT('Interest Rate'!$J$16,'Incremental Repayments'!$I$31,(HLOOKUP($D74,$E$4:$CZ$32,28,FALSE)*'Incremental Repayments'!$I$22)),0),0)</f>
        <v>1147055.3141961431</v>
      </c>
      <c r="AT74" s="477">
        <f>IF('Incremental Repayments'!$R$22="Debt",IF(AND(AT$4&gt;=$D74,AT$4&lt;$D74+'Incremental Repayments'!$I$31),-PMT('Interest Rate'!$J$16,'Incremental Repayments'!$I$31,(HLOOKUP($D74,$E$4:$CZ$32,28,FALSE)*'Incremental Repayments'!$I$22)),0),0)</f>
        <v>1147055.3141961431</v>
      </c>
      <c r="AU74" s="477">
        <f>IF('Incremental Repayments'!$R$22="Debt",IF(AND(AU$4&gt;=$D74,AU$4&lt;$D74+'Incremental Repayments'!$I$31),-PMT('Interest Rate'!$J$16,'Incremental Repayments'!$I$31,(HLOOKUP($D74,$E$4:$CZ$32,28,FALSE)*'Incremental Repayments'!$I$22)),0),0)</f>
        <v>1147055.3141961431</v>
      </c>
      <c r="AV74" s="477">
        <f>IF('Incremental Repayments'!$R$22="Debt",IF(AND(AV$4&gt;=$D74,AV$4&lt;$D74+'Incremental Repayments'!$I$31),-PMT('Interest Rate'!$J$16,'Incremental Repayments'!$I$31,(HLOOKUP($D74,$E$4:$CZ$32,28,FALSE)*'Incremental Repayments'!$I$22)),0),0)</f>
        <v>1147055.3141961431</v>
      </c>
      <c r="AW74" s="477">
        <f>IF('Incremental Repayments'!$R$22="Debt",IF(AND(AW$4&gt;=$D74,AW$4&lt;$D74+'Incremental Repayments'!$I$31),-PMT('Interest Rate'!$J$16,'Incremental Repayments'!$I$31,(HLOOKUP($D74,$E$4:$CZ$32,28,FALSE)*'Incremental Repayments'!$I$22)),0),0)</f>
        <v>1147055.3141961431</v>
      </c>
      <c r="AX74" s="477">
        <f>IF('Incremental Repayments'!$R$22="Debt",IF(AND(AX$4&gt;=$D74,AX$4&lt;$D74+'Incremental Repayments'!$I$31),-PMT('Interest Rate'!$J$16,'Incremental Repayments'!$I$31,(HLOOKUP($D74,$E$4:$CZ$32,28,FALSE)*'Incremental Repayments'!$I$22)),0),0)</f>
        <v>1147055.3141961431</v>
      </c>
      <c r="AY74" s="477">
        <f>IF('Incremental Repayments'!$R$22="Debt",IF(AND(AY$4&gt;=$D74,AY$4&lt;$D74+'Incremental Repayments'!$I$31),-PMT('Interest Rate'!$J$16,'Incremental Repayments'!$I$31,(HLOOKUP($D74,$E$4:$CZ$32,28,FALSE)*'Incremental Repayments'!$I$22)),0),0)</f>
        <v>1147055.3141961431</v>
      </c>
      <c r="AZ74" s="477">
        <f>IF('Incremental Repayments'!$R$22="Debt",IF(AND(AZ$4&gt;=$D74,AZ$4&lt;$D74+'Incremental Repayments'!$I$31),-PMT('Interest Rate'!$J$16,'Incremental Repayments'!$I$31,(HLOOKUP($D74,$E$4:$CZ$32,28,FALSE)*'Incremental Repayments'!$I$22)),0),0)</f>
        <v>1147055.3141961431</v>
      </c>
      <c r="BA74" s="477">
        <f>IF('Incremental Repayments'!$R$22="Debt",IF(AND(BA$4&gt;=$D74,BA$4&lt;$D74+'Incremental Repayments'!$I$31),-PMT('Interest Rate'!$J$16,'Incremental Repayments'!$I$31,(HLOOKUP($D74,$E$4:$CZ$32,28,FALSE)*'Incremental Repayments'!$I$22)),0),0)</f>
        <v>1147055.3141961431</v>
      </c>
      <c r="BB74" s="477">
        <f>IF('Incremental Repayments'!$R$22="Debt",IF(AND(BB$4&gt;=$D74,BB$4&lt;$D74+'Incremental Repayments'!$I$31),-PMT('Interest Rate'!$J$16,'Incremental Repayments'!$I$31,(HLOOKUP($D74,$E$4:$CZ$32,28,FALSE)*'Incremental Repayments'!$I$22)),0),0)</f>
        <v>1147055.3141961431</v>
      </c>
      <c r="BC74" s="477">
        <f>IF('Incremental Repayments'!$R$22="Debt",IF(AND(BC$4&gt;=$D74,BC$4&lt;$D74+'Incremental Repayments'!$I$31),-PMT('Interest Rate'!$J$16,'Incremental Repayments'!$I$31,(HLOOKUP($D74,$E$4:$CZ$32,28,FALSE)*'Incremental Repayments'!$I$22)),0),0)</f>
        <v>1147055.3141961431</v>
      </c>
      <c r="BD74" s="477">
        <f>IF('Incremental Repayments'!$R$22="Debt",IF(AND(BD$4&gt;=$D74,BD$4&lt;$D74+'Incremental Repayments'!$I$31),-PMT('Interest Rate'!$J$16,'Incremental Repayments'!$I$31,(HLOOKUP($D74,$E$4:$CZ$32,28,FALSE)*'Incremental Repayments'!$I$22)),0),0)</f>
        <v>1147055.3141961431</v>
      </c>
      <c r="BE74" s="477">
        <f>IF('Incremental Repayments'!$R$22="Debt",IF(AND(BE$4&gt;=$D74,BE$4&lt;$D74+'Incremental Repayments'!$I$31),-PMT('Interest Rate'!$J$16,'Incremental Repayments'!$I$31,(HLOOKUP($D74,$E$4:$CZ$32,28,FALSE)*'Incremental Repayments'!$I$22)),0),0)</f>
        <v>1147055.3141961431</v>
      </c>
      <c r="BF74" s="477">
        <f>IF('Incremental Repayments'!$R$22="Debt",IF(AND(BF$4&gt;=$D74,BF$4&lt;$D74+'Incremental Repayments'!$I$31),-PMT('Interest Rate'!$J$16,'Incremental Repayments'!$I$31,(HLOOKUP($D74,$E$4:$CZ$32,28,FALSE)*'Incremental Repayments'!$I$22)),0),0)</f>
        <v>1147055.3141961431</v>
      </c>
      <c r="BG74" s="477">
        <f>IF('Incremental Repayments'!$R$22="Debt",IF(AND(BG$4&gt;=$D74,BG$4&lt;$D74+'Incremental Repayments'!$I$31),-PMT('Interest Rate'!$J$16,'Incremental Repayments'!$I$31,(HLOOKUP($D74,$E$4:$CZ$32,28,FALSE)*'Incremental Repayments'!$I$22)),0),0)</f>
        <v>1147055.3141961431</v>
      </c>
      <c r="BH74" s="477">
        <f>IF('Incremental Repayments'!$R$22="Debt",IF(AND(BH$4&gt;=$D74,BH$4&lt;$D74+'Incremental Repayments'!$I$31),-PMT('Interest Rate'!$J$16,'Incremental Repayments'!$I$31,(HLOOKUP($D74,$E$4:$CZ$32,28,FALSE)*'Incremental Repayments'!$I$22)),0),0)</f>
        <v>1147055.3141961431</v>
      </c>
      <c r="BI74" s="477">
        <f>IF('Incremental Repayments'!$R$22="Debt",IF(AND(BI$4&gt;=$D74,BI$4&lt;$D74+'Incremental Repayments'!$I$31),-PMT('Interest Rate'!$J$16,'Incremental Repayments'!$I$31,(HLOOKUP($D74,$E$4:$CZ$32,28,FALSE)*'Incremental Repayments'!$I$22)),0),0)</f>
        <v>1147055.3141961431</v>
      </c>
      <c r="BJ74" s="477">
        <f>IF('Incremental Repayments'!$R$22="Debt",IF(AND(BJ$4&gt;=$D74,BJ$4&lt;$D74+'Incremental Repayments'!$I$31),-PMT('Interest Rate'!$J$16,'Incremental Repayments'!$I$31,(HLOOKUP($D74,$E$4:$CZ$32,28,FALSE)*'Incremental Repayments'!$I$22)),0),0)</f>
        <v>1147055.3141961431</v>
      </c>
      <c r="BK74" s="477">
        <f>IF('Incremental Repayments'!$R$22="Debt",IF(AND(BK$4&gt;=$D74,BK$4&lt;$D74+'Incremental Repayments'!$I$31),-PMT('Interest Rate'!$J$16,'Incremental Repayments'!$I$31,(HLOOKUP($D74,$E$4:$CZ$32,28,FALSE)*'Incremental Repayments'!$I$22)),0),0)</f>
        <v>1147055.3141961431</v>
      </c>
      <c r="BL74" s="477">
        <f>IF('Incremental Repayments'!$R$22="Debt",IF(AND(BL$4&gt;=$D74,BL$4&lt;$D74+'Incremental Repayments'!$I$31),-PMT('Interest Rate'!$J$16,'Incremental Repayments'!$I$31,(HLOOKUP($D74,$E$4:$CZ$32,28,FALSE)*'Incremental Repayments'!$I$22)),0),0)</f>
        <v>1147055.3141961431</v>
      </c>
      <c r="BM74" s="477">
        <f>IF('Incremental Repayments'!$R$22="Debt",IF(AND(BM$4&gt;=$D74,BM$4&lt;$D74+'Incremental Repayments'!$I$31),-PMT('Interest Rate'!$J$16,'Incremental Repayments'!$I$31,(HLOOKUP($D74,$E$4:$CZ$32,28,FALSE)*'Incremental Repayments'!$I$22)),0),0)</f>
        <v>1147055.3141961431</v>
      </c>
      <c r="BN74" s="477">
        <f>IF('Incremental Repayments'!$R$22="Debt",IF(AND(BN$4&gt;=$D74,BN$4&lt;$D74+'Incremental Repayments'!$I$31),-PMT('Interest Rate'!$J$16,'Incremental Repayments'!$I$31,(HLOOKUP($D74,$E$4:$CZ$32,28,FALSE)*'Incremental Repayments'!$I$22)),0),0)</f>
        <v>1147055.3141961431</v>
      </c>
      <c r="BO74" s="477">
        <f>IF('Incremental Repayments'!$R$22="Debt",IF(AND(BO$4&gt;=$D74,BO$4&lt;$D74+'Incremental Repayments'!$I$31),-PMT('Interest Rate'!$J$16,'Incremental Repayments'!$I$31,(HLOOKUP($D74,$E$4:$CZ$32,28,FALSE)*'Incremental Repayments'!$I$22)),0),0)</f>
        <v>1147055.3141961431</v>
      </c>
      <c r="BP74" s="477">
        <f>IF('Incremental Repayments'!$R$22="Debt",IF(AND(BP$4&gt;=$D74,BP$4&lt;$D74+'Incremental Repayments'!$I$31),-PMT('Interest Rate'!$J$16,'Incremental Repayments'!$I$31,(HLOOKUP($D74,$E$4:$CZ$32,28,FALSE)*'Incremental Repayments'!$I$22)),0),0)</f>
        <v>1147055.3141961431</v>
      </c>
      <c r="BQ74" s="477">
        <f>IF('Incremental Repayments'!$R$22="Debt",IF(AND(BQ$4&gt;=$D74,BQ$4&lt;$D74+'Incremental Repayments'!$I$31),-PMT('Interest Rate'!$J$16,'Incremental Repayments'!$I$31,(HLOOKUP($D74,$E$4:$CZ$32,28,FALSE)*'Incremental Repayments'!$I$22)),0),0)</f>
        <v>1147055.3141961431</v>
      </c>
      <c r="BR74" s="477">
        <f>IF('Incremental Repayments'!$R$22="Debt",IF(AND(BR$4&gt;=$D74,BR$4&lt;$D74+'Incremental Repayments'!$I$31),-PMT('Interest Rate'!$J$16,'Incremental Repayments'!$I$31,(HLOOKUP($D74,$E$4:$CZ$32,28,FALSE)*'Incremental Repayments'!$I$22)),0),0)</f>
        <v>1147055.3141961431</v>
      </c>
      <c r="BS74" s="477">
        <f>IF('Incremental Repayments'!$R$22="Debt",IF(AND(BS$4&gt;=$D74,BS$4&lt;$D74+'Incremental Repayments'!$I$31),-PMT('Interest Rate'!$J$16,'Incremental Repayments'!$I$31,(HLOOKUP($D74,$E$4:$CZ$32,28,FALSE)*'Incremental Repayments'!$I$22)),0),0)</f>
        <v>1147055.3141961431</v>
      </c>
      <c r="BT74" s="477">
        <f>IF('Incremental Repayments'!$R$22="Debt",IF(AND(BT$4&gt;=$D74,BT$4&lt;$D74+'Incremental Repayments'!$I$31),-PMT('Interest Rate'!$J$16,'Incremental Repayments'!$I$31,(HLOOKUP($D74,$E$4:$CZ$32,28,FALSE)*'Incremental Repayments'!$I$22)),0),0)</f>
        <v>1147055.3141961431</v>
      </c>
      <c r="BU74" s="477">
        <f>IF('Incremental Repayments'!$R$22="Debt",IF(AND(BU$4&gt;=$D74,BU$4&lt;$D74+'Incremental Repayments'!$I$31),-PMT('Interest Rate'!$J$16,'Incremental Repayments'!$I$31,(HLOOKUP($D74,$E$4:$CZ$32,28,FALSE)*'Incremental Repayments'!$I$22)),0),0)</f>
        <v>0</v>
      </c>
      <c r="BV74" s="477">
        <f>IF('Incremental Repayments'!$R$22="Debt",IF(AND(BV$4&gt;=$D74,BV$4&lt;$D74+'Incremental Repayments'!$I$31),-PMT('Interest Rate'!$J$16,'Incremental Repayments'!$I$31,(HLOOKUP($D74,$E$4:$CZ$32,28,FALSE)*'Incremental Repayments'!$I$22)),0),0)</f>
        <v>0</v>
      </c>
      <c r="BW74" s="477">
        <f>IF('Incremental Repayments'!$R$22="Debt",IF(AND(BW$4&gt;=$D74,BW$4&lt;$D74+'Incremental Repayments'!$I$31),-PMT('Interest Rate'!$J$16,'Incremental Repayments'!$I$31,(HLOOKUP($D74,$E$4:$CZ$32,28,FALSE)*'Incremental Repayments'!$I$22)),0),0)</f>
        <v>0</v>
      </c>
      <c r="BX74" s="477">
        <f>IF('Incremental Repayments'!$R$22="Debt",IF(AND(BX$4&gt;=$D74,BX$4&lt;$D74+'Incremental Repayments'!$I$31),-PMT('Interest Rate'!$J$16,'Incremental Repayments'!$I$31,(HLOOKUP($D74,$E$4:$CZ$32,28,FALSE)*'Incremental Repayments'!$I$22)),0),0)</f>
        <v>0</v>
      </c>
      <c r="BY74" s="477">
        <f>IF('Incremental Repayments'!$R$22="Debt",IF(AND(BY$4&gt;=$D74,BY$4&lt;$D74+'Incremental Repayments'!$I$31),-PMT('Interest Rate'!$J$16,'Incremental Repayments'!$I$31,(HLOOKUP($D74,$E$4:$CZ$32,28,FALSE)*'Incremental Repayments'!$I$22)),0),0)</f>
        <v>0</v>
      </c>
      <c r="BZ74" s="477">
        <f>IF('Incremental Repayments'!$R$22="Debt",IF(AND(BZ$4&gt;=$D74,BZ$4&lt;$D74+'Incremental Repayments'!$I$31),-PMT('Interest Rate'!$J$16,'Incremental Repayments'!$I$31,(HLOOKUP($D74,$E$4:$CZ$32,28,FALSE)*'Incremental Repayments'!$I$22)),0),0)</f>
        <v>0</v>
      </c>
      <c r="CA74" s="477">
        <f>IF('Incremental Repayments'!$R$22="Debt",IF(AND(CA$4&gt;=$D74,CA$4&lt;$D74+'Incremental Repayments'!$I$31),-PMT('Interest Rate'!$J$16,'Incremental Repayments'!$I$31,(HLOOKUP($D74,$E$4:$CZ$32,28,FALSE)*'Incremental Repayments'!$I$22)),0),0)</f>
        <v>0</v>
      </c>
      <c r="CB74" s="477">
        <f>IF('Incremental Repayments'!$R$22="Debt",IF(AND(CB$4&gt;=$D74,CB$4&lt;$D74+'Incremental Repayments'!$I$31),-PMT('Interest Rate'!$J$16,'Incremental Repayments'!$I$31,(HLOOKUP($D74,$E$4:$CZ$32,28,FALSE)*'Incremental Repayments'!$I$22)),0),0)</f>
        <v>0</v>
      </c>
      <c r="CC74" s="477">
        <f>IF('Incremental Repayments'!$R$22="Debt",IF(AND(CC$4&gt;=$D74,CC$4&lt;$D74+'Incremental Repayments'!$I$31),-PMT('Interest Rate'!$J$16,'Incremental Repayments'!$I$31,(HLOOKUP($D74,$E$4:$CZ$32,28,FALSE)*'Incremental Repayments'!$I$22)),0),0)</f>
        <v>0</v>
      </c>
      <c r="CD74" s="477">
        <f>IF('Incremental Repayments'!$R$22="Debt",IF(AND(CD$4&gt;=$D74,CD$4&lt;$D74+'Incremental Repayments'!$I$31),-PMT('Interest Rate'!$J$16,'Incremental Repayments'!$I$31,(HLOOKUP($D74,$E$4:$CZ$32,28,FALSE)*'Incremental Repayments'!$I$22)),0),0)</f>
        <v>0</v>
      </c>
      <c r="CE74" s="477">
        <f>IF('Incremental Repayments'!$R$22="Debt",IF(AND(CE$4&gt;=$D74,CE$4&lt;$D74+'Incremental Repayments'!$I$31),-PMT('Interest Rate'!$J$16,'Incremental Repayments'!$I$31,(HLOOKUP($D74,$E$4:$CZ$32,28,FALSE)*'Incremental Repayments'!$I$22)),0),0)</f>
        <v>0</v>
      </c>
      <c r="CF74" s="477">
        <f>IF('Incremental Repayments'!$R$22="Debt",IF(AND(CF$4&gt;=$D74,CF$4&lt;$D74+'Incremental Repayments'!$I$31),-PMT('Interest Rate'!$J$16,'Incremental Repayments'!$I$31,(HLOOKUP($D74,$E$4:$CZ$32,28,FALSE)*'Incremental Repayments'!$I$22)),0),0)</f>
        <v>0</v>
      </c>
      <c r="CG74" s="477">
        <f>IF('Incremental Repayments'!$R$22="Debt",IF(AND(CG$4&gt;=$D74,CG$4&lt;$D74+'Incremental Repayments'!$I$31),-PMT('Interest Rate'!$J$16,'Incremental Repayments'!$I$31,(HLOOKUP($D74,$E$4:$CZ$32,28,FALSE)*'Incremental Repayments'!$I$22)),0),0)</f>
        <v>0</v>
      </c>
      <c r="CH74" s="477">
        <f>IF('Incremental Repayments'!$R$22="Debt",IF(AND(CH$4&gt;=$D74,CH$4&lt;$D74+'Incremental Repayments'!$I$31),-PMT('Interest Rate'!$J$16,'Incremental Repayments'!$I$31,(HLOOKUP($D74,$E$4:$CZ$32,28,FALSE)*'Incremental Repayments'!$I$22)),0),0)</f>
        <v>0</v>
      </c>
      <c r="CI74" s="477">
        <f>IF('Incremental Repayments'!$R$22="Debt",IF(AND(CI$4&gt;=$D74,CI$4&lt;$D74+'Incremental Repayments'!$I$31),-PMT('Interest Rate'!$J$16,'Incremental Repayments'!$I$31,(HLOOKUP($D74,$E$4:$CZ$32,28,FALSE)*'Incremental Repayments'!$I$22)),0),0)</f>
        <v>0</v>
      </c>
      <c r="CJ74" s="477">
        <f>IF('Incremental Repayments'!$R$22="Debt",IF(AND(CJ$4&gt;=$D74,CJ$4&lt;$D74+'Incremental Repayments'!$I$31),-PMT('Interest Rate'!$J$16,'Incremental Repayments'!$I$31,(HLOOKUP($D74,$E$4:$CZ$32,28,FALSE)*'Incremental Repayments'!$I$22)),0),0)</f>
        <v>0</v>
      </c>
      <c r="CK74" s="477">
        <f>IF('Incremental Repayments'!$R$22="Debt",IF(AND(CK$4&gt;=$D74,CK$4&lt;$D74+'Incremental Repayments'!$I$31),-PMT('Interest Rate'!$J$16,'Incremental Repayments'!$I$31,(HLOOKUP($D74,$E$4:$CZ$32,28,FALSE)*'Incremental Repayments'!$I$22)),0),0)</f>
        <v>0</v>
      </c>
      <c r="CL74" s="477">
        <f>IF('Incremental Repayments'!$R$22="Debt",IF(AND(CL$4&gt;=$D74,CL$4&lt;$D74+'Incremental Repayments'!$I$31),-PMT('Interest Rate'!$J$16,'Incremental Repayments'!$I$31,(HLOOKUP($D74,$E$4:$CZ$32,28,FALSE)*'Incremental Repayments'!$I$22)),0),0)</f>
        <v>0</v>
      </c>
      <c r="CM74" s="477">
        <f>IF('Incremental Repayments'!$R$22="Debt",IF(AND(CM$4&gt;=$D74,CM$4&lt;$D74+'Incremental Repayments'!$I$31),-PMT('Interest Rate'!$J$16,'Incremental Repayments'!$I$31,(HLOOKUP($D74,$E$4:$CZ$32,28,FALSE)*'Incremental Repayments'!$I$22)),0),0)</f>
        <v>0</v>
      </c>
      <c r="CN74" s="477">
        <f>IF('Incremental Repayments'!$R$22="Debt",IF(AND(CN$4&gt;=$D74,CN$4&lt;$D74+'Incremental Repayments'!$I$31),-PMT('Interest Rate'!$J$16,'Incremental Repayments'!$I$31,(HLOOKUP($D74,$E$4:$CZ$32,28,FALSE)*'Incremental Repayments'!$I$22)),0),0)</f>
        <v>0</v>
      </c>
      <c r="CO74" s="477">
        <f>IF('Incremental Repayments'!$R$22="Debt",IF(AND(CO$4&gt;=$D74,CO$4&lt;$D74+'Incremental Repayments'!$I$31),-PMT('Interest Rate'!$J$16,'Incremental Repayments'!$I$31,(HLOOKUP($D74,$E$4:$CZ$32,28,FALSE)*'Incremental Repayments'!$I$22)),0),0)</f>
        <v>0</v>
      </c>
      <c r="CP74" s="477">
        <f>IF('Incremental Repayments'!$R$22="Debt",IF(AND(CP$4&gt;=$D74,CP$4&lt;$D74+'Incremental Repayments'!$I$31),-PMT('Interest Rate'!$J$16,'Incremental Repayments'!$I$31,(HLOOKUP($D74,$E$4:$CZ$32,28,FALSE)*'Incremental Repayments'!$I$22)),0),0)</f>
        <v>0</v>
      </c>
      <c r="CQ74" s="477">
        <f>IF('Incremental Repayments'!$R$22="Debt",IF(AND(CQ$4&gt;=$D74,CQ$4&lt;$D74+'Incremental Repayments'!$I$31),-PMT('Interest Rate'!$J$16,'Incremental Repayments'!$I$31,(HLOOKUP($D74,$E$4:$CZ$32,28,FALSE)*'Incremental Repayments'!$I$22)),0),0)</f>
        <v>0</v>
      </c>
      <c r="CR74" s="477">
        <f>IF('Incremental Repayments'!$R$22="Debt",IF(AND(CR$4&gt;=$D74,CR$4&lt;$D74+'Incremental Repayments'!$I$31),-PMT('Interest Rate'!$J$16,'Incremental Repayments'!$I$31,(HLOOKUP($D74,$E$4:$CZ$32,28,FALSE)*'Incremental Repayments'!$I$22)),0),0)</f>
        <v>0</v>
      </c>
      <c r="CS74" s="477">
        <f>IF('Incremental Repayments'!$R$22="Debt",IF(AND(CS$4&gt;=$D74,CS$4&lt;$D74+'Incremental Repayments'!$I$31),-PMT('Interest Rate'!$J$16,'Incremental Repayments'!$I$31,(HLOOKUP($D74,$E$4:$CZ$32,28,FALSE)*'Incremental Repayments'!$I$22)),0),0)</f>
        <v>0</v>
      </c>
      <c r="CT74" s="477">
        <f>IF('Incremental Repayments'!$R$22="Debt",IF(AND(CT$4&gt;=$D74,CT$4&lt;$D74+'Incremental Repayments'!$I$31),-PMT('Interest Rate'!$J$16,'Incremental Repayments'!$I$31,(HLOOKUP($D74,$E$4:$CZ$32,28,FALSE)*'Incremental Repayments'!$I$22)),0),0)</f>
        <v>0</v>
      </c>
      <c r="CU74" s="477">
        <f>IF('Incremental Repayments'!$R$22="Debt",IF(AND(CU$4&gt;=$D74,CU$4&lt;$D74+'Incremental Repayments'!$I$31),-PMT('Interest Rate'!$J$16,'Incremental Repayments'!$I$31,(HLOOKUP($D74,$E$4:$CZ$32,28,FALSE)*'Incremental Repayments'!$I$22)),0),0)</f>
        <v>0</v>
      </c>
      <c r="CV74" s="477">
        <f>IF('Incremental Repayments'!$R$22="Debt",IF(AND(CV$4&gt;=$D74,CV$4&lt;$D74+'Incremental Repayments'!$I$31),-PMT('Interest Rate'!$J$16,'Incremental Repayments'!$I$31,(HLOOKUP($D74,$E$4:$CZ$32,28,FALSE)*'Incremental Repayments'!$I$22)),0),0)</f>
        <v>0</v>
      </c>
      <c r="CW74" s="477">
        <f>IF('Incremental Repayments'!$R$22="Debt",IF(AND(CW$4&gt;=$D74,CW$4&lt;$D74+'Incremental Repayments'!$I$31),-PMT('Interest Rate'!$J$16,'Incremental Repayments'!$I$31,(HLOOKUP($D74,$E$4:$CZ$32,28,FALSE)*'Incremental Repayments'!$I$22)),0),0)</f>
        <v>0</v>
      </c>
      <c r="CX74" s="477">
        <f>IF('Incremental Repayments'!$R$22="Debt",IF(AND(CX$4&gt;=$D74,CX$4&lt;$D74+'Incremental Repayments'!$I$31),-PMT('Interest Rate'!$J$16,'Incremental Repayments'!$I$31,(HLOOKUP($D74,$E$4:$CZ$32,28,FALSE)*'Incremental Repayments'!$I$22)),0),0)</f>
        <v>0</v>
      </c>
      <c r="CY74" s="477">
        <f>IF('Incremental Repayments'!$R$22="Debt",IF(AND(CY$4&gt;=$D74,CY$4&lt;$D74+'Incremental Repayments'!$I$31),-PMT('Interest Rate'!$J$16,'Incremental Repayments'!$I$31,(HLOOKUP($D74,$E$4:$CZ$32,28,FALSE)*'Incremental Repayments'!$I$22)),0),0)</f>
        <v>0</v>
      </c>
      <c r="CZ74" s="477">
        <f>IF('Incremental Repayments'!$R$22="Debt",IF(AND(CZ$4&gt;=$D74,CZ$4&lt;$D74+'Incremental Repayments'!$I$31),-PMT('Interest Rate'!$J$16,'Incremental Repayments'!$I$31,(HLOOKUP($D74,$E$4:$CZ$32,28,FALSE)*'Incremental Repayments'!$I$22)),0),0)</f>
        <v>0</v>
      </c>
    </row>
    <row r="75" spans="2:104" x14ac:dyDescent="0.25">
      <c r="B75" s="480" t="str">
        <f>CONCATENATE("Series ",D75,"A Bonds (at ",'Interest Rate'!$J$16*100,"% Interest)")</f>
        <v>Series 2053A Bonds (at 4.5% Interest)</v>
      </c>
      <c r="C75" s="480"/>
      <c r="D75" s="492">
        <f t="shared" si="493"/>
        <v>2053</v>
      </c>
      <c r="E75" s="477">
        <f>IF('Incremental Repayments'!$R$22="Debt",IF(AND(E$4&gt;=$D75,E$4&lt;$D75+'Incremental Repayments'!$I$31),-PMT('Interest Rate'!$J$16,'Incremental Repayments'!$I$31,(HLOOKUP($D75,$E$4:$CZ$32,28,FALSE)*'Incremental Repayments'!$I$22)),0),0)</f>
        <v>0</v>
      </c>
      <c r="F75" s="477">
        <f>IF('Incremental Repayments'!$R$22="Debt",IF(AND(F$4&gt;=$D75,F$4&lt;$D75+'Incremental Repayments'!$I$31),-PMT('Interest Rate'!$J$16,'Incremental Repayments'!$I$31,(HLOOKUP($D75,$E$4:$CZ$32,28,FALSE)*'Incremental Repayments'!$I$22)),0),0)</f>
        <v>0</v>
      </c>
      <c r="G75" s="477">
        <f>IF('Incremental Repayments'!$R$22="Debt",IF(AND(G$4&gt;=$D75,G$4&lt;$D75+'Incremental Repayments'!$I$31),-PMT('Interest Rate'!$J$16,'Incremental Repayments'!$I$31,(HLOOKUP($D75,$E$4:$CZ$32,28,FALSE)*'Incremental Repayments'!$I$22)),0),0)</f>
        <v>0</v>
      </c>
      <c r="H75" s="477">
        <f>IF('Incremental Repayments'!$R$22="Debt",IF(AND(H$4&gt;=$D75,H$4&lt;$D75+'Incremental Repayments'!$I$31),-PMT('Interest Rate'!$J$16,'Incremental Repayments'!$I$31,(HLOOKUP($D75,$E$4:$CZ$32,28,FALSE)*'Incremental Repayments'!$I$22)),0),0)</f>
        <v>0</v>
      </c>
      <c r="I75" s="477">
        <f>IF('Incremental Repayments'!$R$22="Debt",IF(AND(I$4&gt;=$D75,I$4&lt;$D75+'Incremental Repayments'!$I$31),-PMT('Interest Rate'!$J$16,'Incremental Repayments'!$I$31,(HLOOKUP($D75,$E$4:$CZ$32,28,FALSE)*'Incremental Repayments'!$I$22)),0),0)</f>
        <v>0</v>
      </c>
      <c r="J75" s="477">
        <f>IF('Incremental Repayments'!$R$22="Debt",IF(AND(J$4&gt;=$D75,J$4&lt;$D75+'Incremental Repayments'!$I$31),-PMT('Interest Rate'!$J$16,'Incremental Repayments'!$I$31,(HLOOKUP($D75,$E$4:$CZ$32,28,FALSE)*'Incremental Repayments'!$I$22)),0),0)</f>
        <v>0</v>
      </c>
      <c r="K75" s="477">
        <f>IF('Incremental Repayments'!$R$22="Debt",IF(AND(K$4&gt;=$D75,K$4&lt;$D75+'Incremental Repayments'!$I$31),-PMT('Interest Rate'!$J$16,'Incremental Repayments'!$I$31,(HLOOKUP($D75,$E$4:$CZ$32,28,FALSE)*'Incremental Repayments'!$I$22)),0),0)</f>
        <v>0</v>
      </c>
      <c r="L75" s="477">
        <f>IF('Incremental Repayments'!$R$22="Debt",IF(AND(L$4&gt;=$D75,L$4&lt;$D75+'Incremental Repayments'!$I$31),-PMT('Interest Rate'!$J$16,'Incremental Repayments'!$I$31,(HLOOKUP($D75,$E$4:$CZ$32,28,FALSE)*'Incremental Repayments'!$I$22)),0),0)</f>
        <v>0</v>
      </c>
      <c r="M75" s="477">
        <f>IF('Incremental Repayments'!$R$22="Debt",IF(AND(M$4&gt;=$D75,M$4&lt;$D75+'Incremental Repayments'!$I$31),-PMT('Interest Rate'!$J$16,'Incremental Repayments'!$I$31,(HLOOKUP($D75,$E$4:$CZ$32,28,FALSE)*'Incremental Repayments'!$I$22)),0),0)</f>
        <v>0</v>
      </c>
      <c r="N75" s="477">
        <f>IF('Incremental Repayments'!$R$22="Debt",IF(AND(N$4&gt;=$D75,N$4&lt;$D75+'Incremental Repayments'!$I$31),-PMT('Interest Rate'!$J$16,'Incremental Repayments'!$I$31,(HLOOKUP($D75,$E$4:$CZ$32,28,FALSE)*'Incremental Repayments'!$I$22)),0),0)</f>
        <v>0</v>
      </c>
      <c r="O75" s="477">
        <f>IF('Incremental Repayments'!$R$22="Debt",IF(AND(O$4&gt;=$D75,O$4&lt;$D75+'Incremental Repayments'!$I$31),-PMT('Interest Rate'!$J$16,'Incremental Repayments'!$I$31,(HLOOKUP($D75,$E$4:$CZ$32,28,FALSE)*'Incremental Repayments'!$I$22)),0),0)</f>
        <v>0</v>
      </c>
      <c r="P75" s="477">
        <f>IF('Incremental Repayments'!$R$22="Debt",IF(AND(P$4&gt;=$D75,P$4&lt;$D75+'Incremental Repayments'!$I$31),-PMT('Interest Rate'!$J$16,'Incremental Repayments'!$I$31,(HLOOKUP($D75,$E$4:$CZ$32,28,FALSE)*'Incremental Repayments'!$I$22)),0),0)</f>
        <v>0</v>
      </c>
      <c r="Q75" s="477">
        <f>IF('Incremental Repayments'!$R$22="Debt",IF(AND(Q$4&gt;=$D75,Q$4&lt;$D75+'Incremental Repayments'!$I$31),-PMT('Interest Rate'!$J$16,'Incremental Repayments'!$I$31,(HLOOKUP($D75,$E$4:$CZ$32,28,FALSE)*'Incremental Repayments'!$I$22)),0),0)</f>
        <v>0</v>
      </c>
      <c r="R75" s="477">
        <f>IF('Incremental Repayments'!$R$22="Debt",IF(AND(R$4&gt;=$D75,R$4&lt;$D75+'Incremental Repayments'!$I$31),-PMT('Interest Rate'!$J$16,'Incremental Repayments'!$I$31,(HLOOKUP($D75,$E$4:$CZ$32,28,FALSE)*'Incremental Repayments'!$I$22)),0),0)</f>
        <v>0</v>
      </c>
      <c r="S75" s="477">
        <f>IF('Incremental Repayments'!$R$22="Debt",IF(AND(S$4&gt;=$D75,S$4&lt;$D75+'Incremental Repayments'!$I$31),-PMT('Interest Rate'!$J$16,'Incremental Repayments'!$I$31,(HLOOKUP($D75,$E$4:$CZ$32,28,FALSE)*'Incremental Repayments'!$I$22)),0),0)</f>
        <v>0</v>
      </c>
      <c r="T75" s="477">
        <f>IF('Incremental Repayments'!$R$22="Debt",IF(AND(T$4&gt;=$D75,T$4&lt;$D75+'Incremental Repayments'!$I$31),-PMT('Interest Rate'!$J$16,'Incremental Repayments'!$I$31,(HLOOKUP($D75,$E$4:$CZ$32,28,FALSE)*'Incremental Repayments'!$I$22)),0),0)</f>
        <v>0</v>
      </c>
      <c r="U75" s="477">
        <f>IF('Incremental Repayments'!$R$22="Debt",IF(AND(U$4&gt;=$D75,U$4&lt;$D75+'Incremental Repayments'!$I$31),-PMT('Interest Rate'!$J$16,'Incremental Repayments'!$I$31,(HLOOKUP($D75,$E$4:$CZ$32,28,FALSE)*'Incremental Repayments'!$I$22)),0),0)</f>
        <v>0</v>
      </c>
      <c r="V75" s="477">
        <f>IF('Incremental Repayments'!$R$22="Debt",IF(AND(V$4&gt;=$D75,V$4&lt;$D75+'Incremental Repayments'!$I$31),-PMT('Interest Rate'!$J$16,'Incremental Repayments'!$I$31,(HLOOKUP($D75,$E$4:$CZ$32,28,FALSE)*'Incremental Repayments'!$I$22)),0),0)</f>
        <v>0</v>
      </c>
      <c r="W75" s="477">
        <f>IF('Incremental Repayments'!$R$22="Debt",IF(AND(W$4&gt;=$D75,W$4&lt;$D75+'Incremental Repayments'!$I$31),-PMT('Interest Rate'!$J$16,'Incremental Repayments'!$I$31,(HLOOKUP($D75,$E$4:$CZ$32,28,FALSE)*'Incremental Repayments'!$I$22)),0),0)</f>
        <v>0</v>
      </c>
      <c r="X75" s="477">
        <f>IF('Incremental Repayments'!$R$22="Debt",IF(AND(X$4&gt;=$D75,X$4&lt;$D75+'Incremental Repayments'!$I$31),-PMT('Interest Rate'!$J$16,'Incremental Repayments'!$I$31,(HLOOKUP($D75,$E$4:$CZ$32,28,FALSE)*'Incremental Repayments'!$I$22)),0),0)</f>
        <v>0</v>
      </c>
      <c r="Y75" s="477">
        <f>IF('Incremental Repayments'!$R$22="Debt",IF(AND(Y$4&gt;=$D75,Y$4&lt;$D75+'Incremental Repayments'!$I$31),-PMT('Interest Rate'!$J$16,'Incremental Repayments'!$I$31,(HLOOKUP($D75,$E$4:$CZ$32,28,FALSE)*'Incremental Repayments'!$I$22)),0),0)</f>
        <v>0</v>
      </c>
      <c r="Z75" s="477">
        <f>IF('Incremental Repayments'!$R$22="Debt",IF(AND(Z$4&gt;=$D75,Z$4&lt;$D75+'Incremental Repayments'!$I$31),-PMT('Interest Rate'!$J$16,'Incremental Repayments'!$I$31,(HLOOKUP($D75,$E$4:$CZ$32,28,FALSE)*'Incremental Repayments'!$I$22)),0),0)</f>
        <v>0</v>
      </c>
      <c r="AA75" s="477">
        <f>IF('Incremental Repayments'!$R$22="Debt",IF(AND(AA$4&gt;=$D75,AA$4&lt;$D75+'Incremental Repayments'!$I$31),-PMT('Interest Rate'!$J$16,'Incremental Repayments'!$I$31,(HLOOKUP($D75,$E$4:$CZ$32,28,FALSE)*'Incremental Repayments'!$I$22)),0),0)</f>
        <v>0</v>
      </c>
      <c r="AB75" s="477">
        <f>IF('Incremental Repayments'!$R$22="Debt",IF(AND(AB$4&gt;=$D75,AB$4&lt;$D75+'Incremental Repayments'!$I$31),-PMT('Interest Rate'!$J$16,'Incremental Repayments'!$I$31,(HLOOKUP($D75,$E$4:$CZ$32,28,FALSE)*'Incremental Repayments'!$I$22)),0),0)</f>
        <v>0</v>
      </c>
      <c r="AC75" s="477">
        <f>IF('Incremental Repayments'!$R$22="Debt",IF(AND(AC$4&gt;=$D75,AC$4&lt;$D75+'Incremental Repayments'!$I$31),-PMT('Interest Rate'!$J$16,'Incremental Repayments'!$I$31,(HLOOKUP($D75,$E$4:$CZ$32,28,FALSE)*'Incremental Repayments'!$I$22)),0),0)</f>
        <v>0</v>
      </c>
      <c r="AD75" s="477">
        <f>IF('Incremental Repayments'!$R$22="Debt",IF(AND(AD$4&gt;=$D75,AD$4&lt;$D75+'Incremental Repayments'!$I$31),-PMT('Interest Rate'!$J$16,'Incremental Repayments'!$I$31,(HLOOKUP($D75,$E$4:$CZ$32,28,FALSE)*'Incremental Repayments'!$I$22)),0),0)</f>
        <v>0</v>
      </c>
      <c r="AE75" s="477">
        <f>IF('Incremental Repayments'!$R$22="Debt",IF(AND(AE$4&gt;=$D75,AE$4&lt;$D75+'Incremental Repayments'!$I$31),-PMT('Interest Rate'!$J$16,'Incremental Repayments'!$I$31,(HLOOKUP($D75,$E$4:$CZ$32,28,FALSE)*'Incremental Repayments'!$I$22)),0),0)</f>
        <v>0</v>
      </c>
      <c r="AF75" s="477">
        <f>IF('Incremental Repayments'!$R$22="Debt",IF(AND(AF$4&gt;=$D75,AF$4&lt;$D75+'Incremental Repayments'!$I$31),-PMT('Interest Rate'!$J$16,'Incremental Repayments'!$I$31,(HLOOKUP($D75,$E$4:$CZ$32,28,FALSE)*'Incremental Repayments'!$I$22)),0),0)</f>
        <v>0</v>
      </c>
      <c r="AG75" s="477">
        <f>IF('Incremental Repayments'!$R$22="Debt",IF(AND(AG$4&gt;=$D75,AG$4&lt;$D75+'Incremental Repayments'!$I$31),-PMT('Interest Rate'!$J$16,'Incremental Repayments'!$I$31,(HLOOKUP($D75,$E$4:$CZ$32,28,FALSE)*'Incremental Repayments'!$I$22)),0),0)</f>
        <v>0</v>
      </c>
      <c r="AH75" s="477">
        <f>IF('Incremental Repayments'!$R$22="Debt",IF(AND(AH$4&gt;=$D75,AH$4&lt;$D75+'Incremental Repayments'!$I$31),-PMT('Interest Rate'!$J$16,'Incremental Repayments'!$I$31,(HLOOKUP($D75,$E$4:$CZ$32,28,FALSE)*'Incremental Repayments'!$I$22)),0),0)</f>
        <v>0</v>
      </c>
      <c r="AI75" s="477">
        <f>IF('Incremental Repayments'!$R$22="Debt",IF(AND(AI$4&gt;=$D75,AI$4&lt;$D75+'Incremental Repayments'!$I$31),-PMT('Interest Rate'!$J$16,'Incremental Repayments'!$I$31,(HLOOKUP($D75,$E$4:$CZ$32,28,FALSE)*'Incremental Repayments'!$I$22)),0),0)</f>
        <v>0</v>
      </c>
      <c r="AJ75" s="477">
        <f>IF('Incremental Repayments'!$R$22="Debt",IF(AND(AJ$4&gt;=$D75,AJ$4&lt;$D75+'Incremental Repayments'!$I$31),-PMT('Interest Rate'!$J$16,'Incremental Repayments'!$I$31,(HLOOKUP($D75,$E$4:$CZ$32,28,FALSE)*'Incremental Repayments'!$I$22)),0),0)</f>
        <v>0</v>
      </c>
      <c r="AK75" s="477">
        <f>IF('Incremental Repayments'!$R$22="Debt",IF(AND(AK$4&gt;=$D75,AK$4&lt;$D75+'Incremental Repayments'!$I$31),-PMT('Interest Rate'!$J$16,'Incremental Repayments'!$I$31,(HLOOKUP($D75,$E$4:$CZ$32,28,FALSE)*'Incremental Repayments'!$I$22)),0),0)</f>
        <v>0</v>
      </c>
      <c r="AL75" s="477">
        <f>IF('Incremental Repayments'!$R$22="Debt",IF(AND(AL$4&gt;=$D75,AL$4&lt;$D75+'Incremental Repayments'!$I$31),-PMT('Interest Rate'!$J$16,'Incremental Repayments'!$I$31,(HLOOKUP($D75,$E$4:$CZ$32,28,FALSE)*'Incremental Repayments'!$I$22)),0),0)</f>
        <v>0</v>
      </c>
      <c r="AM75" s="477">
        <f>IF('Incremental Repayments'!$R$22="Debt",IF(AND(AM$4&gt;=$D75,AM$4&lt;$D75+'Incremental Repayments'!$I$31),-PMT('Interest Rate'!$J$16,'Incremental Repayments'!$I$31,(HLOOKUP($D75,$E$4:$CZ$32,28,FALSE)*'Incremental Repayments'!$I$22)),0),0)</f>
        <v>0</v>
      </c>
      <c r="AN75" s="477">
        <f>IF('Incremental Repayments'!$R$22="Debt",IF(AND(AN$4&gt;=$D75,AN$4&lt;$D75+'Incremental Repayments'!$I$31),-PMT('Interest Rate'!$J$16,'Incremental Repayments'!$I$31,(HLOOKUP($D75,$E$4:$CZ$32,28,FALSE)*'Incremental Repayments'!$I$22)),0),0)</f>
        <v>0</v>
      </c>
      <c r="AO75" s="477">
        <f>IF('Incremental Repayments'!$R$22="Debt",IF(AND(AO$4&gt;=$D75,AO$4&lt;$D75+'Incremental Repayments'!$I$31),-PMT('Interest Rate'!$J$16,'Incremental Repayments'!$I$31,(HLOOKUP($D75,$E$4:$CZ$32,28,FALSE)*'Incremental Repayments'!$I$22)),0),0)</f>
        <v>0</v>
      </c>
      <c r="AP75" s="477">
        <f>IF('Incremental Repayments'!$R$22="Debt",IF(AND(AP$4&gt;=$D75,AP$4&lt;$D75+'Incremental Repayments'!$I$31),-PMT('Interest Rate'!$J$16,'Incremental Repayments'!$I$31,(HLOOKUP($D75,$E$4:$CZ$32,28,FALSE)*'Incremental Repayments'!$I$22)),0),0)</f>
        <v>0</v>
      </c>
      <c r="AQ75" s="477">
        <f>IF('Incremental Repayments'!$R$22="Debt",IF(AND(AQ$4&gt;=$D75,AQ$4&lt;$D75+'Incremental Repayments'!$I$31),-PMT('Interest Rate'!$J$16,'Incremental Repayments'!$I$31,(HLOOKUP($D75,$E$4:$CZ$32,28,FALSE)*'Incremental Repayments'!$I$22)),0),0)</f>
        <v>0</v>
      </c>
      <c r="AR75" s="477">
        <f>IF('Incremental Repayments'!$R$22="Debt",IF(AND(AR$4&gt;=$D75,AR$4&lt;$D75+'Incremental Repayments'!$I$31),-PMT('Interest Rate'!$J$16,'Incremental Repayments'!$I$31,(HLOOKUP($D75,$E$4:$CZ$32,28,FALSE)*'Incremental Repayments'!$I$22)),0),0)</f>
        <v>1179746.3906507397</v>
      </c>
      <c r="AS75" s="477">
        <f>IF('Incremental Repayments'!$R$22="Debt",IF(AND(AS$4&gt;=$D75,AS$4&lt;$D75+'Incremental Repayments'!$I$31),-PMT('Interest Rate'!$J$16,'Incremental Repayments'!$I$31,(HLOOKUP($D75,$E$4:$CZ$32,28,FALSE)*'Incremental Repayments'!$I$22)),0),0)</f>
        <v>1179746.3906507397</v>
      </c>
      <c r="AT75" s="477">
        <f>IF('Incremental Repayments'!$R$22="Debt",IF(AND(AT$4&gt;=$D75,AT$4&lt;$D75+'Incremental Repayments'!$I$31),-PMT('Interest Rate'!$J$16,'Incremental Repayments'!$I$31,(HLOOKUP($D75,$E$4:$CZ$32,28,FALSE)*'Incremental Repayments'!$I$22)),0),0)</f>
        <v>1179746.3906507397</v>
      </c>
      <c r="AU75" s="477">
        <f>IF('Incremental Repayments'!$R$22="Debt",IF(AND(AU$4&gt;=$D75,AU$4&lt;$D75+'Incremental Repayments'!$I$31),-PMT('Interest Rate'!$J$16,'Incremental Repayments'!$I$31,(HLOOKUP($D75,$E$4:$CZ$32,28,FALSE)*'Incremental Repayments'!$I$22)),0),0)</f>
        <v>1179746.3906507397</v>
      </c>
      <c r="AV75" s="477">
        <f>IF('Incremental Repayments'!$R$22="Debt",IF(AND(AV$4&gt;=$D75,AV$4&lt;$D75+'Incremental Repayments'!$I$31),-PMT('Interest Rate'!$J$16,'Incremental Repayments'!$I$31,(HLOOKUP($D75,$E$4:$CZ$32,28,FALSE)*'Incremental Repayments'!$I$22)),0),0)</f>
        <v>1179746.3906507397</v>
      </c>
      <c r="AW75" s="477">
        <f>IF('Incremental Repayments'!$R$22="Debt",IF(AND(AW$4&gt;=$D75,AW$4&lt;$D75+'Incremental Repayments'!$I$31),-PMT('Interest Rate'!$J$16,'Incremental Repayments'!$I$31,(HLOOKUP($D75,$E$4:$CZ$32,28,FALSE)*'Incremental Repayments'!$I$22)),0),0)</f>
        <v>1179746.3906507397</v>
      </c>
      <c r="AX75" s="477">
        <f>IF('Incremental Repayments'!$R$22="Debt",IF(AND(AX$4&gt;=$D75,AX$4&lt;$D75+'Incremental Repayments'!$I$31),-PMT('Interest Rate'!$J$16,'Incremental Repayments'!$I$31,(HLOOKUP($D75,$E$4:$CZ$32,28,FALSE)*'Incremental Repayments'!$I$22)),0),0)</f>
        <v>1179746.3906507397</v>
      </c>
      <c r="AY75" s="477">
        <f>IF('Incremental Repayments'!$R$22="Debt",IF(AND(AY$4&gt;=$D75,AY$4&lt;$D75+'Incremental Repayments'!$I$31),-PMT('Interest Rate'!$J$16,'Incremental Repayments'!$I$31,(HLOOKUP($D75,$E$4:$CZ$32,28,FALSE)*'Incremental Repayments'!$I$22)),0),0)</f>
        <v>1179746.3906507397</v>
      </c>
      <c r="AZ75" s="477">
        <f>IF('Incremental Repayments'!$R$22="Debt",IF(AND(AZ$4&gt;=$D75,AZ$4&lt;$D75+'Incremental Repayments'!$I$31),-PMT('Interest Rate'!$J$16,'Incremental Repayments'!$I$31,(HLOOKUP($D75,$E$4:$CZ$32,28,FALSE)*'Incremental Repayments'!$I$22)),0),0)</f>
        <v>1179746.3906507397</v>
      </c>
      <c r="BA75" s="477">
        <f>IF('Incremental Repayments'!$R$22="Debt",IF(AND(BA$4&gt;=$D75,BA$4&lt;$D75+'Incremental Repayments'!$I$31),-PMT('Interest Rate'!$J$16,'Incremental Repayments'!$I$31,(HLOOKUP($D75,$E$4:$CZ$32,28,FALSE)*'Incremental Repayments'!$I$22)),0),0)</f>
        <v>1179746.3906507397</v>
      </c>
      <c r="BB75" s="477">
        <f>IF('Incremental Repayments'!$R$22="Debt",IF(AND(BB$4&gt;=$D75,BB$4&lt;$D75+'Incremental Repayments'!$I$31),-PMT('Interest Rate'!$J$16,'Incremental Repayments'!$I$31,(HLOOKUP($D75,$E$4:$CZ$32,28,FALSE)*'Incremental Repayments'!$I$22)),0),0)</f>
        <v>1179746.3906507397</v>
      </c>
      <c r="BC75" s="477">
        <f>IF('Incremental Repayments'!$R$22="Debt",IF(AND(BC$4&gt;=$D75,BC$4&lt;$D75+'Incremental Repayments'!$I$31),-PMT('Interest Rate'!$J$16,'Incremental Repayments'!$I$31,(HLOOKUP($D75,$E$4:$CZ$32,28,FALSE)*'Incremental Repayments'!$I$22)),0),0)</f>
        <v>1179746.3906507397</v>
      </c>
      <c r="BD75" s="477">
        <f>IF('Incremental Repayments'!$R$22="Debt",IF(AND(BD$4&gt;=$D75,BD$4&lt;$D75+'Incremental Repayments'!$I$31),-PMT('Interest Rate'!$J$16,'Incremental Repayments'!$I$31,(HLOOKUP($D75,$E$4:$CZ$32,28,FALSE)*'Incremental Repayments'!$I$22)),0),0)</f>
        <v>1179746.3906507397</v>
      </c>
      <c r="BE75" s="477">
        <f>IF('Incremental Repayments'!$R$22="Debt",IF(AND(BE$4&gt;=$D75,BE$4&lt;$D75+'Incremental Repayments'!$I$31),-PMT('Interest Rate'!$J$16,'Incremental Repayments'!$I$31,(HLOOKUP($D75,$E$4:$CZ$32,28,FALSE)*'Incremental Repayments'!$I$22)),0),0)</f>
        <v>1179746.3906507397</v>
      </c>
      <c r="BF75" s="477">
        <f>IF('Incremental Repayments'!$R$22="Debt",IF(AND(BF$4&gt;=$D75,BF$4&lt;$D75+'Incremental Repayments'!$I$31),-PMT('Interest Rate'!$J$16,'Incremental Repayments'!$I$31,(HLOOKUP($D75,$E$4:$CZ$32,28,FALSE)*'Incremental Repayments'!$I$22)),0),0)</f>
        <v>1179746.3906507397</v>
      </c>
      <c r="BG75" s="477">
        <f>IF('Incremental Repayments'!$R$22="Debt",IF(AND(BG$4&gt;=$D75,BG$4&lt;$D75+'Incremental Repayments'!$I$31),-PMT('Interest Rate'!$J$16,'Incremental Repayments'!$I$31,(HLOOKUP($D75,$E$4:$CZ$32,28,FALSE)*'Incremental Repayments'!$I$22)),0),0)</f>
        <v>1179746.3906507397</v>
      </c>
      <c r="BH75" s="477">
        <f>IF('Incremental Repayments'!$R$22="Debt",IF(AND(BH$4&gt;=$D75,BH$4&lt;$D75+'Incremental Repayments'!$I$31),-PMT('Interest Rate'!$J$16,'Incremental Repayments'!$I$31,(HLOOKUP($D75,$E$4:$CZ$32,28,FALSE)*'Incremental Repayments'!$I$22)),0),0)</f>
        <v>1179746.3906507397</v>
      </c>
      <c r="BI75" s="477">
        <f>IF('Incremental Repayments'!$R$22="Debt",IF(AND(BI$4&gt;=$D75,BI$4&lt;$D75+'Incremental Repayments'!$I$31),-PMT('Interest Rate'!$J$16,'Incremental Repayments'!$I$31,(HLOOKUP($D75,$E$4:$CZ$32,28,FALSE)*'Incremental Repayments'!$I$22)),0),0)</f>
        <v>1179746.3906507397</v>
      </c>
      <c r="BJ75" s="477">
        <f>IF('Incremental Repayments'!$R$22="Debt",IF(AND(BJ$4&gt;=$D75,BJ$4&lt;$D75+'Incremental Repayments'!$I$31),-PMT('Interest Rate'!$J$16,'Incremental Repayments'!$I$31,(HLOOKUP($D75,$E$4:$CZ$32,28,FALSE)*'Incremental Repayments'!$I$22)),0),0)</f>
        <v>1179746.3906507397</v>
      </c>
      <c r="BK75" s="477">
        <f>IF('Incremental Repayments'!$R$22="Debt",IF(AND(BK$4&gt;=$D75,BK$4&lt;$D75+'Incremental Repayments'!$I$31),-PMT('Interest Rate'!$J$16,'Incremental Repayments'!$I$31,(HLOOKUP($D75,$E$4:$CZ$32,28,FALSE)*'Incremental Repayments'!$I$22)),0),0)</f>
        <v>1179746.3906507397</v>
      </c>
      <c r="BL75" s="477">
        <f>IF('Incremental Repayments'!$R$22="Debt",IF(AND(BL$4&gt;=$D75,BL$4&lt;$D75+'Incremental Repayments'!$I$31),-PMT('Interest Rate'!$J$16,'Incremental Repayments'!$I$31,(HLOOKUP($D75,$E$4:$CZ$32,28,FALSE)*'Incremental Repayments'!$I$22)),0),0)</f>
        <v>1179746.3906507397</v>
      </c>
      <c r="BM75" s="477">
        <f>IF('Incremental Repayments'!$R$22="Debt",IF(AND(BM$4&gt;=$D75,BM$4&lt;$D75+'Incremental Repayments'!$I$31),-PMT('Interest Rate'!$J$16,'Incremental Repayments'!$I$31,(HLOOKUP($D75,$E$4:$CZ$32,28,FALSE)*'Incremental Repayments'!$I$22)),0),0)</f>
        <v>1179746.3906507397</v>
      </c>
      <c r="BN75" s="477">
        <f>IF('Incremental Repayments'!$R$22="Debt",IF(AND(BN$4&gt;=$D75,BN$4&lt;$D75+'Incremental Repayments'!$I$31),-PMT('Interest Rate'!$J$16,'Incremental Repayments'!$I$31,(HLOOKUP($D75,$E$4:$CZ$32,28,FALSE)*'Incremental Repayments'!$I$22)),0),0)</f>
        <v>1179746.3906507397</v>
      </c>
      <c r="BO75" s="477">
        <f>IF('Incremental Repayments'!$R$22="Debt",IF(AND(BO$4&gt;=$D75,BO$4&lt;$D75+'Incremental Repayments'!$I$31),-PMT('Interest Rate'!$J$16,'Incremental Repayments'!$I$31,(HLOOKUP($D75,$E$4:$CZ$32,28,FALSE)*'Incremental Repayments'!$I$22)),0),0)</f>
        <v>1179746.3906507397</v>
      </c>
      <c r="BP75" s="477">
        <f>IF('Incremental Repayments'!$R$22="Debt",IF(AND(BP$4&gt;=$D75,BP$4&lt;$D75+'Incremental Repayments'!$I$31),-PMT('Interest Rate'!$J$16,'Incremental Repayments'!$I$31,(HLOOKUP($D75,$E$4:$CZ$32,28,FALSE)*'Incremental Repayments'!$I$22)),0),0)</f>
        <v>1179746.3906507397</v>
      </c>
      <c r="BQ75" s="477">
        <f>IF('Incremental Repayments'!$R$22="Debt",IF(AND(BQ$4&gt;=$D75,BQ$4&lt;$D75+'Incremental Repayments'!$I$31),-PMT('Interest Rate'!$J$16,'Incremental Repayments'!$I$31,(HLOOKUP($D75,$E$4:$CZ$32,28,FALSE)*'Incremental Repayments'!$I$22)),0),0)</f>
        <v>1179746.3906507397</v>
      </c>
      <c r="BR75" s="477">
        <f>IF('Incremental Repayments'!$R$22="Debt",IF(AND(BR$4&gt;=$D75,BR$4&lt;$D75+'Incremental Repayments'!$I$31),-PMT('Interest Rate'!$J$16,'Incremental Repayments'!$I$31,(HLOOKUP($D75,$E$4:$CZ$32,28,FALSE)*'Incremental Repayments'!$I$22)),0),0)</f>
        <v>1179746.3906507397</v>
      </c>
      <c r="BS75" s="477">
        <f>IF('Incremental Repayments'!$R$22="Debt",IF(AND(BS$4&gt;=$D75,BS$4&lt;$D75+'Incremental Repayments'!$I$31),-PMT('Interest Rate'!$J$16,'Incremental Repayments'!$I$31,(HLOOKUP($D75,$E$4:$CZ$32,28,FALSE)*'Incremental Repayments'!$I$22)),0),0)</f>
        <v>1179746.3906507397</v>
      </c>
      <c r="BT75" s="477">
        <f>IF('Incremental Repayments'!$R$22="Debt",IF(AND(BT$4&gt;=$D75,BT$4&lt;$D75+'Incremental Repayments'!$I$31),-PMT('Interest Rate'!$J$16,'Incremental Repayments'!$I$31,(HLOOKUP($D75,$E$4:$CZ$32,28,FALSE)*'Incremental Repayments'!$I$22)),0),0)</f>
        <v>1179746.3906507397</v>
      </c>
      <c r="BU75" s="477">
        <f>IF('Incremental Repayments'!$R$22="Debt",IF(AND(BU$4&gt;=$D75,BU$4&lt;$D75+'Incremental Repayments'!$I$31),-PMT('Interest Rate'!$J$16,'Incremental Repayments'!$I$31,(HLOOKUP($D75,$E$4:$CZ$32,28,FALSE)*'Incremental Repayments'!$I$22)),0),0)</f>
        <v>1179746.3906507397</v>
      </c>
      <c r="BV75" s="477">
        <f>IF('Incremental Repayments'!$R$22="Debt",IF(AND(BV$4&gt;=$D75,BV$4&lt;$D75+'Incremental Repayments'!$I$31),-PMT('Interest Rate'!$J$16,'Incremental Repayments'!$I$31,(HLOOKUP($D75,$E$4:$CZ$32,28,FALSE)*'Incremental Repayments'!$I$22)),0),0)</f>
        <v>0</v>
      </c>
      <c r="BW75" s="477">
        <f>IF('Incremental Repayments'!$R$22="Debt",IF(AND(BW$4&gt;=$D75,BW$4&lt;$D75+'Incremental Repayments'!$I$31),-PMT('Interest Rate'!$J$16,'Incremental Repayments'!$I$31,(HLOOKUP($D75,$E$4:$CZ$32,28,FALSE)*'Incremental Repayments'!$I$22)),0),0)</f>
        <v>0</v>
      </c>
      <c r="BX75" s="477">
        <f>IF('Incremental Repayments'!$R$22="Debt",IF(AND(BX$4&gt;=$D75,BX$4&lt;$D75+'Incremental Repayments'!$I$31),-PMT('Interest Rate'!$J$16,'Incremental Repayments'!$I$31,(HLOOKUP($D75,$E$4:$CZ$32,28,FALSE)*'Incremental Repayments'!$I$22)),0),0)</f>
        <v>0</v>
      </c>
      <c r="BY75" s="477">
        <f>IF('Incremental Repayments'!$R$22="Debt",IF(AND(BY$4&gt;=$D75,BY$4&lt;$D75+'Incremental Repayments'!$I$31),-PMT('Interest Rate'!$J$16,'Incremental Repayments'!$I$31,(HLOOKUP($D75,$E$4:$CZ$32,28,FALSE)*'Incremental Repayments'!$I$22)),0),0)</f>
        <v>0</v>
      </c>
      <c r="BZ75" s="477">
        <f>IF('Incremental Repayments'!$R$22="Debt",IF(AND(BZ$4&gt;=$D75,BZ$4&lt;$D75+'Incremental Repayments'!$I$31),-PMT('Interest Rate'!$J$16,'Incremental Repayments'!$I$31,(HLOOKUP($D75,$E$4:$CZ$32,28,FALSE)*'Incremental Repayments'!$I$22)),0),0)</f>
        <v>0</v>
      </c>
      <c r="CA75" s="477">
        <f>IF('Incremental Repayments'!$R$22="Debt",IF(AND(CA$4&gt;=$D75,CA$4&lt;$D75+'Incremental Repayments'!$I$31),-PMT('Interest Rate'!$J$16,'Incremental Repayments'!$I$31,(HLOOKUP($D75,$E$4:$CZ$32,28,FALSE)*'Incremental Repayments'!$I$22)),0),0)</f>
        <v>0</v>
      </c>
      <c r="CB75" s="477">
        <f>IF('Incremental Repayments'!$R$22="Debt",IF(AND(CB$4&gt;=$D75,CB$4&lt;$D75+'Incremental Repayments'!$I$31),-PMT('Interest Rate'!$J$16,'Incremental Repayments'!$I$31,(HLOOKUP($D75,$E$4:$CZ$32,28,FALSE)*'Incremental Repayments'!$I$22)),0),0)</f>
        <v>0</v>
      </c>
      <c r="CC75" s="477">
        <f>IF('Incremental Repayments'!$R$22="Debt",IF(AND(CC$4&gt;=$D75,CC$4&lt;$D75+'Incremental Repayments'!$I$31),-PMT('Interest Rate'!$J$16,'Incremental Repayments'!$I$31,(HLOOKUP($D75,$E$4:$CZ$32,28,FALSE)*'Incremental Repayments'!$I$22)),0),0)</f>
        <v>0</v>
      </c>
      <c r="CD75" s="477">
        <f>IF('Incremental Repayments'!$R$22="Debt",IF(AND(CD$4&gt;=$D75,CD$4&lt;$D75+'Incremental Repayments'!$I$31),-PMT('Interest Rate'!$J$16,'Incremental Repayments'!$I$31,(HLOOKUP($D75,$E$4:$CZ$32,28,FALSE)*'Incremental Repayments'!$I$22)),0),0)</f>
        <v>0</v>
      </c>
      <c r="CE75" s="477">
        <f>IF('Incremental Repayments'!$R$22="Debt",IF(AND(CE$4&gt;=$D75,CE$4&lt;$D75+'Incremental Repayments'!$I$31),-PMT('Interest Rate'!$J$16,'Incremental Repayments'!$I$31,(HLOOKUP($D75,$E$4:$CZ$32,28,FALSE)*'Incremental Repayments'!$I$22)),0),0)</f>
        <v>0</v>
      </c>
      <c r="CF75" s="477">
        <f>IF('Incremental Repayments'!$R$22="Debt",IF(AND(CF$4&gt;=$D75,CF$4&lt;$D75+'Incremental Repayments'!$I$31),-PMT('Interest Rate'!$J$16,'Incremental Repayments'!$I$31,(HLOOKUP($D75,$E$4:$CZ$32,28,FALSE)*'Incremental Repayments'!$I$22)),0),0)</f>
        <v>0</v>
      </c>
      <c r="CG75" s="477">
        <f>IF('Incremental Repayments'!$R$22="Debt",IF(AND(CG$4&gt;=$D75,CG$4&lt;$D75+'Incremental Repayments'!$I$31),-PMT('Interest Rate'!$J$16,'Incremental Repayments'!$I$31,(HLOOKUP($D75,$E$4:$CZ$32,28,FALSE)*'Incremental Repayments'!$I$22)),0),0)</f>
        <v>0</v>
      </c>
      <c r="CH75" s="477">
        <f>IF('Incremental Repayments'!$R$22="Debt",IF(AND(CH$4&gt;=$D75,CH$4&lt;$D75+'Incremental Repayments'!$I$31),-PMT('Interest Rate'!$J$16,'Incremental Repayments'!$I$31,(HLOOKUP($D75,$E$4:$CZ$32,28,FALSE)*'Incremental Repayments'!$I$22)),0),0)</f>
        <v>0</v>
      </c>
      <c r="CI75" s="477">
        <f>IF('Incremental Repayments'!$R$22="Debt",IF(AND(CI$4&gt;=$D75,CI$4&lt;$D75+'Incremental Repayments'!$I$31),-PMT('Interest Rate'!$J$16,'Incremental Repayments'!$I$31,(HLOOKUP($D75,$E$4:$CZ$32,28,FALSE)*'Incremental Repayments'!$I$22)),0),0)</f>
        <v>0</v>
      </c>
      <c r="CJ75" s="477">
        <f>IF('Incremental Repayments'!$R$22="Debt",IF(AND(CJ$4&gt;=$D75,CJ$4&lt;$D75+'Incremental Repayments'!$I$31),-PMT('Interest Rate'!$J$16,'Incremental Repayments'!$I$31,(HLOOKUP($D75,$E$4:$CZ$32,28,FALSE)*'Incremental Repayments'!$I$22)),0),0)</f>
        <v>0</v>
      </c>
      <c r="CK75" s="477">
        <f>IF('Incremental Repayments'!$R$22="Debt",IF(AND(CK$4&gt;=$D75,CK$4&lt;$D75+'Incremental Repayments'!$I$31),-PMT('Interest Rate'!$J$16,'Incremental Repayments'!$I$31,(HLOOKUP($D75,$E$4:$CZ$32,28,FALSE)*'Incremental Repayments'!$I$22)),0),0)</f>
        <v>0</v>
      </c>
      <c r="CL75" s="477">
        <f>IF('Incremental Repayments'!$R$22="Debt",IF(AND(CL$4&gt;=$D75,CL$4&lt;$D75+'Incremental Repayments'!$I$31),-PMT('Interest Rate'!$J$16,'Incremental Repayments'!$I$31,(HLOOKUP($D75,$E$4:$CZ$32,28,FALSE)*'Incremental Repayments'!$I$22)),0),0)</f>
        <v>0</v>
      </c>
      <c r="CM75" s="477">
        <f>IF('Incremental Repayments'!$R$22="Debt",IF(AND(CM$4&gt;=$D75,CM$4&lt;$D75+'Incremental Repayments'!$I$31),-PMT('Interest Rate'!$J$16,'Incremental Repayments'!$I$31,(HLOOKUP($D75,$E$4:$CZ$32,28,FALSE)*'Incremental Repayments'!$I$22)),0),0)</f>
        <v>0</v>
      </c>
      <c r="CN75" s="477">
        <f>IF('Incremental Repayments'!$R$22="Debt",IF(AND(CN$4&gt;=$D75,CN$4&lt;$D75+'Incremental Repayments'!$I$31),-PMT('Interest Rate'!$J$16,'Incremental Repayments'!$I$31,(HLOOKUP($D75,$E$4:$CZ$32,28,FALSE)*'Incremental Repayments'!$I$22)),0),0)</f>
        <v>0</v>
      </c>
      <c r="CO75" s="477">
        <f>IF('Incremental Repayments'!$R$22="Debt",IF(AND(CO$4&gt;=$D75,CO$4&lt;$D75+'Incremental Repayments'!$I$31),-PMT('Interest Rate'!$J$16,'Incremental Repayments'!$I$31,(HLOOKUP($D75,$E$4:$CZ$32,28,FALSE)*'Incremental Repayments'!$I$22)),0),0)</f>
        <v>0</v>
      </c>
      <c r="CP75" s="477">
        <f>IF('Incremental Repayments'!$R$22="Debt",IF(AND(CP$4&gt;=$D75,CP$4&lt;$D75+'Incremental Repayments'!$I$31),-PMT('Interest Rate'!$J$16,'Incremental Repayments'!$I$31,(HLOOKUP($D75,$E$4:$CZ$32,28,FALSE)*'Incremental Repayments'!$I$22)),0),0)</f>
        <v>0</v>
      </c>
      <c r="CQ75" s="477">
        <f>IF('Incremental Repayments'!$R$22="Debt",IF(AND(CQ$4&gt;=$D75,CQ$4&lt;$D75+'Incremental Repayments'!$I$31),-PMT('Interest Rate'!$J$16,'Incremental Repayments'!$I$31,(HLOOKUP($D75,$E$4:$CZ$32,28,FALSE)*'Incremental Repayments'!$I$22)),0),0)</f>
        <v>0</v>
      </c>
      <c r="CR75" s="477">
        <f>IF('Incremental Repayments'!$R$22="Debt",IF(AND(CR$4&gt;=$D75,CR$4&lt;$D75+'Incremental Repayments'!$I$31),-PMT('Interest Rate'!$J$16,'Incremental Repayments'!$I$31,(HLOOKUP($D75,$E$4:$CZ$32,28,FALSE)*'Incremental Repayments'!$I$22)),0),0)</f>
        <v>0</v>
      </c>
      <c r="CS75" s="477">
        <f>IF('Incremental Repayments'!$R$22="Debt",IF(AND(CS$4&gt;=$D75,CS$4&lt;$D75+'Incremental Repayments'!$I$31),-PMT('Interest Rate'!$J$16,'Incremental Repayments'!$I$31,(HLOOKUP($D75,$E$4:$CZ$32,28,FALSE)*'Incremental Repayments'!$I$22)),0),0)</f>
        <v>0</v>
      </c>
      <c r="CT75" s="477">
        <f>IF('Incremental Repayments'!$R$22="Debt",IF(AND(CT$4&gt;=$D75,CT$4&lt;$D75+'Incremental Repayments'!$I$31),-PMT('Interest Rate'!$J$16,'Incremental Repayments'!$I$31,(HLOOKUP($D75,$E$4:$CZ$32,28,FALSE)*'Incremental Repayments'!$I$22)),0),0)</f>
        <v>0</v>
      </c>
      <c r="CU75" s="477">
        <f>IF('Incremental Repayments'!$R$22="Debt",IF(AND(CU$4&gt;=$D75,CU$4&lt;$D75+'Incremental Repayments'!$I$31),-PMT('Interest Rate'!$J$16,'Incremental Repayments'!$I$31,(HLOOKUP($D75,$E$4:$CZ$32,28,FALSE)*'Incremental Repayments'!$I$22)),0),0)</f>
        <v>0</v>
      </c>
      <c r="CV75" s="477">
        <f>IF('Incremental Repayments'!$R$22="Debt",IF(AND(CV$4&gt;=$D75,CV$4&lt;$D75+'Incremental Repayments'!$I$31),-PMT('Interest Rate'!$J$16,'Incremental Repayments'!$I$31,(HLOOKUP($D75,$E$4:$CZ$32,28,FALSE)*'Incremental Repayments'!$I$22)),0),0)</f>
        <v>0</v>
      </c>
      <c r="CW75" s="477">
        <f>IF('Incremental Repayments'!$R$22="Debt",IF(AND(CW$4&gt;=$D75,CW$4&lt;$D75+'Incremental Repayments'!$I$31),-PMT('Interest Rate'!$J$16,'Incremental Repayments'!$I$31,(HLOOKUP($D75,$E$4:$CZ$32,28,FALSE)*'Incremental Repayments'!$I$22)),0),0)</f>
        <v>0</v>
      </c>
      <c r="CX75" s="477">
        <f>IF('Incremental Repayments'!$R$22="Debt",IF(AND(CX$4&gt;=$D75,CX$4&lt;$D75+'Incremental Repayments'!$I$31),-PMT('Interest Rate'!$J$16,'Incremental Repayments'!$I$31,(HLOOKUP($D75,$E$4:$CZ$32,28,FALSE)*'Incremental Repayments'!$I$22)),0),0)</f>
        <v>0</v>
      </c>
      <c r="CY75" s="477">
        <f>IF('Incremental Repayments'!$R$22="Debt",IF(AND(CY$4&gt;=$D75,CY$4&lt;$D75+'Incremental Repayments'!$I$31),-PMT('Interest Rate'!$J$16,'Incremental Repayments'!$I$31,(HLOOKUP($D75,$E$4:$CZ$32,28,FALSE)*'Incremental Repayments'!$I$22)),0),0)</f>
        <v>0</v>
      </c>
      <c r="CZ75" s="477">
        <f>IF('Incremental Repayments'!$R$22="Debt",IF(AND(CZ$4&gt;=$D75,CZ$4&lt;$D75+'Incremental Repayments'!$I$31),-PMT('Interest Rate'!$J$16,'Incremental Repayments'!$I$31,(HLOOKUP($D75,$E$4:$CZ$32,28,FALSE)*'Incremental Repayments'!$I$22)),0),0)</f>
        <v>0</v>
      </c>
    </row>
    <row r="76" spans="2:104" x14ac:dyDescent="0.25">
      <c r="B76" s="480" t="str">
        <f>CONCATENATE("Series ",D76,"A Bonds (at ",'Interest Rate'!$J$16*100,"% Interest)")</f>
        <v>Series 2054A Bonds (at 4.5% Interest)</v>
      </c>
      <c r="C76" s="480"/>
      <c r="D76" s="492">
        <f t="shared" si="493"/>
        <v>2054</v>
      </c>
      <c r="E76" s="477">
        <f>IF('Incremental Repayments'!$R$22="Debt",IF(AND(E$4&gt;=$D76,E$4&lt;$D76+'Incremental Repayments'!$I$31),-PMT('Interest Rate'!$J$16,'Incremental Repayments'!$I$31,(HLOOKUP($D76,$E$4:$CZ$32,28,FALSE)*'Incremental Repayments'!$I$22)),0),0)</f>
        <v>0</v>
      </c>
      <c r="F76" s="477">
        <f>IF('Incremental Repayments'!$R$22="Debt",IF(AND(F$4&gt;=$D76,F$4&lt;$D76+'Incremental Repayments'!$I$31),-PMT('Interest Rate'!$J$16,'Incremental Repayments'!$I$31,(HLOOKUP($D76,$E$4:$CZ$32,28,FALSE)*'Incremental Repayments'!$I$22)),0),0)</f>
        <v>0</v>
      </c>
      <c r="G76" s="477">
        <f>IF('Incremental Repayments'!$R$22="Debt",IF(AND(G$4&gt;=$D76,G$4&lt;$D76+'Incremental Repayments'!$I$31),-PMT('Interest Rate'!$J$16,'Incremental Repayments'!$I$31,(HLOOKUP($D76,$E$4:$CZ$32,28,FALSE)*'Incremental Repayments'!$I$22)),0),0)</f>
        <v>0</v>
      </c>
      <c r="H76" s="477">
        <f>IF('Incremental Repayments'!$R$22="Debt",IF(AND(H$4&gt;=$D76,H$4&lt;$D76+'Incremental Repayments'!$I$31),-PMT('Interest Rate'!$J$16,'Incremental Repayments'!$I$31,(HLOOKUP($D76,$E$4:$CZ$32,28,FALSE)*'Incremental Repayments'!$I$22)),0),0)</f>
        <v>0</v>
      </c>
      <c r="I76" s="477">
        <f>IF('Incremental Repayments'!$R$22="Debt",IF(AND(I$4&gt;=$D76,I$4&lt;$D76+'Incremental Repayments'!$I$31),-PMT('Interest Rate'!$J$16,'Incremental Repayments'!$I$31,(HLOOKUP($D76,$E$4:$CZ$32,28,FALSE)*'Incremental Repayments'!$I$22)),0),0)</f>
        <v>0</v>
      </c>
      <c r="J76" s="477">
        <f>IF('Incremental Repayments'!$R$22="Debt",IF(AND(J$4&gt;=$D76,J$4&lt;$D76+'Incremental Repayments'!$I$31),-PMT('Interest Rate'!$J$16,'Incremental Repayments'!$I$31,(HLOOKUP($D76,$E$4:$CZ$32,28,FALSE)*'Incremental Repayments'!$I$22)),0),0)</f>
        <v>0</v>
      </c>
      <c r="K76" s="477">
        <f>IF('Incremental Repayments'!$R$22="Debt",IF(AND(K$4&gt;=$D76,K$4&lt;$D76+'Incremental Repayments'!$I$31),-PMT('Interest Rate'!$J$16,'Incremental Repayments'!$I$31,(HLOOKUP($D76,$E$4:$CZ$32,28,FALSE)*'Incremental Repayments'!$I$22)),0),0)</f>
        <v>0</v>
      </c>
      <c r="L76" s="477">
        <f>IF('Incremental Repayments'!$R$22="Debt",IF(AND(L$4&gt;=$D76,L$4&lt;$D76+'Incremental Repayments'!$I$31),-PMT('Interest Rate'!$J$16,'Incremental Repayments'!$I$31,(HLOOKUP($D76,$E$4:$CZ$32,28,FALSE)*'Incremental Repayments'!$I$22)),0),0)</f>
        <v>0</v>
      </c>
      <c r="M76" s="477">
        <f>IF('Incremental Repayments'!$R$22="Debt",IF(AND(M$4&gt;=$D76,M$4&lt;$D76+'Incremental Repayments'!$I$31),-PMT('Interest Rate'!$J$16,'Incremental Repayments'!$I$31,(HLOOKUP($D76,$E$4:$CZ$32,28,FALSE)*'Incremental Repayments'!$I$22)),0),0)</f>
        <v>0</v>
      </c>
      <c r="N76" s="477">
        <f>IF('Incremental Repayments'!$R$22="Debt",IF(AND(N$4&gt;=$D76,N$4&lt;$D76+'Incremental Repayments'!$I$31),-PMT('Interest Rate'!$J$16,'Incremental Repayments'!$I$31,(HLOOKUP($D76,$E$4:$CZ$32,28,FALSE)*'Incremental Repayments'!$I$22)),0),0)</f>
        <v>0</v>
      </c>
      <c r="O76" s="477">
        <f>IF('Incremental Repayments'!$R$22="Debt",IF(AND(O$4&gt;=$D76,O$4&lt;$D76+'Incremental Repayments'!$I$31),-PMT('Interest Rate'!$J$16,'Incremental Repayments'!$I$31,(HLOOKUP($D76,$E$4:$CZ$32,28,FALSE)*'Incremental Repayments'!$I$22)),0),0)</f>
        <v>0</v>
      </c>
      <c r="P76" s="477">
        <f>IF('Incremental Repayments'!$R$22="Debt",IF(AND(P$4&gt;=$D76,P$4&lt;$D76+'Incremental Repayments'!$I$31),-PMT('Interest Rate'!$J$16,'Incremental Repayments'!$I$31,(HLOOKUP($D76,$E$4:$CZ$32,28,FALSE)*'Incremental Repayments'!$I$22)),0),0)</f>
        <v>0</v>
      </c>
      <c r="Q76" s="477">
        <f>IF('Incremental Repayments'!$R$22="Debt",IF(AND(Q$4&gt;=$D76,Q$4&lt;$D76+'Incremental Repayments'!$I$31),-PMT('Interest Rate'!$J$16,'Incremental Repayments'!$I$31,(HLOOKUP($D76,$E$4:$CZ$32,28,FALSE)*'Incremental Repayments'!$I$22)),0),0)</f>
        <v>0</v>
      </c>
      <c r="R76" s="477">
        <f>IF('Incremental Repayments'!$R$22="Debt",IF(AND(R$4&gt;=$D76,R$4&lt;$D76+'Incremental Repayments'!$I$31),-PMT('Interest Rate'!$J$16,'Incremental Repayments'!$I$31,(HLOOKUP($D76,$E$4:$CZ$32,28,FALSE)*'Incremental Repayments'!$I$22)),0),0)</f>
        <v>0</v>
      </c>
      <c r="S76" s="477">
        <f>IF('Incremental Repayments'!$R$22="Debt",IF(AND(S$4&gt;=$D76,S$4&lt;$D76+'Incremental Repayments'!$I$31),-PMT('Interest Rate'!$J$16,'Incremental Repayments'!$I$31,(HLOOKUP($D76,$E$4:$CZ$32,28,FALSE)*'Incremental Repayments'!$I$22)),0),0)</f>
        <v>0</v>
      </c>
      <c r="T76" s="477">
        <f>IF('Incremental Repayments'!$R$22="Debt",IF(AND(T$4&gt;=$D76,T$4&lt;$D76+'Incremental Repayments'!$I$31),-PMT('Interest Rate'!$J$16,'Incremental Repayments'!$I$31,(HLOOKUP($D76,$E$4:$CZ$32,28,FALSE)*'Incremental Repayments'!$I$22)),0),0)</f>
        <v>0</v>
      </c>
      <c r="U76" s="477">
        <f>IF('Incremental Repayments'!$R$22="Debt",IF(AND(U$4&gt;=$D76,U$4&lt;$D76+'Incremental Repayments'!$I$31),-PMT('Interest Rate'!$J$16,'Incremental Repayments'!$I$31,(HLOOKUP($D76,$E$4:$CZ$32,28,FALSE)*'Incremental Repayments'!$I$22)),0),0)</f>
        <v>0</v>
      </c>
      <c r="V76" s="477">
        <f>IF('Incremental Repayments'!$R$22="Debt",IF(AND(V$4&gt;=$D76,V$4&lt;$D76+'Incremental Repayments'!$I$31),-PMT('Interest Rate'!$J$16,'Incremental Repayments'!$I$31,(HLOOKUP($D76,$E$4:$CZ$32,28,FALSE)*'Incremental Repayments'!$I$22)),0),0)</f>
        <v>0</v>
      </c>
      <c r="W76" s="477">
        <f>IF('Incremental Repayments'!$R$22="Debt",IF(AND(W$4&gt;=$D76,W$4&lt;$D76+'Incremental Repayments'!$I$31),-PMT('Interest Rate'!$J$16,'Incremental Repayments'!$I$31,(HLOOKUP($D76,$E$4:$CZ$32,28,FALSE)*'Incremental Repayments'!$I$22)),0),0)</f>
        <v>0</v>
      </c>
      <c r="X76" s="477">
        <f>IF('Incremental Repayments'!$R$22="Debt",IF(AND(X$4&gt;=$D76,X$4&lt;$D76+'Incremental Repayments'!$I$31),-PMT('Interest Rate'!$J$16,'Incremental Repayments'!$I$31,(HLOOKUP($D76,$E$4:$CZ$32,28,FALSE)*'Incremental Repayments'!$I$22)),0),0)</f>
        <v>0</v>
      </c>
      <c r="Y76" s="477">
        <f>IF('Incremental Repayments'!$R$22="Debt",IF(AND(Y$4&gt;=$D76,Y$4&lt;$D76+'Incremental Repayments'!$I$31),-PMT('Interest Rate'!$J$16,'Incremental Repayments'!$I$31,(HLOOKUP($D76,$E$4:$CZ$32,28,FALSE)*'Incremental Repayments'!$I$22)),0),0)</f>
        <v>0</v>
      </c>
      <c r="Z76" s="477">
        <f>IF('Incremental Repayments'!$R$22="Debt",IF(AND(Z$4&gt;=$D76,Z$4&lt;$D76+'Incremental Repayments'!$I$31),-PMT('Interest Rate'!$J$16,'Incremental Repayments'!$I$31,(HLOOKUP($D76,$E$4:$CZ$32,28,FALSE)*'Incremental Repayments'!$I$22)),0),0)</f>
        <v>0</v>
      </c>
      <c r="AA76" s="477">
        <f>IF('Incremental Repayments'!$R$22="Debt",IF(AND(AA$4&gt;=$D76,AA$4&lt;$D76+'Incremental Repayments'!$I$31),-PMT('Interest Rate'!$J$16,'Incremental Repayments'!$I$31,(HLOOKUP($D76,$E$4:$CZ$32,28,FALSE)*'Incremental Repayments'!$I$22)),0),0)</f>
        <v>0</v>
      </c>
      <c r="AB76" s="477">
        <f>IF('Incremental Repayments'!$R$22="Debt",IF(AND(AB$4&gt;=$D76,AB$4&lt;$D76+'Incremental Repayments'!$I$31),-PMT('Interest Rate'!$J$16,'Incremental Repayments'!$I$31,(HLOOKUP($D76,$E$4:$CZ$32,28,FALSE)*'Incremental Repayments'!$I$22)),0),0)</f>
        <v>0</v>
      </c>
      <c r="AC76" s="477">
        <f>IF('Incremental Repayments'!$R$22="Debt",IF(AND(AC$4&gt;=$D76,AC$4&lt;$D76+'Incremental Repayments'!$I$31),-PMT('Interest Rate'!$J$16,'Incremental Repayments'!$I$31,(HLOOKUP($D76,$E$4:$CZ$32,28,FALSE)*'Incremental Repayments'!$I$22)),0),0)</f>
        <v>0</v>
      </c>
      <c r="AD76" s="477">
        <f>IF('Incremental Repayments'!$R$22="Debt",IF(AND(AD$4&gt;=$D76,AD$4&lt;$D76+'Incremental Repayments'!$I$31),-PMT('Interest Rate'!$J$16,'Incremental Repayments'!$I$31,(HLOOKUP($D76,$E$4:$CZ$32,28,FALSE)*'Incremental Repayments'!$I$22)),0),0)</f>
        <v>0</v>
      </c>
      <c r="AE76" s="477">
        <f>IF('Incremental Repayments'!$R$22="Debt",IF(AND(AE$4&gt;=$D76,AE$4&lt;$D76+'Incremental Repayments'!$I$31),-PMT('Interest Rate'!$J$16,'Incremental Repayments'!$I$31,(HLOOKUP($D76,$E$4:$CZ$32,28,FALSE)*'Incremental Repayments'!$I$22)),0),0)</f>
        <v>0</v>
      </c>
      <c r="AF76" s="477">
        <f>IF('Incremental Repayments'!$R$22="Debt",IF(AND(AF$4&gt;=$D76,AF$4&lt;$D76+'Incremental Repayments'!$I$31),-PMT('Interest Rate'!$J$16,'Incremental Repayments'!$I$31,(HLOOKUP($D76,$E$4:$CZ$32,28,FALSE)*'Incremental Repayments'!$I$22)),0),0)</f>
        <v>0</v>
      </c>
      <c r="AG76" s="477">
        <f>IF('Incremental Repayments'!$R$22="Debt",IF(AND(AG$4&gt;=$D76,AG$4&lt;$D76+'Incremental Repayments'!$I$31),-PMT('Interest Rate'!$J$16,'Incremental Repayments'!$I$31,(HLOOKUP($D76,$E$4:$CZ$32,28,FALSE)*'Incremental Repayments'!$I$22)),0),0)</f>
        <v>0</v>
      </c>
      <c r="AH76" s="477">
        <f>IF('Incremental Repayments'!$R$22="Debt",IF(AND(AH$4&gt;=$D76,AH$4&lt;$D76+'Incremental Repayments'!$I$31),-PMT('Interest Rate'!$J$16,'Incremental Repayments'!$I$31,(HLOOKUP($D76,$E$4:$CZ$32,28,FALSE)*'Incremental Repayments'!$I$22)),0),0)</f>
        <v>0</v>
      </c>
      <c r="AI76" s="477">
        <f>IF('Incremental Repayments'!$R$22="Debt",IF(AND(AI$4&gt;=$D76,AI$4&lt;$D76+'Incremental Repayments'!$I$31),-PMT('Interest Rate'!$J$16,'Incremental Repayments'!$I$31,(HLOOKUP($D76,$E$4:$CZ$32,28,FALSE)*'Incremental Repayments'!$I$22)),0),0)</f>
        <v>0</v>
      </c>
      <c r="AJ76" s="477">
        <f>IF('Incremental Repayments'!$R$22="Debt",IF(AND(AJ$4&gt;=$D76,AJ$4&lt;$D76+'Incremental Repayments'!$I$31),-PMT('Interest Rate'!$J$16,'Incremental Repayments'!$I$31,(HLOOKUP($D76,$E$4:$CZ$32,28,FALSE)*'Incremental Repayments'!$I$22)),0),0)</f>
        <v>0</v>
      </c>
      <c r="AK76" s="477">
        <f>IF('Incremental Repayments'!$R$22="Debt",IF(AND(AK$4&gt;=$D76,AK$4&lt;$D76+'Incremental Repayments'!$I$31),-PMT('Interest Rate'!$J$16,'Incremental Repayments'!$I$31,(HLOOKUP($D76,$E$4:$CZ$32,28,FALSE)*'Incremental Repayments'!$I$22)),0),0)</f>
        <v>0</v>
      </c>
      <c r="AL76" s="477">
        <f>IF('Incremental Repayments'!$R$22="Debt",IF(AND(AL$4&gt;=$D76,AL$4&lt;$D76+'Incremental Repayments'!$I$31),-PMT('Interest Rate'!$J$16,'Incremental Repayments'!$I$31,(HLOOKUP($D76,$E$4:$CZ$32,28,FALSE)*'Incremental Repayments'!$I$22)),0),0)</f>
        <v>0</v>
      </c>
      <c r="AM76" s="477">
        <f>IF('Incremental Repayments'!$R$22="Debt",IF(AND(AM$4&gt;=$D76,AM$4&lt;$D76+'Incremental Repayments'!$I$31),-PMT('Interest Rate'!$J$16,'Incremental Repayments'!$I$31,(HLOOKUP($D76,$E$4:$CZ$32,28,FALSE)*'Incremental Repayments'!$I$22)),0),0)</f>
        <v>0</v>
      </c>
      <c r="AN76" s="477">
        <f>IF('Incremental Repayments'!$R$22="Debt",IF(AND(AN$4&gt;=$D76,AN$4&lt;$D76+'Incremental Repayments'!$I$31),-PMT('Interest Rate'!$J$16,'Incremental Repayments'!$I$31,(HLOOKUP($D76,$E$4:$CZ$32,28,FALSE)*'Incremental Repayments'!$I$22)),0),0)</f>
        <v>0</v>
      </c>
      <c r="AO76" s="477">
        <f>IF('Incremental Repayments'!$R$22="Debt",IF(AND(AO$4&gt;=$D76,AO$4&lt;$D76+'Incremental Repayments'!$I$31),-PMT('Interest Rate'!$J$16,'Incremental Repayments'!$I$31,(HLOOKUP($D76,$E$4:$CZ$32,28,FALSE)*'Incremental Repayments'!$I$22)),0),0)</f>
        <v>0</v>
      </c>
      <c r="AP76" s="477">
        <f>IF('Incremental Repayments'!$R$22="Debt",IF(AND(AP$4&gt;=$D76,AP$4&lt;$D76+'Incremental Repayments'!$I$31),-PMT('Interest Rate'!$J$16,'Incremental Repayments'!$I$31,(HLOOKUP($D76,$E$4:$CZ$32,28,FALSE)*'Incremental Repayments'!$I$22)),0),0)</f>
        <v>0</v>
      </c>
      <c r="AQ76" s="477">
        <f>IF('Incremental Repayments'!$R$22="Debt",IF(AND(AQ$4&gt;=$D76,AQ$4&lt;$D76+'Incremental Repayments'!$I$31),-PMT('Interest Rate'!$J$16,'Incremental Repayments'!$I$31,(HLOOKUP($D76,$E$4:$CZ$32,28,FALSE)*'Incremental Repayments'!$I$22)),0),0)</f>
        <v>0</v>
      </c>
      <c r="AR76" s="477">
        <f>IF('Incremental Repayments'!$R$22="Debt",IF(AND(AR$4&gt;=$D76,AR$4&lt;$D76+'Incremental Repayments'!$I$31),-PMT('Interest Rate'!$J$16,'Incremental Repayments'!$I$31,(HLOOKUP($D76,$E$4:$CZ$32,28,FALSE)*'Incremental Repayments'!$I$22)),0),0)</f>
        <v>0</v>
      </c>
      <c r="AS76" s="477">
        <f>IF('Incremental Repayments'!$R$22="Debt",IF(AND(AS$4&gt;=$D76,AS$4&lt;$D76+'Incremental Repayments'!$I$31),-PMT('Interest Rate'!$J$16,'Incremental Repayments'!$I$31,(HLOOKUP($D76,$E$4:$CZ$32,28,FALSE)*'Incremental Repayments'!$I$22)),0),0)</f>
        <v>1213369.1627842868</v>
      </c>
      <c r="AT76" s="477">
        <f>IF('Incremental Repayments'!$R$22="Debt",IF(AND(AT$4&gt;=$D76,AT$4&lt;$D76+'Incremental Repayments'!$I$31),-PMT('Interest Rate'!$J$16,'Incremental Repayments'!$I$31,(HLOOKUP($D76,$E$4:$CZ$32,28,FALSE)*'Incremental Repayments'!$I$22)),0),0)</f>
        <v>1213369.1627842868</v>
      </c>
      <c r="AU76" s="477">
        <f>IF('Incremental Repayments'!$R$22="Debt",IF(AND(AU$4&gt;=$D76,AU$4&lt;$D76+'Incremental Repayments'!$I$31),-PMT('Interest Rate'!$J$16,'Incremental Repayments'!$I$31,(HLOOKUP($D76,$E$4:$CZ$32,28,FALSE)*'Incremental Repayments'!$I$22)),0),0)</f>
        <v>1213369.1627842868</v>
      </c>
      <c r="AV76" s="477">
        <f>IF('Incremental Repayments'!$R$22="Debt",IF(AND(AV$4&gt;=$D76,AV$4&lt;$D76+'Incremental Repayments'!$I$31),-PMT('Interest Rate'!$J$16,'Incremental Repayments'!$I$31,(HLOOKUP($D76,$E$4:$CZ$32,28,FALSE)*'Incremental Repayments'!$I$22)),0),0)</f>
        <v>1213369.1627842868</v>
      </c>
      <c r="AW76" s="477">
        <f>IF('Incremental Repayments'!$R$22="Debt",IF(AND(AW$4&gt;=$D76,AW$4&lt;$D76+'Incremental Repayments'!$I$31),-PMT('Interest Rate'!$J$16,'Incremental Repayments'!$I$31,(HLOOKUP($D76,$E$4:$CZ$32,28,FALSE)*'Incremental Repayments'!$I$22)),0),0)</f>
        <v>1213369.1627842868</v>
      </c>
      <c r="AX76" s="477">
        <f>IF('Incremental Repayments'!$R$22="Debt",IF(AND(AX$4&gt;=$D76,AX$4&lt;$D76+'Incremental Repayments'!$I$31),-PMT('Interest Rate'!$J$16,'Incremental Repayments'!$I$31,(HLOOKUP($D76,$E$4:$CZ$32,28,FALSE)*'Incremental Repayments'!$I$22)),0),0)</f>
        <v>1213369.1627842868</v>
      </c>
      <c r="AY76" s="477">
        <f>IF('Incremental Repayments'!$R$22="Debt",IF(AND(AY$4&gt;=$D76,AY$4&lt;$D76+'Incremental Repayments'!$I$31),-PMT('Interest Rate'!$J$16,'Incremental Repayments'!$I$31,(HLOOKUP($D76,$E$4:$CZ$32,28,FALSE)*'Incremental Repayments'!$I$22)),0),0)</f>
        <v>1213369.1627842868</v>
      </c>
      <c r="AZ76" s="477">
        <f>IF('Incremental Repayments'!$R$22="Debt",IF(AND(AZ$4&gt;=$D76,AZ$4&lt;$D76+'Incremental Repayments'!$I$31),-PMT('Interest Rate'!$J$16,'Incremental Repayments'!$I$31,(HLOOKUP($D76,$E$4:$CZ$32,28,FALSE)*'Incremental Repayments'!$I$22)),0),0)</f>
        <v>1213369.1627842868</v>
      </c>
      <c r="BA76" s="477">
        <f>IF('Incremental Repayments'!$R$22="Debt",IF(AND(BA$4&gt;=$D76,BA$4&lt;$D76+'Incremental Repayments'!$I$31),-PMT('Interest Rate'!$J$16,'Incremental Repayments'!$I$31,(HLOOKUP($D76,$E$4:$CZ$32,28,FALSE)*'Incremental Repayments'!$I$22)),0),0)</f>
        <v>1213369.1627842868</v>
      </c>
      <c r="BB76" s="477">
        <f>IF('Incremental Repayments'!$R$22="Debt",IF(AND(BB$4&gt;=$D76,BB$4&lt;$D76+'Incremental Repayments'!$I$31),-PMT('Interest Rate'!$J$16,'Incremental Repayments'!$I$31,(HLOOKUP($D76,$E$4:$CZ$32,28,FALSE)*'Incremental Repayments'!$I$22)),0),0)</f>
        <v>1213369.1627842868</v>
      </c>
      <c r="BC76" s="477">
        <f>IF('Incremental Repayments'!$R$22="Debt",IF(AND(BC$4&gt;=$D76,BC$4&lt;$D76+'Incremental Repayments'!$I$31),-PMT('Interest Rate'!$J$16,'Incremental Repayments'!$I$31,(HLOOKUP($D76,$E$4:$CZ$32,28,FALSE)*'Incremental Repayments'!$I$22)),0),0)</f>
        <v>1213369.1627842868</v>
      </c>
      <c r="BD76" s="477">
        <f>IF('Incremental Repayments'!$R$22="Debt",IF(AND(BD$4&gt;=$D76,BD$4&lt;$D76+'Incremental Repayments'!$I$31),-PMT('Interest Rate'!$J$16,'Incremental Repayments'!$I$31,(HLOOKUP($D76,$E$4:$CZ$32,28,FALSE)*'Incremental Repayments'!$I$22)),0),0)</f>
        <v>1213369.1627842868</v>
      </c>
      <c r="BE76" s="477">
        <f>IF('Incremental Repayments'!$R$22="Debt",IF(AND(BE$4&gt;=$D76,BE$4&lt;$D76+'Incremental Repayments'!$I$31),-PMT('Interest Rate'!$J$16,'Incremental Repayments'!$I$31,(HLOOKUP($D76,$E$4:$CZ$32,28,FALSE)*'Incremental Repayments'!$I$22)),0),0)</f>
        <v>1213369.1627842868</v>
      </c>
      <c r="BF76" s="477">
        <f>IF('Incremental Repayments'!$R$22="Debt",IF(AND(BF$4&gt;=$D76,BF$4&lt;$D76+'Incremental Repayments'!$I$31),-PMT('Interest Rate'!$J$16,'Incremental Repayments'!$I$31,(HLOOKUP($D76,$E$4:$CZ$32,28,FALSE)*'Incremental Repayments'!$I$22)),0),0)</f>
        <v>1213369.1627842868</v>
      </c>
      <c r="BG76" s="477">
        <f>IF('Incremental Repayments'!$R$22="Debt",IF(AND(BG$4&gt;=$D76,BG$4&lt;$D76+'Incremental Repayments'!$I$31),-PMT('Interest Rate'!$J$16,'Incremental Repayments'!$I$31,(HLOOKUP($D76,$E$4:$CZ$32,28,FALSE)*'Incremental Repayments'!$I$22)),0),0)</f>
        <v>1213369.1627842868</v>
      </c>
      <c r="BH76" s="477">
        <f>IF('Incremental Repayments'!$R$22="Debt",IF(AND(BH$4&gt;=$D76,BH$4&lt;$D76+'Incremental Repayments'!$I$31),-PMT('Interest Rate'!$J$16,'Incremental Repayments'!$I$31,(HLOOKUP($D76,$E$4:$CZ$32,28,FALSE)*'Incremental Repayments'!$I$22)),0),0)</f>
        <v>1213369.1627842868</v>
      </c>
      <c r="BI76" s="477">
        <f>IF('Incremental Repayments'!$R$22="Debt",IF(AND(BI$4&gt;=$D76,BI$4&lt;$D76+'Incremental Repayments'!$I$31),-PMT('Interest Rate'!$J$16,'Incremental Repayments'!$I$31,(HLOOKUP($D76,$E$4:$CZ$32,28,FALSE)*'Incremental Repayments'!$I$22)),0),0)</f>
        <v>1213369.1627842868</v>
      </c>
      <c r="BJ76" s="477">
        <f>IF('Incremental Repayments'!$R$22="Debt",IF(AND(BJ$4&gt;=$D76,BJ$4&lt;$D76+'Incremental Repayments'!$I$31),-PMT('Interest Rate'!$J$16,'Incremental Repayments'!$I$31,(HLOOKUP($D76,$E$4:$CZ$32,28,FALSE)*'Incremental Repayments'!$I$22)),0),0)</f>
        <v>1213369.1627842868</v>
      </c>
      <c r="BK76" s="477">
        <f>IF('Incremental Repayments'!$R$22="Debt",IF(AND(BK$4&gt;=$D76,BK$4&lt;$D76+'Incremental Repayments'!$I$31),-PMT('Interest Rate'!$J$16,'Incremental Repayments'!$I$31,(HLOOKUP($D76,$E$4:$CZ$32,28,FALSE)*'Incremental Repayments'!$I$22)),0),0)</f>
        <v>1213369.1627842868</v>
      </c>
      <c r="BL76" s="477">
        <f>IF('Incremental Repayments'!$R$22="Debt",IF(AND(BL$4&gt;=$D76,BL$4&lt;$D76+'Incremental Repayments'!$I$31),-PMT('Interest Rate'!$J$16,'Incremental Repayments'!$I$31,(HLOOKUP($D76,$E$4:$CZ$32,28,FALSE)*'Incremental Repayments'!$I$22)),0),0)</f>
        <v>1213369.1627842868</v>
      </c>
      <c r="BM76" s="477">
        <f>IF('Incremental Repayments'!$R$22="Debt",IF(AND(BM$4&gt;=$D76,BM$4&lt;$D76+'Incremental Repayments'!$I$31),-PMT('Interest Rate'!$J$16,'Incremental Repayments'!$I$31,(HLOOKUP($D76,$E$4:$CZ$32,28,FALSE)*'Incremental Repayments'!$I$22)),0),0)</f>
        <v>1213369.1627842868</v>
      </c>
      <c r="BN76" s="477">
        <f>IF('Incremental Repayments'!$R$22="Debt",IF(AND(BN$4&gt;=$D76,BN$4&lt;$D76+'Incremental Repayments'!$I$31),-PMT('Interest Rate'!$J$16,'Incremental Repayments'!$I$31,(HLOOKUP($D76,$E$4:$CZ$32,28,FALSE)*'Incremental Repayments'!$I$22)),0),0)</f>
        <v>1213369.1627842868</v>
      </c>
      <c r="BO76" s="477">
        <f>IF('Incremental Repayments'!$R$22="Debt",IF(AND(BO$4&gt;=$D76,BO$4&lt;$D76+'Incremental Repayments'!$I$31),-PMT('Interest Rate'!$J$16,'Incremental Repayments'!$I$31,(HLOOKUP($D76,$E$4:$CZ$32,28,FALSE)*'Incremental Repayments'!$I$22)),0),0)</f>
        <v>1213369.1627842868</v>
      </c>
      <c r="BP76" s="477">
        <f>IF('Incremental Repayments'!$R$22="Debt",IF(AND(BP$4&gt;=$D76,BP$4&lt;$D76+'Incremental Repayments'!$I$31),-PMT('Interest Rate'!$J$16,'Incremental Repayments'!$I$31,(HLOOKUP($D76,$E$4:$CZ$32,28,FALSE)*'Incremental Repayments'!$I$22)),0),0)</f>
        <v>1213369.1627842868</v>
      </c>
      <c r="BQ76" s="477">
        <f>IF('Incremental Repayments'!$R$22="Debt",IF(AND(BQ$4&gt;=$D76,BQ$4&lt;$D76+'Incremental Repayments'!$I$31),-PMT('Interest Rate'!$J$16,'Incremental Repayments'!$I$31,(HLOOKUP($D76,$E$4:$CZ$32,28,FALSE)*'Incremental Repayments'!$I$22)),0),0)</f>
        <v>1213369.1627842868</v>
      </c>
      <c r="BR76" s="477">
        <f>IF('Incremental Repayments'!$R$22="Debt",IF(AND(BR$4&gt;=$D76,BR$4&lt;$D76+'Incremental Repayments'!$I$31),-PMT('Interest Rate'!$J$16,'Incremental Repayments'!$I$31,(HLOOKUP($D76,$E$4:$CZ$32,28,FALSE)*'Incremental Repayments'!$I$22)),0),0)</f>
        <v>1213369.1627842868</v>
      </c>
      <c r="BS76" s="477">
        <f>IF('Incremental Repayments'!$R$22="Debt",IF(AND(BS$4&gt;=$D76,BS$4&lt;$D76+'Incremental Repayments'!$I$31),-PMT('Interest Rate'!$J$16,'Incremental Repayments'!$I$31,(HLOOKUP($D76,$E$4:$CZ$32,28,FALSE)*'Incremental Repayments'!$I$22)),0),0)</f>
        <v>1213369.1627842868</v>
      </c>
      <c r="BT76" s="477">
        <f>IF('Incremental Repayments'!$R$22="Debt",IF(AND(BT$4&gt;=$D76,BT$4&lt;$D76+'Incremental Repayments'!$I$31),-PMT('Interest Rate'!$J$16,'Incremental Repayments'!$I$31,(HLOOKUP($D76,$E$4:$CZ$32,28,FALSE)*'Incremental Repayments'!$I$22)),0),0)</f>
        <v>1213369.1627842868</v>
      </c>
      <c r="BU76" s="477">
        <f>IF('Incremental Repayments'!$R$22="Debt",IF(AND(BU$4&gt;=$D76,BU$4&lt;$D76+'Incremental Repayments'!$I$31),-PMT('Interest Rate'!$J$16,'Incremental Repayments'!$I$31,(HLOOKUP($D76,$E$4:$CZ$32,28,FALSE)*'Incremental Repayments'!$I$22)),0),0)</f>
        <v>1213369.1627842868</v>
      </c>
      <c r="BV76" s="477">
        <f>IF('Incremental Repayments'!$R$22="Debt",IF(AND(BV$4&gt;=$D76,BV$4&lt;$D76+'Incremental Repayments'!$I$31),-PMT('Interest Rate'!$J$16,'Incremental Repayments'!$I$31,(HLOOKUP($D76,$E$4:$CZ$32,28,FALSE)*'Incremental Repayments'!$I$22)),0),0)</f>
        <v>1213369.1627842868</v>
      </c>
      <c r="BW76" s="477">
        <f>IF('Incremental Repayments'!$R$22="Debt",IF(AND(BW$4&gt;=$D76,BW$4&lt;$D76+'Incremental Repayments'!$I$31),-PMT('Interest Rate'!$J$16,'Incremental Repayments'!$I$31,(HLOOKUP($D76,$E$4:$CZ$32,28,FALSE)*'Incremental Repayments'!$I$22)),0),0)</f>
        <v>0</v>
      </c>
      <c r="BX76" s="477">
        <f>IF('Incremental Repayments'!$R$22="Debt",IF(AND(BX$4&gt;=$D76,BX$4&lt;$D76+'Incremental Repayments'!$I$31),-PMT('Interest Rate'!$J$16,'Incremental Repayments'!$I$31,(HLOOKUP($D76,$E$4:$CZ$32,28,FALSE)*'Incremental Repayments'!$I$22)),0),0)</f>
        <v>0</v>
      </c>
      <c r="BY76" s="477">
        <f>IF('Incremental Repayments'!$R$22="Debt",IF(AND(BY$4&gt;=$D76,BY$4&lt;$D76+'Incremental Repayments'!$I$31),-PMT('Interest Rate'!$J$16,'Incremental Repayments'!$I$31,(HLOOKUP($D76,$E$4:$CZ$32,28,FALSE)*'Incremental Repayments'!$I$22)),0),0)</f>
        <v>0</v>
      </c>
      <c r="BZ76" s="477">
        <f>IF('Incremental Repayments'!$R$22="Debt",IF(AND(BZ$4&gt;=$D76,BZ$4&lt;$D76+'Incremental Repayments'!$I$31),-PMT('Interest Rate'!$J$16,'Incremental Repayments'!$I$31,(HLOOKUP($D76,$E$4:$CZ$32,28,FALSE)*'Incremental Repayments'!$I$22)),0),0)</f>
        <v>0</v>
      </c>
      <c r="CA76" s="477">
        <f>IF('Incremental Repayments'!$R$22="Debt",IF(AND(CA$4&gt;=$D76,CA$4&lt;$D76+'Incremental Repayments'!$I$31),-PMT('Interest Rate'!$J$16,'Incremental Repayments'!$I$31,(HLOOKUP($D76,$E$4:$CZ$32,28,FALSE)*'Incremental Repayments'!$I$22)),0),0)</f>
        <v>0</v>
      </c>
      <c r="CB76" s="477">
        <f>IF('Incremental Repayments'!$R$22="Debt",IF(AND(CB$4&gt;=$D76,CB$4&lt;$D76+'Incremental Repayments'!$I$31),-PMT('Interest Rate'!$J$16,'Incremental Repayments'!$I$31,(HLOOKUP($D76,$E$4:$CZ$32,28,FALSE)*'Incremental Repayments'!$I$22)),0),0)</f>
        <v>0</v>
      </c>
      <c r="CC76" s="477">
        <f>IF('Incremental Repayments'!$R$22="Debt",IF(AND(CC$4&gt;=$D76,CC$4&lt;$D76+'Incremental Repayments'!$I$31),-PMT('Interest Rate'!$J$16,'Incremental Repayments'!$I$31,(HLOOKUP($D76,$E$4:$CZ$32,28,FALSE)*'Incremental Repayments'!$I$22)),0),0)</f>
        <v>0</v>
      </c>
      <c r="CD76" s="477">
        <f>IF('Incremental Repayments'!$R$22="Debt",IF(AND(CD$4&gt;=$D76,CD$4&lt;$D76+'Incremental Repayments'!$I$31),-PMT('Interest Rate'!$J$16,'Incremental Repayments'!$I$31,(HLOOKUP($D76,$E$4:$CZ$32,28,FALSE)*'Incremental Repayments'!$I$22)),0),0)</f>
        <v>0</v>
      </c>
      <c r="CE76" s="477">
        <f>IF('Incremental Repayments'!$R$22="Debt",IF(AND(CE$4&gt;=$D76,CE$4&lt;$D76+'Incremental Repayments'!$I$31),-PMT('Interest Rate'!$J$16,'Incremental Repayments'!$I$31,(HLOOKUP($D76,$E$4:$CZ$32,28,FALSE)*'Incremental Repayments'!$I$22)),0),0)</f>
        <v>0</v>
      </c>
      <c r="CF76" s="477">
        <f>IF('Incremental Repayments'!$R$22="Debt",IF(AND(CF$4&gt;=$D76,CF$4&lt;$D76+'Incremental Repayments'!$I$31),-PMT('Interest Rate'!$J$16,'Incremental Repayments'!$I$31,(HLOOKUP($D76,$E$4:$CZ$32,28,FALSE)*'Incremental Repayments'!$I$22)),0),0)</f>
        <v>0</v>
      </c>
      <c r="CG76" s="477">
        <f>IF('Incremental Repayments'!$R$22="Debt",IF(AND(CG$4&gt;=$D76,CG$4&lt;$D76+'Incremental Repayments'!$I$31),-PMT('Interest Rate'!$J$16,'Incremental Repayments'!$I$31,(HLOOKUP($D76,$E$4:$CZ$32,28,FALSE)*'Incremental Repayments'!$I$22)),0),0)</f>
        <v>0</v>
      </c>
      <c r="CH76" s="477">
        <f>IF('Incremental Repayments'!$R$22="Debt",IF(AND(CH$4&gt;=$D76,CH$4&lt;$D76+'Incremental Repayments'!$I$31),-PMT('Interest Rate'!$J$16,'Incremental Repayments'!$I$31,(HLOOKUP($D76,$E$4:$CZ$32,28,FALSE)*'Incremental Repayments'!$I$22)),0),0)</f>
        <v>0</v>
      </c>
      <c r="CI76" s="477">
        <f>IF('Incremental Repayments'!$R$22="Debt",IF(AND(CI$4&gt;=$D76,CI$4&lt;$D76+'Incremental Repayments'!$I$31),-PMT('Interest Rate'!$J$16,'Incremental Repayments'!$I$31,(HLOOKUP($D76,$E$4:$CZ$32,28,FALSE)*'Incremental Repayments'!$I$22)),0),0)</f>
        <v>0</v>
      </c>
      <c r="CJ76" s="477">
        <f>IF('Incremental Repayments'!$R$22="Debt",IF(AND(CJ$4&gt;=$D76,CJ$4&lt;$D76+'Incremental Repayments'!$I$31),-PMT('Interest Rate'!$J$16,'Incremental Repayments'!$I$31,(HLOOKUP($D76,$E$4:$CZ$32,28,FALSE)*'Incremental Repayments'!$I$22)),0),0)</f>
        <v>0</v>
      </c>
      <c r="CK76" s="477">
        <f>IF('Incremental Repayments'!$R$22="Debt",IF(AND(CK$4&gt;=$D76,CK$4&lt;$D76+'Incremental Repayments'!$I$31),-PMT('Interest Rate'!$J$16,'Incremental Repayments'!$I$31,(HLOOKUP($D76,$E$4:$CZ$32,28,FALSE)*'Incremental Repayments'!$I$22)),0),0)</f>
        <v>0</v>
      </c>
      <c r="CL76" s="477">
        <f>IF('Incremental Repayments'!$R$22="Debt",IF(AND(CL$4&gt;=$D76,CL$4&lt;$D76+'Incremental Repayments'!$I$31),-PMT('Interest Rate'!$J$16,'Incremental Repayments'!$I$31,(HLOOKUP($D76,$E$4:$CZ$32,28,FALSE)*'Incremental Repayments'!$I$22)),0),0)</f>
        <v>0</v>
      </c>
      <c r="CM76" s="477">
        <f>IF('Incremental Repayments'!$R$22="Debt",IF(AND(CM$4&gt;=$D76,CM$4&lt;$D76+'Incremental Repayments'!$I$31),-PMT('Interest Rate'!$J$16,'Incremental Repayments'!$I$31,(HLOOKUP($D76,$E$4:$CZ$32,28,FALSE)*'Incremental Repayments'!$I$22)),0),0)</f>
        <v>0</v>
      </c>
      <c r="CN76" s="477">
        <f>IF('Incremental Repayments'!$R$22="Debt",IF(AND(CN$4&gt;=$D76,CN$4&lt;$D76+'Incremental Repayments'!$I$31),-PMT('Interest Rate'!$J$16,'Incremental Repayments'!$I$31,(HLOOKUP($D76,$E$4:$CZ$32,28,FALSE)*'Incremental Repayments'!$I$22)),0),0)</f>
        <v>0</v>
      </c>
      <c r="CO76" s="477">
        <f>IF('Incremental Repayments'!$R$22="Debt",IF(AND(CO$4&gt;=$D76,CO$4&lt;$D76+'Incremental Repayments'!$I$31),-PMT('Interest Rate'!$J$16,'Incremental Repayments'!$I$31,(HLOOKUP($D76,$E$4:$CZ$32,28,FALSE)*'Incremental Repayments'!$I$22)),0),0)</f>
        <v>0</v>
      </c>
      <c r="CP76" s="477">
        <f>IF('Incremental Repayments'!$R$22="Debt",IF(AND(CP$4&gt;=$D76,CP$4&lt;$D76+'Incremental Repayments'!$I$31),-PMT('Interest Rate'!$J$16,'Incremental Repayments'!$I$31,(HLOOKUP($D76,$E$4:$CZ$32,28,FALSE)*'Incremental Repayments'!$I$22)),0),0)</f>
        <v>0</v>
      </c>
      <c r="CQ76" s="477">
        <f>IF('Incremental Repayments'!$R$22="Debt",IF(AND(CQ$4&gt;=$D76,CQ$4&lt;$D76+'Incremental Repayments'!$I$31),-PMT('Interest Rate'!$J$16,'Incremental Repayments'!$I$31,(HLOOKUP($D76,$E$4:$CZ$32,28,FALSE)*'Incremental Repayments'!$I$22)),0),0)</f>
        <v>0</v>
      </c>
      <c r="CR76" s="477">
        <f>IF('Incremental Repayments'!$R$22="Debt",IF(AND(CR$4&gt;=$D76,CR$4&lt;$D76+'Incremental Repayments'!$I$31),-PMT('Interest Rate'!$J$16,'Incremental Repayments'!$I$31,(HLOOKUP($D76,$E$4:$CZ$32,28,FALSE)*'Incremental Repayments'!$I$22)),0),0)</f>
        <v>0</v>
      </c>
      <c r="CS76" s="477">
        <f>IF('Incremental Repayments'!$R$22="Debt",IF(AND(CS$4&gt;=$D76,CS$4&lt;$D76+'Incremental Repayments'!$I$31),-PMT('Interest Rate'!$J$16,'Incremental Repayments'!$I$31,(HLOOKUP($D76,$E$4:$CZ$32,28,FALSE)*'Incremental Repayments'!$I$22)),0),0)</f>
        <v>0</v>
      </c>
      <c r="CT76" s="477">
        <f>IF('Incremental Repayments'!$R$22="Debt",IF(AND(CT$4&gt;=$D76,CT$4&lt;$D76+'Incremental Repayments'!$I$31),-PMT('Interest Rate'!$J$16,'Incremental Repayments'!$I$31,(HLOOKUP($D76,$E$4:$CZ$32,28,FALSE)*'Incremental Repayments'!$I$22)),0),0)</f>
        <v>0</v>
      </c>
      <c r="CU76" s="477">
        <f>IF('Incremental Repayments'!$R$22="Debt",IF(AND(CU$4&gt;=$D76,CU$4&lt;$D76+'Incremental Repayments'!$I$31),-PMT('Interest Rate'!$J$16,'Incremental Repayments'!$I$31,(HLOOKUP($D76,$E$4:$CZ$32,28,FALSE)*'Incremental Repayments'!$I$22)),0),0)</f>
        <v>0</v>
      </c>
      <c r="CV76" s="477">
        <f>IF('Incremental Repayments'!$R$22="Debt",IF(AND(CV$4&gt;=$D76,CV$4&lt;$D76+'Incremental Repayments'!$I$31),-PMT('Interest Rate'!$J$16,'Incremental Repayments'!$I$31,(HLOOKUP($D76,$E$4:$CZ$32,28,FALSE)*'Incremental Repayments'!$I$22)),0),0)</f>
        <v>0</v>
      </c>
      <c r="CW76" s="477">
        <f>IF('Incremental Repayments'!$R$22="Debt",IF(AND(CW$4&gt;=$D76,CW$4&lt;$D76+'Incremental Repayments'!$I$31),-PMT('Interest Rate'!$J$16,'Incremental Repayments'!$I$31,(HLOOKUP($D76,$E$4:$CZ$32,28,FALSE)*'Incremental Repayments'!$I$22)),0),0)</f>
        <v>0</v>
      </c>
      <c r="CX76" s="477">
        <f>IF('Incremental Repayments'!$R$22="Debt",IF(AND(CX$4&gt;=$D76,CX$4&lt;$D76+'Incremental Repayments'!$I$31),-PMT('Interest Rate'!$J$16,'Incremental Repayments'!$I$31,(HLOOKUP($D76,$E$4:$CZ$32,28,FALSE)*'Incremental Repayments'!$I$22)),0),0)</f>
        <v>0</v>
      </c>
      <c r="CY76" s="477">
        <f>IF('Incremental Repayments'!$R$22="Debt",IF(AND(CY$4&gt;=$D76,CY$4&lt;$D76+'Incremental Repayments'!$I$31),-PMT('Interest Rate'!$J$16,'Incremental Repayments'!$I$31,(HLOOKUP($D76,$E$4:$CZ$32,28,FALSE)*'Incremental Repayments'!$I$22)),0),0)</f>
        <v>0</v>
      </c>
      <c r="CZ76" s="477">
        <f>IF('Incremental Repayments'!$R$22="Debt",IF(AND(CZ$4&gt;=$D76,CZ$4&lt;$D76+'Incremental Repayments'!$I$31),-PMT('Interest Rate'!$J$16,'Incremental Repayments'!$I$31,(HLOOKUP($D76,$E$4:$CZ$32,28,FALSE)*'Incremental Repayments'!$I$22)),0),0)</f>
        <v>0</v>
      </c>
    </row>
    <row r="77" spans="2:104" x14ac:dyDescent="0.25">
      <c r="B77" s="480" t="str">
        <f>CONCATENATE("Series ",D77,"A Bonds (at ",'Interest Rate'!$J$16*100,"% Interest)")</f>
        <v>Series 2055A Bonds (at 4.5% Interest)</v>
      </c>
      <c r="C77" s="480"/>
      <c r="D77" s="492">
        <f t="shared" si="493"/>
        <v>2055</v>
      </c>
      <c r="E77" s="477">
        <f>IF('Incremental Repayments'!$R$22="Debt",IF(AND(E$4&gt;=$D77,E$4&lt;$D77+'Incremental Repayments'!$I$31),-PMT('Interest Rate'!$J$16,'Incremental Repayments'!$I$31,(HLOOKUP($D77,$E$4:$CZ$32,28,FALSE)*'Incremental Repayments'!$I$22)),0),0)</f>
        <v>0</v>
      </c>
      <c r="F77" s="477">
        <f>IF('Incremental Repayments'!$R$22="Debt",IF(AND(F$4&gt;=$D77,F$4&lt;$D77+'Incremental Repayments'!$I$31),-PMT('Interest Rate'!$J$16,'Incremental Repayments'!$I$31,(HLOOKUP($D77,$E$4:$CZ$32,28,FALSE)*'Incremental Repayments'!$I$22)),0),0)</f>
        <v>0</v>
      </c>
      <c r="G77" s="477">
        <f>IF('Incremental Repayments'!$R$22="Debt",IF(AND(G$4&gt;=$D77,G$4&lt;$D77+'Incremental Repayments'!$I$31),-PMT('Interest Rate'!$J$16,'Incremental Repayments'!$I$31,(HLOOKUP($D77,$E$4:$CZ$32,28,FALSE)*'Incremental Repayments'!$I$22)),0),0)</f>
        <v>0</v>
      </c>
      <c r="H77" s="477">
        <f>IF('Incremental Repayments'!$R$22="Debt",IF(AND(H$4&gt;=$D77,H$4&lt;$D77+'Incremental Repayments'!$I$31),-PMT('Interest Rate'!$J$16,'Incremental Repayments'!$I$31,(HLOOKUP($D77,$E$4:$CZ$32,28,FALSE)*'Incremental Repayments'!$I$22)),0),0)</f>
        <v>0</v>
      </c>
      <c r="I77" s="477">
        <f>IF('Incremental Repayments'!$R$22="Debt",IF(AND(I$4&gt;=$D77,I$4&lt;$D77+'Incremental Repayments'!$I$31),-PMT('Interest Rate'!$J$16,'Incremental Repayments'!$I$31,(HLOOKUP($D77,$E$4:$CZ$32,28,FALSE)*'Incremental Repayments'!$I$22)),0),0)</f>
        <v>0</v>
      </c>
      <c r="J77" s="477">
        <f>IF('Incremental Repayments'!$R$22="Debt",IF(AND(J$4&gt;=$D77,J$4&lt;$D77+'Incremental Repayments'!$I$31),-PMT('Interest Rate'!$J$16,'Incremental Repayments'!$I$31,(HLOOKUP($D77,$E$4:$CZ$32,28,FALSE)*'Incremental Repayments'!$I$22)),0),0)</f>
        <v>0</v>
      </c>
      <c r="K77" s="477">
        <f>IF('Incremental Repayments'!$R$22="Debt",IF(AND(K$4&gt;=$D77,K$4&lt;$D77+'Incremental Repayments'!$I$31),-PMT('Interest Rate'!$J$16,'Incremental Repayments'!$I$31,(HLOOKUP($D77,$E$4:$CZ$32,28,FALSE)*'Incremental Repayments'!$I$22)),0),0)</f>
        <v>0</v>
      </c>
      <c r="L77" s="477">
        <f>IF('Incremental Repayments'!$R$22="Debt",IF(AND(L$4&gt;=$D77,L$4&lt;$D77+'Incremental Repayments'!$I$31),-PMT('Interest Rate'!$J$16,'Incremental Repayments'!$I$31,(HLOOKUP($D77,$E$4:$CZ$32,28,FALSE)*'Incremental Repayments'!$I$22)),0),0)</f>
        <v>0</v>
      </c>
      <c r="M77" s="477">
        <f>IF('Incremental Repayments'!$R$22="Debt",IF(AND(M$4&gt;=$D77,M$4&lt;$D77+'Incremental Repayments'!$I$31),-PMT('Interest Rate'!$J$16,'Incremental Repayments'!$I$31,(HLOOKUP($D77,$E$4:$CZ$32,28,FALSE)*'Incremental Repayments'!$I$22)),0),0)</f>
        <v>0</v>
      </c>
      <c r="N77" s="477">
        <f>IF('Incremental Repayments'!$R$22="Debt",IF(AND(N$4&gt;=$D77,N$4&lt;$D77+'Incremental Repayments'!$I$31),-PMT('Interest Rate'!$J$16,'Incremental Repayments'!$I$31,(HLOOKUP($D77,$E$4:$CZ$32,28,FALSE)*'Incremental Repayments'!$I$22)),0),0)</f>
        <v>0</v>
      </c>
      <c r="O77" s="477">
        <f>IF('Incremental Repayments'!$R$22="Debt",IF(AND(O$4&gt;=$D77,O$4&lt;$D77+'Incremental Repayments'!$I$31),-PMT('Interest Rate'!$J$16,'Incremental Repayments'!$I$31,(HLOOKUP($D77,$E$4:$CZ$32,28,FALSE)*'Incremental Repayments'!$I$22)),0),0)</f>
        <v>0</v>
      </c>
      <c r="P77" s="477">
        <f>IF('Incremental Repayments'!$R$22="Debt",IF(AND(P$4&gt;=$D77,P$4&lt;$D77+'Incremental Repayments'!$I$31),-PMT('Interest Rate'!$J$16,'Incremental Repayments'!$I$31,(HLOOKUP($D77,$E$4:$CZ$32,28,FALSE)*'Incremental Repayments'!$I$22)),0),0)</f>
        <v>0</v>
      </c>
      <c r="Q77" s="477">
        <f>IF('Incremental Repayments'!$R$22="Debt",IF(AND(Q$4&gt;=$D77,Q$4&lt;$D77+'Incremental Repayments'!$I$31),-PMT('Interest Rate'!$J$16,'Incremental Repayments'!$I$31,(HLOOKUP($D77,$E$4:$CZ$32,28,FALSE)*'Incremental Repayments'!$I$22)),0),0)</f>
        <v>0</v>
      </c>
      <c r="R77" s="477">
        <f>IF('Incremental Repayments'!$R$22="Debt",IF(AND(R$4&gt;=$D77,R$4&lt;$D77+'Incremental Repayments'!$I$31),-PMT('Interest Rate'!$J$16,'Incremental Repayments'!$I$31,(HLOOKUP($D77,$E$4:$CZ$32,28,FALSE)*'Incremental Repayments'!$I$22)),0),0)</f>
        <v>0</v>
      </c>
      <c r="S77" s="477">
        <f>IF('Incremental Repayments'!$R$22="Debt",IF(AND(S$4&gt;=$D77,S$4&lt;$D77+'Incremental Repayments'!$I$31),-PMT('Interest Rate'!$J$16,'Incremental Repayments'!$I$31,(HLOOKUP($D77,$E$4:$CZ$32,28,FALSE)*'Incremental Repayments'!$I$22)),0),0)</f>
        <v>0</v>
      </c>
      <c r="T77" s="477">
        <f>IF('Incremental Repayments'!$R$22="Debt",IF(AND(T$4&gt;=$D77,T$4&lt;$D77+'Incremental Repayments'!$I$31),-PMT('Interest Rate'!$J$16,'Incremental Repayments'!$I$31,(HLOOKUP($D77,$E$4:$CZ$32,28,FALSE)*'Incremental Repayments'!$I$22)),0),0)</f>
        <v>0</v>
      </c>
      <c r="U77" s="477">
        <f>IF('Incremental Repayments'!$R$22="Debt",IF(AND(U$4&gt;=$D77,U$4&lt;$D77+'Incremental Repayments'!$I$31),-PMT('Interest Rate'!$J$16,'Incremental Repayments'!$I$31,(HLOOKUP($D77,$E$4:$CZ$32,28,FALSE)*'Incremental Repayments'!$I$22)),0),0)</f>
        <v>0</v>
      </c>
      <c r="V77" s="477">
        <f>IF('Incremental Repayments'!$R$22="Debt",IF(AND(V$4&gt;=$D77,V$4&lt;$D77+'Incremental Repayments'!$I$31),-PMT('Interest Rate'!$J$16,'Incremental Repayments'!$I$31,(HLOOKUP($D77,$E$4:$CZ$32,28,FALSE)*'Incremental Repayments'!$I$22)),0),0)</f>
        <v>0</v>
      </c>
      <c r="W77" s="477">
        <f>IF('Incremental Repayments'!$R$22="Debt",IF(AND(W$4&gt;=$D77,W$4&lt;$D77+'Incremental Repayments'!$I$31),-PMT('Interest Rate'!$J$16,'Incremental Repayments'!$I$31,(HLOOKUP($D77,$E$4:$CZ$32,28,FALSE)*'Incremental Repayments'!$I$22)),0),0)</f>
        <v>0</v>
      </c>
      <c r="X77" s="477">
        <f>IF('Incremental Repayments'!$R$22="Debt",IF(AND(X$4&gt;=$D77,X$4&lt;$D77+'Incremental Repayments'!$I$31),-PMT('Interest Rate'!$J$16,'Incremental Repayments'!$I$31,(HLOOKUP($D77,$E$4:$CZ$32,28,FALSE)*'Incremental Repayments'!$I$22)),0),0)</f>
        <v>0</v>
      </c>
      <c r="Y77" s="477">
        <f>IF('Incremental Repayments'!$R$22="Debt",IF(AND(Y$4&gt;=$D77,Y$4&lt;$D77+'Incremental Repayments'!$I$31),-PMT('Interest Rate'!$J$16,'Incremental Repayments'!$I$31,(HLOOKUP($D77,$E$4:$CZ$32,28,FALSE)*'Incremental Repayments'!$I$22)),0),0)</f>
        <v>0</v>
      </c>
      <c r="Z77" s="477">
        <f>IF('Incremental Repayments'!$R$22="Debt",IF(AND(Z$4&gt;=$D77,Z$4&lt;$D77+'Incremental Repayments'!$I$31),-PMT('Interest Rate'!$J$16,'Incremental Repayments'!$I$31,(HLOOKUP($D77,$E$4:$CZ$32,28,FALSE)*'Incremental Repayments'!$I$22)),0),0)</f>
        <v>0</v>
      </c>
      <c r="AA77" s="477">
        <f>IF('Incremental Repayments'!$R$22="Debt",IF(AND(AA$4&gt;=$D77,AA$4&lt;$D77+'Incremental Repayments'!$I$31),-PMT('Interest Rate'!$J$16,'Incremental Repayments'!$I$31,(HLOOKUP($D77,$E$4:$CZ$32,28,FALSE)*'Incremental Repayments'!$I$22)),0),0)</f>
        <v>0</v>
      </c>
      <c r="AB77" s="477">
        <f>IF('Incremental Repayments'!$R$22="Debt",IF(AND(AB$4&gt;=$D77,AB$4&lt;$D77+'Incremental Repayments'!$I$31),-PMT('Interest Rate'!$J$16,'Incremental Repayments'!$I$31,(HLOOKUP($D77,$E$4:$CZ$32,28,FALSE)*'Incremental Repayments'!$I$22)),0),0)</f>
        <v>0</v>
      </c>
      <c r="AC77" s="477">
        <f>IF('Incremental Repayments'!$R$22="Debt",IF(AND(AC$4&gt;=$D77,AC$4&lt;$D77+'Incremental Repayments'!$I$31),-PMT('Interest Rate'!$J$16,'Incremental Repayments'!$I$31,(HLOOKUP($D77,$E$4:$CZ$32,28,FALSE)*'Incremental Repayments'!$I$22)),0),0)</f>
        <v>0</v>
      </c>
      <c r="AD77" s="477">
        <f>IF('Incremental Repayments'!$R$22="Debt",IF(AND(AD$4&gt;=$D77,AD$4&lt;$D77+'Incremental Repayments'!$I$31),-PMT('Interest Rate'!$J$16,'Incremental Repayments'!$I$31,(HLOOKUP($D77,$E$4:$CZ$32,28,FALSE)*'Incremental Repayments'!$I$22)),0),0)</f>
        <v>0</v>
      </c>
      <c r="AE77" s="477">
        <f>IF('Incremental Repayments'!$R$22="Debt",IF(AND(AE$4&gt;=$D77,AE$4&lt;$D77+'Incremental Repayments'!$I$31),-PMT('Interest Rate'!$J$16,'Incremental Repayments'!$I$31,(HLOOKUP($D77,$E$4:$CZ$32,28,FALSE)*'Incremental Repayments'!$I$22)),0),0)</f>
        <v>0</v>
      </c>
      <c r="AF77" s="477">
        <f>IF('Incremental Repayments'!$R$22="Debt",IF(AND(AF$4&gt;=$D77,AF$4&lt;$D77+'Incremental Repayments'!$I$31),-PMT('Interest Rate'!$J$16,'Incremental Repayments'!$I$31,(HLOOKUP($D77,$E$4:$CZ$32,28,FALSE)*'Incremental Repayments'!$I$22)),0),0)</f>
        <v>0</v>
      </c>
      <c r="AG77" s="477">
        <f>IF('Incremental Repayments'!$R$22="Debt",IF(AND(AG$4&gt;=$D77,AG$4&lt;$D77+'Incremental Repayments'!$I$31),-PMT('Interest Rate'!$J$16,'Incremental Repayments'!$I$31,(HLOOKUP($D77,$E$4:$CZ$32,28,FALSE)*'Incremental Repayments'!$I$22)),0),0)</f>
        <v>0</v>
      </c>
      <c r="AH77" s="477">
        <f>IF('Incremental Repayments'!$R$22="Debt",IF(AND(AH$4&gt;=$D77,AH$4&lt;$D77+'Incremental Repayments'!$I$31),-PMT('Interest Rate'!$J$16,'Incremental Repayments'!$I$31,(HLOOKUP($D77,$E$4:$CZ$32,28,FALSE)*'Incremental Repayments'!$I$22)),0),0)</f>
        <v>0</v>
      </c>
      <c r="AI77" s="477">
        <f>IF('Incremental Repayments'!$R$22="Debt",IF(AND(AI$4&gt;=$D77,AI$4&lt;$D77+'Incremental Repayments'!$I$31),-PMT('Interest Rate'!$J$16,'Incremental Repayments'!$I$31,(HLOOKUP($D77,$E$4:$CZ$32,28,FALSE)*'Incremental Repayments'!$I$22)),0),0)</f>
        <v>0</v>
      </c>
      <c r="AJ77" s="477">
        <f>IF('Incremental Repayments'!$R$22="Debt",IF(AND(AJ$4&gt;=$D77,AJ$4&lt;$D77+'Incremental Repayments'!$I$31),-PMT('Interest Rate'!$J$16,'Incremental Repayments'!$I$31,(HLOOKUP($D77,$E$4:$CZ$32,28,FALSE)*'Incremental Repayments'!$I$22)),0),0)</f>
        <v>0</v>
      </c>
      <c r="AK77" s="477">
        <f>IF('Incremental Repayments'!$R$22="Debt",IF(AND(AK$4&gt;=$D77,AK$4&lt;$D77+'Incremental Repayments'!$I$31),-PMT('Interest Rate'!$J$16,'Incremental Repayments'!$I$31,(HLOOKUP($D77,$E$4:$CZ$32,28,FALSE)*'Incremental Repayments'!$I$22)),0),0)</f>
        <v>0</v>
      </c>
      <c r="AL77" s="477">
        <f>IF('Incremental Repayments'!$R$22="Debt",IF(AND(AL$4&gt;=$D77,AL$4&lt;$D77+'Incremental Repayments'!$I$31),-PMT('Interest Rate'!$J$16,'Incremental Repayments'!$I$31,(HLOOKUP($D77,$E$4:$CZ$32,28,FALSE)*'Incremental Repayments'!$I$22)),0),0)</f>
        <v>0</v>
      </c>
      <c r="AM77" s="477">
        <f>IF('Incremental Repayments'!$R$22="Debt",IF(AND(AM$4&gt;=$D77,AM$4&lt;$D77+'Incremental Repayments'!$I$31),-PMT('Interest Rate'!$J$16,'Incremental Repayments'!$I$31,(HLOOKUP($D77,$E$4:$CZ$32,28,FALSE)*'Incremental Repayments'!$I$22)),0),0)</f>
        <v>0</v>
      </c>
      <c r="AN77" s="477">
        <f>IF('Incremental Repayments'!$R$22="Debt",IF(AND(AN$4&gt;=$D77,AN$4&lt;$D77+'Incremental Repayments'!$I$31),-PMT('Interest Rate'!$J$16,'Incremental Repayments'!$I$31,(HLOOKUP($D77,$E$4:$CZ$32,28,FALSE)*'Incremental Repayments'!$I$22)),0),0)</f>
        <v>0</v>
      </c>
      <c r="AO77" s="477">
        <f>IF('Incremental Repayments'!$R$22="Debt",IF(AND(AO$4&gt;=$D77,AO$4&lt;$D77+'Incremental Repayments'!$I$31),-PMT('Interest Rate'!$J$16,'Incremental Repayments'!$I$31,(HLOOKUP($D77,$E$4:$CZ$32,28,FALSE)*'Incremental Repayments'!$I$22)),0),0)</f>
        <v>0</v>
      </c>
      <c r="AP77" s="477">
        <f>IF('Incremental Repayments'!$R$22="Debt",IF(AND(AP$4&gt;=$D77,AP$4&lt;$D77+'Incremental Repayments'!$I$31),-PMT('Interest Rate'!$J$16,'Incremental Repayments'!$I$31,(HLOOKUP($D77,$E$4:$CZ$32,28,FALSE)*'Incremental Repayments'!$I$22)),0),0)</f>
        <v>0</v>
      </c>
      <c r="AQ77" s="477">
        <f>IF('Incremental Repayments'!$R$22="Debt",IF(AND(AQ$4&gt;=$D77,AQ$4&lt;$D77+'Incremental Repayments'!$I$31),-PMT('Interest Rate'!$J$16,'Incremental Repayments'!$I$31,(HLOOKUP($D77,$E$4:$CZ$32,28,FALSE)*'Incremental Repayments'!$I$22)),0),0)</f>
        <v>0</v>
      </c>
      <c r="AR77" s="477">
        <f>IF('Incremental Repayments'!$R$22="Debt",IF(AND(AR$4&gt;=$D77,AR$4&lt;$D77+'Incremental Repayments'!$I$31),-PMT('Interest Rate'!$J$16,'Incremental Repayments'!$I$31,(HLOOKUP($D77,$E$4:$CZ$32,28,FALSE)*'Incremental Repayments'!$I$22)),0),0)</f>
        <v>0</v>
      </c>
      <c r="AS77" s="477">
        <f>IF('Incremental Repayments'!$R$22="Debt",IF(AND(AS$4&gt;=$D77,AS$4&lt;$D77+'Incremental Repayments'!$I$31),-PMT('Interest Rate'!$J$16,'Incremental Repayments'!$I$31,(HLOOKUP($D77,$E$4:$CZ$32,28,FALSE)*'Incremental Repayments'!$I$22)),0),0)</f>
        <v>0</v>
      </c>
      <c r="AT77" s="477">
        <f>IF('Incremental Repayments'!$R$22="Debt",IF(AND(AT$4&gt;=$D77,AT$4&lt;$D77+'Incremental Repayments'!$I$31),-PMT('Interest Rate'!$J$16,'Incremental Repayments'!$I$31,(HLOOKUP($D77,$E$4:$CZ$32,28,FALSE)*'Incremental Repayments'!$I$22)),0),0)</f>
        <v>1247950.1839236214</v>
      </c>
      <c r="AU77" s="477">
        <f>IF('Incremental Repayments'!$R$22="Debt",IF(AND(AU$4&gt;=$D77,AU$4&lt;$D77+'Incremental Repayments'!$I$31),-PMT('Interest Rate'!$J$16,'Incremental Repayments'!$I$31,(HLOOKUP($D77,$E$4:$CZ$32,28,FALSE)*'Incremental Repayments'!$I$22)),0),0)</f>
        <v>1247950.1839236214</v>
      </c>
      <c r="AV77" s="477">
        <f>IF('Incremental Repayments'!$R$22="Debt",IF(AND(AV$4&gt;=$D77,AV$4&lt;$D77+'Incremental Repayments'!$I$31),-PMT('Interest Rate'!$J$16,'Incremental Repayments'!$I$31,(HLOOKUP($D77,$E$4:$CZ$32,28,FALSE)*'Incremental Repayments'!$I$22)),0),0)</f>
        <v>1247950.1839236214</v>
      </c>
      <c r="AW77" s="477">
        <f>IF('Incremental Repayments'!$R$22="Debt",IF(AND(AW$4&gt;=$D77,AW$4&lt;$D77+'Incremental Repayments'!$I$31),-PMT('Interest Rate'!$J$16,'Incremental Repayments'!$I$31,(HLOOKUP($D77,$E$4:$CZ$32,28,FALSE)*'Incremental Repayments'!$I$22)),0),0)</f>
        <v>1247950.1839236214</v>
      </c>
      <c r="AX77" s="477">
        <f>IF('Incremental Repayments'!$R$22="Debt",IF(AND(AX$4&gt;=$D77,AX$4&lt;$D77+'Incremental Repayments'!$I$31),-PMT('Interest Rate'!$J$16,'Incremental Repayments'!$I$31,(HLOOKUP($D77,$E$4:$CZ$32,28,FALSE)*'Incremental Repayments'!$I$22)),0),0)</f>
        <v>1247950.1839236214</v>
      </c>
      <c r="AY77" s="477">
        <f>IF('Incremental Repayments'!$R$22="Debt",IF(AND(AY$4&gt;=$D77,AY$4&lt;$D77+'Incremental Repayments'!$I$31),-PMT('Interest Rate'!$J$16,'Incremental Repayments'!$I$31,(HLOOKUP($D77,$E$4:$CZ$32,28,FALSE)*'Incremental Repayments'!$I$22)),0),0)</f>
        <v>1247950.1839236214</v>
      </c>
      <c r="AZ77" s="477">
        <f>IF('Incremental Repayments'!$R$22="Debt",IF(AND(AZ$4&gt;=$D77,AZ$4&lt;$D77+'Incremental Repayments'!$I$31),-PMT('Interest Rate'!$J$16,'Incremental Repayments'!$I$31,(HLOOKUP($D77,$E$4:$CZ$32,28,FALSE)*'Incremental Repayments'!$I$22)),0),0)</f>
        <v>1247950.1839236214</v>
      </c>
      <c r="BA77" s="477">
        <f>IF('Incremental Repayments'!$R$22="Debt",IF(AND(BA$4&gt;=$D77,BA$4&lt;$D77+'Incremental Repayments'!$I$31),-PMT('Interest Rate'!$J$16,'Incremental Repayments'!$I$31,(HLOOKUP($D77,$E$4:$CZ$32,28,FALSE)*'Incremental Repayments'!$I$22)),0),0)</f>
        <v>1247950.1839236214</v>
      </c>
      <c r="BB77" s="477">
        <f>IF('Incremental Repayments'!$R$22="Debt",IF(AND(BB$4&gt;=$D77,BB$4&lt;$D77+'Incremental Repayments'!$I$31),-PMT('Interest Rate'!$J$16,'Incremental Repayments'!$I$31,(HLOOKUP($D77,$E$4:$CZ$32,28,FALSE)*'Incremental Repayments'!$I$22)),0),0)</f>
        <v>1247950.1839236214</v>
      </c>
      <c r="BC77" s="477">
        <f>IF('Incremental Repayments'!$R$22="Debt",IF(AND(BC$4&gt;=$D77,BC$4&lt;$D77+'Incremental Repayments'!$I$31),-PMT('Interest Rate'!$J$16,'Incremental Repayments'!$I$31,(HLOOKUP($D77,$E$4:$CZ$32,28,FALSE)*'Incremental Repayments'!$I$22)),0),0)</f>
        <v>1247950.1839236214</v>
      </c>
      <c r="BD77" s="477">
        <f>IF('Incremental Repayments'!$R$22="Debt",IF(AND(BD$4&gt;=$D77,BD$4&lt;$D77+'Incremental Repayments'!$I$31),-PMT('Interest Rate'!$J$16,'Incremental Repayments'!$I$31,(HLOOKUP($D77,$E$4:$CZ$32,28,FALSE)*'Incremental Repayments'!$I$22)),0),0)</f>
        <v>1247950.1839236214</v>
      </c>
      <c r="BE77" s="477">
        <f>IF('Incremental Repayments'!$R$22="Debt",IF(AND(BE$4&gt;=$D77,BE$4&lt;$D77+'Incremental Repayments'!$I$31),-PMT('Interest Rate'!$J$16,'Incremental Repayments'!$I$31,(HLOOKUP($D77,$E$4:$CZ$32,28,FALSE)*'Incremental Repayments'!$I$22)),0),0)</f>
        <v>1247950.1839236214</v>
      </c>
      <c r="BF77" s="477">
        <f>IF('Incremental Repayments'!$R$22="Debt",IF(AND(BF$4&gt;=$D77,BF$4&lt;$D77+'Incremental Repayments'!$I$31),-PMT('Interest Rate'!$J$16,'Incremental Repayments'!$I$31,(HLOOKUP($D77,$E$4:$CZ$32,28,FALSE)*'Incremental Repayments'!$I$22)),0),0)</f>
        <v>1247950.1839236214</v>
      </c>
      <c r="BG77" s="477">
        <f>IF('Incremental Repayments'!$R$22="Debt",IF(AND(BG$4&gt;=$D77,BG$4&lt;$D77+'Incremental Repayments'!$I$31),-PMT('Interest Rate'!$J$16,'Incremental Repayments'!$I$31,(HLOOKUP($D77,$E$4:$CZ$32,28,FALSE)*'Incremental Repayments'!$I$22)),0),0)</f>
        <v>1247950.1839236214</v>
      </c>
      <c r="BH77" s="477">
        <f>IF('Incremental Repayments'!$R$22="Debt",IF(AND(BH$4&gt;=$D77,BH$4&lt;$D77+'Incremental Repayments'!$I$31),-PMT('Interest Rate'!$J$16,'Incremental Repayments'!$I$31,(HLOOKUP($D77,$E$4:$CZ$32,28,FALSE)*'Incremental Repayments'!$I$22)),0),0)</f>
        <v>1247950.1839236214</v>
      </c>
      <c r="BI77" s="477">
        <f>IF('Incremental Repayments'!$R$22="Debt",IF(AND(BI$4&gt;=$D77,BI$4&lt;$D77+'Incremental Repayments'!$I$31),-PMT('Interest Rate'!$J$16,'Incremental Repayments'!$I$31,(HLOOKUP($D77,$E$4:$CZ$32,28,FALSE)*'Incremental Repayments'!$I$22)),0),0)</f>
        <v>1247950.1839236214</v>
      </c>
      <c r="BJ77" s="477">
        <f>IF('Incremental Repayments'!$R$22="Debt",IF(AND(BJ$4&gt;=$D77,BJ$4&lt;$D77+'Incremental Repayments'!$I$31),-PMT('Interest Rate'!$J$16,'Incremental Repayments'!$I$31,(HLOOKUP($D77,$E$4:$CZ$32,28,FALSE)*'Incremental Repayments'!$I$22)),0),0)</f>
        <v>1247950.1839236214</v>
      </c>
      <c r="BK77" s="477">
        <f>IF('Incremental Repayments'!$R$22="Debt",IF(AND(BK$4&gt;=$D77,BK$4&lt;$D77+'Incremental Repayments'!$I$31),-PMT('Interest Rate'!$J$16,'Incremental Repayments'!$I$31,(HLOOKUP($D77,$E$4:$CZ$32,28,FALSE)*'Incremental Repayments'!$I$22)),0),0)</f>
        <v>1247950.1839236214</v>
      </c>
      <c r="BL77" s="477">
        <f>IF('Incremental Repayments'!$R$22="Debt",IF(AND(BL$4&gt;=$D77,BL$4&lt;$D77+'Incremental Repayments'!$I$31),-PMT('Interest Rate'!$J$16,'Incremental Repayments'!$I$31,(HLOOKUP($D77,$E$4:$CZ$32,28,FALSE)*'Incremental Repayments'!$I$22)),0),0)</f>
        <v>1247950.1839236214</v>
      </c>
      <c r="BM77" s="477">
        <f>IF('Incremental Repayments'!$R$22="Debt",IF(AND(BM$4&gt;=$D77,BM$4&lt;$D77+'Incremental Repayments'!$I$31),-PMT('Interest Rate'!$J$16,'Incremental Repayments'!$I$31,(HLOOKUP($D77,$E$4:$CZ$32,28,FALSE)*'Incremental Repayments'!$I$22)),0),0)</f>
        <v>1247950.1839236214</v>
      </c>
      <c r="BN77" s="477">
        <f>IF('Incremental Repayments'!$R$22="Debt",IF(AND(BN$4&gt;=$D77,BN$4&lt;$D77+'Incremental Repayments'!$I$31),-PMT('Interest Rate'!$J$16,'Incremental Repayments'!$I$31,(HLOOKUP($D77,$E$4:$CZ$32,28,FALSE)*'Incremental Repayments'!$I$22)),0),0)</f>
        <v>1247950.1839236214</v>
      </c>
      <c r="BO77" s="477">
        <f>IF('Incremental Repayments'!$R$22="Debt",IF(AND(BO$4&gt;=$D77,BO$4&lt;$D77+'Incremental Repayments'!$I$31),-PMT('Interest Rate'!$J$16,'Incremental Repayments'!$I$31,(HLOOKUP($D77,$E$4:$CZ$32,28,FALSE)*'Incremental Repayments'!$I$22)),0),0)</f>
        <v>1247950.1839236214</v>
      </c>
      <c r="BP77" s="477">
        <f>IF('Incremental Repayments'!$R$22="Debt",IF(AND(BP$4&gt;=$D77,BP$4&lt;$D77+'Incremental Repayments'!$I$31),-PMT('Interest Rate'!$J$16,'Incremental Repayments'!$I$31,(HLOOKUP($D77,$E$4:$CZ$32,28,FALSE)*'Incremental Repayments'!$I$22)),0),0)</f>
        <v>1247950.1839236214</v>
      </c>
      <c r="BQ77" s="477">
        <f>IF('Incremental Repayments'!$R$22="Debt",IF(AND(BQ$4&gt;=$D77,BQ$4&lt;$D77+'Incremental Repayments'!$I$31),-PMT('Interest Rate'!$J$16,'Incremental Repayments'!$I$31,(HLOOKUP($D77,$E$4:$CZ$32,28,FALSE)*'Incremental Repayments'!$I$22)),0),0)</f>
        <v>1247950.1839236214</v>
      </c>
      <c r="BR77" s="477">
        <f>IF('Incremental Repayments'!$R$22="Debt",IF(AND(BR$4&gt;=$D77,BR$4&lt;$D77+'Incremental Repayments'!$I$31),-PMT('Interest Rate'!$J$16,'Incremental Repayments'!$I$31,(HLOOKUP($D77,$E$4:$CZ$32,28,FALSE)*'Incremental Repayments'!$I$22)),0),0)</f>
        <v>1247950.1839236214</v>
      </c>
      <c r="BS77" s="477">
        <f>IF('Incremental Repayments'!$R$22="Debt",IF(AND(BS$4&gt;=$D77,BS$4&lt;$D77+'Incremental Repayments'!$I$31),-PMT('Interest Rate'!$J$16,'Incremental Repayments'!$I$31,(HLOOKUP($D77,$E$4:$CZ$32,28,FALSE)*'Incremental Repayments'!$I$22)),0),0)</f>
        <v>1247950.1839236214</v>
      </c>
      <c r="BT77" s="477">
        <f>IF('Incremental Repayments'!$R$22="Debt",IF(AND(BT$4&gt;=$D77,BT$4&lt;$D77+'Incremental Repayments'!$I$31),-PMT('Interest Rate'!$J$16,'Incremental Repayments'!$I$31,(HLOOKUP($D77,$E$4:$CZ$32,28,FALSE)*'Incremental Repayments'!$I$22)),0),0)</f>
        <v>1247950.1839236214</v>
      </c>
      <c r="BU77" s="477">
        <f>IF('Incremental Repayments'!$R$22="Debt",IF(AND(BU$4&gt;=$D77,BU$4&lt;$D77+'Incremental Repayments'!$I$31),-PMT('Interest Rate'!$J$16,'Incremental Repayments'!$I$31,(HLOOKUP($D77,$E$4:$CZ$32,28,FALSE)*'Incremental Repayments'!$I$22)),0),0)</f>
        <v>1247950.1839236214</v>
      </c>
      <c r="BV77" s="477">
        <f>IF('Incremental Repayments'!$R$22="Debt",IF(AND(BV$4&gt;=$D77,BV$4&lt;$D77+'Incremental Repayments'!$I$31),-PMT('Interest Rate'!$J$16,'Incremental Repayments'!$I$31,(HLOOKUP($D77,$E$4:$CZ$32,28,FALSE)*'Incremental Repayments'!$I$22)),0),0)</f>
        <v>1247950.1839236214</v>
      </c>
      <c r="BW77" s="477">
        <f>IF('Incremental Repayments'!$R$22="Debt",IF(AND(BW$4&gt;=$D77,BW$4&lt;$D77+'Incremental Repayments'!$I$31),-PMT('Interest Rate'!$J$16,'Incremental Repayments'!$I$31,(HLOOKUP($D77,$E$4:$CZ$32,28,FALSE)*'Incremental Repayments'!$I$22)),0),0)</f>
        <v>1247950.1839236214</v>
      </c>
      <c r="BX77" s="477">
        <f>IF('Incremental Repayments'!$R$22="Debt",IF(AND(BX$4&gt;=$D77,BX$4&lt;$D77+'Incremental Repayments'!$I$31),-PMT('Interest Rate'!$J$16,'Incremental Repayments'!$I$31,(HLOOKUP($D77,$E$4:$CZ$32,28,FALSE)*'Incremental Repayments'!$I$22)),0),0)</f>
        <v>0</v>
      </c>
      <c r="BY77" s="477">
        <f>IF('Incremental Repayments'!$R$22="Debt",IF(AND(BY$4&gt;=$D77,BY$4&lt;$D77+'Incremental Repayments'!$I$31),-PMT('Interest Rate'!$J$16,'Incremental Repayments'!$I$31,(HLOOKUP($D77,$E$4:$CZ$32,28,FALSE)*'Incremental Repayments'!$I$22)),0),0)</f>
        <v>0</v>
      </c>
      <c r="BZ77" s="477">
        <f>IF('Incremental Repayments'!$R$22="Debt",IF(AND(BZ$4&gt;=$D77,BZ$4&lt;$D77+'Incremental Repayments'!$I$31),-PMT('Interest Rate'!$J$16,'Incremental Repayments'!$I$31,(HLOOKUP($D77,$E$4:$CZ$32,28,FALSE)*'Incremental Repayments'!$I$22)),0),0)</f>
        <v>0</v>
      </c>
      <c r="CA77" s="477">
        <f>IF('Incremental Repayments'!$R$22="Debt",IF(AND(CA$4&gt;=$D77,CA$4&lt;$D77+'Incremental Repayments'!$I$31),-PMT('Interest Rate'!$J$16,'Incremental Repayments'!$I$31,(HLOOKUP($D77,$E$4:$CZ$32,28,FALSE)*'Incremental Repayments'!$I$22)),0),0)</f>
        <v>0</v>
      </c>
      <c r="CB77" s="477">
        <f>IF('Incremental Repayments'!$R$22="Debt",IF(AND(CB$4&gt;=$D77,CB$4&lt;$D77+'Incremental Repayments'!$I$31),-PMT('Interest Rate'!$J$16,'Incremental Repayments'!$I$31,(HLOOKUP($D77,$E$4:$CZ$32,28,FALSE)*'Incremental Repayments'!$I$22)),0),0)</f>
        <v>0</v>
      </c>
      <c r="CC77" s="477">
        <f>IF('Incremental Repayments'!$R$22="Debt",IF(AND(CC$4&gt;=$D77,CC$4&lt;$D77+'Incremental Repayments'!$I$31),-PMT('Interest Rate'!$J$16,'Incremental Repayments'!$I$31,(HLOOKUP($D77,$E$4:$CZ$32,28,FALSE)*'Incremental Repayments'!$I$22)),0),0)</f>
        <v>0</v>
      </c>
      <c r="CD77" s="477">
        <f>IF('Incremental Repayments'!$R$22="Debt",IF(AND(CD$4&gt;=$D77,CD$4&lt;$D77+'Incremental Repayments'!$I$31),-PMT('Interest Rate'!$J$16,'Incremental Repayments'!$I$31,(HLOOKUP($D77,$E$4:$CZ$32,28,FALSE)*'Incremental Repayments'!$I$22)),0),0)</f>
        <v>0</v>
      </c>
      <c r="CE77" s="477">
        <f>IF('Incremental Repayments'!$R$22="Debt",IF(AND(CE$4&gt;=$D77,CE$4&lt;$D77+'Incremental Repayments'!$I$31),-PMT('Interest Rate'!$J$16,'Incremental Repayments'!$I$31,(HLOOKUP($D77,$E$4:$CZ$32,28,FALSE)*'Incremental Repayments'!$I$22)),0),0)</f>
        <v>0</v>
      </c>
      <c r="CF77" s="477">
        <f>IF('Incremental Repayments'!$R$22="Debt",IF(AND(CF$4&gt;=$D77,CF$4&lt;$D77+'Incremental Repayments'!$I$31),-PMT('Interest Rate'!$J$16,'Incremental Repayments'!$I$31,(HLOOKUP($D77,$E$4:$CZ$32,28,FALSE)*'Incremental Repayments'!$I$22)),0),0)</f>
        <v>0</v>
      </c>
      <c r="CG77" s="477">
        <f>IF('Incremental Repayments'!$R$22="Debt",IF(AND(CG$4&gt;=$D77,CG$4&lt;$D77+'Incremental Repayments'!$I$31),-PMT('Interest Rate'!$J$16,'Incremental Repayments'!$I$31,(HLOOKUP($D77,$E$4:$CZ$32,28,FALSE)*'Incremental Repayments'!$I$22)),0),0)</f>
        <v>0</v>
      </c>
      <c r="CH77" s="477">
        <f>IF('Incremental Repayments'!$R$22="Debt",IF(AND(CH$4&gt;=$D77,CH$4&lt;$D77+'Incremental Repayments'!$I$31),-PMT('Interest Rate'!$J$16,'Incremental Repayments'!$I$31,(HLOOKUP($D77,$E$4:$CZ$32,28,FALSE)*'Incremental Repayments'!$I$22)),0),0)</f>
        <v>0</v>
      </c>
      <c r="CI77" s="477">
        <f>IF('Incremental Repayments'!$R$22="Debt",IF(AND(CI$4&gt;=$D77,CI$4&lt;$D77+'Incremental Repayments'!$I$31),-PMT('Interest Rate'!$J$16,'Incremental Repayments'!$I$31,(HLOOKUP($D77,$E$4:$CZ$32,28,FALSE)*'Incremental Repayments'!$I$22)),0),0)</f>
        <v>0</v>
      </c>
      <c r="CJ77" s="477">
        <f>IF('Incremental Repayments'!$R$22="Debt",IF(AND(CJ$4&gt;=$D77,CJ$4&lt;$D77+'Incremental Repayments'!$I$31),-PMT('Interest Rate'!$J$16,'Incremental Repayments'!$I$31,(HLOOKUP($D77,$E$4:$CZ$32,28,FALSE)*'Incremental Repayments'!$I$22)),0),0)</f>
        <v>0</v>
      </c>
      <c r="CK77" s="477">
        <f>IF('Incremental Repayments'!$R$22="Debt",IF(AND(CK$4&gt;=$D77,CK$4&lt;$D77+'Incremental Repayments'!$I$31),-PMT('Interest Rate'!$J$16,'Incremental Repayments'!$I$31,(HLOOKUP($D77,$E$4:$CZ$32,28,FALSE)*'Incremental Repayments'!$I$22)),0),0)</f>
        <v>0</v>
      </c>
      <c r="CL77" s="477">
        <f>IF('Incremental Repayments'!$R$22="Debt",IF(AND(CL$4&gt;=$D77,CL$4&lt;$D77+'Incremental Repayments'!$I$31),-PMT('Interest Rate'!$J$16,'Incremental Repayments'!$I$31,(HLOOKUP($D77,$E$4:$CZ$32,28,FALSE)*'Incremental Repayments'!$I$22)),0),0)</f>
        <v>0</v>
      </c>
      <c r="CM77" s="477">
        <f>IF('Incremental Repayments'!$R$22="Debt",IF(AND(CM$4&gt;=$D77,CM$4&lt;$D77+'Incremental Repayments'!$I$31),-PMT('Interest Rate'!$J$16,'Incremental Repayments'!$I$31,(HLOOKUP($D77,$E$4:$CZ$32,28,FALSE)*'Incremental Repayments'!$I$22)),0),0)</f>
        <v>0</v>
      </c>
      <c r="CN77" s="477">
        <f>IF('Incremental Repayments'!$R$22="Debt",IF(AND(CN$4&gt;=$D77,CN$4&lt;$D77+'Incremental Repayments'!$I$31),-PMT('Interest Rate'!$J$16,'Incremental Repayments'!$I$31,(HLOOKUP($D77,$E$4:$CZ$32,28,FALSE)*'Incremental Repayments'!$I$22)),0),0)</f>
        <v>0</v>
      </c>
      <c r="CO77" s="477">
        <f>IF('Incremental Repayments'!$R$22="Debt",IF(AND(CO$4&gt;=$D77,CO$4&lt;$D77+'Incremental Repayments'!$I$31),-PMT('Interest Rate'!$J$16,'Incremental Repayments'!$I$31,(HLOOKUP($D77,$E$4:$CZ$32,28,FALSE)*'Incremental Repayments'!$I$22)),0),0)</f>
        <v>0</v>
      </c>
      <c r="CP77" s="477">
        <f>IF('Incremental Repayments'!$R$22="Debt",IF(AND(CP$4&gt;=$D77,CP$4&lt;$D77+'Incremental Repayments'!$I$31),-PMT('Interest Rate'!$J$16,'Incremental Repayments'!$I$31,(HLOOKUP($D77,$E$4:$CZ$32,28,FALSE)*'Incremental Repayments'!$I$22)),0),0)</f>
        <v>0</v>
      </c>
      <c r="CQ77" s="477">
        <f>IF('Incremental Repayments'!$R$22="Debt",IF(AND(CQ$4&gt;=$D77,CQ$4&lt;$D77+'Incremental Repayments'!$I$31),-PMT('Interest Rate'!$J$16,'Incremental Repayments'!$I$31,(HLOOKUP($D77,$E$4:$CZ$32,28,FALSE)*'Incremental Repayments'!$I$22)),0),0)</f>
        <v>0</v>
      </c>
      <c r="CR77" s="477">
        <f>IF('Incremental Repayments'!$R$22="Debt",IF(AND(CR$4&gt;=$D77,CR$4&lt;$D77+'Incremental Repayments'!$I$31),-PMT('Interest Rate'!$J$16,'Incremental Repayments'!$I$31,(HLOOKUP($D77,$E$4:$CZ$32,28,FALSE)*'Incremental Repayments'!$I$22)),0),0)</f>
        <v>0</v>
      </c>
      <c r="CS77" s="477">
        <f>IF('Incremental Repayments'!$R$22="Debt",IF(AND(CS$4&gt;=$D77,CS$4&lt;$D77+'Incremental Repayments'!$I$31),-PMT('Interest Rate'!$J$16,'Incremental Repayments'!$I$31,(HLOOKUP($D77,$E$4:$CZ$32,28,FALSE)*'Incremental Repayments'!$I$22)),0),0)</f>
        <v>0</v>
      </c>
      <c r="CT77" s="477">
        <f>IF('Incremental Repayments'!$R$22="Debt",IF(AND(CT$4&gt;=$D77,CT$4&lt;$D77+'Incremental Repayments'!$I$31),-PMT('Interest Rate'!$J$16,'Incremental Repayments'!$I$31,(HLOOKUP($D77,$E$4:$CZ$32,28,FALSE)*'Incremental Repayments'!$I$22)),0),0)</f>
        <v>0</v>
      </c>
      <c r="CU77" s="477">
        <f>IF('Incremental Repayments'!$R$22="Debt",IF(AND(CU$4&gt;=$D77,CU$4&lt;$D77+'Incremental Repayments'!$I$31),-PMT('Interest Rate'!$J$16,'Incremental Repayments'!$I$31,(HLOOKUP($D77,$E$4:$CZ$32,28,FALSE)*'Incremental Repayments'!$I$22)),0),0)</f>
        <v>0</v>
      </c>
      <c r="CV77" s="477">
        <f>IF('Incremental Repayments'!$R$22="Debt",IF(AND(CV$4&gt;=$D77,CV$4&lt;$D77+'Incremental Repayments'!$I$31),-PMT('Interest Rate'!$J$16,'Incremental Repayments'!$I$31,(HLOOKUP($D77,$E$4:$CZ$32,28,FALSE)*'Incremental Repayments'!$I$22)),0),0)</f>
        <v>0</v>
      </c>
      <c r="CW77" s="477">
        <f>IF('Incremental Repayments'!$R$22="Debt",IF(AND(CW$4&gt;=$D77,CW$4&lt;$D77+'Incremental Repayments'!$I$31),-PMT('Interest Rate'!$J$16,'Incremental Repayments'!$I$31,(HLOOKUP($D77,$E$4:$CZ$32,28,FALSE)*'Incremental Repayments'!$I$22)),0),0)</f>
        <v>0</v>
      </c>
      <c r="CX77" s="477">
        <f>IF('Incremental Repayments'!$R$22="Debt",IF(AND(CX$4&gt;=$D77,CX$4&lt;$D77+'Incremental Repayments'!$I$31),-PMT('Interest Rate'!$J$16,'Incremental Repayments'!$I$31,(HLOOKUP($D77,$E$4:$CZ$32,28,FALSE)*'Incremental Repayments'!$I$22)),0),0)</f>
        <v>0</v>
      </c>
      <c r="CY77" s="477">
        <f>IF('Incremental Repayments'!$R$22="Debt",IF(AND(CY$4&gt;=$D77,CY$4&lt;$D77+'Incremental Repayments'!$I$31),-PMT('Interest Rate'!$J$16,'Incremental Repayments'!$I$31,(HLOOKUP($D77,$E$4:$CZ$32,28,FALSE)*'Incremental Repayments'!$I$22)),0),0)</f>
        <v>0</v>
      </c>
      <c r="CZ77" s="477">
        <f>IF('Incremental Repayments'!$R$22="Debt",IF(AND(CZ$4&gt;=$D77,CZ$4&lt;$D77+'Incremental Repayments'!$I$31),-PMT('Interest Rate'!$J$16,'Incremental Repayments'!$I$31,(HLOOKUP($D77,$E$4:$CZ$32,28,FALSE)*'Incremental Repayments'!$I$22)),0),0)</f>
        <v>0</v>
      </c>
    </row>
    <row r="78" spans="2:104" x14ac:dyDescent="0.25">
      <c r="B78" s="480" t="str">
        <f>CONCATENATE("Series ",D78,"A Bonds (at ",'Interest Rate'!$J$16*100,"% Interest)")</f>
        <v>Series 2056A Bonds (at 4.5% Interest)</v>
      </c>
      <c r="C78" s="480"/>
      <c r="D78" s="492">
        <f t="shared" si="493"/>
        <v>2056</v>
      </c>
      <c r="E78" s="477">
        <f>IF('Incremental Repayments'!$R$22="Debt",IF(AND(E$4&gt;=$D78,E$4&lt;$D78+'Incremental Repayments'!$I$31),-PMT('Interest Rate'!$J$16,'Incremental Repayments'!$I$31,(HLOOKUP($D78,$E$4:$CZ$32,28,FALSE)*'Incremental Repayments'!$I$22)),0),0)</f>
        <v>0</v>
      </c>
      <c r="F78" s="477">
        <f>IF('Incremental Repayments'!$R$22="Debt",IF(AND(F$4&gt;=$D78,F$4&lt;$D78+'Incremental Repayments'!$I$31),-PMT('Interest Rate'!$J$16,'Incremental Repayments'!$I$31,(HLOOKUP($D78,$E$4:$CZ$32,28,FALSE)*'Incremental Repayments'!$I$22)),0),0)</f>
        <v>0</v>
      </c>
      <c r="G78" s="477">
        <f>IF('Incremental Repayments'!$R$22="Debt",IF(AND(G$4&gt;=$D78,G$4&lt;$D78+'Incremental Repayments'!$I$31),-PMT('Interest Rate'!$J$16,'Incremental Repayments'!$I$31,(HLOOKUP($D78,$E$4:$CZ$32,28,FALSE)*'Incremental Repayments'!$I$22)),0),0)</f>
        <v>0</v>
      </c>
      <c r="H78" s="477">
        <f>IF('Incremental Repayments'!$R$22="Debt",IF(AND(H$4&gt;=$D78,H$4&lt;$D78+'Incremental Repayments'!$I$31),-PMT('Interest Rate'!$J$16,'Incremental Repayments'!$I$31,(HLOOKUP($D78,$E$4:$CZ$32,28,FALSE)*'Incremental Repayments'!$I$22)),0),0)</f>
        <v>0</v>
      </c>
      <c r="I78" s="477">
        <f>IF('Incremental Repayments'!$R$22="Debt",IF(AND(I$4&gt;=$D78,I$4&lt;$D78+'Incremental Repayments'!$I$31),-PMT('Interest Rate'!$J$16,'Incremental Repayments'!$I$31,(HLOOKUP($D78,$E$4:$CZ$32,28,FALSE)*'Incremental Repayments'!$I$22)),0),0)</f>
        <v>0</v>
      </c>
      <c r="J78" s="477">
        <f>IF('Incremental Repayments'!$R$22="Debt",IF(AND(J$4&gt;=$D78,J$4&lt;$D78+'Incremental Repayments'!$I$31),-PMT('Interest Rate'!$J$16,'Incremental Repayments'!$I$31,(HLOOKUP($D78,$E$4:$CZ$32,28,FALSE)*'Incremental Repayments'!$I$22)),0),0)</f>
        <v>0</v>
      </c>
      <c r="K78" s="477">
        <f>IF('Incremental Repayments'!$R$22="Debt",IF(AND(K$4&gt;=$D78,K$4&lt;$D78+'Incremental Repayments'!$I$31),-PMT('Interest Rate'!$J$16,'Incremental Repayments'!$I$31,(HLOOKUP($D78,$E$4:$CZ$32,28,FALSE)*'Incremental Repayments'!$I$22)),0),0)</f>
        <v>0</v>
      </c>
      <c r="L78" s="477">
        <f>IF('Incremental Repayments'!$R$22="Debt",IF(AND(L$4&gt;=$D78,L$4&lt;$D78+'Incremental Repayments'!$I$31),-PMT('Interest Rate'!$J$16,'Incremental Repayments'!$I$31,(HLOOKUP($D78,$E$4:$CZ$32,28,FALSE)*'Incremental Repayments'!$I$22)),0),0)</f>
        <v>0</v>
      </c>
      <c r="M78" s="477">
        <f>IF('Incremental Repayments'!$R$22="Debt",IF(AND(M$4&gt;=$D78,M$4&lt;$D78+'Incremental Repayments'!$I$31),-PMT('Interest Rate'!$J$16,'Incremental Repayments'!$I$31,(HLOOKUP($D78,$E$4:$CZ$32,28,FALSE)*'Incremental Repayments'!$I$22)),0),0)</f>
        <v>0</v>
      </c>
      <c r="N78" s="477">
        <f>IF('Incremental Repayments'!$R$22="Debt",IF(AND(N$4&gt;=$D78,N$4&lt;$D78+'Incremental Repayments'!$I$31),-PMT('Interest Rate'!$J$16,'Incremental Repayments'!$I$31,(HLOOKUP($D78,$E$4:$CZ$32,28,FALSE)*'Incremental Repayments'!$I$22)),0),0)</f>
        <v>0</v>
      </c>
      <c r="O78" s="477">
        <f>IF('Incremental Repayments'!$R$22="Debt",IF(AND(O$4&gt;=$D78,O$4&lt;$D78+'Incremental Repayments'!$I$31),-PMT('Interest Rate'!$J$16,'Incremental Repayments'!$I$31,(HLOOKUP($D78,$E$4:$CZ$32,28,FALSE)*'Incremental Repayments'!$I$22)),0),0)</f>
        <v>0</v>
      </c>
      <c r="P78" s="477">
        <f>IF('Incremental Repayments'!$R$22="Debt",IF(AND(P$4&gt;=$D78,P$4&lt;$D78+'Incremental Repayments'!$I$31),-PMT('Interest Rate'!$J$16,'Incremental Repayments'!$I$31,(HLOOKUP($D78,$E$4:$CZ$32,28,FALSE)*'Incremental Repayments'!$I$22)),0),0)</f>
        <v>0</v>
      </c>
      <c r="Q78" s="477">
        <f>IF('Incremental Repayments'!$R$22="Debt",IF(AND(Q$4&gt;=$D78,Q$4&lt;$D78+'Incremental Repayments'!$I$31),-PMT('Interest Rate'!$J$16,'Incremental Repayments'!$I$31,(HLOOKUP($D78,$E$4:$CZ$32,28,FALSE)*'Incremental Repayments'!$I$22)),0),0)</f>
        <v>0</v>
      </c>
      <c r="R78" s="477">
        <f>IF('Incremental Repayments'!$R$22="Debt",IF(AND(R$4&gt;=$D78,R$4&lt;$D78+'Incremental Repayments'!$I$31),-PMT('Interest Rate'!$J$16,'Incremental Repayments'!$I$31,(HLOOKUP($D78,$E$4:$CZ$32,28,FALSE)*'Incremental Repayments'!$I$22)),0),0)</f>
        <v>0</v>
      </c>
      <c r="S78" s="477">
        <f>IF('Incremental Repayments'!$R$22="Debt",IF(AND(S$4&gt;=$D78,S$4&lt;$D78+'Incremental Repayments'!$I$31),-PMT('Interest Rate'!$J$16,'Incremental Repayments'!$I$31,(HLOOKUP($D78,$E$4:$CZ$32,28,FALSE)*'Incremental Repayments'!$I$22)),0),0)</f>
        <v>0</v>
      </c>
      <c r="T78" s="477">
        <f>IF('Incremental Repayments'!$R$22="Debt",IF(AND(T$4&gt;=$D78,T$4&lt;$D78+'Incremental Repayments'!$I$31),-PMT('Interest Rate'!$J$16,'Incremental Repayments'!$I$31,(HLOOKUP($D78,$E$4:$CZ$32,28,FALSE)*'Incremental Repayments'!$I$22)),0),0)</f>
        <v>0</v>
      </c>
      <c r="U78" s="477">
        <f>IF('Incremental Repayments'!$R$22="Debt",IF(AND(U$4&gt;=$D78,U$4&lt;$D78+'Incremental Repayments'!$I$31),-PMT('Interest Rate'!$J$16,'Incremental Repayments'!$I$31,(HLOOKUP($D78,$E$4:$CZ$32,28,FALSE)*'Incremental Repayments'!$I$22)),0),0)</f>
        <v>0</v>
      </c>
      <c r="V78" s="477">
        <f>IF('Incremental Repayments'!$R$22="Debt",IF(AND(V$4&gt;=$D78,V$4&lt;$D78+'Incremental Repayments'!$I$31),-PMT('Interest Rate'!$J$16,'Incremental Repayments'!$I$31,(HLOOKUP($D78,$E$4:$CZ$32,28,FALSE)*'Incremental Repayments'!$I$22)),0),0)</f>
        <v>0</v>
      </c>
      <c r="W78" s="477">
        <f>IF('Incremental Repayments'!$R$22="Debt",IF(AND(W$4&gt;=$D78,W$4&lt;$D78+'Incremental Repayments'!$I$31),-PMT('Interest Rate'!$J$16,'Incremental Repayments'!$I$31,(HLOOKUP($D78,$E$4:$CZ$32,28,FALSE)*'Incremental Repayments'!$I$22)),0),0)</f>
        <v>0</v>
      </c>
      <c r="X78" s="477">
        <f>IF('Incremental Repayments'!$R$22="Debt",IF(AND(X$4&gt;=$D78,X$4&lt;$D78+'Incremental Repayments'!$I$31),-PMT('Interest Rate'!$J$16,'Incremental Repayments'!$I$31,(HLOOKUP($D78,$E$4:$CZ$32,28,FALSE)*'Incremental Repayments'!$I$22)),0),0)</f>
        <v>0</v>
      </c>
      <c r="Y78" s="477">
        <f>IF('Incremental Repayments'!$R$22="Debt",IF(AND(Y$4&gt;=$D78,Y$4&lt;$D78+'Incremental Repayments'!$I$31),-PMT('Interest Rate'!$J$16,'Incremental Repayments'!$I$31,(HLOOKUP($D78,$E$4:$CZ$32,28,FALSE)*'Incremental Repayments'!$I$22)),0),0)</f>
        <v>0</v>
      </c>
      <c r="Z78" s="477">
        <f>IF('Incremental Repayments'!$R$22="Debt",IF(AND(Z$4&gt;=$D78,Z$4&lt;$D78+'Incremental Repayments'!$I$31),-PMT('Interest Rate'!$J$16,'Incremental Repayments'!$I$31,(HLOOKUP($D78,$E$4:$CZ$32,28,FALSE)*'Incremental Repayments'!$I$22)),0),0)</f>
        <v>0</v>
      </c>
      <c r="AA78" s="477">
        <f>IF('Incremental Repayments'!$R$22="Debt",IF(AND(AA$4&gt;=$D78,AA$4&lt;$D78+'Incremental Repayments'!$I$31),-PMT('Interest Rate'!$J$16,'Incremental Repayments'!$I$31,(HLOOKUP($D78,$E$4:$CZ$32,28,FALSE)*'Incremental Repayments'!$I$22)),0),0)</f>
        <v>0</v>
      </c>
      <c r="AB78" s="477">
        <f>IF('Incremental Repayments'!$R$22="Debt",IF(AND(AB$4&gt;=$D78,AB$4&lt;$D78+'Incremental Repayments'!$I$31),-PMT('Interest Rate'!$J$16,'Incremental Repayments'!$I$31,(HLOOKUP($D78,$E$4:$CZ$32,28,FALSE)*'Incremental Repayments'!$I$22)),0),0)</f>
        <v>0</v>
      </c>
      <c r="AC78" s="477">
        <f>IF('Incremental Repayments'!$R$22="Debt",IF(AND(AC$4&gt;=$D78,AC$4&lt;$D78+'Incremental Repayments'!$I$31),-PMT('Interest Rate'!$J$16,'Incremental Repayments'!$I$31,(HLOOKUP($D78,$E$4:$CZ$32,28,FALSE)*'Incremental Repayments'!$I$22)),0),0)</f>
        <v>0</v>
      </c>
      <c r="AD78" s="477">
        <f>IF('Incremental Repayments'!$R$22="Debt",IF(AND(AD$4&gt;=$D78,AD$4&lt;$D78+'Incremental Repayments'!$I$31),-PMT('Interest Rate'!$J$16,'Incremental Repayments'!$I$31,(HLOOKUP($D78,$E$4:$CZ$32,28,FALSE)*'Incremental Repayments'!$I$22)),0),0)</f>
        <v>0</v>
      </c>
      <c r="AE78" s="477">
        <f>IF('Incremental Repayments'!$R$22="Debt",IF(AND(AE$4&gt;=$D78,AE$4&lt;$D78+'Incremental Repayments'!$I$31),-PMT('Interest Rate'!$J$16,'Incremental Repayments'!$I$31,(HLOOKUP($D78,$E$4:$CZ$32,28,FALSE)*'Incremental Repayments'!$I$22)),0),0)</f>
        <v>0</v>
      </c>
      <c r="AF78" s="477">
        <f>IF('Incremental Repayments'!$R$22="Debt",IF(AND(AF$4&gt;=$D78,AF$4&lt;$D78+'Incremental Repayments'!$I$31),-PMT('Interest Rate'!$J$16,'Incremental Repayments'!$I$31,(HLOOKUP($D78,$E$4:$CZ$32,28,FALSE)*'Incremental Repayments'!$I$22)),0),0)</f>
        <v>0</v>
      </c>
      <c r="AG78" s="477">
        <f>IF('Incremental Repayments'!$R$22="Debt",IF(AND(AG$4&gt;=$D78,AG$4&lt;$D78+'Incremental Repayments'!$I$31),-PMT('Interest Rate'!$J$16,'Incremental Repayments'!$I$31,(HLOOKUP($D78,$E$4:$CZ$32,28,FALSE)*'Incremental Repayments'!$I$22)),0),0)</f>
        <v>0</v>
      </c>
      <c r="AH78" s="477">
        <f>IF('Incremental Repayments'!$R$22="Debt",IF(AND(AH$4&gt;=$D78,AH$4&lt;$D78+'Incremental Repayments'!$I$31),-PMT('Interest Rate'!$J$16,'Incremental Repayments'!$I$31,(HLOOKUP($D78,$E$4:$CZ$32,28,FALSE)*'Incremental Repayments'!$I$22)),0),0)</f>
        <v>0</v>
      </c>
      <c r="AI78" s="477">
        <f>IF('Incremental Repayments'!$R$22="Debt",IF(AND(AI$4&gt;=$D78,AI$4&lt;$D78+'Incremental Repayments'!$I$31),-PMT('Interest Rate'!$J$16,'Incremental Repayments'!$I$31,(HLOOKUP($D78,$E$4:$CZ$32,28,FALSE)*'Incremental Repayments'!$I$22)),0),0)</f>
        <v>0</v>
      </c>
      <c r="AJ78" s="477">
        <f>IF('Incremental Repayments'!$R$22="Debt",IF(AND(AJ$4&gt;=$D78,AJ$4&lt;$D78+'Incremental Repayments'!$I$31),-PMT('Interest Rate'!$J$16,'Incremental Repayments'!$I$31,(HLOOKUP($D78,$E$4:$CZ$32,28,FALSE)*'Incremental Repayments'!$I$22)),0),0)</f>
        <v>0</v>
      </c>
      <c r="AK78" s="477">
        <f>IF('Incremental Repayments'!$R$22="Debt",IF(AND(AK$4&gt;=$D78,AK$4&lt;$D78+'Incremental Repayments'!$I$31),-PMT('Interest Rate'!$J$16,'Incremental Repayments'!$I$31,(HLOOKUP($D78,$E$4:$CZ$32,28,FALSE)*'Incremental Repayments'!$I$22)),0),0)</f>
        <v>0</v>
      </c>
      <c r="AL78" s="477">
        <f>IF('Incremental Repayments'!$R$22="Debt",IF(AND(AL$4&gt;=$D78,AL$4&lt;$D78+'Incremental Repayments'!$I$31),-PMT('Interest Rate'!$J$16,'Incremental Repayments'!$I$31,(HLOOKUP($D78,$E$4:$CZ$32,28,FALSE)*'Incremental Repayments'!$I$22)),0),0)</f>
        <v>0</v>
      </c>
      <c r="AM78" s="477">
        <f>IF('Incremental Repayments'!$R$22="Debt",IF(AND(AM$4&gt;=$D78,AM$4&lt;$D78+'Incremental Repayments'!$I$31),-PMT('Interest Rate'!$J$16,'Incremental Repayments'!$I$31,(HLOOKUP($D78,$E$4:$CZ$32,28,FALSE)*'Incremental Repayments'!$I$22)),0),0)</f>
        <v>0</v>
      </c>
      <c r="AN78" s="477">
        <f>IF('Incremental Repayments'!$R$22="Debt",IF(AND(AN$4&gt;=$D78,AN$4&lt;$D78+'Incremental Repayments'!$I$31),-PMT('Interest Rate'!$J$16,'Incremental Repayments'!$I$31,(HLOOKUP($D78,$E$4:$CZ$32,28,FALSE)*'Incremental Repayments'!$I$22)),0),0)</f>
        <v>0</v>
      </c>
      <c r="AO78" s="477">
        <f>IF('Incremental Repayments'!$R$22="Debt",IF(AND(AO$4&gt;=$D78,AO$4&lt;$D78+'Incremental Repayments'!$I$31),-PMT('Interest Rate'!$J$16,'Incremental Repayments'!$I$31,(HLOOKUP($D78,$E$4:$CZ$32,28,FALSE)*'Incremental Repayments'!$I$22)),0),0)</f>
        <v>0</v>
      </c>
      <c r="AP78" s="477">
        <f>IF('Incremental Repayments'!$R$22="Debt",IF(AND(AP$4&gt;=$D78,AP$4&lt;$D78+'Incremental Repayments'!$I$31),-PMT('Interest Rate'!$J$16,'Incremental Repayments'!$I$31,(HLOOKUP($D78,$E$4:$CZ$32,28,FALSE)*'Incremental Repayments'!$I$22)),0),0)</f>
        <v>0</v>
      </c>
      <c r="AQ78" s="477">
        <f>IF('Incremental Repayments'!$R$22="Debt",IF(AND(AQ$4&gt;=$D78,AQ$4&lt;$D78+'Incremental Repayments'!$I$31),-PMT('Interest Rate'!$J$16,'Incremental Repayments'!$I$31,(HLOOKUP($D78,$E$4:$CZ$32,28,FALSE)*'Incremental Repayments'!$I$22)),0),0)</f>
        <v>0</v>
      </c>
      <c r="AR78" s="477">
        <f>IF('Incremental Repayments'!$R$22="Debt",IF(AND(AR$4&gt;=$D78,AR$4&lt;$D78+'Incremental Repayments'!$I$31),-PMT('Interest Rate'!$J$16,'Incremental Repayments'!$I$31,(HLOOKUP($D78,$E$4:$CZ$32,28,FALSE)*'Incremental Repayments'!$I$22)),0),0)</f>
        <v>0</v>
      </c>
      <c r="AS78" s="477">
        <f>IF('Incremental Repayments'!$R$22="Debt",IF(AND(AS$4&gt;=$D78,AS$4&lt;$D78+'Incremental Repayments'!$I$31),-PMT('Interest Rate'!$J$16,'Incremental Repayments'!$I$31,(HLOOKUP($D78,$E$4:$CZ$32,28,FALSE)*'Incremental Repayments'!$I$22)),0),0)</f>
        <v>0</v>
      </c>
      <c r="AT78" s="477">
        <f>IF('Incremental Repayments'!$R$22="Debt",IF(AND(AT$4&gt;=$D78,AT$4&lt;$D78+'Incremental Repayments'!$I$31),-PMT('Interest Rate'!$J$16,'Incremental Repayments'!$I$31,(HLOOKUP($D78,$E$4:$CZ$32,28,FALSE)*'Incremental Repayments'!$I$22)),0),0)</f>
        <v>0</v>
      </c>
      <c r="AU78" s="477">
        <f>IF('Incremental Repayments'!$R$22="Debt",IF(AND(AU$4&gt;=$D78,AU$4&lt;$D78+'Incremental Repayments'!$I$31),-PMT('Interest Rate'!$J$16,'Incremental Repayments'!$I$31,(HLOOKUP($D78,$E$4:$CZ$32,28,FALSE)*'Incremental Repayments'!$I$22)),0),0)</f>
        <v>1283516.7641654622</v>
      </c>
      <c r="AV78" s="477">
        <f>IF('Incremental Repayments'!$R$22="Debt",IF(AND(AV$4&gt;=$D78,AV$4&lt;$D78+'Incremental Repayments'!$I$31),-PMT('Interest Rate'!$J$16,'Incremental Repayments'!$I$31,(HLOOKUP($D78,$E$4:$CZ$32,28,FALSE)*'Incremental Repayments'!$I$22)),0),0)</f>
        <v>1283516.7641654622</v>
      </c>
      <c r="AW78" s="477">
        <f>IF('Incremental Repayments'!$R$22="Debt",IF(AND(AW$4&gt;=$D78,AW$4&lt;$D78+'Incremental Repayments'!$I$31),-PMT('Interest Rate'!$J$16,'Incremental Repayments'!$I$31,(HLOOKUP($D78,$E$4:$CZ$32,28,FALSE)*'Incremental Repayments'!$I$22)),0),0)</f>
        <v>1283516.7641654622</v>
      </c>
      <c r="AX78" s="477">
        <f>IF('Incremental Repayments'!$R$22="Debt",IF(AND(AX$4&gt;=$D78,AX$4&lt;$D78+'Incremental Repayments'!$I$31),-PMT('Interest Rate'!$J$16,'Incremental Repayments'!$I$31,(HLOOKUP($D78,$E$4:$CZ$32,28,FALSE)*'Incremental Repayments'!$I$22)),0),0)</f>
        <v>1283516.7641654622</v>
      </c>
      <c r="AY78" s="477">
        <f>IF('Incremental Repayments'!$R$22="Debt",IF(AND(AY$4&gt;=$D78,AY$4&lt;$D78+'Incremental Repayments'!$I$31),-PMT('Interest Rate'!$J$16,'Incremental Repayments'!$I$31,(HLOOKUP($D78,$E$4:$CZ$32,28,FALSE)*'Incremental Repayments'!$I$22)),0),0)</f>
        <v>1283516.7641654622</v>
      </c>
      <c r="AZ78" s="477">
        <f>IF('Incremental Repayments'!$R$22="Debt",IF(AND(AZ$4&gt;=$D78,AZ$4&lt;$D78+'Incremental Repayments'!$I$31),-PMT('Interest Rate'!$J$16,'Incremental Repayments'!$I$31,(HLOOKUP($D78,$E$4:$CZ$32,28,FALSE)*'Incremental Repayments'!$I$22)),0),0)</f>
        <v>1283516.7641654622</v>
      </c>
      <c r="BA78" s="477">
        <f>IF('Incremental Repayments'!$R$22="Debt",IF(AND(BA$4&gt;=$D78,BA$4&lt;$D78+'Incremental Repayments'!$I$31),-PMT('Interest Rate'!$J$16,'Incremental Repayments'!$I$31,(HLOOKUP($D78,$E$4:$CZ$32,28,FALSE)*'Incremental Repayments'!$I$22)),0),0)</f>
        <v>1283516.7641654622</v>
      </c>
      <c r="BB78" s="477">
        <f>IF('Incremental Repayments'!$R$22="Debt",IF(AND(BB$4&gt;=$D78,BB$4&lt;$D78+'Incremental Repayments'!$I$31),-PMT('Interest Rate'!$J$16,'Incremental Repayments'!$I$31,(HLOOKUP($D78,$E$4:$CZ$32,28,FALSE)*'Incremental Repayments'!$I$22)),0),0)</f>
        <v>1283516.7641654622</v>
      </c>
      <c r="BC78" s="477">
        <f>IF('Incremental Repayments'!$R$22="Debt",IF(AND(BC$4&gt;=$D78,BC$4&lt;$D78+'Incremental Repayments'!$I$31),-PMT('Interest Rate'!$J$16,'Incremental Repayments'!$I$31,(HLOOKUP($D78,$E$4:$CZ$32,28,FALSE)*'Incremental Repayments'!$I$22)),0),0)</f>
        <v>1283516.7641654622</v>
      </c>
      <c r="BD78" s="477">
        <f>IF('Incremental Repayments'!$R$22="Debt",IF(AND(BD$4&gt;=$D78,BD$4&lt;$D78+'Incremental Repayments'!$I$31),-PMT('Interest Rate'!$J$16,'Incremental Repayments'!$I$31,(HLOOKUP($D78,$E$4:$CZ$32,28,FALSE)*'Incremental Repayments'!$I$22)),0),0)</f>
        <v>1283516.7641654622</v>
      </c>
      <c r="BE78" s="477">
        <f>IF('Incremental Repayments'!$R$22="Debt",IF(AND(BE$4&gt;=$D78,BE$4&lt;$D78+'Incremental Repayments'!$I$31),-PMT('Interest Rate'!$J$16,'Incremental Repayments'!$I$31,(HLOOKUP($D78,$E$4:$CZ$32,28,FALSE)*'Incremental Repayments'!$I$22)),0),0)</f>
        <v>1283516.7641654622</v>
      </c>
      <c r="BF78" s="477">
        <f>IF('Incremental Repayments'!$R$22="Debt",IF(AND(BF$4&gt;=$D78,BF$4&lt;$D78+'Incremental Repayments'!$I$31),-PMT('Interest Rate'!$J$16,'Incremental Repayments'!$I$31,(HLOOKUP($D78,$E$4:$CZ$32,28,FALSE)*'Incremental Repayments'!$I$22)),0),0)</f>
        <v>1283516.7641654622</v>
      </c>
      <c r="BG78" s="477">
        <f>IF('Incremental Repayments'!$R$22="Debt",IF(AND(BG$4&gt;=$D78,BG$4&lt;$D78+'Incremental Repayments'!$I$31),-PMT('Interest Rate'!$J$16,'Incremental Repayments'!$I$31,(HLOOKUP($D78,$E$4:$CZ$32,28,FALSE)*'Incremental Repayments'!$I$22)),0),0)</f>
        <v>1283516.7641654622</v>
      </c>
      <c r="BH78" s="477">
        <f>IF('Incremental Repayments'!$R$22="Debt",IF(AND(BH$4&gt;=$D78,BH$4&lt;$D78+'Incremental Repayments'!$I$31),-PMT('Interest Rate'!$J$16,'Incremental Repayments'!$I$31,(HLOOKUP($D78,$E$4:$CZ$32,28,FALSE)*'Incremental Repayments'!$I$22)),0),0)</f>
        <v>1283516.7641654622</v>
      </c>
      <c r="BI78" s="477">
        <f>IF('Incremental Repayments'!$R$22="Debt",IF(AND(BI$4&gt;=$D78,BI$4&lt;$D78+'Incremental Repayments'!$I$31),-PMT('Interest Rate'!$J$16,'Incremental Repayments'!$I$31,(HLOOKUP($D78,$E$4:$CZ$32,28,FALSE)*'Incremental Repayments'!$I$22)),0),0)</f>
        <v>1283516.7641654622</v>
      </c>
      <c r="BJ78" s="477">
        <f>IF('Incremental Repayments'!$R$22="Debt",IF(AND(BJ$4&gt;=$D78,BJ$4&lt;$D78+'Incremental Repayments'!$I$31),-PMT('Interest Rate'!$J$16,'Incremental Repayments'!$I$31,(HLOOKUP($D78,$E$4:$CZ$32,28,FALSE)*'Incremental Repayments'!$I$22)),0),0)</f>
        <v>1283516.7641654622</v>
      </c>
      <c r="BK78" s="477">
        <f>IF('Incremental Repayments'!$R$22="Debt",IF(AND(BK$4&gt;=$D78,BK$4&lt;$D78+'Incremental Repayments'!$I$31),-PMT('Interest Rate'!$J$16,'Incremental Repayments'!$I$31,(HLOOKUP($D78,$E$4:$CZ$32,28,FALSE)*'Incremental Repayments'!$I$22)),0),0)</f>
        <v>1283516.7641654622</v>
      </c>
      <c r="BL78" s="477">
        <f>IF('Incremental Repayments'!$R$22="Debt",IF(AND(BL$4&gt;=$D78,BL$4&lt;$D78+'Incremental Repayments'!$I$31),-PMT('Interest Rate'!$J$16,'Incremental Repayments'!$I$31,(HLOOKUP($D78,$E$4:$CZ$32,28,FALSE)*'Incremental Repayments'!$I$22)),0),0)</f>
        <v>1283516.7641654622</v>
      </c>
      <c r="BM78" s="477">
        <f>IF('Incremental Repayments'!$R$22="Debt",IF(AND(BM$4&gt;=$D78,BM$4&lt;$D78+'Incremental Repayments'!$I$31),-PMT('Interest Rate'!$J$16,'Incremental Repayments'!$I$31,(HLOOKUP($D78,$E$4:$CZ$32,28,FALSE)*'Incremental Repayments'!$I$22)),0),0)</f>
        <v>1283516.7641654622</v>
      </c>
      <c r="BN78" s="477">
        <f>IF('Incremental Repayments'!$R$22="Debt",IF(AND(BN$4&gt;=$D78,BN$4&lt;$D78+'Incremental Repayments'!$I$31),-PMT('Interest Rate'!$J$16,'Incremental Repayments'!$I$31,(HLOOKUP($D78,$E$4:$CZ$32,28,FALSE)*'Incremental Repayments'!$I$22)),0),0)</f>
        <v>1283516.7641654622</v>
      </c>
      <c r="BO78" s="477">
        <f>IF('Incremental Repayments'!$R$22="Debt",IF(AND(BO$4&gt;=$D78,BO$4&lt;$D78+'Incremental Repayments'!$I$31),-PMT('Interest Rate'!$J$16,'Incremental Repayments'!$I$31,(HLOOKUP($D78,$E$4:$CZ$32,28,FALSE)*'Incremental Repayments'!$I$22)),0),0)</f>
        <v>1283516.7641654622</v>
      </c>
      <c r="BP78" s="477">
        <f>IF('Incremental Repayments'!$R$22="Debt",IF(AND(BP$4&gt;=$D78,BP$4&lt;$D78+'Incremental Repayments'!$I$31),-PMT('Interest Rate'!$J$16,'Incremental Repayments'!$I$31,(HLOOKUP($D78,$E$4:$CZ$32,28,FALSE)*'Incremental Repayments'!$I$22)),0),0)</f>
        <v>1283516.7641654622</v>
      </c>
      <c r="BQ78" s="477">
        <f>IF('Incremental Repayments'!$R$22="Debt",IF(AND(BQ$4&gt;=$D78,BQ$4&lt;$D78+'Incremental Repayments'!$I$31),-PMT('Interest Rate'!$J$16,'Incremental Repayments'!$I$31,(HLOOKUP($D78,$E$4:$CZ$32,28,FALSE)*'Incremental Repayments'!$I$22)),0),0)</f>
        <v>1283516.7641654622</v>
      </c>
      <c r="BR78" s="477">
        <f>IF('Incremental Repayments'!$R$22="Debt",IF(AND(BR$4&gt;=$D78,BR$4&lt;$D78+'Incremental Repayments'!$I$31),-PMT('Interest Rate'!$J$16,'Incremental Repayments'!$I$31,(HLOOKUP($D78,$E$4:$CZ$32,28,FALSE)*'Incremental Repayments'!$I$22)),0),0)</f>
        <v>1283516.7641654622</v>
      </c>
      <c r="BS78" s="477">
        <f>IF('Incremental Repayments'!$R$22="Debt",IF(AND(BS$4&gt;=$D78,BS$4&lt;$D78+'Incremental Repayments'!$I$31),-PMT('Interest Rate'!$J$16,'Incremental Repayments'!$I$31,(HLOOKUP($D78,$E$4:$CZ$32,28,FALSE)*'Incremental Repayments'!$I$22)),0),0)</f>
        <v>1283516.7641654622</v>
      </c>
      <c r="BT78" s="477">
        <f>IF('Incremental Repayments'!$R$22="Debt",IF(AND(BT$4&gt;=$D78,BT$4&lt;$D78+'Incremental Repayments'!$I$31),-PMT('Interest Rate'!$J$16,'Incremental Repayments'!$I$31,(HLOOKUP($D78,$E$4:$CZ$32,28,FALSE)*'Incremental Repayments'!$I$22)),0),0)</f>
        <v>1283516.7641654622</v>
      </c>
      <c r="BU78" s="477">
        <f>IF('Incremental Repayments'!$R$22="Debt",IF(AND(BU$4&gt;=$D78,BU$4&lt;$D78+'Incremental Repayments'!$I$31),-PMT('Interest Rate'!$J$16,'Incremental Repayments'!$I$31,(HLOOKUP($D78,$E$4:$CZ$32,28,FALSE)*'Incremental Repayments'!$I$22)),0),0)</f>
        <v>1283516.7641654622</v>
      </c>
      <c r="BV78" s="477">
        <f>IF('Incremental Repayments'!$R$22="Debt",IF(AND(BV$4&gt;=$D78,BV$4&lt;$D78+'Incremental Repayments'!$I$31),-PMT('Interest Rate'!$J$16,'Incremental Repayments'!$I$31,(HLOOKUP($D78,$E$4:$CZ$32,28,FALSE)*'Incremental Repayments'!$I$22)),0),0)</f>
        <v>1283516.7641654622</v>
      </c>
      <c r="BW78" s="477">
        <f>IF('Incremental Repayments'!$R$22="Debt",IF(AND(BW$4&gt;=$D78,BW$4&lt;$D78+'Incremental Repayments'!$I$31),-PMT('Interest Rate'!$J$16,'Incremental Repayments'!$I$31,(HLOOKUP($D78,$E$4:$CZ$32,28,FALSE)*'Incremental Repayments'!$I$22)),0),0)</f>
        <v>1283516.7641654622</v>
      </c>
      <c r="BX78" s="477">
        <f>IF('Incremental Repayments'!$R$22="Debt",IF(AND(BX$4&gt;=$D78,BX$4&lt;$D78+'Incremental Repayments'!$I$31),-PMT('Interest Rate'!$J$16,'Incremental Repayments'!$I$31,(HLOOKUP($D78,$E$4:$CZ$32,28,FALSE)*'Incremental Repayments'!$I$22)),0),0)</f>
        <v>1283516.7641654622</v>
      </c>
      <c r="BY78" s="477">
        <f>IF('Incremental Repayments'!$R$22="Debt",IF(AND(BY$4&gt;=$D78,BY$4&lt;$D78+'Incremental Repayments'!$I$31),-PMT('Interest Rate'!$J$16,'Incremental Repayments'!$I$31,(HLOOKUP($D78,$E$4:$CZ$32,28,FALSE)*'Incremental Repayments'!$I$22)),0),0)</f>
        <v>0</v>
      </c>
      <c r="BZ78" s="477">
        <f>IF('Incremental Repayments'!$R$22="Debt",IF(AND(BZ$4&gt;=$D78,BZ$4&lt;$D78+'Incremental Repayments'!$I$31),-PMT('Interest Rate'!$J$16,'Incremental Repayments'!$I$31,(HLOOKUP($D78,$E$4:$CZ$32,28,FALSE)*'Incremental Repayments'!$I$22)),0),0)</f>
        <v>0</v>
      </c>
      <c r="CA78" s="477">
        <f>IF('Incremental Repayments'!$R$22="Debt",IF(AND(CA$4&gt;=$D78,CA$4&lt;$D78+'Incremental Repayments'!$I$31),-PMT('Interest Rate'!$J$16,'Incremental Repayments'!$I$31,(HLOOKUP($D78,$E$4:$CZ$32,28,FALSE)*'Incremental Repayments'!$I$22)),0),0)</f>
        <v>0</v>
      </c>
      <c r="CB78" s="477">
        <f>IF('Incremental Repayments'!$R$22="Debt",IF(AND(CB$4&gt;=$D78,CB$4&lt;$D78+'Incremental Repayments'!$I$31),-PMT('Interest Rate'!$J$16,'Incremental Repayments'!$I$31,(HLOOKUP($D78,$E$4:$CZ$32,28,FALSE)*'Incremental Repayments'!$I$22)),0),0)</f>
        <v>0</v>
      </c>
      <c r="CC78" s="477">
        <f>IF('Incremental Repayments'!$R$22="Debt",IF(AND(CC$4&gt;=$D78,CC$4&lt;$D78+'Incremental Repayments'!$I$31),-PMT('Interest Rate'!$J$16,'Incremental Repayments'!$I$31,(HLOOKUP($D78,$E$4:$CZ$32,28,FALSE)*'Incremental Repayments'!$I$22)),0),0)</f>
        <v>0</v>
      </c>
      <c r="CD78" s="477">
        <f>IF('Incremental Repayments'!$R$22="Debt",IF(AND(CD$4&gt;=$D78,CD$4&lt;$D78+'Incremental Repayments'!$I$31),-PMT('Interest Rate'!$J$16,'Incremental Repayments'!$I$31,(HLOOKUP($D78,$E$4:$CZ$32,28,FALSE)*'Incremental Repayments'!$I$22)),0),0)</f>
        <v>0</v>
      </c>
      <c r="CE78" s="477">
        <f>IF('Incremental Repayments'!$R$22="Debt",IF(AND(CE$4&gt;=$D78,CE$4&lt;$D78+'Incremental Repayments'!$I$31),-PMT('Interest Rate'!$J$16,'Incremental Repayments'!$I$31,(HLOOKUP($D78,$E$4:$CZ$32,28,FALSE)*'Incremental Repayments'!$I$22)),0),0)</f>
        <v>0</v>
      </c>
      <c r="CF78" s="477">
        <f>IF('Incremental Repayments'!$R$22="Debt",IF(AND(CF$4&gt;=$D78,CF$4&lt;$D78+'Incremental Repayments'!$I$31),-PMT('Interest Rate'!$J$16,'Incremental Repayments'!$I$31,(HLOOKUP($D78,$E$4:$CZ$32,28,FALSE)*'Incremental Repayments'!$I$22)),0),0)</f>
        <v>0</v>
      </c>
      <c r="CG78" s="477">
        <f>IF('Incremental Repayments'!$R$22="Debt",IF(AND(CG$4&gt;=$D78,CG$4&lt;$D78+'Incremental Repayments'!$I$31),-PMT('Interest Rate'!$J$16,'Incremental Repayments'!$I$31,(HLOOKUP($D78,$E$4:$CZ$32,28,FALSE)*'Incremental Repayments'!$I$22)),0),0)</f>
        <v>0</v>
      </c>
      <c r="CH78" s="477">
        <f>IF('Incremental Repayments'!$R$22="Debt",IF(AND(CH$4&gt;=$D78,CH$4&lt;$D78+'Incremental Repayments'!$I$31),-PMT('Interest Rate'!$J$16,'Incremental Repayments'!$I$31,(HLOOKUP($D78,$E$4:$CZ$32,28,FALSE)*'Incremental Repayments'!$I$22)),0),0)</f>
        <v>0</v>
      </c>
      <c r="CI78" s="477">
        <f>IF('Incremental Repayments'!$R$22="Debt",IF(AND(CI$4&gt;=$D78,CI$4&lt;$D78+'Incremental Repayments'!$I$31),-PMT('Interest Rate'!$J$16,'Incremental Repayments'!$I$31,(HLOOKUP($D78,$E$4:$CZ$32,28,FALSE)*'Incremental Repayments'!$I$22)),0),0)</f>
        <v>0</v>
      </c>
      <c r="CJ78" s="477">
        <f>IF('Incremental Repayments'!$R$22="Debt",IF(AND(CJ$4&gt;=$D78,CJ$4&lt;$D78+'Incremental Repayments'!$I$31),-PMT('Interest Rate'!$J$16,'Incremental Repayments'!$I$31,(HLOOKUP($D78,$E$4:$CZ$32,28,FALSE)*'Incremental Repayments'!$I$22)),0),0)</f>
        <v>0</v>
      </c>
      <c r="CK78" s="477">
        <f>IF('Incremental Repayments'!$R$22="Debt",IF(AND(CK$4&gt;=$D78,CK$4&lt;$D78+'Incremental Repayments'!$I$31),-PMT('Interest Rate'!$J$16,'Incremental Repayments'!$I$31,(HLOOKUP($D78,$E$4:$CZ$32,28,FALSE)*'Incremental Repayments'!$I$22)),0),0)</f>
        <v>0</v>
      </c>
      <c r="CL78" s="477">
        <f>IF('Incremental Repayments'!$R$22="Debt",IF(AND(CL$4&gt;=$D78,CL$4&lt;$D78+'Incremental Repayments'!$I$31),-PMT('Interest Rate'!$J$16,'Incremental Repayments'!$I$31,(HLOOKUP($D78,$E$4:$CZ$32,28,FALSE)*'Incremental Repayments'!$I$22)),0),0)</f>
        <v>0</v>
      </c>
      <c r="CM78" s="477">
        <f>IF('Incremental Repayments'!$R$22="Debt",IF(AND(CM$4&gt;=$D78,CM$4&lt;$D78+'Incremental Repayments'!$I$31),-PMT('Interest Rate'!$J$16,'Incremental Repayments'!$I$31,(HLOOKUP($D78,$E$4:$CZ$32,28,FALSE)*'Incremental Repayments'!$I$22)),0),0)</f>
        <v>0</v>
      </c>
      <c r="CN78" s="477">
        <f>IF('Incremental Repayments'!$R$22="Debt",IF(AND(CN$4&gt;=$D78,CN$4&lt;$D78+'Incremental Repayments'!$I$31),-PMT('Interest Rate'!$J$16,'Incremental Repayments'!$I$31,(HLOOKUP($D78,$E$4:$CZ$32,28,FALSE)*'Incremental Repayments'!$I$22)),0),0)</f>
        <v>0</v>
      </c>
      <c r="CO78" s="477">
        <f>IF('Incremental Repayments'!$R$22="Debt",IF(AND(CO$4&gt;=$D78,CO$4&lt;$D78+'Incremental Repayments'!$I$31),-PMT('Interest Rate'!$J$16,'Incremental Repayments'!$I$31,(HLOOKUP($D78,$E$4:$CZ$32,28,FALSE)*'Incremental Repayments'!$I$22)),0),0)</f>
        <v>0</v>
      </c>
      <c r="CP78" s="477">
        <f>IF('Incremental Repayments'!$R$22="Debt",IF(AND(CP$4&gt;=$D78,CP$4&lt;$D78+'Incremental Repayments'!$I$31),-PMT('Interest Rate'!$J$16,'Incremental Repayments'!$I$31,(HLOOKUP($D78,$E$4:$CZ$32,28,FALSE)*'Incremental Repayments'!$I$22)),0),0)</f>
        <v>0</v>
      </c>
      <c r="CQ78" s="477">
        <f>IF('Incremental Repayments'!$R$22="Debt",IF(AND(CQ$4&gt;=$D78,CQ$4&lt;$D78+'Incremental Repayments'!$I$31),-PMT('Interest Rate'!$J$16,'Incremental Repayments'!$I$31,(HLOOKUP($D78,$E$4:$CZ$32,28,FALSE)*'Incremental Repayments'!$I$22)),0),0)</f>
        <v>0</v>
      </c>
      <c r="CR78" s="477">
        <f>IF('Incremental Repayments'!$R$22="Debt",IF(AND(CR$4&gt;=$D78,CR$4&lt;$D78+'Incremental Repayments'!$I$31),-PMT('Interest Rate'!$J$16,'Incremental Repayments'!$I$31,(HLOOKUP($D78,$E$4:$CZ$32,28,FALSE)*'Incremental Repayments'!$I$22)),0),0)</f>
        <v>0</v>
      </c>
      <c r="CS78" s="477">
        <f>IF('Incremental Repayments'!$R$22="Debt",IF(AND(CS$4&gt;=$D78,CS$4&lt;$D78+'Incremental Repayments'!$I$31),-PMT('Interest Rate'!$J$16,'Incremental Repayments'!$I$31,(HLOOKUP($D78,$E$4:$CZ$32,28,FALSE)*'Incremental Repayments'!$I$22)),0),0)</f>
        <v>0</v>
      </c>
      <c r="CT78" s="477">
        <f>IF('Incremental Repayments'!$R$22="Debt",IF(AND(CT$4&gt;=$D78,CT$4&lt;$D78+'Incremental Repayments'!$I$31),-PMT('Interest Rate'!$J$16,'Incremental Repayments'!$I$31,(HLOOKUP($D78,$E$4:$CZ$32,28,FALSE)*'Incremental Repayments'!$I$22)),0),0)</f>
        <v>0</v>
      </c>
      <c r="CU78" s="477">
        <f>IF('Incremental Repayments'!$R$22="Debt",IF(AND(CU$4&gt;=$D78,CU$4&lt;$D78+'Incremental Repayments'!$I$31),-PMT('Interest Rate'!$J$16,'Incremental Repayments'!$I$31,(HLOOKUP($D78,$E$4:$CZ$32,28,FALSE)*'Incremental Repayments'!$I$22)),0),0)</f>
        <v>0</v>
      </c>
      <c r="CV78" s="477">
        <f>IF('Incremental Repayments'!$R$22="Debt",IF(AND(CV$4&gt;=$D78,CV$4&lt;$D78+'Incremental Repayments'!$I$31),-PMT('Interest Rate'!$J$16,'Incremental Repayments'!$I$31,(HLOOKUP($D78,$E$4:$CZ$32,28,FALSE)*'Incremental Repayments'!$I$22)),0),0)</f>
        <v>0</v>
      </c>
      <c r="CW78" s="477">
        <f>IF('Incremental Repayments'!$R$22="Debt",IF(AND(CW$4&gt;=$D78,CW$4&lt;$D78+'Incremental Repayments'!$I$31),-PMT('Interest Rate'!$J$16,'Incremental Repayments'!$I$31,(HLOOKUP($D78,$E$4:$CZ$32,28,FALSE)*'Incremental Repayments'!$I$22)),0),0)</f>
        <v>0</v>
      </c>
      <c r="CX78" s="477">
        <f>IF('Incremental Repayments'!$R$22="Debt",IF(AND(CX$4&gt;=$D78,CX$4&lt;$D78+'Incremental Repayments'!$I$31),-PMT('Interest Rate'!$J$16,'Incremental Repayments'!$I$31,(HLOOKUP($D78,$E$4:$CZ$32,28,FALSE)*'Incremental Repayments'!$I$22)),0),0)</f>
        <v>0</v>
      </c>
      <c r="CY78" s="477">
        <f>IF('Incremental Repayments'!$R$22="Debt",IF(AND(CY$4&gt;=$D78,CY$4&lt;$D78+'Incremental Repayments'!$I$31),-PMT('Interest Rate'!$J$16,'Incremental Repayments'!$I$31,(HLOOKUP($D78,$E$4:$CZ$32,28,FALSE)*'Incremental Repayments'!$I$22)),0),0)</f>
        <v>0</v>
      </c>
      <c r="CZ78" s="477">
        <f>IF('Incremental Repayments'!$R$22="Debt",IF(AND(CZ$4&gt;=$D78,CZ$4&lt;$D78+'Incremental Repayments'!$I$31),-PMT('Interest Rate'!$J$16,'Incremental Repayments'!$I$31,(HLOOKUP($D78,$E$4:$CZ$32,28,FALSE)*'Incremental Repayments'!$I$22)),0),0)</f>
        <v>0</v>
      </c>
    </row>
    <row r="79" spans="2:104" x14ac:dyDescent="0.25">
      <c r="B79" s="480" t="str">
        <f>CONCATENATE("Series ",D79,"A Bonds (at ",'Interest Rate'!$J$16*100,"% Interest)")</f>
        <v>Series 2057A Bonds (at 4.5% Interest)</v>
      </c>
      <c r="C79" s="480"/>
      <c r="D79" s="492">
        <f t="shared" si="493"/>
        <v>2057</v>
      </c>
      <c r="E79" s="477">
        <f>IF('Incremental Repayments'!$R$22="Debt",IF(AND(E$4&gt;=$D79,E$4&lt;$D79+'Incremental Repayments'!$I$31),-PMT('Interest Rate'!$J$16,'Incremental Repayments'!$I$31,(HLOOKUP($D79,$E$4:$CZ$32,28,FALSE)*'Incremental Repayments'!$I$22)),0),0)</f>
        <v>0</v>
      </c>
      <c r="F79" s="477">
        <f>IF('Incremental Repayments'!$R$22="Debt",IF(AND(F$4&gt;=$D79,F$4&lt;$D79+'Incremental Repayments'!$I$31),-PMT('Interest Rate'!$J$16,'Incremental Repayments'!$I$31,(HLOOKUP($D79,$E$4:$CZ$32,28,FALSE)*'Incremental Repayments'!$I$22)),0),0)</f>
        <v>0</v>
      </c>
      <c r="G79" s="477">
        <f>IF('Incremental Repayments'!$R$22="Debt",IF(AND(G$4&gt;=$D79,G$4&lt;$D79+'Incremental Repayments'!$I$31),-PMT('Interest Rate'!$J$16,'Incremental Repayments'!$I$31,(HLOOKUP($D79,$E$4:$CZ$32,28,FALSE)*'Incremental Repayments'!$I$22)),0),0)</f>
        <v>0</v>
      </c>
      <c r="H79" s="477">
        <f>IF('Incremental Repayments'!$R$22="Debt",IF(AND(H$4&gt;=$D79,H$4&lt;$D79+'Incremental Repayments'!$I$31),-PMT('Interest Rate'!$J$16,'Incremental Repayments'!$I$31,(HLOOKUP($D79,$E$4:$CZ$32,28,FALSE)*'Incremental Repayments'!$I$22)),0),0)</f>
        <v>0</v>
      </c>
      <c r="I79" s="477">
        <f>IF('Incremental Repayments'!$R$22="Debt",IF(AND(I$4&gt;=$D79,I$4&lt;$D79+'Incremental Repayments'!$I$31),-PMT('Interest Rate'!$J$16,'Incremental Repayments'!$I$31,(HLOOKUP($D79,$E$4:$CZ$32,28,FALSE)*'Incremental Repayments'!$I$22)),0),0)</f>
        <v>0</v>
      </c>
      <c r="J79" s="477">
        <f>IF('Incremental Repayments'!$R$22="Debt",IF(AND(J$4&gt;=$D79,J$4&lt;$D79+'Incremental Repayments'!$I$31),-PMT('Interest Rate'!$J$16,'Incremental Repayments'!$I$31,(HLOOKUP($D79,$E$4:$CZ$32,28,FALSE)*'Incremental Repayments'!$I$22)),0),0)</f>
        <v>0</v>
      </c>
      <c r="K79" s="477">
        <f>IF('Incremental Repayments'!$R$22="Debt",IF(AND(K$4&gt;=$D79,K$4&lt;$D79+'Incremental Repayments'!$I$31),-PMT('Interest Rate'!$J$16,'Incremental Repayments'!$I$31,(HLOOKUP($D79,$E$4:$CZ$32,28,FALSE)*'Incremental Repayments'!$I$22)),0),0)</f>
        <v>0</v>
      </c>
      <c r="L79" s="477">
        <f>IF('Incremental Repayments'!$R$22="Debt",IF(AND(L$4&gt;=$D79,L$4&lt;$D79+'Incremental Repayments'!$I$31),-PMT('Interest Rate'!$J$16,'Incremental Repayments'!$I$31,(HLOOKUP($D79,$E$4:$CZ$32,28,FALSE)*'Incremental Repayments'!$I$22)),0),0)</f>
        <v>0</v>
      </c>
      <c r="M79" s="477">
        <f>IF('Incremental Repayments'!$R$22="Debt",IF(AND(M$4&gt;=$D79,M$4&lt;$D79+'Incremental Repayments'!$I$31),-PMT('Interest Rate'!$J$16,'Incremental Repayments'!$I$31,(HLOOKUP($D79,$E$4:$CZ$32,28,FALSE)*'Incremental Repayments'!$I$22)),0),0)</f>
        <v>0</v>
      </c>
      <c r="N79" s="477">
        <f>IF('Incremental Repayments'!$R$22="Debt",IF(AND(N$4&gt;=$D79,N$4&lt;$D79+'Incremental Repayments'!$I$31),-PMT('Interest Rate'!$J$16,'Incremental Repayments'!$I$31,(HLOOKUP($D79,$E$4:$CZ$32,28,FALSE)*'Incremental Repayments'!$I$22)),0),0)</f>
        <v>0</v>
      </c>
      <c r="O79" s="477">
        <f>IF('Incremental Repayments'!$R$22="Debt",IF(AND(O$4&gt;=$D79,O$4&lt;$D79+'Incremental Repayments'!$I$31),-PMT('Interest Rate'!$J$16,'Incremental Repayments'!$I$31,(HLOOKUP($D79,$E$4:$CZ$32,28,FALSE)*'Incremental Repayments'!$I$22)),0),0)</f>
        <v>0</v>
      </c>
      <c r="P79" s="477">
        <f>IF('Incremental Repayments'!$R$22="Debt",IF(AND(P$4&gt;=$D79,P$4&lt;$D79+'Incremental Repayments'!$I$31),-PMT('Interest Rate'!$J$16,'Incremental Repayments'!$I$31,(HLOOKUP($D79,$E$4:$CZ$32,28,FALSE)*'Incremental Repayments'!$I$22)),0),0)</f>
        <v>0</v>
      </c>
      <c r="Q79" s="477">
        <f>IF('Incremental Repayments'!$R$22="Debt",IF(AND(Q$4&gt;=$D79,Q$4&lt;$D79+'Incremental Repayments'!$I$31),-PMT('Interest Rate'!$J$16,'Incremental Repayments'!$I$31,(HLOOKUP($D79,$E$4:$CZ$32,28,FALSE)*'Incremental Repayments'!$I$22)),0),0)</f>
        <v>0</v>
      </c>
      <c r="R79" s="477">
        <f>IF('Incremental Repayments'!$R$22="Debt",IF(AND(R$4&gt;=$D79,R$4&lt;$D79+'Incremental Repayments'!$I$31),-PMT('Interest Rate'!$J$16,'Incremental Repayments'!$I$31,(HLOOKUP($D79,$E$4:$CZ$32,28,FALSE)*'Incremental Repayments'!$I$22)),0),0)</f>
        <v>0</v>
      </c>
      <c r="S79" s="477">
        <f>IF('Incremental Repayments'!$R$22="Debt",IF(AND(S$4&gt;=$D79,S$4&lt;$D79+'Incremental Repayments'!$I$31),-PMT('Interest Rate'!$J$16,'Incremental Repayments'!$I$31,(HLOOKUP($D79,$E$4:$CZ$32,28,FALSE)*'Incremental Repayments'!$I$22)),0),0)</f>
        <v>0</v>
      </c>
      <c r="T79" s="477">
        <f>IF('Incremental Repayments'!$R$22="Debt",IF(AND(T$4&gt;=$D79,T$4&lt;$D79+'Incremental Repayments'!$I$31),-PMT('Interest Rate'!$J$16,'Incremental Repayments'!$I$31,(HLOOKUP($D79,$E$4:$CZ$32,28,FALSE)*'Incremental Repayments'!$I$22)),0),0)</f>
        <v>0</v>
      </c>
      <c r="U79" s="477">
        <f>IF('Incremental Repayments'!$R$22="Debt",IF(AND(U$4&gt;=$D79,U$4&lt;$D79+'Incremental Repayments'!$I$31),-PMT('Interest Rate'!$J$16,'Incremental Repayments'!$I$31,(HLOOKUP($D79,$E$4:$CZ$32,28,FALSE)*'Incremental Repayments'!$I$22)),0),0)</f>
        <v>0</v>
      </c>
      <c r="V79" s="477">
        <f>IF('Incremental Repayments'!$R$22="Debt",IF(AND(V$4&gt;=$D79,V$4&lt;$D79+'Incremental Repayments'!$I$31),-PMT('Interest Rate'!$J$16,'Incremental Repayments'!$I$31,(HLOOKUP($D79,$E$4:$CZ$32,28,FALSE)*'Incremental Repayments'!$I$22)),0),0)</f>
        <v>0</v>
      </c>
      <c r="W79" s="477">
        <f>IF('Incremental Repayments'!$R$22="Debt",IF(AND(W$4&gt;=$D79,W$4&lt;$D79+'Incremental Repayments'!$I$31),-PMT('Interest Rate'!$J$16,'Incremental Repayments'!$I$31,(HLOOKUP($D79,$E$4:$CZ$32,28,FALSE)*'Incremental Repayments'!$I$22)),0),0)</f>
        <v>0</v>
      </c>
      <c r="X79" s="477">
        <f>IF('Incremental Repayments'!$R$22="Debt",IF(AND(X$4&gt;=$D79,X$4&lt;$D79+'Incremental Repayments'!$I$31),-PMT('Interest Rate'!$J$16,'Incremental Repayments'!$I$31,(HLOOKUP($D79,$E$4:$CZ$32,28,FALSE)*'Incremental Repayments'!$I$22)),0),0)</f>
        <v>0</v>
      </c>
      <c r="Y79" s="477">
        <f>IF('Incremental Repayments'!$R$22="Debt",IF(AND(Y$4&gt;=$D79,Y$4&lt;$D79+'Incremental Repayments'!$I$31),-PMT('Interest Rate'!$J$16,'Incremental Repayments'!$I$31,(HLOOKUP($D79,$E$4:$CZ$32,28,FALSE)*'Incremental Repayments'!$I$22)),0),0)</f>
        <v>0</v>
      </c>
      <c r="Z79" s="477">
        <f>IF('Incremental Repayments'!$R$22="Debt",IF(AND(Z$4&gt;=$D79,Z$4&lt;$D79+'Incremental Repayments'!$I$31),-PMT('Interest Rate'!$J$16,'Incremental Repayments'!$I$31,(HLOOKUP($D79,$E$4:$CZ$32,28,FALSE)*'Incremental Repayments'!$I$22)),0),0)</f>
        <v>0</v>
      </c>
      <c r="AA79" s="477">
        <f>IF('Incremental Repayments'!$R$22="Debt",IF(AND(AA$4&gt;=$D79,AA$4&lt;$D79+'Incremental Repayments'!$I$31),-PMT('Interest Rate'!$J$16,'Incremental Repayments'!$I$31,(HLOOKUP($D79,$E$4:$CZ$32,28,FALSE)*'Incremental Repayments'!$I$22)),0),0)</f>
        <v>0</v>
      </c>
      <c r="AB79" s="477">
        <f>IF('Incremental Repayments'!$R$22="Debt",IF(AND(AB$4&gt;=$D79,AB$4&lt;$D79+'Incremental Repayments'!$I$31),-PMT('Interest Rate'!$J$16,'Incremental Repayments'!$I$31,(HLOOKUP($D79,$E$4:$CZ$32,28,FALSE)*'Incremental Repayments'!$I$22)),0),0)</f>
        <v>0</v>
      </c>
      <c r="AC79" s="477">
        <f>IF('Incremental Repayments'!$R$22="Debt",IF(AND(AC$4&gt;=$D79,AC$4&lt;$D79+'Incremental Repayments'!$I$31),-PMT('Interest Rate'!$J$16,'Incremental Repayments'!$I$31,(HLOOKUP($D79,$E$4:$CZ$32,28,FALSE)*'Incremental Repayments'!$I$22)),0),0)</f>
        <v>0</v>
      </c>
      <c r="AD79" s="477">
        <f>IF('Incremental Repayments'!$R$22="Debt",IF(AND(AD$4&gt;=$D79,AD$4&lt;$D79+'Incremental Repayments'!$I$31),-PMT('Interest Rate'!$J$16,'Incremental Repayments'!$I$31,(HLOOKUP($D79,$E$4:$CZ$32,28,FALSE)*'Incremental Repayments'!$I$22)),0),0)</f>
        <v>0</v>
      </c>
      <c r="AE79" s="477">
        <f>IF('Incremental Repayments'!$R$22="Debt",IF(AND(AE$4&gt;=$D79,AE$4&lt;$D79+'Incremental Repayments'!$I$31),-PMT('Interest Rate'!$J$16,'Incremental Repayments'!$I$31,(HLOOKUP($D79,$E$4:$CZ$32,28,FALSE)*'Incremental Repayments'!$I$22)),0),0)</f>
        <v>0</v>
      </c>
      <c r="AF79" s="477">
        <f>IF('Incremental Repayments'!$R$22="Debt",IF(AND(AF$4&gt;=$D79,AF$4&lt;$D79+'Incremental Repayments'!$I$31),-PMT('Interest Rate'!$J$16,'Incremental Repayments'!$I$31,(HLOOKUP($D79,$E$4:$CZ$32,28,FALSE)*'Incremental Repayments'!$I$22)),0),0)</f>
        <v>0</v>
      </c>
      <c r="AG79" s="477">
        <f>IF('Incremental Repayments'!$R$22="Debt",IF(AND(AG$4&gt;=$D79,AG$4&lt;$D79+'Incremental Repayments'!$I$31),-PMT('Interest Rate'!$J$16,'Incremental Repayments'!$I$31,(HLOOKUP($D79,$E$4:$CZ$32,28,FALSE)*'Incremental Repayments'!$I$22)),0),0)</f>
        <v>0</v>
      </c>
      <c r="AH79" s="477">
        <f>IF('Incremental Repayments'!$R$22="Debt",IF(AND(AH$4&gt;=$D79,AH$4&lt;$D79+'Incremental Repayments'!$I$31),-PMT('Interest Rate'!$J$16,'Incremental Repayments'!$I$31,(HLOOKUP($D79,$E$4:$CZ$32,28,FALSE)*'Incremental Repayments'!$I$22)),0),0)</f>
        <v>0</v>
      </c>
      <c r="AI79" s="477">
        <f>IF('Incremental Repayments'!$R$22="Debt",IF(AND(AI$4&gt;=$D79,AI$4&lt;$D79+'Incremental Repayments'!$I$31),-PMT('Interest Rate'!$J$16,'Incremental Repayments'!$I$31,(HLOOKUP($D79,$E$4:$CZ$32,28,FALSE)*'Incremental Repayments'!$I$22)),0),0)</f>
        <v>0</v>
      </c>
      <c r="AJ79" s="477">
        <f>IF('Incremental Repayments'!$R$22="Debt",IF(AND(AJ$4&gt;=$D79,AJ$4&lt;$D79+'Incremental Repayments'!$I$31),-PMT('Interest Rate'!$J$16,'Incremental Repayments'!$I$31,(HLOOKUP($D79,$E$4:$CZ$32,28,FALSE)*'Incremental Repayments'!$I$22)),0),0)</f>
        <v>0</v>
      </c>
      <c r="AK79" s="477">
        <f>IF('Incremental Repayments'!$R$22="Debt",IF(AND(AK$4&gt;=$D79,AK$4&lt;$D79+'Incremental Repayments'!$I$31),-PMT('Interest Rate'!$J$16,'Incremental Repayments'!$I$31,(HLOOKUP($D79,$E$4:$CZ$32,28,FALSE)*'Incremental Repayments'!$I$22)),0),0)</f>
        <v>0</v>
      </c>
      <c r="AL79" s="477">
        <f>IF('Incremental Repayments'!$R$22="Debt",IF(AND(AL$4&gt;=$D79,AL$4&lt;$D79+'Incremental Repayments'!$I$31),-PMT('Interest Rate'!$J$16,'Incremental Repayments'!$I$31,(HLOOKUP($D79,$E$4:$CZ$32,28,FALSE)*'Incremental Repayments'!$I$22)),0),0)</f>
        <v>0</v>
      </c>
      <c r="AM79" s="477">
        <f>IF('Incremental Repayments'!$R$22="Debt",IF(AND(AM$4&gt;=$D79,AM$4&lt;$D79+'Incremental Repayments'!$I$31),-PMT('Interest Rate'!$J$16,'Incremental Repayments'!$I$31,(HLOOKUP($D79,$E$4:$CZ$32,28,FALSE)*'Incremental Repayments'!$I$22)),0),0)</f>
        <v>0</v>
      </c>
      <c r="AN79" s="477">
        <f>IF('Incremental Repayments'!$R$22="Debt",IF(AND(AN$4&gt;=$D79,AN$4&lt;$D79+'Incremental Repayments'!$I$31),-PMT('Interest Rate'!$J$16,'Incremental Repayments'!$I$31,(HLOOKUP($D79,$E$4:$CZ$32,28,FALSE)*'Incremental Repayments'!$I$22)),0),0)</f>
        <v>0</v>
      </c>
      <c r="AO79" s="477">
        <f>IF('Incremental Repayments'!$R$22="Debt",IF(AND(AO$4&gt;=$D79,AO$4&lt;$D79+'Incremental Repayments'!$I$31),-PMT('Interest Rate'!$J$16,'Incremental Repayments'!$I$31,(HLOOKUP($D79,$E$4:$CZ$32,28,FALSE)*'Incremental Repayments'!$I$22)),0),0)</f>
        <v>0</v>
      </c>
      <c r="AP79" s="477">
        <f>IF('Incremental Repayments'!$R$22="Debt",IF(AND(AP$4&gt;=$D79,AP$4&lt;$D79+'Incremental Repayments'!$I$31),-PMT('Interest Rate'!$J$16,'Incremental Repayments'!$I$31,(HLOOKUP($D79,$E$4:$CZ$32,28,FALSE)*'Incremental Repayments'!$I$22)),0),0)</f>
        <v>0</v>
      </c>
      <c r="AQ79" s="477">
        <f>IF('Incremental Repayments'!$R$22="Debt",IF(AND(AQ$4&gt;=$D79,AQ$4&lt;$D79+'Incremental Repayments'!$I$31),-PMT('Interest Rate'!$J$16,'Incremental Repayments'!$I$31,(HLOOKUP($D79,$E$4:$CZ$32,28,FALSE)*'Incremental Repayments'!$I$22)),0),0)</f>
        <v>0</v>
      </c>
      <c r="AR79" s="477">
        <f>IF('Incremental Repayments'!$R$22="Debt",IF(AND(AR$4&gt;=$D79,AR$4&lt;$D79+'Incremental Repayments'!$I$31),-PMT('Interest Rate'!$J$16,'Incremental Repayments'!$I$31,(HLOOKUP($D79,$E$4:$CZ$32,28,FALSE)*'Incremental Repayments'!$I$22)),0),0)</f>
        <v>0</v>
      </c>
      <c r="AS79" s="477">
        <f>IF('Incremental Repayments'!$R$22="Debt",IF(AND(AS$4&gt;=$D79,AS$4&lt;$D79+'Incremental Repayments'!$I$31),-PMT('Interest Rate'!$J$16,'Incremental Repayments'!$I$31,(HLOOKUP($D79,$E$4:$CZ$32,28,FALSE)*'Incremental Repayments'!$I$22)),0),0)</f>
        <v>0</v>
      </c>
      <c r="AT79" s="477">
        <f>IF('Incremental Repayments'!$R$22="Debt",IF(AND(AT$4&gt;=$D79,AT$4&lt;$D79+'Incremental Repayments'!$I$31),-PMT('Interest Rate'!$J$16,'Incremental Repayments'!$I$31,(HLOOKUP($D79,$E$4:$CZ$32,28,FALSE)*'Incremental Repayments'!$I$22)),0),0)</f>
        <v>0</v>
      </c>
      <c r="AU79" s="477">
        <f>IF('Incremental Repayments'!$R$22="Debt",IF(AND(AU$4&gt;=$D79,AU$4&lt;$D79+'Incremental Repayments'!$I$31),-PMT('Interest Rate'!$J$16,'Incremental Repayments'!$I$31,(HLOOKUP($D79,$E$4:$CZ$32,28,FALSE)*'Incremental Repayments'!$I$22)),0),0)</f>
        <v>0</v>
      </c>
      <c r="AV79" s="477">
        <f>IF('Incremental Repayments'!$R$22="Debt",IF(AND(AV$4&gt;=$D79,AV$4&lt;$D79+'Incremental Repayments'!$I$31),-PMT('Interest Rate'!$J$16,'Incremental Repayments'!$I$31,(HLOOKUP($D79,$E$4:$CZ$32,28,FALSE)*'Incremental Repayments'!$I$22)),0),0)</f>
        <v>1320096.9919441689</v>
      </c>
      <c r="AW79" s="477">
        <f>IF('Incremental Repayments'!$R$22="Debt",IF(AND(AW$4&gt;=$D79,AW$4&lt;$D79+'Incremental Repayments'!$I$31),-PMT('Interest Rate'!$J$16,'Incremental Repayments'!$I$31,(HLOOKUP($D79,$E$4:$CZ$32,28,FALSE)*'Incremental Repayments'!$I$22)),0),0)</f>
        <v>1320096.9919441689</v>
      </c>
      <c r="AX79" s="477">
        <f>IF('Incremental Repayments'!$R$22="Debt",IF(AND(AX$4&gt;=$D79,AX$4&lt;$D79+'Incremental Repayments'!$I$31),-PMT('Interest Rate'!$J$16,'Incremental Repayments'!$I$31,(HLOOKUP($D79,$E$4:$CZ$32,28,FALSE)*'Incremental Repayments'!$I$22)),0),0)</f>
        <v>1320096.9919441689</v>
      </c>
      <c r="AY79" s="477">
        <f>IF('Incremental Repayments'!$R$22="Debt",IF(AND(AY$4&gt;=$D79,AY$4&lt;$D79+'Incremental Repayments'!$I$31),-PMT('Interest Rate'!$J$16,'Incremental Repayments'!$I$31,(HLOOKUP($D79,$E$4:$CZ$32,28,FALSE)*'Incremental Repayments'!$I$22)),0),0)</f>
        <v>1320096.9919441689</v>
      </c>
      <c r="AZ79" s="477">
        <f>IF('Incremental Repayments'!$R$22="Debt",IF(AND(AZ$4&gt;=$D79,AZ$4&lt;$D79+'Incremental Repayments'!$I$31),-PMT('Interest Rate'!$J$16,'Incremental Repayments'!$I$31,(HLOOKUP($D79,$E$4:$CZ$32,28,FALSE)*'Incremental Repayments'!$I$22)),0),0)</f>
        <v>1320096.9919441689</v>
      </c>
      <c r="BA79" s="477">
        <f>IF('Incremental Repayments'!$R$22="Debt",IF(AND(BA$4&gt;=$D79,BA$4&lt;$D79+'Incremental Repayments'!$I$31),-PMT('Interest Rate'!$J$16,'Incremental Repayments'!$I$31,(HLOOKUP($D79,$E$4:$CZ$32,28,FALSE)*'Incremental Repayments'!$I$22)),0),0)</f>
        <v>1320096.9919441689</v>
      </c>
      <c r="BB79" s="477">
        <f>IF('Incremental Repayments'!$R$22="Debt",IF(AND(BB$4&gt;=$D79,BB$4&lt;$D79+'Incremental Repayments'!$I$31),-PMT('Interest Rate'!$J$16,'Incremental Repayments'!$I$31,(HLOOKUP($D79,$E$4:$CZ$32,28,FALSE)*'Incremental Repayments'!$I$22)),0),0)</f>
        <v>1320096.9919441689</v>
      </c>
      <c r="BC79" s="477">
        <f>IF('Incremental Repayments'!$R$22="Debt",IF(AND(BC$4&gt;=$D79,BC$4&lt;$D79+'Incremental Repayments'!$I$31),-PMT('Interest Rate'!$J$16,'Incremental Repayments'!$I$31,(HLOOKUP($D79,$E$4:$CZ$32,28,FALSE)*'Incremental Repayments'!$I$22)),0),0)</f>
        <v>1320096.9919441689</v>
      </c>
      <c r="BD79" s="477">
        <f>IF('Incremental Repayments'!$R$22="Debt",IF(AND(BD$4&gt;=$D79,BD$4&lt;$D79+'Incremental Repayments'!$I$31),-PMT('Interest Rate'!$J$16,'Incremental Repayments'!$I$31,(HLOOKUP($D79,$E$4:$CZ$32,28,FALSE)*'Incremental Repayments'!$I$22)),0),0)</f>
        <v>1320096.9919441689</v>
      </c>
      <c r="BE79" s="477">
        <f>IF('Incremental Repayments'!$R$22="Debt",IF(AND(BE$4&gt;=$D79,BE$4&lt;$D79+'Incremental Repayments'!$I$31),-PMT('Interest Rate'!$J$16,'Incremental Repayments'!$I$31,(HLOOKUP($D79,$E$4:$CZ$32,28,FALSE)*'Incremental Repayments'!$I$22)),0),0)</f>
        <v>1320096.9919441689</v>
      </c>
      <c r="BF79" s="477">
        <f>IF('Incremental Repayments'!$R$22="Debt",IF(AND(BF$4&gt;=$D79,BF$4&lt;$D79+'Incremental Repayments'!$I$31),-PMT('Interest Rate'!$J$16,'Incremental Repayments'!$I$31,(HLOOKUP($D79,$E$4:$CZ$32,28,FALSE)*'Incremental Repayments'!$I$22)),0),0)</f>
        <v>1320096.9919441689</v>
      </c>
      <c r="BG79" s="477">
        <f>IF('Incremental Repayments'!$R$22="Debt",IF(AND(BG$4&gt;=$D79,BG$4&lt;$D79+'Incremental Repayments'!$I$31),-PMT('Interest Rate'!$J$16,'Incremental Repayments'!$I$31,(HLOOKUP($D79,$E$4:$CZ$32,28,FALSE)*'Incremental Repayments'!$I$22)),0),0)</f>
        <v>1320096.9919441689</v>
      </c>
      <c r="BH79" s="477">
        <f>IF('Incremental Repayments'!$R$22="Debt",IF(AND(BH$4&gt;=$D79,BH$4&lt;$D79+'Incremental Repayments'!$I$31),-PMT('Interest Rate'!$J$16,'Incremental Repayments'!$I$31,(HLOOKUP($D79,$E$4:$CZ$32,28,FALSE)*'Incremental Repayments'!$I$22)),0),0)</f>
        <v>1320096.9919441689</v>
      </c>
      <c r="BI79" s="477">
        <f>IF('Incremental Repayments'!$R$22="Debt",IF(AND(BI$4&gt;=$D79,BI$4&lt;$D79+'Incremental Repayments'!$I$31),-PMT('Interest Rate'!$J$16,'Incremental Repayments'!$I$31,(HLOOKUP($D79,$E$4:$CZ$32,28,FALSE)*'Incremental Repayments'!$I$22)),0),0)</f>
        <v>1320096.9919441689</v>
      </c>
      <c r="BJ79" s="477">
        <f>IF('Incremental Repayments'!$R$22="Debt",IF(AND(BJ$4&gt;=$D79,BJ$4&lt;$D79+'Incremental Repayments'!$I$31),-PMT('Interest Rate'!$J$16,'Incremental Repayments'!$I$31,(HLOOKUP($D79,$E$4:$CZ$32,28,FALSE)*'Incremental Repayments'!$I$22)),0),0)</f>
        <v>1320096.9919441689</v>
      </c>
      <c r="BK79" s="477">
        <f>IF('Incremental Repayments'!$R$22="Debt",IF(AND(BK$4&gt;=$D79,BK$4&lt;$D79+'Incremental Repayments'!$I$31),-PMT('Interest Rate'!$J$16,'Incremental Repayments'!$I$31,(HLOOKUP($D79,$E$4:$CZ$32,28,FALSE)*'Incremental Repayments'!$I$22)),0),0)</f>
        <v>1320096.9919441689</v>
      </c>
      <c r="BL79" s="477">
        <f>IF('Incremental Repayments'!$R$22="Debt",IF(AND(BL$4&gt;=$D79,BL$4&lt;$D79+'Incremental Repayments'!$I$31),-PMT('Interest Rate'!$J$16,'Incremental Repayments'!$I$31,(HLOOKUP($D79,$E$4:$CZ$32,28,FALSE)*'Incremental Repayments'!$I$22)),0),0)</f>
        <v>1320096.9919441689</v>
      </c>
      <c r="BM79" s="477">
        <f>IF('Incremental Repayments'!$R$22="Debt",IF(AND(BM$4&gt;=$D79,BM$4&lt;$D79+'Incremental Repayments'!$I$31),-PMT('Interest Rate'!$J$16,'Incremental Repayments'!$I$31,(HLOOKUP($D79,$E$4:$CZ$32,28,FALSE)*'Incremental Repayments'!$I$22)),0),0)</f>
        <v>1320096.9919441689</v>
      </c>
      <c r="BN79" s="477">
        <f>IF('Incremental Repayments'!$R$22="Debt",IF(AND(BN$4&gt;=$D79,BN$4&lt;$D79+'Incremental Repayments'!$I$31),-PMT('Interest Rate'!$J$16,'Incremental Repayments'!$I$31,(HLOOKUP($D79,$E$4:$CZ$32,28,FALSE)*'Incremental Repayments'!$I$22)),0),0)</f>
        <v>1320096.9919441689</v>
      </c>
      <c r="BO79" s="477">
        <f>IF('Incremental Repayments'!$R$22="Debt",IF(AND(BO$4&gt;=$D79,BO$4&lt;$D79+'Incremental Repayments'!$I$31),-PMT('Interest Rate'!$J$16,'Incremental Repayments'!$I$31,(HLOOKUP($D79,$E$4:$CZ$32,28,FALSE)*'Incremental Repayments'!$I$22)),0),0)</f>
        <v>1320096.9919441689</v>
      </c>
      <c r="BP79" s="477">
        <f>IF('Incremental Repayments'!$R$22="Debt",IF(AND(BP$4&gt;=$D79,BP$4&lt;$D79+'Incremental Repayments'!$I$31),-PMT('Interest Rate'!$J$16,'Incremental Repayments'!$I$31,(HLOOKUP($D79,$E$4:$CZ$32,28,FALSE)*'Incremental Repayments'!$I$22)),0),0)</f>
        <v>1320096.9919441689</v>
      </c>
      <c r="BQ79" s="477">
        <f>IF('Incremental Repayments'!$R$22="Debt",IF(AND(BQ$4&gt;=$D79,BQ$4&lt;$D79+'Incremental Repayments'!$I$31),-PMT('Interest Rate'!$J$16,'Incremental Repayments'!$I$31,(HLOOKUP($D79,$E$4:$CZ$32,28,FALSE)*'Incremental Repayments'!$I$22)),0),0)</f>
        <v>1320096.9919441689</v>
      </c>
      <c r="BR79" s="477">
        <f>IF('Incremental Repayments'!$R$22="Debt",IF(AND(BR$4&gt;=$D79,BR$4&lt;$D79+'Incremental Repayments'!$I$31),-PMT('Interest Rate'!$J$16,'Incremental Repayments'!$I$31,(HLOOKUP($D79,$E$4:$CZ$32,28,FALSE)*'Incremental Repayments'!$I$22)),0),0)</f>
        <v>1320096.9919441689</v>
      </c>
      <c r="BS79" s="477">
        <f>IF('Incremental Repayments'!$R$22="Debt",IF(AND(BS$4&gt;=$D79,BS$4&lt;$D79+'Incremental Repayments'!$I$31),-PMT('Interest Rate'!$J$16,'Incremental Repayments'!$I$31,(HLOOKUP($D79,$E$4:$CZ$32,28,FALSE)*'Incremental Repayments'!$I$22)),0),0)</f>
        <v>1320096.9919441689</v>
      </c>
      <c r="BT79" s="477">
        <f>IF('Incremental Repayments'!$R$22="Debt",IF(AND(BT$4&gt;=$D79,BT$4&lt;$D79+'Incremental Repayments'!$I$31),-PMT('Interest Rate'!$J$16,'Incremental Repayments'!$I$31,(HLOOKUP($D79,$E$4:$CZ$32,28,FALSE)*'Incremental Repayments'!$I$22)),0),0)</f>
        <v>1320096.9919441689</v>
      </c>
      <c r="BU79" s="477">
        <f>IF('Incremental Repayments'!$R$22="Debt",IF(AND(BU$4&gt;=$D79,BU$4&lt;$D79+'Incremental Repayments'!$I$31),-PMT('Interest Rate'!$J$16,'Incremental Repayments'!$I$31,(HLOOKUP($D79,$E$4:$CZ$32,28,FALSE)*'Incremental Repayments'!$I$22)),0),0)</f>
        <v>1320096.9919441689</v>
      </c>
      <c r="BV79" s="477">
        <f>IF('Incremental Repayments'!$R$22="Debt",IF(AND(BV$4&gt;=$D79,BV$4&lt;$D79+'Incremental Repayments'!$I$31),-PMT('Interest Rate'!$J$16,'Incremental Repayments'!$I$31,(HLOOKUP($D79,$E$4:$CZ$32,28,FALSE)*'Incremental Repayments'!$I$22)),0),0)</f>
        <v>1320096.9919441689</v>
      </c>
      <c r="BW79" s="477">
        <f>IF('Incremental Repayments'!$R$22="Debt",IF(AND(BW$4&gt;=$D79,BW$4&lt;$D79+'Incremental Repayments'!$I$31),-PMT('Interest Rate'!$J$16,'Incremental Repayments'!$I$31,(HLOOKUP($D79,$E$4:$CZ$32,28,FALSE)*'Incremental Repayments'!$I$22)),0),0)</f>
        <v>1320096.9919441689</v>
      </c>
      <c r="BX79" s="477">
        <f>IF('Incremental Repayments'!$R$22="Debt",IF(AND(BX$4&gt;=$D79,BX$4&lt;$D79+'Incremental Repayments'!$I$31),-PMT('Interest Rate'!$J$16,'Incremental Repayments'!$I$31,(HLOOKUP($D79,$E$4:$CZ$32,28,FALSE)*'Incremental Repayments'!$I$22)),0),0)</f>
        <v>1320096.9919441689</v>
      </c>
      <c r="BY79" s="477">
        <f>IF('Incremental Repayments'!$R$22="Debt",IF(AND(BY$4&gt;=$D79,BY$4&lt;$D79+'Incremental Repayments'!$I$31),-PMT('Interest Rate'!$J$16,'Incremental Repayments'!$I$31,(HLOOKUP($D79,$E$4:$CZ$32,28,FALSE)*'Incremental Repayments'!$I$22)),0),0)</f>
        <v>1320096.9919441689</v>
      </c>
      <c r="BZ79" s="477">
        <f>IF('Incremental Repayments'!$R$22="Debt",IF(AND(BZ$4&gt;=$D79,BZ$4&lt;$D79+'Incremental Repayments'!$I$31),-PMT('Interest Rate'!$J$16,'Incremental Repayments'!$I$31,(HLOOKUP($D79,$E$4:$CZ$32,28,FALSE)*'Incremental Repayments'!$I$22)),0),0)</f>
        <v>0</v>
      </c>
      <c r="CA79" s="477">
        <f>IF('Incremental Repayments'!$R$22="Debt",IF(AND(CA$4&gt;=$D79,CA$4&lt;$D79+'Incremental Repayments'!$I$31),-PMT('Interest Rate'!$J$16,'Incremental Repayments'!$I$31,(HLOOKUP($D79,$E$4:$CZ$32,28,FALSE)*'Incremental Repayments'!$I$22)),0),0)</f>
        <v>0</v>
      </c>
      <c r="CB79" s="477">
        <f>IF('Incremental Repayments'!$R$22="Debt",IF(AND(CB$4&gt;=$D79,CB$4&lt;$D79+'Incremental Repayments'!$I$31),-PMT('Interest Rate'!$J$16,'Incremental Repayments'!$I$31,(HLOOKUP($D79,$E$4:$CZ$32,28,FALSE)*'Incremental Repayments'!$I$22)),0),0)</f>
        <v>0</v>
      </c>
      <c r="CC79" s="477">
        <f>IF('Incremental Repayments'!$R$22="Debt",IF(AND(CC$4&gt;=$D79,CC$4&lt;$D79+'Incremental Repayments'!$I$31),-PMT('Interest Rate'!$J$16,'Incremental Repayments'!$I$31,(HLOOKUP($D79,$E$4:$CZ$32,28,FALSE)*'Incremental Repayments'!$I$22)),0),0)</f>
        <v>0</v>
      </c>
      <c r="CD79" s="477">
        <f>IF('Incremental Repayments'!$R$22="Debt",IF(AND(CD$4&gt;=$D79,CD$4&lt;$D79+'Incremental Repayments'!$I$31),-PMT('Interest Rate'!$J$16,'Incremental Repayments'!$I$31,(HLOOKUP($D79,$E$4:$CZ$32,28,FALSE)*'Incremental Repayments'!$I$22)),0),0)</f>
        <v>0</v>
      </c>
      <c r="CE79" s="477">
        <f>IF('Incremental Repayments'!$R$22="Debt",IF(AND(CE$4&gt;=$D79,CE$4&lt;$D79+'Incremental Repayments'!$I$31),-PMT('Interest Rate'!$J$16,'Incremental Repayments'!$I$31,(HLOOKUP($D79,$E$4:$CZ$32,28,FALSE)*'Incremental Repayments'!$I$22)),0),0)</f>
        <v>0</v>
      </c>
      <c r="CF79" s="477">
        <f>IF('Incremental Repayments'!$R$22="Debt",IF(AND(CF$4&gt;=$D79,CF$4&lt;$D79+'Incremental Repayments'!$I$31),-PMT('Interest Rate'!$J$16,'Incremental Repayments'!$I$31,(HLOOKUP($D79,$E$4:$CZ$32,28,FALSE)*'Incremental Repayments'!$I$22)),0),0)</f>
        <v>0</v>
      </c>
      <c r="CG79" s="477">
        <f>IF('Incremental Repayments'!$R$22="Debt",IF(AND(CG$4&gt;=$D79,CG$4&lt;$D79+'Incremental Repayments'!$I$31),-PMT('Interest Rate'!$J$16,'Incremental Repayments'!$I$31,(HLOOKUP($D79,$E$4:$CZ$32,28,FALSE)*'Incremental Repayments'!$I$22)),0),0)</f>
        <v>0</v>
      </c>
      <c r="CH79" s="477">
        <f>IF('Incremental Repayments'!$R$22="Debt",IF(AND(CH$4&gt;=$D79,CH$4&lt;$D79+'Incremental Repayments'!$I$31),-PMT('Interest Rate'!$J$16,'Incremental Repayments'!$I$31,(HLOOKUP($D79,$E$4:$CZ$32,28,FALSE)*'Incremental Repayments'!$I$22)),0),0)</f>
        <v>0</v>
      </c>
      <c r="CI79" s="477">
        <f>IF('Incremental Repayments'!$R$22="Debt",IF(AND(CI$4&gt;=$D79,CI$4&lt;$D79+'Incremental Repayments'!$I$31),-PMT('Interest Rate'!$J$16,'Incremental Repayments'!$I$31,(HLOOKUP($D79,$E$4:$CZ$32,28,FALSE)*'Incremental Repayments'!$I$22)),0),0)</f>
        <v>0</v>
      </c>
      <c r="CJ79" s="477">
        <f>IF('Incremental Repayments'!$R$22="Debt",IF(AND(CJ$4&gt;=$D79,CJ$4&lt;$D79+'Incremental Repayments'!$I$31),-PMT('Interest Rate'!$J$16,'Incremental Repayments'!$I$31,(HLOOKUP($D79,$E$4:$CZ$32,28,FALSE)*'Incremental Repayments'!$I$22)),0),0)</f>
        <v>0</v>
      </c>
      <c r="CK79" s="477">
        <f>IF('Incremental Repayments'!$R$22="Debt",IF(AND(CK$4&gt;=$D79,CK$4&lt;$D79+'Incremental Repayments'!$I$31),-PMT('Interest Rate'!$J$16,'Incremental Repayments'!$I$31,(HLOOKUP($D79,$E$4:$CZ$32,28,FALSE)*'Incremental Repayments'!$I$22)),0),0)</f>
        <v>0</v>
      </c>
      <c r="CL79" s="477">
        <f>IF('Incremental Repayments'!$R$22="Debt",IF(AND(CL$4&gt;=$D79,CL$4&lt;$D79+'Incremental Repayments'!$I$31),-PMT('Interest Rate'!$J$16,'Incremental Repayments'!$I$31,(HLOOKUP($D79,$E$4:$CZ$32,28,FALSE)*'Incremental Repayments'!$I$22)),0),0)</f>
        <v>0</v>
      </c>
      <c r="CM79" s="477">
        <f>IF('Incremental Repayments'!$R$22="Debt",IF(AND(CM$4&gt;=$D79,CM$4&lt;$D79+'Incremental Repayments'!$I$31),-PMT('Interest Rate'!$J$16,'Incremental Repayments'!$I$31,(HLOOKUP($D79,$E$4:$CZ$32,28,FALSE)*'Incremental Repayments'!$I$22)),0),0)</f>
        <v>0</v>
      </c>
      <c r="CN79" s="477">
        <f>IF('Incremental Repayments'!$R$22="Debt",IF(AND(CN$4&gt;=$D79,CN$4&lt;$D79+'Incremental Repayments'!$I$31),-PMT('Interest Rate'!$J$16,'Incremental Repayments'!$I$31,(HLOOKUP($D79,$E$4:$CZ$32,28,FALSE)*'Incremental Repayments'!$I$22)),0),0)</f>
        <v>0</v>
      </c>
      <c r="CO79" s="477">
        <f>IF('Incremental Repayments'!$R$22="Debt",IF(AND(CO$4&gt;=$D79,CO$4&lt;$D79+'Incremental Repayments'!$I$31),-PMT('Interest Rate'!$J$16,'Incremental Repayments'!$I$31,(HLOOKUP($D79,$E$4:$CZ$32,28,FALSE)*'Incremental Repayments'!$I$22)),0),0)</f>
        <v>0</v>
      </c>
      <c r="CP79" s="477">
        <f>IF('Incremental Repayments'!$R$22="Debt",IF(AND(CP$4&gt;=$D79,CP$4&lt;$D79+'Incremental Repayments'!$I$31),-PMT('Interest Rate'!$J$16,'Incremental Repayments'!$I$31,(HLOOKUP($D79,$E$4:$CZ$32,28,FALSE)*'Incremental Repayments'!$I$22)),0),0)</f>
        <v>0</v>
      </c>
      <c r="CQ79" s="477">
        <f>IF('Incremental Repayments'!$R$22="Debt",IF(AND(CQ$4&gt;=$D79,CQ$4&lt;$D79+'Incremental Repayments'!$I$31),-PMT('Interest Rate'!$J$16,'Incremental Repayments'!$I$31,(HLOOKUP($D79,$E$4:$CZ$32,28,FALSE)*'Incremental Repayments'!$I$22)),0),0)</f>
        <v>0</v>
      </c>
      <c r="CR79" s="477">
        <f>IF('Incremental Repayments'!$R$22="Debt",IF(AND(CR$4&gt;=$D79,CR$4&lt;$D79+'Incremental Repayments'!$I$31),-PMT('Interest Rate'!$J$16,'Incremental Repayments'!$I$31,(HLOOKUP($D79,$E$4:$CZ$32,28,FALSE)*'Incremental Repayments'!$I$22)),0),0)</f>
        <v>0</v>
      </c>
      <c r="CS79" s="477">
        <f>IF('Incremental Repayments'!$R$22="Debt",IF(AND(CS$4&gt;=$D79,CS$4&lt;$D79+'Incremental Repayments'!$I$31),-PMT('Interest Rate'!$J$16,'Incremental Repayments'!$I$31,(HLOOKUP($D79,$E$4:$CZ$32,28,FALSE)*'Incremental Repayments'!$I$22)),0),0)</f>
        <v>0</v>
      </c>
      <c r="CT79" s="477">
        <f>IF('Incremental Repayments'!$R$22="Debt",IF(AND(CT$4&gt;=$D79,CT$4&lt;$D79+'Incremental Repayments'!$I$31),-PMT('Interest Rate'!$J$16,'Incremental Repayments'!$I$31,(HLOOKUP($D79,$E$4:$CZ$32,28,FALSE)*'Incremental Repayments'!$I$22)),0),0)</f>
        <v>0</v>
      </c>
      <c r="CU79" s="477">
        <f>IF('Incremental Repayments'!$R$22="Debt",IF(AND(CU$4&gt;=$D79,CU$4&lt;$D79+'Incremental Repayments'!$I$31),-PMT('Interest Rate'!$J$16,'Incremental Repayments'!$I$31,(HLOOKUP($D79,$E$4:$CZ$32,28,FALSE)*'Incremental Repayments'!$I$22)),0),0)</f>
        <v>0</v>
      </c>
      <c r="CV79" s="477">
        <f>IF('Incremental Repayments'!$R$22="Debt",IF(AND(CV$4&gt;=$D79,CV$4&lt;$D79+'Incremental Repayments'!$I$31),-PMT('Interest Rate'!$J$16,'Incremental Repayments'!$I$31,(HLOOKUP($D79,$E$4:$CZ$32,28,FALSE)*'Incremental Repayments'!$I$22)),0),0)</f>
        <v>0</v>
      </c>
      <c r="CW79" s="477">
        <f>IF('Incremental Repayments'!$R$22="Debt",IF(AND(CW$4&gt;=$D79,CW$4&lt;$D79+'Incremental Repayments'!$I$31),-PMT('Interest Rate'!$J$16,'Incremental Repayments'!$I$31,(HLOOKUP($D79,$E$4:$CZ$32,28,FALSE)*'Incremental Repayments'!$I$22)),0),0)</f>
        <v>0</v>
      </c>
      <c r="CX79" s="477">
        <f>IF('Incremental Repayments'!$R$22="Debt",IF(AND(CX$4&gt;=$D79,CX$4&lt;$D79+'Incremental Repayments'!$I$31),-PMT('Interest Rate'!$J$16,'Incremental Repayments'!$I$31,(HLOOKUP($D79,$E$4:$CZ$32,28,FALSE)*'Incremental Repayments'!$I$22)),0),0)</f>
        <v>0</v>
      </c>
      <c r="CY79" s="477">
        <f>IF('Incremental Repayments'!$R$22="Debt",IF(AND(CY$4&gt;=$D79,CY$4&lt;$D79+'Incremental Repayments'!$I$31),-PMT('Interest Rate'!$J$16,'Incremental Repayments'!$I$31,(HLOOKUP($D79,$E$4:$CZ$32,28,FALSE)*'Incremental Repayments'!$I$22)),0),0)</f>
        <v>0</v>
      </c>
      <c r="CZ79" s="477">
        <f>IF('Incremental Repayments'!$R$22="Debt",IF(AND(CZ$4&gt;=$D79,CZ$4&lt;$D79+'Incremental Repayments'!$I$31),-PMT('Interest Rate'!$J$16,'Incremental Repayments'!$I$31,(HLOOKUP($D79,$E$4:$CZ$32,28,FALSE)*'Incremental Repayments'!$I$22)),0),0)</f>
        <v>0</v>
      </c>
    </row>
    <row r="80" spans="2:104" x14ac:dyDescent="0.25">
      <c r="B80" s="480" t="str">
        <f>CONCATENATE("Series ",D80,"A Bonds (at ",'Interest Rate'!$J$16*100,"% Interest)")</f>
        <v>Series 2058A Bonds (at 4.5% Interest)</v>
      </c>
      <c r="C80" s="480"/>
      <c r="D80" s="492">
        <f t="shared" ref="D80:D103" si="494">D79+1</f>
        <v>2058</v>
      </c>
      <c r="E80" s="477">
        <f>IF('Incremental Repayments'!$R$22="Debt",IF(AND(E$4&gt;=$D80,E$4&lt;$D80+'Incremental Repayments'!$I$31),-PMT('Interest Rate'!$J$16,'Incremental Repayments'!$I$31,(HLOOKUP($D80,$E$4:$CZ$32,28,FALSE)*'Incremental Repayments'!$I$22)),0),0)</f>
        <v>0</v>
      </c>
      <c r="F80" s="477">
        <f>IF('Incremental Repayments'!$R$22="Debt",IF(AND(F$4&gt;=$D80,F$4&lt;$D80+'Incremental Repayments'!$I$31),-PMT('Interest Rate'!$J$16,'Incremental Repayments'!$I$31,(HLOOKUP($D80,$E$4:$CZ$32,28,FALSE)*'Incremental Repayments'!$I$22)),0),0)</f>
        <v>0</v>
      </c>
      <c r="G80" s="477">
        <f>IF('Incremental Repayments'!$R$22="Debt",IF(AND(G$4&gt;=$D80,G$4&lt;$D80+'Incremental Repayments'!$I$31),-PMT('Interest Rate'!$J$16,'Incremental Repayments'!$I$31,(HLOOKUP($D80,$E$4:$CZ$32,28,FALSE)*'Incremental Repayments'!$I$22)),0),0)</f>
        <v>0</v>
      </c>
      <c r="H80" s="477">
        <f>IF('Incremental Repayments'!$R$22="Debt",IF(AND(H$4&gt;=$D80,H$4&lt;$D80+'Incremental Repayments'!$I$31),-PMT('Interest Rate'!$J$16,'Incremental Repayments'!$I$31,(HLOOKUP($D80,$E$4:$CZ$32,28,FALSE)*'Incremental Repayments'!$I$22)),0),0)</f>
        <v>0</v>
      </c>
      <c r="I80" s="477">
        <f>IF('Incremental Repayments'!$R$22="Debt",IF(AND(I$4&gt;=$D80,I$4&lt;$D80+'Incremental Repayments'!$I$31),-PMT('Interest Rate'!$J$16,'Incremental Repayments'!$I$31,(HLOOKUP($D80,$E$4:$CZ$32,28,FALSE)*'Incremental Repayments'!$I$22)),0),0)</f>
        <v>0</v>
      </c>
      <c r="J80" s="477">
        <f>IF('Incremental Repayments'!$R$22="Debt",IF(AND(J$4&gt;=$D80,J$4&lt;$D80+'Incremental Repayments'!$I$31),-PMT('Interest Rate'!$J$16,'Incremental Repayments'!$I$31,(HLOOKUP($D80,$E$4:$CZ$32,28,FALSE)*'Incremental Repayments'!$I$22)),0),0)</f>
        <v>0</v>
      </c>
      <c r="K80" s="477">
        <f>IF('Incremental Repayments'!$R$22="Debt",IF(AND(K$4&gt;=$D80,K$4&lt;$D80+'Incremental Repayments'!$I$31),-PMT('Interest Rate'!$J$16,'Incremental Repayments'!$I$31,(HLOOKUP($D80,$E$4:$CZ$32,28,FALSE)*'Incremental Repayments'!$I$22)),0),0)</f>
        <v>0</v>
      </c>
      <c r="L80" s="477">
        <f>IF('Incremental Repayments'!$R$22="Debt",IF(AND(L$4&gt;=$D80,L$4&lt;$D80+'Incremental Repayments'!$I$31),-PMT('Interest Rate'!$J$16,'Incremental Repayments'!$I$31,(HLOOKUP($D80,$E$4:$CZ$32,28,FALSE)*'Incremental Repayments'!$I$22)),0),0)</f>
        <v>0</v>
      </c>
      <c r="M80" s="477">
        <f>IF('Incremental Repayments'!$R$22="Debt",IF(AND(M$4&gt;=$D80,M$4&lt;$D80+'Incremental Repayments'!$I$31),-PMT('Interest Rate'!$J$16,'Incremental Repayments'!$I$31,(HLOOKUP($D80,$E$4:$CZ$32,28,FALSE)*'Incremental Repayments'!$I$22)),0),0)</f>
        <v>0</v>
      </c>
      <c r="N80" s="477">
        <f>IF('Incremental Repayments'!$R$22="Debt",IF(AND(N$4&gt;=$D80,N$4&lt;$D80+'Incremental Repayments'!$I$31),-PMT('Interest Rate'!$J$16,'Incremental Repayments'!$I$31,(HLOOKUP($D80,$E$4:$CZ$32,28,FALSE)*'Incremental Repayments'!$I$22)),0),0)</f>
        <v>0</v>
      </c>
      <c r="O80" s="477">
        <f>IF('Incremental Repayments'!$R$22="Debt",IF(AND(O$4&gt;=$D80,O$4&lt;$D80+'Incremental Repayments'!$I$31),-PMT('Interest Rate'!$J$16,'Incremental Repayments'!$I$31,(HLOOKUP($D80,$E$4:$CZ$32,28,FALSE)*'Incremental Repayments'!$I$22)),0),0)</f>
        <v>0</v>
      </c>
      <c r="P80" s="477">
        <f>IF('Incremental Repayments'!$R$22="Debt",IF(AND(P$4&gt;=$D80,P$4&lt;$D80+'Incremental Repayments'!$I$31),-PMT('Interest Rate'!$J$16,'Incremental Repayments'!$I$31,(HLOOKUP($D80,$E$4:$CZ$32,28,FALSE)*'Incremental Repayments'!$I$22)),0),0)</f>
        <v>0</v>
      </c>
      <c r="Q80" s="477">
        <f>IF('Incremental Repayments'!$R$22="Debt",IF(AND(Q$4&gt;=$D80,Q$4&lt;$D80+'Incremental Repayments'!$I$31),-PMT('Interest Rate'!$J$16,'Incremental Repayments'!$I$31,(HLOOKUP($D80,$E$4:$CZ$32,28,FALSE)*'Incremental Repayments'!$I$22)),0),0)</f>
        <v>0</v>
      </c>
      <c r="R80" s="477">
        <f>IF('Incremental Repayments'!$R$22="Debt",IF(AND(R$4&gt;=$D80,R$4&lt;$D80+'Incremental Repayments'!$I$31),-PMT('Interest Rate'!$J$16,'Incremental Repayments'!$I$31,(HLOOKUP($D80,$E$4:$CZ$32,28,FALSE)*'Incremental Repayments'!$I$22)),0),0)</f>
        <v>0</v>
      </c>
      <c r="S80" s="477">
        <f>IF('Incremental Repayments'!$R$22="Debt",IF(AND(S$4&gt;=$D80,S$4&lt;$D80+'Incremental Repayments'!$I$31),-PMT('Interest Rate'!$J$16,'Incremental Repayments'!$I$31,(HLOOKUP($D80,$E$4:$CZ$32,28,FALSE)*'Incremental Repayments'!$I$22)),0),0)</f>
        <v>0</v>
      </c>
      <c r="T80" s="477">
        <f>IF('Incremental Repayments'!$R$22="Debt",IF(AND(T$4&gt;=$D80,T$4&lt;$D80+'Incremental Repayments'!$I$31),-PMT('Interest Rate'!$J$16,'Incremental Repayments'!$I$31,(HLOOKUP($D80,$E$4:$CZ$32,28,FALSE)*'Incremental Repayments'!$I$22)),0),0)</f>
        <v>0</v>
      </c>
      <c r="U80" s="477">
        <f>IF('Incremental Repayments'!$R$22="Debt",IF(AND(U$4&gt;=$D80,U$4&lt;$D80+'Incremental Repayments'!$I$31),-PMT('Interest Rate'!$J$16,'Incremental Repayments'!$I$31,(HLOOKUP($D80,$E$4:$CZ$32,28,FALSE)*'Incremental Repayments'!$I$22)),0),0)</f>
        <v>0</v>
      </c>
      <c r="V80" s="477">
        <f>IF('Incremental Repayments'!$R$22="Debt",IF(AND(V$4&gt;=$D80,V$4&lt;$D80+'Incremental Repayments'!$I$31),-PMT('Interest Rate'!$J$16,'Incremental Repayments'!$I$31,(HLOOKUP($D80,$E$4:$CZ$32,28,FALSE)*'Incremental Repayments'!$I$22)),0),0)</f>
        <v>0</v>
      </c>
      <c r="W80" s="477">
        <f>IF('Incremental Repayments'!$R$22="Debt",IF(AND(W$4&gt;=$D80,W$4&lt;$D80+'Incremental Repayments'!$I$31),-PMT('Interest Rate'!$J$16,'Incremental Repayments'!$I$31,(HLOOKUP($D80,$E$4:$CZ$32,28,FALSE)*'Incremental Repayments'!$I$22)),0),0)</f>
        <v>0</v>
      </c>
      <c r="X80" s="477">
        <f>IF('Incremental Repayments'!$R$22="Debt",IF(AND(X$4&gt;=$D80,X$4&lt;$D80+'Incremental Repayments'!$I$31),-PMT('Interest Rate'!$J$16,'Incremental Repayments'!$I$31,(HLOOKUP($D80,$E$4:$CZ$32,28,FALSE)*'Incremental Repayments'!$I$22)),0),0)</f>
        <v>0</v>
      </c>
      <c r="Y80" s="477">
        <f>IF('Incremental Repayments'!$R$22="Debt",IF(AND(Y$4&gt;=$D80,Y$4&lt;$D80+'Incremental Repayments'!$I$31),-PMT('Interest Rate'!$J$16,'Incremental Repayments'!$I$31,(HLOOKUP($D80,$E$4:$CZ$32,28,FALSE)*'Incremental Repayments'!$I$22)),0),0)</f>
        <v>0</v>
      </c>
      <c r="Z80" s="477">
        <f>IF('Incremental Repayments'!$R$22="Debt",IF(AND(Z$4&gt;=$D80,Z$4&lt;$D80+'Incremental Repayments'!$I$31),-PMT('Interest Rate'!$J$16,'Incremental Repayments'!$I$31,(HLOOKUP($D80,$E$4:$CZ$32,28,FALSE)*'Incremental Repayments'!$I$22)),0),0)</f>
        <v>0</v>
      </c>
      <c r="AA80" s="477">
        <f>IF('Incremental Repayments'!$R$22="Debt",IF(AND(AA$4&gt;=$D80,AA$4&lt;$D80+'Incremental Repayments'!$I$31),-PMT('Interest Rate'!$J$16,'Incremental Repayments'!$I$31,(HLOOKUP($D80,$E$4:$CZ$32,28,FALSE)*'Incremental Repayments'!$I$22)),0),0)</f>
        <v>0</v>
      </c>
      <c r="AB80" s="477">
        <f>IF('Incremental Repayments'!$R$22="Debt",IF(AND(AB$4&gt;=$D80,AB$4&lt;$D80+'Incremental Repayments'!$I$31),-PMT('Interest Rate'!$J$16,'Incremental Repayments'!$I$31,(HLOOKUP($D80,$E$4:$CZ$32,28,FALSE)*'Incremental Repayments'!$I$22)),0),0)</f>
        <v>0</v>
      </c>
      <c r="AC80" s="477">
        <f>IF('Incremental Repayments'!$R$22="Debt",IF(AND(AC$4&gt;=$D80,AC$4&lt;$D80+'Incremental Repayments'!$I$31),-PMT('Interest Rate'!$J$16,'Incremental Repayments'!$I$31,(HLOOKUP($D80,$E$4:$CZ$32,28,FALSE)*'Incremental Repayments'!$I$22)),0),0)</f>
        <v>0</v>
      </c>
      <c r="AD80" s="477">
        <f>IF('Incremental Repayments'!$R$22="Debt",IF(AND(AD$4&gt;=$D80,AD$4&lt;$D80+'Incremental Repayments'!$I$31),-PMT('Interest Rate'!$J$16,'Incremental Repayments'!$I$31,(HLOOKUP($D80,$E$4:$CZ$32,28,FALSE)*'Incremental Repayments'!$I$22)),0),0)</f>
        <v>0</v>
      </c>
      <c r="AE80" s="477">
        <f>IF('Incremental Repayments'!$R$22="Debt",IF(AND(AE$4&gt;=$D80,AE$4&lt;$D80+'Incremental Repayments'!$I$31),-PMT('Interest Rate'!$J$16,'Incremental Repayments'!$I$31,(HLOOKUP($D80,$E$4:$CZ$32,28,FALSE)*'Incremental Repayments'!$I$22)),0),0)</f>
        <v>0</v>
      </c>
      <c r="AF80" s="477">
        <f>IF('Incremental Repayments'!$R$22="Debt",IF(AND(AF$4&gt;=$D80,AF$4&lt;$D80+'Incremental Repayments'!$I$31),-PMT('Interest Rate'!$J$16,'Incremental Repayments'!$I$31,(HLOOKUP($D80,$E$4:$CZ$32,28,FALSE)*'Incremental Repayments'!$I$22)),0),0)</f>
        <v>0</v>
      </c>
      <c r="AG80" s="477">
        <f>IF('Incremental Repayments'!$R$22="Debt",IF(AND(AG$4&gt;=$D80,AG$4&lt;$D80+'Incremental Repayments'!$I$31),-PMT('Interest Rate'!$J$16,'Incremental Repayments'!$I$31,(HLOOKUP($D80,$E$4:$CZ$32,28,FALSE)*'Incremental Repayments'!$I$22)),0),0)</f>
        <v>0</v>
      </c>
      <c r="AH80" s="477">
        <f>IF('Incremental Repayments'!$R$22="Debt",IF(AND(AH$4&gt;=$D80,AH$4&lt;$D80+'Incremental Repayments'!$I$31),-PMT('Interest Rate'!$J$16,'Incremental Repayments'!$I$31,(HLOOKUP($D80,$E$4:$CZ$32,28,FALSE)*'Incremental Repayments'!$I$22)),0),0)</f>
        <v>0</v>
      </c>
      <c r="AI80" s="477">
        <f>IF('Incremental Repayments'!$R$22="Debt",IF(AND(AI$4&gt;=$D80,AI$4&lt;$D80+'Incremental Repayments'!$I$31),-PMT('Interest Rate'!$J$16,'Incremental Repayments'!$I$31,(HLOOKUP($D80,$E$4:$CZ$32,28,FALSE)*'Incremental Repayments'!$I$22)),0),0)</f>
        <v>0</v>
      </c>
      <c r="AJ80" s="477">
        <f>IF('Incremental Repayments'!$R$22="Debt",IF(AND(AJ$4&gt;=$D80,AJ$4&lt;$D80+'Incremental Repayments'!$I$31),-PMT('Interest Rate'!$J$16,'Incremental Repayments'!$I$31,(HLOOKUP($D80,$E$4:$CZ$32,28,FALSE)*'Incremental Repayments'!$I$22)),0),0)</f>
        <v>0</v>
      </c>
      <c r="AK80" s="477">
        <f>IF('Incremental Repayments'!$R$22="Debt",IF(AND(AK$4&gt;=$D80,AK$4&lt;$D80+'Incremental Repayments'!$I$31),-PMT('Interest Rate'!$J$16,'Incremental Repayments'!$I$31,(HLOOKUP($D80,$E$4:$CZ$32,28,FALSE)*'Incremental Repayments'!$I$22)),0),0)</f>
        <v>0</v>
      </c>
      <c r="AL80" s="477">
        <f>IF('Incremental Repayments'!$R$22="Debt",IF(AND(AL$4&gt;=$D80,AL$4&lt;$D80+'Incremental Repayments'!$I$31),-PMT('Interest Rate'!$J$16,'Incremental Repayments'!$I$31,(HLOOKUP($D80,$E$4:$CZ$32,28,FALSE)*'Incremental Repayments'!$I$22)),0),0)</f>
        <v>0</v>
      </c>
      <c r="AM80" s="477">
        <f>IF('Incremental Repayments'!$R$22="Debt",IF(AND(AM$4&gt;=$D80,AM$4&lt;$D80+'Incremental Repayments'!$I$31),-PMT('Interest Rate'!$J$16,'Incremental Repayments'!$I$31,(HLOOKUP($D80,$E$4:$CZ$32,28,FALSE)*'Incremental Repayments'!$I$22)),0),0)</f>
        <v>0</v>
      </c>
      <c r="AN80" s="477">
        <f>IF('Incremental Repayments'!$R$22="Debt",IF(AND(AN$4&gt;=$D80,AN$4&lt;$D80+'Incremental Repayments'!$I$31),-PMT('Interest Rate'!$J$16,'Incremental Repayments'!$I$31,(HLOOKUP($D80,$E$4:$CZ$32,28,FALSE)*'Incremental Repayments'!$I$22)),0),0)</f>
        <v>0</v>
      </c>
      <c r="AO80" s="477">
        <f>IF('Incremental Repayments'!$R$22="Debt",IF(AND(AO$4&gt;=$D80,AO$4&lt;$D80+'Incremental Repayments'!$I$31),-PMT('Interest Rate'!$J$16,'Incremental Repayments'!$I$31,(HLOOKUP($D80,$E$4:$CZ$32,28,FALSE)*'Incremental Repayments'!$I$22)),0),0)</f>
        <v>0</v>
      </c>
      <c r="AP80" s="477">
        <f>IF('Incremental Repayments'!$R$22="Debt",IF(AND(AP$4&gt;=$D80,AP$4&lt;$D80+'Incremental Repayments'!$I$31),-PMT('Interest Rate'!$J$16,'Incremental Repayments'!$I$31,(HLOOKUP($D80,$E$4:$CZ$32,28,FALSE)*'Incremental Repayments'!$I$22)),0),0)</f>
        <v>0</v>
      </c>
      <c r="AQ80" s="477">
        <f>IF('Incremental Repayments'!$R$22="Debt",IF(AND(AQ$4&gt;=$D80,AQ$4&lt;$D80+'Incremental Repayments'!$I$31),-PMT('Interest Rate'!$J$16,'Incremental Repayments'!$I$31,(HLOOKUP($D80,$E$4:$CZ$32,28,FALSE)*'Incremental Repayments'!$I$22)),0),0)</f>
        <v>0</v>
      </c>
      <c r="AR80" s="477">
        <f>IF('Incremental Repayments'!$R$22="Debt",IF(AND(AR$4&gt;=$D80,AR$4&lt;$D80+'Incremental Repayments'!$I$31),-PMT('Interest Rate'!$J$16,'Incremental Repayments'!$I$31,(HLOOKUP($D80,$E$4:$CZ$32,28,FALSE)*'Incremental Repayments'!$I$22)),0),0)</f>
        <v>0</v>
      </c>
      <c r="AS80" s="477">
        <f>IF('Incremental Repayments'!$R$22="Debt",IF(AND(AS$4&gt;=$D80,AS$4&lt;$D80+'Incremental Repayments'!$I$31),-PMT('Interest Rate'!$J$16,'Incremental Repayments'!$I$31,(HLOOKUP($D80,$E$4:$CZ$32,28,FALSE)*'Incremental Repayments'!$I$22)),0),0)</f>
        <v>0</v>
      </c>
      <c r="AT80" s="477">
        <f>IF('Incremental Repayments'!$R$22="Debt",IF(AND(AT$4&gt;=$D80,AT$4&lt;$D80+'Incremental Repayments'!$I$31),-PMT('Interest Rate'!$J$16,'Incremental Repayments'!$I$31,(HLOOKUP($D80,$E$4:$CZ$32,28,FALSE)*'Incremental Repayments'!$I$22)),0),0)</f>
        <v>0</v>
      </c>
      <c r="AU80" s="477">
        <f>IF('Incremental Repayments'!$R$22="Debt",IF(AND(AU$4&gt;=$D80,AU$4&lt;$D80+'Incremental Repayments'!$I$31),-PMT('Interest Rate'!$J$16,'Incremental Repayments'!$I$31,(HLOOKUP($D80,$E$4:$CZ$32,28,FALSE)*'Incremental Repayments'!$I$22)),0),0)</f>
        <v>0</v>
      </c>
      <c r="AV80" s="477">
        <f>IF('Incremental Repayments'!$R$22="Debt",IF(AND(AV$4&gt;=$D80,AV$4&lt;$D80+'Incremental Repayments'!$I$31),-PMT('Interest Rate'!$J$16,'Incremental Repayments'!$I$31,(HLOOKUP($D80,$E$4:$CZ$32,28,FALSE)*'Incremental Repayments'!$I$22)),0),0)</f>
        <v>0</v>
      </c>
      <c r="AW80" s="477">
        <f>IF('Incremental Repayments'!$R$22="Debt",IF(AND(AW$4&gt;=$D80,AW$4&lt;$D80+'Incremental Repayments'!$I$31),-PMT('Interest Rate'!$J$16,'Incremental Repayments'!$I$31,(HLOOKUP($D80,$E$4:$CZ$32,28,FALSE)*'Incremental Repayments'!$I$22)),0),0)</f>
        <v>1357719.7562145835</v>
      </c>
      <c r="AX80" s="477">
        <f>IF('Incremental Repayments'!$R$22="Debt",IF(AND(AX$4&gt;=$D80,AX$4&lt;$D80+'Incremental Repayments'!$I$31),-PMT('Interest Rate'!$J$16,'Incremental Repayments'!$I$31,(HLOOKUP($D80,$E$4:$CZ$32,28,FALSE)*'Incremental Repayments'!$I$22)),0),0)</f>
        <v>1357719.7562145835</v>
      </c>
      <c r="AY80" s="477">
        <f>IF('Incremental Repayments'!$R$22="Debt",IF(AND(AY$4&gt;=$D80,AY$4&lt;$D80+'Incremental Repayments'!$I$31),-PMT('Interest Rate'!$J$16,'Incremental Repayments'!$I$31,(HLOOKUP($D80,$E$4:$CZ$32,28,FALSE)*'Incremental Repayments'!$I$22)),0),0)</f>
        <v>1357719.7562145835</v>
      </c>
      <c r="AZ80" s="477">
        <f>IF('Incremental Repayments'!$R$22="Debt",IF(AND(AZ$4&gt;=$D80,AZ$4&lt;$D80+'Incremental Repayments'!$I$31),-PMT('Interest Rate'!$J$16,'Incremental Repayments'!$I$31,(HLOOKUP($D80,$E$4:$CZ$32,28,FALSE)*'Incremental Repayments'!$I$22)),0),0)</f>
        <v>1357719.7562145835</v>
      </c>
      <c r="BA80" s="477">
        <f>IF('Incremental Repayments'!$R$22="Debt",IF(AND(BA$4&gt;=$D80,BA$4&lt;$D80+'Incremental Repayments'!$I$31),-PMT('Interest Rate'!$J$16,'Incremental Repayments'!$I$31,(HLOOKUP($D80,$E$4:$CZ$32,28,FALSE)*'Incremental Repayments'!$I$22)),0),0)</f>
        <v>1357719.7562145835</v>
      </c>
      <c r="BB80" s="477">
        <f>IF('Incremental Repayments'!$R$22="Debt",IF(AND(BB$4&gt;=$D80,BB$4&lt;$D80+'Incremental Repayments'!$I$31),-PMT('Interest Rate'!$J$16,'Incremental Repayments'!$I$31,(HLOOKUP($D80,$E$4:$CZ$32,28,FALSE)*'Incremental Repayments'!$I$22)),0),0)</f>
        <v>1357719.7562145835</v>
      </c>
      <c r="BC80" s="477">
        <f>IF('Incremental Repayments'!$R$22="Debt",IF(AND(BC$4&gt;=$D80,BC$4&lt;$D80+'Incremental Repayments'!$I$31),-PMT('Interest Rate'!$J$16,'Incremental Repayments'!$I$31,(HLOOKUP($D80,$E$4:$CZ$32,28,FALSE)*'Incremental Repayments'!$I$22)),0),0)</f>
        <v>1357719.7562145835</v>
      </c>
      <c r="BD80" s="477">
        <f>IF('Incremental Repayments'!$R$22="Debt",IF(AND(BD$4&gt;=$D80,BD$4&lt;$D80+'Incremental Repayments'!$I$31),-PMT('Interest Rate'!$J$16,'Incremental Repayments'!$I$31,(HLOOKUP($D80,$E$4:$CZ$32,28,FALSE)*'Incremental Repayments'!$I$22)),0),0)</f>
        <v>1357719.7562145835</v>
      </c>
      <c r="BE80" s="477">
        <f>IF('Incremental Repayments'!$R$22="Debt",IF(AND(BE$4&gt;=$D80,BE$4&lt;$D80+'Incremental Repayments'!$I$31),-PMT('Interest Rate'!$J$16,'Incremental Repayments'!$I$31,(HLOOKUP($D80,$E$4:$CZ$32,28,FALSE)*'Incremental Repayments'!$I$22)),0),0)</f>
        <v>1357719.7562145835</v>
      </c>
      <c r="BF80" s="477">
        <f>IF('Incremental Repayments'!$R$22="Debt",IF(AND(BF$4&gt;=$D80,BF$4&lt;$D80+'Incremental Repayments'!$I$31),-PMT('Interest Rate'!$J$16,'Incremental Repayments'!$I$31,(HLOOKUP($D80,$E$4:$CZ$32,28,FALSE)*'Incremental Repayments'!$I$22)),0),0)</f>
        <v>1357719.7562145835</v>
      </c>
      <c r="BG80" s="477">
        <f>IF('Incremental Repayments'!$R$22="Debt",IF(AND(BG$4&gt;=$D80,BG$4&lt;$D80+'Incremental Repayments'!$I$31),-PMT('Interest Rate'!$J$16,'Incremental Repayments'!$I$31,(HLOOKUP($D80,$E$4:$CZ$32,28,FALSE)*'Incremental Repayments'!$I$22)),0),0)</f>
        <v>1357719.7562145835</v>
      </c>
      <c r="BH80" s="477">
        <f>IF('Incremental Repayments'!$R$22="Debt",IF(AND(BH$4&gt;=$D80,BH$4&lt;$D80+'Incremental Repayments'!$I$31),-PMT('Interest Rate'!$J$16,'Incremental Repayments'!$I$31,(HLOOKUP($D80,$E$4:$CZ$32,28,FALSE)*'Incremental Repayments'!$I$22)),0),0)</f>
        <v>1357719.7562145835</v>
      </c>
      <c r="BI80" s="477">
        <f>IF('Incremental Repayments'!$R$22="Debt",IF(AND(BI$4&gt;=$D80,BI$4&lt;$D80+'Incremental Repayments'!$I$31),-PMT('Interest Rate'!$J$16,'Incremental Repayments'!$I$31,(HLOOKUP($D80,$E$4:$CZ$32,28,FALSE)*'Incremental Repayments'!$I$22)),0),0)</f>
        <v>1357719.7562145835</v>
      </c>
      <c r="BJ80" s="477">
        <f>IF('Incremental Repayments'!$R$22="Debt",IF(AND(BJ$4&gt;=$D80,BJ$4&lt;$D80+'Incremental Repayments'!$I$31),-PMT('Interest Rate'!$J$16,'Incremental Repayments'!$I$31,(HLOOKUP($D80,$E$4:$CZ$32,28,FALSE)*'Incremental Repayments'!$I$22)),0),0)</f>
        <v>1357719.7562145835</v>
      </c>
      <c r="BK80" s="477">
        <f>IF('Incremental Repayments'!$R$22="Debt",IF(AND(BK$4&gt;=$D80,BK$4&lt;$D80+'Incremental Repayments'!$I$31),-PMT('Interest Rate'!$J$16,'Incremental Repayments'!$I$31,(HLOOKUP($D80,$E$4:$CZ$32,28,FALSE)*'Incremental Repayments'!$I$22)),0),0)</f>
        <v>1357719.7562145835</v>
      </c>
      <c r="BL80" s="477">
        <f>IF('Incremental Repayments'!$R$22="Debt",IF(AND(BL$4&gt;=$D80,BL$4&lt;$D80+'Incremental Repayments'!$I$31),-PMT('Interest Rate'!$J$16,'Incremental Repayments'!$I$31,(HLOOKUP($D80,$E$4:$CZ$32,28,FALSE)*'Incremental Repayments'!$I$22)),0),0)</f>
        <v>1357719.7562145835</v>
      </c>
      <c r="BM80" s="477">
        <f>IF('Incremental Repayments'!$R$22="Debt",IF(AND(BM$4&gt;=$D80,BM$4&lt;$D80+'Incremental Repayments'!$I$31),-PMT('Interest Rate'!$J$16,'Incremental Repayments'!$I$31,(HLOOKUP($D80,$E$4:$CZ$32,28,FALSE)*'Incremental Repayments'!$I$22)),0),0)</f>
        <v>1357719.7562145835</v>
      </c>
      <c r="BN80" s="477">
        <f>IF('Incremental Repayments'!$R$22="Debt",IF(AND(BN$4&gt;=$D80,BN$4&lt;$D80+'Incremental Repayments'!$I$31),-PMT('Interest Rate'!$J$16,'Incremental Repayments'!$I$31,(HLOOKUP($D80,$E$4:$CZ$32,28,FALSE)*'Incremental Repayments'!$I$22)),0),0)</f>
        <v>1357719.7562145835</v>
      </c>
      <c r="BO80" s="477">
        <f>IF('Incremental Repayments'!$R$22="Debt",IF(AND(BO$4&gt;=$D80,BO$4&lt;$D80+'Incremental Repayments'!$I$31),-PMT('Interest Rate'!$J$16,'Incremental Repayments'!$I$31,(HLOOKUP($D80,$E$4:$CZ$32,28,FALSE)*'Incremental Repayments'!$I$22)),0),0)</f>
        <v>1357719.7562145835</v>
      </c>
      <c r="BP80" s="477">
        <f>IF('Incremental Repayments'!$R$22="Debt",IF(AND(BP$4&gt;=$D80,BP$4&lt;$D80+'Incremental Repayments'!$I$31),-PMT('Interest Rate'!$J$16,'Incremental Repayments'!$I$31,(HLOOKUP($D80,$E$4:$CZ$32,28,FALSE)*'Incremental Repayments'!$I$22)),0),0)</f>
        <v>1357719.7562145835</v>
      </c>
      <c r="BQ80" s="477">
        <f>IF('Incremental Repayments'!$R$22="Debt",IF(AND(BQ$4&gt;=$D80,BQ$4&lt;$D80+'Incremental Repayments'!$I$31),-PMT('Interest Rate'!$J$16,'Incremental Repayments'!$I$31,(HLOOKUP($D80,$E$4:$CZ$32,28,FALSE)*'Incremental Repayments'!$I$22)),0),0)</f>
        <v>1357719.7562145835</v>
      </c>
      <c r="BR80" s="477">
        <f>IF('Incremental Repayments'!$R$22="Debt",IF(AND(BR$4&gt;=$D80,BR$4&lt;$D80+'Incremental Repayments'!$I$31),-PMT('Interest Rate'!$J$16,'Incremental Repayments'!$I$31,(HLOOKUP($D80,$E$4:$CZ$32,28,FALSE)*'Incremental Repayments'!$I$22)),0),0)</f>
        <v>1357719.7562145835</v>
      </c>
      <c r="BS80" s="477">
        <f>IF('Incremental Repayments'!$R$22="Debt",IF(AND(BS$4&gt;=$D80,BS$4&lt;$D80+'Incremental Repayments'!$I$31),-PMT('Interest Rate'!$J$16,'Incremental Repayments'!$I$31,(HLOOKUP($D80,$E$4:$CZ$32,28,FALSE)*'Incremental Repayments'!$I$22)),0),0)</f>
        <v>1357719.7562145835</v>
      </c>
      <c r="BT80" s="477">
        <f>IF('Incremental Repayments'!$R$22="Debt",IF(AND(BT$4&gt;=$D80,BT$4&lt;$D80+'Incremental Repayments'!$I$31),-PMT('Interest Rate'!$J$16,'Incremental Repayments'!$I$31,(HLOOKUP($D80,$E$4:$CZ$32,28,FALSE)*'Incremental Repayments'!$I$22)),0),0)</f>
        <v>1357719.7562145835</v>
      </c>
      <c r="BU80" s="477">
        <f>IF('Incremental Repayments'!$R$22="Debt",IF(AND(BU$4&gt;=$D80,BU$4&lt;$D80+'Incremental Repayments'!$I$31),-PMT('Interest Rate'!$J$16,'Incremental Repayments'!$I$31,(HLOOKUP($D80,$E$4:$CZ$32,28,FALSE)*'Incremental Repayments'!$I$22)),0),0)</f>
        <v>1357719.7562145835</v>
      </c>
      <c r="BV80" s="477">
        <f>IF('Incremental Repayments'!$R$22="Debt",IF(AND(BV$4&gt;=$D80,BV$4&lt;$D80+'Incremental Repayments'!$I$31),-PMT('Interest Rate'!$J$16,'Incremental Repayments'!$I$31,(HLOOKUP($D80,$E$4:$CZ$32,28,FALSE)*'Incremental Repayments'!$I$22)),0),0)</f>
        <v>1357719.7562145835</v>
      </c>
      <c r="BW80" s="477">
        <f>IF('Incremental Repayments'!$R$22="Debt",IF(AND(BW$4&gt;=$D80,BW$4&lt;$D80+'Incremental Repayments'!$I$31),-PMT('Interest Rate'!$J$16,'Incremental Repayments'!$I$31,(HLOOKUP($D80,$E$4:$CZ$32,28,FALSE)*'Incremental Repayments'!$I$22)),0),0)</f>
        <v>1357719.7562145835</v>
      </c>
      <c r="BX80" s="477">
        <f>IF('Incremental Repayments'!$R$22="Debt",IF(AND(BX$4&gt;=$D80,BX$4&lt;$D80+'Incremental Repayments'!$I$31),-PMT('Interest Rate'!$J$16,'Incremental Repayments'!$I$31,(HLOOKUP($D80,$E$4:$CZ$32,28,FALSE)*'Incremental Repayments'!$I$22)),0),0)</f>
        <v>1357719.7562145835</v>
      </c>
      <c r="BY80" s="477">
        <f>IF('Incremental Repayments'!$R$22="Debt",IF(AND(BY$4&gt;=$D80,BY$4&lt;$D80+'Incremental Repayments'!$I$31),-PMT('Interest Rate'!$J$16,'Incremental Repayments'!$I$31,(HLOOKUP($D80,$E$4:$CZ$32,28,FALSE)*'Incremental Repayments'!$I$22)),0),0)</f>
        <v>1357719.7562145835</v>
      </c>
      <c r="BZ80" s="477">
        <f>IF('Incremental Repayments'!$R$22="Debt",IF(AND(BZ$4&gt;=$D80,BZ$4&lt;$D80+'Incremental Repayments'!$I$31),-PMT('Interest Rate'!$J$16,'Incremental Repayments'!$I$31,(HLOOKUP($D80,$E$4:$CZ$32,28,FALSE)*'Incremental Repayments'!$I$22)),0),0)</f>
        <v>1357719.7562145835</v>
      </c>
      <c r="CA80" s="477">
        <f>IF('Incremental Repayments'!$R$22="Debt",IF(AND(CA$4&gt;=$D80,CA$4&lt;$D80+'Incremental Repayments'!$I$31),-PMT('Interest Rate'!$J$16,'Incremental Repayments'!$I$31,(HLOOKUP($D80,$E$4:$CZ$32,28,FALSE)*'Incremental Repayments'!$I$22)),0),0)</f>
        <v>0</v>
      </c>
      <c r="CB80" s="477">
        <f>IF('Incremental Repayments'!$R$22="Debt",IF(AND(CB$4&gt;=$D80,CB$4&lt;$D80+'Incremental Repayments'!$I$31),-PMT('Interest Rate'!$J$16,'Incremental Repayments'!$I$31,(HLOOKUP($D80,$E$4:$CZ$32,28,FALSE)*'Incremental Repayments'!$I$22)),0),0)</f>
        <v>0</v>
      </c>
      <c r="CC80" s="477">
        <f>IF('Incremental Repayments'!$R$22="Debt",IF(AND(CC$4&gt;=$D80,CC$4&lt;$D80+'Incremental Repayments'!$I$31),-PMT('Interest Rate'!$J$16,'Incremental Repayments'!$I$31,(HLOOKUP($D80,$E$4:$CZ$32,28,FALSE)*'Incremental Repayments'!$I$22)),0),0)</f>
        <v>0</v>
      </c>
      <c r="CD80" s="477">
        <f>IF('Incremental Repayments'!$R$22="Debt",IF(AND(CD$4&gt;=$D80,CD$4&lt;$D80+'Incremental Repayments'!$I$31),-PMT('Interest Rate'!$J$16,'Incremental Repayments'!$I$31,(HLOOKUP($D80,$E$4:$CZ$32,28,FALSE)*'Incremental Repayments'!$I$22)),0),0)</f>
        <v>0</v>
      </c>
      <c r="CE80" s="477">
        <f>IF('Incremental Repayments'!$R$22="Debt",IF(AND(CE$4&gt;=$D80,CE$4&lt;$D80+'Incremental Repayments'!$I$31),-PMT('Interest Rate'!$J$16,'Incremental Repayments'!$I$31,(HLOOKUP($D80,$E$4:$CZ$32,28,FALSE)*'Incremental Repayments'!$I$22)),0),0)</f>
        <v>0</v>
      </c>
      <c r="CF80" s="477">
        <f>IF('Incremental Repayments'!$R$22="Debt",IF(AND(CF$4&gt;=$D80,CF$4&lt;$D80+'Incremental Repayments'!$I$31),-PMT('Interest Rate'!$J$16,'Incremental Repayments'!$I$31,(HLOOKUP($D80,$E$4:$CZ$32,28,FALSE)*'Incremental Repayments'!$I$22)),0),0)</f>
        <v>0</v>
      </c>
      <c r="CG80" s="477">
        <f>IF('Incremental Repayments'!$R$22="Debt",IF(AND(CG$4&gt;=$D80,CG$4&lt;$D80+'Incremental Repayments'!$I$31),-PMT('Interest Rate'!$J$16,'Incremental Repayments'!$I$31,(HLOOKUP($D80,$E$4:$CZ$32,28,FALSE)*'Incremental Repayments'!$I$22)),0),0)</f>
        <v>0</v>
      </c>
      <c r="CH80" s="477">
        <f>IF('Incremental Repayments'!$R$22="Debt",IF(AND(CH$4&gt;=$D80,CH$4&lt;$D80+'Incremental Repayments'!$I$31),-PMT('Interest Rate'!$J$16,'Incremental Repayments'!$I$31,(HLOOKUP($D80,$E$4:$CZ$32,28,FALSE)*'Incremental Repayments'!$I$22)),0),0)</f>
        <v>0</v>
      </c>
      <c r="CI80" s="477">
        <f>IF('Incremental Repayments'!$R$22="Debt",IF(AND(CI$4&gt;=$D80,CI$4&lt;$D80+'Incremental Repayments'!$I$31),-PMT('Interest Rate'!$J$16,'Incremental Repayments'!$I$31,(HLOOKUP($D80,$E$4:$CZ$32,28,FALSE)*'Incremental Repayments'!$I$22)),0),0)</f>
        <v>0</v>
      </c>
      <c r="CJ80" s="477">
        <f>IF('Incremental Repayments'!$R$22="Debt",IF(AND(CJ$4&gt;=$D80,CJ$4&lt;$D80+'Incremental Repayments'!$I$31),-PMT('Interest Rate'!$J$16,'Incremental Repayments'!$I$31,(HLOOKUP($D80,$E$4:$CZ$32,28,FALSE)*'Incremental Repayments'!$I$22)),0),0)</f>
        <v>0</v>
      </c>
      <c r="CK80" s="477">
        <f>IF('Incremental Repayments'!$R$22="Debt",IF(AND(CK$4&gt;=$D80,CK$4&lt;$D80+'Incremental Repayments'!$I$31),-PMT('Interest Rate'!$J$16,'Incremental Repayments'!$I$31,(HLOOKUP($D80,$E$4:$CZ$32,28,FALSE)*'Incremental Repayments'!$I$22)),0),0)</f>
        <v>0</v>
      </c>
      <c r="CL80" s="477">
        <f>IF('Incremental Repayments'!$R$22="Debt",IF(AND(CL$4&gt;=$D80,CL$4&lt;$D80+'Incremental Repayments'!$I$31),-PMT('Interest Rate'!$J$16,'Incremental Repayments'!$I$31,(HLOOKUP($D80,$E$4:$CZ$32,28,FALSE)*'Incremental Repayments'!$I$22)),0),0)</f>
        <v>0</v>
      </c>
      <c r="CM80" s="477">
        <f>IF('Incremental Repayments'!$R$22="Debt",IF(AND(CM$4&gt;=$D80,CM$4&lt;$D80+'Incremental Repayments'!$I$31),-PMT('Interest Rate'!$J$16,'Incremental Repayments'!$I$31,(HLOOKUP($D80,$E$4:$CZ$32,28,FALSE)*'Incremental Repayments'!$I$22)),0),0)</f>
        <v>0</v>
      </c>
      <c r="CN80" s="477">
        <f>IF('Incremental Repayments'!$R$22="Debt",IF(AND(CN$4&gt;=$D80,CN$4&lt;$D80+'Incremental Repayments'!$I$31),-PMT('Interest Rate'!$J$16,'Incremental Repayments'!$I$31,(HLOOKUP($D80,$E$4:$CZ$32,28,FALSE)*'Incremental Repayments'!$I$22)),0),0)</f>
        <v>0</v>
      </c>
      <c r="CO80" s="477">
        <f>IF('Incremental Repayments'!$R$22="Debt",IF(AND(CO$4&gt;=$D80,CO$4&lt;$D80+'Incremental Repayments'!$I$31),-PMT('Interest Rate'!$J$16,'Incremental Repayments'!$I$31,(HLOOKUP($D80,$E$4:$CZ$32,28,FALSE)*'Incremental Repayments'!$I$22)),0),0)</f>
        <v>0</v>
      </c>
      <c r="CP80" s="477">
        <f>IF('Incremental Repayments'!$R$22="Debt",IF(AND(CP$4&gt;=$D80,CP$4&lt;$D80+'Incremental Repayments'!$I$31),-PMT('Interest Rate'!$J$16,'Incremental Repayments'!$I$31,(HLOOKUP($D80,$E$4:$CZ$32,28,FALSE)*'Incremental Repayments'!$I$22)),0),0)</f>
        <v>0</v>
      </c>
      <c r="CQ80" s="477">
        <f>IF('Incremental Repayments'!$R$22="Debt",IF(AND(CQ$4&gt;=$D80,CQ$4&lt;$D80+'Incremental Repayments'!$I$31),-PMT('Interest Rate'!$J$16,'Incremental Repayments'!$I$31,(HLOOKUP($D80,$E$4:$CZ$32,28,FALSE)*'Incremental Repayments'!$I$22)),0),0)</f>
        <v>0</v>
      </c>
      <c r="CR80" s="477">
        <f>IF('Incremental Repayments'!$R$22="Debt",IF(AND(CR$4&gt;=$D80,CR$4&lt;$D80+'Incremental Repayments'!$I$31),-PMT('Interest Rate'!$J$16,'Incremental Repayments'!$I$31,(HLOOKUP($D80,$E$4:$CZ$32,28,FALSE)*'Incremental Repayments'!$I$22)),0),0)</f>
        <v>0</v>
      </c>
      <c r="CS80" s="477">
        <f>IF('Incremental Repayments'!$R$22="Debt",IF(AND(CS$4&gt;=$D80,CS$4&lt;$D80+'Incremental Repayments'!$I$31),-PMT('Interest Rate'!$J$16,'Incremental Repayments'!$I$31,(HLOOKUP($D80,$E$4:$CZ$32,28,FALSE)*'Incremental Repayments'!$I$22)),0),0)</f>
        <v>0</v>
      </c>
      <c r="CT80" s="477">
        <f>IF('Incremental Repayments'!$R$22="Debt",IF(AND(CT$4&gt;=$D80,CT$4&lt;$D80+'Incremental Repayments'!$I$31),-PMT('Interest Rate'!$J$16,'Incremental Repayments'!$I$31,(HLOOKUP($D80,$E$4:$CZ$32,28,FALSE)*'Incremental Repayments'!$I$22)),0),0)</f>
        <v>0</v>
      </c>
      <c r="CU80" s="477">
        <f>IF('Incremental Repayments'!$R$22="Debt",IF(AND(CU$4&gt;=$D80,CU$4&lt;$D80+'Incremental Repayments'!$I$31),-PMT('Interest Rate'!$J$16,'Incremental Repayments'!$I$31,(HLOOKUP($D80,$E$4:$CZ$32,28,FALSE)*'Incremental Repayments'!$I$22)),0),0)</f>
        <v>0</v>
      </c>
      <c r="CV80" s="477">
        <f>IF('Incremental Repayments'!$R$22="Debt",IF(AND(CV$4&gt;=$D80,CV$4&lt;$D80+'Incremental Repayments'!$I$31),-PMT('Interest Rate'!$J$16,'Incremental Repayments'!$I$31,(HLOOKUP($D80,$E$4:$CZ$32,28,FALSE)*'Incremental Repayments'!$I$22)),0),0)</f>
        <v>0</v>
      </c>
      <c r="CW80" s="477">
        <f>IF('Incremental Repayments'!$R$22="Debt",IF(AND(CW$4&gt;=$D80,CW$4&lt;$D80+'Incremental Repayments'!$I$31),-PMT('Interest Rate'!$J$16,'Incremental Repayments'!$I$31,(HLOOKUP($D80,$E$4:$CZ$32,28,FALSE)*'Incremental Repayments'!$I$22)),0),0)</f>
        <v>0</v>
      </c>
      <c r="CX80" s="477">
        <f>IF('Incremental Repayments'!$R$22="Debt",IF(AND(CX$4&gt;=$D80,CX$4&lt;$D80+'Incremental Repayments'!$I$31),-PMT('Interest Rate'!$J$16,'Incremental Repayments'!$I$31,(HLOOKUP($D80,$E$4:$CZ$32,28,FALSE)*'Incremental Repayments'!$I$22)),0),0)</f>
        <v>0</v>
      </c>
      <c r="CY80" s="477">
        <f>IF('Incremental Repayments'!$R$22="Debt",IF(AND(CY$4&gt;=$D80,CY$4&lt;$D80+'Incremental Repayments'!$I$31),-PMT('Interest Rate'!$J$16,'Incremental Repayments'!$I$31,(HLOOKUP($D80,$E$4:$CZ$32,28,FALSE)*'Incremental Repayments'!$I$22)),0),0)</f>
        <v>0</v>
      </c>
      <c r="CZ80" s="477">
        <f>IF('Incremental Repayments'!$R$22="Debt",IF(AND(CZ$4&gt;=$D80,CZ$4&lt;$D80+'Incremental Repayments'!$I$31),-PMT('Interest Rate'!$J$16,'Incremental Repayments'!$I$31,(HLOOKUP($D80,$E$4:$CZ$32,28,FALSE)*'Incremental Repayments'!$I$22)),0),0)</f>
        <v>0</v>
      </c>
    </row>
    <row r="81" spans="2:104" x14ac:dyDescent="0.25">
      <c r="B81" s="480" t="str">
        <f>CONCATENATE("Series ",D81,"A Bonds (at ",'Interest Rate'!$J$16*100,"% Interest)")</f>
        <v>Series 2059A Bonds (at 4.5% Interest)</v>
      </c>
      <c r="C81" s="480"/>
      <c r="D81" s="492">
        <f t="shared" si="494"/>
        <v>2059</v>
      </c>
      <c r="E81" s="477">
        <f>IF('Incremental Repayments'!$R$22="Debt",IF(AND(E$4&gt;=$D81,E$4&lt;$D81+'Incremental Repayments'!$I$31),-PMT('Interest Rate'!$J$16,'Incremental Repayments'!$I$31,(HLOOKUP($D81,$E$4:$CZ$32,28,FALSE)*'Incremental Repayments'!$I$22)),0),0)</f>
        <v>0</v>
      </c>
      <c r="F81" s="477">
        <f>IF('Incremental Repayments'!$R$22="Debt",IF(AND(F$4&gt;=$D81,F$4&lt;$D81+'Incremental Repayments'!$I$31),-PMT('Interest Rate'!$J$16,'Incremental Repayments'!$I$31,(HLOOKUP($D81,$E$4:$CZ$32,28,FALSE)*'Incremental Repayments'!$I$22)),0),0)</f>
        <v>0</v>
      </c>
      <c r="G81" s="477">
        <f>IF('Incremental Repayments'!$R$22="Debt",IF(AND(G$4&gt;=$D81,G$4&lt;$D81+'Incremental Repayments'!$I$31),-PMT('Interest Rate'!$J$16,'Incremental Repayments'!$I$31,(HLOOKUP($D81,$E$4:$CZ$32,28,FALSE)*'Incremental Repayments'!$I$22)),0),0)</f>
        <v>0</v>
      </c>
      <c r="H81" s="477">
        <f>IF('Incremental Repayments'!$R$22="Debt",IF(AND(H$4&gt;=$D81,H$4&lt;$D81+'Incremental Repayments'!$I$31),-PMT('Interest Rate'!$J$16,'Incremental Repayments'!$I$31,(HLOOKUP($D81,$E$4:$CZ$32,28,FALSE)*'Incremental Repayments'!$I$22)),0),0)</f>
        <v>0</v>
      </c>
      <c r="I81" s="477">
        <f>IF('Incremental Repayments'!$R$22="Debt",IF(AND(I$4&gt;=$D81,I$4&lt;$D81+'Incremental Repayments'!$I$31),-PMT('Interest Rate'!$J$16,'Incremental Repayments'!$I$31,(HLOOKUP($D81,$E$4:$CZ$32,28,FALSE)*'Incremental Repayments'!$I$22)),0),0)</f>
        <v>0</v>
      </c>
      <c r="J81" s="477">
        <f>IF('Incremental Repayments'!$R$22="Debt",IF(AND(J$4&gt;=$D81,J$4&lt;$D81+'Incremental Repayments'!$I$31),-PMT('Interest Rate'!$J$16,'Incremental Repayments'!$I$31,(HLOOKUP($D81,$E$4:$CZ$32,28,FALSE)*'Incremental Repayments'!$I$22)),0),0)</f>
        <v>0</v>
      </c>
      <c r="K81" s="477">
        <f>IF('Incremental Repayments'!$R$22="Debt",IF(AND(K$4&gt;=$D81,K$4&lt;$D81+'Incremental Repayments'!$I$31),-PMT('Interest Rate'!$J$16,'Incremental Repayments'!$I$31,(HLOOKUP($D81,$E$4:$CZ$32,28,FALSE)*'Incremental Repayments'!$I$22)),0),0)</f>
        <v>0</v>
      </c>
      <c r="L81" s="477">
        <f>IF('Incremental Repayments'!$R$22="Debt",IF(AND(L$4&gt;=$D81,L$4&lt;$D81+'Incremental Repayments'!$I$31),-PMT('Interest Rate'!$J$16,'Incremental Repayments'!$I$31,(HLOOKUP($D81,$E$4:$CZ$32,28,FALSE)*'Incremental Repayments'!$I$22)),0),0)</f>
        <v>0</v>
      </c>
      <c r="M81" s="477">
        <f>IF('Incremental Repayments'!$R$22="Debt",IF(AND(M$4&gt;=$D81,M$4&lt;$D81+'Incremental Repayments'!$I$31),-PMT('Interest Rate'!$J$16,'Incremental Repayments'!$I$31,(HLOOKUP($D81,$E$4:$CZ$32,28,FALSE)*'Incremental Repayments'!$I$22)),0),0)</f>
        <v>0</v>
      </c>
      <c r="N81" s="477">
        <f>IF('Incremental Repayments'!$R$22="Debt",IF(AND(N$4&gt;=$D81,N$4&lt;$D81+'Incremental Repayments'!$I$31),-PMT('Interest Rate'!$J$16,'Incremental Repayments'!$I$31,(HLOOKUP($D81,$E$4:$CZ$32,28,FALSE)*'Incremental Repayments'!$I$22)),0),0)</f>
        <v>0</v>
      </c>
      <c r="O81" s="477">
        <f>IF('Incremental Repayments'!$R$22="Debt",IF(AND(O$4&gt;=$D81,O$4&lt;$D81+'Incremental Repayments'!$I$31),-PMT('Interest Rate'!$J$16,'Incremental Repayments'!$I$31,(HLOOKUP($D81,$E$4:$CZ$32,28,FALSE)*'Incremental Repayments'!$I$22)),0),0)</f>
        <v>0</v>
      </c>
      <c r="P81" s="477">
        <f>IF('Incremental Repayments'!$R$22="Debt",IF(AND(P$4&gt;=$D81,P$4&lt;$D81+'Incremental Repayments'!$I$31),-PMT('Interest Rate'!$J$16,'Incremental Repayments'!$I$31,(HLOOKUP($D81,$E$4:$CZ$32,28,FALSE)*'Incremental Repayments'!$I$22)),0),0)</f>
        <v>0</v>
      </c>
      <c r="Q81" s="477">
        <f>IF('Incremental Repayments'!$R$22="Debt",IF(AND(Q$4&gt;=$D81,Q$4&lt;$D81+'Incremental Repayments'!$I$31),-PMT('Interest Rate'!$J$16,'Incremental Repayments'!$I$31,(HLOOKUP($D81,$E$4:$CZ$32,28,FALSE)*'Incremental Repayments'!$I$22)),0),0)</f>
        <v>0</v>
      </c>
      <c r="R81" s="477">
        <f>IF('Incremental Repayments'!$R$22="Debt",IF(AND(R$4&gt;=$D81,R$4&lt;$D81+'Incremental Repayments'!$I$31),-PMT('Interest Rate'!$J$16,'Incremental Repayments'!$I$31,(HLOOKUP($D81,$E$4:$CZ$32,28,FALSE)*'Incremental Repayments'!$I$22)),0),0)</f>
        <v>0</v>
      </c>
      <c r="S81" s="477">
        <f>IF('Incremental Repayments'!$R$22="Debt",IF(AND(S$4&gt;=$D81,S$4&lt;$D81+'Incremental Repayments'!$I$31),-PMT('Interest Rate'!$J$16,'Incremental Repayments'!$I$31,(HLOOKUP($D81,$E$4:$CZ$32,28,FALSE)*'Incremental Repayments'!$I$22)),0),0)</f>
        <v>0</v>
      </c>
      <c r="T81" s="477">
        <f>IF('Incremental Repayments'!$R$22="Debt",IF(AND(T$4&gt;=$D81,T$4&lt;$D81+'Incremental Repayments'!$I$31),-PMT('Interest Rate'!$J$16,'Incremental Repayments'!$I$31,(HLOOKUP($D81,$E$4:$CZ$32,28,FALSE)*'Incremental Repayments'!$I$22)),0),0)</f>
        <v>0</v>
      </c>
      <c r="U81" s="477">
        <f>IF('Incremental Repayments'!$R$22="Debt",IF(AND(U$4&gt;=$D81,U$4&lt;$D81+'Incremental Repayments'!$I$31),-PMT('Interest Rate'!$J$16,'Incremental Repayments'!$I$31,(HLOOKUP($D81,$E$4:$CZ$32,28,FALSE)*'Incremental Repayments'!$I$22)),0),0)</f>
        <v>0</v>
      </c>
      <c r="V81" s="477">
        <f>IF('Incremental Repayments'!$R$22="Debt",IF(AND(V$4&gt;=$D81,V$4&lt;$D81+'Incremental Repayments'!$I$31),-PMT('Interest Rate'!$J$16,'Incremental Repayments'!$I$31,(HLOOKUP($D81,$E$4:$CZ$32,28,FALSE)*'Incremental Repayments'!$I$22)),0),0)</f>
        <v>0</v>
      </c>
      <c r="W81" s="477">
        <f>IF('Incremental Repayments'!$R$22="Debt",IF(AND(W$4&gt;=$D81,W$4&lt;$D81+'Incremental Repayments'!$I$31),-PMT('Interest Rate'!$J$16,'Incremental Repayments'!$I$31,(HLOOKUP($D81,$E$4:$CZ$32,28,FALSE)*'Incremental Repayments'!$I$22)),0),0)</f>
        <v>0</v>
      </c>
      <c r="X81" s="477">
        <f>IF('Incremental Repayments'!$R$22="Debt",IF(AND(X$4&gt;=$D81,X$4&lt;$D81+'Incremental Repayments'!$I$31),-PMT('Interest Rate'!$J$16,'Incremental Repayments'!$I$31,(HLOOKUP($D81,$E$4:$CZ$32,28,FALSE)*'Incremental Repayments'!$I$22)),0),0)</f>
        <v>0</v>
      </c>
      <c r="Y81" s="477">
        <f>IF('Incremental Repayments'!$R$22="Debt",IF(AND(Y$4&gt;=$D81,Y$4&lt;$D81+'Incremental Repayments'!$I$31),-PMT('Interest Rate'!$J$16,'Incremental Repayments'!$I$31,(HLOOKUP($D81,$E$4:$CZ$32,28,FALSE)*'Incremental Repayments'!$I$22)),0),0)</f>
        <v>0</v>
      </c>
      <c r="Z81" s="477">
        <f>IF('Incremental Repayments'!$R$22="Debt",IF(AND(Z$4&gt;=$D81,Z$4&lt;$D81+'Incremental Repayments'!$I$31),-PMT('Interest Rate'!$J$16,'Incremental Repayments'!$I$31,(HLOOKUP($D81,$E$4:$CZ$32,28,FALSE)*'Incremental Repayments'!$I$22)),0),0)</f>
        <v>0</v>
      </c>
      <c r="AA81" s="477">
        <f>IF('Incremental Repayments'!$R$22="Debt",IF(AND(AA$4&gt;=$D81,AA$4&lt;$D81+'Incremental Repayments'!$I$31),-PMT('Interest Rate'!$J$16,'Incremental Repayments'!$I$31,(HLOOKUP($D81,$E$4:$CZ$32,28,FALSE)*'Incremental Repayments'!$I$22)),0),0)</f>
        <v>0</v>
      </c>
      <c r="AB81" s="477">
        <f>IF('Incremental Repayments'!$R$22="Debt",IF(AND(AB$4&gt;=$D81,AB$4&lt;$D81+'Incremental Repayments'!$I$31),-PMT('Interest Rate'!$J$16,'Incremental Repayments'!$I$31,(HLOOKUP($D81,$E$4:$CZ$32,28,FALSE)*'Incremental Repayments'!$I$22)),0),0)</f>
        <v>0</v>
      </c>
      <c r="AC81" s="477">
        <f>IF('Incremental Repayments'!$R$22="Debt",IF(AND(AC$4&gt;=$D81,AC$4&lt;$D81+'Incremental Repayments'!$I$31),-PMT('Interest Rate'!$J$16,'Incremental Repayments'!$I$31,(HLOOKUP($D81,$E$4:$CZ$32,28,FALSE)*'Incremental Repayments'!$I$22)),0),0)</f>
        <v>0</v>
      </c>
      <c r="AD81" s="477">
        <f>IF('Incremental Repayments'!$R$22="Debt",IF(AND(AD$4&gt;=$D81,AD$4&lt;$D81+'Incremental Repayments'!$I$31),-PMT('Interest Rate'!$J$16,'Incremental Repayments'!$I$31,(HLOOKUP($D81,$E$4:$CZ$32,28,FALSE)*'Incremental Repayments'!$I$22)),0),0)</f>
        <v>0</v>
      </c>
      <c r="AE81" s="477">
        <f>IF('Incremental Repayments'!$R$22="Debt",IF(AND(AE$4&gt;=$D81,AE$4&lt;$D81+'Incremental Repayments'!$I$31),-PMT('Interest Rate'!$J$16,'Incremental Repayments'!$I$31,(HLOOKUP($D81,$E$4:$CZ$32,28,FALSE)*'Incremental Repayments'!$I$22)),0),0)</f>
        <v>0</v>
      </c>
      <c r="AF81" s="477">
        <f>IF('Incremental Repayments'!$R$22="Debt",IF(AND(AF$4&gt;=$D81,AF$4&lt;$D81+'Incremental Repayments'!$I$31),-PMT('Interest Rate'!$J$16,'Incremental Repayments'!$I$31,(HLOOKUP($D81,$E$4:$CZ$32,28,FALSE)*'Incremental Repayments'!$I$22)),0),0)</f>
        <v>0</v>
      </c>
      <c r="AG81" s="477">
        <f>IF('Incremental Repayments'!$R$22="Debt",IF(AND(AG$4&gt;=$D81,AG$4&lt;$D81+'Incremental Repayments'!$I$31),-PMT('Interest Rate'!$J$16,'Incremental Repayments'!$I$31,(HLOOKUP($D81,$E$4:$CZ$32,28,FALSE)*'Incremental Repayments'!$I$22)),0),0)</f>
        <v>0</v>
      </c>
      <c r="AH81" s="477">
        <f>IF('Incremental Repayments'!$R$22="Debt",IF(AND(AH$4&gt;=$D81,AH$4&lt;$D81+'Incremental Repayments'!$I$31),-PMT('Interest Rate'!$J$16,'Incremental Repayments'!$I$31,(HLOOKUP($D81,$E$4:$CZ$32,28,FALSE)*'Incremental Repayments'!$I$22)),0),0)</f>
        <v>0</v>
      </c>
      <c r="AI81" s="477">
        <f>IF('Incremental Repayments'!$R$22="Debt",IF(AND(AI$4&gt;=$D81,AI$4&lt;$D81+'Incremental Repayments'!$I$31),-PMT('Interest Rate'!$J$16,'Incremental Repayments'!$I$31,(HLOOKUP($D81,$E$4:$CZ$32,28,FALSE)*'Incremental Repayments'!$I$22)),0),0)</f>
        <v>0</v>
      </c>
      <c r="AJ81" s="477">
        <f>IF('Incremental Repayments'!$R$22="Debt",IF(AND(AJ$4&gt;=$D81,AJ$4&lt;$D81+'Incremental Repayments'!$I$31),-PMT('Interest Rate'!$J$16,'Incremental Repayments'!$I$31,(HLOOKUP($D81,$E$4:$CZ$32,28,FALSE)*'Incremental Repayments'!$I$22)),0),0)</f>
        <v>0</v>
      </c>
      <c r="AK81" s="477">
        <f>IF('Incremental Repayments'!$R$22="Debt",IF(AND(AK$4&gt;=$D81,AK$4&lt;$D81+'Incremental Repayments'!$I$31),-PMT('Interest Rate'!$J$16,'Incremental Repayments'!$I$31,(HLOOKUP($D81,$E$4:$CZ$32,28,FALSE)*'Incremental Repayments'!$I$22)),0),0)</f>
        <v>0</v>
      </c>
      <c r="AL81" s="477">
        <f>IF('Incremental Repayments'!$R$22="Debt",IF(AND(AL$4&gt;=$D81,AL$4&lt;$D81+'Incremental Repayments'!$I$31),-PMT('Interest Rate'!$J$16,'Incremental Repayments'!$I$31,(HLOOKUP($D81,$E$4:$CZ$32,28,FALSE)*'Incremental Repayments'!$I$22)),0),0)</f>
        <v>0</v>
      </c>
      <c r="AM81" s="477">
        <f>IF('Incremental Repayments'!$R$22="Debt",IF(AND(AM$4&gt;=$D81,AM$4&lt;$D81+'Incremental Repayments'!$I$31),-PMT('Interest Rate'!$J$16,'Incremental Repayments'!$I$31,(HLOOKUP($D81,$E$4:$CZ$32,28,FALSE)*'Incremental Repayments'!$I$22)),0),0)</f>
        <v>0</v>
      </c>
      <c r="AN81" s="477">
        <f>IF('Incremental Repayments'!$R$22="Debt",IF(AND(AN$4&gt;=$D81,AN$4&lt;$D81+'Incremental Repayments'!$I$31),-PMT('Interest Rate'!$J$16,'Incremental Repayments'!$I$31,(HLOOKUP($D81,$E$4:$CZ$32,28,FALSE)*'Incremental Repayments'!$I$22)),0),0)</f>
        <v>0</v>
      </c>
      <c r="AO81" s="477">
        <f>IF('Incremental Repayments'!$R$22="Debt",IF(AND(AO$4&gt;=$D81,AO$4&lt;$D81+'Incremental Repayments'!$I$31),-PMT('Interest Rate'!$J$16,'Incremental Repayments'!$I$31,(HLOOKUP($D81,$E$4:$CZ$32,28,FALSE)*'Incremental Repayments'!$I$22)),0),0)</f>
        <v>0</v>
      </c>
      <c r="AP81" s="477">
        <f>IF('Incremental Repayments'!$R$22="Debt",IF(AND(AP$4&gt;=$D81,AP$4&lt;$D81+'Incremental Repayments'!$I$31),-PMT('Interest Rate'!$J$16,'Incremental Repayments'!$I$31,(HLOOKUP($D81,$E$4:$CZ$32,28,FALSE)*'Incremental Repayments'!$I$22)),0),0)</f>
        <v>0</v>
      </c>
      <c r="AQ81" s="477">
        <f>IF('Incremental Repayments'!$R$22="Debt",IF(AND(AQ$4&gt;=$D81,AQ$4&lt;$D81+'Incremental Repayments'!$I$31),-PMT('Interest Rate'!$J$16,'Incremental Repayments'!$I$31,(HLOOKUP($D81,$E$4:$CZ$32,28,FALSE)*'Incremental Repayments'!$I$22)),0),0)</f>
        <v>0</v>
      </c>
      <c r="AR81" s="477">
        <f>IF('Incremental Repayments'!$R$22="Debt",IF(AND(AR$4&gt;=$D81,AR$4&lt;$D81+'Incremental Repayments'!$I$31),-PMT('Interest Rate'!$J$16,'Incremental Repayments'!$I$31,(HLOOKUP($D81,$E$4:$CZ$32,28,FALSE)*'Incremental Repayments'!$I$22)),0),0)</f>
        <v>0</v>
      </c>
      <c r="AS81" s="477">
        <f>IF('Incremental Repayments'!$R$22="Debt",IF(AND(AS$4&gt;=$D81,AS$4&lt;$D81+'Incremental Repayments'!$I$31),-PMT('Interest Rate'!$J$16,'Incremental Repayments'!$I$31,(HLOOKUP($D81,$E$4:$CZ$32,28,FALSE)*'Incremental Repayments'!$I$22)),0),0)</f>
        <v>0</v>
      </c>
      <c r="AT81" s="477">
        <f>IF('Incremental Repayments'!$R$22="Debt",IF(AND(AT$4&gt;=$D81,AT$4&lt;$D81+'Incremental Repayments'!$I$31),-PMT('Interest Rate'!$J$16,'Incremental Repayments'!$I$31,(HLOOKUP($D81,$E$4:$CZ$32,28,FALSE)*'Incremental Repayments'!$I$22)),0),0)</f>
        <v>0</v>
      </c>
      <c r="AU81" s="477">
        <f>IF('Incremental Repayments'!$R$22="Debt",IF(AND(AU$4&gt;=$D81,AU$4&lt;$D81+'Incremental Repayments'!$I$31),-PMT('Interest Rate'!$J$16,'Incremental Repayments'!$I$31,(HLOOKUP($D81,$E$4:$CZ$32,28,FALSE)*'Incremental Repayments'!$I$22)),0),0)</f>
        <v>0</v>
      </c>
      <c r="AV81" s="477">
        <f>IF('Incremental Repayments'!$R$22="Debt",IF(AND(AV$4&gt;=$D81,AV$4&lt;$D81+'Incremental Repayments'!$I$31),-PMT('Interest Rate'!$J$16,'Incremental Repayments'!$I$31,(HLOOKUP($D81,$E$4:$CZ$32,28,FALSE)*'Incremental Repayments'!$I$22)),0),0)</f>
        <v>0</v>
      </c>
      <c r="AW81" s="477">
        <f>IF('Incremental Repayments'!$R$22="Debt",IF(AND(AW$4&gt;=$D81,AW$4&lt;$D81+'Incremental Repayments'!$I$31),-PMT('Interest Rate'!$J$16,'Incremental Repayments'!$I$31,(HLOOKUP($D81,$E$4:$CZ$32,28,FALSE)*'Incremental Repayments'!$I$22)),0),0)</f>
        <v>0</v>
      </c>
      <c r="AX81" s="477">
        <f>IF('Incremental Repayments'!$R$22="Debt",IF(AND(AX$4&gt;=$D81,AX$4&lt;$D81+'Incremental Repayments'!$I$31),-PMT('Interest Rate'!$J$16,'Incremental Repayments'!$I$31,(HLOOKUP($D81,$E$4:$CZ$32,28,FALSE)*'Incremental Repayments'!$I$22)),0),0)</f>
        <v>1396414.7692666904</v>
      </c>
      <c r="AY81" s="477">
        <f>IF('Incremental Repayments'!$R$22="Debt",IF(AND(AY$4&gt;=$D81,AY$4&lt;$D81+'Incremental Repayments'!$I$31),-PMT('Interest Rate'!$J$16,'Incremental Repayments'!$I$31,(HLOOKUP($D81,$E$4:$CZ$32,28,FALSE)*'Incremental Repayments'!$I$22)),0),0)</f>
        <v>1396414.7692666904</v>
      </c>
      <c r="AZ81" s="477">
        <f>IF('Incremental Repayments'!$R$22="Debt",IF(AND(AZ$4&gt;=$D81,AZ$4&lt;$D81+'Incremental Repayments'!$I$31),-PMT('Interest Rate'!$J$16,'Incremental Repayments'!$I$31,(HLOOKUP($D81,$E$4:$CZ$32,28,FALSE)*'Incremental Repayments'!$I$22)),0),0)</f>
        <v>1396414.7692666904</v>
      </c>
      <c r="BA81" s="477">
        <f>IF('Incremental Repayments'!$R$22="Debt",IF(AND(BA$4&gt;=$D81,BA$4&lt;$D81+'Incremental Repayments'!$I$31),-PMT('Interest Rate'!$J$16,'Incremental Repayments'!$I$31,(HLOOKUP($D81,$E$4:$CZ$32,28,FALSE)*'Incremental Repayments'!$I$22)),0),0)</f>
        <v>1396414.7692666904</v>
      </c>
      <c r="BB81" s="477">
        <f>IF('Incremental Repayments'!$R$22="Debt",IF(AND(BB$4&gt;=$D81,BB$4&lt;$D81+'Incremental Repayments'!$I$31),-PMT('Interest Rate'!$J$16,'Incremental Repayments'!$I$31,(HLOOKUP($D81,$E$4:$CZ$32,28,FALSE)*'Incremental Repayments'!$I$22)),0),0)</f>
        <v>1396414.7692666904</v>
      </c>
      <c r="BC81" s="477">
        <f>IF('Incremental Repayments'!$R$22="Debt",IF(AND(BC$4&gt;=$D81,BC$4&lt;$D81+'Incremental Repayments'!$I$31),-PMT('Interest Rate'!$J$16,'Incremental Repayments'!$I$31,(HLOOKUP($D81,$E$4:$CZ$32,28,FALSE)*'Incremental Repayments'!$I$22)),0),0)</f>
        <v>1396414.7692666904</v>
      </c>
      <c r="BD81" s="477">
        <f>IF('Incremental Repayments'!$R$22="Debt",IF(AND(BD$4&gt;=$D81,BD$4&lt;$D81+'Incremental Repayments'!$I$31),-PMT('Interest Rate'!$J$16,'Incremental Repayments'!$I$31,(HLOOKUP($D81,$E$4:$CZ$32,28,FALSE)*'Incremental Repayments'!$I$22)),0),0)</f>
        <v>1396414.7692666904</v>
      </c>
      <c r="BE81" s="477">
        <f>IF('Incremental Repayments'!$R$22="Debt",IF(AND(BE$4&gt;=$D81,BE$4&lt;$D81+'Incremental Repayments'!$I$31),-PMT('Interest Rate'!$J$16,'Incremental Repayments'!$I$31,(HLOOKUP($D81,$E$4:$CZ$32,28,FALSE)*'Incremental Repayments'!$I$22)),0),0)</f>
        <v>1396414.7692666904</v>
      </c>
      <c r="BF81" s="477">
        <f>IF('Incremental Repayments'!$R$22="Debt",IF(AND(BF$4&gt;=$D81,BF$4&lt;$D81+'Incremental Repayments'!$I$31),-PMT('Interest Rate'!$J$16,'Incremental Repayments'!$I$31,(HLOOKUP($D81,$E$4:$CZ$32,28,FALSE)*'Incremental Repayments'!$I$22)),0),0)</f>
        <v>1396414.7692666904</v>
      </c>
      <c r="BG81" s="477">
        <f>IF('Incremental Repayments'!$R$22="Debt",IF(AND(BG$4&gt;=$D81,BG$4&lt;$D81+'Incremental Repayments'!$I$31),-PMT('Interest Rate'!$J$16,'Incremental Repayments'!$I$31,(HLOOKUP($D81,$E$4:$CZ$32,28,FALSE)*'Incremental Repayments'!$I$22)),0),0)</f>
        <v>1396414.7692666904</v>
      </c>
      <c r="BH81" s="477">
        <f>IF('Incremental Repayments'!$R$22="Debt",IF(AND(BH$4&gt;=$D81,BH$4&lt;$D81+'Incremental Repayments'!$I$31),-PMT('Interest Rate'!$J$16,'Incremental Repayments'!$I$31,(HLOOKUP($D81,$E$4:$CZ$32,28,FALSE)*'Incremental Repayments'!$I$22)),0),0)</f>
        <v>1396414.7692666904</v>
      </c>
      <c r="BI81" s="477">
        <f>IF('Incremental Repayments'!$R$22="Debt",IF(AND(BI$4&gt;=$D81,BI$4&lt;$D81+'Incremental Repayments'!$I$31),-PMT('Interest Rate'!$J$16,'Incremental Repayments'!$I$31,(HLOOKUP($D81,$E$4:$CZ$32,28,FALSE)*'Incremental Repayments'!$I$22)),0),0)</f>
        <v>1396414.7692666904</v>
      </c>
      <c r="BJ81" s="477">
        <f>IF('Incremental Repayments'!$R$22="Debt",IF(AND(BJ$4&gt;=$D81,BJ$4&lt;$D81+'Incremental Repayments'!$I$31),-PMT('Interest Rate'!$J$16,'Incremental Repayments'!$I$31,(HLOOKUP($D81,$E$4:$CZ$32,28,FALSE)*'Incremental Repayments'!$I$22)),0),0)</f>
        <v>1396414.7692666904</v>
      </c>
      <c r="BK81" s="477">
        <f>IF('Incremental Repayments'!$R$22="Debt",IF(AND(BK$4&gt;=$D81,BK$4&lt;$D81+'Incremental Repayments'!$I$31),-PMT('Interest Rate'!$J$16,'Incremental Repayments'!$I$31,(HLOOKUP($D81,$E$4:$CZ$32,28,FALSE)*'Incremental Repayments'!$I$22)),0),0)</f>
        <v>1396414.7692666904</v>
      </c>
      <c r="BL81" s="477">
        <f>IF('Incremental Repayments'!$R$22="Debt",IF(AND(BL$4&gt;=$D81,BL$4&lt;$D81+'Incremental Repayments'!$I$31),-PMT('Interest Rate'!$J$16,'Incremental Repayments'!$I$31,(HLOOKUP($D81,$E$4:$CZ$32,28,FALSE)*'Incremental Repayments'!$I$22)),0),0)</f>
        <v>1396414.7692666904</v>
      </c>
      <c r="BM81" s="477">
        <f>IF('Incremental Repayments'!$R$22="Debt",IF(AND(BM$4&gt;=$D81,BM$4&lt;$D81+'Incremental Repayments'!$I$31),-PMT('Interest Rate'!$J$16,'Incremental Repayments'!$I$31,(HLOOKUP($D81,$E$4:$CZ$32,28,FALSE)*'Incremental Repayments'!$I$22)),0),0)</f>
        <v>1396414.7692666904</v>
      </c>
      <c r="BN81" s="477">
        <f>IF('Incremental Repayments'!$R$22="Debt",IF(AND(BN$4&gt;=$D81,BN$4&lt;$D81+'Incremental Repayments'!$I$31),-PMT('Interest Rate'!$J$16,'Incremental Repayments'!$I$31,(HLOOKUP($D81,$E$4:$CZ$32,28,FALSE)*'Incremental Repayments'!$I$22)),0),0)</f>
        <v>1396414.7692666904</v>
      </c>
      <c r="BO81" s="477">
        <f>IF('Incremental Repayments'!$R$22="Debt",IF(AND(BO$4&gt;=$D81,BO$4&lt;$D81+'Incremental Repayments'!$I$31),-PMT('Interest Rate'!$J$16,'Incremental Repayments'!$I$31,(HLOOKUP($D81,$E$4:$CZ$32,28,FALSE)*'Incremental Repayments'!$I$22)),0),0)</f>
        <v>1396414.7692666904</v>
      </c>
      <c r="BP81" s="477">
        <f>IF('Incremental Repayments'!$R$22="Debt",IF(AND(BP$4&gt;=$D81,BP$4&lt;$D81+'Incremental Repayments'!$I$31),-PMT('Interest Rate'!$J$16,'Incremental Repayments'!$I$31,(HLOOKUP($D81,$E$4:$CZ$32,28,FALSE)*'Incremental Repayments'!$I$22)),0),0)</f>
        <v>1396414.7692666904</v>
      </c>
      <c r="BQ81" s="477">
        <f>IF('Incremental Repayments'!$R$22="Debt",IF(AND(BQ$4&gt;=$D81,BQ$4&lt;$D81+'Incremental Repayments'!$I$31),-PMT('Interest Rate'!$J$16,'Incremental Repayments'!$I$31,(HLOOKUP($D81,$E$4:$CZ$32,28,FALSE)*'Incremental Repayments'!$I$22)),0),0)</f>
        <v>1396414.7692666904</v>
      </c>
      <c r="BR81" s="477">
        <f>IF('Incremental Repayments'!$R$22="Debt",IF(AND(BR$4&gt;=$D81,BR$4&lt;$D81+'Incremental Repayments'!$I$31),-PMT('Interest Rate'!$J$16,'Incremental Repayments'!$I$31,(HLOOKUP($D81,$E$4:$CZ$32,28,FALSE)*'Incremental Repayments'!$I$22)),0),0)</f>
        <v>1396414.7692666904</v>
      </c>
      <c r="BS81" s="477">
        <f>IF('Incremental Repayments'!$R$22="Debt",IF(AND(BS$4&gt;=$D81,BS$4&lt;$D81+'Incremental Repayments'!$I$31),-PMT('Interest Rate'!$J$16,'Incremental Repayments'!$I$31,(HLOOKUP($D81,$E$4:$CZ$32,28,FALSE)*'Incremental Repayments'!$I$22)),0),0)</f>
        <v>1396414.7692666904</v>
      </c>
      <c r="BT81" s="477">
        <f>IF('Incremental Repayments'!$R$22="Debt",IF(AND(BT$4&gt;=$D81,BT$4&lt;$D81+'Incremental Repayments'!$I$31),-PMT('Interest Rate'!$J$16,'Incremental Repayments'!$I$31,(HLOOKUP($D81,$E$4:$CZ$32,28,FALSE)*'Incremental Repayments'!$I$22)),0),0)</f>
        <v>1396414.7692666904</v>
      </c>
      <c r="BU81" s="477">
        <f>IF('Incremental Repayments'!$R$22="Debt",IF(AND(BU$4&gt;=$D81,BU$4&lt;$D81+'Incremental Repayments'!$I$31),-PMT('Interest Rate'!$J$16,'Incremental Repayments'!$I$31,(HLOOKUP($D81,$E$4:$CZ$32,28,FALSE)*'Incremental Repayments'!$I$22)),0),0)</f>
        <v>1396414.7692666904</v>
      </c>
      <c r="BV81" s="477">
        <f>IF('Incremental Repayments'!$R$22="Debt",IF(AND(BV$4&gt;=$D81,BV$4&lt;$D81+'Incremental Repayments'!$I$31),-PMT('Interest Rate'!$J$16,'Incremental Repayments'!$I$31,(HLOOKUP($D81,$E$4:$CZ$32,28,FALSE)*'Incremental Repayments'!$I$22)),0),0)</f>
        <v>1396414.7692666904</v>
      </c>
      <c r="BW81" s="477">
        <f>IF('Incremental Repayments'!$R$22="Debt",IF(AND(BW$4&gt;=$D81,BW$4&lt;$D81+'Incremental Repayments'!$I$31),-PMT('Interest Rate'!$J$16,'Incremental Repayments'!$I$31,(HLOOKUP($D81,$E$4:$CZ$32,28,FALSE)*'Incremental Repayments'!$I$22)),0),0)</f>
        <v>1396414.7692666904</v>
      </c>
      <c r="BX81" s="477">
        <f>IF('Incremental Repayments'!$R$22="Debt",IF(AND(BX$4&gt;=$D81,BX$4&lt;$D81+'Incremental Repayments'!$I$31),-PMT('Interest Rate'!$J$16,'Incremental Repayments'!$I$31,(HLOOKUP($D81,$E$4:$CZ$32,28,FALSE)*'Incremental Repayments'!$I$22)),0),0)</f>
        <v>1396414.7692666904</v>
      </c>
      <c r="BY81" s="477">
        <f>IF('Incremental Repayments'!$R$22="Debt",IF(AND(BY$4&gt;=$D81,BY$4&lt;$D81+'Incremental Repayments'!$I$31),-PMT('Interest Rate'!$J$16,'Incremental Repayments'!$I$31,(HLOOKUP($D81,$E$4:$CZ$32,28,FALSE)*'Incremental Repayments'!$I$22)),0),0)</f>
        <v>1396414.7692666904</v>
      </c>
      <c r="BZ81" s="477">
        <f>IF('Incremental Repayments'!$R$22="Debt",IF(AND(BZ$4&gt;=$D81,BZ$4&lt;$D81+'Incremental Repayments'!$I$31),-PMT('Interest Rate'!$J$16,'Incremental Repayments'!$I$31,(HLOOKUP($D81,$E$4:$CZ$32,28,FALSE)*'Incremental Repayments'!$I$22)),0),0)</f>
        <v>1396414.7692666904</v>
      </c>
      <c r="CA81" s="477">
        <f>IF('Incremental Repayments'!$R$22="Debt",IF(AND(CA$4&gt;=$D81,CA$4&lt;$D81+'Incremental Repayments'!$I$31),-PMT('Interest Rate'!$J$16,'Incremental Repayments'!$I$31,(HLOOKUP($D81,$E$4:$CZ$32,28,FALSE)*'Incremental Repayments'!$I$22)),0),0)</f>
        <v>1396414.7692666904</v>
      </c>
      <c r="CB81" s="477">
        <f>IF('Incremental Repayments'!$R$22="Debt",IF(AND(CB$4&gt;=$D81,CB$4&lt;$D81+'Incremental Repayments'!$I$31),-PMT('Interest Rate'!$J$16,'Incremental Repayments'!$I$31,(HLOOKUP($D81,$E$4:$CZ$32,28,FALSE)*'Incremental Repayments'!$I$22)),0),0)</f>
        <v>0</v>
      </c>
      <c r="CC81" s="477">
        <f>IF('Incremental Repayments'!$R$22="Debt",IF(AND(CC$4&gt;=$D81,CC$4&lt;$D81+'Incremental Repayments'!$I$31),-PMT('Interest Rate'!$J$16,'Incremental Repayments'!$I$31,(HLOOKUP($D81,$E$4:$CZ$32,28,FALSE)*'Incremental Repayments'!$I$22)),0),0)</f>
        <v>0</v>
      </c>
      <c r="CD81" s="477">
        <f>IF('Incremental Repayments'!$R$22="Debt",IF(AND(CD$4&gt;=$D81,CD$4&lt;$D81+'Incremental Repayments'!$I$31),-PMT('Interest Rate'!$J$16,'Incremental Repayments'!$I$31,(HLOOKUP($D81,$E$4:$CZ$32,28,FALSE)*'Incremental Repayments'!$I$22)),0),0)</f>
        <v>0</v>
      </c>
      <c r="CE81" s="477">
        <f>IF('Incremental Repayments'!$R$22="Debt",IF(AND(CE$4&gt;=$D81,CE$4&lt;$D81+'Incremental Repayments'!$I$31),-PMT('Interest Rate'!$J$16,'Incremental Repayments'!$I$31,(HLOOKUP($D81,$E$4:$CZ$32,28,FALSE)*'Incremental Repayments'!$I$22)),0),0)</f>
        <v>0</v>
      </c>
      <c r="CF81" s="477">
        <f>IF('Incremental Repayments'!$R$22="Debt",IF(AND(CF$4&gt;=$D81,CF$4&lt;$D81+'Incremental Repayments'!$I$31),-PMT('Interest Rate'!$J$16,'Incremental Repayments'!$I$31,(HLOOKUP($D81,$E$4:$CZ$32,28,FALSE)*'Incremental Repayments'!$I$22)),0),0)</f>
        <v>0</v>
      </c>
      <c r="CG81" s="477">
        <f>IF('Incremental Repayments'!$R$22="Debt",IF(AND(CG$4&gt;=$D81,CG$4&lt;$D81+'Incremental Repayments'!$I$31),-PMT('Interest Rate'!$J$16,'Incremental Repayments'!$I$31,(HLOOKUP($D81,$E$4:$CZ$32,28,FALSE)*'Incremental Repayments'!$I$22)),0),0)</f>
        <v>0</v>
      </c>
      <c r="CH81" s="477">
        <f>IF('Incremental Repayments'!$R$22="Debt",IF(AND(CH$4&gt;=$D81,CH$4&lt;$D81+'Incremental Repayments'!$I$31),-PMT('Interest Rate'!$J$16,'Incremental Repayments'!$I$31,(HLOOKUP($D81,$E$4:$CZ$32,28,FALSE)*'Incremental Repayments'!$I$22)),0),0)</f>
        <v>0</v>
      </c>
      <c r="CI81" s="477">
        <f>IF('Incremental Repayments'!$R$22="Debt",IF(AND(CI$4&gt;=$D81,CI$4&lt;$D81+'Incremental Repayments'!$I$31),-PMT('Interest Rate'!$J$16,'Incremental Repayments'!$I$31,(HLOOKUP($D81,$E$4:$CZ$32,28,FALSE)*'Incremental Repayments'!$I$22)),0),0)</f>
        <v>0</v>
      </c>
      <c r="CJ81" s="477">
        <f>IF('Incremental Repayments'!$R$22="Debt",IF(AND(CJ$4&gt;=$D81,CJ$4&lt;$D81+'Incremental Repayments'!$I$31),-PMT('Interest Rate'!$J$16,'Incremental Repayments'!$I$31,(HLOOKUP($D81,$E$4:$CZ$32,28,FALSE)*'Incremental Repayments'!$I$22)),0),0)</f>
        <v>0</v>
      </c>
      <c r="CK81" s="477">
        <f>IF('Incremental Repayments'!$R$22="Debt",IF(AND(CK$4&gt;=$D81,CK$4&lt;$D81+'Incremental Repayments'!$I$31),-PMT('Interest Rate'!$J$16,'Incremental Repayments'!$I$31,(HLOOKUP($D81,$E$4:$CZ$32,28,FALSE)*'Incremental Repayments'!$I$22)),0),0)</f>
        <v>0</v>
      </c>
      <c r="CL81" s="477">
        <f>IF('Incremental Repayments'!$R$22="Debt",IF(AND(CL$4&gt;=$D81,CL$4&lt;$D81+'Incremental Repayments'!$I$31),-PMT('Interest Rate'!$J$16,'Incremental Repayments'!$I$31,(HLOOKUP($D81,$E$4:$CZ$32,28,FALSE)*'Incremental Repayments'!$I$22)),0),0)</f>
        <v>0</v>
      </c>
      <c r="CM81" s="477">
        <f>IF('Incremental Repayments'!$R$22="Debt",IF(AND(CM$4&gt;=$D81,CM$4&lt;$D81+'Incremental Repayments'!$I$31),-PMT('Interest Rate'!$J$16,'Incremental Repayments'!$I$31,(HLOOKUP($D81,$E$4:$CZ$32,28,FALSE)*'Incremental Repayments'!$I$22)),0),0)</f>
        <v>0</v>
      </c>
      <c r="CN81" s="477">
        <f>IF('Incremental Repayments'!$R$22="Debt",IF(AND(CN$4&gt;=$D81,CN$4&lt;$D81+'Incremental Repayments'!$I$31),-PMT('Interest Rate'!$J$16,'Incremental Repayments'!$I$31,(HLOOKUP($D81,$E$4:$CZ$32,28,FALSE)*'Incremental Repayments'!$I$22)),0),0)</f>
        <v>0</v>
      </c>
      <c r="CO81" s="477">
        <f>IF('Incremental Repayments'!$R$22="Debt",IF(AND(CO$4&gt;=$D81,CO$4&lt;$D81+'Incremental Repayments'!$I$31),-PMT('Interest Rate'!$J$16,'Incremental Repayments'!$I$31,(HLOOKUP($D81,$E$4:$CZ$32,28,FALSE)*'Incremental Repayments'!$I$22)),0),0)</f>
        <v>0</v>
      </c>
      <c r="CP81" s="477">
        <f>IF('Incremental Repayments'!$R$22="Debt",IF(AND(CP$4&gt;=$D81,CP$4&lt;$D81+'Incremental Repayments'!$I$31),-PMT('Interest Rate'!$J$16,'Incremental Repayments'!$I$31,(HLOOKUP($D81,$E$4:$CZ$32,28,FALSE)*'Incremental Repayments'!$I$22)),0),0)</f>
        <v>0</v>
      </c>
      <c r="CQ81" s="477">
        <f>IF('Incremental Repayments'!$R$22="Debt",IF(AND(CQ$4&gt;=$D81,CQ$4&lt;$D81+'Incremental Repayments'!$I$31),-PMT('Interest Rate'!$J$16,'Incremental Repayments'!$I$31,(HLOOKUP($D81,$E$4:$CZ$32,28,FALSE)*'Incremental Repayments'!$I$22)),0),0)</f>
        <v>0</v>
      </c>
      <c r="CR81" s="477">
        <f>IF('Incremental Repayments'!$R$22="Debt",IF(AND(CR$4&gt;=$D81,CR$4&lt;$D81+'Incremental Repayments'!$I$31),-PMT('Interest Rate'!$J$16,'Incremental Repayments'!$I$31,(HLOOKUP($D81,$E$4:$CZ$32,28,FALSE)*'Incremental Repayments'!$I$22)),0),0)</f>
        <v>0</v>
      </c>
      <c r="CS81" s="477">
        <f>IF('Incremental Repayments'!$R$22="Debt",IF(AND(CS$4&gt;=$D81,CS$4&lt;$D81+'Incremental Repayments'!$I$31),-PMT('Interest Rate'!$J$16,'Incremental Repayments'!$I$31,(HLOOKUP($D81,$E$4:$CZ$32,28,FALSE)*'Incremental Repayments'!$I$22)),0),0)</f>
        <v>0</v>
      </c>
      <c r="CT81" s="477">
        <f>IF('Incremental Repayments'!$R$22="Debt",IF(AND(CT$4&gt;=$D81,CT$4&lt;$D81+'Incremental Repayments'!$I$31),-PMT('Interest Rate'!$J$16,'Incremental Repayments'!$I$31,(HLOOKUP($D81,$E$4:$CZ$32,28,FALSE)*'Incremental Repayments'!$I$22)),0),0)</f>
        <v>0</v>
      </c>
      <c r="CU81" s="477">
        <f>IF('Incremental Repayments'!$R$22="Debt",IF(AND(CU$4&gt;=$D81,CU$4&lt;$D81+'Incremental Repayments'!$I$31),-PMT('Interest Rate'!$J$16,'Incremental Repayments'!$I$31,(HLOOKUP($D81,$E$4:$CZ$32,28,FALSE)*'Incremental Repayments'!$I$22)),0),0)</f>
        <v>0</v>
      </c>
      <c r="CV81" s="477">
        <f>IF('Incremental Repayments'!$R$22="Debt",IF(AND(CV$4&gt;=$D81,CV$4&lt;$D81+'Incremental Repayments'!$I$31),-PMT('Interest Rate'!$J$16,'Incremental Repayments'!$I$31,(HLOOKUP($D81,$E$4:$CZ$32,28,FALSE)*'Incremental Repayments'!$I$22)),0),0)</f>
        <v>0</v>
      </c>
      <c r="CW81" s="477">
        <f>IF('Incremental Repayments'!$R$22="Debt",IF(AND(CW$4&gt;=$D81,CW$4&lt;$D81+'Incremental Repayments'!$I$31),-PMT('Interest Rate'!$J$16,'Incremental Repayments'!$I$31,(HLOOKUP($D81,$E$4:$CZ$32,28,FALSE)*'Incremental Repayments'!$I$22)),0),0)</f>
        <v>0</v>
      </c>
      <c r="CX81" s="477">
        <f>IF('Incremental Repayments'!$R$22="Debt",IF(AND(CX$4&gt;=$D81,CX$4&lt;$D81+'Incremental Repayments'!$I$31),-PMT('Interest Rate'!$J$16,'Incremental Repayments'!$I$31,(HLOOKUP($D81,$E$4:$CZ$32,28,FALSE)*'Incremental Repayments'!$I$22)),0),0)</f>
        <v>0</v>
      </c>
      <c r="CY81" s="477">
        <f>IF('Incremental Repayments'!$R$22="Debt",IF(AND(CY$4&gt;=$D81,CY$4&lt;$D81+'Incremental Repayments'!$I$31),-PMT('Interest Rate'!$J$16,'Incremental Repayments'!$I$31,(HLOOKUP($D81,$E$4:$CZ$32,28,FALSE)*'Incremental Repayments'!$I$22)),0),0)</f>
        <v>0</v>
      </c>
      <c r="CZ81" s="477">
        <f>IF('Incremental Repayments'!$R$22="Debt",IF(AND(CZ$4&gt;=$D81,CZ$4&lt;$D81+'Incremental Repayments'!$I$31),-PMT('Interest Rate'!$J$16,'Incremental Repayments'!$I$31,(HLOOKUP($D81,$E$4:$CZ$32,28,FALSE)*'Incremental Repayments'!$I$22)),0),0)</f>
        <v>0</v>
      </c>
    </row>
    <row r="82" spans="2:104" x14ac:dyDescent="0.25">
      <c r="B82" s="480" t="str">
        <f>CONCATENATE("Series ",D82,"A Bonds (at ",'Interest Rate'!$J$16*100,"% Interest)")</f>
        <v>Series 2060A Bonds (at 4.5% Interest)</v>
      </c>
      <c r="C82" s="480"/>
      <c r="D82" s="492">
        <f t="shared" si="494"/>
        <v>2060</v>
      </c>
      <c r="E82" s="477">
        <f>IF('Incremental Repayments'!$R$22="Debt",IF(AND(E$4&gt;=$D82,E$4&lt;$D82+'Incremental Repayments'!$I$31),-PMT('Interest Rate'!$J$16,'Incremental Repayments'!$I$31,(HLOOKUP($D82,$E$4:$CZ$32,28,FALSE)*'Incremental Repayments'!$I$22)),0),0)</f>
        <v>0</v>
      </c>
      <c r="F82" s="477">
        <f>IF('Incremental Repayments'!$R$22="Debt",IF(AND(F$4&gt;=$D82,F$4&lt;$D82+'Incremental Repayments'!$I$31),-PMT('Interest Rate'!$J$16,'Incremental Repayments'!$I$31,(HLOOKUP($D82,$E$4:$CZ$32,28,FALSE)*'Incremental Repayments'!$I$22)),0),0)</f>
        <v>0</v>
      </c>
      <c r="G82" s="477">
        <f>IF('Incremental Repayments'!$R$22="Debt",IF(AND(G$4&gt;=$D82,G$4&lt;$D82+'Incremental Repayments'!$I$31),-PMT('Interest Rate'!$J$16,'Incremental Repayments'!$I$31,(HLOOKUP($D82,$E$4:$CZ$32,28,FALSE)*'Incremental Repayments'!$I$22)),0),0)</f>
        <v>0</v>
      </c>
      <c r="H82" s="477">
        <f>IF('Incremental Repayments'!$R$22="Debt",IF(AND(H$4&gt;=$D82,H$4&lt;$D82+'Incremental Repayments'!$I$31),-PMT('Interest Rate'!$J$16,'Incremental Repayments'!$I$31,(HLOOKUP($D82,$E$4:$CZ$32,28,FALSE)*'Incremental Repayments'!$I$22)),0),0)</f>
        <v>0</v>
      </c>
      <c r="I82" s="477">
        <f>IF('Incremental Repayments'!$R$22="Debt",IF(AND(I$4&gt;=$D82,I$4&lt;$D82+'Incremental Repayments'!$I$31),-PMT('Interest Rate'!$J$16,'Incremental Repayments'!$I$31,(HLOOKUP($D82,$E$4:$CZ$32,28,FALSE)*'Incremental Repayments'!$I$22)),0),0)</f>
        <v>0</v>
      </c>
      <c r="J82" s="477">
        <f>IF('Incremental Repayments'!$R$22="Debt",IF(AND(J$4&gt;=$D82,J$4&lt;$D82+'Incremental Repayments'!$I$31),-PMT('Interest Rate'!$J$16,'Incremental Repayments'!$I$31,(HLOOKUP($D82,$E$4:$CZ$32,28,FALSE)*'Incremental Repayments'!$I$22)),0),0)</f>
        <v>0</v>
      </c>
      <c r="K82" s="477">
        <f>IF('Incremental Repayments'!$R$22="Debt",IF(AND(K$4&gt;=$D82,K$4&lt;$D82+'Incremental Repayments'!$I$31),-PMT('Interest Rate'!$J$16,'Incremental Repayments'!$I$31,(HLOOKUP($D82,$E$4:$CZ$32,28,FALSE)*'Incremental Repayments'!$I$22)),0),0)</f>
        <v>0</v>
      </c>
      <c r="L82" s="477">
        <f>IF('Incremental Repayments'!$R$22="Debt",IF(AND(L$4&gt;=$D82,L$4&lt;$D82+'Incremental Repayments'!$I$31),-PMT('Interest Rate'!$J$16,'Incremental Repayments'!$I$31,(HLOOKUP($D82,$E$4:$CZ$32,28,FALSE)*'Incremental Repayments'!$I$22)),0),0)</f>
        <v>0</v>
      </c>
      <c r="M82" s="477">
        <f>IF('Incremental Repayments'!$R$22="Debt",IF(AND(M$4&gt;=$D82,M$4&lt;$D82+'Incremental Repayments'!$I$31),-PMT('Interest Rate'!$J$16,'Incremental Repayments'!$I$31,(HLOOKUP($D82,$E$4:$CZ$32,28,FALSE)*'Incremental Repayments'!$I$22)),0),0)</f>
        <v>0</v>
      </c>
      <c r="N82" s="477">
        <f>IF('Incremental Repayments'!$R$22="Debt",IF(AND(N$4&gt;=$D82,N$4&lt;$D82+'Incremental Repayments'!$I$31),-PMT('Interest Rate'!$J$16,'Incremental Repayments'!$I$31,(HLOOKUP($D82,$E$4:$CZ$32,28,FALSE)*'Incremental Repayments'!$I$22)),0),0)</f>
        <v>0</v>
      </c>
      <c r="O82" s="477">
        <f>IF('Incremental Repayments'!$R$22="Debt",IF(AND(O$4&gt;=$D82,O$4&lt;$D82+'Incremental Repayments'!$I$31),-PMT('Interest Rate'!$J$16,'Incremental Repayments'!$I$31,(HLOOKUP($D82,$E$4:$CZ$32,28,FALSE)*'Incremental Repayments'!$I$22)),0),0)</f>
        <v>0</v>
      </c>
      <c r="P82" s="477">
        <f>IF('Incremental Repayments'!$R$22="Debt",IF(AND(P$4&gt;=$D82,P$4&lt;$D82+'Incremental Repayments'!$I$31),-PMT('Interest Rate'!$J$16,'Incremental Repayments'!$I$31,(HLOOKUP($D82,$E$4:$CZ$32,28,FALSE)*'Incremental Repayments'!$I$22)),0),0)</f>
        <v>0</v>
      </c>
      <c r="Q82" s="477">
        <f>IF('Incremental Repayments'!$R$22="Debt",IF(AND(Q$4&gt;=$D82,Q$4&lt;$D82+'Incremental Repayments'!$I$31),-PMT('Interest Rate'!$J$16,'Incremental Repayments'!$I$31,(HLOOKUP($D82,$E$4:$CZ$32,28,FALSE)*'Incremental Repayments'!$I$22)),0),0)</f>
        <v>0</v>
      </c>
      <c r="R82" s="477">
        <f>IF('Incremental Repayments'!$R$22="Debt",IF(AND(R$4&gt;=$D82,R$4&lt;$D82+'Incremental Repayments'!$I$31),-PMT('Interest Rate'!$J$16,'Incremental Repayments'!$I$31,(HLOOKUP($D82,$E$4:$CZ$32,28,FALSE)*'Incremental Repayments'!$I$22)),0),0)</f>
        <v>0</v>
      </c>
      <c r="S82" s="477">
        <f>IF('Incremental Repayments'!$R$22="Debt",IF(AND(S$4&gt;=$D82,S$4&lt;$D82+'Incremental Repayments'!$I$31),-PMT('Interest Rate'!$J$16,'Incremental Repayments'!$I$31,(HLOOKUP($D82,$E$4:$CZ$32,28,FALSE)*'Incremental Repayments'!$I$22)),0),0)</f>
        <v>0</v>
      </c>
      <c r="T82" s="477">
        <f>IF('Incremental Repayments'!$R$22="Debt",IF(AND(T$4&gt;=$D82,T$4&lt;$D82+'Incremental Repayments'!$I$31),-PMT('Interest Rate'!$J$16,'Incremental Repayments'!$I$31,(HLOOKUP($D82,$E$4:$CZ$32,28,FALSE)*'Incremental Repayments'!$I$22)),0),0)</f>
        <v>0</v>
      </c>
      <c r="U82" s="477">
        <f>IF('Incremental Repayments'!$R$22="Debt",IF(AND(U$4&gt;=$D82,U$4&lt;$D82+'Incremental Repayments'!$I$31),-PMT('Interest Rate'!$J$16,'Incremental Repayments'!$I$31,(HLOOKUP($D82,$E$4:$CZ$32,28,FALSE)*'Incremental Repayments'!$I$22)),0),0)</f>
        <v>0</v>
      </c>
      <c r="V82" s="477">
        <f>IF('Incremental Repayments'!$R$22="Debt",IF(AND(V$4&gt;=$D82,V$4&lt;$D82+'Incremental Repayments'!$I$31),-PMT('Interest Rate'!$J$16,'Incremental Repayments'!$I$31,(HLOOKUP($D82,$E$4:$CZ$32,28,FALSE)*'Incremental Repayments'!$I$22)),0),0)</f>
        <v>0</v>
      </c>
      <c r="W82" s="477">
        <f>IF('Incremental Repayments'!$R$22="Debt",IF(AND(W$4&gt;=$D82,W$4&lt;$D82+'Incremental Repayments'!$I$31),-PMT('Interest Rate'!$J$16,'Incremental Repayments'!$I$31,(HLOOKUP($D82,$E$4:$CZ$32,28,FALSE)*'Incremental Repayments'!$I$22)),0),0)</f>
        <v>0</v>
      </c>
      <c r="X82" s="477">
        <f>IF('Incremental Repayments'!$R$22="Debt",IF(AND(X$4&gt;=$D82,X$4&lt;$D82+'Incremental Repayments'!$I$31),-PMT('Interest Rate'!$J$16,'Incremental Repayments'!$I$31,(HLOOKUP($D82,$E$4:$CZ$32,28,FALSE)*'Incremental Repayments'!$I$22)),0),0)</f>
        <v>0</v>
      </c>
      <c r="Y82" s="477">
        <f>IF('Incremental Repayments'!$R$22="Debt",IF(AND(Y$4&gt;=$D82,Y$4&lt;$D82+'Incremental Repayments'!$I$31),-PMT('Interest Rate'!$J$16,'Incremental Repayments'!$I$31,(HLOOKUP($D82,$E$4:$CZ$32,28,FALSE)*'Incremental Repayments'!$I$22)),0),0)</f>
        <v>0</v>
      </c>
      <c r="Z82" s="477">
        <f>IF('Incremental Repayments'!$R$22="Debt",IF(AND(Z$4&gt;=$D82,Z$4&lt;$D82+'Incremental Repayments'!$I$31),-PMT('Interest Rate'!$J$16,'Incremental Repayments'!$I$31,(HLOOKUP($D82,$E$4:$CZ$32,28,FALSE)*'Incremental Repayments'!$I$22)),0),0)</f>
        <v>0</v>
      </c>
      <c r="AA82" s="477">
        <f>IF('Incremental Repayments'!$R$22="Debt",IF(AND(AA$4&gt;=$D82,AA$4&lt;$D82+'Incremental Repayments'!$I$31),-PMT('Interest Rate'!$J$16,'Incremental Repayments'!$I$31,(HLOOKUP($D82,$E$4:$CZ$32,28,FALSE)*'Incremental Repayments'!$I$22)),0),0)</f>
        <v>0</v>
      </c>
      <c r="AB82" s="477">
        <f>IF('Incremental Repayments'!$R$22="Debt",IF(AND(AB$4&gt;=$D82,AB$4&lt;$D82+'Incremental Repayments'!$I$31),-PMT('Interest Rate'!$J$16,'Incremental Repayments'!$I$31,(HLOOKUP($D82,$E$4:$CZ$32,28,FALSE)*'Incremental Repayments'!$I$22)),0),0)</f>
        <v>0</v>
      </c>
      <c r="AC82" s="477">
        <f>IF('Incremental Repayments'!$R$22="Debt",IF(AND(AC$4&gt;=$D82,AC$4&lt;$D82+'Incremental Repayments'!$I$31),-PMT('Interest Rate'!$J$16,'Incremental Repayments'!$I$31,(HLOOKUP($D82,$E$4:$CZ$32,28,FALSE)*'Incremental Repayments'!$I$22)),0),0)</f>
        <v>0</v>
      </c>
      <c r="AD82" s="477">
        <f>IF('Incremental Repayments'!$R$22="Debt",IF(AND(AD$4&gt;=$D82,AD$4&lt;$D82+'Incremental Repayments'!$I$31),-PMT('Interest Rate'!$J$16,'Incremental Repayments'!$I$31,(HLOOKUP($D82,$E$4:$CZ$32,28,FALSE)*'Incremental Repayments'!$I$22)),0),0)</f>
        <v>0</v>
      </c>
      <c r="AE82" s="477">
        <f>IF('Incremental Repayments'!$R$22="Debt",IF(AND(AE$4&gt;=$D82,AE$4&lt;$D82+'Incremental Repayments'!$I$31),-PMT('Interest Rate'!$J$16,'Incremental Repayments'!$I$31,(HLOOKUP($D82,$E$4:$CZ$32,28,FALSE)*'Incremental Repayments'!$I$22)),0),0)</f>
        <v>0</v>
      </c>
      <c r="AF82" s="477">
        <f>IF('Incremental Repayments'!$R$22="Debt",IF(AND(AF$4&gt;=$D82,AF$4&lt;$D82+'Incremental Repayments'!$I$31),-PMT('Interest Rate'!$J$16,'Incremental Repayments'!$I$31,(HLOOKUP($D82,$E$4:$CZ$32,28,FALSE)*'Incremental Repayments'!$I$22)),0),0)</f>
        <v>0</v>
      </c>
      <c r="AG82" s="477">
        <f>IF('Incremental Repayments'!$R$22="Debt",IF(AND(AG$4&gt;=$D82,AG$4&lt;$D82+'Incremental Repayments'!$I$31),-PMT('Interest Rate'!$J$16,'Incremental Repayments'!$I$31,(HLOOKUP($D82,$E$4:$CZ$32,28,FALSE)*'Incremental Repayments'!$I$22)),0),0)</f>
        <v>0</v>
      </c>
      <c r="AH82" s="477">
        <f>IF('Incremental Repayments'!$R$22="Debt",IF(AND(AH$4&gt;=$D82,AH$4&lt;$D82+'Incremental Repayments'!$I$31),-PMT('Interest Rate'!$J$16,'Incremental Repayments'!$I$31,(HLOOKUP($D82,$E$4:$CZ$32,28,FALSE)*'Incremental Repayments'!$I$22)),0),0)</f>
        <v>0</v>
      </c>
      <c r="AI82" s="477">
        <f>IF('Incremental Repayments'!$R$22="Debt",IF(AND(AI$4&gt;=$D82,AI$4&lt;$D82+'Incremental Repayments'!$I$31),-PMT('Interest Rate'!$J$16,'Incremental Repayments'!$I$31,(HLOOKUP($D82,$E$4:$CZ$32,28,FALSE)*'Incremental Repayments'!$I$22)),0),0)</f>
        <v>0</v>
      </c>
      <c r="AJ82" s="477">
        <f>IF('Incremental Repayments'!$R$22="Debt",IF(AND(AJ$4&gt;=$D82,AJ$4&lt;$D82+'Incremental Repayments'!$I$31),-PMT('Interest Rate'!$J$16,'Incremental Repayments'!$I$31,(HLOOKUP($D82,$E$4:$CZ$32,28,FALSE)*'Incremental Repayments'!$I$22)),0),0)</f>
        <v>0</v>
      </c>
      <c r="AK82" s="477">
        <f>IF('Incremental Repayments'!$R$22="Debt",IF(AND(AK$4&gt;=$D82,AK$4&lt;$D82+'Incremental Repayments'!$I$31),-PMT('Interest Rate'!$J$16,'Incremental Repayments'!$I$31,(HLOOKUP($D82,$E$4:$CZ$32,28,FALSE)*'Incremental Repayments'!$I$22)),0),0)</f>
        <v>0</v>
      </c>
      <c r="AL82" s="477">
        <f>IF('Incremental Repayments'!$R$22="Debt",IF(AND(AL$4&gt;=$D82,AL$4&lt;$D82+'Incremental Repayments'!$I$31),-PMT('Interest Rate'!$J$16,'Incremental Repayments'!$I$31,(HLOOKUP($D82,$E$4:$CZ$32,28,FALSE)*'Incremental Repayments'!$I$22)),0),0)</f>
        <v>0</v>
      </c>
      <c r="AM82" s="477">
        <f>IF('Incremental Repayments'!$R$22="Debt",IF(AND(AM$4&gt;=$D82,AM$4&lt;$D82+'Incremental Repayments'!$I$31),-PMT('Interest Rate'!$J$16,'Incremental Repayments'!$I$31,(HLOOKUP($D82,$E$4:$CZ$32,28,FALSE)*'Incremental Repayments'!$I$22)),0),0)</f>
        <v>0</v>
      </c>
      <c r="AN82" s="477">
        <f>IF('Incremental Repayments'!$R$22="Debt",IF(AND(AN$4&gt;=$D82,AN$4&lt;$D82+'Incremental Repayments'!$I$31),-PMT('Interest Rate'!$J$16,'Incremental Repayments'!$I$31,(HLOOKUP($D82,$E$4:$CZ$32,28,FALSE)*'Incremental Repayments'!$I$22)),0),0)</f>
        <v>0</v>
      </c>
      <c r="AO82" s="477">
        <f>IF('Incremental Repayments'!$R$22="Debt",IF(AND(AO$4&gt;=$D82,AO$4&lt;$D82+'Incremental Repayments'!$I$31),-PMT('Interest Rate'!$J$16,'Incremental Repayments'!$I$31,(HLOOKUP($D82,$E$4:$CZ$32,28,FALSE)*'Incremental Repayments'!$I$22)),0),0)</f>
        <v>0</v>
      </c>
      <c r="AP82" s="477">
        <f>IF('Incremental Repayments'!$R$22="Debt",IF(AND(AP$4&gt;=$D82,AP$4&lt;$D82+'Incremental Repayments'!$I$31),-PMT('Interest Rate'!$J$16,'Incremental Repayments'!$I$31,(HLOOKUP($D82,$E$4:$CZ$32,28,FALSE)*'Incremental Repayments'!$I$22)),0),0)</f>
        <v>0</v>
      </c>
      <c r="AQ82" s="477">
        <f>IF('Incremental Repayments'!$R$22="Debt",IF(AND(AQ$4&gt;=$D82,AQ$4&lt;$D82+'Incremental Repayments'!$I$31),-PMT('Interest Rate'!$J$16,'Incremental Repayments'!$I$31,(HLOOKUP($D82,$E$4:$CZ$32,28,FALSE)*'Incremental Repayments'!$I$22)),0),0)</f>
        <v>0</v>
      </c>
      <c r="AR82" s="477">
        <f>IF('Incremental Repayments'!$R$22="Debt",IF(AND(AR$4&gt;=$D82,AR$4&lt;$D82+'Incremental Repayments'!$I$31),-PMT('Interest Rate'!$J$16,'Incremental Repayments'!$I$31,(HLOOKUP($D82,$E$4:$CZ$32,28,FALSE)*'Incremental Repayments'!$I$22)),0),0)</f>
        <v>0</v>
      </c>
      <c r="AS82" s="477">
        <f>IF('Incremental Repayments'!$R$22="Debt",IF(AND(AS$4&gt;=$D82,AS$4&lt;$D82+'Incremental Repayments'!$I$31),-PMT('Interest Rate'!$J$16,'Incremental Repayments'!$I$31,(HLOOKUP($D82,$E$4:$CZ$32,28,FALSE)*'Incremental Repayments'!$I$22)),0),0)</f>
        <v>0</v>
      </c>
      <c r="AT82" s="477">
        <f>IF('Incremental Repayments'!$R$22="Debt",IF(AND(AT$4&gt;=$D82,AT$4&lt;$D82+'Incremental Repayments'!$I$31),-PMT('Interest Rate'!$J$16,'Incremental Repayments'!$I$31,(HLOOKUP($D82,$E$4:$CZ$32,28,FALSE)*'Incremental Repayments'!$I$22)),0),0)</f>
        <v>0</v>
      </c>
      <c r="AU82" s="477">
        <f>IF('Incremental Repayments'!$R$22="Debt",IF(AND(AU$4&gt;=$D82,AU$4&lt;$D82+'Incremental Repayments'!$I$31),-PMT('Interest Rate'!$J$16,'Incremental Repayments'!$I$31,(HLOOKUP($D82,$E$4:$CZ$32,28,FALSE)*'Incremental Repayments'!$I$22)),0),0)</f>
        <v>0</v>
      </c>
      <c r="AV82" s="477">
        <f>IF('Incremental Repayments'!$R$22="Debt",IF(AND(AV$4&gt;=$D82,AV$4&lt;$D82+'Incremental Repayments'!$I$31),-PMT('Interest Rate'!$J$16,'Incremental Repayments'!$I$31,(HLOOKUP($D82,$E$4:$CZ$32,28,FALSE)*'Incremental Repayments'!$I$22)),0),0)</f>
        <v>0</v>
      </c>
      <c r="AW82" s="477">
        <f>IF('Incremental Repayments'!$R$22="Debt",IF(AND(AW$4&gt;=$D82,AW$4&lt;$D82+'Incremental Repayments'!$I$31),-PMT('Interest Rate'!$J$16,'Incremental Repayments'!$I$31,(HLOOKUP($D82,$E$4:$CZ$32,28,FALSE)*'Incremental Repayments'!$I$22)),0),0)</f>
        <v>0</v>
      </c>
      <c r="AX82" s="477">
        <f>IF('Incremental Repayments'!$R$22="Debt",IF(AND(AX$4&gt;=$D82,AX$4&lt;$D82+'Incremental Repayments'!$I$31),-PMT('Interest Rate'!$J$16,'Incremental Repayments'!$I$31,(HLOOKUP($D82,$E$4:$CZ$32,28,FALSE)*'Incremental Repayments'!$I$22)),0),0)</f>
        <v>0</v>
      </c>
      <c r="AY82" s="477">
        <f>IF('Incremental Repayments'!$R$22="Debt",IF(AND(AY$4&gt;=$D82,AY$4&lt;$D82+'Incremental Repayments'!$I$31),-PMT('Interest Rate'!$J$16,'Incremental Repayments'!$I$31,(HLOOKUP($D82,$E$4:$CZ$32,28,FALSE)*'Incremental Repayments'!$I$22)),0),0)</f>
        <v>1436212.5901908057</v>
      </c>
      <c r="AZ82" s="477">
        <f>IF('Incremental Repayments'!$R$22="Debt",IF(AND(AZ$4&gt;=$D82,AZ$4&lt;$D82+'Incremental Repayments'!$I$31),-PMT('Interest Rate'!$J$16,'Incremental Repayments'!$I$31,(HLOOKUP($D82,$E$4:$CZ$32,28,FALSE)*'Incremental Repayments'!$I$22)),0),0)</f>
        <v>1436212.5901908057</v>
      </c>
      <c r="BA82" s="477">
        <f>IF('Incremental Repayments'!$R$22="Debt",IF(AND(BA$4&gt;=$D82,BA$4&lt;$D82+'Incremental Repayments'!$I$31),-PMT('Interest Rate'!$J$16,'Incremental Repayments'!$I$31,(HLOOKUP($D82,$E$4:$CZ$32,28,FALSE)*'Incremental Repayments'!$I$22)),0),0)</f>
        <v>1436212.5901908057</v>
      </c>
      <c r="BB82" s="477">
        <f>IF('Incremental Repayments'!$R$22="Debt",IF(AND(BB$4&gt;=$D82,BB$4&lt;$D82+'Incremental Repayments'!$I$31),-PMT('Interest Rate'!$J$16,'Incremental Repayments'!$I$31,(HLOOKUP($D82,$E$4:$CZ$32,28,FALSE)*'Incremental Repayments'!$I$22)),0),0)</f>
        <v>1436212.5901908057</v>
      </c>
      <c r="BC82" s="477">
        <f>IF('Incremental Repayments'!$R$22="Debt",IF(AND(BC$4&gt;=$D82,BC$4&lt;$D82+'Incremental Repayments'!$I$31),-PMT('Interest Rate'!$J$16,'Incremental Repayments'!$I$31,(HLOOKUP($D82,$E$4:$CZ$32,28,FALSE)*'Incremental Repayments'!$I$22)),0),0)</f>
        <v>1436212.5901908057</v>
      </c>
      <c r="BD82" s="477">
        <f>IF('Incremental Repayments'!$R$22="Debt",IF(AND(BD$4&gt;=$D82,BD$4&lt;$D82+'Incremental Repayments'!$I$31),-PMT('Interest Rate'!$J$16,'Incremental Repayments'!$I$31,(HLOOKUP($D82,$E$4:$CZ$32,28,FALSE)*'Incremental Repayments'!$I$22)),0),0)</f>
        <v>1436212.5901908057</v>
      </c>
      <c r="BE82" s="477">
        <f>IF('Incremental Repayments'!$R$22="Debt",IF(AND(BE$4&gt;=$D82,BE$4&lt;$D82+'Incremental Repayments'!$I$31),-PMT('Interest Rate'!$J$16,'Incremental Repayments'!$I$31,(HLOOKUP($D82,$E$4:$CZ$32,28,FALSE)*'Incremental Repayments'!$I$22)),0),0)</f>
        <v>1436212.5901908057</v>
      </c>
      <c r="BF82" s="477">
        <f>IF('Incremental Repayments'!$R$22="Debt",IF(AND(BF$4&gt;=$D82,BF$4&lt;$D82+'Incremental Repayments'!$I$31),-PMT('Interest Rate'!$J$16,'Incremental Repayments'!$I$31,(HLOOKUP($D82,$E$4:$CZ$32,28,FALSE)*'Incremental Repayments'!$I$22)),0),0)</f>
        <v>1436212.5901908057</v>
      </c>
      <c r="BG82" s="477">
        <f>IF('Incremental Repayments'!$R$22="Debt",IF(AND(BG$4&gt;=$D82,BG$4&lt;$D82+'Incremental Repayments'!$I$31),-PMT('Interest Rate'!$J$16,'Incremental Repayments'!$I$31,(HLOOKUP($D82,$E$4:$CZ$32,28,FALSE)*'Incremental Repayments'!$I$22)),0),0)</f>
        <v>1436212.5901908057</v>
      </c>
      <c r="BH82" s="477">
        <f>IF('Incremental Repayments'!$R$22="Debt",IF(AND(BH$4&gt;=$D82,BH$4&lt;$D82+'Incremental Repayments'!$I$31),-PMT('Interest Rate'!$J$16,'Incremental Repayments'!$I$31,(HLOOKUP($D82,$E$4:$CZ$32,28,FALSE)*'Incremental Repayments'!$I$22)),0),0)</f>
        <v>1436212.5901908057</v>
      </c>
      <c r="BI82" s="477">
        <f>IF('Incremental Repayments'!$R$22="Debt",IF(AND(BI$4&gt;=$D82,BI$4&lt;$D82+'Incremental Repayments'!$I$31),-PMT('Interest Rate'!$J$16,'Incremental Repayments'!$I$31,(HLOOKUP($D82,$E$4:$CZ$32,28,FALSE)*'Incremental Repayments'!$I$22)),0),0)</f>
        <v>1436212.5901908057</v>
      </c>
      <c r="BJ82" s="477">
        <f>IF('Incremental Repayments'!$R$22="Debt",IF(AND(BJ$4&gt;=$D82,BJ$4&lt;$D82+'Incremental Repayments'!$I$31),-PMT('Interest Rate'!$J$16,'Incremental Repayments'!$I$31,(HLOOKUP($D82,$E$4:$CZ$32,28,FALSE)*'Incremental Repayments'!$I$22)),0),0)</f>
        <v>1436212.5901908057</v>
      </c>
      <c r="BK82" s="477">
        <f>IF('Incremental Repayments'!$R$22="Debt",IF(AND(BK$4&gt;=$D82,BK$4&lt;$D82+'Incremental Repayments'!$I$31),-PMT('Interest Rate'!$J$16,'Incremental Repayments'!$I$31,(HLOOKUP($D82,$E$4:$CZ$32,28,FALSE)*'Incremental Repayments'!$I$22)),0),0)</f>
        <v>1436212.5901908057</v>
      </c>
      <c r="BL82" s="477">
        <f>IF('Incremental Repayments'!$R$22="Debt",IF(AND(BL$4&gt;=$D82,BL$4&lt;$D82+'Incremental Repayments'!$I$31),-PMT('Interest Rate'!$J$16,'Incremental Repayments'!$I$31,(HLOOKUP($D82,$E$4:$CZ$32,28,FALSE)*'Incremental Repayments'!$I$22)),0),0)</f>
        <v>1436212.5901908057</v>
      </c>
      <c r="BM82" s="477">
        <f>IF('Incremental Repayments'!$R$22="Debt",IF(AND(BM$4&gt;=$D82,BM$4&lt;$D82+'Incremental Repayments'!$I$31),-PMT('Interest Rate'!$J$16,'Incremental Repayments'!$I$31,(HLOOKUP($D82,$E$4:$CZ$32,28,FALSE)*'Incremental Repayments'!$I$22)),0),0)</f>
        <v>1436212.5901908057</v>
      </c>
      <c r="BN82" s="477">
        <f>IF('Incremental Repayments'!$R$22="Debt",IF(AND(BN$4&gt;=$D82,BN$4&lt;$D82+'Incremental Repayments'!$I$31),-PMT('Interest Rate'!$J$16,'Incremental Repayments'!$I$31,(HLOOKUP($D82,$E$4:$CZ$32,28,FALSE)*'Incremental Repayments'!$I$22)),0),0)</f>
        <v>1436212.5901908057</v>
      </c>
      <c r="BO82" s="477">
        <f>IF('Incremental Repayments'!$R$22="Debt",IF(AND(BO$4&gt;=$D82,BO$4&lt;$D82+'Incremental Repayments'!$I$31),-PMT('Interest Rate'!$J$16,'Incremental Repayments'!$I$31,(HLOOKUP($D82,$E$4:$CZ$32,28,FALSE)*'Incremental Repayments'!$I$22)),0),0)</f>
        <v>1436212.5901908057</v>
      </c>
      <c r="BP82" s="477">
        <f>IF('Incremental Repayments'!$R$22="Debt",IF(AND(BP$4&gt;=$D82,BP$4&lt;$D82+'Incremental Repayments'!$I$31),-PMT('Interest Rate'!$J$16,'Incremental Repayments'!$I$31,(HLOOKUP($D82,$E$4:$CZ$32,28,FALSE)*'Incremental Repayments'!$I$22)),0),0)</f>
        <v>1436212.5901908057</v>
      </c>
      <c r="BQ82" s="477">
        <f>IF('Incremental Repayments'!$R$22="Debt",IF(AND(BQ$4&gt;=$D82,BQ$4&lt;$D82+'Incremental Repayments'!$I$31),-PMT('Interest Rate'!$J$16,'Incremental Repayments'!$I$31,(HLOOKUP($D82,$E$4:$CZ$32,28,FALSE)*'Incremental Repayments'!$I$22)),0),0)</f>
        <v>1436212.5901908057</v>
      </c>
      <c r="BR82" s="477">
        <f>IF('Incremental Repayments'!$R$22="Debt",IF(AND(BR$4&gt;=$D82,BR$4&lt;$D82+'Incremental Repayments'!$I$31),-PMT('Interest Rate'!$J$16,'Incremental Repayments'!$I$31,(HLOOKUP($D82,$E$4:$CZ$32,28,FALSE)*'Incremental Repayments'!$I$22)),0),0)</f>
        <v>1436212.5901908057</v>
      </c>
      <c r="BS82" s="477">
        <f>IF('Incremental Repayments'!$R$22="Debt",IF(AND(BS$4&gt;=$D82,BS$4&lt;$D82+'Incremental Repayments'!$I$31),-PMT('Interest Rate'!$J$16,'Incremental Repayments'!$I$31,(HLOOKUP($D82,$E$4:$CZ$32,28,FALSE)*'Incremental Repayments'!$I$22)),0),0)</f>
        <v>1436212.5901908057</v>
      </c>
      <c r="BT82" s="477">
        <f>IF('Incremental Repayments'!$R$22="Debt",IF(AND(BT$4&gt;=$D82,BT$4&lt;$D82+'Incremental Repayments'!$I$31),-PMT('Interest Rate'!$J$16,'Incremental Repayments'!$I$31,(HLOOKUP($D82,$E$4:$CZ$32,28,FALSE)*'Incremental Repayments'!$I$22)),0),0)</f>
        <v>1436212.5901908057</v>
      </c>
      <c r="BU82" s="477">
        <f>IF('Incremental Repayments'!$R$22="Debt",IF(AND(BU$4&gt;=$D82,BU$4&lt;$D82+'Incremental Repayments'!$I$31),-PMT('Interest Rate'!$J$16,'Incremental Repayments'!$I$31,(HLOOKUP($D82,$E$4:$CZ$32,28,FALSE)*'Incremental Repayments'!$I$22)),0),0)</f>
        <v>1436212.5901908057</v>
      </c>
      <c r="BV82" s="477">
        <f>IF('Incremental Repayments'!$R$22="Debt",IF(AND(BV$4&gt;=$D82,BV$4&lt;$D82+'Incremental Repayments'!$I$31),-PMT('Interest Rate'!$J$16,'Incremental Repayments'!$I$31,(HLOOKUP($D82,$E$4:$CZ$32,28,FALSE)*'Incremental Repayments'!$I$22)),0),0)</f>
        <v>1436212.5901908057</v>
      </c>
      <c r="BW82" s="477">
        <f>IF('Incremental Repayments'!$R$22="Debt",IF(AND(BW$4&gt;=$D82,BW$4&lt;$D82+'Incremental Repayments'!$I$31),-PMT('Interest Rate'!$J$16,'Incremental Repayments'!$I$31,(HLOOKUP($D82,$E$4:$CZ$32,28,FALSE)*'Incremental Repayments'!$I$22)),0),0)</f>
        <v>1436212.5901908057</v>
      </c>
      <c r="BX82" s="477">
        <f>IF('Incremental Repayments'!$R$22="Debt",IF(AND(BX$4&gt;=$D82,BX$4&lt;$D82+'Incremental Repayments'!$I$31),-PMT('Interest Rate'!$J$16,'Incremental Repayments'!$I$31,(HLOOKUP($D82,$E$4:$CZ$32,28,FALSE)*'Incremental Repayments'!$I$22)),0),0)</f>
        <v>1436212.5901908057</v>
      </c>
      <c r="BY82" s="477">
        <f>IF('Incremental Repayments'!$R$22="Debt",IF(AND(BY$4&gt;=$D82,BY$4&lt;$D82+'Incremental Repayments'!$I$31),-PMT('Interest Rate'!$J$16,'Incremental Repayments'!$I$31,(HLOOKUP($D82,$E$4:$CZ$32,28,FALSE)*'Incremental Repayments'!$I$22)),0),0)</f>
        <v>1436212.5901908057</v>
      </c>
      <c r="BZ82" s="477">
        <f>IF('Incremental Repayments'!$R$22="Debt",IF(AND(BZ$4&gt;=$D82,BZ$4&lt;$D82+'Incremental Repayments'!$I$31),-PMT('Interest Rate'!$J$16,'Incremental Repayments'!$I$31,(HLOOKUP($D82,$E$4:$CZ$32,28,FALSE)*'Incremental Repayments'!$I$22)),0),0)</f>
        <v>1436212.5901908057</v>
      </c>
      <c r="CA82" s="477">
        <f>IF('Incremental Repayments'!$R$22="Debt",IF(AND(CA$4&gt;=$D82,CA$4&lt;$D82+'Incremental Repayments'!$I$31),-PMT('Interest Rate'!$J$16,'Incremental Repayments'!$I$31,(HLOOKUP($D82,$E$4:$CZ$32,28,FALSE)*'Incremental Repayments'!$I$22)),0),0)</f>
        <v>1436212.5901908057</v>
      </c>
      <c r="CB82" s="477">
        <f>IF('Incremental Repayments'!$R$22="Debt",IF(AND(CB$4&gt;=$D82,CB$4&lt;$D82+'Incremental Repayments'!$I$31),-PMT('Interest Rate'!$J$16,'Incremental Repayments'!$I$31,(HLOOKUP($D82,$E$4:$CZ$32,28,FALSE)*'Incremental Repayments'!$I$22)),0),0)</f>
        <v>1436212.5901908057</v>
      </c>
      <c r="CC82" s="477">
        <f>IF('Incremental Repayments'!$R$22="Debt",IF(AND(CC$4&gt;=$D82,CC$4&lt;$D82+'Incremental Repayments'!$I$31),-PMT('Interest Rate'!$J$16,'Incremental Repayments'!$I$31,(HLOOKUP($D82,$E$4:$CZ$32,28,FALSE)*'Incremental Repayments'!$I$22)),0),0)</f>
        <v>0</v>
      </c>
      <c r="CD82" s="477">
        <f>IF('Incremental Repayments'!$R$22="Debt",IF(AND(CD$4&gt;=$D82,CD$4&lt;$D82+'Incremental Repayments'!$I$31),-PMT('Interest Rate'!$J$16,'Incremental Repayments'!$I$31,(HLOOKUP($D82,$E$4:$CZ$32,28,FALSE)*'Incremental Repayments'!$I$22)),0),0)</f>
        <v>0</v>
      </c>
      <c r="CE82" s="477">
        <f>IF('Incremental Repayments'!$R$22="Debt",IF(AND(CE$4&gt;=$D82,CE$4&lt;$D82+'Incremental Repayments'!$I$31),-PMT('Interest Rate'!$J$16,'Incremental Repayments'!$I$31,(HLOOKUP($D82,$E$4:$CZ$32,28,FALSE)*'Incremental Repayments'!$I$22)),0),0)</f>
        <v>0</v>
      </c>
      <c r="CF82" s="477">
        <f>IF('Incremental Repayments'!$R$22="Debt",IF(AND(CF$4&gt;=$D82,CF$4&lt;$D82+'Incremental Repayments'!$I$31),-PMT('Interest Rate'!$J$16,'Incremental Repayments'!$I$31,(HLOOKUP($D82,$E$4:$CZ$32,28,FALSE)*'Incremental Repayments'!$I$22)),0),0)</f>
        <v>0</v>
      </c>
      <c r="CG82" s="477">
        <f>IF('Incremental Repayments'!$R$22="Debt",IF(AND(CG$4&gt;=$D82,CG$4&lt;$D82+'Incremental Repayments'!$I$31),-PMT('Interest Rate'!$J$16,'Incremental Repayments'!$I$31,(HLOOKUP($D82,$E$4:$CZ$32,28,FALSE)*'Incremental Repayments'!$I$22)),0),0)</f>
        <v>0</v>
      </c>
      <c r="CH82" s="477">
        <f>IF('Incremental Repayments'!$R$22="Debt",IF(AND(CH$4&gt;=$D82,CH$4&lt;$D82+'Incremental Repayments'!$I$31),-PMT('Interest Rate'!$J$16,'Incremental Repayments'!$I$31,(HLOOKUP($D82,$E$4:$CZ$32,28,FALSE)*'Incremental Repayments'!$I$22)),0),0)</f>
        <v>0</v>
      </c>
      <c r="CI82" s="477">
        <f>IF('Incremental Repayments'!$R$22="Debt",IF(AND(CI$4&gt;=$D82,CI$4&lt;$D82+'Incremental Repayments'!$I$31),-PMT('Interest Rate'!$J$16,'Incremental Repayments'!$I$31,(HLOOKUP($D82,$E$4:$CZ$32,28,FALSE)*'Incremental Repayments'!$I$22)),0),0)</f>
        <v>0</v>
      </c>
      <c r="CJ82" s="477">
        <f>IF('Incremental Repayments'!$R$22="Debt",IF(AND(CJ$4&gt;=$D82,CJ$4&lt;$D82+'Incremental Repayments'!$I$31),-PMT('Interest Rate'!$J$16,'Incremental Repayments'!$I$31,(HLOOKUP($D82,$E$4:$CZ$32,28,FALSE)*'Incremental Repayments'!$I$22)),0),0)</f>
        <v>0</v>
      </c>
      <c r="CK82" s="477">
        <f>IF('Incremental Repayments'!$R$22="Debt",IF(AND(CK$4&gt;=$D82,CK$4&lt;$D82+'Incremental Repayments'!$I$31),-PMT('Interest Rate'!$J$16,'Incremental Repayments'!$I$31,(HLOOKUP($D82,$E$4:$CZ$32,28,FALSE)*'Incremental Repayments'!$I$22)),0),0)</f>
        <v>0</v>
      </c>
      <c r="CL82" s="477">
        <f>IF('Incremental Repayments'!$R$22="Debt",IF(AND(CL$4&gt;=$D82,CL$4&lt;$D82+'Incremental Repayments'!$I$31),-PMT('Interest Rate'!$J$16,'Incremental Repayments'!$I$31,(HLOOKUP($D82,$E$4:$CZ$32,28,FALSE)*'Incremental Repayments'!$I$22)),0),0)</f>
        <v>0</v>
      </c>
      <c r="CM82" s="477">
        <f>IF('Incremental Repayments'!$R$22="Debt",IF(AND(CM$4&gt;=$D82,CM$4&lt;$D82+'Incremental Repayments'!$I$31),-PMT('Interest Rate'!$J$16,'Incremental Repayments'!$I$31,(HLOOKUP($D82,$E$4:$CZ$32,28,FALSE)*'Incremental Repayments'!$I$22)),0),0)</f>
        <v>0</v>
      </c>
      <c r="CN82" s="477">
        <f>IF('Incremental Repayments'!$R$22="Debt",IF(AND(CN$4&gt;=$D82,CN$4&lt;$D82+'Incremental Repayments'!$I$31),-PMT('Interest Rate'!$J$16,'Incremental Repayments'!$I$31,(HLOOKUP($D82,$E$4:$CZ$32,28,FALSE)*'Incremental Repayments'!$I$22)),0),0)</f>
        <v>0</v>
      </c>
      <c r="CO82" s="477">
        <f>IF('Incremental Repayments'!$R$22="Debt",IF(AND(CO$4&gt;=$D82,CO$4&lt;$D82+'Incremental Repayments'!$I$31),-PMT('Interest Rate'!$J$16,'Incremental Repayments'!$I$31,(HLOOKUP($D82,$E$4:$CZ$32,28,FALSE)*'Incremental Repayments'!$I$22)),0),0)</f>
        <v>0</v>
      </c>
      <c r="CP82" s="477">
        <f>IF('Incremental Repayments'!$R$22="Debt",IF(AND(CP$4&gt;=$D82,CP$4&lt;$D82+'Incremental Repayments'!$I$31),-PMT('Interest Rate'!$J$16,'Incremental Repayments'!$I$31,(HLOOKUP($D82,$E$4:$CZ$32,28,FALSE)*'Incremental Repayments'!$I$22)),0),0)</f>
        <v>0</v>
      </c>
      <c r="CQ82" s="477">
        <f>IF('Incremental Repayments'!$R$22="Debt",IF(AND(CQ$4&gt;=$D82,CQ$4&lt;$D82+'Incremental Repayments'!$I$31),-PMT('Interest Rate'!$J$16,'Incremental Repayments'!$I$31,(HLOOKUP($D82,$E$4:$CZ$32,28,FALSE)*'Incremental Repayments'!$I$22)),0),0)</f>
        <v>0</v>
      </c>
      <c r="CR82" s="477">
        <f>IF('Incremental Repayments'!$R$22="Debt",IF(AND(CR$4&gt;=$D82,CR$4&lt;$D82+'Incremental Repayments'!$I$31),-PMT('Interest Rate'!$J$16,'Incremental Repayments'!$I$31,(HLOOKUP($D82,$E$4:$CZ$32,28,FALSE)*'Incremental Repayments'!$I$22)),0),0)</f>
        <v>0</v>
      </c>
      <c r="CS82" s="477">
        <f>IF('Incremental Repayments'!$R$22="Debt",IF(AND(CS$4&gt;=$D82,CS$4&lt;$D82+'Incremental Repayments'!$I$31),-PMT('Interest Rate'!$J$16,'Incremental Repayments'!$I$31,(HLOOKUP($D82,$E$4:$CZ$32,28,FALSE)*'Incremental Repayments'!$I$22)),0),0)</f>
        <v>0</v>
      </c>
      <c r="CT82" s="477">
        <f>IF('Incremental Repayments'!$R$22="Debt",IF(AND(CT$4&gt;=$D82,CT$4&lt;$D82+'Incremental Repayments'!$I$31),-PMT('Interest Rate'!$J$16,'Incremental Repayments'!$I$31,(HLOOKUP($D82,$E$4:$CZ$32,28,FALSE)*'Incremental Repayments'!$I$22)),0),0)</f>
        <v>0</v>
      </c>
      <c r="CU82" s="477">
        <f>IF('Incremental Repayments'!$R$22="Debt",IF(AND(CU$4&gt;=$D82,CU$4&lt;$D82+'Incremental Repayments'!$I$31),-PMT('Interest Rate'!$J$16,'Incremental Repayments'!$I$31,(HLOOKUP($D82,$E$4:$CZ$32,28,FALSE)*'Incremental Repayments'!$I$22)),0),0)</f>
        <v>0</v>
      </c>
      <c r="CV82" s="477">
        <f>IF('Incremental Repayments'!$R$22="Debt",IF(AND(CV$4&gt;=$D82,CV$4&lt;$D82+'Incremental Repayments'!$I$31),-PMT('Interest Rate'!$J$16,'Incremental Repayments'!$I$31,(HLOOKUP($D82,$E$4:$CZ$32,28,FALSE)*'Incremental Repayments'!$I$22)),0),0)</f>
        <v>0</v>
      </c>
      <c r="CW82" s="477">
        <f>IF('Incremental Repayments'!$R$22="Debt",IF(AND(CW$4&gt;=$D82,CW$4&lt;$D82+'Incremental Repayments'!$I$31),-PMT('Interest Rate'!$J$16,'Incremental Repayments'!$I$31,(HLOOKUP($D82,$E$4:$CZ$32,28,FALSE)*'Incremental Repayments'!$I$22)),0),0)</f>
        <v>0</v>
      </c>
      <c r="CX82" s="477">
        <f>IF('Incremental Repayments'!$R$22="Debt",IF(AND(CX$4&gt;=$D82,CX$4&lt;$D82+'Incremental Repayments'!$I$31),-PMT('Interest Rate'!$J$16,'Incremental Repayments'!$I$31,(HLOOKUP($D82,$E$4:$CZ$32,28,FALSE)*'Incremental Repayments'!$I$22)),0),0)</f>
        <v>0</v>
      </c>
      <c r="CY82" s="477">
        <f>IF('Incremental Repayments'!$R$22="Debt",IF(AND(CY$4&gt;=$D82,CY$4&lt;$D82+'Incremental Repayments'!$I$31),-PMT('Interest Rate'!$J$16,'Incremental Repayments'!$I$31,(HLOOKUP($D82,$E$4:$CZ$32,28,FALSE)*'Incremental Repayments'!$I$22)),0),0)</f>
        <v>0</v>
      </c>
      <c r="CZ82" s="477">
        <f>IF('Incremental Repayments'!$R$22="Debt",IF(AND(CZ$4&gt;=$D82,CZ$4&lt;$D82+'Incremental Repayments'!$I$31),-PMT('Interest Rate'!$J$16,'Incremental Repayments'!$I$31,(HLOOKUP($D82,$E$4:$CZ$32,28,FALSE)*'Incremental Repayments'!$I$22)),0),0)</f>
        <v>0</v>
      </c>
    </row>
    <row r="83" spans="2:104" x14ac:dyDescent="0.25">
      <c r="B83" s="480" t="str">
        <f>CONCATENATE("Series ",D83,"A Bonds (at ",'Interest Rate'!$J$16*100,"% Interest)")</f>
        <v>Series 2061A Bonds (at 4.5% Interest)</v>
      </c>
      <c r="C83" s="480"/>
      <c r="D83" s="492">
        <f t="shared" si="494"/>
        <v>2061</v>
      </c>
      <c r="E83" s="477">
        <f>IF('Incremental Repayments'!$R$22="Debt",IF(AND(E$4&gt;=$D83,E$4&lt;$D83+'Incremental Repayments'!$I$31),-PMT('Interest Rate'!$J$16,'Incremental Repayments'!$I$31,(HLOOKUP($D83,$E$4:$CZ$32,28,FALSE)*'Incremental Repayments'!$I$22)),0),0)</f>
        <v>0</v>
      </c>
      <c r="F83" s="477">
        <f>IF('Incremental Repayments'!$R$22="Debt",IF(AND(F$4&gt;=$D83,F$4&lt;$D83+'Incremental Repayments'!$I$31),-PMT('Interest Rate'!$J$16,'Incremental Repayments'!$I$31,(HLOOKUP($D83,$E$4:$CZ$32,28,FALSE)*'Incremental Repayments'!$I$22)),0),0)</f>
        <v>0</v>
      </c>
      <c r="G83" s="477">
        <f>IF('Incremental Repayments'!$R$22="Debt",IF(AND(G$4&gt;=$D83,G$4&lt;$D83+'Incremental Repayments'!$I$31),-PMT('Interest Rate'!$J$16,'Incremental Repayments'!$I$31,(HLOOKUP($D83,$E$4:$CZ$32,28,FALSE)*'Incremental Repayments'!$I$22)),0),0)</f>
        <v>0</v>
      </c>
      <c r="H83" s="477">
        <f>IF('Incremental Repayments'!$R$22="Debt",IF(AND(H$4&gt;=$D83,H$4&lt;$D83+'Incremental Repayments'!$I$31),-PMT('Interest Rate'!$J$16,'Incremental Repayments'!$I$31,(HLOOKUP($D83,$E$4:$CZ$32,28,FALSE)*'Incremental Repayments'!$I$22)),0),0)</f>
        <v>0</v>
      </c>
      <c r="I83" s="477">
        <f>IF('Incremental Repayments'!$R$22="Debt",IF(AND(I$4&gt;=$D83,I$4&lt;$D83+'Incremental Repayments'!$I$31),-PMT('Interest Rate'!$J$16,'Incremental Repayments'!$I$31,(HLOOKUP($D83,$E$4:$CZ$32,28,FALSE)*'Incremental Repayments'!$I$22)),0),0)</f>
        <v>0</v>
      </c>
      <c r="J83" s="477">
        <f>IF('Incremental Repayments'!$R$22="Debt",IF(AND(J$4&gt;=$D83,J$4&lt;$D83+'Incremental Repayments'!$I$31),-PMT('Interest Rate'!$J$16,'Incremental Repayments'!$I$31,(HLOOKUP($D83,$E$4:$CZ$32,28,FALSE)*'Incremental Repayments'!$I$22)),0),0)</f>
        <v>0</v>
      </c>
      <c r="K83" s="477">
        <f>IF('Incremental Repayments'!$R$22="Debt",IF(AND(K$4&gt;=$D83,K$4&lt;$D83+'Incremental Repayments'!$I$31),-PMT('Interest Rate'!$J$16,'Incremental Repayments'!$I$31,(HLOOKUP($D83,$E$4:$CZ$32,28,FALSE)*'Incremental Repayments'!$I$22)),0),0)</f>
        <v>0</v>
      </c>
      <c r="L83" s="477">
        <f>IF('Incremental Repayments'!$R$22="Debt",IF(AND(L$4&gt;=$D83,L$4&lt;$D83+'Incremental Repayments'!$I$31),-PMT('Interest Rate'!$J$16,'Incremental Repayments'!$I$31,(HLOOKUP($D83,$E$4:$CZ$32,28,FALSE)*'Incremental Repayments'!$I$22)),0),0)</f>
        <v>0</v>
      </c>
      <c r="M83" s="477">
        <f>IF('Incremental Repayments'!$R$22="Debt",IF(AND(M$4&gt;=$D83,M$4&lt;$D83+'Incremental Repayments'!$I$31),-PMT('Interest Rate'!$J$16,'Incremental Repayments'!$I$31,(HLOOKUP($D83,$E$4:$CZ$32,28,FALSE)*'Incremental Repayments'!$I$22)),0),0)</f>
        <v>0</v>
      </c>
      <c r="N83" s="477">
        <f>IF('Incremental Repayments'!$R$22="Debt",IF(AND(N$4&gt;=$D83,N$4&lt;$D83+'Incremental Repayments'!$I$31),-PMT('Interest Rate'!$J$16,'Incremental Repayments'!$I$31,(HLOOKUP($D83,$E$4:$CZ$32,28,FALSE)*'Incremental Repayments'!$I$22)),0),0)</f>
        <v>0</v>
      </c>
      <c r="O83" s="477">
        <f>IF('Incremental Repayments'!$R$22="Debt",IF(AND(O$4&gt;=$D83,O$4&lt;$D83+'Incremental Repayments'!$I$31),-PMT('Interest Rate'!$J$16,'Incremental Repayments'!$I$31,(HLOOKUP($D83,$E$4:$CZ$32,28,FALSE)*'Incremental Repayments'!$I$22)),0),0)</f>
        <v>0</v>
      </c>
      <c r="P83" s="477">
        <f>IF('Incremental Repayments'!$R$22="Debt",IF(AND(P$4&gt;=$D83,P$4&lt;$D83+'Incremental Repayments'!$I$31),-PMT('Interest Rate'!$J$16,'Incremental Repayments'!$I$31,(HLOOKUP($D83,$E$4:$CZ$32,28,FALSE)*'Incremental Repayments'!$I$22)),0),0)</f>
        <v>0</v>
      </c>
      <c r="Q83" s="477">
        <f>IF('Incremental Repayments'!$R$22="Debt",IF(AND(Q$4&gt;=$D83,Q$4&lt;$D83+'Incremental Repayments'!$I$31),-PMT('Interest Rate'!$J$16,'Incremental Repayments'!$I$31,(HLOOKUP($D83,$E$4:$CZ$32,28,FALSE)*'Incremental Repayments'!$I$22)),0),0)</f>
        <v>0</v>
      </c>
      <c r="R83" s="477">
        <f>IF('Incremental Repayments'!$R$22="Debt",IF(AND(R$4&gt;=$D83,R$4&lt;$D83+'Incremental Repayments'!$I$31),-PMT('Interest Rate'!$J$16,'Incremental Repayments'!$I$31,(HLOOKUP($D83,$E$4:$CZ$32,28,FALSE)*'Incremental Repayments'!$I$22)),0),0)</f>
        <v>0</v>
      </c>
      <c r="S83" s="477">
        <f>IF('Incremental Repayments'!$R$22="Debt",IF(AND(S$4&gt;=$D83,S$4&lt;$D83+'Incremental Repayments'!$I$31),-PMT('Interest Rate'!$J$16,'Incremental Repayments'!$I$31,(HLOOKUP($D83,$E$4:$CZ$32,28,FALSE)*'Incremental Repayments'!$I$22)),0),0)</f>
        <v>0</v>
      </c>
      <c r="T83" s="477">
        <f>IF('Incremental Repayments'!$R$22="Debt",IF(AND(T$4&gt;=$D83,T$4&lt;$D83+'Incremental Repayments'!$I$31),-PMT('Interest Rate'!$J$16,'Incremental Repayments'!$I$31,(HLOOKUP($D83,$E$4:$CZ$32,28,FALSE)*'Incremental Repayments'!$I$22)),0),0)</f>
        <v>0</v>
      </c>
      <c r="U83" s="477">
        <f>IF('Incremental Repayments'!$R$22="Debt",IF(AND(U$4&gt;=$D83,U$4&lt;$D83+'Incremental Repayments'!$I$31),-PMT('Interest Rate'!$J$16,'Incremental Repayments'!$I$31,(HLOOKUP($D83,$E$4:$CZ$32,28,FALSE)*'Incremental Repayments'!$I$22)),0),0)</f>
        <v>0</v>
      </c>
      <c r="V83" s="477">
        <f>IF('Incremental Repayments'!$R$22="Debt",IF(AND(V$4&gt;=$D83,V$4&lt;$D83+'Incremental Repayments'!$I$31),-PMT('Interest Rate'!$J$16,'Incremental Repayments'!$I$31,(HLOOKUP($D83,$E$4:$CZ$32,28,FALSE)*'Incremental Repayments'!$I$22)),0),0)</f>
        <v>0</v>
      </c>
      <c r="W83" s="477">
        <f>IF('Incremental Repayments'!$R$22="Debt",IF(AND(W$4&gt;=$D83,W$4&lt;$D83+'Incremental Repayments'!$I$31),-PMT('Interest Rate'!$J$16,'Incremental Repayments'!$I$31,(HLOOKUP($D83,$E$4:$CZ$32,28,FALSE)*'Incremental Repayments'!$I$22)),0),0)</f>
        <v>0</v>
      </c>
      <c r="X83" s="477">
        <f>IF('Incremental Repayments'!$R$22="Debt",IF(AND(X$4&gt;=$D83,X$4&lt;$D83+'Incremental Repayments'!$I$31),-PMT('Interest Rate'!$J$16,'Incremental Repayments'!$I$31,(HLOOKUP($D83,$E$4:$CZ$32,28,FALSE)*'Incremental Repayments'!$I$22)),0),0)</f>
        <v>0</v>
      </c>
      <c r="Y83" s="477">
        <f>IF('Incremental Repayments'!$R$22="Debt",IF(AND(Y$4&gt;=$D83,Y$4&lt;$D83+'Incremental Repayments'!$I$31),-PMT('Interest Rate'!$J$16,'Incremental Repayments'!$I$31,(HLOOKUP($D83,$E$4:$CZ$32,28,FALSE)*'Incremental Repayments'!$I$22)),0),0)</f>
        <v>0</v>
      </c>
      <c r="Z83" s="477">
        <f>IF('Incremental Repayments'!$R$22="Debt",IF(AND(Z$4&gt;=$D83,Z$4&lt;$D83+'Incremental Repayments'!$I$31),-PMT('Interest Rate'!$J$16,'Incremental Repayments'!$I$31,(HLOOKUP($D83,$E$4:$CZ$32,28,FALSE)*'Incremental Repayments'!$I$22)),0),0)</f>
        <v>0</v>
      </c>
      <c r="AA83" s="477">
        <f>IF('Incremental Repayments'!$R$22="Debt",IF(AND(AA$4&gt;=$D83,AA$4&lt;$D83+'Incremental Repayments'!$I$31),-PMT('Interest Rate'!$J$16,'Incremental Repayments'!$I$31,(HLOOKUP($D83,$E$4:$CZ$32,28,FALSE)*'Incremental Repayments'!$I$22)),0),0)</f>
        <v>0</v>
      </c>
      <c r="AB83" s="477">
        <f>IF('Incremental Repayments'!$R$22="Debt",IF(AND(AB$4&gt;=$D83,AB$4&lt;$D83+'Incremental Repayments'!$I$31),-PMT('Interest Rate'!$J$16,'Incremental Repayments'!$I$31,(HLOOKUP($D83,$E$4:$CZ$32,28,FALSE)*'Incremental Repayments'!$I$22)),0),0)</f>
        <v>0</v>
      </c>
      <c r="AC83" s="477">
        <f>IF('Incremental Repayments'!$R$22="Debt",IF(AND(AC$4&gt;=$D83,AC$4&lt;$D83+'Incremental Repayments'!$I$31),-PMT('Interest Rate'!$J$16,'Incremental Repayments'!$I$31,(HLOOKUP($D83,$E$4:$CZ$32,28,FALSE)*'Incremental Repayments'!$I$22)),0),0)</f>
        <v>0</v>
      </c>
      <c r="AD83" s="477">
        <f>IF('Incremental Repayments'!$R$22="Debt",IF(AND(AD$4&gt;=$D83,AD$4&lt;$D83+'Incremental Repayments'!$I$31),-PMT('Interest Rate'!$J$16,'Incremental Repayments'!$I$31,(HLOOKUP($D83,$E$4:$CZ$32,28,FALSE)*'Incremental Repayments'!$I$22)),0),0)</f>
        <v>0</v>
      </c>
      <c r="AE83" s="477">
        <f>IF('Incremental Repayments'!$R$22="Debt",IF(AND(AE$4&gt;=$D83,AE$4&lt;$D83+'Incremental Repayments'!$I$31),-PMT('Interest Rate'!$J$16,'Incremental Repayments'!$I$31,(HLOOKUP($D83,$E$4:$CZ$32,28,FALSE)*'Incremental Repayments'!$I$22)),0),0)</f>
        <v>0</v>
      </c>
      <c r="AF83" s="477">
        <f>IF('Incremental Repayments'!$R$22="Debt",IF(AND(AF$4&gt;=$D83,AF$4&lt;$D83+'Incremental Repayments'!$I$31),-PMT('Interest Rate'!$J$16,'Incremental Repayments'!$I$31,(HLOOKUP($D83,$E$4:$CZ$32,28,FALSE)*'Incremental Repayments'!$I$22)),0),0)</f>
        <v>0</v>
      </c>
      <c r="AG83" s="477">
        <f>IF('Incremental Repayments'!$R$22="Debt",IF(AND(AG$4&gt;=$D83,AG$4&lt;$D83+'Incremental Repayments'!$I$31),-PMT('Interest Rate'!$J$16,'Incremental Repayments'!$I$31,(HLOOKUP($D83,$E$4:$CZ$32,28,FALSE)*'Incremental Repayments'!$I$22)),0),0)</f>
        <v>0</v>
      </c>
      <c r="AH83" s="477">
        <f>IF('Incremental Repayments'!$R$22="Debt",IF(AND(AH$4&gt;=$D83,AH$4&lt;$D83+'Incremental Repayments'!$I$31),-PMT('Interest Rate'!$J$16,'Incremental Repayments'!$I$31,(HLOOKUP($D83,$E$4:$CZ$32,28,FALSE)*'Incremental Repayments'!$I$22)),0),0)</f>
        <v>0</v>
      </c>
      <c r="AI83" s="477">
        <f>IF('Incremental Repayments'!$R$22="Debt",IF(AND(AI$4&gt;=$D83,AI$4&lt;$D83+'Incremental Repayments'!$I$31),-PMT('Interest Rate'!$J$16,'Incremental Repayments'!$I$31,(HLOOKUP($D83,$E$4:$CZ$32,28,FALSE)*'Incremental Repayments'!$I$22)),0),0)</f>
        <v>0</v>
      </c>
      <c r="AJ83" s="477">
        <f>IF('Incremental Repayments'!$R$22="Debt",IF(AND(AJ$4&gt;=$D83,AJ$4&lt;$D83+'Incremental Repayments'!$I$31),-PMT('Interest Rate'!$J$16,'Incremental Repayments'!$I$31,(HLOOKUP($D83,$E$4:$CZ$32,28,FALSE)*'Incremental Repayments'!$I$22)),0),0)</f>
        <v>0</v>
      </c>
      <c r="AK83" s="477">
        <f>IF('Incremental Repayments'!$R$22="Debt",IF(AND(AK$4&gt;=$D83,AK$4&lt;$D83+'Incremental Repayments'!$I$31),-PMT('Interest Rate'!$J$16,'Incremental Repayments'!$I$31,(HLOOKUP($D83,$E$4:$CZ$32,28,FALSE)*'Incremental Repayments'!$I$22)),0),0)</f>
        <v>0</v>
      </c>
      <c r="AL83" s="477">
        <f>IF('Incremental Repayments'!$R$22="Debt",IF(AND(AL$4&gt;=$D83,AL$4&lt;$D83+'Incremental Repayments'!$I$31),-PMT('Interest Rate'!$J$16,'Incremental Repayments'!$I$31,(HLOOKUP($D83,$E$4:$CZ$32,28,FALSE)*'Incremental Repayments'!$I$22)),0),0)</f>
        <v>0</v>
      </c>
      <c r="AM83" s="477">
        <f>IF('Incremental Repayments'!$R$22="Debt",IF(AND(AM$4&gt;=$D83,AM$4&lt;$D83+'Incremental Repayments'!$I$31),-PMT('Interest Rate'!$J$16,'Incremental Repayments'!$I$31,(HLOOKUP($D83,$E$4:$CZ$32,28,FALSE)*'Incremental Repayments'!$I$22)),0),0)</f>
        <v>0</v>
      </c>
      <c r="AN83" s="477">
        <f>IF('Incremental Repayments'!$R$22="Debt",IF(AND(AN$4&gt;=$D83,AN$4&lt;$D83+'Incremental Repayments'!$I$31),-PMT('Interest Rate'!$J$16,'Incremental Repayments'!$I$31,(HLOOKUP($D83,$E$4:$CZ$32,28,FALSE)*'Incremental Repayments'!$I$22)),0),0)</f>
        <v>0</v>
      </c>
      <c r="AO83" s="477">
        <f>IF('Incremental Repayments'!$R$22="Debt",IF(AND(AO$4&gt;=$D83,AO$4&lt;$D83+'Incremental Repayments'!$I$31),-PMT('Interest Rate'!$J$16,'Incremental Repayments'!$I$31,(HLOOKUP($D83,$E$4:$CZ$32,28,FALSE)*'Incremental Repayments'!$I$22)),0),0)</f>
        <v>0</v>
      </c>
      <c r="AP83" s="477">
        <f>IF('Incremental Repayments'!$R$22="Debt",IF(AND(AP$4&gt;=$D83,AP$4&lt;$D83+'Incremental Repayments'!$I$31),-PMT('Interest Rate'!$J$16,'Incremental Repayments'!$I$31,(HLOOKUP($D83,$E$4:$CZ$32,28,FALSE)*'Incremental Repayments'!$I$22)),0),0)</f>
        <v>0</v>
      </c>
      <c r="AQ83" s="477">
        <f>IF('Incremental Repayments'!$R$22="Debt",IF(AND(AQ$4&gt;=$D83,AQ$4&lt;$D83+'Incremental Repayments'!$I$31),-PMT('Interest Rate'!$J$16,'Incremental Repayments'!$I$31,(HLOOKUP($D83,$E$4:$CZ$32,28,FALSE)*'Incremental Repayments'!$I$22)),0),0)</f>
        <v>0</v>
      </c>
      <c r="AR83" s="477">
        <f>IF('Incremental Repayments'!$R$22="Debt",IF(AND(AR$4&gt;=$D83,AR$4&lt;$D83+'Incremental Repayments'!$I$31),-PMT('Interest Rate'!$J$16,'Incremental Repayments'!$I$31,(HLOOKUP($D83,$E$4:$CZ$32,28,FALSE)*'Incremental Repayments'!$I$22)),0),0)</f>
        <v>0</v>
      </c>
      <c r="AS83" s="477">
        <f>IF('Incremental Repayments'!$R$22="Debt",IF(AND(AS$4&gt;=$D83,AS$4&lt;$D83+'Incremental Repayments'!$I$31),-PMT('Interest Rate'!$J$16,'Incremental Repayments'!$I$31,(HLOOKUP($D83,$E$4:$CZ$32,28,FALSE)*'Incremental Repayments'!$I$22)),0),0)</f>
        <v>0</v>
      </c>
      <c r="AT83" s="477">
        <f>IF('Incremental Repayments'!$R$22="Debt",IF(AND(AT$4&gt;=$D83,AT$4&lt;$D83+'Incremental Repayments'!$I$31),-PMT('Interest Rate'!$J$16,'Incremental Repayments'!$I$31,(HLOOKUP($D83,$E$4:$CZ$32,28,FALSE)*'Incremental Repayments'!$I$22)),0),0)</f>
        <v>0</v>
      </c>
      <c r="AU83" s="477">
        <f>IF('Incremental Repayments'!$R$22="Debt",IF(AND(AU$4&gt;=$D83,AU$4&lt;$D83+'Incremental Repayments'!$I$31),-PMT('Interest Rate'!$J$16,'Incremental Repayments'!$I$31,(HLOOKUP($D83,$E$4:$CZ$32,28,FALSE)*'Incremental Repayments'!$I$22)),0),0)</f>
        <v>0</v>
      </c>
      <c r="AV83" s="477">
        <f>IF('Incremental Repayments'!$R$22="Debt",IF(AND(AV$4&gt;=$D83,AV$4&lt;$D83+'Incremental Repayments'!$I$31),-PMT('Interest Rate'!$J$16,'Incremental Repayments'!$I$31,(HLOOKUP($D83,$E$4:$CZ$32,28,FALSE)*'Incremental Repayments'!$I$22)),0),0)</f>
        <v>0</v>
      </c>
      <c r="AW83" s="477">
        <f>IF('Incremental Repayments'!$R$22="Debt",IF(AND(AW$4&gt;=$D83,AW$4&lt;$D83+'Incremental Repayments'!$I$31),-PMT('Interest Rate'!$J$16,'Incremental Repayments'!$I$31,(HLOOKUP($D83,$E$4:$CZ$32,28,FALSE)*'Incremental Repayments'!$I$22)),0),0)</f>
        <v>0</v>
      </c>
      <c r="AX83" s="477">
        <f>IF('Incremental Repayments'!$R$22="Debt",IF(AND(AX$4&gt;=$D83,AX$4&lt;$D83+'Incremental Repayments'!$I$31),-PMT('Interest Rate'!$J$16,'Incremental Repayments'!$I$31,(HLOOKUP($D83,$E$4:$CZ$32,28,FALSE)*'Incremental Repayments'!$I$22)),0),0)</f>
        <v>0</v>
      </c>
      <c r="AY83" s="477">
        <f>IF('Incremental Repayments'!$R$22="Debt",IF(AND(AY$4&gt;=$D83,AY$4&lt;$D83+'Incremental Repayments'!$I$31),-PMT('Interest Rate'!$J$16,'Incremental Repayments'!$I$31,(HLOOKUP($D83,$E$4:$CZ$32,28,FALSE)*'Incremental Repayments'!$I$22)),0),0)</f>
        <v>0</v>
      </c>
      <c r="AZ83" s="477">
        <f>IF('Incremental Repayments'!$R$22="Debt",IF(AND(AZ$4&gt;=$D83,AZ$4&lt;$D83+'Incremental Repayments'!$I$31),-PMT('Interest Rate'!$J$16,'Incremental Repayments'!$I$31,(HLOOKUP($D83,$E$4:$CZ$32,28,FALSE)*'Incremental Repayments'!$I$22)),0),0)</f>
        <v>653434.00518384762</v>
      </c>
      <c r="BA83" s="477">
        <f>IF('Incremental Repayments'!$R$22="Debt",IF(AND(BA$4&gt;=$D83,BA$4&lt;$D83+'Incremental Repayments'!$I$31),-PMT('Interest Rate'!$J$16,'Incremental Repayments'!$I$31,(HLOOKUP($D83,$E$4:$CZ$32,28,FALSE)*'Incremental Repayments'!$I$22)),0),0)</f>
        <v>653434.00518384762</v>
      </c>
      <c r="BB83" s="477">
        <f>IF('Incremental Repayments'!$R$22="Debt",IF(AND(BB$4&gt;=$D83,BB$4&lt;$D83+'Incremental Repayments'!$I$31),-PMT('Interest Rate'!$J$16,'Incremental Repayments'!$I$31,(HLOOKUP($D83,$E$4:$CZ$32,28,FALSE)*'Incremental Repayments'!$I$22)),0),0)</f>
        <v>653434.00518384762</v>
      </c>
      <c r="BC83" s="477">
        <f>IF('Incremental Repayments'!$R$22="Debt",IF(AND(BC$4&gt;=$D83,BC$4&lt;$D83+'Incremental Repayments'!$I$31),-PMT('Interest Rate'!$J$16,'Incremental Repayments'!$I$31,(HLOOKUP($D83,$E$4:$CZ$32,28,FALSE)*'Incremental Repayments'!$I$22)),0),0)</f>
        <v>653434.00518384762</v>
      </c>
      <c r="BD83" s="477">
        <f>IF('Incremental Repayments'!$R$22="Debt",IF(AND(BD$4&gt;=$D83,BD$4&lt;$D83+'Incremental Repayments'!$I$31),-PMT('Interest Rate'!$J$16,'Incremental Repayments'!$I$31,(HLOOKUP($D83,$E$4:$CZ$32,28,FALSE)*'Incremental Repayments'!$I$22)),0),0)</f>
        <v>653434.00518384762</v>
      </c>
      <c r="BE83" s="477">
        <f>IF('Incremental Repayments'!$R$22="Debt",IF(AND(BE$4&gt;=$D83,BE$4&lt;$D83+'Incremental Repayments'!$I$31),-PMT('Interest Rate'!$J$16,'Incremental Repayments'!$I$31,(HLOOKUP($D83,$E$4:$CZ$32,28,FALSE)*'Incremental Repayments'!$I$22)),0),0)</f>
        <v>653434.00518384762</v>
      </c>
      <c r="BF83" s="477">
        <f>IF('Incremental Repayments'!$R$22="Debt",IF(AND(BF$4&gt;=$D83,BF$4&lt;$D83+'Incremental Repayments'!$I$31),-PMT('Interest Rate'!$J$16,'Incremental Repayments'!$I$31,(HLOOKUP($D83,$E$4:$CZ$32,28,FALSE)*'Incremental Repayments'!$I$22)),0),0)</f>
        <v>653434.00518384762</v>
      </c>
      <c r="BG83" s="477">
        <f>IF('Incremental Repayments'!$R$22="Debt",IF(AND(BG$4&gt;=$D83,BG$4&lt;$D83+'Incremental Repayments'!$I$31),-PMT('Interest Rate'!$J$16,'Incremental Repayments'!$I$31,(HLOOKUP($D83,$E$4:$CZ$32,28,FALSE)*'Incremental Repayments'!$I$22)),0),0)</f>
        <v>653434.00518384762</v>
      </c>
      <c r="BH83" s="477">
        <f>IF('Incremental Repayments'!$R$22="Debt",IF(AND(BH$4&gt;=$D83,BH$4&lt;$D83+'Incremental Repayments'!$I$31),-PMT('Interest Rate'!$J$16,'Incremental Repayments'!$I$31,(HLOOKUP($D83,$E$4:$CZ$32,28,FALSE)*'Incremental Repayments'!$I$22)),0),0)</f>
        <v>653434.00518384762</v>
      </c>
      <c r="BI83" s="477">
        <f>IF('Incremental Repayments'!$R$22="Debt",IF(AND(BI$4&gt;=$D83,BI$4&lt;$D83+'Incremental Repayments'!$I$31),-PMT('Interest Rate'!$J$16,'Incremental Repayments'!$I$31,(HLOOKUP($D83,$E$4:$CZ$32,28,FALSE)*'Incremental Repayments'!$I$22)),0),0)</f>
        <v>653434.00518384762</v>
      </c>
      <c r="BJ83" s="477">
        <f>IF('Incremental Repayments'!$R$22="Debt",IF(AND(BJ$4&gt;=$D83,BJ$4&lt;$D83+'Incremental Repayments'!$I$31),-PMT('Interest Rate'!$J$16,'Incremental Repayments'!$I$31,(HLOOKUP($D83,$E$4:$CZ$32,28,FALSE)*'Incremental Repayments'!$I$22)),0),0)</f>
        <v>653434.00518384762</v>
      </c>
      <c r="BK83" s="477">
        <f>IF('Incremental Repayments'!$R$22="Debt",IF(AND(BK$4&gt;=$D83,BK$4&lt;$D83+'Incremental Repayments'!$I$31),-PMT('Interest Rate'!$J$16,'Incremental Repayments'!$I$31,(HLOOKUP($D83,$E$4:$CZ$32,28,FALSE)*'Incremental Repayments'!$I$22)),0),0)</f>
        <v>653434.00518384762</v>
      </c>
      <c r="BL83" s="477">
        <f>IF('Incremental Repayments'!$R$22="Debt",IF(AND(BL$4&gt;=$D83,BL$4&lt;$D83+'Incremental Repayments'!$I$31),-PMT('Interest Rate'!$J$16,'Incremental Repayments'!$I$31,(HLOOKUP($D83,$E$4:$CZ$32,28,FALSE)*'Incremental Repayments'!$I$22)),0),0)</f>
        <v>653434.00518384762</v>
      </c>
      <c r="BM83" s="477">
        <f>IF('Incremental Repayments'!$R$22="Debt",IF(AND(BM$4&gt;=$D83,BM$4&lt;$D83+'Incremental Repayments'!$I$31),-PMT('Interest Rate'!$J$16,'Incremental Repayments'!$I$31,(HLOOKUP($D83,$E$4:$CZ$32,28,FALSE)*'Incremental Repayments'!$I$22)),0),0)</f>
        <v>653434.00518384762</v>
      </c>
      <c r="BN83" s="477">
        <f>IF('Incremental Repayments'!$R$22="Debt",IF(AND(BN$4&gt;=$D83,BN$4&lt;$D83+'Incremental Repayments'!$I$31),-PMT('Interest Rate'!$J$16,'Incremental Repayments'!$I$31,(HLOOKUP($D83,$E$4:$CZ$32,28,FALSE)*'Incremental Repayments'!$I$22)),0),0)</f>
        <v>653434.00518384762</v>
      </c>
      <c r="BO83" s="477">
        <f>IF('Incremental Repayments'!$R$22="Debt",IF(AND(BO$4&gt;=$D83,BO$4&lt;$D83+'Incremental Repayments'!$I$31),-PMT('Interest Rate'!$J$16,'Incremental Repayments'!$I$31,(HLOOKUP($D83,$E$4:$CZ$32,28,FALSE)*'Incremental Repayments'!$I$22)),0),0)</f>
        <v>653434.00518384762</v>
      </c>
      <c r="BP83" s="477">
        <f>IF('Incremental Repayments'!$R$22="Debt",IF(AND(BP$4&gt;=$D83,BP$4&lt;$D83+'Incremental Repayments'!$I$31),-PMT('Interest Rate'!$J$16,'Incremental Repayments'!$I$31,(HLOOKUP($D83,$E$4:$CZ$32,28,FALSE)*'Incremental Repayments'!$I$22)),0),0)</f>
        <v>653434.00518384762</v>
      </c>
      <c r="BQ83" s="477">
        <f>IF('Incremental Repayments'!$R$22="Debt",IF(AND(BQ$4&gt;=$D83,BQ$4&lt;$D83+'Incremental Repayments'!$I$31),-PMT('Interest Rate'!$J$16,'Incremental Repayments'!$I$31,(HLOOKUP($D83,$E$4:$CZ$32,28,FALSE)*'Incremental Repayments'!$I$22)),0),0)</f>
        <v>653434.00518384762</v>
      </c>
      <c r="BR83" s="477">
        <f>IF('Incremental Repayments'!$R$22="Debt",IF(AND(BR$4&gt;=$D83,BR$4&lt;$D83+'Incremental Repayments'!$I$31),-PMT('Interest Rate'!$J$16,'Incremental Repayments'!$I$31,(HLOOKUP($D83,$E$4:$CZ$32,28,FALSE)*'Incremental Repayments'!$I$22)),0),0)</f>
        <v>653434.00518384762</v>
      </c>
      <c r="BS83" s="477">
        <f>IF('Incremental Repayments'!$R$22="Debt",IF(AND(BS$4&gt;=$D83,BS$4&lt;$D83+'Incremental Repayments'!$I$31),-PMT('Interest Rate'!$J$16,'Incremental Repayments'!$I$31,(HLOOKUP($D83,$E$4:$CZ$32,28,FALSE)*'Incremental Repayments'!$I$22)),0),0)</f>
        <v>653434.00518384762</v>
      </c>
      <c r="BT83" s="477">
        <f>IF('Incremental Repayments'!$R$22="Debt",IF(AND(BT$4&gt;=$D83,BT$4&lt;$D83+'Incremental Repayments'!$I$31),-PMT('Interest Rate'!$J$16,'Incremental Repayments'!$I$31,(HLOOKUP($D83,$E$4:$CZ$32,28,FALSE)*'Incremental Repayments'!$I$22)),0),0)</f>
        <v>653434.00518384762</v>
      </c>
      <c r="BU83" s="477">
        <f>IF('Incremental Repayments'!$R$22="Debt",IF(AND(BU$4&gt;=$D83,BU$4&lt;$D83+'Incremental Repayments'!$I$31),-PMT('Interest Rate'!$J$16,'Incremental Repayments'!$I$31,(HLOOKUP($D83,$E$4:$CZ$32,28,FALSE)*'Incremental Repayments'!$I$22)),0),0)</f>
        <v>653434.00518384762</v>
      </c>
      <c r="BV83" s="477">
        <f>IF('Incremental Repayments'!$R$22="Debt",IF(AND(BV$4&gt;=$D83,BV$4&lt;$D83+'Incremental Repayments'!$I$31),-PMT('Interest Rate'!$J$16,'Incremental Repayments'!$I$31,(HLOOKUP($D83,$E$4:$CZ$32,28,FALSE)*'Incremental Repayments'!$I$22)),0),0)</f>
        <v>653434.00518384762</v>
      </c>
      <c r="BW83" s="477">
        <f>IF('Incremental Repayments'!$R$22="Debt",IF(AND(BW$4&gt;=$D83,BW$4&lt;$D83+'Incremental Repayments'!$I$31),-PMT('Interest Rate'!$J$16,'Incremental Repayments'!$I$31,(HLOOKUP($D83,$E$4:$CZ$32,28,FALSE)*'Incremental Repayments'!$I$22)),0),0)</f>
        <v>653434.00518384762</v>
      </c>
      <c r="BX83" s="477">
        <f>IF('Incremental Repayments'!$R$22="Debt",IF(AND(BX$4&gt;=$D83,BX$4&lt;$D83+'Incremental Repayments'!$I$31),-PMT('Interest Rate'!$J$16,'Incremental Repayments'!$I$31,(HLOOKUP($D83,$E$4:$CZ$32,28,FALSE)*'Incremental Repayments'!$I$22)),0),0)</f>
        <v>653434.00518384762</v>
      </c>
      <c r="BY83" s="477">
        <f>IF('Incremental Repayments'!$R$22="Debt",IF(AND(BY$4&gt;=$D83,BY$4&lt;$D83+'Incremental Repayments'!$I$31),-PMT('Interest Rate'!$J$16,'Incremental Repayments'!$I$31,(HLOOKUP($D83,$E$4:$CZ$32,28,FALSE)*'Incremental Repayments'!$I$22)),0),0)</f>
        <v>653434.00518384762</v>
      </c>
      <c r="BZ83" s="477">
        <f>IF('Incremental Repayments'!$R$22="Debt",IF(AND(BZ$4&gt;=$D83,BZ$4&lt;$D83+'Incremental Repayments'!$I$31),-PMT('Interest Rate'!$J$16,'Incremental Repayments'!$I$31,(HLOOKUP($D83,$E$4:$CZ$32,28,FALSE)*'Incremental Repayments'!$I$22)),0),0)</f>
        <v>653434.00518384762</v>
      </c>
      <c r="CA83" s="477">
        <f>IF('Incremental Repayments'!$R$22="Debt",IF(AND(CA$4&gt;=$D83,CA$4&lt;$D83+'Incremental Repayments'!$I$31),-PMT('Interest Rate'!$J$16,'Incremental Repayments'!$I$31,(HLOOKUP($D83,$E$4:$CZ$32,28,FALSE)*'Incremental Repayments'!$I$22)),0),0)</f>
        <v>653434.00518384762</v>
      </c>
      <c r="CB83" s="477">
        <f>IF('Incremental Repayments'!$R$22="Debt",IF(AND(CB$4&gt;=$D83,CB$4&lt;$D83+'Incremental Repayments'!$I$31),-PMT('Interest Rate'!$J$16,'Incremental Repayments'!$I$31,(HLOOKUP($D83,$E$4:$CZ$32,28,FALSE)*'Incremental Repayments'!$I$22)),0),0)</f>
        <v>653434.00518384762</v>
      </c>
      <c r="CC83" s="477">
        <f>IF('Incremental Repayments'!$R$22="Debt",IF(AND(CC$4&gt;=$D83,CC$4&lt;$D83+'Incremental Repayments'!$I$31),-PMT('Interest Rate'!$J$16,'Incremental Repayments'!$I$31,(HLOOKUP($D83,$E$4:$CZ$32,28,FALSE)*'Incremental Repayments'!$I$22)),0),0)</f>
        <v>653434.00518384762</v>
      </c>
      <c r="CD83" s="477">
        <f>IF('Incremental Repayments'!$R$22="Debt",IF(AND(CD$4&gt;=$D83,CD$4&lt;$D83+'Incremental Repayments'!$I$31),-PMT('Interest Rate'!$J$16,'Incremental Repayments'!$I$31,(HLOOKUP($D83,$E$4:$CZ$32,28,FALSE)*'Incremental Repayments'!$I$22)),0),0)</f>
        <v>0</v>
      </c>
      <c r="CE83" s="477">
        <f>IF('Incremental Repayments'!$R$22="Debt",IF(AND(CE$4&gt;=$D83,CE$4&lt;$D83+'Incremental Repayments'!$I$31),-PMT('Interest Rate'!$J$16,'Incremental Repayments'!$I$31,(HLOOKUP($D83,$E$4:$CZ$32,28,FALSE)*'Incremental Repayments'!$I$22)),0),0)</f>
        <v>0</v>
      </c>
      <c r="CF83" s="477">
        <f>IF('Incremental Repayments'!$R$22="Debt",IF(AND(CF$4&gt;=$D83,CF$4&lt;$D83+'Incremental Repayments'!$I$31),-PMT('Interest Rate'!$J$16,'Incremental Repayments'!$I$31,(HLOOKUP($D83,$E$4:$CZ$32,28,FALSE)*'Incremental Repayments'!$I$22)),0),0)</f>
        <v>0</v>
      </c>
      <c r="CG83" s="477">
        <f>IF('Incremental Repayments'!$R$22="Debt",IF(AND(CG$4&gt;=$D83,CG$4&lt;$D83+'Incremental Repayments'!$I$31),-PMT('Interest Rate'!$J$16,'Incremental Repayments'!$I$31,(HLOOKUP($D83,$E$4:$CZ$32,28,FALSE)*'Incremental Repayments'!$I$22)),0),0)</f>
        <v>0</v>
      </c>
      <c r="CH83" s="477">
        <f>IF('Incremental Repayments'!$R$22="Debt",IF(AND(CH$4&gt;=$D83,CH$4&lt;$D83+'Incremental Repayments'!$I$31),-PMT('Interest Rate'!$J$16,'Incremental Repayments'!$I$31,(HLOOKUP($D83,$E$4:$CZ$32,28,FALSE)*'Incremental Repayments'!$I$22)),0),0)</f>
        <v>0</v>
      </c>
      <c r="CI83" s="477">
        <f>IF('Incremental Repayments'!$R$22="Debt",IF(AND(CI$4&gt;=$D83,CI$4&lt;$D83+'Incremental Repayments'!$I$31),-PMT('Interest Rate'!$J$16,'Incremental Repayments'!$I$31,(HLOOKUP($D83,$E$4:$CZ$32,28,FALSE)*'Incremental Repayments'!$I$22)),0),0)</f>
        <v>0</v>
      </c>
      <c r="CJ83" s="477">
        <f>IF('Incremental Repayments'!$R$22="Debt",IF(AND(CJ$4&gt;=$D83,CJ$4&lt;$D83+'Incremental Repayments'!$I$31),-PMT('Interest Rate'!$J$16,'Incremental Repayments'!$I$31,(HLOOKUP($D83,$E$4:$CZ$32,28,FALSE)*'Incremental Repayments'!$I$22)),0),0)</f>
        <v>0</v>
      </c>
      <c r="CK83" s="477">
        <f>IF('Incremental Repayments'!$R$22="Debt",IF(AND(CK$4&gt;=$D83,CK$4&lt;$D83+'Incremental Repayments'!$I$31),-PMT('Interest Rate'!$J$16,'Incremental Repayments'!$I$31,(HLOOKUP($D83,$E$4:$CZ$32,28,FALSE)*'Incremental Repayments'!$I$22)),0),0)</f>
        <v>0</v>
      </c>
      <c r="CL83" s="477">
        <f>IF('Incremental Repayments'!$R$22="Debt",IF(AND(CL$4&gt;=$D83,CL$4&lt;$D83+'Incremental Repayments'!$I$31),-PMT('Interest Rate'!$J$16,'Incremental Repayments'!$I$31,(HLOOKUP($D83,$E$4:$CZ$32,28,FALSE)*'Incremental Repayments'!$I$22)),0),0)</f>
        <v>0</v>
      </c>
      <c r="CM83" s="477">
        <f>IF('Incremental Repayments'!$R$22="Debt",IF(AND(CM$4&gt;=$D83,CM$4&lt;$D83+'Incremental Repayments'!$I$31),-PMT('Interest Rate'!$J$16,'Incremental Repayments'!$I$31,(HLOOKUP($D83,$E$4:$CZ$32,28,FALSE)*'Incremental Repayments'!$I$22)),0),0)</f>
        <v>0</v>
      </c>
      <c r="CN83" s="477">
        <f>IF('Incremental Repayments'!$R$22="Debt",IF(AND(CN$4&gt;=$D83,CN$4&lt;$D83+'Incremental Repayments'!$I$31),-PMT('Interest Rate'!$J$16,'Incremental Repayments'!$I$31,(HLOOKUP($D83,$E$4:$CZ$32,28,FALSE)*'Incremental Repayments'!$I$22)),0),0)</f>
        <v>0</v>
      </c>
      <c r="CO83" s="477">
        <f>IF('Incremental Repayments'!$R$22="Debt",IF(AND(CO$4&gt;=$D83,CO$4&lt;$D83+'Incremental Repayments'!$I$31),-PMT('Interest Rate'!$J$16,'Incremental Repayments'!$I$31,(HLOOKUP($D83,$E$4:$CZ$32,28,FALSE)*'Incremental Repayments'!$I$22)),0),0)</f>
        <v>0</v>
      </c>
      <c r="CP83" s="477">
        <f>IF('Incremental Repayments'!$R$22="Debt",IF(AND(CP$4&gt;=$D83,CP$4&lt;$D83+'Incremental Repayments'!$I$31),-PMT('Interest Rate'!$J$16,'Incremental Repayments'!$I$31,(HLOOKUP($D83,$E$4:$CZ$32,28,FALSE)*'Incremental Repayments'!$I$22)),0),0)</f>
        <v>0</v>
      </c>
      <c r="CQ83" s="477">
        <f>IF('Incremental Repayments'!$R$22="Debt",IF(AND(CQ$4&gt;=$D83,CQ$4&lt;$D83+'Incremental Repayments'!$I$31),-PMT('Interest Rate'!$J$16,'Incremental Repayments'!$I$31,(HLOOKUP($D83,$E$4:$CZ$32,28,FALSE)*'Incremental Repayments'!$I$22)),0),0)</f>
        <v>0</v>
      </c>
      <c r="CR83" s="477">
        <f>IF('Incremental Repayments'!$R$22="Debt",IF(AND(CR$4&gt;=$D83,CR$4&lt;$D83+'Incremental Repayments'!$I$31),-PMT('Interest Rate'!$J$16,'Incremental Repayments'!$I$31,(HLOOKUP($D83,$E$4:$CZ$32,28,FALSE)*'Incremental Repayments'!$I$22)),0),0)</f>
        <v>0</v>
      </c>
      <c r="CS83" s="477">
        <f>IF('Incremental Repayments'!$R$22="Debt",IF(AND(CS$4&gt;=$D83,CS$4&lt;$D83+'Incremental Repayments'!$I$31),-PMT('Interest Rate'!$J$16,'Incremental Repayments'!$I$31,(HLOOKUP($D83,$E$4:$CZ$32,28,FALSE)*'Incremental Repayments'!$I$22)),0),0)</f>
        <v>0</v>
      </c>
      <c r="CT83" s="477">
        <f>IF('Incremental Repayments'!$R$22="Debt",IF(AND(CT$4&gt;=$D83,CT$4&lt;$D83+'Incremental Repayments'!$I$31),-PMT('Interest Rate'!$J$16,'Incremental Repayments'!$I$31,(HLOOKUP($D83,$E$4:$CZ$32,28,FALSE)*'Incremental Repayments'!$I$22)),0),0)</f>
        <v>0</v>
      </c>
      <c r="CU83" s="477">
        <f>IF('Incremental Repayments'!$R$22="Debt",IF(AND(CU$4&gt;=$D83,CU$4&lt;$D83+'Incremental Repayments'!$I$31),-PMT('Interest Rate'!$J$16,'Incremental Repayments'!$I$31,(HLOOKUP($D83,$E$4:$CZ$32,28,FALSE)*'Incremental Repayments'!$I$22)),0),0)</f>
        <v>0</v>
      </c>
      <c r="CV83" s="477">
        <f>IF('Incremental Repayments'!$R$22="Debt",IF(AND(CV$4&gt;=$D83,CV$4&lt;$D83+'Incremental Repayments'!$I$31),-PMT('Interest Rate'!$J$16,'Incremental Repayments'!$I$31,(HLOOKUP($D83,$E$4:$CZ$32,28,FALSE)*'Incremental Repayments'!$I$22)),0),0)</f>
        <v>0</v>
      </c>
      <c r="CW83" s="477">
        <f>IF('Incremental Repayments'!$R$22="Debt",IF(AND(CW$4&gt;=$D83,CW$4&lt;$D83+'Incremental Repayments'!$I$31),-PMT('Interest Rate'!$J$16,'Incremental Repayments'!$I$31,(HLOOKUP($D83,$E$4:$CZ$32,28,FALSE)*'Incremental Repayments'!$I$22)),0),0)</f>
        <v>0</v>
      </c>
      <c r="CX83" s="477">
        <f>IF('Incremental Repayments'!$R$22="Debt",IF(AND(CX$4&gt;=$D83,CX$4&lt;$D83+'Incremental Repayments'!$I$31),-PMT('Interest Rate'!$J$16,'Incremental Repayments'!$I$31,(HLOOKUP($D83,$E$4:$CZ$32,28,FALSE)*'Incremental Repayments'!$I$22)),0),0)</f>
        <v>0</v>
      </c>
      <c r="CY83" s="477">
        <f>IF('Incremental Repayments'!$R$22="Debt",IF(AND(CY$4&gt;=$D83,CY$4&lt;$D83+'Incremental Repayments'!$I$31),-PMT('Interest Rate'!$J$16,'Incremental Repayments'!$I$31,(HLOOKUP($D83,$E$4:$CZ$32,28,FALSE)*'Incremental Repayments'!$I$22)),0),0)</f>
        <v>0</v>
      </c>
      <c r="CZ83" s="477">
        <f>IF('Incremental Repayments'!$R$22="Debt",IF(AND(CZ$4&gt;=$D83,CZ$4&lt;$D83+'Incremental Repayments'!$I$31),-PMT('Interest Rate'!$J$16,'Incremental Repayments'!$I$31,(HLOOKUP($D83,$E$4:$CZ$32,28,FALSE)*'Incremental Repayments'!$I$22)),0),0)</f>
        <v>0</v>
      </c>
    </row>
    <row r="84" spans="2:104" x14ac:dyDescent="0.25">
      <c r="B84" s="480" t="str">
        <f>CONCATENATE("Series ",D84,"A Bonds (at ",'Interest Rate'!$J$16*100,"% Interest)")</f>
        <v>Series 2062A Bonds (at 4.5% Interest)</v>
      </c>
      <c r="C84" s="480"/>
      <c r="D84" s="492">
        <f t="shared" si="494"/>
        <v>2062</v>
      </c>
      <c r="E84" s="477">
        <f>IF('Incremental Repayments'!$R$22="Debt",IF(AND(E$4&gt;=$D84,E$4&lt;$D84+'Incremental Repayments'!$I$31),-PMT('Interest Rate'!$J$16,'Incremental Repayments'!$I$31,(HLOOKUP($D84,$E$4:$CZ$32,28,FALSE)*'Incremental Repayments'!$I$22)),0),0)</f>
        <v>0</v>
      </c>
      <c r="F84" s="477">
        <f>IF('Incremental Repayments'!$R$22="Debt",IF(AND(F$4&gt;=$D84,F$4&lt;$D84+'Incremental Repayments'!$I$31),-PMT('Interest Rate'!$J$16,'Incremental Repayments'!$I$31,(HLOOKUP($D84,$E$4:$CZ$32,28,FALSE)*'Incremental Repayments'!$I$22)),0),0)</f>
        <v>0</v>
      </c>
      <c r="G84" s="477">
        <f>IF('Incremental Repayments'!$R$22="Debt",IF(AND(G$4&gt;=$D84,G$4&lt;$D84+'Incremental Repayments'!$I$31),-PMT('Interest Rate'!$J$16,'Incremental Repayments'!$I$31,(HLOOKUP($D84,$E$4:$CZ$32,28,FALSE)*'Incremental Repayments'!$I$22)),0),0)</f>
        <v>0</v>
      </c>
      <c r="H84" s="477">
        <f>IF('Incremental Repayments'!$R$22="Debt",IF(AND(H$4&gt;=$D84,H$4&lt;$D84+'Incremental Repayments'!$I$31),-PMT('Interest Rate'!$J$16,'Incremental Repayments'!$I$31,(HLOOKUP($D84,$E$4:$CZ$32,28,FALSE)*'Incremental Repayments'!$I$22)),0),0)</f>
        <v>0</v>
      </c>
      <c r="I84" s="477">
        <f>IF('Incremental Repayments'!$R$22="Debt",IF(AND(I$4&gt;=$D84,I$4&lt;$D84+'Incremental Repayments'!$I$31),-PMT('Interest Rate'!$J$16,'Incremental Repayments'!$I$31,(HLOOKUP($D84,$E$4:$CZ$32,28,FALSE)*'Incremental Repayments'!$I$22)),0),0)</f>
        <v>0</v>
      </c>
      <c r="J84" s="477">
        <f>IF('Incremental Repayments'!$R$22="Debt",IF(AND(J$4&gt;=$D84,J$4&lt;$D84+'Incremental Repayments'!$I$31),-PMT('Interest Rate'!$J$16,'Incremental Repayments'!$I$31,(HLOOKUP($D84,$E$4:$CZ$32,28,FALSE)*'Incremental Repayments'!$I$22)),0),0)</f>
        <v>0</v>
      </c>
      <c r="K84" s="477">
        <f>IF('Incremental Repayments'!$R$22="Debt",IF(AND(K$4&gt;=$D84,K$4&lt;$D84+'Incremental Repayments'!$I$31),-PMT('Interest Rate'!$J$16,'Incremental Repayments'!$I$31,(HLOOKUP($D84,$E$4:$CZ$32,28,FALSE)*'Incremental Repayments'!$I$22)),0),0)</f>
        <v>0</v>
      </c>
      <c r="L84" s="477">
        <f>IF('Incremental Repayments'!$R$22="Debt",IF(AND(L$4&gt;=$D84,L$4&lt;$D84+'Incremental Repayments'!$I$31),-PMT('Interest Rate'!$J$16,'Incremental Repayments'!$I$31,(HLOOKUP($D84,$E$4:$CZ$32,28,FALSE)*'Incremental Repayments'!$I$22)),0),0)</f>
        <v>0</v>
      </c>
      <c r="M84" s="477">
        <f>IF('Incremental Repayments'!$R$22="Debt",IF(AND(M$4&gt;=$D84,M$4&lt;$D84+'Incremental Repayments'!$I$31),-PMT('Interest Rate'!$J$16,'Incremental Repayments'!$I$31,(HLOOKUP($D84,$E$4:$CZ$32,28,FALSE)*'Incremental Repayments'!$I$22)),0),0)</f>
        <v>0</v>
      </c>
      <c r="N84" s="477">
        <f>IF('Incremental Repayments'!$R$22="Debt",IF(AND(N$4&gt;=$D84,N$4&lt;$D84+'Incremental Repayments'!$I$31),-PMT('Interest Rate'!$J$16,'Incremental Repayments'!$I$31,(HLOOKUP($D84,$E$4:$CZ$32,28,FALSE)*'Incremental Repayments'!$I$22)),0),0)</f>
        <v>0</v>
      </c>
      <c r="O84" s="477">
        <f>IF('Incremental Repayments'!$R$22="Debt",IF(AND(O$4&gt;=$D84,O$4&lt;$D84+'Incremental Repayments'!$I$31),-PMT('Interest Rate'!$J$16,'Incremental Repayments'!$I$31,(HLOOKUP($D84,$E$4:$CZ$32,28,FALSE)*'Incremental Repayments'!$I$22)),0),0)</f>
        <v>0</v>
      </c>
      <c r="P84" s="477">
        <f>IF('Incremental Repayments'!$R$22="Debt",IF(AND(P$4&gt;=$D84,P$4&lt;$D84+'Incremental Repayments'!$I$31),-PMT('Interest Rate'!$J$16,'Incremental Repayments'!$I$31,(HLOOKUP($D84,$E$4:$CZ$32,28,FALSE)*'Incremental Repayments'!$I$22)),0),0)</f>
        <v>0</v>
      </c>
      <c r="Q84" s="477">
        <f>IF('Incremental Repayments'!$R$22="Debt",IF(AND(Q$4&gt;=$D84,Q$4&lt;$D84+'Incremental Repayments'!$I$31),-PMT('Interest Rate'!$J$16,'Incremental Repayments'!$I$31,(HLOOKUP($D84,$E$4:$CZ$32,28,FALSE)*'Incremental Repayments'!$I$22)),0),0)</f>
        <v>0</v>
      </c>
      <c r="R84" s="477">
        <f>IF('Incremental Repayments'!$R$22="Debt",IF(AND(R$4&gt;=$D84,R$4&lt;$D84+'Incremental Repayments'!$I$31),-PMT('Interest Rate'!$J$16,'Incremental Repayments'!$I$31,(HLOOKUP($D84,$E$4:$CZ$32,28,FALSE)*'Incremental Repayments'!$I$22)),0),0)</f>
        <v>0</v>
      </c>
      <c r="S84" s="477">
        <f>IF('Incremental Repayments'!$R$22="Debt",IF(AND(S$4&gt;=$D84,S$4&lt;$D84+'Incremental Repayments'!$I$31),-PMT('Interest Rate'!$J$16,'Incremental Repayments'!$I$31,(HLOOKUP($D84,$E$4:$CZ$32,28,FALSE)*'Incremental Repayments'!$I$22)),0),0)</f>
        <v>0</v>
      </c>
      <c r="T84" s="477">
        <f>IF('Incremental Repayments'!$R$22="Debt",IF(AND(T$4&gt;=$D84,T$4&lt;$D84+'Incremental Repayments'!$I$31),-PMT('Interest Rate'!$J$16,'Incremental Repayments'!$I$31,(HLOOKUP($D84,$E$4:$CZ$32,28,FALSE)*'Incremental Repayments'!$I$22)),0),0)</f>
        <v>0</v>
      </c>
      <c r="U84" s="477">
        <f>IF('Incremental Repayments'!$R$22="Debt",IF(AND(U$4&gt;=$D84,U$4&lt;$D84+'Incremental Repayments'!$I$31),-PMT('Interest Rate'!$J$16,'Incremental Repayments'!$I$31,(HLOOKUP($D84,$E$4:$CZ$32,28,FALSE)*'Incremental Repayments'!$I$22)),0),0)</f>
        <v>0</v>
      </c>
      <c r="V84" s="477">
        <f>IF('Incremental Repayments'!$R$22="Debt",IF(AND(V$4&gt;=$D84,V$4&lt;$D84+'Incremental Repayments'!$I$31),-PMT('Interest Rate'!$J$16,'Incremental Repayments'!$I$31,(HLOOKUP($D84,$E$4:$CZ$32,28,FALSE)*'Incremental Repayments'!$I$22)),0),0)</f>
        <v>0</v>
      </c>
      <c r="W84" s="477">
        <f>IF('Incremental Repayments'!$R$22="Debt",IF(AND(W$4&gt;=$D84,W$4&lt;$D84+'Incremental Repayments'!$I$31),-PMT('Interest Rate'!$J$16,'Incremental Repayments'!$I$31,(HLOOKUP($D84,$E$4:$CZ$32,28,FALSE)*'Incremental Repayments'!$I$22)),0),0)</f>
        <v>0</v>
      </c>
      <c r="X84" s="477">
        <f>IF('Incremental Repayments'!$R$22="Debt",IF(AND(X$4&gt;=$D84,X$4&lt;$D84+'Incremental Repayments'!$I$31),-PMT('Interest Rate'!$J$16,'Incremental Repayments'!$I$31,(HLOOKUP($D84,$E$4:$CZ$32,28,FALSE)*'Incremental Repayments'!$I$22)),0),0)</f>
        <v>0</v>
      </c>
      <c r="Y84" s="477">
        <f>IF('Incremental Repayments'!$R$22="Debt",IF(AND(Y$4&gt;=$D84,Y$4&lt;$D84+'Incremental Repayments'!$I$31),-PMT('Interest Rate'!$J$16,'Incremental Repayments'!$I$31,(HLOOKUP($D84,$E$4:$CZ$32,28,FALSE)*'Incremental Repayments'!$I$22)),0),0)</f>
        <v>0</v>
      </c>
      <c r="Z84" s="477">
        <f>IF('Incremental Repayments'!$R$22="Debt",IF(AND(Z$4&gt;=$D84,Z$4&lt;$D84+'Incremental Repayments'!$I$31),-PMT('Interest Rate'!$J$16,'Incremental Repayments'!$I$31,(HLOOKUP($D84,$E$4:$CZ$32,28,FALSE)*'Incremental Repayments'!$I$22)),0),0)</f>
        <v>0</v>
      </c>
      <c r="AA84" s="477">
        <f>IF('Incremental Repayments'!$R$22="Debt",IF(AND(AA$4&gt;=$D84,AA$4&lt;$D84+'Incremental Repayments'!$I$31),-PMT('Interest Rate'!$J$16,'Incremental Repayments'!$I$31,(HLOOKUP($D84,$E$4:$CZ$32,28,FALSE)*'Incremental Repayments'!$I$22)),0),0)</f>
        <v>0</v>
      </c>
      <c r="AB84" s="477">
        <f>IF('Incremental Repayments'!$R$22="Debt",IF(AND(AB$4&gt;=$D84,AB$4&lt;$D84+'Incremental Repayments'!$I$31),-PMT('Interest Rate'!$J$16,'Incremental Repayments'!$I$31,(HLOOKUP($D84,$E$4:$CZ$32,28,FALSE)*'Incremental Repayments'!$I$22)),0),0)</f>
        <v>0</v>
      </c>
      <c r="AC84" s="477">
        <f>IF('Incremental Repayments'!$R$22="Debt",IF(AND(AC$4&gt;=$D84,AC$4&lt;$D84+'Incremental Repayments'!$I$31),-PMT('Interest Rate'!$J$16,'Incremental Repayments'!$I$31,(HLOOKUP($D84,$E$4:$CZ$32,28,FALSE)*'Incremental Repayments'!$I$22)),0),0)</f>
        <v>0</v>
      </c>
      <c r="AD84" s="477">
        <f>IF('Incremental Repayments'!$R$22="Debt",IF(AND(AD$4&gt;=$D84,AD$4&lt;$D84+'Incremental Repayments'!$I$31),-PMT('Interest Rate'!$J$16,'Incremental Repayments'!$I$31,(HLOOKUP($D84,$E$4:$CZ$32,28,FALSE)*'Incremental Repayments'!$I$22)),0),0)</f>
        <v>0</v>
      </c>
      <c r="AE84" s="477">
        <f>IF('Incremental Repayments'!$R$22="Debt",IF(AND(AE$4&gt;=$D84,AE$4&lt;$D84+'Incremental Repayments'!$I$31),-PMT('Interest Rate'!$J$16,'Incremental Repayments'!$I$31,(HLOOKUP($D84,$E$4:$CZ$32,28,FALSE)*'Incremental Repayments'!$I$22)),0),0)</f>
        <v>0</v>
      </c>
      <c r="AF84" s="477">
        <f>IF('Incremental Repayments'!$R$22="Debt",IF(AND(AF$4&gt;=$D84,AF$4&lt;$D84+'Incremental Repayments'!$I$31),-PMT('Interest Rate'!$J$16,'Incremental Repayments'!$I$31,(HLOOKUP($D84,$E$4:$CZ$32,28,FALSE)*'Incremental Repayments'!$I$22)),0),0)</f>
        <v>0</v>
      </c>
      <c r="AG84" s="477">
        <f>IF('Incremental Repayments'!$R$22="Debt",IF(AND(AG$4&gt;=$D84,AG$4&lt;$D84+'Incremental Repayments'!$I$31),-PMT('Interest Rate'!$J$16,'Incremental Repayments'!$I$31,(HLOOKUP($D84,$E$4:$CZ$32,28,FALSE)*'Incremental Repayments'!$I$22)),0),0)</f>
        <v>0</v>
      </c>
      <c r="AH84" s="477">
        <f>IF('Incremental Repayments'!$R$22="Debt",IF(AND(AH$4&gt;=$D84,AH$4&lt;$D84+'Incremental Repayments'!$I$31),-PMT('Interest Rate'!$J$16,'Incremental Repayments'!$I$31,(HLOOKUP($D84,$E$4:$CZ$32,28,FALSE)*'Incremental Repayments'!$I$22)),0),0)</f>
        <v>0</v>
      </c>
      <c r="AI84" s="477">
        <f>IF('Incremental Repayments'!$R$22="Debt",IF(AND(AI$4&gt;=$D84,AI$4&lt;$D84+'Incremental Repayments'!$I$31),-PMT('Interest Rate'!$J$16,'Incremental Repayments'!$I$31,(HLOOKUP($D84,$E$4:$CZ$32,28,FALSE)*'Incremental Repayments'!$I$22)),0),0)</f>
        <v>0</v>
      </c>
      <c r="AJ84" s="477">
        <f>IF('Incremental Repayments'!$R$22="Debt",IF(AND(AJ$4&gt;=$D84,AJ$4&lt;$D84+'Incremental Repayments'!$I$31),-PMT('Interest Rate'!$J$16,'Incremental Repayments'!$I$31,(HLOOKUP($D84,$E$4:$CZ$32,28,FALSE)*'Incremental Repayments'!$I$22)),0),0)</f>
        <v>0</v>
      </c>
      <c r="AK84" s="477">
        <f>IF('Incremental Repayments'!$R$22="Debt",IF(AND(AK$4&gt;=$D84,AK$4&lt;$D84+'Incremental Repayments'!$I$31),-PMT('Interest Rate'!$J$16,'Incremental Repayments'!$I$31,(HLOOKUP($D84,$E$4:$CZ$32,28,FALSE)*'Incremental Repayments'!$I$22)),0),0)</f>
        <v>0</v>
      </c>
      <c r="AL84" s="477">
        <f>IF('Incremental Repayments'!$R$22="Debt",IF(AND(AL$4&gt;=$D84,AL$4&lt;$D84+'Incremental Repayments'!$I$31),-PMT('Interest Rate'!$J$16,'Incremental Repayments'!$I$31,(HLOOKUP($D84,$E$4:$CZ$32,28,FALSE)*'Incremental Repayments'!$I$22)),0),0)</f>
        <v>0</v>
      </c>
      <c r="AM84" s="477">
        <f>IF('Incremental Repayments'!$R$22="Debt",IF(AND(AM$4&gt;=$D84,AM$4&lt;$D84+'Incremental Repayments'!$I$31),-PMT('Interest Rate'!$J$16,'Incremental Repayments'!$I$31,(HLOOKUP($D84,$E$4:$CZ$32,28,FALSE)*'Incremental Repayments'!$I$22)),0),0)</f>
        <v>0</v>
      </c>
      <c r="AN84" s="477">
        <f>IF('Incremental Repayments'!$R$22="Debt",IF(AND(AN$4&gt;=$D84,AN$4&lt;$D84+'Incremental Repayments'!$I$31),-PMT('Interest Rate'!$J$16,'Incremental Repayments'!$I$31,(HLOOKUP($D84,$E$4:$CZ$32,28,FALSE)*'Incremental Repayments'!$I$22)),0),0)</f>
        <v>0</v>
      </c>
      <c r="AO84" s="477">
        <f>IF('Incremental Repayments'!$R$22="Debt",IF(AND(AO$4&gt;=$D84,AO$4&lt;$D84+'Incremental Repayments'!$I$31),-PMT('Interest Rate'!$J$16,'Incremental Repayments'!$I$31,(HLOOKUP($D84,$E$4:$CZ$32,28,FALSE)*'Incremental Repayments'!$I$22)),0),0)</f>
        <v>0</v>
      </c>
      <c r="AP84" s="477">
        <f>IF('Incremental Repayments'!$R$22="Debt",IF(AND(AP$4&gt;=$D84,AP$4&lt;$D84+'Incremental Repayments'!$I$31),-PMT('Interest Rate'!$J$16,'Incremental Repayments'!$I$31,(HLOOKUP($D84,$E$4:$CZ$32,28,FALSE)*'Incremental Repayments'!$I$22)),0),0)</f>
        <v>0</v>
      </c>
      <c r="AQ84" s="477">
        <f>IF('Incremental Repayments'!$R$22="Debt",IF(AND(AQ$4&gt;=$D84,AQ$4&lt;$D84+'Incremental Repayments'!$I$31),-PMT('Interest Rate'!$J$16,'Incremental Repayments'!$I$31,(HLOOKUP($D84,$E$4:$CZ$32,28,FALSE)*'Incremental Repayments'!$I$22)),0),0)</f>
        <v>0</v>
      </c>
      <c r="AR84" s="477">
        <f>IF('Incremental Repayments'!$R$22="Debt",IF(AND(AR$4&gt;=$D84,AR$4&lt;$D84+'Incremental Repayments'!$I$31),-PMT('Interest Rate'!$J$16,'Incremental Repayments'!$I$31,(HLOOKUP($D84,$E$4:$CZ$32,28,FALSE)*'Incremental Repayments'!$I$22)),0),0)</f>
        <v>0</v>
      </c>
      <c r="AS84" s="477">
        <f>IF('Incremental Repayments'!$R$22="Debt",IF(AND(AS$4&gt;=$D84,AS$4&lt;$D84+'Incremental Repayments'!$I$31),-PMT('Interest Rate'!$J$16,'Incremental Repayments'!$I$31,(HLOOKUP($D84,$E$4:$CZ$32,28,FALSE)*'Incremental Repayments'!$I$22)),0),0)</f>
        <v>0</v>
      </c>
      <c r="AT84" s="477">
        <f>IF('Incremental Repayments'!$R$22="Debt",IF(AND(AT$4&gt;=$D84,AT$4&lt;$D84+'Incremental Repayments'!$I$31),-PMT('Interest Rate'!$J$16,'Incremental Repayments'!$I$31,(HLOOKUP($D84,$E$4:$CZ$32,28,FALSE)*'Incremental Repayments'!$I$22)),0),0)</f>
        <v>0</v>
      </c>
      <c r="AU84" s="477">
        <f>IF('Incremental Repayments'!$R$22="Debt",IF(AND(AU$4&gt;=$D84,AU$4&lt;$D84+'Incremental Repayments'!$I$31),-PMT('Interest Rate'!$J$16,'Incremental Repayments'!$I$31,(HLOOKUP($D84,$E$4:$CZ$32,28,FALSE)*'Incremental Repayments'!$I$22)),0),0)</f>
        <v>0</v>
      </c>
      <c r="AV84" s="477">
        <f>IF('Incremental Repayments'!$R$22="Debt",IF(AND(AV$4&gt;=$D84,AV$4&lt;$D84+'Incremental Repayments'!$I$31),-PMT('Interest Rate'!$J$16,'Incremental Repayments'!$I$31,(HLOOKUP($D84,$E$4:$CZ$32,28,FALSE)*'Incremental Repayments'!$I$22)),0),0)</f>
        <v>0</v>
      </c>
      <c r="AW84" s="477">
        <f>IF('Incremental Repayments'!$R$22="Debt",IF(AND(AW$4&gt;=$D84,AW$4&lt;$D84+'Incremental Repayments'!$I$31),-PMT('Interest Rate'!$J$16,'Incremental Repayments'!$I$31,(HLOOKUP($D84,$E$4:$CZ$32,28,FALSE)*'Incremental Repayments'!$I$22)),0),0)</f>
        <v>0</v>
      </c>
      <c r="AX84" s="477">
        <f>IF('Incremental Repayments'!$R$22="Debt",IF(AND(AX$4&gt;=$D84,AX$4&lt;$D84+'Incremental Repayments'!$I$31),-PMT('Interest Rate'!$J$16,'Incremental Repayments'!$I$31,(HLOOKUP($D84,$E$4:$CZ$32,28,FALSE)*'Incremental Repayments'!$I$22)),0),0)</f>
        <v>0</v>
      </c>
      <c r="AY84" s="477">
        <f>IF('Incremental Repayments'!$R$22="Debt",IF(AND(AY$4&gt;=$D84,AY$4&lt;$D84+'Incremental Repayments'!$I$31),-PMT('Interest Rate'!$J$16,'Incremental Repayments'!$I$31,(HLOOKUP($D84,$E$4:$CZ$32,28,FALSE)*'Incremental Repayments'!$I$22)),0),0)</f>
        <v>0</v>
      </c>
      <c r="AZ84" s="477">
        <f>IF('Incremental Repayments'!$R$22="Debt",IF(AND(AZ$4&gt;=$D84,AZ$4&lt;$D84+'Incremental Repayments'!$I$31),-PMT('Interest Rate'!$J$16,'Incremental Repayments'!$I$31,(HLOOKUP($D84,$E$4:$CZ$32,28,FALSE)*'Incremental Repayments'!$I$22)),0),0)</f>
        <v>0</v>
      </c>
      <c r="BA84" s="477">
        <f>IF('Incremental Repayments'!$R$22="Debt",IF(AND(BA$4&gt;=$D84,BA$4&lt;$D84+'Incremental Repayments'!$I$31),-PMT('Interest Rate'!$J$16,'Incremental Repayments'!$I$31,(HLOOKUP($D84,$E$4:$CZ$32,28,FALSE)*'Incremental Repayments'!$I$22)),0),0)</f>
        <v>0</v>
      </c>
      <c r="BB84" s="477">
        <f>IF('Incremental Repayments'!$R$22="Debt",IF(AND(BB$4&gt;=$D84,BB$4&lt;$D84+'Incremental Repayments'!$I$31),-PMT('Interest Rate'!$J$16,'Incremental Repayments'!$I$31,(HLOOKUP($D84,$E$4:$CZ$32,28,FALSE)*'Incremental Repayments'!$I$22)),0),0)</f>
        <v>0</v>
      </c>
      <c r="BC84" s="477">
        <f>IF('Incremental Repayments'!$R$22="Debt",IF(AND(BC$4&gt;=$D84,BC$4&lt;$D84+'Incremental Repayments'!$I$31),-PMT('Interest Rate'!$J$16,'Incremental Repayments'!$I$31,(HLOOKUP($D84,$E$4:$CZ$32,28,FALSE)*'Incremental Repayments'!$I$22)),0),0)</f>
        <v>0</v>
      </c>
      <c r="BD84" s="477">
        <f>IF('Incremental Repayments'!$R$22="Debt",IF(AND(BD$4&gt;=$D84,BD$4&lt;$D84+'Incremental Repayments'!$I$31),-PMT('Interest Rate'!$J$16,'Incremental Repayments'!$I$31,(HLOOKUP($D84,$E$4:$CZ$32,28,FALSE)*'Incremental Repayments'!$I$22)),0),0)</f>
        <v>0</v>
      </c>
      <c r="BE84" s="477">
        <f>IF('Incremental Repayments'!$R$22="Debt",IF(AND(BE$4&gt;=$D84,BE$4&lt;$D84+'Incremental Repayments'!$I$31),-PMT('Interest Rate'!$J$16,'Incremental Repayments'!$I$31,(HLOOKUP($D84,$E$4:$CZ$32,28,FALSE)*'Incremental Repayments'!$I$22)),0),0)</f>
        <v>0</v>
      </c>
      <c r="BF84" s="477">
        <f>IF('Incremental Repayments'!$R$22="Debt",IF(AND(BF$4&gt;=$D84,BF$4&lt;$D84+'Incremental Repayments'!$I$31),-PMT('Interest Rate'!$J$16,'Incremental Repayments'!$I$31,(HLOOKUP($D84,$E$4:$CZ$32,28,FALSE)*'Incremental Repayments'!$I$22)),0),0)</f>
        <v>0</v>
      </c>
      <c r="BG84" s="477">
        <f>IF('Incremental Repayments'!$R$22="Debt",IF(AND(BG$4&gt;=$D84,BG$4&lt;$D84+'Incremental Repayments'!$I$31),-PMT('Interest Rate'!$J$16,'Incremental Repayments'!$I$31,(HLOOKUP($D84,$E$4:$CZ$32,28,FALSE)*'Incremental Repayments'!$I$22)),0),0)</f>
        <v>0</v>
      </c>
      <c r="BH84" s="477">
        <f>IF('Incremental Repayments'!$R$22="Debt",IF(AND(BH$4&gt;=$D84,BH$4&lt;$D84+'Incremental Repayments'!$I$31),-PMT('Interest Rate'!$J$16,'Incremental Repayments'!$I$31,(HLOOKUP($D84,$E$4:$CZ$32,28,FALSE)*'Incremental Repayments'!$I$22)),0),0)</f>
        <v>0</v>
      </c>
      <c r="BI84" s="477">
        <f>IF('Incremental Repayments'!$R$22="Debt",IF(AND(BI$4&gt;=$D84,BI$4&lt;$D84+'Incremental Repayments'!$I$31),-PMT('Interest Rate'!$J$16,'Incremental Repayments'!$I$31,(HLOOKUP($D84,$E$4:$CZ$32,28,FALSE)*'Incremental Repayments'!$I$22)),0),0)</f>
        <v>0</v>
      </c>
      <c r="BJ84" s="477">
        <f>IF('Incremental Repayments'!$R$22="Debt",IF(AND(BJ$4&gt;=$D84,BJ$4&lt;$D84+'Incremental Repayments'!$I$31),-PMT('Interest Rate'!$J$16,'Incremental Repayments'!$I$31,(HLOOKUP($D84,$E$4:$CZ$32,28,FALSE)*'Incremental Repayments'!$I$22)),0),0)</f>
        <v>0</v>
      </c>
      <c r="BK84" s="477">
        <f>IF('Incremental Repayments'!$R$22="Debt",IF(AND(BK$4&gt;=$D84,BK$4&lt;$D84+'Incremental Repayments'!$I$31),-PMT('Interest Rate'!$J$16,'Incremental Repayments'!$I$31,(HLOOKUP($D84,$E$4:$CZ$32,28,FALSE)*'Incremental Repayments'!$I$22)),0),0)</f>
        <v>0</v>
      </c>
      <c r="BL84" s="477">
        <f>IF('Incremental Repayments'!$R$22="Debt",IF(AND(BL$4&gt;=$D84,BL$4&lt;$D84+'Incremental Repayments'!$I$31),-PMT('Interest Rate'!$J$16,'Incremental Repayments'!$I$31,(HLOOKUP($D84,$E$4:$CZ$32,28,FALSE)*'Incremental Repayments'!$I$22)),0),0)</f>
        <v>0</v>
      </c>
      <c r="BM84" s="477">
        <f>IF('Incremental Repayments'!$R$22="Debt",IF(AND(BM$4&gt;=$D84,BM$4&lt;$D84+'Incremental Repayments'!$I$31),-PMT('Interest Rate'!$J$16,'Incremental Repayments'!$I$31,(HLOOKUP($D84,$E$4:$CZ$32,28,FALSE)*'Incremental Repayments'!$I$22)),0),0)</f>
        <v>0</v>
      </c>
      <c r="BN84" s="477">
        <f>IF('Incremental Repayments'!$R$22="Debt",IF(AND(BN$4&gt;=$D84,BN$4&lt;$D84+'Incremental Repayments'!$I$31),-PMT('Interest Rate'!$J$16,'Incremental Repayments'!$I$31,(HLOOKUP($D84,$E$4:$CZ$32,28,FALSE)*'Incremental Repayments'!$I$22)),0),0)</f>
        <v>0</v>
      </c>
      <c r="BO84" s="477">
        <f>IF('Incremental Repayments'!$R$22="Debt",IF(AND(BO$4&gt;=$D84,BO$4&lt;$D84+'Incremental Repayments'!$I$31),-PMT('Interest Rate'!$J$16,'Incremental Repayments'!$I$31,(HLOOKUP($D84,$E$4:$CZ$32,28,FALSE)*'Incremental Repayments'!$I$22)),0),0)</f>
        <v>0</v>
      </c>
      <c r="BP84" s="477">
        <f>IF('Incremental Repayments'!$R$22="Debt",IF(AND(BP$4&gt;=$D84,BP$4&lt;$D84+'Incremental Repayments'!$I$31),-PMT('Interest Rate'!$J$16,'Incremental Repayments'!$I$31,(HLOOKUP($D84,$E$4:$CZ$32,28,FALSE)*'Incremental Repayments'!$I$22)),0),0)</f>
        <v>0</v>
      </c>
      <c r="BQ84" s="477">
        <f>IF('Incremental Repayments'!$R$22="Debt",IF(AND(BQ$4&gt;=$D84,BQ$4&lt;$D84+'Incremental Repayments'!$I$31),-PMT('Interest Rate'!$J$16,'Incremental Repayments'!$I$31,(HLOOKUP($D84,$E$4:$CZ$32,28,FALSE)*'Incremental Repayments'!$I$22)),0),0)</f>
        <v>0</v>
      </c>
      <c r="BR84" s="477">
        <f>IF('Incremental Repayments'!$R$22="Debt",IF(AND(BR$4&gt;=$D84,BR$4&lt;$D84+'Incremental Repayments'!$I$31),-PMT('Interest Rate'!$J$16,'Incremental Repayments'!$I$31,(HLOOKUP($D84,$E$4:$CZ$32,28,FALSE)*'Incremental Repayments'!$I$22)),0),0)</f>
        <v>0</v>
      </c>
      <c r="BS84" s="477">
        <f>IF('Incremental Repayments'!$R$22="Debt",IF(AND(BS$4&gt;=$D84,BS$4&lt;$D84+'Incremental Repayments'!$I$31),-PMT('Interest Rate'!$J$16,'Incremental Repayments'!$I$31,(HLOOKUP($D84,$E$4:$CZ$32,28,FALSE)*'Incremental Repayments'!$I$22)),0),0)</f>
        <v>0</v>
      </c>
      <c r="BT84" s="477">
        <f>IF('Incremental Repayments'!$R$22="Debt",IF(AND(BT$4&gt;=$D84,BT$4&lt;$D84+'Incremental Repayments'!$I$31),-PMT('Interest Rate'!$J$16,'Incremental Repayments'!$I$31,(HLOOKUP($D84,$E$4:$CZ$32,28,FALSE)*'Incremental Repayments'!$I$22)),0),0)</f>
        <v>0</v>
      </c>
      <c r="BU84" s="477">
        <f>IF('Incremental Repayments'!$R$22="Debt",IF(AND(BU$4&gt;=$D84,BU$4&lt;$D84+'Incremental Repayments'!$I$31),-PMT('Interest Rate'!$J$16,'Incremental Repayments'!$I$31,(HLOOKUP($D84,$E$4:$CZ$32,28,FALSE)*'Incremental Repayments'!$I$22)),0),0)</f>
        <v>0</v>
      </c>
      <c r="BV84" s="477">
        <f>IF('Incremental Repayments'!$R$22="Debt",IF(AND(BV$4&gt;=$D84,BV$4&lt;$D84+'Incremental Repayments'!$I$31),-PMT('Interest Rate'!$J$16,'Incremental Repayments'!$I$31,(HLOOKUP($D84,$E$4:$CZ$32,28,FALSE)*'Incremental Repayments'!$I$22)),0),0)</f>
        <v>0</v>
      </c>
      <c r="BW84" s="477">
        <f>IF('Incremental Repayments'!$R$22="Debt",IF(AND(BW$4&gt;=$D84,BW$4&lt;$D84+'Incremental Repayments'!$I$31),-PMT('Interest Rate'!$J$16,'Incremental Repayments'!$I$31,(HLOOKUP($D84,$E$4:$CZ$32,28,FALSE)*'Incremental Repayments'!$I$22)),0),0)</f>
        <v>0</v>
      </c>
      <c r="BX84" s="477">
        <f>IF('Incremental Repayments'!$R$22="Debt",IF(AND(BX$4&gt;=$D84,BX$4&lt;$D84+'Incremental Repayments'!$I$31),-PMT('Interest Rate'!$J$16,'Incremental Repayments'!$I$31,(HLOOKUP($D84,$E$4:$CZ$32,28,FALSE)*'Incremental Repayments'!$I$22)),0),0)</f>
        <v>0</v>
      </c>
      <c r="BY84" s="477">
        <f>IF('Incremental Repayments'!$R$22="Debt",IF(AND(BY$4&gt;=$D84,BY$4&lt;$D84+'Incremental Repayments'!$I$31),-PMT('Interest Rate'!$J$16,'Incremental Repayments'!$I$31,(HLOOKUP($D84,$E$4:$CZ$32,28,FALSE)*'Incremental Repayments'!$I$22)),0),0)</f>
        <v>0</v>
      </c>
      <c r="BZ84" s="477">
        <f>IF('Incremental Repayments'!$R$22="Debt",IF(AND(BZ$4&gt;=$D84,BZ$4&lt;$D84+'Incremental Repayments'!$I$31),-PMT('Interest Rate'!$J$16,'Incremental Repayments'!$I$31,(HLOOKUP($D84,$E$4:$CZ$32,28,FALSE)*'Incremental Repayments'!$I$22)),0),0)</f>
        <v>0</v>
      </c>
      <c r="CA84" s="477">
        <f>IF('Incremental Repayments'!$R$22="Debt",IF(AND(CA$4&gt;=$D84,CA$4&lt;$D84+'Incremental Repayments'!$I$31),-PMT('Interest Rate'!$J$16,'Incremental Repayments'!$I$31,(HLOOKUP($D84,$E$4:$CZ$32,28,FALSE)*'Incremental Repayments'!$I$22)),0),0)</f>
        <v>0</v>
      </c>
      <c r="CB84" s="477">
        <f>IF('Incremental Repayments'!$R$22="Debt",IF(AND(CB$4&gt;=$D84,CB$4&lt;$D84+'Incremental Repayments'!$I$31),-PMT('Interest Rate'!$J$16,'Incremental Repayments'!$I$31,(HLOOKUP($D84,$E$4:$CZ$32,28,FALSE)*'Incremental Repayments'!$I$22)),0),0)</f>
        <v>0</v>
      </c>
      <c r="CC84" s="477">
        <f>IF('Incremental Repayments'!$R$22="Debt",IF(AND(CC$4&gt;=$D84,CC$4&lt;$D84+'Incremental Repayments'!$I$31),-PMT('Interest Rate'!$J$16,'Incremental Repayments'!$I$31,(HLOOKUP($D84,$E$4:$CZ$32,28,FALSE)*'Incremental Repayments'!$I$22)),0),0)</f>
        <v>0</v>
      </c>
      <c r="CD84" s="477">
        <f>IF('Incremental Repayments'!$R$22="Debt",IF(AND(CD$4&gt;=$D84,CD$4&lt;$D84+'Incremental Repayments'!$I$31),-PMT('Interest Rate'!$J$16,'Incremental Repayments'!$I$31,(HLOOKUP($D84,$E$4:$CZ$32,28,FALSE)*'Incremental Repayments'!$I$22)),0),0)</f>
        <v>0</v>
      </c>
      <c r="CE84" s="477">
        <f>IF('Incremental Repayments'!$R$22="Debt",IF(AND(CE$4&gt;=$D84,CE$4&lt;$D84+'Incremental Repayments'!$I$31),-PMT('Interest Rate'!$J$16,'Incremental Repayments'!$I$31,(HLOOKUP($D84,$E$4:$CZ$32,28,FALSE)*'Incremental Repayments'!$I$22)),0),0)</f>
        <v>0</v>
      </c>
      <c r="CF84" s="477">
        <f>IF('Incremental Repayments'!$R$22="Debt",IF(AND(CF$4&gt;=$D84,CF$4&lt;$D84+'Incremental Repayments'!$I$31),-PMT('Interest Rate'!$J$16,'Incremental Repayments'!$I$31,(HLOOKUP($D84,$E$4:$CZ$32,28,FALSE)*'Incremental Repayments'!$I$22)),0),0)</f>
        <v>0</v>
      </c>
      <c r="CG84" s="477">
        <f>IF('Incremental Repayments'!$R$22="Debt",IF(AND(CG$4&gt;=$D84,CG$4&lt;$D84+'Incremental Repayments'!$I$31),-PMT('Interest Rate'!$J$16,'Incremental Repayments'!$I$31,(HLOOKUP($D84,$E$4:$CZ$32,28,FALSE)*'Incremental Repayments'!$I$22)),0),0)</f>
        <v>0</v>
      </c>
      <c r="CH84" s="477">
        <f>IF('Incremental Repayments'!$R$22="Debt",IF(AND(CH$4&gt;=$D84,CH$4&lt;$D84+'Incremental Repayments'!$I$31),-PMT('Interest Rate'!$J$16,'Incremental Repayments'!$I$31,(HLOOKUP($D84,$E$4:$CZ$32,28,FALSE)*'Incremental Repayments'!$I$22)),0),0)</f>
        <v>0</v>
      </c>
      <c r="CI84" s="477">
        <f>IF('Incremental Repayments'!$R$22="Debt",IF(AND(CI$4&gt;=$D84,CI$4&lt;$D84+'Incremental Repayments'!$I$31),-PMT('Interest Rate'!$J$16,'Incremental Repayments'!$I$31,(HLOOKUP($D84,$E$4:$CZ$32,28,FALSE)*'Incremental Repayments'!$I$22)),0),0)</f>
        <v>0</v>
      </c>
      <c r="CJ84" s="477">
        <f>IF('Incremental Repayments'!$R$22="Debt",IF(AND(CJ$4&gt;=$D84,CJ$4&lt;$D84+'Incremental Repayments'!$I$31),-PMT('Interest Rate'!$J$16,'Incremental Repayments'!$I$31,(HLOOKUP($D84,$E$4:$CZ$32,28,FALSE)*'Incremental Repayments'!$I$22)),0),0)</f>
        <v>0</v>
      </c>
      <c r="CK84" s="477">
        <f>IF('Incremental Repayments'!$R$22="Debt",IF(AND(CK$4&gt;=$D84,CK$4&lt;$D84+'Incremental Repayments'!$I$31),-PMT('Interest Rate'!$J$16,'Incremental Repayments'!$I$31,(HLOOKUP($D84,$E$4:$CZ$32,28,FALSE)*'Incremental Repayments'!$I$22)),0),0)</f>
        <v>0</v>
      </c>
      <c r="CL84" s="477">
        <f>IF('Incremental Repayments'!$R$22="Debt",IF(AND(CL$4&gt;=$D84,CL$4&lt;$D84+'Incremental Repayments'!$I$31),-PMT('Interest Rate'!$J$16,'Incremental Repayments'!$I$31,(HLOOKUP($D84,$E$4:$CZ$32,28,FALSE)*'Incremental Repayments'!$I$22)),0),0)</f>
        <v>0</v>
      </c>
      <c r="CM84" s="477">
        <f>IF('Incremental Repayments'!$R$22="Debt",IF(AND(CM$4&gt;=$D84,CM$4&lt;$D84+'Incremental Repayments'!$I$31),-PMT('Interest Rate'!$J$16,'Incremental Repayments'!$I$31,(HLOOKUP($D84,$E$4:$CZ$32,28,FALSE)*'Incremental Repayments'!$I$22)),0),0)</f>
        <v>0</v>
      </c>
      <c r="CN84" s="477">
        <f>IF('Incremental Repayments'!$R$22="Debt",IF(AND(CN$4&gt;=$D84,CN$4&lt;$D84+'Incremental Repayments'!$I$31),-PMT('Interest Rate'!$J$16,'Incremental Repayments'!$I$31,(HLOOKUP($D84,$E$4:$CZ$32,28,FALSE)*'Incremental Repayments'!$I$22)),0),0)</f>
        <v>0</v>
      </c>
      <c r="CO84" s="477">
        <f>IF('Incremental Repayments'!$R$22="Debt",IF(AND(CO$4&gt;=$D84,CO$4&lt;$D84+'Incremental Repayments'!$I$31),-PMT('Interest Rate'!$J$16,'Incremental Repayments'!$I$31,(HLOOKUP($D84,$E$4:$CZ$32,28,FALSE)*'Incremental Repayments'!$I$22)),0),0)</f>
        <v>0</v>
      </c>
      <c r="CP84" s="477">
        <f>IF('Incremental Repayments'!$R$22="Debt",IF(AND(CP$4&gt;=$D84,CP$4&lt;$D84+'Incremental Repayments'!$I$31),-PMT('Interest Rate'!$J$16,'Incremental Repayments'!$I$31,(HLOOKUP($D84,$E$4:$CZ$32,28,FALSE)*'Incremental Repayments'!$I$22)),0),0)</f>
        <v>0</v>
      </c>
      <c r="CQ84" s="477">
        <f>IF('Incremental Repayments'!$R$22="Debt",IF(AND(CQ$4&gt;=$D84,CQ$4&lt;$D84+'Incremental Repayments'!$I$31),-PMT('Interest Rate'!$J$16,'Incremental Repayments'!$I$31,(HLOOKUP($D84,$E$4:$CZ$32,28,FALSE)*'Incremental Repayments'!$I$22)),0),0)</f>
        <v>0</v>
      </c>
      <c r="CR84" s="477">
        <f>IF('Incremental Repayments'!$R$22="Debt",IF(AND(CR$4&gt;=$D84,CR$4&lt;$D84+'Incremental Repayments'!$I$31),-PMT('Interest Rate'!$J$16,'Incremental Repayments'!$I$31,(HLOOKUP($D84,$E$4:$CZ$32,28,FALSE)*'Incremental Repayments'!$I$22)),0),0)</f>
        <v>0</v>
      </c>
      <c r="CS84" s="477">
        <f>IF('Incremental Repayments'!$R$22="Debt",IF(AND(CS$4&gt;=$D84,CS$4&lt;$D84+'Incremental Repayments'!$I$31),-PMT('Interest Rate'!$J$16,'Incremental Repayments'!$I$31,(HLOOKUP($D84,$E$4:$CZ$32,28,FALSE)*'Incremental Repayments'!$I$22)),0),0)</f>
        <v>0</v>
      </c>
      <c r="CT84" s="477">
        <f>IF('Incremental Repayments'!$R$22="Debt",IF(AND(CT$4&gt;=$D84,CT$4&lt;$D84+'Incremental Repayments'!$I$31),-PMT('Interest Rate'!$J$16,'Incremental Repayments'!$I$31,(HLOOKUP($D84,$E$4:$CZ$32,28,FALSE)*'Incremental Repayments'!$I$22)),0),0)</f>
        <v>0</v>
      </c>
      <c r="CU84" s="477">
        <f>IF('Incremental Repayments'!$R$22="Debt",IF(AND(CU$4&gt;=$D84,CU$4&lt;$D84+'Incremental Repayments'!$I$31),-PMT('Interest Rate'!$J$16,'Incremental Repayments'!$I$31,(HLOOKUP($D84,$E$4:$CZ$32,28,FALSE)*'Incremental Repayments'!$I$22)),0),0)</f>
        <v>0</v>
      </c>
      <c r="CV84" s="477">
        <f>IF('Incremental Repayments'!$R$22="Debt",IF(AND(CV$4&gt;=$D84,CV$4&lt;$D84+'Incremental Repayments'!$I$31),-PMT('Interest Rate'!$J$16,'Incremental Repayments'!$I$31,(HLOOKUP($D84,$E$4:$CZ$32,28,FALSE)*'Incremental Repayments'!$I$22)),0),0)</f>
        <v>0</v>
      </c>
      <c r="CW84" s="477">
        <f>IF('Incremental Repayments'!$R$22="Debt",IF(AND(CW$4&gt;=$D84,CW$4&lt;$D84+'Incremental Repayments'!$I$31),-PMT('Interest Rate'!$J$16,'Incremental Repayments'!$I$31,(HLOOKUP($D84,$E$4:$CZ$32,28,FALSE)*'Incremental Repayments'!$I$22)),0),0)</f>
        <v>0</v>
      </c>
      <c r="CX84" s="477">
        <f>IF('Incremental Repayments'!$R$22="Debt",IF(AND(CX$4&gt;=$D84,CX$4&lt;$D84+'Incremental Repayments'!$I$31),-PMT('Interest Rate'!$J$16,'Incremental Repayments'!$I$31,(HLOOKUP($D84,$E$4:$CZ$32,28,FALSE)*'Incremental Repayments'!$I$22)),0),0)</f>
        <v>0</v>
      </c>
      <c r="CY84" s="477">
        <f>IF('Incremental Repayments'!$R$22="Debt",IF(AND(CY$4&gt;=$D84,CY$4&lt;$D84+'Incremental Repayments'!$I$31),-PMT('Interest Rate'!$J$16,'Incremental Repayments'!$I$31,(HLOOKUP($D84,$E$4:$CZ$32,28,FALSE)*'Incremental Repayments'!$I$22)),0),0)</f>
        <v>0</v>
      </c>
      <c r="CZ84" s="477">
        <f>IF('Incremental Repayments'!$R$22="Debt",IF(AND(CZ$4&gt;=$D84,CZ$4&lt;$D84+'Incremental Repayments'!$I$31),-PMT('Interest Rate'!$J$16,'Incremental Repayments'!$I$31,(HLOOKUP($D84,$E$4:$CZ$32,28,FALSE)*'Incremental Repayments'!$I$22)),0),0)</f>
        <v>0</v>
      </c>
    </row>
    <row r="85" spans="2:104" x14ac:dyDescent="0.25">
      <c r="B85" s="480" t="str">
        <f>CONCATENATE("Series ",D85,"A Bonds (at ",'Interest Rate'!$J$16*100,"% Interest)")</f>
        <v>Series 2063A Bonds (at 4.5% Interest)</v>
      </c>
      <c r="C85" s="480"/>
      <c r="D85" s="492">
        <f t="shared" si="494"/>
        <v>2063</v>
      </c>
      <c r="E85" s="477">
        <f>IF('Incremental Repayments'!$R$22="Debt",IF(AND(E$4&gt;=$D85,E$4&lt;$D85+'Incremental Repayments'!$I$31),-PMT('Interest Rate'!$J$16,'Incremental Repayments'!$I$31,(HLOOKUP($D85,$E$4:$CZ$32,28,FALSE)*'Incremental Repayments'!$I$22)),0),0)</f>
        <v>0</v>
      </c>
      <c r="F85" s="477">
        <f>IF('Incremental Repayments'!$R$22="Debt",IF(AND(F$4&gt;=$D85,F$4&lt;$D85+'Incremental Repayments'!$I$31),-PMT('Interest Rate'!$J$16,'Incremental Repayments'!$I$31,(HLOOKUP($D85,$E$4:$CZ$32,28,FALSE)*'Incremental Repayments'!$I$22)),0),0)</f>
        <v>0</v>
      </c>
      <c r="G85" s="477">
        <f>IF('Incremental Repayments'!$R$22="Debt",IF(AND(G$4&gt;=$D85,G$4&lt;$D85+'Incremental Repayments'!$I$31),-PMT('Interest Rate'!$J$16,'Incremental Repayments'!$I$31,(HLOOKUP($D85,$E$4:$CZ$32,28,FALSE)*'Incremental Repayments'!$I$22)),0),0)</f>
        <v>0</v>
      </c>
      <c r="H85" s="477">
        <f>IF('Incremental Repayments'!$R$22="Debt",IF(AND(H$4&gt;=$D85,H$4&lt;$D85+'Incremental Repayments'!$I$31),-PMT('Interest Rate'!$J$16,'Incremental Repayments'!$I$31,(HLOOKUP($D85,$E$4:$CZ$32,28,FALSE)*'Incremental Repayments'!$I$22)),0),0)</f>
        <v>0</v>
      </c>
      <c r="I85" s="477">
        <f>IF('Incremental Repayments'!$R$22="Debt",IF(AND(I$4&gt;=$D85,I$4&lt;$D85+'Incremental Repayments'!$I$31),-PMT('Interest Rate'!$J$16,'Incremental Repayments'!$I$31,(HLOOKUP($D85,$E$4:$CZ$32,28,FALSE)*'Incremental Repayments'!$I$22)),0),0)</f>
        <v>0</v>
      </c>
      <c r="J85" s="477">
        <f>IF('Incremental Repayments'!$R$22="Debt",IF(AND(J$4&gt;=$D85,J$4&lt;$D85+'Incremental Repayments'!$I$31),-PMT('Interest Rate'!$J$16,'Incremental Repayments'!$I$31,(HLOOKUP($D85,$E$4:$CZ$32,28,FALSE)*'Incremental Repayments'!$I$22)),0),0)</f>
        <v>0</v>
      </c>
      <c r="K85" s="477">
        <f>IF('Incremental Repayments'!$R$22="Debt",IF(AND(K$4&gt;=$D85,K$4&lt;$D85+'Incremental Repayments'!$I$31),-PMT('Interest Rate'!$J$16,'Incremental Repayments'!$I$31,(HLOOKUP($D85,$E$4:$CZ$32,28,FALSE)*'Incremental Repayments'!$I$22)),0),0)</f>
        <v>0</v>
      </c>
      <c r="L85" s="477">
        <f>IF('Incremental Repayments'!$R$22="Debt",IF(AND(L$4&gt;=$D85,L$4&lt;$D85+'Incremental Repayments'!$I$31),-PMT('Interest Rate'!$J$16,'Incremental Repayments'!$I$31,(HLOOKUP($D85,$E$4:$CZ$32,28,FALSE)*'Incremental Repayments'!$I$22)),0),0)</f>
        <v>0</v>
      </c>
      <c r="M85" s="477">
        <f>IF('Incremental Repayments'!$R$22="Debt",IF(AND(M$4&gt;=$D85,M$4&lt;$D85+'Incremental Repayments'!$I$31),-PMT('Interest Rate'!$J$16,'Incremental Repayments'!$I$31,(HLOOKUP($D85,$E$4:$CZ$32,28,FALSE)*'Incremental Repayments'!$I$22)),0),0)</f>
        <v>0</v>
      </c>
      <c r="N85" s="477">
        <f>IF('Incremental Repayments'!$R$22="Debt",IF(AND(N$4&gt;=$D85,N$4&lt;$D85+'Incremental Repayments'!$I$31),-PMT('Interest Rate'!$J$16,'Incremental Repayments'!$I$31,(HLOOKUP($D85,$E$4:$CZ$32,28,FALSE)*'Incremental Repayments'!$I$22)),0),0)</f>
        <v>0</v>
      </c>
      <c r="O85" s="477">
        <f>IF('Incremental Repayments'!$R$22="Debt",IF(AND(O$4&gt;=$D85,O$4&lt;$D85+'Incremental Repayments'!$I$31),-PMT('Interest Rate'!$J$16,'Incremental Repayments'!$I$31,(HLOOKUP($D85,$E$4:$CZ$32,28,FALSE)*'Incremental Repayments'!$I$22)),0),0)</f>
        <v>0</v>
      </c>
      <c r="P85" s="477">
        <f>IF('Incremental Repayments'!$R$22="Debt",IF(AND(P$4&gt;=$D85,P$4&lt;$D85+'Incremental Repayments'!$I$31),-PMT('Interest Rate'!$J$16,'Incremental Repayments'!$I$31,(HLOOKUP($D85,$E$4:$CZ$32,28,FALSE)*'Incremental Repayments'!$I$22)),0),0)</f>
        <v>0</v>
      </c>
      <c r="Q85" s="477">
        <f>IF('Incremental Repayments'!$R$22="Debt",IF(AND(Q$4&gt;=$D85,Q$4&lt;$D85+'Incremental Repayments'!$I$31),-PMT('Interest Rate'!$J$16,'Incremental Repayments'!$I$31,(HLOOKUP($D85,$E$4:$CZ$32,28,FALSE)*'Incremental Repayments'!$I$22)),0),0)</f>
        <v>0</v>
      </c>
      <c r="R85" s="477">
        <f>IF('Incremental Repayments'!$R$22="Debt",IF(AND(R$4&gt;=$D85,R$4&lt;$D85+'Incremental Repayments'!$I$31),-PMT('Interest Rate'!$J$16,'Incremental Repayments'!$I$31,(HLOOKUP($D85,$E$4:$CZ$32,28,FALSE)*'Incremental Repayments'!$I$22)),0),0)</f>
        <v>0</v>
      </c>
      <c r="S85" s="477">
        <f>IF('Incremental Repayments'!$R$22="Debt",IF(AND(S$4&gt;=$D85,S$4&lt;$D85+'Incremental Repayments'!$I$31),-PMT('Interest Rate'!$J$16,'Incremental Repayments'!$I$31,(HLOOKUP($D85,$E$4:$CZ$32,28,FALSE)*'Incremental Repayments'!$I$22)),0),0)</f>
        <v>0</v>
      </c>
      <c r="T85" s="477">
        <f>IF('Incremental Repayments'!$R$22="Debt",IF(AND(T$4&gt;=$D85,T$4&lt;$D85+'Incremental Repayments'!$I$31),-PMT('Interest Rate'!$J$16,'Incremental Repayments'!$I$31,(HLOOKUP($D85,$E$4:$CZ$32,28,FALSE)*'Incremental Repayments'!$I$22)),0),0)</f>
        <v>0</v>
      </c>
      <c r="U85" s="477">
        <f>IF('Incremental Repayments'!$R$22="Debt",IF(AND(U$4&gt;=$D85,U$4&lt;$D85+'Incremental Repayments'!$I$31),-PMT('Interest Rate'!$J$16,'Incremental Repayments'!$I$31,(HLOOKUP($D85,$E$4:$CZ$32,28,FALSE)*'Incremental Repayments'!$I$22)),0),0)</f>
        <v>0</v>
      </c>
      <c r="V85" s="477">
        <f>IF('Incremental Repayments'!$R$22="Debt",IF(AND(V$4&gt;=$D85,V$4&lt;$D85+'Incremental Repayments'!$I$31),-PMT('Interest Rate'!$J$16,'Incremental Repayments'!$I$31,(HLOOKUP($D85,$E$4:$CZ$32,28,FALSE)*'Incremental Repayments'!$I$22)),0),0)</f>
        <v>0</v>
      </c>
      <c r="W85" s="477">
        <f>IF('Incremental Repayments'!$R$22="Debt",IF(AND(W$4&gt;=$D85,W$4&lt;$D85+'Incremental Repayments'!$I$31),-PMT('Interest Rate'!$J$16,'Incremental Repayments'!$I$31,(HLOOKUP($D85,$E$4:$CZ$32,28,FALSE)*'Incremental Repayments'!$I$22)),0),0)</f>
        <v>0</v>
      </c>
      <c r="X85" s="477">
        <f>IF('Incremental Repayments'!$R$22="Debt",IF(AND(X$4&gt;=$D85,X$4&lt;$D85+'Incremental Repayments'!$I$31),-PMT('Interest Rate'!$J$16,'Incremental Repayments'!$I$31,(HLOOKUP($D85,$E$4:$CZ$32,28,FALSE)*'Incremental Repayments'!$I$22)),0),0)</f>
        <v>0</v>
      </c>
      <c r="Y85" s="477">
        <f>IF('Incremental Repayments'!$R$22="Debt",IF(AND(Y$4&gt;=$D85,Y$4&lt;$D85+'Incremental Repayments'!$I$31),-PMT('Interest Rate'!$J$16,'Incremental Repayments'!$I$31,(HLOOKUP($D85,$E$4:$CZ$32,28,FALSE)*'Incremental Repayments'!$I$22)),0),0)</f>
        <v>0</v>
      </c>
      <c r="Z85" s="477">
        <f>IF('Incremental Repayments'!$R$22="Debt",IF(AND(Z$4&gt;=$D85,Z$4&lt;$D85+'Incremental Repayments'!$I$31),-PMT('Interest Rate'!$J$16,'Incremental Repayments'!$I$31,(HLOOKUP($D85,$E$4:$CZ$32,28,FALSE)*'Incremental Repayments'!$I$22)),0),0)</f>
        <v>0</v>
      </c>
      <c r="AA85" s="477">
        <f>IF('Incremental Repayments'!$R$22="Debt",IF(AND(AA$4&gt;=$D85,AA$4&lt;$D85+'Incremental Repayments'!$I$31),-PMT('Interest Rate'!$J$16,'Incremental Repayments'!$I$31,(HLOOKUP($D85,$E$4:$CZ$32,28,FALSE)*'Incremental Repayments'!$I$22)),0),0)</f>
        <v>0</v>
      </c>
      <c r="AB85" s="477">
        <f>IF('Incremental Repayments'!$R$22="Debt",IF(AND(AB$4&gt;=$D85,AB$4&lt;$D85+'Incremental Repayments'!$I$31),-PMT('Interest Rate'!$J$16,'Incremental Repayments'!$I$31,(HLOOKUP($D85,$E$4:$CZ$32,28,FALSE)*'Incremental Repayments'!$I$22)),0),0)</f>
        <v>0</v>
      </c>
      <c r="AC85" s="477">
        <f>IF('Incremental Repayments'!$R$22="Debt",IF(AND(AC$4&gt;=$D85,AC$4&lt;$D85+'Incremental Repayments'!$I$31),-PMT('Interest Rate'!$J$16,'Incremental Repayments'!$I$31,(HLOOKUP($D85,$E$4:$CZ$32,28,FALSE)*'Incremental Repayments'!$I$22)),0),0)</f>
        <v>0</v>
      </c>
      <c r="AD85" s="477">
        <f>IF('Incremental Repayments'!$R$22="Debt",IF(AND(AD$4&gt;=$D85,AD$4&lt;$D85+'Incremental Repayments'!$I$31),-PMT('Interest Rate'!$J$16,'Incremental Repayments'!$I$31,(HLOOKUP($D85,$E$4:$CZ$32,28,FALSE)*'Incremental Repayments'!$I$22)),0),0)</f>
        <v>0</v>
      </c>
      <c r="AE85" s="477">
        <f>IF('Incremental Repayments'!$R$22="Debt",IF(AND(AE$4&gt;=$D85,AE$4&lt;$D85+'Incremental Repayments'!$I$31),-PMT('Interest Rate'!$J$16,'Incremental Repayments'!$I$31,(HLOOKUP($D85,$E$4:$CZ$32,28,FALSE)*'Incremental Repayments'!$I$22)),0),0)</f>
        <v>0</v>
      </c>
      <c r="AF85" s="477">
        <f>IF('Incremental Repayments'!$R$22="Debt",IF(AND(AF$4&gt;=$D85,AF$4&lt;$D85+'Incremental Repayments'!$I$31),-PMT('Interest Rate'!$J$16,'Incremental Repayments'!$I$31,(HLOOKUP($D85,$E$4:$CZ$32,28,FALSE)*'Incremental Repayments'!$I$22)),0),0)</f>
        <v>0</v>
      </c>
      <c r="AG85" s="477">
        <f>IF('Incremental Repayments'!$R$22="Debt",IF(AND(AG$4&gt;=$D85,AG$4&lt;$D85+'Incremental Repayments'!$I$31),-PMT('Interest Rate'!$J$16,'Incremental Repayments'!$I$31,(HLOOKUP($D85,$E$4:$CZ$32,28,FALSE)*'Incremental Repayments'!$I$22)),0),0)</f>
        <v>0</v>
      </c>
      <c r="AH85" s="477">
        <f>IF('Incremental Repayments'!$R$22="Debt",IF(AND(AH$4&gt;=$D85,AH$4&lt;$D85+'Incremental Repayments'!$I$31),-PMT('Interest Rate'!$J$16,'Incremental Repayments'!$I$31,(HLOOKUP($D85,$E$4:$CZ$32,28,FALSE)*'Incremental Repayments'!$I$22)),0),0)</f>
        <v>0</v>
      </c>
      <c r="AI85" s="477">
        <f>IF('Incremental Repayments'!$R$22="Debt",IF(AND(AI$4&gt;=$D85,AI$4&lt;$D85+'Incremental Repayments'!$I$31),-PMT('Interest Rate'!$J$16,'Incremental Repayments'!$I$31,(HLOOKUP($D85,$E$4:$CZ$32,28,FALSE)*'Incremental Repayments'!$I$22)),0),0)</f>
        <v>0</v>
      </c>
      <c r="AJ85" s="477">
        <f>IF('Incremental Repayments'!$R$22="Debt",IF(AND(AJ$4&gt;=$D85,AJ$4&lt;$D85+'Incremental Repayments'!$I$31),-PMT('Interest Rate'!$J$16,'Incremental Repayments'!$I$31,(HLOOKUP($D85,$E$4:$CZ$32,28,FALSE)*'Incremental Repayments'!$I$22)),0),0)</f>
        <v>0</v>
      </c>
      <c r="AK85" s="477">
        <f>IF('Incremental Repayments'!$R$22="Debt",IF(AND(AK$4&gt;=$D85,AK$4&lt;$D85+'Incremental Repayments'!$I$31),-PMT('Interest Rate'!$J$16,'Incremental Repayments'!$I$31,(HLOOKUP($D85,$E$4:$CZ$32,28,FALSE)*'Incremental Repayments'!$I$22)),0),0)</f>
        <v>0</v>
      </c>
      <c r="AL85" s="477">
        <f>IF('Incremental Repayments'!$R$22="Debt",IF(AND(AL$4&gt;=$D85,AL$4&lt;$D85+'Incremental Repayments'!$I$31),-PMT('Interest Rate'!$J$16,'Incremental Repayments'!$I$31,(HLOOKUP($D85,$E$4:$CZ$32,28,FALSE)*'Incremental Repayments'!$I$22)),0),0)</f>
        <v>0</v>
      </c>
      <c r="AM85" s="477">
        <f>IF('Incremental Repayments'!$R$22="Debt",IF(AND(AM$4&gt;=$D85,AM$4&lt;$D85+'Incremental Repayments'!$I$31),-PMT('Interest Rate'!$J$16,'Incremental Repayments'!$I$31,(HLOOKUP($D85,$E$4:$CZ$32,28,FALSE)*'Incremental Repayments'!$I$22)),0),0)</f>
        <v>0</v>
      </c>
      <c r="AN85" s="477">
        <f>IF('Incremental Repayments'!$R$22="Debt",IF(AND(AN$4&gt;=$D85,AN$4&lt;$D85+'Incremental Repayments'!$I$31),-PMT('Interest Rate'!$J$16,'Incremental Repayments'!$I$31,(HLOOKUP($D85,$E$4:$CZ$32,28,FALSE)*'Incremental Repayments'!$I$22)),0),0)</f>
        <v>0</v>
      </c>
      <c r="AO85" s="477">
        <f>IF('Incremental Repayments'!$R$22="Debt",IF(AND(AO$4&gt;=$D85,AO$4&lt;$D85+'Incremental Repayments'!$I$31),-PMT('Interest Rate'!$J$16,'Incremental Repayments'!$I$31,(HLOOKUP($D85,$E$4:$CZ$32,28,FALSE)*'Incremental Repayments'!$I$22)),0),0)</f>
        <v>0</v>
      </c>
      <c r="AP85" s="477">
        <f>IF('Incremental Repayments'!$R$22="Debt",IF(AND(AP$4&gt;=$D85,AP$4&lt;$D85+'Incremental Repayments'!$I$31),-PMT('Interest Rate'!$J$16,'Incremental Repayments'!$I$31,(HLOOKUP($D85,$E$4:$CZ$32,28,FALSE)*'Incremental Repayments'!$I$22)),0),0)</f>
        <v>0</v>
      </c>
      <c r="AQ85" s="477">
        <f>IF('Incremental Repayments'!$R$22="Debt",IF(AND(AQ$4&gt;=$D85,AQ$4&lt;$D85+'Incremental Repayments'!$I$31),-PMT('Interest Rate'!$J$16,'Incremental Repayments'!$I$31,(HLOOKUP($D85,$E$4:$CZ$32,28,FALSE)*'Incremental Repayments'!$I$22)),0),0)</f>
        <v>0</v>
      </c>
      <c r="AR85" s="477">
        <f>IF('Incremental Repayments'!$R$22="Debt",IF(AND(AR$4&gt;=$D85,AR$4&lt;$D85+'Incremental Repayments'!$I$31),-PMT('Interest Rate'!$J$16,'Incremental Repayments'!$I$31,(HLOOKUP($D85,$E$4:$CZ$32,28,FALSE)*'Incremental Repayments'!$I$22)),0),0)</f>
        <v>0</v>
      </c>
      <c r="AS85" s="477">
        <f>IF('Incremental Repayments'!$R$22="Debt",IF(AND(AS$4&gt;=$D85,AS$4&lt;$D85+'Incremental Repayments'!$I$31),-PMT('Interest Rate'!$J$16,'Incremental Repayments'!$I$31,(HLOOKUP($D85,$E$4:$CZ$32,28,FALSE)*'Incremental Repayments'!$I$22)),0),0)</f>
        <v>0</v>
      </c>
      <c r="AT85" s="477">
        <f>IF('Incremental Repayments'!$R$22="Debt",IF(AND(AT$4&gt;=$D85,AT$4&lt;$D85+'Incremental Repayments'!$I$31),-PMT('Interest Rate'!$J$16,'Incremental Repayments'!$I$31,(HLOOKUP($D85,$E$4:$CZ$32,28,FALSE)*'Incremental Repayments'!$I$22)),0),0)</f>
        <v>0</v>
      </c>
      <c r="AU85" s="477">
        <f>IF('Incremental Repayments'!$R$22="Debt",IF(AND(AU$4&gt;=$D85,AU$4&lt;$D85+'Incremental Repayments'!$I$31),-PMT('Interest Rate'!$J$16,'Incremental Repayments'!$I$31,(HLOOKUP($D85,$E$4:$CZ$32,28,FALSE)*'Incremental Repayments'!$I$22)),0),0)</f>
        <v>0</v>
      </c>
      <c r="AV85" s="477">
        <f>IF('Incremental Repayments'!$R$22="Debt",IF(AND(AV$4&gt;=$D85,AV$4&lt;$D85+'Incremental Repayments'!$I$31),-PMT('Interest Rate'!$J$16,'Incremental Repayments'!$I$31,(HLOOKUP($D85,$E$4:$CZ$32,28,FALSE)*'Incremental Repayments'!$I$22)),0),0)</f>
        <v>0</v>
      </c>
      <c r="AW85" s="477">
        <f>IF('Incremental Repayments'!$R$22="Debt",IF(AND(AW$4&gt;=$D85,AW$4&lt;$D85+'Incremental Repayments'!$I$31),-PMT('Interest Rate'!$J$16,'Incremental Repayments'!$I$31,(HLOOKUP($D85,$E$4:$CZ$32,28,FALSE)*'Incremental Repayments'!$I$22)),0),0)</f>
        <v>0</v>
      </c>
      <c r="AX85" s="477">
        <f>IF('Incremental Repayments'!$R$22="Debt",IF(AND(AX$4&gt;=$D85,AX$4&lt;$D85+'Incremental Repayments'!$I$31),-PMT('Interest Rate'!$J$16,'Incremental Repayments'!$I$31,(HLOOKUP($D85,$E$4:$CZ$32,28,FALSE)*'Incremental Repayments'!$I$22)),0),0)</f>
        <v>0</v>
      </c>
      <c r="AY85" s="477">
        <f>IF('Incremental Repayments'!$R$22="Debt",IF(AND(AY$4&gt;=$D85,AY$4&lt;$D85+'Incremental Repayments'!$I$31),-PMT('Interest Rate'!$J$16,'Incremental Repayments'!$I$31,(HLOOKUP($D85,$E$4:$CZ$32,28,FALSE)*'Incremental Repayments'!$I$22)),0),0)</f>
        <v>0</v>
      </c>
      <c r="AZ85" s="477">
        <f>IF('Incremental Repayments'!$R$22="Debt",IF(AND(AZ$4&gt;=$D85,AZ$4&lt;$D85+'Incremental Repayments'!$I$31),-PMT('Interest Rate'!$J$16,'Incremental Repayments'!$I$31,(HLOOKUP($D85,$E$4:$CZ$32,28,FALSE)*'Incremental Repayments'!$I$22)),0),0)</f>
        <v>0</v>
      </c>
      <c r="BA85" s="477">
        <f>IF('Incremental Repayments'!$R$22="Debt",IF(AND(BA$4&gt;=$D85,BA$4&lt;$D85+'Incremental Repayments'!$I$31),-PMT('Interest Rate'!$J$16,'Incremental Repayments'!$I$31,(HLOOKUP($D85,$E$4:$CZ$32,28,FALSE)*'Incremental Repayments'!$I$22)),0),0)</f>
        <v>0</v>
      </c>
      <c r="BB85" s="477">
        <f>IF('Incremental Repayments'!$R$22="Debt",IF(AND(BB$4&gt;=$D85,BB$4&lt;$D85+'Incremental Repayments'!$I$31),-PMT('Interest Rate'!$J$16,'Incremental Repayments'!$I$31,(HLOOKUP($D85,$E$4:$CZ$32,28,FALSE)*'Incremental Repayments'!$I$22)),0),0)</f>
        <v>0</v>
      </c>
      <c r="BC85" s="477">
        <f>IF('Incremental Repayments'!$R$22="Debt",IF(AND(BC$4&gt;=$D85,BC$4&lt;$D85+'Incremental Repayments'!$I$31),-PMT('Interest Rate'!$J$16,'Incremental Repayments'!$I$31,(HLOOKUP($D85,$E$4:$CZ$32,28,FALSE)*'Incremental Repayments'!$I$22)),0),0)</f>
        <v>0</v>
      </c>
      <c r="BD85" s="477">
        <f>IF('Incremental Repayments'!$R$22="Debt",IF(AND(BD$4&gt;=$D85,BD$4&lt;$D85+'Incremental Repayments'!$I$31),-PMT('Interest Rate'!$J$16,'Incremental Repayments'!$I$31,(HLOOKUP($D85,$E$4:$CZ$32,28,FALSE)*'Incremental Repayments'!$I$22)),0),0)</f>
        <v>0</v>
      </c>
      <c r="BE85" s="477">
        <f>IF('Incremental Repayments'!$R$22="Debt",IF(AND(BE$4&gt;=$D85,BE$4&lt;$D85+'Incremental Repayments'!$I$31),-PMT('Interest Rate'!$J$16,'Incremental Repayments'!$I$31,(HLOOKUP($D85,$E$4:$CZ$32,28,FALSE)*'Incremental Repayments'!$I$22)),0),0)</f>
        <v>0</v>
      </c>
      <c r="BF85" s="477">
        <f>IF('Incremental Repayments'!$R$22="Debt",IF(AND(BF$4&gt;=$D85,BF$4&lt;$D85+'Incremental Repayments'!$I$31),-PMT('Interest Rate'!$J$16,'Incremental Repayments'!$I$31,(HLOOKUP($D85,$E$4:$CZ$32,28,FALSE)*'Incremental Repayments'!$I$22)),0),0)</f>
        <v>0</v>
      </c>
      <c r="BG85" s="477">
        <f>IF('Incremental Repayments'!$R$22="Debt",IF(AND(BG$4&gt;=$D85,BG$4&lt;$D85+'Incremental Repayments'!$I$31),-PMT('Interest Rate'!$J$16,'Incremental Repayments'!$I$31,(HLOOKUP($D85,$E$4:$CZ$32,28,FALSE)*'Incremental Repayments'!$I$22)),0),0)</f>
        <v>0</v>
      </c>
      <c r="BH85" s="477">
        <f>IF('Incremental Repayments'!$R$22="Debt",IF(AND(BH$4&gt;=$D85,BH$4&lt;$D85+'Incremental Repayments'!$I$31),-PMT('Interest Rate'!$J$16,'Incremental Repayments'!$I$31,(HLOOKUP($D85,$E$4:$CZ$32,28,FALSE)*'Incremental Repayments'!$I$22)),0),0)</f>
        <v>0</v>
      </c>
      <c r="BI85" s="477">
        <f>IF('Incremental Repayments'!$R$22="Debt",IF(AND(BI$4&gt;=$D85,BI$4&lt;$D85+'Incremental Repayments'!$I$31),-PMT('Interest Rate'!$J$16,'Incremental Repayments'!$I$31,(HLOOKUP($D85,$E$4:$CZ$32,28,FALSE)*'Incremental Repayments'!$I$22)),0),0)</f>
        <v>0</v>
      </c>
      <c r="BJ85" s="477">
        <f>IF('Incremental Repayments'!$R$22="Debt",IF(AND(BJ$4&gt;=$D85,BJ$4&lt;$D85+'Incremental Repayments'!$I$31),-PMT('Interest Rate'!$J$16,'Incremental Repayments'!$I$31,(HLOOKUP($D85,$E$4:$CZ$32,28,FALSE)*'Incremental Repayments'!$I$22)),0),0)</f>
        <v>0</v>
      </c>
      <c r="BK85" s="477">
        <f>IF('Incremental Repayments'!$R$22="Debt",IF(AND(BK$4&gt;=$D85,BK$4&lt;$D85+'Incremental Repayments'!$I$31),-PMT('Interest Rate'!$J$16,'Incremental Repayments'!$I$31,(HLOOKUP($D85,$E$4:$CZ$32,28,FALSE)*'Incremental Repayments'!$I$22)),0),0)</f>
        <v>0</v>
      </c>
      <c r="BL85" s="477">
        <f>IF('Incremental Repayments'!$R$22="Debt",IF(AND(BL$4&gt;=$D85,BL$4&lt;$D85+'Incremental Repayments'!$I$31),-PMT('Interest Rate'!$J$16,'Incremental Repayments'!$I$31,(HLOOKUP($D85,$E$4:$CZ$32,28,FALSE)*'Incremental Repayments'!$I$22)),0),0)</f>
        <v>0</v>
      </c>
      <c r="BM85" s="477">
        <f>IF('Incremental Repayments'!$R$22="Debt",IF(AND(BM$4&gt;=$D85,BM$4&lt;$D85+'Incremental Repayments'!$I$31),-PMT('Interest Rate'!$J$16,'Incremental Repayments'!$I$31,(HLOOKUP($D85,$E$4:$CZ$32,28,FALSE)*'Incremental Repayments'!$I$22)),0),0)</f>
        <v>0</v>
      </c>
      <c r="BN85" s="477">
        <f>IF('Incremental Repayments'!$R$22="Debt",IF(AND(BN$4&gt;=$D85,BN$4&lt;$D85+'Incremental Repayments'!$I$31),-PMT('Interest Rate'!$J$16,'Incremental Repayments'!$I$31,(HLOOKUP($D85,$E$4:$CZ$32,28,FALSE)*'Incremental Repayments'!$I$22)),0),0)</f>
        <v>0</v>
      </c>
      <c r="BO85" s="477">
        <f>IF('Incremental Repayments'!$R$22="Debt",IF(AND(BO$4&gt;=$D85,BO$4&lt;$D85+'Incremental Repayments'!$I$31),-PMT('Interest Rate'!$J$16,'Incremental Repayments'!$I$31,(HLOOKUP($D85,$E$4:$CZ$32,28,FALSE)*'Incremental Repayments'!$I$22)),0),0)</f>
        <v>0</v>
      </c>
      <c r="BP85" s="477">
        <f>IF('Incremental Repayments'!$R$22="Debt",IF(AND(BP$4&gt;=$D85,BP$4&lt;$D85+'Incremental Repayments'!$I$31),-PMT('Interest Rate'!$J$16,'Incremental Repayments'!$I$31,(HLOOKUP($D85,$E$4:$CZ$32,28,FALSE)*'Incremental Repayments'!$I$22)),0),0)</f>
        <v>0</v>
      </c>
      <c r="BQ85" s="477">
        <f>IF('Incremental Repayments'!$R$22="Debt",IF(AND(BQ$4&gt;=$D85,BQ$4&lt;$D85+'Incremental Repayments'!$I$31),-PMT('Interest Rate'!$J$16,'Incremental Repayments'!$I$31,(HLOOKUP($D85,$E$4:$CZ$32,28,FALSE)*'Incremental Repayments'!$I$22)),0),0)</f>
        <v>0</v>
      </c>
      <c r="BR85" s="477">
        <f>IF('Incremental Repayments'!$R$22="Debt",IF(AND(BR$4&gt;=$D85,BR$4&lt;$D85+'Incremental Repayments'!$I$31),-PMT('Interest Rate'!$J$16,'Incremental Repayments'!$I$31,(HLOOKUP($D85,$E$4:$CZ$32,28,FALSE)*'Incremental Repayments'!$I$22)),0),0)</f>
        <v>0</v>
      </c>
      <c r="BS85" s="477">
        <f>IF('Incremental Repayments'!$R$22="Debt",IF(AND(BS$4&gt;=$D85,BS$4&lt;$D85+'Incremental Repayments'!$I$31),-PMT('Interest Rate'!$J$16,'Incremental Repayments'!$I$31,(HLOOKUP($D85,$E$4:$CZ$32,28,FALSE)*'Incremental Repayments'!$I$22)),0),0)</f>
        <v>0</v>
      </c>
      <c r="BT85" s="477">
        <f>IF('Incremental Repayments'!$R$22="Debt",IF(AND(BT$4&gt;=$D85,BT$4&lt;$D85+'Incremental Repayments'!$I$31),-PMT('Interest Rate'!$J$16,'Incremental Repayments'!$I$31,(HLOOKUP($D85,$E$4:$CZ$32,28,FALSE)*'Incremental Repayments'!$I$22)),0),0)</f>
        <v>0</v>
      </c>
      <c r="BU85" s="477">
        <f>IF('Incremental Repayments'!$R$22="Debt",IF(AND(BU$4&gt;=$D85,BU$4&lt;$D85+'Incremental Repayments'!$I$31),-PMT('Interest Rate'!$J$16,'Incremental Repayments'!$I$31,(HLOOKUP($D85,$E$4:$CZ$32,28,FALSE)*'Incremental Repayments'!$I$22)),0),0)</f>
        <v>0</v>
      </c>
      <c r="BV85" s="477">
        <f>IF('Incremental Repayments'!$R$22="Debt",IF(AND(BV$4&gt;=$D85,BV$4&lt;$D85+'Incremental Repayments'!$I$31),-PMT('Interest Rate'!$J$16,'Incremental Repayments'!$I$31,(HLOOKUP($D85,$E$4:$CZ$32,28,FALSE)*'Incremental Repayments'!$I$22)),0),0)</f>
        <v>0</v>
      </c>
      <c r="BW85" s="477">
        <f>IF('Incremental Repayments'!$R$22="Debt",IF(AND(BW$4&gt;=$D85,BW$4&lt;$D85+'Incremental Repayments'!$I$31),-PMT('Interest Rate'!$J$16,'Incremental Repayments'!$I$31,(HLOOKUP($D85,$E$4:$CZ$32,28,FALSE)*'Incremental Repayments'!$I$22)),0),0)</f>
        <v>0</v>
      </c>
      <c r="BX85" s="477">
        <f>IF('Incremental Repayments'!$R$22="Debt",IF(AND(BX$4&gt;=$D85,BX$4&lt;$D85+'Incremental Repayments'!$I$31),-PMT('Interest Rate'!$J$16,'Incremental Repayments'!$I$31,(HLOOKUP($D85,$E$4:$CZ$32,28,FALSE)*'Incremental Repayments'!$I$22)),0),0)</f>
        <v>0</v>
      </c>
      <c r="BY85" s="477">
        <f>IF('Incremental Repayments'!$R$22="Debt",IF(AND(BY$4&gt;=$D85,BY$4&lt;$D85+'Incremental Repayments'!$I$31),-PMT('Interest Rate'!$J$16,'Incremental Repayments'!$I$31,(HLOOKUP($D85,$E$4:$CZ$32,28,FALSE)*'Incremental Repayments'!$I$22)),0),0)</f>
        <v>0</v>
      </c>
      <c r="BZ85" s="477">
        <f>IF('Incremental Repayments'!$R$22="Debt",IF(AND(BZ$4&gt;=$D85,BZ$4&lt;$D85+'Incremental Repayments'!$I$31),-PMT('Interest Rate'!$J$16,'Incremental Repayments'!$I$31,(HLOOKUP($D85,$E$4:$CZ$32,28,FALSE)*'Incremental Repayments'!$I$22)),0),0)</f>
        <v>0</v>
      </c>
      <c r="CA85" s="477">
        <f>IF('Incremental Repayments'!$R$22="Debt",IF(AND(CA$4&gt;=$D85,CA$4&lt;$D85+'Incremental Repayments'!$I$31),-PMT('Interest Rate'!$J$16,'Incremental Repayments'!$I$31,(HLOOKUP($D85,$E$4:$CZ$32,28,FALSE)*'Incremental Repayments'!$I$22)),0),0)</f>
        <v>0</v>
      </c>
      <c r="CB85" s="477">
        <f>IF('Incremental Repayments'!$R$22="Debt",IF(AND(CB$4&gt;=$D85,CB$4&lt;$D85+'Incremental Repayments'!$I$31),-PMT('Interest Rate'!$J$16,'Incremental Repayments'!$I$31,(HLOOKUP($D85,$E$4:$CZ$32,28,FALSE)*'Incremental Repayments'!$I$22)),0),0)</f>
        <v>0</v>
      </c>
      <c r="CC85" s="477">
        <f>IF('Incremental Repayments'!$R$22="Debt",IF(AND(CC$4&gt;=$D85,CC$4&lt;$D85+'Incremental Repayments'!$I$31),-PMT('Interest Rate'!$J$16,'Incremental Repayments'!$I$31,(HLOOKUP($D85,$E$4:$CZ$32,28,FALSE)*'Incremental Repayments'!$I$22)),0),0)</f>
        <v>0</v>
      </c>
      <c r="CD85" s="477">
        <f>IF('Incremental Repayments'!$R$22="Debt",IF(AND(CD$4&gt;=$D85,CD$4&lt;$D85+'Incremental Repayments'!$I$31),-PMT('Interest Rate'!$J$16,'Incremental Repayments'!$I$31,(HLOOKUP($D85,$E$4:$CZ$32,28,FALSE)*'Incremental Repayments'!$I$22)),0),0)</f>
        <v>0</v>
      </c>
      <c r="CE85" s="477">
        <f>IF('Incremental Repayments'!$R$22="Debt",IF(AND(CE$4&gt;=$D85,CE$4&lt;$D85+'Incremental Repayments'!$I$31),-PMT('Interest Rate'!$J$16,'Incremental Repayments'!$I$31,(HLOOKUP($D85,$E$4:$CZ$32,28,FALSE)*'Incremental Repayments'!$I$22)),0),0)</f>
        <v>0</v>
      </c>
      <c r="CF85" s="477">
        <f>IF('Incremental Repayments'!$R$22="Debt",IF(AND(CF$4&gt;=$D85,CF$4&lt;$D85+'Incremental Repayments'!$I$31),-PMT('Interest Rate'!$J$16,'Incremental Repayments'!$I$31,(HLOOKUP($D85,$E$4:$CZ$32,28,FALSE)*'Incremental Repayments'!$I$22)),0),0)</f>
        <v>0</v>
      </c>
      <c r="CG85" s="477">
        <f>IF('Incremental Repayments'!$R$22="Debt",IF(AND(CG$4&gt;=$D85,CG$4&lt;$D85+'Incremental Repayments'!$I$31),-PMT('Interest Rate'!$J$16,'Incremental Repayments'!$I$31,(HLOOKUP($D85,$E$4:$CZ$32,28,FALSE)*'Incremental Repayments'!$I$22)),0),0)</f>
        <v>0</v>
      </c>
      <c r="CH85" s="477">
        <f>IF('Incremental Repayments'!$R$22="Debt",IF(AND(CH$4&gt;=$D85,CH$4&lt;$D85+'Incremental Repayments'!$I$31),-PMT('Interest Rate'!$J$16,'Incremental Repayments'!$I$31,(HLOOKUP($D85,$E$4:$CZ$32,28,FALSE)*'Incremental Repayments'!$I$22)),0),0)</f>
        <v>0</v>
      </c>
      <c r="CI85" s="477">
        <f>IF('Incremental Repayments'!$R$22="Debt",IF(AND(CI$4&gt;=$D85,CI$4&lt;$D85+'Incremental Repayments'!$I$31),-PMT('Interest Rate'!$J$16,'Incremental Repayments'!$I$31,(HLOOKUP($D85,$E$4:$CZ$32,28,FALSE)*'Incremental Repayments'!$I$22)),0),0)</f>
        <v>0</v>
      </c>
      <c r="CJ85" s="477">
        <f>IF('Incremental Repayments'!$R$22="Debt",IF(AND(CJ$4&gt;=$D85,CJ$4&lt;$D85+'Incremental Repayments'!$I$31),-PMT('Interest Rate'!$J$16,'Incremental Repayments'!$I$31,(HLOOKUP($D85,$E$4:$CZ$32,28,FALSE)*'Incremental Repayments'!$I$22)),0),0)</f>
        <v>0</v>
      </c>
      <c r="CK85" s="477">
        <f>IF('Incremental Repayments'!$R$22="Debt",IF(AND(CK$4&gt;=$D85,CK$4&lt;$D85+'Incremental Repayments'!$I$31),-PMT('Interest Rate'!$J$16,'Incremental Repayments'!$I$31,(HLOOKUP($D85,$E$4:$CZ$32,28,FALSE)*'Incremental Repayments'!$I$22)),0),0)</f>
        <v>0</v>
      </c>
      <c r="CL85" s="477">
        <f>IF('Incremental Repayments'!$R$22="Debt",IF(AND(CL$4&gt;=$D85,CL$4&lt;$D85+'Incremental Repayments'!$I$31),-PMT('Interest Rate'!$J$16,'Incremental Repayments'!$I$31,(HLOOKUP($D85,$E$4:$CZ$32,28,FALSE)*'Incremental Repayments'!$I$22)),0),0)</f>
        <v>0</v>
      </c>
      <c r="CM85" s="477">
        <f>IF('Incremental Repayments'!$R$22="Debt",IF(AND(CM$4&gt;=$D85,CM$4&lt;$D85+'Incremental Repayments'!$I$31),-PMT('Interest Rate'!$J$16,'Incremental Repayments'!$I$31,(HLOOKUP($D85,$E$4:$CZ$32,28,FALSE)*'Incremental Repayments'!$I$22)),0),0)</f>
        <v>0</v>
      </c>
      <c r="CN85" s="477">
        <f>IF('Incremental Repayments'!$R$22="Debt",IF(AND(CN$4&gt;=$D85,CN$4&lt;$D85+'Incremental Repayments'!$I$31),-PMT('Interest Rate'!$J$16,'Incremental Repayments'!$I$31,(HLOOKUP($D85,$E$4:$CZ$32,28,FALSE)*'Incremental Repayments'!$I$22)),0),0)</f>
        <v>0</v>
      </c>
      <c r="CO85" s="477">
        <f>IF('Incremental Repayments'!$R$22="Debt",IF(AND(CO$4&gt;=$D85,CO$4&lt;$D85+'Incremental Repayments'!$I$31),-PMT('Interest Rate'!$J$16,'Incremental Repayments'!$I$31,(HLOOKUP($D85,$E$4:$CZ$32,28,FALSE)*'Incremental Repayments'!$I$22)),0),0)</f>
        <v>0</v>
      </c>
      <c r="CP85" s="477">
        <f>IF('Incremental Repayments'!$R$22="Debt",IF(AND(CP$4&gt;=$D85,CP$4&lt;$D85+'Incremental Repayments'!$I$31),-PMT('Interest Rate'!$J$16,'Incremental Repayments'!$I$31,(HLOOKUP($D85,$E$4:$CZ$32,28,FALSE)*'Incremental Repayments'!$I$22)),0),0)</f>
        <v>0</v>
      </c>
      <c r="CQ85" s="477">
        <f>IF('Incremental Repayments'!$R$22="Debt",IF(AND(CQ$4&gt;=$D85,CQ$4&lt;$D85+'Incremental Repayments'!$I$31),-PMT('Interest Rate'!$J$16,'Incremental Repayments'!$I$31,(HLOOKUP($D85,$E$4:$CZ$32,28,FALSE)*'Incremental Repayments'!$I$22)),0),0)</f>
        <v>0</v>
      </c>
      <c r="CR85" s="477">
        <f>IF('Incremental Repayments'!$R$22="Debt",IF(AND(CR$4&gt;=$D85,CR$4&lt;$D85+'Incremental Repayments'!$I$31),-PMT('Interest Rate'!$J$16,'Incremental Repayments'!$I$31,(HLOOKUP($D85,$E$4:$CZ$32,28,FALSE)*'Incremental Repayments'!$I$22)),0),0)</f>
        <v>0</v>
      </c>
      <c r="CS85" s="477">
        <f>IF('Incremental Repayments'!$R$22="Debt",IF(AND(CS$4&gt;=$D85,CS$4&lt;$D85+'Incremental Repayments'!$I$31),-PMT('Interest Rate'!$J$16,'Incremental Repayments'!$I$31,(HLOOKUP($D85,$E$4:$CZ$32,28,FALSE)*'Incremental Repayments'!$I$22)),0),0)</f>
        <v>0</v>
      </c>
      <c r="CT85" s="477">
        <f>IF('Incremental Repayments'!$R$22="Debt",IF(AND(CT$4&gt;=$D85,CT$4&lt;$D85+'Incremental Repayments'!$I$31),-PMT('Interest Rate'!$J$16,'Incremental Repayments'!$I$31,(HLOOKUP($D85,$E$4:$CZ$32,28,FALSE)*'Incremental Repayments'!$I$22)),0),0)</f>
        <v>0</v>
      </c>
      <c r="CU85" s="477">
        <f>IF('Incremental Repayments'!$R$22="Debt",IF(AND(CU$4&gt;=$D85,CU$4&lt;$D85+'Incremental Repayments'!$I$31),-PMT('Interest Rate'!$J$16,'Incremental Repayments'!$I$31,(HLOOKUP($D85,$E$4:$CZ$32,28,FALSE)*'Incremental Repayments'!$I$22)),0),0)</f>
        <v>0</v>
      </c>
      <c r="CV85" s="477">
        <f>IF('Incremental Repayments'!$R$22="Debt",IF(AND(CV$4&gt;=$D85,CV$4&lt;$D85+'Incremental Repayments'!$I$31),-PMT('Interest Rate'!$J$16,'Incremental Repayments'!$I$31,(HLOOKUP($D85,$E$4:$CZ$32,28,FALSE)*'Incremental Repayments'!$I$22)),0),0)</f>
        <v>0</v>
      </c>
      <c r="CW85" s="477">
        <f>IF('Incremental Repayments'!$R$22="Debt",IF(AND(CW$4&gt;=$D85,CW$4&lt;$D85+'Incremental Repayments'!$I$31),-PMT('Interest Rate'!$J$16,'Incremental Repayments'!$I$31,(HLOOKUP($D85,$E$4:$CZ$32,28,FALSE)*'Incremental Repayments'!$I$22)),0),0)</f>
        <v>0</v>
      </c>
      <c r="CX85" s="477">
        <f>IF('Incremental Repayments'!$R$22="Debt",IF(AND(CX$4&gt;=$D85,CX$4&lt;$D85+'Incremental Repayments'!$I$31),-PMT('Interest Rate'!$J$16,'Incremental Repayments'!$I$31,(HLOOKUP($D85,$E$4:$CZ$32,28,FALSE)*'Incremental Repayments'!$I$22)),0),0)</f>
        <v>0</v>
      </c>
      <c r="CY85" s="477">
        <f>IF('Incremental Repayments'!$R$22="Debt",IF(AND(CY$4&gt;=$D85,CY$4&lt;$D85+'Incremental Repayments'!$I$31),-PMT('Interest Rate'!$J$16,'Incremental Repayments'!$I$31,(HLOOKUP($D85,$E$4:$CZ$32,28,FALSE)*'Incremental Repayments'!$I$22)),0),0)</f>
        <v>0</v>
      </c>
      <c r="CZ85" s="477">
        <f>IF('Incremental Repayments'!$R$22="Debt",IF(AND(CZ$4&gt;=$D85,CZ$4&lt;$D85+'Incremental Repayments'!$I$31),-PMT('Interest Rate'!$J$16,'Incremental Repayments'!$I$31,(HLOOKUP($D85,$E$4:$CZ$32,28,FALSE)*'Incremental Repayments'!$I$22)),0),0)</f>
        <v>0</v>
      </c>
    </row>
    <row r="86" spans="2:104" x14ac:dyDescent="0.25">
      <c r="B86" s="480" t="str">
        <f>CONCATENATE("Series ",D86,"A Bonds (at ",'Interest Rate'!$J$16*100,"% Interest)")</f>
        <v>Series 2064A Bonds (at 4.5% Interest)</v>
      </c>
      <c r="C86" s="480"/>
      <c r="D86" s="492">
        <f t="shared" si="494"/>
        <v>2064</v>
      </c>
      <c r="E86" s="477">
        <f>IF('Incremental Repayments'!$R$22="Debt",IF(AND(E$4&gt;=$D86,E$4&lt;$D86+'Incremental Repayments'!$I$31),-PMT('Interest Rate'!$J$16,'Incremental Repayments'!$I$31,(HLOOKUP($D86,$E$4:$CZ$32,28,FALSE)*'Incremental Repayments'!$I$22)),0),0)</f>
        <v>0</v>
      </c>
      <c r="F86" s="477">
        <f>IF('Incremental Repayments'!$R$22="Debt",IF(AND(F$4&gt;=$D86,F$4&lt;$D86+'Incremental Repayments'!$I$31),-PMT('Interest Rate'!$J$16,'Incremental Repayments'!$I$31,(HLOOKUP($D86,$E$4:$CZ$32,28,FALSE)*'Incremental Repayments'!$I$22)),0),0)</f>
        <v>0</v>
      </c>
      <c r="G86" s="477">
        <f>IF('Incremental Repayments'!$R$22="Debt",IF(AND(G$4&gt;=$D86,G$4&lt;$D86+'Incremental Repayments'!$I$31),-PMT('Interest Rate'!$J$16,'Incremental Repayments'!$I$31,(HLOOKUP($D86,$E$4:$CZ$32,28,FALSE)*'Incremental Repayments'!$I$22)),0),0)</f>
        <v>0</v>
      </c>
      <c r="H86" s="477">
        <f>IF('Incremental Repayments'!$R$22="Debt",IF(AND(H$4&gt;=$D86,H$4&lt;$D86+'Incremental Repayments'!$I$31),-PMT('Interest Rate'!$J$16,'Incremental Repayments'!$I$31,(HLOOKUP($D86,$E$4:$CZ$32,28,FALSE)*'Incremental Repayments'!$I$22)),0),0)</f>
        <v>0</v>
      </c>
      <c r="I86" s="477">
        <f>IF('Incremental Repayments'!$R$22="Debt",IF(AND(I$4&gt;=$D86,I$4&lt;$D86+'Incremental Repayments'!$I$31),-PMT('Interest Rate'!$J$16,'Incremental Repayments'!$I$31,(HLOOKUP($D86,$E$4:$CZ$32,28,FALSE)*'Incremental Repayments'!$I$22)),0),0)</f>
        <v>0</v>
      </c>
      <c r="J86" s="477">
        <f>IF('Incremental Repayments'!$R$22="Debt",IF(AND(J$4&gt;=$D86,J$4&lt;$D86+'Incremental Repayments'!$I$31),-PMT('Interest Rate'!$J$16,'Incremental Repayments'!$I$31,(HLOOKUP($D86,$E$4:$CZ$32,28,FALSE)*'Incremental Repayments'!$I$22)),0),0)</f>
        <v>0</v>
      </c>
      <c r="K86" s="477">
        <f>IF('Incremental Repayments'!$R$22="Debt",IF(AND(K$4&gt;=$D86,K$4&lt;$D86+'Incremental Repayments'!$I$31),-PMT('Interest Rate'!$J$16,'Incremental Repayments'!$I$31,(HLOOKUP($D86,$E$4:$CZ$32,28,FALSE)*'Incremental Repayments'!$I$22)),0),0)</f>
        <v>0</v>
      </c>
      <c r="L86" s="477">
        <f>IF('Incremental Repayments'!$R$22="Debt",IF(AND(L$4&gt;=$D86,L$4&lt;$D86+'Incremental Repayments'!$I$31),-PMT('Interest Rate'!$J$16,'Incremental Repayments'!$I$31,(HLOOKUP($D86,$E$4:$CZ$32,28,FALSE)*'Incremental Repayments'!$I$22)),0),0)</f>
        <v>0</v>
      </c>
      <c r="M86" s="477">
        <f>IF('Incremental Repayments'!$R$22="Debt",IF(AND(M$4&gt;=$D86,M$4&lt;$D86+'Incremental Repayments'!$I$31),-PMT('Interest Rate'!$J$16,'Incremental Repayments'!$I$31,(HLOOKUP($D86,$E$4:$CZ$32,28,FALSE)*'Incremental Repayments'!$I$22)),0),0)</f>
        <v>0</v>
      </c>
      <c r="N86" s="477">
        <f>IF('Incremental Repayments'!$R$22="Debt",IF(AND(N$4&gt;=$D86,N$4&lt;$D86+'Incremental Repayments'!$I$31),-PMT('Interest Rate'!$J$16,'Incremental Repayments'!$I$31,(HLOOKUP($D86,$E$4:$CZ$32,28,FALSE)*'Incremental Repayments'!$I$22)),0),0)</f>
        <v>0</v>
      </c>
      <c r="O86" s="477">
        <f>IF('Incremental Repayments'!$R$22="Debt",IF(AND(O$4&gt;=$D86,O$4&lt;$D86+'Incremental Repayments'!$I$31),-PMT('Interest Rate'!$J$16,'Incremental Repayments'!$I$31,(HLOOKUP($D86,$E$4:$CZ$32,28,FALSE)*'Incremental Repayments'!$I$22)),0),0)</f>
        <v>0</v>
      </c>
      <c r="P86" s="477">
        <f>IF('Incremental Repayments'!$R$22="Debt",IF(AND(P$4&gt;=$D86,P$4&lt;$D86+'Incremental Repayments'!$I$31),-PMT('Interest Rate'!$J$16,'Incremental Repayments'!$I$31,(HLOOKUP($D86,$E$4:$CZ$32,28,FALSE)*'Incremental Repayments'!$I$22)),0),0)</f>
        <v>0</v>
      </c>
      <c r="Q86" s="477">
        <f>IF('Incremental Repayments'!$R$22="Debt",IF(AND(Q$4&gt;=$D86,Q$4&lt;$D86+'Incremental Repayments'!$I$31),-PMT('Interest Rate'!$J$16,'Incremental Repayments'!$I$31,(HLOOKUP($D86,$E$4:$CZ$32,28,FALSE)*'Incremental Repayments'!$I$22)),0),0)</f>
        <v>0</v>
      </c>
      <c r="R86" s="477">
        <f>IF('Incremental Repayments'!$R$22="Debt",IF(AND(R$4&gt;=$D86,R$4&lt;$D86+'Incremental Repayments'!$I$31),-PMT('Interest Rate'!$J$16,'Incremental Repayments'!$I$31,(HLOOKUP($D86,$E$4:$CZ$32,28,FALSE)*'Incremental Repayments'!$I$22)),0),0)</f>
        <v>0</v>
      </c>
      <c r="S86" s="477">
        <f>IF('Incremental Repayments'!$R$22="Debt",IF(AND(S$4&gt;=$D86,S$4&lt;$D86+'Incremental Repayments'!$I$31),-PMT('Interest Rate'!$J$16,'Incremental Repayments'!$I$31,(HLOOKUP($D86,$E$4:$CZ$32,28,FALSE)*'Incremental Repayments'!$I$22)),0),0)</f>
        <v>0</v>
      </c>
      <c r="T86" s="477">
        <f>IF('Incremental Repayments'!$R$22="Debt",IF(AND(T$4&gt;=$D86,T$4&lt;$D86+'Incremental Repayments'!$I$31),-PMT('Interest Rate'!$J$16,'Incremental Repayments'!$I$31,(HLOOKUP($D86,$E$4:$CZ$32,28,FALSE)*'Incremental Repayments'!$I$22)),0),0)</f>
        <v>0</v>
      </c>
      <c r="U86" s="477">
        <f>IF('Incremental Repayments'!$R$22="Debt",IF(AND(U$4&gt;=$D86,U$4&lt;$D86+'Incremental Repayments'!$I$31),-PMT('Interest Rate'!$J$16,'Incremental Repayments'!$I$31,(HLOOKUP($D86,$E$4:$CZ$32,28,FALSE)*'Incremental Repayments'!$I$22)),0),0)</f>
        <v>0</v>
      </c>
      <c r="V86" s="477">
        <f>IF('Incremental Repayments'!$R$22="Debt",IF(AND(V$4&gt;=$D86,V$4&lt;$D86+'Incremental Repayments'!$I$31),-PMT('Interest Rate'!$J$16,'Incremental Repayments'!$I$31,(HLOOKUP($D86,$E$4:$CZ$32,28,FALSE)*'Incremental Repayments'!$I$22)),0),0)</f>
        <v>0</v>
      </c>
      <c r="W86" s="477">
        <f>IF('Incremental Repayments'!$R$22="Debt",IF(AND(W$4&gt;=$D86,W$4&lt;$D86+'Incremental Repayments'!$I$31),-PMT('Interest Rate'!$J$16,'Incremental Repayments'!$I$31,(HLOOKUP($D86,$E$4:$CZ$32,28,FALSE)*'Incremental Repayments'!$I$22)),0),0)</f>
        <v>0</v>
      </c>
      <c r="X86" s="477">
        <f>IF('Incremental Repayments'!$R$22="Debt",IF(AND(X$4&gt;=$D86,X$4&lt;$D86+'Incremental Repayments'!$I$31),-PMT('Interest Rate'!$J$16,'Incremental Repayments'!$I$31,(HLOOKUP($D86,$E$4:$CZ$32,28,FALSE)*'Incremental Repayments'!$I$22)),0),0)</f>
        <v>0</v>
      </c>
      <c r="Y86" s="477">
        <f>IF('Incremental Repayments'!$R$22="Debt",IF(AND(Y$4&gt;=$D86,Y$4&lt;$D86+'Incremental Repayments'!$I$31),-PMT('Interest Rate'!$J$16,'Incremental Repayments'!$I$31,(HLOOKUP($D86,$E$4:$CZ$32,28,FALSE)*'Incremental Repayments'!$I$22)),0),0)</f>
        <v>0</v>
      </c>
      <c r="Z86" s="477">
        <f>IF('Incremental Repayments'!$R$22="Debt",IF(AND(Z$4&gt;=$D86,Z$4&lt;$D86+'Incremental Repayments'!$I$31),-PMT('Interest Rate'!$J$16,'Incremental Repayments'!$I$31,(HLOOKUP($D86,$E$4:$CZ$32,28,FALSE)*'Incremental Repayments'!$I$22)),0),0)</f>
        <v>0</v>
      </c>
      <c r="AA86" s="477">
        <f>IF('Incremental Repayments'!$R$22="Debt",IF(AND(AA$4&gt;=$D86,AA$4&lt;$D86+'Incremental Repayments'!$I$31),-PMT('Interest Rate'!$J$16,'Incremental Repayments'!$I$31,(HLOOKUP($D86,$E$4:$CZ$32,28,FALSE)*'Incremental Repayments'!$I$22)),0),0)</f>
        <v>0</v>
      </c>
      <c r="AB86" s="477">
        <f>IF('Incremental Repayments'!$R$22="Debt",IF(AND(AB$4&gt;=$D86,AB$4&lt;$D86+'Incremental Repayments'!$I$31),-PMT('Interest Rate'!$J$16,'Incremental Repayments'!$I$31,(HLOOKUP($D86,$E$4:$CZ$32,28,FALSE)*'Incremental Repayments'!$I$22)),0),0)</f>
        <v>0</v>
      </c>
      <c r="AC86" s="477">
        <f>IF('Incremental Repayments'!$R$22="Debt",IF(AND(AC$4&gt;=$D86,AC$4&lt;$D86+'Incremental Repayments'!$I$31),-PMT('Interest Rate'!$J$16,'Incremental Repayments'!$I$31,(HLOOKUP($D86,$E$4:$CZ$32,28,FALSE)*'Incremental Repayments'!$I$22)),0),0)</f>
        <v>0</v>
      </c>
      <c r="AD86" s="477">
        <f>IF('Incremental Repayments'!$R$22="Debt",IF(AND(AD$4&gt;=$D86,AD$4&lt;$D86+'Incremental Repayments'!$I$31),-PMT('Interest Rate'!$J$16,'Incremental Repayments'!$I$31,(HLOOKUP($D86,$E$4:$CZ$32,28,FALSE)*'Incremental Repayments'!$I$22)),0),0)</f>
        <v>0</v>
      </c>
      <c r="AE86" s="477">
        <f>IF('Incremental Repayments'!$R$22="Debt",IF(AND(AE$4&gt;=$D86,AE$4&lt;$D86+'Incremental Repayments'!$I$31),-PMT('Interest Rate'!$J$16,'Incremental Repayments'!$I$31,(HLOOKUP($D86,$E$4:$CZ$32,28,FALSE)*'Incremental Repayments'!$I$22)),0),0)</f>
        <v>0</v>
      </c>
      <c r="AF86" s="477">
        <f>IF('Incremental Repayments'!$R$22="Debt",IF(AND(AF$4&gt;=$D86,AF$4&lt;$D86+'Incremental Repayments'!$I$31),-PMT('Interest Rate'!$J$16,'Incremental Repayments'!$I$31,(HLOOKUP($D86,$E$4:$CZ$32,28,FALSE)*'Incremental Repayments'!$I$22)),0),0)</f>
        <v>0</v>
      </c>
      <c r="AG86" s="477">
        <f>IF('Incremental Repayments'!$R$22="Debt",IF(AND(AG$4&gt;=$D86,AG$4&lt;$D86+'Incremental Repayments'!$I$31),-PMT('Interest Rate'!$J$16,'Incremental Repayments'!$I$31,(HLOOKUP($D86,$E$4:$CZ$32,28,FALSE)*'Incremental Repayments'!$I$22)),0),0)</f>
        <v>0</v>
      </c>
      <c r="AH86" s="477">
        <f>IF('Incremental Repayments'!$R$22="Debt",IF(AND(AH$4&gt;=$D86,AH$4&lt;$D86+'Incremental Repayments'!$I$31),-PMT('Interest Rate'!$J$16,'Incremental Repayments'!$I$31,(HLOOKUP($D86,$E$4:$CZ$32,28,FALSE)*'Incremental Repayments'!$I$22)),0),0)</f>
        <v>0</v>
      </c>
      <c r="AI86" s="477">
        <f>IF('Incremental Repayments'!$R$22="Debt",IF(AND(AI$4&gt;=$D86,AI$4&lt;$D86+'Incremental Repayments'!$I$31),-PMT('Interest Rate'!$J$16,'Incremental Repayments'!$I$31,(HLOOKUP($D86,$E$4:$CZ$32,28,FALSE)*'Incremental Repayments'!$I$22)),0),0)</f>
        <v>0</v>
      </c>
      <c r="AJ86" s="477">
        <f>IF('Incremental Repayments'!$R$22="Debt",IF(AND(AJ$4&gt;=$D86,AJ$4&lt;$D86+'Incremental Repayments'!$I$31),-PMT('Interest Rate'!$J$16,'Incremental Repayments'!$I$31,(HLOOKUP($D86,$E$4:$CZ$32,28,FALSE)*'Incremental Repayments'!$I$22)),0),0)</f>
        <v>0</v>
      </c>
      <c r="AK86" s="477">
        <f>IF('Incremental Repayments'!$R$22="Debt",IF(AND(AK$4&gt;=$D86,AK$4&lt;$D86+'Incremental Repayments'!$I$31),-PMT('Interest Rate'!$J$16,'Incremental Repayments'!$I$31,(HLOOKUP($D86,$E$4:$CZ$32,28,FALSE)*'Incremental Repayments'!$I$22)),0),0)</f>
        <v>0</v>
      </c>
      <c r="AL86" s="477">
        <f>IF('Incremental Repayments'!$R$22="Debt",IF(AND(AL$4&gt;=$D86,AL$4&lt;$D86+'Incremental Repayments'!$I$31),-PMT('Interest Rate'!$J$16,'Incremental Repayments'!$I$31,(HLOOKUP($D86,$E$4:$CZ$32,28,FALSE)*'Incremental Repayments'!$I$22)),0),0)</f>
        <v>0</v>
      </c>
      <c r="AM86" s="477">
        <f>IF('Incremental Repayments'!$R$22="Debt",IF(AND(AM$4&gt;=$D86,AM$4&lt;$D86+'Incremental Repayments'!$I$31),-PMT('Interest Rate'!$J$16,'Incremental Repayments'!$I$31,(HLOOKUP($D86,$E$4:$CZ$32,28,FALSE)*'Incremental Repayments'!$I$22)),0),0)</f>
        <v>0</v>
      </c>
      <c r="AN86" s="477">
        <f>IF('Incremental Repayments'!$R$22="Debt",IF(AND(AN$4&gt;=$D86,AN$4&lt;$D86+'Incremental Repayments'!$I$31),-PMT('Interest Rate'!$J$16,'Incremental Repayments'!$I$31,(HLOOKUP($D86,$E$4:$CZ$32,28,FALSE)*'Incremental Repayments'!$I$22)),0),0)</f>
        <v>0</v>
      </c>
      <c r="AO86" s="477">
        <f>IF('Incremental Repayments'!$R$22="Debt",IF(AND(AO$4&gt;=$D86,AO$4&lt;$D86+'Incremental Repayments'!$I$31),-PMT('Interest Rate'!$J$16,'Incremental Repayments'!$I$31,(HLOOKUP($D86,$E$4:$CZ$32,28,FALSE)*'Incremental Repayments'!$I$22)),0),0)</f>
        <v>0</v>
      </c>
      <c r="AP86" s="477">
        <f>IF('Incremental Repayments'!$R$22="Debt",IF(AND(AP$4&gt;=$D86,AP$4&lt;$D86+'Incremental Repayments'!$I$31),-PMT('Interest Rate'!$J$16,'Incremental Repayments'!$I$31,(HLOOKUP($D86,$E$4:$CZ$32,28,FALSE)*'Incremental Repayments'!$I$22)),0),0)</f>
        <v>0</v>
      </c>
      <c r="AQ86" s="477">
        <f>IF('Incremental Repayments'!$R$22="Debt",IF(AND(AQ$4&gt;=$D86,AQ$4&lt;$D86+'Incremental Repayments'!$I$31),-PMT('Interest Rate'!$J$16,'Incremental Repayments'!$I$31,(HLOOKUP($D86,$E$4:$CZ$32,28,FALSE)*'Incremental Repayments'!$I$22)),0),0)</f>
        <v>0</v>
      </c>
      <c r="AR86" s="477">
        <f>IF('Incremental Repayments'!$R$22="Debt",IF(AND(AR$4&gt;=$D86,AR$4&lt;$D86+'Incremental Repayments'!$I$31),-PMT('Interest Rate'!$J$16,'Incremental Repayments'!$I$31,(HLOOKUP($D86,$E$4:$CZ$32,28,FALSE)*'Incremental Repayments'!$I$22)),0),0)</f>
        <v>0</v>
      </c>
      <c r="AS86" s="477">
        <f>IF('Incremental Repayments'!$R$22="Debt",IF(AND(AS$4&gt;=$D86,AS$4&lt;$D86+'Incremental Repayments'!$I$31),-PMT('Interest Rate'!$J$16,'Incremental Repayments'!$I$31,(HLOOKUP($D86,$E$4:$CZ$32,28,FALSE)*'Incremental Repayments'!$I$22)),0),0)</f>
        <v>0</v>
      </c>
      <c r="AT86" s="477">
        <f>IF('Incremental Repayments'!$R$22="Debt",IF(AND(AT$4&gt;=$D86,AT$4&lt;$D86+'Incremental Repayments'!$I$31),-PMT('Interest Rate'!$J$16,'Incremental Repayments'!$I$31,(HLOOKUP($D86,$E$4:$CZ$32,28,FALSE)*'Incremental Repayments'!$I$22)),0),0)</f>
        <v>0</v>
      </c>
      <c r="AU86" s="477">
        <f>IF('Incremental Repayments'!$R$22="Debt",IF(AND(AU$4&gt;=$D86,AU$4&lt;$D86+'Incremental Repayments'!$I$31),-PMT('Interest Rate'!$J$16,'Incremental Repayments'!$I$31,(HLOOKUP($D86,$E$4:$CZ$32,28,FALSE)*'Incremental Repayments'!$I$22)),0),0)</f>
        <v>0</v>
      </c>
      <c r="AV86" s="477">
        <f>IF('Incremental Repayments'!$R$22="Debt",IF(AND(AV$4&gt;=$D86,AV$4&lt;$D86+'Incremental Repayments'!$I$31),-PMT('Interest Rate'!$J$16,'Incremental Repayments'!$I$31,(HLOOKUP($D86,$E$4:$CZ$32,28,FALSE)*'Incremental Repayments'!$I$22)),0),0)</f>
        <v>0</v>
      </c>
      <c r="AW86" s="477">
        <f>IF('Incremental Repayments'!$R$22="Debt",IF(AND(AW$4&gt;=$D86,AW$4&lt;$D86+'Incremental Repayments'!$I$31),-PMT('Interest Rate'!$J$16,'Incremental Repayments'!$I$31,(HLOOKUP($D86,$E$4:$CZ$32,28,FALSE)*'Incremental Repayments'!$I$22)),0),0)</f>
        <v>0</v>
      </c>
      <c r="AX86" s="477">
        <f>IF('Incremental Repayments'!$R$22="Debt",IF(AND(AX$4&gt;=$D86,AX$4&lt;$D86+'Incremental Repayments'!$I$31),-PMT('Interest Rate'!$J$16,'Incremental Repayments'!$I$31,(HLOOKUP($D86,$E$4:$CZ$32,28,FALSE)*'Incremental Repayments'!$I$22)),0),0)</f>
        <v>0</v>
      </c>
      <c r="AY86" s="477">
        <f>IF('Incremental Repayments'!$R$22="Debt",IF(AND(AY$4&gt;=$D86,AY$4&lt;$D86+'Incremental Repayments'!$I$31),-PMT('Interest Rate'!$J$16,'Incremental Repayments'!$I$31,(HLOOKUP($D86,$E$4:$CZ$32,28,FALSE)*'Incremental Repayments'!$I$22)),0),0)</f>
        <v>0</v>
      </c>
      <c r="AZ86" s="477">
        <f>IF('Incremental Repayments'!$R$22="Debt",IF(AND(AZ$4&gt;=$D86,AZ$4&lt;$D86+'Incremental Repayments'!$I$31),-PMT('Interest Rate'!$J$16,'Incremental Repayments'!$I$31,(HLOOKUP($D86,$E$4:$CZ$32,28,FALSE)*'Incremental Repayments'!$I$22)),0),0)</f>
        <v>0</v>
      </c>
      <c r="BA86" s="477">
        <f>IF('Incremental Repayments'!$R$22="Debt",IF(AND(BA$4&gt;=$D86,BA$4&lt;$D86+'Incremental Repayments'!$I$31),-PMT('Interest Rate'!$J$16,'Incremental Repayments'!$I$31,(HLOOKUP($D86,$E$4:$CZ$32,28,FALSE)*'Incremental Repayments'!$I$22)),0),0)</f>
        <v>0</v>
      </c>
      <c r="BB86" s="477">
        <f>IF('Incremental Repayments'!$R$22="Debt",IF(AND(BB$4&gt;=$D86,BB$4&lt;$D86+'Incremental Repayments'!$I$31),-PMT('Interest Rate'!$J$16,'Incremental Repayments'!$I$31,(HLOOKUP($D86,$E$4:$CZ$32,28,FALSE)*'Incremental Repayments'!$I$22)),0),0)</f>
        <v>0</v>
      </c>
      <c r="BC86" s="477">
        <f>IF('Incremental Repayments'!$R$22="Debt",IF(AND(BC$4&gt;=$D86,BC$4&lt;$D86+'Incremental Repayments'!$I$31),-PMT('Interest Rate'!$J$16,'Incremental Repayments'!$I$31,(HLOOKUP($D86,$E$4:$CZ$32,28,FALSE)*'Incremental Repayments'!$I$22)),0),0)</f>
        <v>0</v>
      </c>
      <c r="BD86" s="477">
        <f>IF('Incremental Repayments'!$R$22="Debt",IF(AND(BD$4&gt;=$D86,BD$4&lt;$D86+'Incremental Repayments'!$I$31),-PMT('Interest Rate'!$J$16,'Incremental Repayments'!$I$31,(HLOOKUP($D86,$E$4:$CZ$32,28,FALSE)*'Incremental Repayments'!$I$22)),0),0)</f>
        <v>0</v>
      </c>
      <c r="BE86" s="477">
        <f>IF('Incremental Repayments'!$R$22="Debt",IF(AND(BE$4&gt;=$D86,BE$4&lt;$D86+'Incremental Repayments'!$I$31),-PMT('Interest Rate'!$J$16,'Incremental Repayments'!$I$31,(HLOOKUP($D86,$E$4:$CZ$32,28,FALSE)*'Incremental Repayments'!$I$22)),0),0)</f>
        <v>0</v>
      </c>
      <c r="BF86" s="477">
        <f>IF('Incremental Repayments'!$R$22="Debt",IF(AND(BF$4&gt;=$D86,BF$4&lt;$D86+'Incremental Repayments'!$I$31),-PMT('Interest Rate'!$J$16,'Incremental Repayments'!$I$31,(HLOOKUP($D86,$E$4:$CZ$32,28,FALSE)*'Incremental Repayments'!$I$22)),0),0)</f>
        <v>0</v>
      </c>
      <c r="BG86" s="477">
        <f>IF('Incremental Repayments'!$R$22="Debt",IF(AND(BG$4&gt;=$D86,BG$4&lt;$D86+'Incremental Repayments'!$I$31),-PMT('Interest Rate'!$J$16,'Incremental Repayments'!$I$31,(HLOOKUP($D86,$E$4:$CZ$32,28,FALSE)*'Incremental Repayments'!$I$22)),0),0)</f>
        <v>0</v>
      </c>
      <c r="BH86" s="477">
        <f>IF('Incremental Repayments'!$R$22="Debt",IF(AND(BH$4&gt;=$D86,BH$4&lt;$D86+'Incremental Repayments'!$I$31),-PMT('Interest Rate'!$J$16,'Incremental Repayments'!$I$31,(HLOOKUP($D86,$E$4:$CZ$32,28,FALSE)*'Incremental Repayments'!$I$22)),0),0)</f>
        <v>0</v>
      </c>
      <c r="BI86" s="477">
        <f>IF('Incremental Repayments'!$R$22="Debt",IF(AND(BI$4&gt;=$D86,BI$4&lt;$D86+'Incremental Repayments'!$I$31),-PMT('Interest Rate'!$J$16,'Incremental Repayments'!$I$31,(HLOOKUP($D86,$E$4:$CZ$32,28,FALSE)*'Incremental Repayments'!$I$22)),0),0)</f>
        <v>0</v>
      </c>
      <c r="BJ86" s="477">
        <f>IF('Incremental Repayments'!$R$22="Debt",IF(AND(BJ$4&gt;=$D86,BJ$4&lt;$D86+'Incremental Repayments'!$I$31),-PMT('Interest Rate'!$J$16,'Incremental Repayments'!$I$31,(HLOOKUP($D86,$E$4:$CZ$32,28,FALSE)*'Incremental Repayments'!$I$22)),0),0)</f>
        <v>0</v>
      </c>
      <c r="BK86" s="477">
        <f>IF('Incremental Repayments'!$R$22="Debt",IF(AND(BK$4&gt;=$D86,BK$4&lt;$D86+'Incremental Repayments'!$I$31),-PMT('Interest Rate'!$J$16,'Incremental Repayments'!$I$31,(HLOOKUP($D86,$E$4:$CZ$32,28,FALSE)*'Incremental Repayments'!$I$22)),0),0)</f>
        <v>0</v>
      </c>
      <c r="BL86" s="477">
        <f>IF('Incremental Repayments'!$R$22="Debt",IF(AND(BL$4&gt;=$D86,BL$4&lt;$D86+'Incremental Repayments'!$I$31),-PMT('Interest Rate'!$J$16,'Incremental Repayments'!$I$31,(HLOOKUP($D86,$E$4:$CZ$32,28,FALSE)*'Incremental Repayments'!$I$22)),0),0)</f>
        <v>0</v>
      </c>
      <c r="BM86" s="477">
        <f>IF('Incremental Repayments'!$R$22="Debt",IF(AND(BM$4&gt;=$D86,BM$4&lt;$D86+'Incremental Repayments'!$I$31),-PMT('Interest Rate'!$J$16,'Incremental Repayments'!$I$31,(HLOOKUP($D86,$E$4:$CZ$32,28,FALSE)*'Incremental Repayments'!$I$22)),0),0)</f>
        <v>0</v>
      </c>
      <c r="BN86" s="477">
        <f>IF('Incremental Repayments'!$R$22="Debt",IF(AND(BN$4&gt;=$D86,BN$4&lt;$D86+'Incremental Repayments'!$I$31),-PMT('Interest Rate'!$J$16,'Incremental Repayments'!$I$31,(HLOOKUP($D86,$E$4:$CZ$32,28,FALSE)*'Incremental Repayments'!$I$22)),0),0)</f>
        <v>0</v>
      </c>
      <c r="BO86" s="477">
        <f>IF('Incremental Repayments'!$R$22="Debt",IF(AND(BO$4&gt;=$D86,BO$4&lt;$D86+'Incremental Repayments'!$I$31),-PMT('Interest Rate'!$J$16,'Incremental Repayments'!$I$31,(HLOOKUP($D86,$E$4:$CZ$32,28,FALSE)*'Incremental Repayments'!$I$22)),0),0)</f>
        <v>0</v>
      </c>
      <c r="BP86" s="477">
        <f>IF('Incremental Repayments'!$R$22="Debt",IF(AND(BP$4&gt;=$D86,BP$4&lt;$D86+'Incremental Repayments'!$I$31),-PMT('Interest Rate'!$J$16,'Incremental Repayments'!$I$31,(HLOOKUP($D86,$E$4:$CZ$32,28,FALSE)*'Incremental Repayments'!$I$22)),0),0)</f>
        <v>0</v>
      </c>
      <c r="BQ86" s="477">
        <f>IF('Incremental Repayments'!$R$22="Debt",IF(AND(BQ$4&gt;=$D86,BQ$4&lt;$D86+'Incremental Repayments'!$I$31),-PMT('Interest Rate'!$J$16,'Incremental Repayments'!$I$31,(HLOOKUP($D86,$E$4:$CZ$32,28,FALSE)*'Incremental Repayments'!$I$22)),0),0)</f>
        <v>0</v>
      </c>
      <c r="BR86" s="477">
        <f>IF('Incremental Repayments'!$R$22="Debt",IF(AND(BR$4&gt;=$D86,BR$4&lt;$D86+'Incremental Repayments'!$I$31),-PMT('Interest Rate'!$J$16,'Incremental Repayments'!$I$31,(HLOOKUP($D86,$E$4:$CZ$32,28,FALSE)*'Incremental Repayments'!$I$22)),0),0)</f>
        <v>0</v>
      </c>
      <c r="BS86" s="477">
        <f>IF('Incremental Repayments'!$R$22="Debt",IF(AND(BS$4&gt;=$D86,BS$4&lt;$D86+'Incremental Repayments'!$I$31),-PMT('Interest Rate'!$J$16,'Incremental Repayments'!$I$31,(HLOOKUP($D86,$E$4:$CZ$32,28,FALSE)*'Incremental Repayments'!$I$22)),0),0)</f>
        <v>0</v>
      </c>
      <c r="BT86" s="477">
        <f>IF('Incremental Repayments'!$R$22="Debt",IF(AND(BT$4&gt;=$D86,BT$4&lt;$D86+'Incremental Repayments'!$I$31),-PMT('Interest Rate'!$J$16,'Incremental Repayments'!$I$31,(HLOOKUP($D86,$E$4:$CZ$32,28,FALSE)*'Incremental Repayments'!$I$22)),0),0)</f>
        <v>0</v>
      </c>
      <c r="BU86" s="477">
        <f>IF('Incremental Repayments'!$R$22="Debt",IF(AND(BU$4&gt;=$D86,BU$4&lt;$D86+'Incremental Repayments'!$I$31),-PMT('Interest Rate'!$J$16,'Incremental Repayments'!$I$31,(HLOOKUP($D86,$E$4:$CZ$32,28,FALSE)*'Incremental Repayments'!$I$22)),0),0)</f>
        <v>0</v>
      </c>
      <c r="BV86" s="477">
        <f>IF('Incremental Repayments'!$R$22="Debt",IF(AND(BV$4&gt;=$D86,BV$4&lt;$D86+'Incremental Repayments'!$I$31),-PMT('Interest Rate'!$J$16,'Incremental Repayments'!$I$31,(HLOOKUP($D86,$E$4:$CZ$32,28,FALSE)*'Incremental Repayments'!$I$22)),0),0)</f>
        <v>0</v>
      </c>
      <c r="BW86" s="477">
        <f>IF('Incremental Repayments'!$R$22="Debt",IF(AND(BW$4&gt;=$D86,BW$4&lt;$D86+'Incremental Repayments'!$I$31),-PMT('Interest Rate'!$J$16,'Incremental Repayments'!$I$31,(HLOOKUP($D86,$E$4:$CZ$32,28,FALSE)*'Incremental Repayments'!$I$22)),0),0)</f>
        <v>0</v>
      </c>
      <c r="BX86" s="477">
        <f>IF('Incremental Repayments'!$R$22="Debt",IF(AND(BX$4&gt;=$D86,BX$4&lt;$D86+'Incremental Repayments'!$I$31),-PMT('Interest Rate'!$J$16,'Incremental Repayments'!$I$31,(HLOOKUP($D86,$E$4:$CZ$32,28,FALSE)*'Incremental Repayments'!$I$22)),0),0)</f>
        <v>0</v>
      </c>
      <c r="BY86" s="477">
        <f>IF('Incremental Repayments'!$R$22="Debt",IF(AND(BY$4&gt;=$D86,BY$4&lt;$D86+'Incremental Repayments'!$I$31),-PMT('Interest Rate'!$J$16,'Incremental Repayments'!$I$31,(HLOOKUP($D86,$E$4:$CZ$32,28,FALSE)*'Incremental Repayments'!$I$22)),0),0)</f>
        <v>0</v>
      </c>
      <c r="BZ86" s="477">
        <f>IF('Incremental Repayments'!$R$22="Debt",IF(AND(BZ$4&gt;=$D86,BZ$4&lt;$D86+'Incremental Repayments'!$I$31),-PMT('Interest Rate'!$J$16,'Incremental Repayments'!$I$31,(HLOOKUP($D86,$E$4:$CZ$32,28,FALSE)*'Incremental Repayments'!$I$22)),0),0)</f>
        <v>0</v>
      </c>
      <c r="CA86" s="477">
        <f>IF('Incremental Repayments'!$R$22="Debt",IF(AND(CA$4&gt;=$D86,CA$4&lt;$D86+'Incremental Repayments'!$I$31),-PMT('Interest Rate'!$J$16,'Incremental Repayments'!$I$31,(HLOOKUP($D86,$E$4:$CZ$32,28,FALSE)*'Incremental Repayments'!$I$22)),0),0)</f>
        <v>0</v>
      </c>
      <c r="CB86" s="477">
        <f>IF('Incremental Repayments'!$R$22="Debt",IF(AND(CB$4&gt;=$D86,CB$4&lt;$D86+'Incremental Repayments'!$I$31),-PMT('Interest Rate'!$J$16,'Incremental Repayments'!$I$31,(HLOOKUP($D86,$E$4:$CZ$32,28,FALSE)*'Incremental Repayments'!$I$22)),0),0)</f>
        <v>0</v>
      </c>
      <c r="CC86" s="477">
        <f>IF('Incremental Repayments'!$R$22="Debt",IF(AND(CC$4&gt;=$D86,CC$4&lt;$D86+'Incremental Repayments'!$I$31),-PMT('Interest Rate'!$J$16,'Incremental Repayments'!$I$31,(HLOOKUP($D86,$E$4:$CZ$32,28,FALSE)*'Incremental Repayments'!$I$22)),0),0)</f>
        <v>0</v>
      </c>
      <c r="CD86" s="477">
        <f>IF('Incremental Repayments'!$R$22="Debt",IF(AND(CD$4&gt;=$D86,CD$4&lt;$D86+'Incremental Repayments'!$I$31),-PMT('Interest Rate'!$J$16,'Incremental Repayments'!$I$31,(HLOOKUP($D86,$E$4:$CZ$32,28,FALSE)*'Incremental Repayments'!$I$22)),0),0)</f>
        <v>0</v>
      </c>
      <c r="CE86" s="477">
        <f>IF('Incremental Repayments'!$R$22="Debt",IF(AND(CE$4&gt;=$D86,CE$4&lt;$D86+'Incremental Repayments'!$I$31),-PMT('Interest Rate'!$J$16,'Incremental Repayments'!$I$31,(HLOOKUP($D86,$E$4:$CZ$32,28,FALSE)*'Incremental Repayments'!$I$22)),0),0)</f>
        <v>0</v>
      </c>
      <c r="CF86" s="477">
        <f>IF('Incremental Repayments'!$R$22="Debt",IF(AND(CF$4&gt;=$D86,CF$4&lt;$D86+'Incremental Repayments'!$I$31),-PMT('Interest Rate'!$J$16,'Incremental Repayments'!$I$31,(HLOOKUP($D86,$E$4:$CZ$32,28,FALSE)*'Incremental Repayments'!$I$22)),0),0)</f>
        <v>0</v>
      </c>
      <c r="CG86" s="477">
        <f>IF('Incremental Repayments'!$R$22="Debt",IF(AND(CG$4&gt;=$D86,CG$4&lt;$D86+'Incremental Repayments'!$I$31),-PMT('Interest Rate'!$J$16,'Incremental Repayments'!$I$31,(HLOOKUP($D86,$E$4:$CZ$32,28,FALSE)*'Incremental Repayments'!$I$22)),0),0)</f>
        <v>0</v>
      </c>
      <c r="CH86" s="477">
        <f>IF('Incremental Repayments'!$R$22="Debt",IF(AND(CH$4&gt;=$D86,CH$4&lt;$D86+'Incremental Repayments'!$I$31),-PMT('Interest Rate'!$J$16,'Incremental Repayments'!$I$31,(HLOOKUP($D86,$E$4:$CZ$32,28,FALSE)*'Incremental Repayments'!$I$22)),0),0)</f>
        <v>0</v>
      </c>
      <c r="CI86" s="477">
        <f>IF('Incremental Repayments'!$R$22="Debt",IF(AND(CI$4&gt;=$D86,CI$4&lt;$D86+'Incremental Repayments'!$I$31),-PMT('Interest Rate'!$J$16,'Incremental Repayments'!$I$31,(HLOOKUP($D86,$E$4:$CZ$32,28,FALSE)*'Incremental Repayments'!$I$22)),0),0)</f>
        <v>0</v>
      </c>
      <c r="CJ86" s="477">
        <f>IF('Incremental Repayments'!$R$22="Debt",IF(AND(CJ$4&gt;=$D86,CJ$4&lt;$D86+'Incremental Repayments'!$I$31),-PMT('Interest Rate'!$J$16,'Incremental Repayments'!$I$31,(HLOOKUP($D86,$E$4:$CZ$32,28,FALSE)*'Incremental Repayments'!$I$22)),0),0)</f>
        <v>0</v>
      </c>
      <c r="CK86" s="477">
        <f>IF('Incremental Repayments'!$R$22="Debt",IF(AND(CK$4&gt;=$D86,CK$4&lt;$D86+'Incremental Repayments'!$I$31),-PMT('Interest Rate'!$J$16,'Incremental Repayments'!$I$31,(HLOOKUP($D86,$E$4:$CZ$32,28,FALSE)*'Incremental Repayments'!$I$22)),0),0)</f>
        <v>0</v>
      </c>
      <c r="CL86" s="477">
        <f>IF('Incremental Repayments'!$R$22="Debt",IF(AND(CL$4&gt;=$D86,CL$4&lt;$D86+'Incremental Repayments'!$I$31),-PMT('Interest Rate'!$J$16,'Incremental Repayments'!$I$31,(HLOOKUP($D86,$E$4:$CZ$32,28,FALSE)*'Incremental Repayments'!$I$22)),0),0)</f>
        <v>0</v>
      </c>
      <c r="CM86" s="477">
        <f>IF('Incremental Repayments'!$R$22="Debt",IF(AND(CM$4&gt;=$D86,CM$4&lt;$D86+'Incremental Repayments'!$I$31),-PMT('Interest Rate'!$J$16,'Incremental Repayments'!$I$31,(HLOOKUP($D86,$E$4:$CZ$32,28,FALSE)*'Incremental Repayments'!$I$22)),0),0)</f>
        <v>0</v>
      </c>
      <c r="CN86" s="477">
        <f>IF('Incremental Repayments'!$R$22="Debt",IF(AND(CN$4&gt;=$D86,CN$4&lt;$D86+'Incremental Repayments'!$I$31),-PMT('Interest Rate'!$J$16,'Incremental Repayments'!$I$31,(HLOOKUP($D86,$E$4:$CZ$32,28,FALSE)*'Incremental Repayments'!$I$22)),0),0)</f>
        <v>0</v>
      </c>
      <c r="CO86" s="477">
        <f>IF('Incremental Repayments'!$R$22="Debt",IF(AND(CO$4&gt;=$D86,CO$4&lt;$D86+'Incremental Repayments'!$I$31),-PMT('Interest Rate'!$J$16,'Incremental Repayments'!$I$31,(HLOOKUP($D86,$E$4:$CZ$32,28,FALSE)*'Incremental Repayments'!$I$22)),0),0)</f>
        <v>0</v>
      </c>
      <c r="CP86" s="477">
        <f>IF('Incremental Repayments'!$R$22="Debt",IF(AND(CP$4&gt;=$D86,CP$4&lt;$D86+'Incremental Repayments'!$I$31),-PMT('Interest Rate'!$J$16,'Incremental Repayments'!$I$31,(HLOOKUP($D86,$E$4:$CZ$32,28,FALSE)*'Incremental Repayments'!$I$22)),0),0)</f>
        <v>0</v>
      </c>
      <c r="CQ86" s="477">
        <f>IF('Incremental Repayments'!$R$22="Debt",IF(AND(CQ$4&gt;=$D86,CQ$4&lt;$D86+'Incremental Repayments'!$I$31),-PMT('Interest Rate'!$J$16,'Incremental Repayments'!$I$31,(HLOOKUP($D86,$E$4:$CZ$32,28,FALSE)*'Incremental Repayments'!$I$22)),0),0)</f>
        <v>0</v>
      </c>
      <c r="CR86" s="477">
        <f>IF('Incremental Repayments'!$R$22="Debt",IF(AND(CR$4&gt;=$D86,CR$4&lt;$D86+'Incremental Repayments'!$I$31),-PMT('Interest Rate'!$J$16,'Incremental Repayments'!$I$31,(HLOOKUP($D86,$E$4:$CZ$32,28,FALSE)*'Incremental Repayments'!$I$22)),0),0)</f>
        <v>0</v>
      </c>
      <c r="CS86" s="477">
        <f>IF('Incremental Repayments'!$R$22="Debt",IF(AND(CS$4&gt;=$D86,CS$4&lt;$D86+'Incremental Repayments'!$I$31),-PMT('Interest Rate'!$J$16,'Incremental Repayments'!$I$31,(HLOOKUP($D86,$E$4:$CZ$32,28,FALSE)*'Incremental Repayments'!$I$22)),0),0)</f>
        <v>0</v>
      </c>
      <c r="CT86" s="477">
        <f>IF('Incremental Repayments'!$R$22="Debt",IF(AND(CT$4&gt;=$D86,CT$4&lt;$D86+'Incremental Repayments'!$I$31),-PMT('Interest Rate'!$J$16,'Incremental Repayments'!$I$31,(HLOOKUP($D86,$E$4:$CZ$32,28,FALSE)*'Incremental Repayments'!$I$22)),0),0)</f>
        <v>0</v>
      </c>
      <c r="CU86" s="477">
        <f>IF('Incremental Repayments'!$R$22="Debt",IF(AND(CU$4&gt;=$D86,CU$4&lt;$D86+'Incremental Repayments'!$I$31),-PMT('Interest Rate'!$J$16,'Incremental Repayments'!$I$31,(HLOOKUP($D86,$E$4:$CZ$32,28,FALSE)*'Incremental Repayments'!$I$22)),0),0)</f>
        <v>0</v>
      </c>
      <c r="CV86" s="477">
        <f>IF('Incremental Repayments'!$R$22="Debt",IF(AND(CV$4&gt;=$D86,CV$4&lt;$D86+'Incremental Repayments'!$I$31),-PMT('Interest Rate'!$J$16,'Incremental Repayments'!$I$31,(HLOOKUP($D86,$E$4:$CZ$32,28,FALSE)*'Incremental Repayments'!$I$22)),0),0)</f>
        <v>0</v>
      </c>
      <c r="CW86" s="477">
        <f>IF('Incremental Repayments'!$R$22="Debt",IF(AND(CW$4&gt;=$D86,CW$4&lt;$D86+'Incremental Repayments'!$I$31),-PMT('Interest Rate'!$J$16,'Incremental Repayments'!$I$31,(HLOOKUP($D86,$E$4:$CZ$32,28,FALSE)*'Incremental Repayments'!$I$22)),0),0)</f>
        <v>0</v>
      </c>
      <c r="CX86" s="477">
        <f>IF('Incremental Repayments'!$R$22="Debt",IF(AND(CX$4&gt;=$D86,CX$4&lt;$D86+'Incremental Repayments'!$I$31),-PMT('Interest Rate'!$J$16,'Incremental Repayments'!$I$31,(HLOOKUP($D86,$E$4:$CZ$32,28,FALSE)*'Incremental Repayments'!$I$22)),0),0)</f>
        <v>0</v>
      </c>
      <c r="CY86" s="477">
        <f>IF('Incremental Repayments'!$R$22="Debt",IF(AND(CY$4&gt;=$D86,CY$4&lt;$D86+'Incremental Repayments'!$I$31),-PMT('Interest Rate'!$J$16,'Incremental Repayments'!$I$31,(HLOOKUP($D86,$E$4:$CZ$32,28,FALSE)*'Incremental Repayments'!$I$22)),0),0)</f>
        <v>0</v>
      </c>
      <c r="CZ86" s="477">
        <f>IF('Incremental Repayments'!$R$22="Debt",IF(AND(CZ$4&gt;=$D86,CZ$4&lt;$D86+'Incremental Repayments'!$I$31),-PMT('Interest Rate'!$J$16,'Incremental Repayments'!$I$31,(HLOOKUP($D86,$E$4:$CZ$32,28,FALSE)*'Incremental Repayments'!$I$22)),0),0)</f>
        <v>0</v>
      </c>
    </row>
    <row r="87" spans="2:104" x14ac:dyDescent="0.25">
      <c r="B87" s="480" t="str">
        <f>CONCATENATE("Series ",D87,"A Bonds (at ",'Interest Rate'!$J$16*100,"% Interest)")</f>
        <v>Series 2065A Bonds (at 4.5% Interest)</v>
      </c>
      <c r="C87" s="480"/>
      <c r="D87" s="492">
        <f t="shared" si="494"/>
        <v>2065</v>
      </c>
      <c r="E87" s="477">
        <f>IF('Incremental Repayments'!$R$22="Debt",IF(AND(E$4&gt;=$D87,E$4&lt;$D87+'Incremental Repayments'!$I$31),-PMT('Interest Rate'!$J$16,'Incremental Repayments'!$I$31,(HLOOKUP($D87,$E$4:$CZ$32,28,FALSE)*'Incremental Repayments'!$I$22)),0),0)</f>
        <v>0</v>
      </c>
      <c r="F87" s="477">
        <f>IF('Incremental Repayments'!$R$22="Debt",IF(AND(F$4&gt;=$D87,F$4&lt;$D87+'Incremental Repayments'!$I$31),-PMT('Interest Rate'!$J$16,'Incremental Repayments'!$I$31,(HLOOKUP($D87,$E$4:$CZ$32,28,FALSE)*'Incremental Repayments'!$I$22)),0),0)</f>
        <v>0</v>
      </c>
      <c r="G87" s="477">
        <f>IF('Incremental Repayments'!$R$22="Debt",IF(AND(G$4&gt;=$D87,G$4&lt;$D87+'Incremental Repayments'!$I$31),-PMT('Interest Rate'!$J$16,'Incremental Repayments'!$I$31,(HLOOKUP($D87,$E$4:$CZ$32,28,FALSE)*'Incremental Repayments'!$I$22)),0),0)</f>
        <v>0</v>
      </c>
      <c r="H87" s="477">
        <f>IF('Incremental Repayments'!$R$22="Debt",IF(AND(H$4&gt;=$D87,H$4&lt;$D87+'Incremental Repayments'!$I$31),-PMT('Interest Rate'!$J$16,'Incremental Repayments'!$I$31,(HLOOKUP($D87,$E$4:$CZ$32,28,FALSE)*'Incremental Repayments'!$I$22)),0),0)</f>
        <v>0</v>
      </c>
      <c r="I87" s="477">
        <f>IF('Incremental Repayments'!$R$22="Debt",IF(AND(I$4&gt;=$D87,I$4&lt;$D87+'Incremental Repayments'!$I$31),-PMT('Interest Rate'!$J$16,'Incremental Repayments'!$I$31,(HLOOKUP($D87,$E$4:$CZ$32,28,FALSE)*'Incremental Repayments'!$I$22)),0),0)</f>
        <v>0</v>
      </c>
      <c r="J87" s="477">
        <f>IF('Incremental Repayments'!$R$22="Debt",IF(AND(J$4&gt;=$D87,J$4&lt;$D87+'Incremental Repayments'!$I$31),-PMT('Interest Rate'!$J$16,'Incremental Repayments'!$I$31,(HLOOKUP($D87,$E$4:$CZ$32,28,FALSE)*'Incremental Repayments'!$I$22)),0),0)</f>
        <v>0</v>
      </c>
      <c r="K87" s="477">
        <f>IF('Incremental Repayments'!$R$22="Debt",IF(AND(K$4&gt;=$D87,K$4&lt;$D87+'Incremental Repayments'!$I$31),-PMT('Interest Rate'!$J$16,'Incremental Repayments'!$I$31,(HLOOKUP($D87,$E$4:$CZ$32,28,FALSE)*'Incremental Repayments'!$I$22)),0),0)</f>
        <v>0</v>
      </c>
      <c r="L87" s="477">
        <f>IF('Incremental Repayments'!$R$22="Debt",IF(AND(L$4&gt;=$D87,L$4&lt;$D87+'Incremental Repayments'!$I$31),-PMT('Interest Rate'!$J$16,'Incremental Repayments'!$I$31,(HLOOKUP($D87,$E$4:$CZ$32,28,FALSE)*'Incremental Repayments'!$I$22)),0),0)</f>
        <v>0</v>
      </c>
      <c r="M87" s="477">
        <f>IF('Incremental Repayments'!$R$22="Debt",IF(AND(M$4&gt;=$D87,M$4&lt;$D87+'Incremental Repayments'!$I$31),-PMT('Interest Rate'!$J$16,'Incremental Repayments'!$I$31,(HLOOKUP($D87,$E$4:$CZ$32,28,FALSE)*'Incremental Repayments'!$I$22)),0),0)</f>
        <v>0</v>
      </c>
      <c r="N87" s="477">
        <f>IF('Incremental Repayments'!$R$22="Debt",IF(AND(N$4&gt;=$D87,N$4&lt;$D87+'Incremental Repayments'!$I$31),-PMT('Interest Rate'!$J$16,'Incremental Repayments'!$I$31,(HLOOKUP($D87,$E$4:$CZ$32,28,FALSE)*'Incremental Repayments'!$I$22)),0),0)</f>
        <v>0</v>
      </c>
      <c r="O87" s="477">
        <f>IF('Incremental Repayments'!$R$22="Debt",IF(AND(O$4&gt;=$D87,O$4&lt;$D87+'Incremental Repayments'!$I$31),-PMT('Interest Rate'!$J$16,'Incremental Repayments'!$I$31,(HLOOKUP($D87,$E$4:$CZ$32,28,FALSE)*'Incremental Repayments'!$I$22)),0),0)</f>
        <v>0</v>
      </c>
      <c r="P87" s="477">
        <f>IF('Incremental Repayments'!$R$22="Debt",IF(AND(P$4&gt;=$D87,P$4&lt;$D87+'Incremental Repayments'!$I$31),-PMT('Interest Rate'!$J$16,'Incremental Repayments'!$I$31,(HLOOKUP($D87,$E$4:$CZ$32,28,FALSE)*'Incremental Repayments'!$I$22)),0),0)</f>
        <v>0</v>
      </c>
      <c r="Q87" s="477">
        <f>IF('Incremental Repayments'!$R$22="Debt",IF(AND(Q$4&gt;=$D87,Q$4&lt;$D87+'Incremental Repayments'!$I$31),-PMT('Interest Rate'!$J$16,'Incremental Repayments'!$I$31,(HLOOKUP($D87,$E$4:$CZ$32,28,FALSE)*'Incremental Repayments'!$I$22)),0),0)</f>
        <v>0</v>
      </c>
      <c r="R87" s="477">
        <f>IF('Incremental Repayments'!$R$22="Debt",IF(AND(R$4&gt;=$D87,R$4&lt;$D87+'Incremental Repayments'!$I$31),-PMT('Interest Rate'!$J$16,'Incremental Repayments'!$I$31,(HLOOKUP($D87,$E$4:$CZ$32,28,FALSE)*'Incremental Repayments'!$I$22)),0),0)</f>
        <v>0</v>
      </c>
      <c r="S87" s="477">
        <f>IF('Incremental Repayments'!$R$22="Debt",IF(AND(S$4&gt;=$D87,S$4&lt;$D87+'Incremental Repayments'!$I$31),-PMT('Interest Rate'!$J$16,'Incremental Repayments'!$I$31,(HLOOKUP($D87,$E$4:$CZ$32,28,FALSE)*'Incremental Repayments'!$I$22)),0),0)</f>
        <v>0</v>
      </c>
      <c r="T87" s="477">
        <f>IF('Incremental Repayments'!$R$22="Debt",IF(AND(T$4&gt;=$D87,T$4&lt;$D87+'Incremental Repayments'!$I$31),-PMT('Interest Rate'!$J$16,'Incremental Repayments'!$I$31,(HLOOKUP($D87,$E$4:$CZ$32,28,FALSE)*'Incremental Repayments'!$I$22)),0),0)</f>
        <v>0</v>
      </c>
      <c r="U87" s="477">
        <f>IF('Incremental Repayments'!$R$22="Debt",IF(AND(U$4&gt;=$D87,U$4&lt;$D87+'Incremental Repayments'!$I$31),-PMT('Interest Rate'!$J$16,'Incremental Repayments'!$I$31,(HLOOKUP($D87,$E$4:$CZ$32,28,FALSE)*'Incremental Repayments'!$I$22)),0),0)</f>
        <v>0</v>
      </c>
      <c r="V87" s="477">
        <f>IF('Incremental Repayments'!$R$22="Debt",IF(AND(V$4&gt;=$D87,V$4&lt;$D87+'Incremental Repayments'!$I$31),-PMT('Interest Rate'!$J$16,'Incremental Repayments'!$I$31,(HLOOKUP($D87,$E$4:$CZ$32,28,FALSE)*'Incremental Repayments'!$I$22)),0),0)</f>
        <v>0</v>
      </c>
      <c r="W87" s="477">
        <f>IF('Incremental Repayments'!$R$22="Debt",IF(AND(W$4&gt;=$D87,W$4&lt;$D87+'Incremental Repayments'!$I$31),-PMT('Interest Rate'!$J$16,'Incremental Repayments'!$I$31,(HLOOKUP($D87,$E$4:$CZ$32,28,FALSE)*'Incremental Repayments'!$I$22)),0),0)</f>
        <v>0</v>
      </c>
      <c r="X87" s="477">
        <f>IF('Incremental Repayments'!$R$22="Debt",IF(AND(X$4&gt;=$D87,X$4&lt;$D87+'Incremental Repayments'!$I$31),-PMT('Interest Rate'!$J$16,'Incremental Repayments'!$I$31,(HLOOKUP($D87,$E$4:$CZ$32,28,FALSE)*'Incremental Repayments'!$I$22)),0),0)</f>
        <v>0</v>
      </c>
      <c r="Y87" s="477">
        <f>IF('Incremental Repayments'!$R$22="Debt",IF(AND(Y$4&gt;=$D87,Y$4&lt;$D87+'Incremental Repayments'!$I$31),-PMT('Interest Rate'!$J$16,'Incremental Repayments'!$I$31,(HLOOKUP($D87,$E$4:$CZ$32,28,FALSE)*'Incremental Repayments'!$I$22)),0),0)</f>
        <v>0</v>
      </c>
      <c r="Z87" s="477">
        <f>IF('Incremental Repayments'!$R$22="Debt",IF(AND(Z$4&gt;=$D87,Z$4&lt;$D87+'Incremental Repayments'!$I$31),-PMT('Interest Rate'!$J$16,'Incremental Repayments'!$I$31,(HLOOKUP($D87,$E$4:$CZ$32,28,FALSE)*'Incremental Repayments'!$I$22)),0),0)</f>
        <v>0</v>
      </c>
      <c r="AA87" s="477">
        <f>IF('Incremental Repayments'!$R$22="Debt",IF(AND(AA$4&gt;=$D87,AA$4&lt;$D87+'Incremental Repayments'!$I$31),-PMT('Interest Rate'!$J$16,'Incremental Repayments'!$I$31,(HLOOKUP($D87,$E$4:$CZ$32,28,FALSE)*'Incremental Repayments'!$I$22)),0),0)</f>
        <v>0</v>
      </c>
      <c r="AB87" s="477">
        <f>IF('Incremental Repayments'!$R$22="Debt",IF(AND(AB$4&gt;=$D87,AB$4&lt;$D87+'Incremental Repayments'!$I$31),-PMT('Interest Rate'!$J$16,'Incremental Repayments'!$I$31,(HLOOKUP($D87,$E$4:$CZ$32,28,FALSE)*'Incremental Repayments'!$I$22)),0),0)</f>
        <v>0</v>
      </c>
      <c r="AC87" s="477">
        <f>IF('Incremental Repayments'!$R$22="Debt",IF(AND(AC$4&gt;=$D87,AC$4&lt;$D87+'Incremental Repayments'!$I$31),-PMT('Interest Rate'!$J$16,'Incremental Repayments'!$I$31,(HLOOKUP($D87,$E$4:$CZ$32,28,FALSE)*'Incremental Repayments'!$I$22)),0),0)</f>
        <v>0</v>
      </c>
      <c r="AD87" s="477">
        <f>IF('Incremental Repayments'!$R$22="Debt",IF(AND(AD$4&gt;=$D87,AD$4&lt;$D87+'Incremental Repayments'!$I$31),-PMT('Interest Rate'!$J$16,'Incremental Repayments'!$I$31,(HLOOKUP($D87,$E$4:$CZ$32,28,FALSE)*'Incremental Repayments'!$I$22)),0),0)</f>
        <v>0</v>
      </c>
      <c r="AE87" s="477">
        <f>IF('Incremental Repayments'!$R$22="Debt",IF(AND(AE$4&gt;=$D87,AE$4&lt;$D87+'Incremental Repayments'!$I$31),-PMT('Interest Rate'!$J$16,'Incremental Repayments'!$I$31,(HLOOKUP($D87,$E$4:$CZ$32,28,FALSE)*'Incremental Repayments'!$I$22)),0),0)</f>
        <v>0</v>
      </c>
      <c r="AF87" s="477">
        <f>IF('Incremental Repayments'!$R$22="Debt",IF(AND(AF$4&gt;=$D87,AF$4&lt;$D87+'Incremental Repayments'!$I$31),-PMT('Interest Rate'!$J$16,'Incremental Repayments'!$I$31,(HLOOKUP($D87,$E$4:$CZ$32,28,FALSE)*'Incremental Repayments'!$I$22)),0),0)</f>
        <v>0</v>
      </c>
      <c r="AG87" s="477">
        <f>IF('Incremental Repayments'!$R$22="Debt",IF(AND(AG$4&gt;=$D87,AG$4&lt;$D87+'Incremental Repayments'!$I$31),-PMT('Interest Rate'!$J$16,'Incremental Repayments'!$I$31,(HLOOKUP($D87,$E$4:$CZ$32,28,FALSE)*'Incremental Repayments'!$I$22)),0),0)</f>
        <v>0</v>
      </c>
      <c r="AH87" s="477">
        <f>IF('Incremental Repayments'!$R$22="Debt",IF(AND(AH$4&gt;=$D87,AH$4&lt;$D87+'Incremental Repayments'!$I$31),-PMT('Interest Rate'!$J$16,'Incremental Repayments'!$I$31,(HLOOKUP($D87,$E$4:$CZ$32,28,FALSE)*'Incremental Repayments'!$I$22)),0),0)</f>
        <v>0</v>
      </c>
      <c r="AI87" s="477">
        <f>IF('Incremental Repayments'!$R$22="Debt",IF(AND(AI$4&gt;=$D87,AI$4&lt;$D87+'Incremental Repayments'!$I$31),-PMT('Interest Rate'!$J$16,'Incremental Repayments'!$I$31,(HLOOKUP($D87,$E$4:$CZ$32,28,FALSE)*'Incremental Repayments'!$I$22)),0),0)</f>
        <v>0</v>
      </c>
      <c r="AJ87" s="477">
        <f>IF('Incremental Repayments'!$R$22="Debt",IF(AND(AJ$4&gt;=$D87,AJ$4&lt;$D87+'Incremental Repayments'!$I$31),-PMT('Interest Rate'!$J$16,'Incremental Repayments'!$I$31,(HLOOKUP($D87,$E$4:$CZ$32,28,FALSE)*'Incremental Repayments'!$I$22)),0),0)</f>
        <v>0</v>
      </c>
      <c r="AK87" s="477">
        <f>IF('Incremental Repayments'!$R$22="Debt",IF(AND(AK$4&gt;=$D87,AK$4&lt;$D87+'Incremental Repayments'!$I$31),-PMT('Interest Rate'!$J$16,'Incremental Repayments'!$I$31,(HLOOKUP($D87,$E$4:$CZ$32,28,FALSE)*'Incremental Repayments'!$I$22)),0),0)</f>
        <v>0</v>
      </c>
      <c r="AL87" s="477">
        <f>IF('Incremental Repayments'!$R$22="Debt",IF(AND(AL$4&gt;=$D87,AL$4&lt;$D87+'Incremental Repayments'!$I$31),-PMT('Interest Rate'!$J$16,'Incremental Repayments'!$I$31,(HLOOKUP($D87,$E$4:$CZ$32,28,FALSE)*'Incremental Repayments'!$I$22)),0),0)</f>
        <v>0</v>
      </c>
      <c r="AM87" s="477">
        <f>IF('Incremental Repayments'!$R$22="Debt",IF(AND(AM$4&gt;=$D87,AM$4&lt;$D87+'Incremental Repayments'!$I$31),-PMT('Interest Rate'!$J$16,'Incremental Repayments'!$I$31,(HLOOKUP($D87,$E$4:$CZ$32,28,FALSE)*'Incremental Repayments'!$I$22)),0),0)</f>
        <v>0</v>
      </c>
      <c r="AN87" s="477">
        <f>IF('Incremental Repayments'!$R$22="Debt",IF(AND(AN$4&gt;=$D87,AN$4&lt;$D87+'Incremental Repayments'!$I$31),-PMT('Interest Rate'!$J$16,'Incremental Repayments'!$I$31,(HLOOKUP($D87,$E$4:$CZ$32,28,FALSE)*'Incremental Repayments'!$I$22)),0),0)</f>
        <v>0</v>
      </c>
      <c r="AO87" s="477">
        <f>IF('Incremental Repayments'!$R$22="Debt",IF(AND(AO$4&gt;=$D87,AO$4&lt;$D87+'Incremental Repayments'!$I$31),-PMT('Interest Rate'!$J$16,'Incremental Repayments'!$I$31,(HLOOKUP($D87,$E$4:$CZ$32,28,FALSE)*'Incremental Repayments'!$I$22)),0),0)</f>
        <v>0</v>
      </c>
      <c r="AP87" s="477">
        <f>IF('Incremental Repayments'!$R$22="Debt",IF(AND(AP$4&gt;=$D87,AP$4&lt;$D87+'Incremental Repayments'!$I$31),-PMT('Interest Rate'!$J$16,'Incremental Repayments'!$I$31,(HLOOKUP($D87,$E$4:$CZ$32,28,FALSE)*'Incremental Repayments'!$I$22)),0),0)</f>
        <v>0</v>
      </c>
      <c r="AQ87" s="477">
        <f>IF('Incremental Repayments'!$R$22="Debt",IF(AND(AQ$4&gt;=$D87,AQ$4&lt;$D87+'Incremental Repayments'!$I$31),-PMT('Interest Rate'!$J$16,'Incremental Repayments'!$I$31,(HLOOKUP($D87,$E$4:$CZ$32,28,FALSE)*'Incremental Repayments'!$I$22)),0),0)</f>
        <v>0</v>
      </c>
      <c r="AR87" s="477">
        <f>IF('Incremental Repayments'!$R$22="Debt",IF(AND(AR$4&gt;=$D87,AR$4&lt;$D87+'Incremental Repayments'!$I$31),-PMT('Interest Rate'!$J$16,'Incremental Repayments'!$I$31,(HLOOKUP($D87,$E$4:$CZ$32,28,FALSE)*'Incremental Repayments'!$I$22)),0),0)</f>
        <v>0</v>
      </c>
      <c r="AS87" s="477">
        <f>IF('Incremental Repayments'!$R$22="Debt",IF(AND(AS$4&gt;=$D87,AS$4&lt;$D87+'Incremental Repayments'!$I$31),-PMT('Interest Rate'!$J$16,'Incremental Repayments'!$I$31,(HLOOKUP($D87,$E$4:$CZ$32,28,FALSE)*'Incremental Repayments'!$I$22)),0),0)</f>
        <v>0</v>
      </c>
      <c r="AT87" s="477">
        <f>IF('Incremental Repayments'!$R$22="Debt",IF(AND(AT$4&gt;=$D87,AT$4&lt;$D87+'Incremental Repayments'!$I$31),-PMT('Interest Rate'!$J$16,'Incremental Repayments'!$I$31,(HLOOKUP($D87,$E$4:$CZ$32,28,FALSE)*'Incremental Repayments'!$I$22)),0),0)</f>
        <v>0</v>
      </c>
      <c r="AU87" s="477">
        <f>IF('Incremental Repayments'!$R$22="Debt",IF(AND(AU$4&gt;=$D87,AU$4&lt;$D87+'Incremental Repayments'!$I$31),-PMT('Interest Rate'!$J$16,'Incremental Repayments'!$I$31,(HLOOKUP($D87,$E$4:$CZ$32,28,FALSE)*'Incremental Repayments'!$I$22)),0),0)</f>
        <v>0</v>
      </c>
      <c r="AV87" s="477">
        <f>IF('Incremental Repayments'!$R$22="Debt",IF(AND(AV$4&gt;=$D87,AV$4&lt;$D87+'Incremental Repayments'!$I$31),-PMT('Interest Rate'!$J$16,'Incremental Repayments'!$I$31,(HLOOKUP($D87,$E$4:$CZ$32,28,FALSE)*'Incremental Repayments'!$I$22)),0),0)</f>
        <v>0</v>
      </c>
      <c r="AW87" s="477">
        <f>IF('Incremental Repayments'!$R$22="Debt",IF(AND(AW$4&gt;=$D87,AW$4&lt;$D87+'Incremental Repayments'!$I$31),-PMT('Interest Rate'!$J$16,'Incremental Repayments'!$I$31,(HLOOKUP($D87,$E$4:$CZ$32,28,FALSE)*'Incremental Repayments'!$I$22)),0),0)</f>
        <v>0</v>
      </c>
      <c r="AX87" s="477">
        <f>IF('Incremental Repayments'!$R$22="Debt",IF(AND(AX$4&gt;=$D87,AX$4&lt;$D87+'Incremental Repayments'!$I$31),-PMT('Interest Rate'!$J$16,'Incremental Repayments'!$I$31,(HLOOKUP($D87,$E$4:$CZ$32,28,FALSE)*'Incremental Repayments'!$I$22)),0),0)</f>
        <v>0</v>
      </c>
      <c r="AY87" s="477">
        <f>IF('Incremental Repayments'!$R$22="Debt",IF(AND(AY$4&gt;=$D87,AY$4&lt;$D87+'Incremental Repayments'!$I$31),-PMT('Interest Rate'!$J$16,'Incremental Repayments'!$I$31,(HLOOKUP($D87,$E$4:$CZ$32,28,FALSE)*'Incremental Repayments'!$I$22)),0),0)</f>
        <v>0</v>
      </c>
      <c r="AZ87" s="477">
        <f>IF('Incremental Repayments'!$R$22="Debt",IF(AND(AZ$4&gt;=$D87,AZ$4&lt;$D87+'Incremental Repayments'!$I$31),-PMT('Interest Rate'!$J$16,'Incremental Repayments'!$I$31,(HLOOKUP($D87,$E$4:$CZ$32,28,FALSE)*'Incremental Repayments'!$I$22)),0),0)</f>
        <v>0</v>
      </c>
      <c r="BA87" s="477">
        <f>IF('Incremental Repayments'!$R$22="Debt",IF(AND(BA$4&gt;=$D87,BA$4&lt;$D87+'Incremental Repayments'!$I$31),-PMT('Interest Rate'!$J$16,'Incremental Repayments'!$I$31,(HLOOKUP($D87,$E$4:$CZ$32,28,FALSE)*'Incremental Repayments'!$I$22)),0),0)</f>
        <v>0</v>
      </c>
      <c r="BB87" s="477">
        <f>IF('Incremental Repayments'!$R$22="Debt",IF(AND(BB$4&gt;=$D87,BB$4&lt;$D87+'Incremental Repayments'!$I$31),-PMT('Interest Rate'!$J$16,'Incremental Repayments'!$I$31,(HLOOKUP($D87,$E$4:$CZ$32,28,FALSE)*'Incremental Repayments'!$I$22)),0),0)</f>
        <v>0</v>
      </c>
      <c r="BC87" s="477">
        <f>IF('Incremental Repayments'!$R$22="Debt",IF(AND(BC$4&gt;=$D87,BC$4&lt;$D87+'Incremental Repayments'!$I$31),-PMT('Interest Rate'!$J$16,'Incremental Repayments'!$I$31,(HLOOKUP($D87,$E$4:$CZ$32,28,FALSE)*'Incremental Repayments'!$I$22)),0),0)</f>
        <v>0</v>
      </c>
      <c r="BD87" s="477">
        <f>IF('Incremental Repayments'!$R$22="Debt",IF(AND(BD$4&gt;=$D87,BD$4&lt;$D87+'Incremental Repayments'!$I$31),-PMT('Interest Rate'!$J$16,'Incremental Repayments'!$I$31,(HLOOKUP($D87,$E$4:$CZ$32,28,FALSE)*'Incremental Repayments'!$I$22)),0),0)</f>
        <v>0</v>
      </c>
      <c r="BE87" s="477">
        <f>IF('Incremental Repayments'!$R$22="Debt",IF(AND(BE$4&gt;=$D87,BE$4&lt;$D87+'Incremental Repayments'!$I$31),-PMT('Interest Rate'!$J$16,'Incremental Repayments'!$I$31,(HLOOKUP($D87,$E$4:$CZ$32,28,FALSE)*'Incremental Repayments'!$I$22)),0),0)</f>
        <v>0</v>
      </c>
      <c r="BF87" s="477">
        <f>IF('Incremental Repayments'!$R$22="Debt",IF(AND(BF$4&gt;=$D87,BF$4&lt;$D87+'Incremental Repayments'!$I$31),-PMT('Interest Rate'!$J$16,'Incremental Repayments'!$I$31,(HLOOKUP($D87,$E$4:$CZ$32,28,FALSE)*'Incremental Repayments'!$I$22)),0),0)</f>
        <v>0</v>
      </c>
      <c r="BG87" s="477">
        <f>IF('Incremental Repayments'!$R$22="Debt",IF(AND(BG$4&gt;=$D87,BG$4&lt;$D87+'Incremental Repayments'!$I$31),-PMT('Interest Rate'!$J$16,'Incremental Repayments'!$I$31,(HLOOKUP($D87,$E$4:$CZ$32,28,FALSE)*'Incremental Repayments'!$I$22)),0),0)</f>
        <v>0</v>
      </c>
      <c r="BH87" s="477">
        <f>IF('Incremental Repayments'!$R$22="Debt",IF(AND(BH$4&gt;=$D87,BH$4&lt;$D87+'Incremental Repayments'!$I$31),-PMT('Interest Rate'!$J$16,'Incremental Repayments'!$I$31,(HLOOKUP($D87,$E$4:$CZ$32,28,FALSE)*'Incremental Repayments'!$I$22)),0),0)</f>
        <v>0</v>
      </c>
      <c r="BI87" s="477">
        <f>IF('Incremental Repayments'!$R$22="Debt",IF(AND(BI$4&gt;=$D87,BI$4&lt;$D87+'Incremental Repayments'!$I$31),-PMT('Interest Rate'!$J$16,'Incremental Repayments'!$I$31,(HLOOKUP($D87,$E$4:$CZ$32,28,FALSE)*'Incremental Repayments'!$I$22)),0),0)</f>
        <v>0</v>
      </c>
      <c r="BJ87" s="477">
        <f>IF('Incremental Repayments'!$R$22="Debt",IF(AND(BJ$4&gt;=$D87,BJ$4&lt;$D87+'Incremental Repayments'!$I$31),-PMT('Interest Rate'!$J$16,'Incremental Repayments'!$I$31,(HLOOKUP($D87,$E$4:$CZ$32,28,FALSE)*'Incremental Repayments'!$I$22)),0),0)</f>
        <v>0</v>
      </c>
      <c r="BK87" s="477">
        <f>IF('Incremental Repayments'!$R$22="Debt",IF(AND(BK$4&gt;=$D87,BK$4&lt;$D87+'Incremental Repayments'!$I$31),-PMT('Interest Rate'!$J$16,'Incremental Repayments'!$I$31,(HLOOKUP($D87,$E$4:$CZ$32,28,FALSE)*'Incremental Repayments'!$I$22)),0),0)</f>
        <v>0</v>
      </c>
      <c r="BL87" s="477">
        <f>IF('Incremental Repayments'!$R$22="Debt",IF(AND(BL$4&gt;=$D87,BL$4&lt;$D87+'Incremental Repayments'!$I$31),-PMT('Interest Rate'!$J$16,'Incremental Repayments'!$I$31,(HLOOKUP($D87,$E$4:$CZ$32,28,FALSE)*'Incremental Repayments'!$I$22)),0),0)</f>
        <v>0</v>
      </c>
      <c r="BM87" s="477">
        <f>IF('Incremental Repayments'!$R$22="Debt",IF(AND(BM$4&gt;=$D87,BM$4&lt;$D87+'Incremental Repayments'!$I$31),-PMT('Interest Rate'!$J$16,'Incremental Repayments'!$I$31,(HLOOKUP($D87,$E$4:$CZ$32,28,FALSE)*'Incremental Repayments'!$I$22)),0),0)</f>
        <v>0</v>
      </c>
      <c r="BN87" s="477">
        <f>IF('Incremental Repayments'!$R$22="Debt",IF(AND(BN$4&gt;=$D87,BN$4&lt;$D87+'Incremental Repayments'!$I$31),-PMT('Interest Rate'!$J$16,'Incremental Repayments'!$I$31,(HLOOKUP($D87,$E$4:$CZ$32,28,FALSE)*'Incremental Repayments'!$I$22)),0),0)</f>
        <v>0</v>
      </c>
      <c r="BO87" s="477">
        <f>IF('Incremental Repayments'!$R$22="Debt",IF(AND(BO$4&gt;=$D87,BO$4&lt;$D87+'Incremental Repayments'!$I$31),-PMT('Interest Rate'!$J$16,'Incremental Repayments'!$I$31,(HLOOKUP($D87,$E$4:$CZ$32,28,FALSE)*'Incremental Repayments'!$I$22)),0),0)</f>
        <v>0</v>
      </c>
      <c r="BP87" s="477">
        <f>IF('Incremental Repayments'!$R$22="Debt",IF(AND(BP$4&gt;=$D87,BP$4&lt;$D87+'Incremental Repayments'!$I$31),-PMT('Interest Rate'!$J$16,'Incremental Repayments'!$I$31,(HLOOKUP($D87,$E$4:$CZ$32,28,FALSE)*'Incremental Repayments'!$I$22)),0),0)</f>
        <v>0</v>
      </c>
      <c r="BQ87" s="477">
        <f>IF('Incremental Repayments'!$R$22="Debt",IF(AND(BQ$4&gt;=$D87,BQ$4&lt;$D87+'Incremental Repayments'!$I$31),-PMT('Interest Rate'!$J$16,'Incremental Repayments'!$I$31,(HLOOKUP($D87,$E$4:$CZ$32,28,FALSE)*'Incremental Repayments'!$I$22)),0),0)</f>
        <v>0</v>
      </c>
      <c r="BR87" s="477">
        <f>IF('Incremental Repayments'!$R$22="Debt",IF(AND(BR$4&gt;=$D87,BR$4&lt;$D87+'Incremental Repayments'!$I$31),-PMT('Interest Rate'!$J$16,'Incremental Repayments'!$I$31,(HLOOKUP($D87,$E$4:$CZ$32,28,FALSE)*'Incremental Repayments'!$I$22)),0),0)</f>
        <v>0</v>
      </c>
      <c r="BS87" s="477">
        <f>IF('Incremental Repayments'!$R$22="Debt",IF(AND(BS$4&gt;=$D87,BS$4&lt;$D87+'Incremental Repayments'!$I$31),-PMT('Interest Rate'!$J$16,'Incremental Repayments'!$I$31,(HLOOKUP($D87,$E$4:$CZ$32,28,FALSE)*'Incremental Repayments'!$I$22)),0),0)</f>
        <v>0</v>
      </c>
      <c r="BT87" s="477">
        <f>IF('Incremental Repayments'!$R$22="Debt",IF(AND(BT$4&gt;=$D87,BT$4&lt;$D87+'Incremental Repayments'!$I$31),-PMT('Interest Rate'!$J$16,'Incremental Repayments'!$I$31,(HLOOKUP($D87,$E$4:$CZ$32,28,FALSE)*'Incremental Repayments'!$I$22)),0),0)</f>
        <v>0</v>
      </c>
      <c r="BU87" s="477">
        <f>IF('Incremental Repayments'!$R$22="Debt",IF(AND(BU$4&gt;=$D87,BU$4&lt;$D87+'Incremental Repayments'!$I$31),-PMT('Interest Rate'!$J$16,'Incremental Repayments'!$I$31,(HLOOKUP($D87,$E$4:$CZ$32,28,FALSE)*'Incremental Repayments'!$I$22)),0),0)</f>
        <v>0</v>
      </c>
      <c r="BV87" s="477">
        <f>IF('Incremental Repayments'!$R$22="Debt",IF(AND(BV$4&gt;=$D87,BV$4&lt;$D87+'Incremental Repayments'!$I$31),-PMT('Interest Rate'!$J$16,'Incremental Repayments'!$I$31,(HLOOKUP($D87,$E$4:$CZ$32,28,FALSE)*'Incremental Repayments'!$I$22)),0),0)</f>
        <v>0</v>
      </c>
      <c r="BW87" s="477">
        <f>IF('Incremental Repayments'!$R$22="Debt",IF(AND(BW$4&gt;=$D87,BW$4&lt;$D87+'Incremental Repayments'!$I$31),-PMT('Interest Rate'!$J$16,'Incremental Repayments'!$I$31,(HLOOKUP($D87,$E$4:$CZ$32,28,FALSE)*'Incremental Repayments'!$I$22)),0),0)</f>
        <v>0</v>
      </c>
      <c r="BX87" s="477">
        <f>IF('Incremental Repayments'!$R$22="Debt",IF(AND(BX$4&gt;=$D87,BX$4&lt;$D87+'Incremental Repayments'!$I$31),-PMT('Interest Rate'!$J$16,'Incremental Repayments'!$I$31,(HLOOKUP($D87,$E$4:$CZ$32,28,FALSE)*'Incremental Repayments'!$I$22)),0),0)</f>
        <v>0</v>
      </c>
      <c r="BY87" s="477">
        <f>IF('Incremental Repayments'!$R$22="Debt",IF(AND(BY$4&gt;=$D87,BY$4&lt;$D87+'Incremental Repayments'!$I$31),-PMT('Interest Rate'!$J$16,'Incremental Repayments'!$I$31,(HLOOKUP($D87,$E$4:$CZ$32,28,FALSE)*'Incremental Repayments'!$I$22)),0),0)</f>
        <v>0</v>
      </c>
      <c r="BZ87" s="477">
        <f>IF('Incremental Repayments'!$R$22="Debt",IF(AND(BZ$4&gt;=$D87,BZ$4&lt;$D87+'Incremental Repayments'!$I$31),-PMT('Interest Rate'!$J$16,'Incremental Repayments'!$I$31,(HLOOKUP($D87,$E$4:$CZ$32,28,FALSE)*'Incremental Repayments'!$I$22)),0),0)</f>
        <v>0</v>
      </c>
      <c r="CA87" s="477">
        <f>IF('Incremental Repayments'!$R$22="Debt",IF(AND(CA$4&gt;=$D87,CA$4&lt;$D87+'Incremental Repayments'!$I$31),-PMT('Interest Rate'!$J$16,'Incremental Repayments'!$I$31,(HLOOKUP($D87,$E$4:$CZ$32,28,FALSE)*'Incremental Repayments'!$I$22)),0),0)</f>
        <v>0</v>
      </c>
      <c r="CB87" s="477">
        <f>IF('Incremental Repayments'!$R$22="Debt",IF(AND(CB$4&gt;=$D87,CB$4&lt;$D87+'Incremental Repayments'!$I$31),-PMT('Interest Rate'!$J$16,'Incremental Repayments'!$I$31,(HLOOKUP($D87,$E$4:$CZ$32,28,FALSE)*'Incremental Repayments'!$I$22)),0),0)</f>
        <v>0</v>
      </c>
      <c r="CC87" s="477">
        <f>IF('Incremental Repayments'!$R$22="Debt",IF(AND(CC$4&gt;=$D87,CC$4&lt;$D87+'Incremental Repayments'!$I$31),-PMT('Interest Rate'!$J$16,'Incremental Repayments'!$I$31,(HLOOKUP($D87,$E$4:$CZ$32,28,FALSE)*'Incremental Repayments'!$I$22)),0),0)</f>
        <v>0</v>
      </c>
      <c r="CD87" s="477">
        <f>IF('Incremental Repayments'!$R$22="Debt",IF(AND(CD$4&gt;=$D87,CD$4&lt;$D87+'Incremental Repayments'!$I$31),-PMT('Interest Rate'!$J$16,'Incremental Repayments'!$I$31,(HLOOKUP($D87,$E$4:$CZ$32,28,FALSE)*'Incremental Repayments'!$I$22)),0),0)</f>
        <v>0</v>
      </c>
      <c r="CE87" s="477">
        <f>IF('Incremental Repayments'!$R$22="Debt",IF(AND(CE$4&gt;=$D87,CE$4&lt;$D87+'Incremental Repayments'!$I$31),-PMT('Interest Rate'!$J$16,'Incremental Repayments'!$I$31,(HLOOKUP($D87,$E$4:$CZ$32,28,FALSE)*'Incremental Repayments'!$I$22)),0),0)</f>
        <v>0</v>
      </c>
      <c r="CF87" s="477">
        <f>IF('Incremental Repayments'!$R$22="Debt",IF(AND(CF$4&gt;=$D87,CF$4&lt;$D87+'Incremental Repayments'!$I$31),-PMT('Interest Rate'!$J$16,'Incremental Repayments'!$I$31,(HLOOKUP($D87,$E$4:$CZ$32,28,FALSE)*'Incremental Repayments'!$I$22)),0),0)</f>
        <v>0</v>
      </c>
      <c r="CG87" s="477">
        <f>IF('Incremental Repayments'!$R$22="Debt",IF(AND(CG$4&gt;=$D87,CG$4&lt;$D87+'Incremental Repayments'!$I$31),-PMT('Interest Rate'!$J$16,'Incremental Repayments'!$I$31,(HLOOKUP($D87,$E$4:$CZ$32,28,FALSE)*'Incremental Repayments'!$I$22)),0),0)</f>
        <v>0</v>
      </c>
      <c r="CH87" s="477">
        <f>IF('Incremental Repayments'!$R$22="Debt",IF(AND(CH$4&gt;=$D87,CH$4&lt;$D87+'Incremental Repayments'!$I$31),-PMT('Interest Rate'!$J$16,'Incremental Repayments'!$I$31,(HLOOKUP($D87,$E$4:$CZ$32,28,FALSE)*'Incremental Repayments'!$I$22)),0),0)</f>
        <v>0</v>
      </c>
      <c r="CI87" s="477">
        <f>IF('Incremental Repayments'!$R$22="Debt",IF(AND(CI$4&gt;=$D87,CI$4&lt;$D87+'Incremental Repayments'!$I$31),-PMT('Interest Rate'!$J$16,'Incremental Repayments'!$I$31,(HLOOKUP($D87,$E$4:$CZ$32,28,FALSE)*'Incremental Repayments'!$I$22)),0),0)</f>
        <v>0</v>
      </c>
      <c r="CJ87" s="477">
        <f>IF('Incremental Repayments'!$R$22="Debt",IF(AND(CJ$4&gt;=$D87,CJ$4&lt;$D87+'Incremental Repayments'!$I$31),-PMT('Interest Rate'!$J$16,'Incremental Repayments'!$I$31,(HLOOKUP($D87,$E$4:$CZ$32,28,FALSE)*'Incremental Repayments'!$I$22)),0),0)</f>
        <v>0</v>
      </c>
      <c r="CK87" s="477">
        <f>IF('Incremental Repayments'!$R$22="Debt",IF(AND(CK$4&gt;=$D87,CK$4&lt;$D87+'Incremental Repayments'!$I$31),-PMT('Interest Rate'!$J$16,'Incremental Repayments'!$I$31,(HLOOKUP($D87,$E$4:$CZ$32,28,FALSE)*'Incremental Repayments'!$I$22)),0),0)</f>
        <v>0</v>
      </c>
      <c r="CL87" s="477">
        <f>IF('Incremental Repayments'!$R$22="Debt",IF(AND(CL$4&gt;=$D87,CL$4&lt;$D87+'Incremental Repayments'!$I$31),-PMT('Interest Rate'!$J$16,'Incremental Repayments'!$I$31,(HLOOKUP($D87,$E$4:$CZ$32,28,FALSE)*'Incremental Repayments'!$I$22)),0),0)</f>
        <v>0</v>
      </c>
      <c r="CM87" s="477">
        <f>IF('Incremental Repayments'!$R$22="Debt",IF(AND(CM$4&gt;=$D87,CM$4&lt;$D87+'Incremental Repayments'!$I$31),-PMT('Interest Rate'!$J$16,'Incremental Repayments'!$I$31,(HLOOKUP($D87,$E$4:$CZ$32,28,FALSE)*'Incremental Repayments'!$I$22)),0),0)</f>
        <v>0</v>
      </c>
      <c r="CN87" s="477">
        <f>IF('Incremental Repayments'!$R$22="Debt",IF(AND(CN$4&gt;=$D87,CN$4&lt;$D87+'Incremental Repayments'!$I$31),-PMT('Interest Rate'!$J$16,'Incremental Repayments'!$I$31,(HLOOKUP($D87,$E$4:$CZ$32,28,FALSE)*'Incremental Repayments'!$I$22)),0),0)</f>
        <v>0</v>
      </c>
      <c r="CO87" s="477">
        <f>IF('Incremental Repayments'!$R$22="Debt",IF(AND(CO$4&gt;=$D87,CO$4&lt;$D87+'Incremental Repayments'!$I$31),-PMT('Interest Rate'!$J$16,'Incremental Repayments'!$I$31,(HLOOKUP($D87,$E$4:$CZ$32,28,FALSE)*'Incremental Repayments'!$I$22)),0),0)</f>
        <v>0</v>
      </c>
      <c r="CP87" s="477">
        <f>IF('Incremental Repayments'!$R$22="Debt",IF(AND(CP$4&gt;=$D87,CP$4&lt;$D87+'Incremental Repayments'!$I$31),-PMT('Interest Rate'!$J$16,'Incremental Repayments'!$I$31,(HLOOKUP($D87,$E$4:$CZ$32,28,FALSE)*'Incremental Repayments'!$I$22)),0),0)</f>
        <v>0</v>
      </c>
      <c r="CQ87" s="477">
        <f>IF('Incremental Repayments'!$R$22="Debt",IF(AND(CQ$4&gt;=$D87,CQ$4&lt;$D87+'Incremental Repayments'!$I$31),-PMT('Interest Rate'!$J$16,'Incremental Repayments'!$I$31,(HLOOKUP($D87,$E$4:$CZ$32,28,FALSE)*'Incremental Repayments'!$I$22)),0),0)</f>
        <v>0</v>
      </c>
      <c r="CR87" s="477">
        <f>IF('Incremental Repayments'!$R$22="Debt",IF(AND(CR$4&gt;=$D87,CR$4&lt;$D87+'Incremental Repayments'!$I$31),-PMT('Interest Rate'!$J$16,'Incremental Repayments'!$I$31,(HLOOKUP($D87,$E$4:$CZ$32,28,FALSE)*'Incremental Repayments'!$I$22)),0),0)</f>
        <v>0</v>
      </c>
      <c r="CS87" s="477">
        <f>IF('Incremental Repayments'!$R$22="Debt",IF(AND(CS$4&gt;=$D87,CS$4&lt;$D87+'Incremental Repayments'!$I$31),-PMT('Interest Rate'!$J$16,'Incremental Repayments'!$I$31,(HLOOKUP($D87,$E$4:$CZ$32,28,FALSE)*'Incremental Repayments'!$I$22)),0),0)</f>
        <v>0</v>
      </c>
      <c r="CT87" s="477">
        <f>IF('Incremental Repayments'!$R$22="Debt",IF(AND(CT$4&gt;=$D87,CT$4&lt;$D87+'Incremental Repayments'!$I$31),-PMT('Interest Rate'!$J$16,'Incremental Repayments'!$I$31,(HLOOKUP($D87,$E$4:$CZ$32,28,FALSE)*'Incremental Repayments'!$I$22)),0),0)</f>
        <v>0</v>
      </c>
      <c r="CU87" s="477">
        <f>IF('Incremental Repayments'!$R$22="Debt",IF(AND(CU$4&gt;=$D87,CU$4&lt;$D87+'Incremental Repayments'!$I$31),-PMT('Interest Rate'!$J$16,'Incremental Repayments'!$I$31,(HLOOKUP($D87,$E$4:$CZ$32,28,FALSE)*'Incremental Repayments'!$I$22)),0),0)</f>
        <v>0</v>
      </c>
      <c r="CV87" s="477">
        <f>IF('Incremental Repayments'!$R$22="Debt",IF(AND(CV$4&gt;=$D87,CV$4&lt;$D87+'Incremental Repayments'!$I$31),-PMT('Interest Rate'!$J$16,'Incremental Repayments'!$I$31,(HLOOKUP($D87,$E$4:$CZ$32,28,FALSE)*'Incremental Repayments'!$I$22)),0),0)</f>
        <v>0</v>
      </c>
      <c r="CW87" s="477">
        <f>IF('Incremental Repayments'!$R$22="Debt",IF(AND(CW$4&gt;=$D87,CW$4&lt;$D87+'Incremental Repayments'!$I$31),-PMT('Interest Rate'!$J$16,'Incremental Repayments'!$I$31,(HLOOKUP($D87,$E$4:$CZ$32,28,FALSE)*'Incremental Repayments'!$I$22)),0),0)</f>
        <v>0</v>
      </c>
      <c r="CX87" s="477">
        <f>IF('Incremental Repayments'!$R$22="Debt",IF(AND(CX$4&gt;=$D87,CX$4&lt;$D87+'Incremental Repayments'!$I$31),-PMT('Interest Rate'!$J$16,'Incremental Repayments'!$I$31,(HLOOKUP($D87,$E$4:$CZ$32,28,FALSE)*'Incremental Repayments'!$I$22)),0),0)</f>
        <v>0</v>
      </c>
      <c r="CY87" s="477">
        <f>IF('Incremental Repayments'!$R$22="Debt",IF(AND(CY$4&gt;=$D87,CY$4&lt;$D87+'Incremental Repayments'!$I$31),-PMT('Interest Rate'!$J$16,'Incremental Repayments'!$I$31,(HLOOKUP($D87,$E$4:$CZ$32,28,FALSE)*'Incremental Repayments'!$I$22)),0),0)</f>
        <v>0</v>
      </c>
      <c r="CZ87" s="477">
        <f>IF('Incremental Repayments'!$R$22="Debt",IF(AND(CZ$4&gt;=$D87,CZ$4&lt;$D87+'Incremental Repayments'!$I$31),-PMT('Interest Rate'!$J$16,'Incremental Repayments'!$I$31,(HLOOKUP($D87,$E$4:$CZ$32,28,FALSE)*'Incremental Repayments'!$I$22)),0),0)</f>
        <v>0</v>
      </c>
    </row>
    <row r="88" spans="2:104" x14ac:dyDescent="0.25">
      <c r="B88" s="480" t="str">
        <f>CONCATENATE("Series ",D88,"A Bonds (at ",'Interest Rate'!$J$16*100,"% Interest)")</f>
        <v>Series 2066A Bonds (at 4.5% Interest)</v>
      </c>
      <c r="C88" s="480"/>
      <c r="D88" s="492">
        <f t="shared" si="494"/>
        <v>2066</v>
      </c>
      <c r="E88" s="477">
        <f>IF('Incremental Repayments'!$R$22="Debt",IF(AND(E$4&gt;=$D88,E$4&lt;$D88+'Incremental Repayments'!$I$31),-PMT('Interest Rate'!$J$16,'Incremental Repayments'!$I$31,(HLOOKUP($D88,$E$4:$CZ$32,28,FALSE)*'Incremental Repayments'!$I$22)),0),0)</f>
        <v>0</v>
      </c>
      <c r="F88" s="477">
        <f>IF('Incremental Repayments'!$R$22="Debt",IF(AND(F$4&gt;=$D88,F$4&lt;$D88+'Incremental Repayments'!$I$31),-PMT('Interest Rate'!$J$16,'Incremental Repayments'!$I$31,(HLOOKUP($D88,$E$4:$CZ$32,28,FALSE)*'Incremental Repayments'!$I$22)),0),0)</f>
        <v>0</v>
      </c>
      <c r="G88" s="477">
        <f>IF('Incremental Repayments'!$R$22="Debt",IF(AND(G$4&gt;=$D88,G$4&lt;$D88+'Incremental Repayments'!$I$31),-PMT('Interest Rate'!$J$16,'Incremental Repayments'!$I$31,(HLOOKUP($D88,$E$4:$CZ$32,28,FALSE)*'Incremental Repayments'!$I$22)),0),0)</f>
        <v>0</v>
      </c>
      <c r="H88" s="477">
        <f>IF('Incremental Repayments'!$R$22="Debt",IF(AND(H$4&gt;=$D88,H$4&lt;$D88+'Incremental Repayments'!$I$31),-PMT('Interest Rate'!$J$16,'Incremental Repayments'!$I$31,(HLOOKUP($D88,$E$4:$CZ$32,28,FALSE)*'Incremental Repayments'!$I$22)),0),0)</f>
        <v>0</v>
      </c>
      <c r="I88" s="477">
        <f>IF('Incremental Repayments'!$R$22="Debt",IF(AND(I$4&gt;=$D88,I$4&lt;$D88+'Incremental Repayments'!$I$31),-PMT('Interest Rate'!$J$16,'Incremental Repayments'!$I$31,(HLOOKUP($D88,$E$4:$CZ$32,28,FALSE)*'Incremental Repayments'!$I$22)),0),0)</f>
        <v>0</v>
      </c>
      <c r="J88" s="477">
        <f>IF('Incremental Repayments'!$R$22="Debt",IF(AND(J$4&gt;=$D88,J$4&lt;$D88+'Incremental Repayments'!$I$31),-PMT('Interest Rate'!$J$16,'Incremental Repayments'!$I$31,(HLOOKUP($D88,$E$4:$CZ$32,28,FALSE)*'Incremental Repayments'!$I$22)),0),0)</f>
        <v>0</v>
      </c>
      <c r="K88" s="477">
        <f>IF('Incremental Repayments'!$R$22="Debt",IF(AND(K$4&gt;=$D88,K$4&lt;$D88+'Incremental Repayments'!$I$31),-PMT('Interest Rate'!$J$16,'Incremental Repayments'!$I$31,(HLOOKUP($D88,$E$4:$CZ$32,28,FALSE)*'Incremental Repayments'!$I$22)),0),0)</f>
        <v>0</v>
      </c>
      <c r="L88" s="477">
        <f>IF('Incremental Repayments'!$R$22="Debt",IF(AND(L$4&gt;=$D88,L$4&lt;$D88+'Incremental Repayments'!$I$31),-PMT('Interest Rate'!$J$16,'Incremental Repayments'!$I$31,(HLOOKUP($D88,$E$4:$CZ$32,28,FALSE)*'Incremental Repayments'!$I$22)),0),0)</f>
        <v>0</v>
      </c>
      <c r="M88" s="477">
        <f>IF('Incremental Repayments'!$R$22="Debt",IF(AND(M$4&gt;=$D88,M$4&lt;$D88+'Incremental Repayments'!$I$31),-PMT('Interest Rate'!$J$16,'Incremental Repayments'!$I$31,(HLOOKUP($D88,$E$4:$CZ$32,28,FALSE)*'Incremental Repayments'!$I$22)),0),0)</f>
        <v>0</v>
      </c>
      <c r="N88" s="477">
        <f>IF('Incremental Repayments'!$R$22="Debt",IF(AND(N$4&gt;=$D88,N$4&lt;$D88+'Incremental Repayments'!$I$31),-PMT('Interest Rate'!$J$16,'Incremental Repayments'!$I$31,(HLOOKUP($D88,$E$4:$CZ$32,28,FALSE)*'Incremental Repayments'!$I$22)),0),0)</f>
        <v>0</v>
      </c>
      <c r="O88" s="477">
        <f>IF('Incremental Repayments'!$R$22="Debt",IF(AND(O$4&gt;=$D88,O$4&lt;$D88+'Incremental Repayments'!$I$31),-PMT('Interest Rate'!$J$16,'Incremental Repayments'!$I$31,(HLOOKUP($D88,$E$4:$CZ$32,28,FALSE)*'Incremental Repayments'!$I$22)),0),0)</f>
        <v>0</v>
      </c>
      <c r="P88" s="477">
        <f>IF('Incremental Repayments'!$R$22="Debt",IF(AND(P$4&gt;=$D88,P$4&lt;$D88+'Incremental Repayments'!$I$31),-PMT('Interest Rate'!$J$16,'Incremental Repayments'!$I$31,(HLOOKUP($D88,$E$4:$CZ$32,28,FALSE)*'Incremental Repayments'!$I$22)),0),0)</f>
        <v>0</v>
      </c>
      <c r="Q88" s="477">
        <f>IF('Incremental Repayments'!$R$22="Debt",IF(AND(Q$4&gt;=$D88,Q$4&lt;$D88+'Incremental Repayments'!$I$31),-PMT('Interest Rate'!$J$16,'Incremental Repayments'!$I$31,(HLOOKUP($D88,$E$4:$CZ$32,28,FALSE)*'Incremental Repayments'!$I$22)),0),0)</f>
        <v>0</v>
      </c>
      <c r="R88" s="477">
        <f>IF('Incremental Repayments'!$R$22="Debt",IF(AND(R$4&gt;=$D88,R$4&lt;$D88+'Incremental Repayments'!$I$31),-PMT('Interest Rate'!$J$16,'Incremental Repayments'!$I$31,(HLOOKUP($D88,$E$4:$CZ$32,28,FALSE)*'Incremental Repayments'!$I$22)),0),0)</f>
        <v>0</v>
      </c>
      <c r="S88" s="477">
        <f>IF('Incremental Repayments'!$R$22="Debt",IF(AND(S$4&gt;=$D88,S$4&lt;$D88+'Incremental Repayments'!$I$31),-PMT('Interest Rate'!$J$16,'Incremental Repayments'!$I$31,(HLOOKUP($D88,$E$4:$CZ$32,28,FALSE)*'Incremental Repayments'!$I$22)),0),0)</f>
        <v>0</v>
      </c>
      <c r="T88" s="477">
        <f>IF('Incremental Repayments'!$R$22="Debt",IF(AND(T$4&gt;=$D88,T$4&lt;$D88+'Incremental Repayments'!$I$31),-PMT('Interest Rate'!$J$16,'Incremental Repayments'!$I$31,(HLOOKUP($D88,$E$4:$CZ$32,28,FALSE)*'Incremental Repayments'!$I$22)),0),0)</f>
        <v>0</v>
      </c>
      <c r="U88" s="477">
        <f>IF('Incremental Repayments'!$R$22="Debt",IF(AND(U$4&gt;=$D88,U$4&lt;$D88+'Incremental Repayments'!$I$31),-PMT('Interest Rate'!$J$16,'Incremental Repayments'!$I$31,(HLOOKUP($D88,$E$4:$CZ$32,28,FALSE)*'Incremental Repayments'!$I$22)),0),0)</f>
        <v>0</v>
      </c>
      <c r="V88" s="477">
        <f>IF('Incremental Repayments'!$R$22="Debt",IF(AND(V$4&gt;=$D88,V$4&lt;$D88+'Incremental Repayments'!$I$31),-PMT('Interest Rate'!$J$16,'Incremental Repayments'!$I$31,(HLOOKUP($D88,$E$4:$CZ$32,28,FALSE)*'Incremental Repayments'!$I$22)),0),0)</f>
        <v>0</v>
      </c>
      <c r="W88" s="477">
        <f>IF('Incremental Repayments'!$R$22="Debt",IF(AND(W$4&gt;=$D88,W$4&lt;$D88+'Incremental Repayments'!$I$31),-PMT('Interest Rate'!$J$16,'Incremental Repayments'!$I$31,(HLOOKUP($D88,$E$4:$CZ$32,28,FALSE)*'Incremental Repayments'!$I$22)),0),0)</f>
        <v>0</v>
      </c>
      <c r="X88" s="477">
        <f>IF('Incremental Repayments'!$R$22="Debt",IF(AND(X$4&gt;=$D88,X$4&lt;$D88+'Incremental Repayments'!$I$31),-PMT('Interest Rate'!$J$16,'Incremental Repayments'!$I$31,(HLOOKUP($D88,$E$4:$CZ$32,28,FALSE)*'Incremental Repayments'!$I$22)),0),0)</f>
        <v>0</v>
      </c>
      <c r="Y88" s="477">
        <f>IF('Incremental Repayments'!$R$22="Debt",IF(AND(Y$4&gt;=$D88,Y$4&lt;$D88+'Incremental Repayments'!$I$31),-PMT('Interest Rate'!$J$16,'Incremental Repayments'!$I$31,(HLOOKUP($D88,$E$4:$CZ$32,28,FALSE)*'Incremental Repayments'!$I$22)),0),0)</f>
        <v>0</v>
      </c>
      <c r="Z88" s="477">
        <f>IF('Incremental Repayments'!$R$22="Debt",IF(AND(Z$4&gt;=$D88,Z$4&lt;$D88+'Incremental Repayments'!$I$31),-PMT('Interest Rate'!$J$16,'Incremental Repayments'!$I$31,(HLOOKUP($D88,$E$4:$CZ$32,28,FALSE)*'Incremental Repayments'!$I$22)),0),0)</f>
        <v>0</v>
      </c>
      <c r="AA88" s="477">
        <f>IF('Incremental Repayments'!$R$22="Debt",IF(AND(AA$4&gt;=$D88,AA$4&lt;$D88+'Incremental Repayments'!$I$31),-PMT('Interest Rate'!$J$16,'Incremental Repayments'!$I$31,(HLOOKUP($D88,$E$4:$CZ$32,28,FALSE)*'Incremental Repayments'!$I$22)),0),0)</f>
        <v>0</v>
      </c>
      <c r="AB88" s="477">
        <f>IF('Incremental Repayments'!$R$22="Debt",IF(AND(AB$4&gt;=$D88,AB$4&lt;$D88+'Incremental Repayments'!$I$31),-PMT('Interest Rate'!$J$16,'Incremental Repayments'!$I$31,(HLOOKUP($D88,$E$4:$CZ$32,28,FALSE)*'Incremental Repayments'!$I$22)),0),0)</f>
        <v>0</v>
      </c>
      <c r="AC88" s="477">
        <f>IF('Incremental Repayments'!$R$22="Debt",IF(AND(AC$4&gt;=$D88,AC$4&lt;$D88+'Incremental Repayments'!$I$31),-PMT('Interest Rate'!$J$16,'Incremental Repayments'!$I$31,(HLOOKUP($D88,$E$4:$CZ$32,28,FALSE)*'Incremental Repayments'!$I$22)),0),0)</f>
        <v>0</v>
      </c>
      <c r="AD88" s="477">
        <f>IF('Incremental Repayments'!$R$22="Debt",IF(AND(AD$4&gt;=$D88,AD$4&lt;$D88+'Incremental Repayments'!$I$31),-PMT('Interest Rate'!$J$16,'Incremental Repayments'!$I$31,(HLOOKUP($D88,$E$4:$CZ$32,28,FALSE)*'Incremental Repayments'!$I$22)),0),0)</f>
        <v>0</v>
      </c>
      <c r="AE88" s="477">
        <f>IF('Incremental Repayments'!$R$22="Debt",IF(AND(AE$4&gt;=$D88,AE$4&lt;$D88+'Incremental Repayments'!$I$31),-PMT('Interest Rate'!$J$16,'Incremental Repayments'!$I$31,(HLOOKUP($D88,$E$4:$CZ$32,28,FALSE)*'Incremental Repayments'!$I$22)),0),0)</f>
        <v>0</v>
      </c>
      <c r="AF88" s="477">
        <f>IF('Incremental Repayments'!$R$22="Debt",IF(AND(AF$4&gt;=$D88,AF$4&lt;$D88+'Incremental Repayments'!$I$31),-PMT('Interest Rate'!$J$16,'Incremental Repayments'!$I$31,(HLOOKUP($D88,$E$4:$CZ$32,28,FALSE)*'Incremental Repayments'!$I$22)),0),0)</f>
        <v>0</v>
      </c>
      <c r="AG88" s="477">
        <f>IF('Incremental Repayments'!$R$22="Debt",IF(AND(AG$4&gt;=$D88,AG$4&lt;$D88+'Incremental Repayments'!$I$31),-PMT('Interest Rate'!$J$16,'Incremental Repayments'!$I$31,(HLOOKUP($D88,$E$4:$CZ$32,28,FALSE)*'Incremental Repayments'!$I$22)),0),0)</f>
        <v>0</v>
      </c>
      <c r="AH88" s="477">
        <f>IF('Incremental Repayments'!$R$22="Debt",IF(AND(AH$4&gt;=$D88,AH$4&lt;$D88+'Incremental Repayments'!$I$31),-PMT('Interest Rate'!$J$16,'Incremental Repayments'!$I$31,(HLOOKUP($D88,$E$4:$CZ$32,28,FALSE)*'Incremental Repayments'!$I$22)),0),0)</f>
        <v>0</v>
      </c>
      <c r="AI88" s="477">
        <f>IF('Incremental Repayments'!$R$22="Debt",IF(AND(AI$4&gt;=$D88,AI$4&lt;$D88+'Incremental Repayments'!$I$31),-PMT('Interest Rate'!$J$16,'Incremental Repayments'!$I$31,(HLOOKUP($D88,$E$4:$CZ$32,28,FALSE)*'Incremental Repayments'!$I$22)),0),0)</f>
        <v>0</v>
      </c>
      <c r="AJ88" s="477">
        <f>IF('Incremental Repayments'!$R$22="Debt",IF(AND(AJ$4&gt;=$D88,AJ$4&lt;$D88+'Incremental Repayments'!$I$31),-PMT('Interest Rate'!$J$16,'Incremental Repayments'!$I$31,(HLOOKUP($D88,$E$4:$CZ$32,28,FALSE)*'Incremental Repayments'!$I$22)),0),0)</f>
        <v>0</v>
      </c>
      <c r="AK88" s="477">
        <f>IF('Incremental Repayments'!$R$22="Debt",IF(AND(AK$4&gt;=$D88,AK$4&lt;$D88+'Incremental Repayments'!$I$31),-PMT('Interest Rate'!$J$16,'Incremental Repayments'!$I$31,(HLOOKUP($D88,$E$4:$CZ$32,28,FALSE)*'Incremental Repayments'!$I$22)),0),0)</f>
        <v>0</v>
      </c>
      <c r="AL88" s="477">
        <f>IF('Incremental Repayments'!$R$22="Debt",IF(AND(AL$4&gt;=$D88,AL$4&lt;$D88+'Incremental Repayments'!$I$31),-PMT('Interest Rate'!$J$16,'Incremental Repayments'!$I$31,(HLOOKUP($D88,$E$4:$CZ$32,28,FALSE)*'Incremental Repayments'!$I$22)),0),0)</f>
        <v>0</v>
      </c>
      <c r="AM88" s="477">
        <f>IF('Incremental Repayments'!$R$22="Debt",IF(AND(AM$4&gt;=$D88,AM$4&lt;$D88+'Incremental Repayments'!$I$31),-PMT('Interest Rate'!$J$16,'Incremental Repayments'!$I$31,(HLOOKUP($D88,$E$4:$CZ$32,28,FALSE)*'Incremental Repayments'!$I$22)),0),0)</f>
        <v>0</v>
      </c>
      <c r="AN88" s="477">
        <f>IF('Incremental Repayments'!$R$22="Debt",IF(AND(AN$4&gt;=$D88,AN$4&lt;$D88+'Incremental Repayments'!$I$31),-PMT('Interest Rate'!$J$16,'Incremental Repayments'!$I$31,(HLOOKUP($D88,$E$4:$CZ$32,28,FALSE)*'Incremental Repayments'!$I$22)),0),0)</f>
        <v>0</v>
      </c>
      <c r="AO88" s="477">
        <f>IF('Incremental Repayments'!$R$22="Debt",IF(AND(AO$4&gt;=$D88,AO$4&lt;$D88+'Incremental Repayments'!$I$31),-PMT('Interest Rate'!$J$16,'Incremental Repayments'!$I$31,(HLOOKUP($D88,$E$4:$CZ$32,28,FALSE)*'Incremental Repayments'!$I$22)),0),0)</f>
        <v>0</v>
      </c>
      <c r="AP88" s="477">
        <f>IF('Incremental Repayments'!$R$22="Debt",IF(AND(AP$4&gt;=$D88,AP$4&lt;$D88+'Incremental Repayments'!$I$31),-PMT('Interest Rate'!$J$16,'Incremental Repayments'!$I$31,(HLOOKUP($D88,$E$4:$CZ$32,28,FALSE)*'Incremental Repayments'!$I$22)),0),0)</f>
        <v>0</v>
      </c>
      <c r="AQ88" s="477">
        <f>IF('Incremental Repayments'!$R$22="Debt",IF(AND(AQ$4&gt;=$D88,AQ$4&lt;$D88+'Incremental Repayments'!$I$31),-PMT('Interest Rate'!$J$16,'Incremental Repayments'!$I$31,(HLOOKUP($D88,$E$4:$CZ$32,28,FALSE)*'Incremental Repayments'!$I$22)),0),0)</f>
        <v>0</v>
      </c>
      <c r="AR88" s="477">
        <f>IF('Incremental Repayments'!$R$22="Debt",IF(AND(AR$4&gt;=$D88,AR$4&lt;$D88+'Incremental Repayments'!$I$31),-PMT('Interest Rate'!$J$16,'Incremental Repayments'!$I$31,(HLOOKUP($D88,$E$4:$CZ$32,28,FALSE)*'Incremental Repayments'!$I$22)),0),0)</f>
        <v>0</v>
      </c>
      <c r="AS88" s="477">
        <f>IF('Incremental Repayments'!$R$22="Debt",IF(AND(AS$4&gt;=$D88,AS$4&lt;$D88+'Incremental Repayments'!$I$31),-PMT('Interest Rate'!$J$16,'Incremental Repayments'!$I$31,(HLOOKUP($D88,$E$4:$CZ$32,28,FALSE)*'Incremental Repayments'!$I$22)),0),0)</f>
        <v>0</v>
      </c>
      <c r="AT88" s="477">
        <f>IF('Incremental Repayments'!$R$22="Debt",IF(AND(AT$4&gt;=$D88,AT$4&lt;$D88+'Incremental Repayments'!$I$31),-PMT('Interest Rate'!$J$16,'Incremental Repayments'!$I$31,(HLOOKUP($D88,$E$4:$CZ$32,28,FALSE)*'Incremental Repayments'!$I$22)),0),0)</f>
        <v>0</v>
      </c>
      <c r="AU88" s="477">
        <f>IF('Incremental Repayments'!$R$22="Debt",IF(AND(AU$4&gt;=$D88,AU$4&lt;$D88+'Incremental Repayments'!$I$31),-PMT('Interest Rate'!$J$16,'Incremental Repayments'!$I$31,(HLOOKUP($D88,$E$4:$CZ$32,28,FALSE)*'Incremental Repayments'!$I$22)),0),0)</f>
        <v>0</v>
      </c>
      <c r="AV88" s="477">
        <f>IF('Incremental Repayments'!$R$22="Debt",IF(AND(AV$4&gt;=$D88,AV$4&lt;$D88+'Incremental Repayments'!$I$31),-PMT('Interest Rate'!$J$16,'Incremental Repayments'!$I$31,(HLOOKUP($D88,$E$4:$CZ$32,28,FALSE)*'Incremental Repayments'!$I$22)),0),0)</f>
        <v>0</v>
      </c>
      <c r="AW88" s="477">
        <f>IF('Incremental Repayments'!$R$22="Debt",IF(AND(AW$4&gt;=$D88,AW$4&lt;$D88+'Incremental Repayments'!$I$31),-PMT('Interest Rate'!$J$16,'Incremental Repayments'!$I$31,(HLOOKUP($D88,$E$4:$CZ$32,28,FALSE)*'Incremental Repayments'!$I$22)),0),0)</f>
        <v>0</v>
      </c>
      <c r="AX88" s="477">
        <f>IF('Incremental Repayments'!$R$22="Debt",IF(AND(AX$4&gt;=$D88,AX$4&lt;$D88+'Incremental Repayments'!$I$31),-PMT('Interest Rate'!$J$16,'Incremental Repayments'!$I$31,(HLOOKUP($D88,$E$4:$CZ$32,28,FALSE)*'Incremental Repayments'!$I$22)),0),0)</f>
        <v>0</v>
      </c>
      <c r="AY88" s="477">
        <f>IF('Incremental Repayments'!$R$22="Debt",IF(AND(AY$4&gt;=$D88,AY$4&lt;$D88+'Incremental Repayments'!$I$31),-PMT('Interest Rate'!$J$16,'Incremental Repayments'!$I$31,(HLOOKUP($D88,$E$4:$CZ$32,28,FALSE)*'Incremental Repayments'!$I$22)),0),0)</f>
        <v>0</v>
      </c>
      <c r="AZ88" s="477">
        <f>IF('Incremental Repayments'!$R$22="Debt",IF(AND(AZ$4&gt;=$D88,AZ$4&lt;$D88+'Incremental Repayments'!$I$31),-PMT('Interest Rate'!$J$16,'Incremental Repayments'!$I$31,(HLOOKUP($D88,$E$4:$CZ$32,28,FALSE)*'Incremental Repayments'!$I$22)),0),0)</f>
        <v>0</v>
      </c>
      <c r="BA88" s="477">
        <f>IF('Incremental Repayments'!$R$22="Debt",IF(AND(BA$4&gt;=$D88,BA$4&lt;$D88+'Incremental Repayments'!$I$31),-PMT('Interest Rate'!$J$16,'Incremental Repayments'!$I$31,(HLOOKUP($D88,$E$4:$CZ$32,28,FALSE)*'Incremental Repayments'!$I$22)),0),0)</f>
        <v>0</v>
      </c>
      <c r="BB88" s="477">
        <f>IF('Incremental Repayments'!$R$22="Debt",IF(AND(BB$4&gt;=$D88,BB$4&lt;$D88+'Incremental Repayments'!$I$31),-PMT('Interest Rate'!$J$16,'Incremental Repayments'!$I$31,(HLOOKUP($D88,$E$4:$CZ$32,28,FALSE)*'Incremental Repayments'!$I$22)),0),0)</f>
        <v>0</v>
      </c>
      <c r="BC88" s="477">
        <f>IF('Incremental Repayments'!$R$22="Debt",IF(AND(BC$4&gt;=$D88,BC$4&lt;$D88+'Incremental Repayments'!$I$31),-PMT('Interest Rate'!$J$16,'Incremental Repayments'!$I$31,(HLOOKUP($D88,$E$4:$CZ$32,28,FALSE)*'Incremental Repayments'!$I$22)),0),0)</f>
        <v>0</v>
      </c>
      <c r="BD88" s="477">
        <f>IF('Incremental Repayments'!$R$22="Debt",IF(AND(BD$4&gt;=$D88,BD$4&lt;$D88+'Incremental Repayments'!$I$31),-PMT('Interest Rate'!$J$16,'Incremental Repayments'!$I$31,(HLOOKUP($D88,$E$4:$CZ$32,28,FALSE)*'Incremental Repayments'!$I$22)),0),0)</f>
        <v>0</v>
      </c>
      <c r="BE88" s="477">
        <f>IF('Incremental Repayments'!$R$22="Debt",IF(AND(BE$4&gt;=$D88,BE$4&lt;$D88+'Incremental Repayments'!$I$31),-PMT('Interest Rate'!$J$16,'Incremental Repayments'!$I$31,(HLOOKUP($D88,$E$4:$CZ$32,28,FALSE)*'Incremental Repayments'!$I$22)),0),0)</f>
        <v>0</v>
      </c>
      <c r="BF88" s="477">
        <f>IF('Incremental Repayments'!$R$22="Debt",IF(AND(BF$4&gt;=$D88,BF$4&lt;$D88+'Incremental Repayments'!$I$31),-PMT('Interest Rate'!$J$16,'Incremental Repayments'!$I$31,(HLOOKUP($D88,$E$4:$CZ$32,28,FALSE)*'Incremental Repayments'!$I$22)),0),0)</f>
        <v>0</v>
      </c>
      <c r="BG88" s="477">
        <f>IF('Incremental Repayments'!$R$22="Debt",IF(AND(BG$4&gt;=$D88,BG$4&lt;$D88+'Incremental Repayments'!$I$31),-PMT('Interest Rate'!$J$16,'Incremental Repayments'!$I$31,(HLOOKUP($D88,$E$4:$CZ$32,28,FALSE)*'Incremental Repayments'!$I$22)),0),0)</f>
        <v>0</v>
      </c>
      <c r="BH88" s="477">
        <f>IF('Incremental Repayments'!$R$22="Debt",IF(AND(BH$4&gt;=$D88,BH$4&lt;$D88+'Incremental Repayments'!$I$31),-PMT('Interest Rate'!$J$16,'Incremental Repayments'!$I$31,(HLOOKUP($D88,$E$4:$CZ$32,28,FALSE)*'Incremental Repayments'!$I$22)),0),0)</f>
        <v>0</v>
      </c>
      <c r="BI88" s="477">
        <f>IF('Incremental Repayments'!$R$22="Debt",IF(AND(BI$4&gt;=$D88,BI$4&lt;$D88+'Incremental Repayments'!$I$31),-PMT('Interest Rate'!$J$16,'Incremental Repayments'!$I$31,(HLOOKUP($D88,$E$4:$CZ$32,28,FALSE)*'Incremental Repayments'!$I$22)),0),0)</f>
        <v>0</v>
      </c>
      <c r="BJ88" s="477">
        <f>IF('Incremental Repayments'!$R$22="Debt",IF(AND(BJ$4&gt;=$D88,BJ$4&lt;$D88+'Incremental Repayments'!$I$31),-PMT('Interest Rate'!$J$16,'Incremental Repayments'!$I$31,(HLOOKUP($D88,$E$4:$CZ$32,28,FALSE)*'Incremental Repayments'!$I$22)),0),0)</f>
        <v>0</v>
      </c>
      <c r="BK88" s="477">
        <f>IF('Incremental Repayments'!$R$22="Debt",IF(AND(BK$4&gt;=$D88,BK$4&lt;$D88+'Incremental Repayments'!$I$31),-PMT('Interest Rate'!$J$16,'Incremental Repayments'!$I$31,(HLOOKUP($D88,$E$4:$CZ$32,28,FALSE)*'Incremental Repayments'!$I$22)),0),0)</f>
        <v>0</v>
      </c>
      <c r="BL88" s="477">
        <f>IF('Incremental Repayments'!$R$22="Debt",IF(AND(BL$4&gt;=$D88,BL$4&lt;$D88+'Incremental Repayments'!$I$31),-PMT('Interest Rate'!$J$16,'Incremental Repayments'!$I$31,(HLOOKUP($D88,$E$4:$CZ$32,28,FALSE)*'Incremental Repayments'!$I$22)),0),0)</f>
        <v>0</v>
      </c>
      <c r="BM88" s="477">
        <f>IF('Incremental Repayments'!$R$22="Debt",IF(AND(BM$4&gt;=$D88,BM$4&lt;$D88+'Incremental Repayments'!$I$31),-PMT('Interest Rate'!$J$16,'Incremental Repayments'!$I$31,(HLOOKUP($D88,$E$4:$CZ$32,28,FALSE)*'Incremental Repayments'!$I$22)),0),0)</f>
        <v>0</v>
      </c>
      <c r="BN88" s="477">
        <f>IF('Incremental Repayments'!$R$22="Debt",IF(AND(BN$4&gt;=$D88,BN$4&lt;$D88+'Incremental Repayments'!$I$31),-PMT('Interest Rate'!$J$16,'Incremental Repayments'!$I$31,(HLOOKUP($D88,$E$4:$CZ$32,28,FALSE)*'Incremental Repayments'!$I$22)),0),0)</f>
        <v>0</v>
      </c>
      <c r="BO88" s="477">
        <f>IF('Incremental Repayments'!$R$22="Debt",IF(AND(BO$4&gt;=$D88,BO$4&lt;$D88+'Incremental Repayments'!$I$31),-PMT('Interest Rate'!$J$16,'Incremental Repayments'!$I$31,(HLOOKUP($D88,$E$4:$CZ$32,28,FALSE)*'Incremental Repayments'!$I$22)),0),0)</f>
        <v>0</v>
      </c>
      <c r="BP88" s="477">
        <f>IF('Incremental Repayments'!$R$22="Debt",IF(AND(BP$4&gt;=$D88,BP$4&lt;$D88+'Incremental Repayments'!$I$31),-PMT('Interest Rate'!$J$16,'Incremental Repayments'!$I$31,(HLOOKUP($D88,$E$4:$CZ$32,28,FALSE)*'Incremental Repayments'!$I$22)),0),0)</f>
        <v>0</v>
      </c>
      <c r="BQ88" s="477">
        <f>IF('Incremental Repayments'!$R$22="Debt",IF(AND(BQ$4&gt;=$D88,BQ$4&lt;$D88+'Incremental Repayments'!$I$31),-PMT('Interest Rate'!$J$16,'Incremental Repayments'!$I$31,(HLOOKUP($D88,$E$4:$CZ$32,28,FALSE)*'Incremental Repayments'!$I$22)),0),0)</f>
        <v>0</v>
      </c>
      <c r="BR88" s="477">
        <f>IF('Incremental Repayments'!$R$22="Debt",IF(AND(BR$4&gt;=$D88,BR$4&lt;$D88+'Incremental Repayments'!$I$31),-PMT('Interest Rate'!$J$16,'Incremental Repayments'!$I$31,(HLOOKUP($D88,$E$4:$CZ$32,28,FALSE)*'Incremental Repayments'!$I$22)),0),0)</f>
        <v>0</v>
      </c>
      <c r="BS88" s="477">
        <f>IF('Incremental Repayments'!$R$22="Debt",IF(AND(BS$4&gt;=$D88,BS$4&lt;$D88+'Incremental Repayments'!$I$31),-PMT('Interest Rate'!$J$16,'Incremental Repayments'!$I$31,(HLOOKUP($D88,$E$4:$CZ$32,28,FALSE)*'Incremental Repayments'!$I$22)),0),0)</f>
        <v>0</v>
      </c>
      <c r="BT88" s="477">
        <f>IF('Incremental Repayments'!$R$22="Debt",IF(AND(BT$4&gt;=$D88,BT$4&lt;$D88+'Incremental Repayments'!$I$31),-PMT('Interest Rate'!$J$16,'Incremental Repayments'!$I$31,(HLOOKUP($D88,$E$4:$CZ$32,28,FALSE)*'Incremental Repayments'!$I$22)),0),0)</f>
        <v>0</v>
      </c>
      <c r="BU88" s="477">
        <f>IF('Incremental Repayments'!$R$22="Debt",IF(AND(BU$4&gt;=$D88,BU$4&lt;$D88+'Incremental Repayments'!$I$31),-PMT('Interest Rate'!$J$16,'Incremental Repayments'!$I$31,(HLOOKUP($D88,$E$4:$CZ$32,28,FALSE)*'Incremental Repayments'!$I$22)),0),0)</f>
        <v>0</v>
      </c>
      <c r="BV88" s="477">
        <f>IF('Incremental Repayments'!$R$22="Debt",IF(AND(BV$4&gt;=$D88,BV$4&lt;$D88+'Incremental Repayments'!$I$31),-PMT('Interest Rate'!$J$16,'Incremental Repayments'!$I$31,(HLOOKUP($D88,$E$4:$CZ$32,28,FALSE)*'Incremental Repayments'!$I$22)),0),0)</f>
        <v>0</v>
      </c>
      <c r="BW88" s="477">
        <f>IF('Incremental Repayments'!$R$22="Debt",IF(AND(BW$4&gt;=$D88,BW$4&lt;$D88+'Incremental Repayments'!$I$31),-PMT('Interest Rate'!$J$16,'Incremental Repayments'!$I$31,(HLOOKUP($D88,$E$4:$CZ$32,28,FALSE)*'Incremental Repayments'!$I$22)),0),0)</f>
        <v>0</v>
      </c>
      <c r="BX88" s="477">
        <f>IF('Incremental Repayments'!$R$22="Debt",IF(AND(BX$4&gt;=$D88,BX$4&lt;$D88+'Incremental Repayments'!$I$31),-PMT('Interest Rate'!$J$16,'Incremental Repayments'!$I$31,(HLOOKUP($D88,$E$4:$CZ$32,28,FALSE)*'Incremental Repayments'!$I$22)),0),0)</f>
        <v>0</v>
      </c>
      <c r="BY88" s="477">
        <f>IF('Incremental Repayments'!$R$22="Debt",IF(AND(BY$4&gt;=$D88,BY$4&lt;$D88+'Incremental Repayments'!$I$31),-PMT('Interest Rate'!$J$16,'Incremental Repayments'!$I$31,(HLOOKUP($D88,$E$4:$CZ$32,28,FALSE)*'Incremental Repayments'!$I$22)),0),0)</f>
        <v>0</v>
      </c>
      <c r="BZ88" s="477">
        <f>IF('Incremental Repayments'!$R$22="Debt",IF(AND(BZ$4&gt;=$D88,BZ$4&lt;$D88+'Incremental Repayments'!$I$31),-PMT('Interest Rate'!$J$16,'Incremental Repayments'!$I$31,(HLOOKUP($D88,$E$4:$CZ$32,28,FALSE)*'Incremental Repayments'!$I$22)),0),0)</f>
        <v>0</v>
      </c>
      <c r="CA88" s="477">
        <f>IF('Incremental Repayments'!$R$22="Debt",IF(AND(CA$4&gt;=$D88,CA$4&lt;$D88+'Incremental Repayments'!$I$31),-PMT('Interest Rate'!$J$16,'Incremental Repayments'!$I$31,(HLOOKUP($D88,$E$4:$CZ$32,28,FALSE)*'Incremental Repayments'!$I$22)),0),0)</f>
        <v>0</v>
      </c>
      <c r="CB88" s="477">
        <f>IF('Incremental Repayments'!$R$22="Debt",IF(AND(CB$4&gt;=$D88,CB$4&lt;$D88+'Incremental Repayments'!$I$31),-PMT('Interest Rate'!$J$16,'Incremental Repayments'!$I$31,(HLOOKUP($D88,$E$4:$CZ$32,28,FALSE)*'Incremental Repayments'!$I$22)),0),0)</f>
        <v>0</v>
      </c>
      <c r="CC88" s="477">
        <f>IF('Incremental Repayments'!$R$22="Debt",IF(AND(CC$4&gt;=$D88,CC$4&lt;$D88+'Incremental Repayments'!$I$31),-PMT('Interest Rate'!$J$16,'Incremental Repayments'!$I$31,(HLOOKUP($D88,$E$4:$CZ$32,28,FALSE)*'Incremental Repayments'!$I$22)),0),0)</f>
        <v>0</v>
      </c>
      <c r="CD88" s="477">
        <f>IF('Incremental Repayments'!$R$22="Debt",IF(AND(CD$4&gt;=$D88,CD$4&lt;$D88+'Incremental Repayments'!$I$31),-PMT('Interest Rate'!$J$16,'Incremental Repayments'!$I$31,(HLOOKUP($D88,$E$4:$CZ$32,28,FALSE)*'Incremental Repayments'!$I$22)),0),0)</f>
        <v>0</v>
      </c>
      <c r="CE88" s="477">
        <f>IF('Incremental Repayments'!$R$22="Debt",IF(AND(CE$4&gt;=$D88,CE$4&lt;$D88+'Incremental Repayments'!$I$31),-PMT('Interest Rate'!$J$16,'Incremental Repayments'!$I$31,(HLOOKUP($D88,$E$4:$CZ$32,28,FALSE)*'Incremental Repayments'!$I$22)),0),0)</f>
        <v>0</v>
      </c>
      <c r="CF88" s="477">
        <f>IF('Incremental Repayments'!$R$22="Debt",IF(AND(CF$4&gt;=$D88,CF$4&lt;$D88+'Incremental Repayments'!$I$31),-PMT('Interest Rate'!$J$16,'Incremental Repayments'!$I$31,(HLOOKUP($D88,$E$4:$CZ$32,28,FALSE)*'Incremental Repayments'!$I$22)),0),0)</f>
        <v>0</v>
      </c>
      <c r="CG88" s="477">
        <f>IF('Incremental Repayments'!$R$22="Debt",IF(AND(CG$4&gt;=$D88,CG$4&lt;$D88+'Incremental Repayments'!$I$31),-PMT('Interest Rate'!$J$16,'Incremental Repayments'!$I$31,(HLOOKUP($D88,$E$4:$CZ$32,28,FALSE)*'Incremental Repayments'!$I$22)),0),0)</f>
        <v>0</v>
      </c>
      <c r="CH88" s="477">
        <f>IF('Incremental Repayments'!$R$22="Debt",IF(AND(CH$4&gt;=$D88,CH$4&lt;$D88+'Incremental Repayments'!$I$31),-PMT('Interest Rate'!$J$16,'Incremental Repayments'!$I$31,(HLOOKUP($D88,$E$4:$CZ$32,28,FALSE)*'Incremental Repayments'!$I$22)),0),0)</f>
        <v>0</v>
      </c>
      <c r="CI88" s="477">
        <f>IF('Incremental Repayments'!$R$22="Debt",IF(AND(CI$4&gt;=$D88,CI$4&lt;$D88+'Incremental Repayments'!$I$31),-PMT('Interest Rate'!$J$16,'Incremental Repayments'!$I$31,(HLOOKUP($D88,$E$4:$CZ$32,28,FALSE)*'Incremental Repayments'!$I$22)),0),0)</f>
        <v>0</v>
      </c>
      <c r="CJ88" s="477">
        <f>IF('Incremental Repayments'!$R$22="Debt",IF(AND(CJ$4&gt;=$D88,CJ$4&lt;$D88+'Incremental Repayments'!$I$31),-PMT('Interest Rate'!$J$16,'Incremental Repayments'!$I$31,(HLOOKUP($D88,$E$4:$CZ$32,28,FALSE)*'Incremental Repayments'!$I$22)),0),0)</f>
        <v>0</v>
      </c>
      <c r="CK88" s="477">
        <f>IF('Incremental Repayments'!$R$22="Debt",IF(AND(CK$4&gt;=$D88,CK$4&lt;$D88+'Incremental Repayments'!$I$31),-PMT('Interest Rate'!$J$16,'Incremental Repayments'!$I$31,(HLOOKUP($D88,$E$4:$CZ$32,28,FALSE)*'Incremental Repayments'!$I$22)),0),0)</f>
        <v>0</v>
      </c>
      <c r="CL88" s="477">
        <f>IF('Incremental Repayments'!$R$22="Debt",IF(AND(CL$4&gt;=$D88,CL$4&lt;$D88+'Incremental Repayments'!$I$31),-PMT('Interest Rate'!$J$16,'Incremental Repayments'!$I$31,(HLOOKUP($D88,$E$4:$CZ$32,28,FALSE)*'Incremental Repayments'!$I$22)),0),0)</f>
        <v>0</v>
      </c>
      <c r="CM88" s="477">
        <f>IF('Incremental Repayments'!$R$22="Debt",IF(AND(CM$4&gt;=$D88,CM$4&lt;$D88+'Incremental Repayments'!$I$31),-PMT('Interest Rate'!$J$16,'Incremental Repayments'!$I$31,(HLOOKUP($D88,$E$4:$CZ$32,28,FALSE)*'Incremental Repayments'!$I$22)),0),0)</f>
        <v>0</v>
      </c>
      <c r="CN88" s="477">
        <f>IF('Incremental Repayments'!$R$22="Debt",IF(AND(CN$4&gt;=$D88,CN$4&lt;$D88+'Incremental Repayments'!$I$31),-PMT('Interest Rate'!$J$16,'Incremental Repayments'!$I$31,(HLOOKUP($D88,$E$4:$CZ$32,28,FALSE)*'Incremental Repayments'!$I$22)),0),0)</f>
        <v>0</v>
      </c>
      <c r="CO88" s="477">
        <f>IF('Incremental Repayments'!$R$22="Debt",IF(AND(CO$4&gt;=$D88,CO$4&lt;$D88+'Incremental Repayments'!$I$31),-PMT('Interest Rate'!$J$16,'Incremental Repayments'!$I$31,(HLOOKUP($D88,$E$4:$CZ$32,28,FALSE)*'Incremental Repayments'!$I$22)),0),0)</f>
        <v>0</v>
      </c>
      <c r="CP88" s="477">
        <f>IF('Incremental Repayments'!$R$22="Debt",IF(AND(CP$4&gt;=$D88,CP$4&lt;$D88+'Incremental Repayments'!$I$31),-PMT('Interest Rate'!$J$16,'Incremental Repayments'!$I$31,(HLOOKUP($D88,$E$4:$CZ$32,28,FALSE)*'Incremental Repayments'!$I$22)),0),0)</f>
        <v>0</v>
      </c>
      <c r="CQ88" s="477">
        <f>IF('Incremental Repayments'!$R$22="Debt",IF(AND(CQ$4&gt;=$D88,CQ$4&lt;$D88+'Incremental Repayments'!$I$31),-PMT('Interest Rate'!$J$16,'Incremental Repayments'!$I$31,(HLOOKUP($D88,$E$4:$CZ$32,28,FALSE)*'Incremental Repayments'!$I$22)),0),0)</f>
        <v>0</v>
      </c>
      <c r="CR88" s="477">
        <f>IF('Incremental Repayments'!$R$22="Debt",IF(AND(CR$4&gt;=$D88,CR$4&lt;$D88+'Incremental Repayments'!$I$31),-PMT('Interest Rate'!$J$16,'Incremental Repayments'!$I$31,(HLOOKUP($D88,$E$4:$CZ$32,28,FALSE)*'Incremental Repayments'!$I$22)),0),0)</f>
        <v>0</v>
      </c>
      <c r="CS88" s="477">
        <f>IF('Incremental Repayments'!$R$22="Debt",IF(AND(CS$4&gt;=$D88,CS$4&lt;$D88+'Incremental Repayments'!$I$31),-PMT('Interest Rate'!$J$16,'Incremental Repayments'!$I$31,(HLOOKUP($D88,$E$4:$CZ$32,28,FALSE)*'Incremental Repayments'!$I$22)),0),0)</f>
        <v>0</v>
      </c>
      <c r="CT88" s="477">
        <f>IF('Incremental Repayments'!$R$22="Debt",IF(AND(CT$4&gt;=$D88,CT$4&lt;$D88+'Incremental Repayments'!$I$31),-PMT('Interest Rate'!$J$16,'Incremental Repayments'!$I$31,(HLOOKUP($D88,$E$4:$CZ$32,28,FALSE)*'Incremental Repayments'!$I$22)),0),0)</f>
        <v>0</v>
      </c>
      <c r="CU88" s="477">
        <f>IF('Incremental Repayments'!$R$22="Debt",IF(AND(CU$4&gt;=$D88,CU$4&lt;$D88+'Incremental Repayments'!$I$31),-PMT('Interest Rate'!$J$16,'Incremental Repayments'!$I$31,(HLOOKUP($D88,$E$4:$CZ$32,28,FALSE)*'Incremental Repayments'!$I$22)),0),0)</f>
        <v>0</v>
      </c>
      <c r="CV88" s="477">
        <f>IF('Incremental Repayments'!$R$22="Debt",IF(AND(CV$4&gt;=$D88,CV$4&lt;$D88+'Incremental Repayments'!$I$31),-PMT('Interest Rate'!$J$16,'Incremental Repayments'!$I$31,(HLOOKUP($D88,$E$4:$CZ$32,28,FALSE)*'Incremental Repayments'!$I$22)),0),0)</f>
        <v>0</v>
      </c>
      <c r="CW88" s="477">
        <f>IF('Incremental Repayments'!$R$22="Debt",IF(AND(CW$4&gt;=$D88,CW$4&lt;$D88+'Incremental Repayments'!$I$31),-PMT('Interest Rate'!$J$16,'Incremental Repayments'!$I$31,(HLOOKUP($D88,$E$4:$CZ$32,28,FALSE)*'Incremental Repayments'!$I$22)),0),0)</f>
        <v>0</v>
      </c>
      <c r="CX88" s="477">
        <f>IF('Incremental Repayments'!$R$22="Debt",IF(AND(CX$4&gt;=$D88,CX$4&lt;$D88+'Incremental Repayments'!$I$31),-PMT('Interest Rate'!$J$16,'Incremental Repayments'!$I$31,(HLOOKUP($D88,$E$4:$CZ$32,28,FALSE)*'Incremental Repayments'!$I$22)),0),0)</f>
        <v>0</v>
      </c>
      <c r="CY88" s="477">
        <f>IF('Incremental Repayments'!$R$22="Debt",IF(AND(CY$4&gt;=$D88,CY$4&lt;$D88+'Incremental Repayments'!$I$31),-PMT('Interest Rate'!$J$16,'Incremental Repayments'!$I$31,(HLOOKUP($D88,$E$4:$CZ$32,28,FALSE)*'Incremental Repayments'!$I$22)),0),0)</f>
        <v>0</v>
      </c>
      <c r="CZ88" s="477">
        <f>IF('Incremental Repayments'!$R$22="Debt",IF(AND(CZ$4&gt;=$D88,CZ$4&lt;$D88+'Incremental Repayments'!$I$31),-PMT('Interest Rate'!$J$16,'Incremental Repayments'!$I$31,(HLOOKUP($D88,$E$4:$CZ$32,28,FALSE)*'Incremental Repayments'!$I$22)),0),0)</f>
        <v>0</v>
      </c>
    </row>
    <row r="89" spans="2:104" x14ac:dyDescent="0.25">
      <c r="B89" s="480" t="str">
        <f>CONCATENATE("Series ",D89,"A Bonds (at ",'Interest Rate'!$J$16*100,"% Interest)")</f>
        <v>Series 2067A Bonds (at 4.5% Interest)</v>
      </c>
      <c r="C89" s="480"/>
      <c r="D89" s="492">
        <f t="shared" si="494"/>
        <v>2067</v>
      </c>
      <c r="E89" s="477">
        <f>IF('Incremental Repayments'!$R$22="Debt",IF(AND(E$4&gt;=$D89,E$4&lt;$D89+'Incremental Repayments'!$I$31),-PMT('Interest Rate'!$J$16,'Incremental Repayments'!$I$31,(HLOOKUP($D89,$E$4:$CZ$32,28,FALSE)*'Incremental Repayments'!$I$22)),0),0)</f>
        <v>0</v>
      </c>
      <c r="F89" s="477">
        <f>IF('Incremental Repayments'!$R$22="Debt",IF(AND(F$4&gt;=$D89,F$4&lt;$D89+'Incremental Repayments'!$I$31),-PMT('Interest Rate'!$J$16,'Incremental Repayments'!$I$31,(HLOOKUP($D89,$E$4:$CZ$32,28,FALSE)*'Incremental Repayments'!$I$22)),0),0)</f>
        <v>0</v>
      </c>
      <c r="G89" s="477">
        <f>IF('Incremental Repayments'!$R$22="Debt",IF(AND(G$4&gt;=$D89,G$4&lt;$D89+'Incremental Repayments'!$I$31),-PMT('Interest Rate'!$J$16,'Incremental Repayments'!$I$31,(HLOOKUP($D89,$E$4:$CZ$32,28,FALSE)*'Incremental Repayments'!$I$22)),0),0)</f>
        <v>0</v>
      </c>
      <c r="H89" s="477">
        <f>IF('Incremental Repayments'!$R$22="Debt",IF(AND(H$4&gt;=$D89,H$4&lt;$D89+'Incremental Repayments'!$I$31),-PMT('Interest Rate'!$J$16,'Incremental Repayments'!$I$31,(HLOOKUP($D89,$E$4:$CZ$32,28,FALSE)*'Incremental Repayments'!$I$22)),0),0)</f>
        <v>0</v>
      </c>
      <c r="I89" s="477">
        <f>IF('Incremental Repayments'!$R$22="Debt",IF(AND(I$4&gt;=$D89,I$4&lt;$D89+'Incremental Repayments'!$I$31),-PMT('Interest Rate'!$J$16,'Incremental Repayments'!$I$31,(HLOOKUP($D89,$E$4:$CZ$32,28,FALSE)*'Incremental Repayments'!$I$22)),0),0)</f>
        <v>0</v>
      </c>
      <c r="J89" s="477">
        <f>IF('Incremental Repayments'!$R$22="Debt",IF(AND(J$4&gt;=$D89,J$4&lt;$D89+'Incremental Repayments'!$I$31),-PMT('Interest Rate'!$J$16,'Incremental Repayments'!$I$31,(HLOOKUP($D89,$E$4:$CZ$32,28,FALSE)*'Incremental Repayments'!$I$22)),0),0)</f>
        <v>0</v>
      </c>
      <c r="K89" s="477">
        <f>IF('Incremental Repayments'!$R$22="Debt",IF(AND(K$4&gt;=$D89,K$4&lt;$D89+'Incremental Repayments'!$I$31),-PMT('Interest Rate'!$J$16,'Incremental Repayments'!$I$31,(HLOOKUP($D89,$E$4:$CZ$32,28,FALSE)*'Incremental Repayments'!$I$22)),0),0)</f>
        <v>0</v>
      </c>
      <c r="L89" s="477">
        <f>IF('Incremental Repayments'!$R$22="Debt",IF(AND(L$4&gt;=$D89,L$4&lt;$D89+'Incremental Repayments'!$I$31),-PMT('Interest Rate'!$J$16,'Incremental Repayments'!$I$31,(HLOOKUP($D89,$E$4:$CZ$32,28,FALSE)*'Incremental Repayments'!$I$22)),0),0)</f>
        <v>0</v>
      </c>
      <c r="M89" s="477">
        <f>IF('Incremental Repayments'!$R$22="Debt",IF(AND(M$4&gt;=$D89,M$4&lt;$D89+'Incremental Repayments'!$I$31),-PMT('Interest Rate'!$J$16,'Incremental Repayments'!$I$31,(HLOOKUP($D89,$E$4:$CZ$32,28,FALSE)*'Incremental Repayments'!$I$22)),0),0)</f>
        <v>0</v>
      </c>
      <c r="N89" s="477">
        <f>IF('Incremental Repayments'!$R$22="Debt",IF(AND(N$4&gt;=$D89,N$4&lt;$D89+'Incremental Repayments'!$I$31),-PMT('Interest Rate'!$J$16,'Incremental Repayments'!$I$31,(HLOOKUP($D89,$E$4:$CZ$32,28,FALSE)*'Incremental Repayments'!$I$22)),0),0)</f>
        <v>0</v>
      </c>
      <c r="O89" s="477">
        <f>IF('Incremental Repayments'!$R$22="Debt",IF(AND(O$4&gt;=$D89,O$4&lt;$D89+'Incremental Repayments'!$I$31),-PMT('Interest Rate'!$J$16,'Incremental Repayments'!$I$31,(HLOOKUP($D89,$E$4:$CZ$32,28,FALSE)*'Incremental Repayments'!$I$22)),0),0)</f>
        <v>0</v>
      </c>
      <c r="P89" s="477">
        <f>IF('Incremental Repayments'!$R$22="Debt",IF(AND(P$4&gt;=$D89,P$4&lt;$D89+'Incremental Repayments'!$I$31),-PMT('Interest Rate'!$J$16,'Incremental Repayments'!$I$31,(HLOOKUP($D89,$E$4:$CZ$32,28,FALSE)*'Incremental Repayments'!$I$22)),0),0)</f>
        <v>0</v>
      </c>
      <c r="Q89" s="477">
        <f>IF('Incremental Repayments'!$R$22="Debt",IF(AND(Q$4&gt;=$D89,Q$4&lt;$D89+'Incremental Repayments'!$I$31),-PMT('Interest Rate'!$J$16,'Incremental Repayments'!$I$31,(HLOOKUP($D89,$E$4:$CZ$32,28,FALSE)*'Incremental Repayments'!$I$22)),0),0)</f>
        <v>0</v>
      </c>
      <c r="R89" s="477">
        <f>IF('Incremental Repayments'!$R$22="Debt",IF(AND(R$4&gt;=$D89,R$4&lt;$D89+'Incremental Repayments'!$I$31),-PMT('Interest Rate'!$J$16,'Incremental Repayments'!$I$31,(HLOOKUP($D89,$E$4:$CZ$32,28,FALSE)*'Incremental Repayments'!$I$22)),0),0)</f>
        <v>0</v>
      </c>
      <c r="S89" s="477">
        <f>IF('Incremental Repayments'!$R$22="Debt",IF(AND(S$4&gt;=$D89,S$4&lt;$D89+'Incremental Repayments'!$I$31),-PMT('Interest Rate'!$J$16,'Incremental Repayments'!$I$31,(HLOOKUP($D89,$E$4:$CZ$32,28,FALSE)*'Incremental Repayments'!$I$22)),0),0)</f>
        <v>0</v>
      </c>
      <c r="T89" s="477">
        <f>IF('Incremental Repayments'!$R$22="Debt",IF(AND(T$4&gt;=$D89,T$4&lt;$D89+'Incremental Repayments'!$I$31),-PMT('Interest Rate'!$J$16,'Incremental Repayments'!$I$31,(HLOOKUP($D89,$E$4:$CZ$32,28,FALSE)*'Incremental Repayments'!$I$22)),0),0)</f>
        <v>0</v>
      </c>
      <c r="U89" s="477">
        <f>IF('Incremental Repayments'!$R$22="Debt",IF(AND(U$4&gt;=$D89,U$4&lt;$D89+'Incremental Repayments'!$I$31),-PMT('Interest Rate'!$J$16,'Incremental Repayments'!$I$31,(HLOOKUP($D89,$E$4:$CZ$32,28,FALSE)*'Incremental Repayments'!$I$22)),0),0)</f>
        <v>0</v>
      </c>
      <c r="V89" s="477">
        <f>IF('Incremental Repayments'!$R$22="Debt",IF(AND(V$4&gt;=$D89,V$4&lt;$D89+'Incremental Repayments'!$I$31),-PMT('Interest Rate'!$J$16,'Incremental Repayments'!$I$31,(HLOOKUP($D89,$E$4:$CZ$32,28,FALSE)*'Incremental Repayments'!$I$22)),0),0)</f>
        <v>0</v>
      </c>
      <c r="W89" s="477">
        <f>IF('Incremental Repayments'!$R$22="Debt",IF(AND(W$4&gt;=$D89,W$4&lt;$D89+'Incremental Repayments'!$I$31),-PMT('Interest Rate'!$J$16,'Incremental Repayments'!$I$31,(HLOOKUP($D89,$E$4:$CZ$32,28,FALSE)*'Incremental Repayments'!$I$22)),0),0)</f>
        <v>0</v>
      </c>
      <c r="X89" s="477">
        <f>IF('Incremental Repayments'!$R$22="Debt",IF(AND(X$4&gt;=$D89,X$4&lt;$D89+'Incremental Repayments'!$I$31),-PMT('Interest Rate'!$J$16,'Incremental Repayments'!$I$31,(HLOOKUP($D89,$E$4:$CZ$32,28,FALSE)*'Incremental Repayments'!$I$22)),0),0)</f>
        <v>0</v>
      </c>
      <c r="Y89" s="477">
        <f>IF('Incremental Repayments'!$R$22="Debt",IF(AND(Y$4&gt;=$D89,Y$4&lt;$D89+'Incremental Repayments'!$I$31),-PMT('Interest Rate'!$J$16,'Incremental Repayments'!$I$31,(HLOOKUP($D89,$E$4:$CZ$32,28,FALSE)*'Incremental Repayments'!$I$22)),0),0)</f>
        <v>0</v>
      </c>
      <c r="Z89" s="477">
        <f>IF('Incremental Repayments'!$R$22="Debt",IF(AND(Z$4&gt;=$D89,Z$4&lt;$D89+'Incremental Repayments'!$I$31),-PMT('Interest Rate'!$J$16,'Incremental Repayments'!$I$31,(HLOOKUP($D89,$E$4:$CZ$32,28,FALSE)*'Incremental Repayments'!$I$22)),0),0)</f>
        <v>0</v>
      </c>
      <c r="AA89" s="477">
        <f>IF('Incremental Repayments'!$R$22="Debt",IF(AND(AA$4&gt;=$D89,AA$4&lt;$D89+'Incremental Repayments'!$I$31),-PMT('Interest Rate'!$J$16,'Incremental Repayments'!$I$31,(HLOOKUP($D89,$E$4:$CZ$32,28,FALSE)*'Incremental Repayments'!$I$22)),0),0)</f>
        <v>0</v>
      </c>
      <c r="AB89" s="477">
        <f>IF('Incremental Repayments'!$R$22="Debt",IF(AND(AB$4&gt;=$D89,AB$4&lt;$D89+'Incremental Repayments'!$I$31),-PMT('Interest Rate'!$J$16,'Incremental Repayments'!$I$31,(HLOOKUP($D89,$E$4:$CZ$32,28,FALSE)*'Incremental Repayments'!$I$22)),0),0)</f>
        <v>0</v>
      </c>
      <c r="AC89" s="477">
        <f>IF('Incremental Repayments'!$R$22="Debt",IF(AND(AC$4&gt;=$D89,AC$4&lt;$D89+'Incremental Repayments'!$I$31),-PMT('Interest Rate'!$J$16,'Incremental Repayments'!$I$31,(HLOOKUP($D89,$E$4:$CZ$32,28,FALSE)*'Incremental Repayments'!$I$22)),0),0)</f>
        <v>0</v>
      </c>
      <c r="AD89" s="477">
        <f>IF('Incremental Repayments'!$R$22="Debt",IF(AND(AD$4&gt;=$D89,AD$4&lt;$D89+'Incremental Repayments'!$I$31),-PMT('Interest Rate'!$J$16,'Incremental Repayments'!$I$31,(HLOOKUP($D89,$E$4:$CZ$32,28,FALSE)*'Incremental Repayments'!$I$22)),0),0)</f>
        <v>0</v>
      </c>
      <c r="AE89" s="477">
        <f>IF('Incremental Repayments'!$R$22="Debt",IF(AND(AE$4&gt;=$D89,AE$4&lt;$D89+'Incremental Repayments'!$I$31),-PMT('Interest Rate'!$J$16,'Incremental Repayments'!$I$31,(HLOOKUP($D89,$E$4:$CZ$32,28,FALSE)*'Incremental Repayments'!$I$22)),0),0)</f>
        <v>0</v>
      </c>
      <c r="AF89" s="477">
        <f>IF('Incremental Repayments'!$R$22="Debt",IF(AND(AF$4&gt;=$D89,AF$4&lt;$D89+'Incremental Repayments'!$I$31),-PMT('Interest Rate'!$J$16,'Incremental Repayments'!$I$31,(HLOOKUP($D89,$E$4:$CZ$32,28,FALSE)*'Incremental Repayments'!$I$22)),0),0)</f>
        <v>0</v>
      </c>
      <c r="AG89" s="477">
        <f>IF('Incremental Repayments'!$R$22="Debt",IF(AND(AG$4&gt;=$D89,AG$4&lt;$D89+'Incremental Repayments'!$I$31),-PMT('Interest Rate'!$J$16,'Incremental Repayments'!$I$31,(HLOOKUP($D89,$E$4:$CZ$32,28,FALSE)*'Incremental Repayments'!$I$22)),0),0)</f>
        <v>0</v>
      </c>
      <c r="AH89" s="477">
        <f>IF('Incremental Repayments'!$R$22="Debt",IF(AND(AH$4&gt;=$D89,AH$4&lt;$D89+'Incremental Repayments'!$I$31),-PMT('Interest Rate'!$J$16,'Incremental Repayments'!$I$31,(HLOOKUP($D89,$E$4:$CZ$32,28,FALSE)*'Incremental Repayments'!$I$22)),0),0)</f>
        <v>0</v>
      </c>
      <c r="AI89" s="477">
        <f>IF('Incremental Repayments'!$R$22="Debt",IF(AND(AI$4&gt;=$D89,AI$4&lt;$D89+'Incremental Repayments'!$I$31),-PMT('Interest Rate'!$J$16,'Incremental Repayments'!$I$31,(HLOOKUP($D89,$E$4:$CZ$32,28,FALSE)*'Incremental Repayments'!$I$22)),0),0)</f>
        <v>0</v>
      </c>
      <c r="AJ89" s="477">
        <f>IF('Incremental Repayments'!$R$22="Debt",IF(AND(AJ$4&gt;=$D89,AJ$4&lt;$D89+'Incremental Repayments'!$I$31),-PMT('Interest Rate'!$J$16,'Incremental Repayments'!$I$31,(HLOOKUP($D89,$E$4:$CZ$32,28,FALSE)*'Incremental Repayments'!$I$22)),0),0)</f>
        <v>0</v>
      </c>
      <c r="AK89" s="477">
        <f>IF('Incremental Repayments'!$R$22="Debt",IF(AND(AK$4&gt;=$D89,AK$4&lt;$D89+'Incremental Repayments'!$I$31),-PMT('Interest Rate'!$J$16,'Incremental Repayments'!$I$31,(HLOOKUP($D89,$E$4:$CZ$32,28,FALSE)*'Incremental Repayments'!$I$22)),0),0)</f>
        <v>0</v>
      </c>
      <c r="AL89" s="477">
        <f>IF('Incremental Repayments'!$R$22="Debt",IF(AND(AL$4&gt;=$D89,AL$4&lt;$D89+'Incremental Repayments'!$I$31),-PMT('Interest Rate'!$J$16,'Incremental Repayments'!$I$31,(HLOOKUP($D89,$E$4:$CZ$32,28,FALSE)*'Incremental Repayments'!$I$22)),0),0)</f>
        <v>0</v>
      </c>
      <c r="AM89" s="477">
        <f>IF('Incremental Repayments'!$R$22="Debt",IF(AND(AM$4&gt;=$D89,AM$4&lt;$D89+'Incremental Repayments'!$I$31),-PMT('Interest Rate'!$J$16,'Incremental Repayments'!$I$31,(HLOOKUP($D89,$E$4:$CZ$32,28,FALSE)*'Incremental Repayments'!$I$22)),0),0)</f>
        <v>0</v>
      </c>
      <c r="AN89" s="477">
        <f>IF('Incremental Repayments'!$R$22="Debt",IF(AND(AN$4&gt;=$D89,AN$4&lt;$D89+'Incremental Repayments'!$I$31),-PMT('Interest Rate'!$J$16,'Incremental Repayments'!$I$31,(HLOOKUP($D89,$E$4:$CZ$32,28,FALSE)*'Incremental Repayments'!$I$22)),0),0)</f>
        <v>0</v>
      </c>
      <c r="AO89" s="477">
        <f>IF('Incremental Repayments'!$R$22="Debt",IF(AND(AO$4&gt;=$D89,AO$4&lt;$D89+'Incremental Repayments'!$I$31),-PMT('Interest Rate'!$J$16,'Incremental Repayments'!$I$31,(HLOOKUP($D89,$E$4:$CZ$32,28,FALSE)*'Incremental Repayments'!$I$22)),0),0)</f>
        <v>0</v>
      </c>
      <c r="AP89" s="477">
        <f>IF('Incremental Repayments'!$R$22="Debt",IF(AND(AP$4&gt;=$D89,AP$4&lt;$D89+'Incremental Repayments'!$I$31),-PMT('Interest Rate'!$J$16,'Incremental Repayments'!$I$31,(HLOOKUP($D89,$E$4:$CZ$32,28,FALSE)*'Incremental Repayments'!$I$22)),0),0)</f>
        <v>0</v>
      </c>
      <c r="AQ89" s="477">
        <f>IF('Incremental Repayments'!$R$22="Debt",IF(AND(AQ$4&gt;=$D89,AQ$4&lt;$D89+'Incremental Repayments'!$I$31),-PMT('Interest Rate'!$J$16,'Incremental Repayments'!$I$31,(HLOOKUP($D89,$E$4:$CZ$32,28,FALSE)*'Incremental Repayments'!$I$22)),0),0)</f>
        <v>0</v>
      </c>
      <c r="AR89" s="477">
        <f>IF('Incremental Repayments'!$R$22="Debt",IF(AND(AR$4&gt;=$D89,AR$4&lt;$D89+'Incremental Repayments'!$I$31),-PMT('Interest Rate'!$J$16,'Incremental Repayments'!$I$31,(HLOOKUP($D89,$E$4:$CZ$32,28,FALSE)*'Incremental Repayments'!$I$22)),0),0)</f>
        <v>0</v>
      </c>
      <c r="AS89" s="477">
        <f>IF('Incremental Repayments'!$R$22="Debt",IF(AND(AS$4&gt;=$D89,AS$4&lt;$D89+'Incremental Repayments'!$I$31),-PMT('Interest Rate'!$J$16,'Incremental Repayments'!$I$31,(HLOOKUP($D89,$E$4:$CZ$32,28,FALSE)*'Incremental Repayments'!$I$22)),0),0)</f>
        <v>0</v>
      </c>
      <c r="AT89" s="477">
        <f>IF('Incremental Repayments'!$R$22="Debt",IF(AND(AT$4&gt;=$D89,AT$4&lt;$D89+'Incremental Repayments'!$I$31),-PMT('Interest Rate'!$J$16,'Incremental Repayments'!$I$31,(HLOOKUP($D89,$E$4:$CZ$32,28,FALSE)*'Incremental Repayments'!$I$22)),0),0)</f>
        <v>0</v>
      </c>
      <c r="AU89" s="477">
        <f>IF('Incremental Repayments'!$R$22="Debt",IF(AND(AU$4&gt;=$D89,AU$4&lt;$D89+'Incremental Repayments'!$I$31),-PMT('Interest Rate'!$J$16,'Incremental Repayments'!$I$31,(HLOOKUP($D89,$E$4:$CZ$32,28,FALSE)*'Incremental Repayments'!$I$22)),0),0)</f>
        <v>0</v>
      </c>
      <c r="AV89" s="477">
        <f>IF('Incremental Repayments'!$R$22="Debt",IF(AND(AV$4&gt;=$D89,AV$4&lt;$D89+'Incremental Repayments'!$I$31),-PMT('Interest Rate'!$J$16,'Incremental Repayments'!$I$31,(HLOOKUP($D89,$E$4:$CZ$32,28,FALSE)*'Incremental Repayments'!$I$22)),0),0)</f>
        <v>0</v>
      </c>
      <c r="AW89" s="477">
        <f>IF('Incremental Repayments'!$R$22="Debt",IF(AND(AW$4&gt;=$D89,AW$4&lt;$D89+'Incremental Repayments'!$I$31),-PMT('Interest Rate'!$J$16,'Incremental Repayments'!$I$31,(HLOOKUP($D89,$E$4:$CZ$32,28,FALSE)*'Incremental Repayments'!$I$22)),0),0)</f>
        <v>0</v>
      </c>
      <c r="AX89" s="477">
        <f>IF('Incremental Repayments'!$R$22="Debt",IF(AND(AX$4&gt;=$D89,AX$4&lt;$D89+'Incremental Repayments'!$I$31),-PMT('Interest Rate'!$J$16,'Incremental Repayments'!$I$31,(HLOOKUP($D89,$E$4:$CZ$32,28,FALSE)*'Incremental Repayments'!$I$22)),0),0)</f>
        <v>0</v>
      </c>
      <c r="AY89" s="477">
        <f>IF('Incremental Repayments'!$R$22="Debt",IF(AND(AY$4&gt;=$D89,AY$4&lt;$D89+'Incremental Repayments'!$I$31),-PMT('Interest Rate'!$J$16,'Incremental Repayments'!$I$31,(HLOOKUP($D89,$E$4:$CZ$32,28,FALSE)*'Incremental Repayments'!$I$22)),0),0)</f>
        <v>0</v>
      </c>
      <c r="AZ89" s="477">
        <f>IF('Incremental Repayments'!$R$22="Debt",IF(AND(AZ$4&gt;=$D89,AZ$4&lt;$D89+'Incremental Repayments'!$I$31),-PMT('Interest Rate'!$J$16,'Incremental Repayments'!$I$31,(HLOOKUP($D89,$E$4:$CZ$32,28,FALSE)*'Incremental Repayments'!$I$22)),0),0)</f>
        <v>0</v>
      </c>
      <c r="BA89" s="477">
        <f>IF('Incremental Repayments'!$R$22="Debt",IF(AND(BA$4&gt;=$D89,BA$4&lt;$D89+'Incremental Repayments'!$I$31),-PMT('Interest Rate'!$J$16,'Incremental Repayments'!$I$31,(HLOOKUP($D89,$E$4:$CZ$32,28,FALSE)*'Incremental Repayments'!$I$22)),0),0)</f>
        <v>0</v>
      </c>
      <c r="BB89" s="477">
        <f>IF('Incremental Repayments'!$R$22="Debt",IF(AND(BB$4&gt;=$D89,BB$4&lt;$D89+'Incremental Repayments'!$I$31),-PMT('Interest Rate'!$J$16,'Incremental Repayments'!$I$31,(HLOOKUP($D89,$E$4:$CZ$32,28,FALSE)*'Incremental Repayments'!$I$22)),0),0)</f>
        <v>0</v>
      </c>
      <c r="BC89" s="477">
        <f>IF('Incremental Repayments'!$R$22="Debt",IF(AND(BC$4&gt;=$D89,BC$4&lt;$D89+'Incremental Repayments'!$I$31),-PMT('Interest Rate'!$J$16,'Incremental Repayments'!$I$31,(HLOOKUP($D89,$E$4:$CZ$32,28,FALSE)*'Incremental Repayments'!$I$22)),0),0)</f>
        <v>0</v>
      </c>
      <c r="BD89" s="477">
        <f>IF('Incremental Repayments'!$R$22="Debt",IF(AND(BD$4&gt;=$D89,BD$4&lt;$D89+'Incremental Repayments'!$I$31),-PMT('Interest Rate'!$J$16,'Incremental Repayments'!$I$31,(HLOOKUP($D89,$E$4:$CZ$32,28,FALSE)*'Incremental Repayments'!$I$22)),0),0)</f>
        <v>0</v>
      </c>
      <c r="BE89" s="477">
        <f>IF('Incremental Repayments'!$R$22="Debt",IF(AND(BE$4&gt;=$D89,BE$4&lt;$D89+'Incremental Repayments'!$I$31),-PMT('Interest Rate'!$J$16,'Incremental Repayments'!$I$31,(HLOOKUP($D89,$E$4:$CZ$32,28,FALSE)*'Incremental Repayments'!$I$22)),0),0)</f>
        <v>0</v>
      </c>
      <c r="BF89" s="477">
        <f>IF('Incremental Repayments'!$R$22="Debt",IF(AND(BF$4&gt;=$D89,BF$4&lt;$D89+'Incremental Repayments'!$I$31),-PMT('Interest Rate'!$J$16,'Incremental Repayments'!$I$31,(HLOOKUP($D89,$E$4:$CZ$32,28,FALSE)*'Incremental Repayments'!$I$22)),0),0)</f>
        <v>0</v>
      </c>
      <c r="BG89" s="477">
        <f>IF('Incremental Repayments'!$R$22="Debt",IF(AND(BG$4&gt;=$D89,BG$4&lt;$D89+'Incremental Repayments'!$I$31),-PMT('Interest Rate'!$J$16,'Incremental Repayments'!$I$31,(HLOOKUP($D89,$E$4:$CZ$32,28,FALSE)*'Incremental Repayments'!$I$22)),0),0)</f>
        <v>0</v>
      </c>
      <c r="BH89" s="477">
        <f>IF('Incremental Repayments'!$R$22="Debt",IF(AND(BH$4&gt;=$D89,BH$4&lt;$D89+'Incremental Repayments'!$I$31),-PMT('Interest Rate'!$J$16,'Incremental Repayments'!$I$31,(HLOOKUP($D89,$E$4:$CZ$32,28,FALSE)*'Incremental Repayments'!$I$22)),0),0)</f>
        <v>0</v>
      </c>
      <c r="BI89" s="477">
        <f>IF('Incremental Repayments'!$R$22="Debt",IF(AND(BI$4&gt;=$D89,BI$4&lt;$D89+'Incremental Repayments'!$I$31),-PMT('Interest Rate'!$J$16,'Incremental Repayments'!$I$31,(HLOOKUP($D89,$E$4:$CZ$32,28,FALSE)*'Incremental Repayments'!$I$22)),0),0)</f>
        <v>0</v>
      </c>
      <c r="BJ89" s="477">
        <f>IF('Incremental Repayments'!$R$22="Debt",IF(AND(BJ$4&gt;=$D89,BJ$4&lt;$D89+'Incremental Repayments'!$I$31),-PMT('Interest Rate'!$J$16,'Incremental Repayments'!$I$31,(HLOOKUP($D89,$E$4:$CZ$32,28,FALSE)*'Incremental Repayments'!$I$22)),0),0)</f>
        <v>0</v>
      </c>
      <c r="BK89" s="477">
        <f>IF('Incremental Repayments'!$R$22="Debt",IF(AND(BK$4&gt;=$D89,BK$4&lt;$D89+'Incremental Repayments'!$I$31),-PMT('Interest Rate'!$J$16,'Incremental Repayments'!$I$31,(HLOOKUP($D89,$E$4:$CZ$32,28,FALSE)*'Incremental Repayments'!$I$22)),0),0)</f>
        <v>0</v>
      </c>
      <c r="BL89" s="477">
        <f>IF('Incremental Repayments'!$R$22="Debt",IF(AND(BL$4&gt;=$D89,BL$4&lt;$D89+'Incremental Repayments'!$I$31),-PMT('Interest Rate'!$J$16,'Incremental Repayments'!$I$31,(HLOOKUP($D89,$E$4:$CZ$32,28,FALSE)*'Incremental Repayments'!$I$22)),0),0)</f>
        <v>0</v>
      </c>
      <c r="BM89" s="477">
        <f>IF('Incremental Repayments'!$R$22="Debt",IF(AND(BM$4&gt;=$D89,BM$4&lt;$D89+'Incremental Repayments'!$I$31),-PMT('Interest Rate'!$J$16,'Incremental Repayments'!$I$31,(HLOOKUP($D89,$E$4:$CZ$32,28,FALSE)*'Incremental Repayments'!$I$22)),0),0)</f>
        <v>0</v>
      </c>
      <c r="BN89" s="477">
        <f>IF('Incremental Repayments'!$R$22="Debt",IF(AND(BN$4&gt;=$D89,BN$4&lt;$D89+'Incremental Repayments'!$I$31),-PMT('Interest Rate'!$J$16,'Incremental Repayments'!$I$31,(HLOOKUP($D89,$E$4:$CZ$32,28,FALSE)*'Incremental Repayments'!$I$22)),0),0)</f>
        <v>0</v>
      </c>
      <c r="BO89" s="477">
        <f>IF('Incremental Repayments'!$R$22="Debt",IF(AND(BO$4&gt;=$D89,BO$4&lt;$D89+'Incremental Repayments'!$I$31),-PMT('Interest Rate'!$J$16,'Incremental Repayments'!$I$31,(HLOOKUP($D89,$E$4:$CZ$32,28,FALSE)*'Incremental Repayments'!$I$22)),0),0)</f>
        <v>0</v>
      </c>
      <c r="BP89" s="477">
        <f>IF('Incremental Repayments'!$R$22="Debt",IF(AND(BP$4&gt;=$D89,BP$4&lt;$D89+'Incremental Repayments'!$I$31),-PMT('Interest Rate'!$J$16,'Incremental Repayments'!$I$31,(HLOOKUP($D89,$E$4:$CZ$32,28,FALSE)*'Incremental Repayments'!$I$22)),0),0)</f>
        <v>0</v>
      </c>
      <c r="BQ89" s="477">
        <f>IF('Incremental Repayments'!$R$22="Debt",IF(AND(BQ$4&gt;=$D89,BQ$4&lt;$D89+'Incremental Repayments'!$I$31),-PMT('Interest Rate'!$J$16,'Incremental Repayments'!$I$31,(HLOOKUP($D89,$E$4:$CZ$32,28,FALSE)*'Incremental Repayments'!$I$22)),0),0)</f>
        <v>0</v>
      </c>
      <c r="BR89" s="477">
        <f>IF('Incremental Repayments'!$R$22="Debt",IF(AND(BR$4&gt;=$D89,BR$4&lt;$D89+'Incremental Repayments'!$I$31),-PMT('Interest Rate'!$J$16,'Incremental Repayments'!$I$31,(HLOOKUP($D89,$E$4:$CZ$32,28,FALSE)*'Incremental Repayments'!$I$22)),0),0)</f>
        <v>0</v>
      </c>
      <c r="BS89" s="477">
        <f>IF('Incremental Repayments'!$R$22="Debt",IF(AND(BS$4&gt;=$D89,BS$4&lt;$D89+'Incremental Repayments'!$I$31),-PMT('Interest Rate'!$J$16,'Incremental Repayments'!$I$31,(HLOOKUP($D89,$E$4:$CZ$32,28,FALSE)*'Incremental Repayments'!$I$22)),0),0)</f>
        <v>0</v>
      </c>
      <c r="BT89" s="477">
        <f>IF('Incremental Repayments'!$R$22="Debt",IF(AND(BT$4&gt;=$D89,BT$4&lt;$D89+'Incremental Repayments'!$I$31),-PMT('Interest Rate'!$J$16,'Incremental Repayments'!$I$31,(HLOOKUP($D89,$E$4:$CZ$32,28,FALSE)*'Incremental Repayments'!$I$22)),0),0)</f>
        <v>0</v>
      </c>
      <c r="BU89" s="477">
        <f>IF('Incremental Repayments'!$R$22="Debt",IF(AND(BU$4&gt;=$D89,BU$4&lt;$D89+'Incremental Repayments'!$I$31),-PMT('Interest Rate'!$J$16,'Incremental Repayments'!$I$31,(HLOOKUP($D89,$E$4:$CZ$32,28,FALSE)*'Incremental Repayments'!$I$22)),0),0)</f>
        <v>0</v>
      </c>
      <c r="BV89" s="477">
        <f>IF('Incremental Repayments'!$R$22="Debt",IF(AND(BV$4&gt;=$D89,BV$4&lt;$D89+'Incremental Repayments'!$I$31),-PMT('Interest Rate'!$J$16,'Incremental Repayments'!$I$31,(HLOOKUP($D89,$E$4:$CZ$32,28,FALSE)*'Incremental Repayments'!$I$22)),0),0)</f>
        <v>0</v>
      </c>
      <c r="BW89" s="477">
        <f>IF('Incremental Repayments'!$R$22="Debt",IF(AND(BW$4&gt;=$D89,BW$4&lt;$D89+'Incremental Repayments'!$I$31),-PMT('Interest Rate'!$J$16,'Incremental Repayments'!$I$31,(HLOOKUP($D89,$E$4:$CZ$32,28,FALSE)*'Incremental Repayments'!$I$22)),0),0)</f>
        <v>0</v>
      </c>
      <c r="BX89" s="477">
        <f>IF('Incremental Repayments'!$R$22="Debt",IF(AND(BX$4&gt;=$D89,BX$4&lt;$D89+'Incremental Repayments'!$I$31),-PMT('Interest Rate'!$J$16,'Incremental Repayments'!$I$31,(HLOOKUP($D89,$E$4:$CZ$32,28,FALSE)*'Incremental Repayments'!$I$22)),0),0)</f>
        <v>0</v>
      </c>
      <c r="BY89" s="477">
        <f>IF('Incremental Repayments'!$R$22="Debt",IF(AND(BY$4&gt;=$D89,BY$4&lt;$D89+'Incremental Repayments'!$I$31),-PMT('Interest Rate'!$J$16,'Incremental Repayments'!$I$31,(HLOOKUP($D89,$E$4:$CZ$32,28,FALSE)*'Incremental Repayments'!$I$22)),0),0)</f>
        <v>0</v>
      </c>
      <c r="BZ89" s="477">
        <f>IF('Incremental Repayments'!$R$22="Debt",IF(AND(BZ$4&gt;=$D89,BZ$4&lt;$D89+'Incremental Repayments'!$I$31),-PMT('Interest Rate'!$J$16,'Incremental Repayments'!$I$31,(HLOOKUP($D89,$E$4:$CZ$32,28,FALSE)*'Incremental Repayments'!$I$22)),0),0)</f>
        <v>0</v>
      </c>
      <c r="CA89" s="477">
        <f>IF('Incremental Repayments'!$R$22="Debt",IF(AND(CA$4&gt;=$D89,CA$4&lt;$D89+'Incremental Repayments'!$I$31),-PMT('Interest Rate'!$J$16,'Incremental Repayments'!$I$31,(HLOOKUP($D89,$E$4:$CZ$32,28,FALSE)*'Incremental Repayments'!$I$22)),0),0)</f>
        <v>0</v>
      </c>
      <c r="CB89" s="477">
        <f>IF('Incremental Repayments'!$R$22="Debt",IF(AND(CB$4&gt;=$D89,CB$4&lt;$D89+'Incremental Repayments'!$I$31),-PMT('Interest Rate'!$J$16,'Incremental Repayments'!$I$31,(HLOOKUP($D89,$E$4:$CZ$32,28,FALSE)*'Incremental Repayments'!$I$22)),0),0)</f>
        <v>0</v>
      </c>
      <c r="CC89" s="477">
        <f>IF('Incremental Repayments'!$R$22="Debt",IF(AND(CC$4&gt;=$D89,CC$4&lt;$D89+'Incremental Repayments'!$I$31),-PMT('Interest Rate'!$J$16,'Incremental Repayments'!$I$31,(HLOOKUP($D89,$E$4:$CZ$32,28,FALSE)*'Incremental Repayments'!$I$22)),0),0)</f>
        <v>0</v>
      </c>
      <c r="CD89" s="477">
        <f>IF('Incremental Repayments'!$R$22="Debt",IF(AND(CD$4&gt;=$D89,CD$4&lt;$D89+'Incremental Repayments'!$I$31),-PMT('Interest Rate'!$J$16,'Incremental Repayments'!$I$31,(HLOOKUP($D89,$E$4:$CZ$32,28,FALSE)*'Incremental Repayments'!$I$22)),0),0)</f>
        <v>0</v>
      </c>
      <c r="CE89" s="477">
        <f>IF('Incremental Repayments'!$R$22="Debt",IF(AND(CE$4&gt;=$D89,CE$4&lt;$D89+'Incremental Repayments'!$I$31),-PMT('Interest Rate'!$J$16,'Incremental Repayments'!$I$31,(HLOOKUP($D89,$E$4:$CZ$32,28,FALSE)*'Incremental Repayments'!$I$22)),0),0)</f>
        <v>0</v>
      </c>
      <c r="CF89" s="477">
        <f>IF('Incremental Repayments'!$R$22="Debt",IF(AND(CF$4&gt;=$D89,CF$4&lt;$D89+'Incremental Repayments'!$I$31),-PMT('Interest Rate'!$J$16,'Incremental Repayments'!$I$31,(HLOOKUP($D89,$E$4:$CZ$32,28,FALSE)*'Incremental Repayments'!$I$22)),0),0)</f>
        <v>0</v>
      </c>
      <c r="CG89" s="477">
        <f>IF('Incremental Repayments'!$R$22="Debt",IF(AND(CG$4&gt;=$D89,CG$4&lt;$D89+'Incremental Repayments'!$I$31),-PMT('Interest Rate'!$J$16,'Incremental Repayments'!$I$31,(HLOOKUP($D89,$E$4:$CZ$32,28,FALSE)*'Incremental Repayments'!$I$22)),0),0)</f>
        <v>0</v>
      </c>
      <c r="CH89" s="477">
        <f>IF('Incremental Repayments'!$R$22="Debt",IF(AND(CH$4&gt;=$D89,CH$4&lt;$D89+'Incremental Repayments'!$I$31),-PMT('Interest Rate'!$J$16,'Incremental Repayments'!$I$31,(HLOOKUP($D89,$E$4:$CZ$32,28,FALSE)*'Incremental Repayments'!$I$22)),0),0)</f>
        <v>0</v>
      </c>
      <c r="CI89" s="477">
        <f>IF('Incremental Repayments'!$R$22="Debt",IF(AND(CI$4&gt;=$D89,CI$4&lt;$D89+'Incremental Repayments'!$I$31),-PMT('Interest Rate'!$J$16,'Incremental Repayments'!$I$31,(HLOOKUP($D89,$E$4:$CZ$32,28,FALSE)*'Incremental Repayments'!$I$22)),0),0)</f>
        <v>0</v>
      </c>
      <c r="CJ89" s="477">
        <f>IF('Incremental Repayments'!$R$22="Debt",IF(AND(CJ$4&gt;=$D89,CJ$4&lt;$D89+'Incremental Repayments'!$I$31),-PMT('Interest Rate'!$J$16,'Incremental Repayments'!$I$31,(HLOOKUP($D89,$E$4:$CZ$32,28,FALSE)*'Incremental Repayments'!$I$22)),0),0)</f>
        <v>0</v>
      </c>
      <c r="CK89" s="477">
        <f>IF('Incremental Repayments'!$R$22="Debt",IF(AND(CK$4&gt;=$D89,CK$4&lt;$D89+'Incremental Repayments'!$I$31),-PMT('Interest Rate'!$J$16,'Incremental Repayments'!$I$31,(HLOOKUP($D89,$E$4:$CZ$32,28,FALSE)*'Incremental Repayments'!$I$22)),0),0)</f>
        <v>0</v>
      </c>
      <c r="CL89" s="477">
        <f>IF('Incremental Repayments'!$R$22="Debt",IF(AND(CL$4&gt;=$D89,CL$4&lt;$D89+'Incremental Repayments'!$I$31),-PMT('Interest Rate'!$J$16,'Incremental Repayments'!$I$31,(HLOOKUP($D89,$E$4:$CZ$32,28,FALSE)*'Incremental Repayments'!$I$22)),0),0)</f>
        <v>0</v>
      </c>
      <c r="CM89" s="477">
        <f>IF('Incremental Repayments'!$R$22="Debt",IF(AND(CM$4&gt;=$D89,CM$4&lt;$D89+'Incremental Repayments'!$I$31),-PMT('Interest Rate'!$J$16,'Incremental Repayments'!$I$31,(HLOOKUP($D89,$E$4:$CZ$32,28,FALSE)*'Incremental Repayments'!$I$22)),0),0)</f>
        <v>0</v>
      </c>
      <c r="CN89" s="477">
        <f>IF('Incremental Repayments'!$R$22="Debt",IF(AND(CN$4&gt;=$D89,CN$4&lt;$D89+'Incremental Repayments'!$I$31),-PMT('Interest Rate'!$J$16,'Incremental Repayments'!$I$31,(HLOOKUP($D89,$E$4:$CZ$32,28,FALSE)*'Incremental Repayments'!$I$22)),0),0)</f>
        <v>0</v>
      </c>
      <c r="CO89" s="477">
        <f>IF('Incremental Repayments'!$R$22="Debt",IF(AND(CO$4&gt;=$D89,CO$4&lt;$D89+'Incremental Repayments'!$I$31),-PMT('Interest Rate'!$J$16,'Incremental Repayments'!$I$31,(HLOOKUP($D89,$E$4:$CZ$32,28,FALSE)*'Incremental Repayments'!$I$22)),0),0)</f>
        <v>0</v>
      </c>
      <c r="CP89" s="477">
        <f>IF('Incremental Repayments'!$R$22="Debt",IF(AND(CP$4&gt;=$D89,CP$4&lt;$D89+'Incremental Repayments'!$I$31),-PMT('Interest Rate'!$J$16,'Incremental Repayments'!$I$31,(HLOOKUP($D89,$E$4:$CZ$32,28,FALSE)*'Incremental Repayments'!$I$22)),0),0)</f>
        <v>0</v>
      </c>
      <c r="CQ89" s="477">
        <f>IF('Incremental Repayments'!$R$22="Debt",IF(AND(CQ$4&gt;=$D89,CQ$4&lt;$D89+'Incremental Repayments'!$I$31),-PMT('Interest Rate'!$J$16,'Incremental Repayments'!$I$31,(HLOOKUP($D89,$E$4:$CZ$32,28,FALSE)*'Incremental Repayments'!$I$22)),0),0)</f>
        <v>0</v>
      </c>
      <c r="CR89" s="477">
        <f>IF('Incremental Repayments'!$R$22="Debt",IF(AND(CR$4&gt;=$D89,CR$4&lt;$D89+'Incremental Repayments'!$I$31),-PMT('Interest Rate'!$J$16,'Incremental Repayments'!$I$31,(HLOOKUP($D89,$E$4:$CZ$32,28,FALSE)*'Incremental Repayments'!$I$22)),0),0)</f>
        <v>0</v>
      </c>
      <c r="CS89" s="477">
        <f>IF('Incremental Repayments'!$R$22="Debt",IF(AND(CS$4&gt;=$D89,CS$4&lt;$D89+'Incremental Repayments'!$I$31),-PMT('Interest Rate'!$J$16,'Incremental Repayments'!$I$31,(HLOOKUP($D89,$E$4:$CZ$32,28,FALSE)*'Incremental Repayments'!$I$22)),0),0)</f>
        <v>0</v>
      </c>
      <c r="CT89" s="477">
        <f>IF('Incremental Repayments'!$R$22="Debt",IF(AND(CT$4&gt;=$D89,CT$4&lt;$D89+'Incremental Repayments'!$I$31),-PMT('Interest Rate'!$J$16,'Incremental Repayments'!$I$31,(HLOOKUP($D89,$E$4:$CZ$32,28,FALSE)*'Incremental Repayments'!$I$22)),0),0)</f>
        <v>0</v>
      </c>
      <c r="CU89" s="477">
        <f>IF('Incremental Repayments'!$R$22="Debt",IF(AND(CU$4&gt;=$D89,CU$4&lt;$D89+'Incremental Repayments'!$I$31),-PMT('Interest Rate'!$J$16,'Incremental Repayments'!$I$31,(HLOOKUP($D89,$E$4:$CZ$32,28,FALSE)*'Incremental Repayments'!$I$22)),0),0)</f>
        <v>0</v>
      </c>
      <c r="CV89" s="477">
        <f>IF('Incremental Repayments'!$R$22="Debt",IF(AND(CV$4&gt;=$D89,CV$4&lt;$D89+'Incremental Repayments'!$I$31),-PMT('Interest Rate'!$J$16,'Incremental Repayments'!$I$31,(HLOOKUP($D89,$E$4:$CZ$32,28,FALSE)*'Incremental Repayments'!$I$22)),0),0)</f>
        <v>0</v>
      </c>
      <c r="CW89" s="477">
        <f>IF('Incremental Repayments'!$R$22="Debt",IF(AND(CW$4&gt;=$D89,CW$4&lt;$D89+'Incremental Repayments'!$I$31),-PMT('Interest Rate'!$J$16,'Incremental Repayments'!$I$31,(HLOOKUP($D89,$E$4:$CZ$32,28,FALSE)*'Incremental Repayments'!$I$22)),0),0)</f>
        <v>0</v>
      </c>
      <c r="CX89" s="477">
        <f>IF('Incremental Repayments'!$R$22="Debt",IF(AND(CX$4&gt;=$D89,CX$4&lt;$D89+'Incremental Repayments'!$I$31),-PMT('Interest Rate'!$J$16,'Incremental Repayments'!$I$31,(HLOOKUP($D89,$E$4:$CZ$32,28,FALSE)*'Incremental Repayments'!$I$22)),0),0)</f>
        <v>0</v>
      </c>
      <c r="CY89" s="477">
        <f>IF('Incremental Repayments'!$R$22="Debt",IF(AND(CY$4&gt;=$D89,CY$4&lt;$D89+'Incremental Repayments'!$I$31),-PMT('Interest Rate'!$J$16,'Incremental Repayments'!$I$31,(HLOOKUP($D89,$E$4:$CZ$32,28,FALSE)*'Incremental Repayments'!$I$22)),0),0)</f>
        <v>0</v>
      </c>
      <c r="CZ89" s="477">
        <f>IF('Incremental Repayments'!$R$22="Debt",IF(AND(CZ$4&gt;=$D89,CZ$4&lt;$D89+'Incremental Repayments'!$I$31),-PMT('Interest Rate'!$J$16,'Incremental Repayments'!$I$31,(HLOOKUP($D89,$E$4:$CZ$32,28,FALSE)*'Incremental Repayments'!$I$22)),0),0)</f>
        <v>0</v>
      </c>
    </row>
    <row r="90" spans="2:104" x14ac:dyDescent="0.25">
      <c r="B90" s="480" t="str">
        <f>CONCATENATE("Series ",D90,"A Bonds (at ",'Interest Rate'!$J$16*100,"% Interest)")</f>
        <v>Series 2068A Bonds (at 4.5% Interest)</v>
      </c>
      <c r="C90" s="480"/>
      <c r="D90" s="492">
        <f t="shared" si="494"/>
        <v>2068</v>
      </c>
      <c r="E90" s="477">
        <f>IF('Incremental Repayments'!$R$22="Debt",IF(AND(E$4&gt;=$D90,E$4&lt;$D90+'Incremental Repayments'!$I$31),-PMT('Interest Rate'!$J$16,'Incremental Repayments'!$I$31,(HLOOKUP($D90,$E$4:$CZ$32,28,FALSE)*'Incremental Repayments'!$I$22)),0),0)</f>
        <v>0</v>
      </c>
      <c r="F90" s="477">
        <f>IF('Incremental Repayments'!$R$22="Debt",IF(AND(F$4&gt;=$D90,F$4&lt;$D90+'Incremental Repayments'!$I$31),-PMT('Interest Rate'!$J$16,'Incremental Repayments'!$I$31,(HLOOKUP($D90,$E$4:$CZ$32,28,FALSE)*'Incremental Repayments'!$I$22)),0),0)</f>
        <v>0</v>
      </c>
      <c r="G90" s="477">
        <f>IF('Incremental Repayments'!$R$22="Debt",IF(AND(G$4&gt;=$D90,G$4&lt;$D90+'Incremental Repayments'!$I$31),-PMT('Interest Rate'!$J$16,'Incremental Repayments'!$I$31,(HLOOKUP($D90,$E$4:$CZ$32,28,FALSE)*'Incremental Repayments'!$I$22)),0),0)</f>
        <v>0</v>
      </c>
      <c r="H90" s="477">
        <f>IF('Incremental Repayments'!$R$22="Debt",IF(AND(H$4&gt;=$D90,H$4&lt;$D90+'Incremental Repayments'!$I$31),-PMT('Interest Rate'!$J$16,'Incremental Repayments'!$I$31,(HLOOKUP($D90,$E$4:$CZ$32,28,FALSE)*'Incremental Repayments'!$I$22)),0),0)</f>
        <v>0</v>
      </c>
      <c r="I90" s="477">
        <f>IF('Incremental Repayments'!$R$22="Debt",IF(AND(I$4&gt;=$D90,I$4&lt;$D90+'Incremental Repayments'!$I$31),-PMT('Interest Rate'!$J$16,'Incremental Repayments'!$I$31,(HLOOKUP($D90,$E$4:$CZ$32,28,FALSE)*'Incremental Repayments'!$I$22)),0),0)</f>
        <v>0</v>
      </c>
      <c r="J90" s="477">
        <f>IF('Incremental Repayments'!$R$22="Debt",IF(AND(J$4&gt;=$D90,J$4&lt;$D90+'Incremental Repayments'!$I$31),-PMT('Interest Rate'!$J$16,'Incremental Repayments'!$I$31,(HLOOKUP($D90,$E$4:$CZ$32,28,FALSE)*'Incremental Repayments'!$I$22)),0),0)</f>
        <v>0</v>
      </c>
      <c r="K90" s="477">
        <f>IF('Incremental Repayments'!$R$22="Debt",IF(AND(K$4&gt;=$D90,K$4&lt;$D90+'Incremental Repayments'!$I$31),-PMT('Interest Rate'!$J$16,'Incremental Repayments'!$I$31,(HLOOKUP($D90,$E$4:$CZ$32,28,FALSE)*'Incremental Repayments'!$I$22)),0),0)</f>
        <v>0</v>
      </c>
      <c r="L90" s="477">
        <f>IF('Incremental Repayments'!$R$22="Debt",IF(AND(L$4&gt;=$D90,L$4&lt;$D90+'Incremental Repayments'!$I$31),-PMT('Interest Rate'!$J$16,'Incremental Repayments'!$I$31,(HLOOKUP($D90,$E$4:$CZ$32,28,FALSE)*'Incremental Repayments'!$I$22)),0),0)</f>
        <v>0</v>
      </c>
      <c r="M90" s="477">
        <f>IF('Incremental Repayments'!$R$22="Debt",IF(AND(M$4&gt;=$D90,M$4&lt;$D90+'Incremental Repayments'!$I$31),-PMT('Interest Rate'!$J$16,'Incremental Repayments'!$I$31,(HLOOKUP($D90,$E$4:$CZ$32,28,FALSE)*'Incremental Repayments'!$I$22)),0),0)</f>
        <v>0</v>
      </c>
      <c r="N90" s="477">
        <f>IF('Incremental Repayments'!$R$22="Debt",IF(AND(N$4&gt;=$D90,N$4&lt;$D90+'Incremental Repayments'!$I$31),-PMT('Interest Rate'!$J$16,'Incremental Repayments'!$I$31,(HLOOKUP($D90,$E$4:$CZ$32,28,FALSE)*'Incremental Repayments'!$I$22)),0),0)</f>
        <v>0</v>
      </c>
      <c r="O90" s="477">
        <f>IF('Incremental Repayments'!$R$22="Debt",IF(AND(O$4&gt;=$D90,O$4&lt;$D90+'Incremental Repayments'!$I$31),-PMT('Interest Rate'!$J$16,'Incremental Repayments'!$I$31,(HLOOKUP($D90,$E$4:$CZ$32,28,FALSE)*'Incremental Repayments'!$I$22)),0),0)</f>
        <v>0</v>
      </c>
      <c r="P90" s="477">
        <f>IF('Incremental Repayments'!$R$22="Debt",IF(AND(P$4&gt;=$D90,P$4&lt;$D90+'Incremental Repayments'!$I$31),-PMT('Interest Rate'!$J$16,'Incremental Repayments'!$I$31,(HLOOKUP($D90,$E$4:$CZ$32,28,FALSE)*'Incremental Repayments'!$I$22)),0),0)</f>
        <v>0</v>
      </c>
      <c r="Q90" s="477">
        <f>IF('Incremental Repayments'!$R$22="Debt",IF(AND(Q$4&gt;=$D90,Q$4&lt;$D90+'Incremental Repayments'!$I$31),-PMT('Interest Rate'!$J$16,'Incremental Repayments'!$I$31,(HLOOKUP($D90,$E$4:$CZ$32,28,FALSE)*'Incremental Repayments'!$I$22)),0),0)</f>
        <v>0</v>
      </c>
      <c r="R90" s="477">
        <f>IF('Incremental Repayments'!$R$22="Debt",IF(AND(R$4&gt;=$D90,R$4&lt;$D90+'Incremental Repayments'!$I$31),-PMT('Interest Rate'!$J$16,'Incremental Repayments'!$I$31,(HLOOKUP($D90,$E$4:$CZ$32,28,FALSE)*'Incremental Repayments'!$I$22)),0),0)</f>
        <v>0</v>
      </c>
      <c r="S90" s="477">
        <f>IF('Incremental Repayments'!$R$22="Debt",IF(AND(S$4&gt;=$D90,S$4&lt;$D90+'Incremental Repayments'!$I$31),-PMT('Interest Rate'!$J$16,'Incremental Repayments'!$I$31,(HLOOKUP($D90,$E$4:$CZ$32,28,FALSE)*'Incremental Repayments'!$I$22)),0),0)</f>
        <v>0</v>
      </c>
      <c r="T90" s="477">
        <f>IF('Incremental Repayments'!$R$22="Debt",IF(AND(T$4&gt;=$D90,T$4&lt;$D90+'Incremental Repayments'!$I$31),-PMT('Interest Rate'!$J$16,'Incremental Repayments'!$I$31,(HLOOKUP($D90,$E$4:$CZ$32,28,FALSE)*'Incremental Repayments'!$I$22)),0),0)</f>
        <v>0</v>
      </c>
      <c r="U90" s="477">
        <f>IF('Incremental Repayments'!$R$22="Debt",IF(AND(U$4&gt;=$D90,U$4&lt;$D90+'Incremental Repayments'!$I$31),-PMT('Interest Rate'!$J$16,'Incremental Repayments'!$I$31,(HLOOKUP($D90,$E$4:$CZ$32,28,FALSE)*'Incremental Repayments'!$I$22)),0),0)</f>
        <v>0</v>
      </c>
      <c r="V90" s="477">
        <f>IF('Incremental Repayments'!$R$22="Debt",IF(AND(V$4&gt;=$D90,V$4&lt;$D90+'Incremental Repayments'!$I$31),-PMT('Interest Rate'!$J$16,'Incremental Repayments'!$I$31,(HLOOKUP($D90,$E$4:$CZ$32,28,FALSE)*'Incremental Repayments'!$I$22)),0),0)</f>
        <v>0</v>
      </c>
      <c r="W90" s="477">
        <f>IF('Incremental Repayments'!$R$22="Debt",IF(AND(W$4&gt;=$D90,W$4&lt;$D90+'Incremental Repayments'!$I$31),-PMT('Interest Rate'!$J$16,'Incremental Repayments'!$I$31,(HLOOKUP($D90,$E$4:$CZ$32,28,FALSE)*'Incremental Repayments'!$I$22)),0),0)</f>
        <v>0</v>
      </c>
      <c r="X90" s="477">
        <f>IF('Incremental Repayments'!$R$22="Debt",IF(AND(X$4&gt;=$D90,X$4&lt;$D90+'Incremental Repayments'!$I$31),-PMT('Interest Rate'!$J$16,'Incremental Repayments'!$I$31,(HLOOKUP($D90,$E$4:$CZ$32,28,FALSE)*'Incremental Repayments'!$I$22)),0),0)</f>
        <v>0</v>
      </c>
      <c r="Y90" s="477">
        <f>IF('Incremental Repayments'!$R$22="Debt",IF(AND(Y$4&gt;=$D90,Y$4&lt;$D90+'Incremental Repayments'!$I$31),-PMT('Interest Rate'!$J$16,'Incremental Repayments'!$I$31,(HLOOKUP($D90,$E$4:$CZ$32,28,FALSE)*'Incremental Repayments'!$I$22)),0),0)</f>
        <v>0</v>
      </c>
      <c r="Z90" s="477">
        <f>IF('Incremental Repayments'!$R$22="Debt",IF(AND(Z$4&gt;=$D90,Z$4&lt;$D90+'Incremental Repayments'!$I$31),-PMT('Interest Rate'!$J$16,'Incremental Repayments'!$I$31,(HLOOKUP($D90,$E$4:$CZ$32,28,FALSE)*'Incremental Repayments'!$I$22)),0),0)</f>
        <v>0</v>
      </c>
      <c r="AA90" s="477">
        <f>IF('Incremental Repayments'!$R$22="Debt",IF(AND(AA$4&gt;=$D90,AA$4&lt;$D90+'Incremental Repayments'!$I$31),-PMT('Interest Rate'!$J$16,'Incremental Repayments'!$I$31,(HLOOKUP($D90,$E$4:$CZ$32,28,FALSE)*'Incremental Repayments'!$I$22)),0),0)</f>
        <v>0</v>
      </c>
      <c r="AB90" s="477">
        <f>IF('Incremental Repayments'!$R$22="Debt",IF(AND(AB$4&gt;=$D90,AB$4&lt;$D90+'Incremental Repayments'!$I$31),-PMT('Interest Rate'!$J$16,'Incremental Repayments'!$I$31,(HLOOKUP($D90,$E$4:$CZ$32,28,FALSE)*'Incremental Repayments'!$I$22)),0),0)</f>
        <v>0</v>
      </c>
      <c r="AC90" s="477">
        <f>IF('Incremental Repayments'!$R$22="Debt",IF(AND(AC$4&gt;=$D90,AC$4&lt;$D90+'Incremental Repayments'!$I$31),-PMT('Interest Rate'!$J$16,'Incremental Repayments'!$I$31,(HLOOKUP($D90,$E$4:$CZ$32,28,FALSE)*'Incremental Repayments'!$I$22)),0),0)</f>
        <v>0</v>
      </c>
      <c r="AD90" s="477">
        <f>IF('Incremental Repayments'!$R$22="Debt",IF(AND(AD$4&gt;=$D90,AD$4&lt;$D90+'Incremental Repayments'!$I$31),-PMT('Interest Rate'!$J$16,'Incremental Repayments'!$I$31,(HLOOKUP($D90,$E$4:$CZ$32,28,FALSE)*'Incremental Repayments'!$I$22)),0),0)</f>
        <v>0</v>
      </c>
      <c r="AE90" s="477">
        <f>IF('Incremental Repayments'!$R$22="Debt",IF(AND(AE$4&gt;=$D90,AE$4&lt;$D90+'Incremental Repayments'!$I$31),-PMT('Interest Rate'!$J$16,'Incremental Repayments'!$I$31,(HLOOKUP($D90,$E$4:$CZ$32,28,FALSE)*'Incremental Repayments'!$I$22)),0),0)</f>
        <v>0</v>
      </c>
      <c r="AF90" s="477">
        <f>IF('Incremental Repayments'!$R$22="Debt",IF(AND(AF$4&gt;=$D90,AF$4&lt;$D90+'Incremental Repayments'!$I$31),-PMT('Interest Rate'!$J$16,'Incremental Repayments'!$I$31,(HLOOKUP($D90,$E$4:$CZ$32,28,FALSE)*'Incremental Repayments'!$I$22)),0),0)</f>
        <v>0</v>
      </c>
      <c r="AG90" s="477">
        <f>IF('Incremental Repayments'!$R$22="Debt",IF(AND(AG$4&gt;=$D90,AG$4&lt;$D90+'Incremental Repayments'!$I$31),-PMT('Interest Rate'!$J$16,'Incremental Repayments'!$I$31,(HLOOKUP($D90,$E$4:$CZ$32,28,FALSE)*'Incremental Repayments'!$I$22)),0),0)</f>
        <v>0</v>
      </c>
      <c r="AH90" s="477">
        <f>IF('Incremental Repayments'!$R$22="Debt",IF(AND(AH$4&gt;=$D90,AH$4&lt;$D90+'Incremental Repayments'!$I$31),-PMT('Interest Rate'!$J$16,'Incremental Repayments'!$I$31,(HLOOKUP($D90,$E$4:$CZ$32,28,FALSE)*'Incremental Repayments'!$I$22)),0),0)</f>
        <v>0</v>
      </c>
      <c r="AI90" s="477">
        <f>IF('Incremental Repayments'!$R$22="Debt",IF(AND(AI$4&gt;=$D90,AI$4&lt;$D90+'Incremental Repayments'!$I$31),-PMT('Interest Rate'!$J$16,'Incremental Repayments'!$I$31,(HLOOKUP($D90,$E$4:$CZ$32,28,FALSE)*'Incremental Repayments'!$I$22)),0),0)</f>
        <v>0</v>
      </c>
      <c r="AJ90" s="477">
        <f>IF('Incremental Repayments'!$R$22="Debt",IF(AND(AJ$4&gt;=$D90,AJ$4&lt;$D90+'Incremental Repayments'!$I$31),-PMT('Interest Rate'!$J$16,'Incremental Repayments'!$I$31,(HLOOKUP($D90,$E$4:$CZ$32,28,FALSE)*'Incremental Repayments'!$I$22)),0),0)</f>
        <v>0</v>
      </c>
      <c r="AK90" s="477">
        <f>IF('Incremental Repayments'!$R$22="Debt",IF(AND(AK$4&gt;=$D90,AK$4&lt;$D90+'Incremental Repayments'!$I$31),-PMT('Interest Rate'!$J$16,'Incremental Repayments'!$I$31,(HLOOKUP($D90,$E$4:$CZ$32,28,FALSE)*'Incremental Repayments'!$I$22)),0),0)</f>
        <v>0</v>
      </c>
      <c r="AL90" s="477">
        <f>IF('Incremental Repayments'!$R$22="Debt",IF(AND(AL$4&gt;=$D90,AL$4&lt;$D90+'Incremental Repayments'!$I$31),-PMT('Interest Rate'!$J$16,'Incremental Repayments'!$I$31,(HLOOKUP($D90,$E$4:$CZ$32,28,FALSE)*'Incremental Repayments'!$I$22)),0),0)</f>
        <v>0</v>
      </c>
      <c r="AM90" s="477">
        <f>IF('Incremental Repayments'!$R$22="Debt",IF(AND(AM$4&gt;=$D90,AM$4&lt;$D90+'Incremental Repayments'!$I$31),-PMT('Interest Rate'!$J$16,'Incremental Repayments'!$I$31,(HLOOKUP($D90,$E$4:$CZ$32,28,FALSE)*'Incremental Repayments'!$I$22)),0),0)</f>
        <v>0</v>
      </c>
      <c r="AN90" s="477">
        <f>IF('Incremental Repayments'!$R$22="Debt",IF(AND(AN$4&gt;=$D90,AN$4&lt;$D90+'Incremental Repayments'!$I$31),-PMT('Interest Rate'!$J$16,'Incremental Repayments'!$I$31,(HLOOKUP($D90,$E$4:$CZ$32,28,FALSE)*'Incremental Repayments'!$I$22)),0),0)</f>
        <v>0</v>
      </c>
      <c r="AO90" s="477">
        <f>IF('Incremental Repayments'!$R$22="Debt",IF(AND(AO$4&gt;=$D90,AO$4&lt;$D90+'Incremental Repayments'!$I$31),-PMT('Interest Rate'!$J$16,'Incremental Repayments'!$I$31,(HLOOKUP($D90,$E$4:$CZ$32,28,FALSE)*'Incremental Repayments'!$I$22)),0),0)</f>
        <v>0</v>
      </c>
      <c r="AP90" s="477">
        <f>IF('Incremental Repayments'!$R$22="Debt",IF(AND(AP$4&gt;=$D90,AP$4&lt;$D90+'Incremental Repayments'!$I$31),-PMT('Interest Rate'!$J$16,'Incremental Repayments'!$I$31,(HLOOKUP($D90,$E$4:$CZ$32,28,FALSE)*'Incremental Repayments'!$I$22)),0),0)</f>
        <v>0</v>
      </c>
      <c r="AQ90" s="477">
        <f>IF('Incremental Repayments'!$R$22="Debt",IF(AND(AQ$4&gt;=$D90,AQ$4&lt;$D90+'Incremental Repayments'!$I$31),-PMT('Interest Rate'!$J$16,'Incremental Repayments'!$I$31,(HLOOKUP($D90,$E$4:$CZ$32,28,FALSE)*'Incremental Repayments'!$I$22)),0),0)</f>
        <v>0</v>
      </c>
      <c r="AR90" s="477">
        <f>IF('Incremental Repayments'!$R$22="Debt",IF(AND(AR$4&gt;=$D90,AR$4&lt;$D90+'Incremental Repayments'!$I$31),-PMT('Interest Rate'!$J$16,'Incremental Repayments'!$I$31,(HLOOKUP($D90,$E$4:$CZ$32,28,FALSE)*'Incremental Repayments'!$I$22)),0),0)</f>
        <v>0</v>
      </c>
      <c r="AS90" s="477">
        <f>IF('Incremental Repayments'!$R$22="Debt",IF(AND(AS$4&gt;=$D90,AS$4&lt;$D90+'Incremental Repayments'!$I$31),-PMT('Interest Rate'!$J$16,'Incremental Repayments'!$I$31,(HLOOKUP($D90,$E$4:$CZ$32,28,FALSE)*'Incremental Repayments'!$I$22)),0),0)</f>
        <v>0</v>
      </c>
      <c r="AT90" s="477">
        <f>IF('Incremental Repayments'!$R$22="Debt",IF(AND(AT$4&gt;=$D90,AT$4&lt;$D90+'Incremental Repayments'!$I$31),-PMT('Interest Rate'!$J$16,'Incremental Repayments'!$I$31,(HLOOKUP($D90,$E$4:$CZ$32,28,FALSE)*'Incremental Repayments'!$I$22)),0),0)</f>
        <v>0</v>
      </c>
      <c r="AU90" s="477">
        <f>IF('Incremental Repayments'!$R$22="Debt",IF(AND(AU$4&gt;=$D90,AU$4&lt;$D90+'Incremental Repayments'!$I$31),-PMT('Interest Rate'!$J$16,'Incremental Repayments'!$I$31,(HLOOKUP($D90,$E$4:$CZ$32,28,FALSE)*'Incremental Repayments'!$I$22)),0),0)</f>
        <v>0</v>
      </c>
      <c r="AV90" s="477">
        <f>IF('Incremental Repayments'!$R$22="Debt",IF(AND(AV$4&gt;=$D90,AV$4&lt;$D90+'Incremental Repayments'!$I$31),-PMT('Interest Rate'!$J$16,'Incremental Repayments'!$I$31,(HLOOKUP($D90,$E$4:$CZ$32,28,FALSE)*'Incremental Repayments'!$I$22)),0),0)</f>
        <v>0</v>
      </c>
      <c r="AW90" s="477">
        <f>IF('Incremental Repayments'!$R$22="Debt",IF(AND(AW$4&gt;=$D90,AW$4&lt;$D90+'Incremental Repayments'!$I$31),-PMT('Interest Rate'!$J$16,'Incremental Repayments'!$I$31,(HLOOKUP($D90,$E$4:$CZ$32,28,FALSE)*'Incremental Repayments'!$I$22)),0),0)</f>
        <v>0</v>
      </c>
      <c r="AX90" s="477">
        <f>IF('Incremental Repayments'!$R$22="Debt",IF(AND(AX$4&gt;=$D90,AX$4&lt;$D90+'Incremental Repayments'!$I$31),-PMT('Interest Rate'!$J$16,'Incremental Repayments'!$I$31,(HLOOKUP($D90,$E$4:$CZ$32,28,FALSE)*'Incremental Repayments'!$I$22)),0),0)</f>
        <v>0</v>
      </c>
      <c r="AY90" s="477">
        <f>IF('Incremental Repayments'!$R$22="Debt",IF(AND(AY$4&gt;=$D90,AY$4&lt;$D90+'Incremental Repayments'!$I$31),-PMT('Interest Rate'!$J$16,'Incremental Repayments'!$I$31,(HLOOKUP($D90,$E$4:$CZ$32,28,FALSE)*'Incremental Repayments'!$I$22)),0),0)</f>
        <v>0</v>
      </c>
      <c r="AZ90" s="477">
        <f>IF('Incremental Repayments'!$R$22="Debt",IF(AND(AZ$4&gt;=$D90,AZ$4&lt;$D90+'Incremental Repayments'!$I$31),-PMT('Interest Rate'!$J$16,'Incremental Repayments'!$I$31,(HLOOKUP($D90,$E$4:$CZ$32,28,FALSE)*'Incremental Repayments'!$I$22)),0),0)</f>
        <v>0</v>
      </c>
      <c r="BA90" s="477">
        <f>IF('Incremental Repayments'!$R$22="Debt",IF(AND(BA$4&gt;=$D90,BA$4&lt;$D90+'Incremental Repayments'!$I$31),-PMT('Interest Rate'!$J$16,'Incremental Repayments'!$I$31,(HLOOKUP($D90,$E$4:$CZ$32,28,FALSE)*'Incremental Repayments'!$I$22)),0),0)</f>
        <v>0</v>
      </c>
      <c r="BB90" s="477">
        <f>IF('Incremental Repayments'!$R$22="Debt",IF(AND(BB$4&gt;=$D90,BB$4&lt;$D90+'Incremental Repayments'!$I$31),-PMT('Interest Rate'!$J$16,'Incremental Repayments'!$I$31,(HLOOKUP($D90,$E$4:$CZ$32,28,FALSE)*'Incremental Repayments'!$I$22)),0),0)</f>
        <v>0</v>
      </c>
      <c r="BC90" s="477">
        <f>IF('Incremental Repayments'!$R$22="Debt",IF(AND(BC$4&gt;=$D90,BC$4&lt;$D90+'Incremental Repayments'!$I$31),-PMT('Interest Rate'!$J$16,'Incremental Repayments'!$I$31,(HLOOKUP($D90,$E$4:$CZ$32,28,FALSE)*'Incremental Repayments'!$I$22)),0),0)</f>
        <v>0</v>
      </c>
      <c r="BD90" s="477">
        <f>IF('Incremental Repayments'!$R$22="Debt",IF(AND(BD$4&gt;=$D90,BD$4&lt;$D90+'Incremental Repayments'!$I$31),-PMT('Interest Rate'!$J$16,'Incremental Repayments'!$I$31,(HLOOKUP($D90,$E$4:$CZ$32,28,FALSE)*'Incremental Repayments'!$I$22)),0),0)</f>
        <v>0</v>
      </c>
      <c r="BE90" s="477">
        <f>IF('Incremental Repayments'!$R$22="Debt",IF(AND(BE$4&gt;=$D90,BE$4&lt;$D90+'Incremental Repayments'!$I$31),-PMT('Interest Rate'!$J$16,'Incremental Repayments'!$I$31,(HLOOKUP($D90,$E$4:$CZ$32,28,FALSE)*'Incremental Repayments'!$I$22)),0),0)</f>
        <v>0</v>
      </c>
      <c r="BF90" s="477">
        <f>IF('Incremental Repayments'!$R$22="Debt",IF(AND(BF$4&gt;=$D90,BF$4&lt;$D90+'Incremental Repayments'!$I$31),-PMT('Interest Rate'!$J$16,'Incremental Repayments'!$I$31,(HLOOKUP($D90,$E$4:$CZ$32,28,FALSE)*'Incremental Repayments'!$I$22)),0),0)</f>
        <v>0</v>
      </c>
      <c r="BG90" s="477">
        <f>IF('Incremental Repayments'!$R$22="Debt",IF(AND(BG$4&gt;=$D90,BG$4&lt;$D90+'Incremental Repayments'!$I$31),-PMT('Interest Rate'!$J$16,'Incremental Repayments'!$I$31,(HLOOKUP($D90,$E$4:$CZ$32,28,FALSE)*'Incremental Repayments'!$I$22)),0),0)</f>
        <v>0</v>
      </c>
      <c r="BH90" s="477">
        <f>IF('Incremental Repayments'!$R$22="Debt",IF(AND(BH$4&gt;=$D90,BH$4&lt;$D90+'Incremental Repayments'!$I$31),-PMT('Interest Rate'!$J$16,'Incremental Repayments'!$I$31,(HLOOKUP($D90,$E$4:$CZ$32,28,FALSE)*'Incremental Repayments'!$I$22)),0),0)</f>
        <v>0</v>
      </c>
      <c r="BI90" s="477">
        <f>IF('Incremental Repayments'!$R$22="Debt",IF(AND(BI$4&gt;=$D90,BI$4&lt;$D90+'Incremental Repayments'!$I$31),-PMT('Interest Rate'!$J$16,'Incremental Repayments'!$I$31,(HLOOKUP($D90,$E$4:$CZ$32,28,FALSE)*'Incremental Repayments'!$I$22)),0),0)</f>
        <v>0</v>
      </c>
      <c r="BJ90" s="477">
        <f>IF('Incremental Repayments'!$R$22="Debt",IF(AND(BJ$4&gt;=$D90,BJ$4&lt;$D90+'Incremental Repayments'!$I$31),-PMT('Interest Rate'!$J$16,'Incremental Repayments'!$I$31,(HLOOKUP($D90,$E$4:$CZ$32,28,FALSE)*'Incremental Repayments'!$I$22)),0),0)</f>
        <v>0</v>
      </c>
      <c r="BK90" s="477">
        <f>IF('Incremental Repayments'!$R$22="Debt",IF(AND(BK$4&gt;=$D90,BK$4&lt;$D90+'Incremental Repayments'!$I$31),-PMT('Interest Rate'!$J$16,'Incremental Repayments'!$I$31,(HLOOKUP($D90,$E$4:$CZ$32,28,FALSE)*'Incremental Repayments'!$I$22)),0),0)</f>
        <v>0</v>
      </c>
      <c r="BL90" s="477">
        <f>IF('Incremental Repayments'!$R$22="Debt",IF(AND(BL$4&gt;=$D90,BL$4&lt;$D90+'Incremental Repayments'!$I$31),-PMT('Interest Rate'!$J$16,'Incremental Repayments'!$I$31,(HLOOKUP($D90,$E$4:$CZ$32,28,FALSE)*'Incremental Repayments'!$I$22)),0),0)</f>
        <v>0</v>
      </c>
      <c r="BM90" s="477">
        <f>IF('Incremental Repayments'!$R$22="Debt",IF(AND(BM$4&gt;=$D90,BM$4&lt;$D90+'Incremental Repayments'!$I$31),-PMT('Interest Rate'!$J$16,'Incremental Repayments'!$I$31,(HLOOKUP($D90,$E$4:$CZ$32,28,FALSE)*'Incremental Repayments'!$I$22)),0),0)</f>
        <v>0</v>
      </c>
      <c r="BN90" s="477">
        <f>IF('Incremental Repayments'!$R$22="Debt",IF(AND(BN$4&gt;=$D90,BN$4&lt;$D90+'Incremental Repayments'!$I$31),-PMT('Interest Rate'!$J$16,'Incremental Repayments'!$I$31,(HLOOKUP($D90,$E$4:$CZ$32,28,FALSE)*'Incremental Repayments'!$I$22)),0),0)</f>
        <v>0</v>
      </c>
      <c r="BO90" s="477">
        <f>IF('Incremental Repayments'!$R$22="Debt",IF(AND(BO$4&gt;=$D90,BO$4&lt;$D90+'Incremental Repayments'!$I$31),-PMT('Interest Rate'!$J$16,'Incremental Repayments'!$I$31,(HLOOKUP($D90,$E$4:$CZ$32,28,FALSE)*'Incremental Repayments'!$I$22)),0),0)</f>
        <v>0</v>
      </c>
      <c r="BP90" s="477">
        <f>IF('Incremental Repayments'!$R$22="Debt",IF(AND(BP$4&gt;=$D90,BP$4&lt;$D90+'Incremental Repayments'!$I$31),-PMT('Interest Rate'!$J$16,'Incremental Repayments'!$I$31,(HLOOKUP($D90,$E$4:$CZ$32,28,FALSE)*'Incremental Repayments'!$I$22)),0),0)</f>
        <v>0</v>
      </c>
      <c r="BQ90" s="477">
        <f>IF('Incremental Repayments'!$R$22="Debt",IF(AND(BQ$4&gt;=$D90,BQ$4&lt;$D90+'Incremental Repayments'!$I$31),-PMT('Interest Rate'!$J$16,'Incremental Repayments'!$I$31,(HLOOKUP($D90,$E$4:$CZ$32,28,FALSE)*'Incremental Repayments'!$I$22)),0),0)</f>
        <v>0</v>
      </c>
      <c r="BR90" s="477">
        <f>IF('Incremental Repayments'!$R$22="Debt",IF(AND(BR$4&gt;=$D90,BR$4&lt;$D90+'Incremental Repayments'!$I$31),-PMT('Interest Rate'!$J$16,'Incremental Repayments'!$I$31,(HLOOKUP($D90,$E$4:$CZ$32,28,FALSE)*'Incremental Repayments'!$I$22)),0),0)</f>
        <v>0</v>
      </c>
      <c r="BS90" s="477">
        <f>IF('Incremental Repayments'!$R$22="Debt",IF(AND(BS$4&gt;=$D90,BS$4&lt;$D90+'Incremental Repayments'!$I$31),-PMT('Interest Rate'!$J$16,'Incremental Repayments'!$I$31,(HLOOKUP($D90,$E$4:$CZ$32,28,FALSE)*'Incremental Repayments'!$I$22)),0),0)</f>
        <v>0</v>
      </c>
      <c r="BT90" s="477">
        <f>IF('Incremental Repayments'!$R$22="Debt",IF(AND(BT$4&gt;=$D90,BT$4&lt;$D90+'Incremental Repayments'!$I$31),-PMT('Interest Rate'!$J$16,'Incremental Repayments'!$I$31,(HLOOKUP($D90,$E$4:$CZ$32,28,FALSE)*'Incremental Repayments'!$I$22)),0),0)</f>
        <v>0</v>
      </c>
      <c r="BU90" s="477">
        <f>IF('Incremental Repayments'!$R$22="Debt",IF(AND(BU$4&gt;=$D90,BU$4&lt;$D90+'Incremental Repayments'!$I$31),-PMT('Interest Rate'!$J$16,'Incremental Repayments'!$I$31,(HLOOKUP($D90,$E$4:$CZ$32,28,FALSE)*'Incremental Repayments'!$I$22)),0),0)</f>
        <v>0</v>
      </c>
      <c r="BV90" s="477">
        <f>IF('Incremental Repayments'!$R$22="Debt",IF(AND(BV$4&gt;=$D90,BV$4&lt;$D90+'Incremental Repayments'!$I$31),-PMT('Interest Rate'!$J$16,'Incremental Repayments'!$I$31,(HLOOKUP($D90,$E$4:$CZ$32,28,FALSE)*'Incremental Repayments'!$I$22)),0),0)</f>
        <v>0</v>
      </c>
      <c r="BW90" s="477">
        <f>IF('Incremental Repayments'!$R$22="Debt",IF(AND(BW$4&gt;=$D90,BW$4&lt;$D90+'Incremental Repayments'!$I$31),-PMT('Interest Rate'!$J$16,'Incremental Repayments'!$I$31,(HLOOKUP($D90,$E$4:$CZ$32,28,FALSE)*'Incremental Repayments'!$I$22)),0),0)</f>
        <v>0</v>
      </c>
      <c r="BX90" s="477">
        <f>IF('Incremental Repayments'!$R$22="Debt",IF(AND(BX$4&gt;=$D90,BX$4&lt;$D90+'Incremental Repayments'!$I$31),-PMT('Interest Rate'!$J$16,'Incremental Repayments'!$I$31,(HLOOKUP($D90,$E$4:$CZ$32,28,FALSE)*'Incremental Repayments'!$I$22)),0),0)</f>
        <v>0</v>
      </c>
      <c r="BY90" s="477">
        <f>IF('Incremental Repayments'!$R$22="Debt",IF(AND(BY$4&gt;=$D90,BY$4&lt;$D90+'Incremental Repayments'!$I$31),-PMT('Interest Rate'!$J$16,'Incremental Repayments'!$I$31,(HLOOKUP($D90,$E$4:$CZ$32,28,FALSE)*'Incremental Repayments'!$I$22)),0),0)</f>
        <v>0</v>
      </c>
      <c r="BZ90" s="477">
        <f>IF('Incremental Repayments'!$R$22="Debt",IF(AND(BZ$4&gt;=$D90,BZ$4&lt;$D90+'Incremental Repayments'!$I$31),-PMT('Interest Rate'!$J$16,'Incremental Repayments'!$I$31,(HLOOKUP($D90,$E$4:$CZ$32,28,FALSE)*'Incremental Repayments'!$I$22)),0),0)</f>
        <v>0</v>
      </c>
      <c r="CA90" s="477">
        <f>IF('Incremental Repayments'!$R$22="Debt",IF(AND(CA$4&gt;=$D90,CA$4&lt;$D90+'Incremental Repayments'!$I$31),-PMT('Interest Rate'!$J$16,'Incremental Repayments'!$I$31,(HLOOKUP($D90,$E$4:$CZ$32,28,FALSE)*'Incremental Repayments'!$I$22)),0),0)</f>
        <v>0</v>
      </c>
      <c r="CB90" s="477">
        <f>IF('Incremental Repayments'!$R$22="Debt",IF(AND(CB$4&gt;=$D90,CB$4&lt;$D90+'Incremental Repayments'!$I$31),-PMT('Interest Rate'!$J$16,'Incremental Repayments'!$I$31,(HLOOKUP($D90,$E$4:$CZ$32,28,FALSE)*'Incremental Repayments'!$I$22)),0),0)</f>
        <v>0</v>
      </c>
      <c r="CC90" s="477">
        <f>IF('Incremental Repayments'!$R$22="Debt",IF(AND(CC$4&gt;=$D90,CC$4&lt;$D90+'Incremental Repayments'!$I$31),-PMT('Interest Rate'!$J$16,'Incremental Repayments'!$I$31,(HLOOKUP($D90,$E$4:$CZ$32,28,FALSE)*'Incremental Repayments'!$I$22)),0),0)</f>
        <v>0</v>
      </c>
      <c r="CD90" s="477">
        <f>IF('Incremental Repayments'!$R$22="Debt",IF(AND(CD$4&gt;=$D90,CD$4&lt;$D90+'Incremental Repayments'!$I$31),-PMT('Interest Rate'!$J$16,'Incremental Repayments'!$I$31,(HLOOKUP($D90,$E$4:$CZ$32,28,FALSE)*'Incremental Repayments'!$I$22)),0),0)</f>
        <v>0</v>
      </c>
      <c r="CE90" s="477">
        <f>IF('Incremental Repayments'!$R$22="Debt",IF(AND(CE$4&gt;=$D90,CE$4&lt;$D90+'Incremental Repayments'!$I$31),-PMT('Interest Rate'!$J$16,'Incremental Repayments'!$I$31,(HLOOKUP($D90,$E$4:$CZ$32,28,FALSE)*'Incremental Repayments'!$I$22)),0),0)</f>
        <v>0</v>
      </c>
      <c r="CF90" s="477">
        <f>IF('Incremental Repayments'!$R$22="Debt",IF(AND(CF$4&gt;=$D90,CF$4&lt;$D90+'Incremental Repayments'!$I$31),-PMT('Interest Rate'!$J$16,'Incremental Repayments'!$I$31,(HLOOKUP($D90,$E$4:$CZ$32,28,FALSE)*'Incremental Repayments'!$I$22)),0),0)</f>
        <v>0</v>
      </c>
      <c r="CG90" s="477">
        <f>IF('Incremental Repayments'!$R$22="Debt",IF(AND(CG$4&gt;=$D90,CG$4&lt;$D90+'Incremental Repayments'!$I$31),-PMT('Interest Rate'!$J$16,'Incremental Repayments'!$I$31,(HLOOKUP($D90,$E$4:$CZ$32,28,FALSE)*'Incremental Repayments'!$I$22)),0),0)</f>
        <v>0</v>
      </c>
      <c r="CH90" s="477">
        <f>IF('Incremental Repayments'!$R$22="Debt",IF(AND(CH$4&gt;=$D90,CH$4&lt;$D90+'Incremental Repayments'!$I$31),-PMT('Interest Rate'!$J$16,'Incremental Repayments'!$I$31,(HLOOKUP($D90,$E$4:$CZ$32,28,FALSE)*'Incremental Repayments'!$I$22)),0),0)</f>
        <v>0</v>
      </c>
      <c r="CI90" s="477">
        <f>IF('Incremental Repayments'!$R$22="Debt",IF(AND(CI$4&gt;=$D90,CI$4&lt;$D90+'Incremental Repayments'!$I$31),-PMT('Interest Rate'!$J$16,'Incremental Repayments'!$I$31,(HLOOKUP($D90,$E$4:$CZ$32,28,FALSE)*'Incremental Repayments'!$I$22)),0),0)</f>
        <v>0</v>
      </c>
      <c r="CJ90" s="477">
        <f>IF('Incremental Repayments'!$R$22="Debt",IF(AND(CJ$4&gt;=$D90,CJ$4&lt;$D90+'Incremental Repayments'!$I$31),-PMT('Interest Rate'!$J$16,'Incremental Repayments'!$I$31,(HLOOKUP($D90,$E$4:$CZ$32,28,FALSE)*'Incremental Repayments'!$I$22)),0),0)</f>
        <v>0</v>
      </c>
      <c r="CK90" s="477">
        <f>IF('Incremental Repayments'!$R$22="Debt",IF(AND(CK$4&gt;=$D90,CK$4&lt;$D90+'Incremental Repayments'!$I$31),-PMT('Interest Rate'!$J$16,'Incremental Repayments'!$I$31,(HLOOKUP($D90,$E$4:$CZ$32,28,FALSE)*'Incremental Repayments'!$I$22)),0),0)</f>
        <v>0</v>
      </c>
      <c r="CL90" s="477">
        <f>IF('Incremental Repayments'!$R$22="Debt",IF(AND(CL$4&gt;=$D90,CL$4&lt;$D90+'Incremental Repayments'!$I$31),-PMT('Interest Rate'!$J$16,'Incremental Repayments'!$I$31,(HLOOKUP($D90,$E$4:$CZ$32,28,FALSE)*'Incremental Repayments'!$I$22)),0),0)</f>
        <v>0</v>
      </c>
      <c r="CM90" s="477">
        <f>IF('Incremental Repayments'!$R$22="Debt",IF(AND(CM$4&gt;=$D90,CM$4&lt;$D90+'Incremental Repayments'!$I$31),-PMT('Interest Rate'!$J$16,'Incremental Repayments'!$I$31,(HLOOKUP($D90,$E$4:$CZ$32,28,FALSE)*'Incremental Repayments'!$I$22)),0),0)</f>
        <v>0</v>
      </c>
      <c r="CN90" s="477">
        <f>IF('Incremental Repayments'!$R$22="Debt",IF(AND(CN$4&gt;=$D90,CN$4&lt;$D90+'Incremental Repayments'!$I$31),-PMT('Interest Rate'!$J$16,'Incremental Repayments'!$I$31,(HLOOKUP($D90,$E$4:$CZ$32,28,FALSE)*'Incremental Repayments'!$I$22)),0),0)</f>
        <v>0</v>
      </c>
      <c r="CO90" s="477">
        <f>IF('Incremental Repayments'!$R$22="Debt",IF(AND(CO$4&gt;=$D90,CO$4&lt;$D90+'Incremental Repayments'!$I$31),-PMT('Interest Rate'!$J$16,'Incremental Repayments'!$I$31,(HLOOKUP($D90,$E$4:$CZ$32,28,FALSE)*'Incremental Repayments'!$I$22)),0),0)</f>
        <v>0</v>
      </c>
      <c r="CP90" s="477">
        <f>IF('Incremental Repayments'!$R$22="Debt",IF(AND(CP$4&gt;=$D90,CP$4&lt;$D90+'Incremental Repayments'!$I$31),-PMT('Interest Rate'!$J$16,'Incremental Repayments'!$I$31,(HLOOKUP($D90,$E$4:$CZ$32,28,FALSE)*'Incremental Repayments'!$I$22)),0),0)</f>
        <v>0</v>
      </c>
      <c r="CQ90" s="477">
        <f>IF('Incremental Repayments'!$R$22="Debt",IF(AND(CQ$4&gt;=$D90,CQ$4&lt;$D90+'Incremental Repayments'!$I$31),-PMT('Interest Rate'!$J$16,'Incremental Repayments'!$I$31,(HLOOKUP($D90,$E$4:$CZ$32,28,FALSE)*'Incremental Repayments'!$I$22)),0),0)</f>
        <v>0</v>
      </c>
      <c r="CR90" s="477">
        <f>IF('Incremental Repayments'!$R$22="Debt",IF(AND(CR$4&gt;=$D90,CR$4&lt;$D90+'Incremental Repayments'!$I$31),-PMT('Interest Rate'!$J$16,'Incremental Repayments'!$I$31,(HLOOKUP($D90,$E$4:$CZ$32,28,FALSE)*'Incremental Repayments'!$I$22)),0),0)</f>
        <v>0</v>
      </c>
      <c r="CS90" s="477">
        <f>IF('Incremental Repayments'!$R$22="Debt",IF(AND(CS$4&gt;=$D90,CS$4&lt;$D90+'Incremental Repayments'!$I$31),-PMT('Interest Rate'!$J$16,'Incremental Repayments'!$I$31,(HLOOKUP($D90,$E$4:$CZ$32,28,FALSE)*'Incremental Repayments'!$I$22)),0),0)</f>
        <v>0</v>
      </c>
      <c r="CT90" s="477">
        <f>IF('Incremental Repayments'!$R$22="Debt",IF(AND(CT$4&gt;=$D90,CT$4&lt;$D90+'Incremental Repayments'!$I$31),-PMT('Interest Rate'!$J$16,'Incremental Repayments'!$I$31,(HLOOKUP($D90,$E$4:$CZ$32,28,FALSE)*'Incremental Repayments'!$I$22)),0),0)</f>
        <v>0</v>
      </c>
      <c r="CU90" s="477">
        <f>IF('Incremental Repayments'!$R$22="Debt",IF(AND(CU$4&gt;=$D90,CU$4&lt;$D90+'Incremental Repayments'!$I$31),-PMT('Interest Rate'!$J$16,'Incremental Repayments'!$I$31,(HLOOKUP($D90,$E$4:$CZ$32,28,FALSE)*'Incremental Repayments'!$I$22)),0),0)</f>
        <v>0</v>
      </c>
      <c r="CV90" s="477">
        <f>IF('Incremental Repayments'!$R$22="Debt",IF(AND(CV$4&gt;=$D90,CV$4&lt;$D90+'Incremental Repayments'!$I$31),-PMT('Interest Rate'!$J$16,'Incremental Repayments'!$I$31,(HLOOKUP($D90,$E$4:$CZ$32,28,FALSE)*'Incremental Repayments'!$I$22)),0),0)</f>
        <v>0</v>
      </c>
      <c r="CW90" s="477">
        <f>IF('Incremental Repayments'!$R$22="Debt",IF(AND(CW$4&gt;=$D90,CW$4&lt;$D90+'Incremental Repayments'!$I$31),-PMT('Interest Rate'!$J$16,'Incremental Repayments'!$I$31,(HLOOKUP($D90,$E$4:$CZ$32,28,FALSE)*'Incremental Repayments'!$I$22)),0),0)</f>
        <v>0</v>
      </c>
      <c r="CX90" s="477">
        <f>IF('Incremental Repayments'!$R$22="Debt",IF(AND(CX$4&gt;=$D90,CX$4&lt;$D90+'Incremental Repayments'!$I$31),-PMT('Interest Rate'!$J$16,'Incremental Repayments'!$I$31,(HLOOKUP($D90,$E$4:$CZ$32,28,FALSE)*'Incremental Repayments'!$I$22)),0),0)</f>
        <v>0</v>
      </c>
      <c r="CY90" s="477">
        <f>IF('Incremental Repayments'!$R$22="Debt",IF(AND(CY$4&gt;=$D90,CY$4&lt;$D90+'Incremental Repayments'!$I$31),-PMT('Interest Rate'!$J$16,'Incremental Repayments'!$I$31,(HLOOKUP($D90,$E$4:$CZ$32,28,FALSE)*'Incremental Repayments'!$I$22)),0),0)</f>
        <v>0</v>
      </c>
      <c r="CZ90" s="477">
        <f>IF('Incremental Repayments'!$R$22="Debt",IF(AND(CZ$4&gt;=$D90,CZ$4&lt;$D90+'Incremental Repayments'!$I$31),-PMT('Interest Rate'!$J$16,'Incremental Repayments'!$I$31,(HLOOKUP($D90,$E$4:$CZ$32,28,FALSE)*'Incremental Repayments'!$I$22)),0),0)</f>
        <v>0</v>
      </c>
    </row>
    <row r="91" spans="2:104" x14ac:dyDescent="0.25">
      <c r="B91" s="480" t="str">
        <f>CONCATENATE("Series ",D91,"A Bonds (at ",'Interest Rate'!$J$16*100,"% Interest)")</f>
        <v>Series 2069A Bonds (at 4.5% Interest)</v>
      </c>
      <c r="C91" s="480"/>
      <c r="D91" s="492">
        <f t="shared" si="494"/>
        <v>2069</v>
      </c>
      <c r="E91" s="477">
        <f>IF('Incremental Repayments'!$R$22="Debt",IF(AND(E$4&gt;=$D91,E$4&lt;$D91+'Incremental Repayments'!$I$31),-PMT('Interest Rate'!$J$16,'Incremental Repayments'!$I$31,(HLOOKUP($D91,$E$4:$CZ$32,28,FALSE)*'Incremental Repayments'!$I$22)),0),0)</f>
        <v>0</v>
      </c>
      <c r="F91" s="477">
        <f>IF('Incremental Repayments'!$R$22="Debt",IF(AND(F$4&gt;=$D91,F$4&lt;$D91+'Incremental Repayments'!$I$31),-PMT('Interest Rate'!$J$16,'Incremental Repayments'!$I$31,(HLOOKUP($D91,$E$4:$CZ$32,28,FALSE)*'Incremental Repayments'!$I$22)),0),0)</f>
        <v>0</v>
      </c>
      <c r="G91" s="477">
        <f>IF('Incremental Repayments'!$R$22="Debt",IF(AND(G$4&gt;=$D91,G$4&lt;$D91+'Incremental Repayments'!$I$31),-PMT('Interest Rate'!$J$16,'Incremental Repayments'!$I$31,(HLOOKUP($D91,$E$4:$CZ$32,28,FALSE)*'Incremental Repayments'!$I$22)),0),0)</f>
        <v>0</v>
      </c>
      <c r="H91" s="477">
        <f>IF('Incremental Repayments'!$R$22="Debt",IF(AND(H$4&gt;=$D91,H$4&lt;$D91+'Incremental Repayments'!$I$31),-PMT('Interest Rate'!$J$16,'Incremental Repayments'!$I$31,(HLOOKUP($D91,$E$4:$CZ$32,28,FALSE)*'Incremental Repayments'!$I$22)),0),0)</f>
        <v>0</v>
      </c>
      <c r="I91" s="477">
        <f>IF('Incremental Repayments'!$R$22="Debt",IF(AND(I$4&gt;=$D91,I$4&lt;$D91+'Incremental Repayments'!$I$31),-PMT('Interest Rate'!$J$16,'Incremental Repayments'!$I$31,(HLOOKUP($D91,$E$4:$CZ$32,28,FALSE)*'Incremental Repayments'!$I$22)),0),0)</f>
        <v>0</v>
      </c>
      <c r="J91" s="477">
        <f>IF('Incremental Repayments'!$R$22="Debt",IF(AND(J$4&gt;=$D91,J$4&lt;$D91+'Incremental Repayments'!$I$31),-PMT('Interest Rate'!$J$16,'Incremental Repayments'!$I$31,(HLOOKUP($D91,$E$4:$CZ$32,28,FALSE)*'Incremental Repayments'!$I$22)),0),0)</f>
        <v>0</v>
      </c>
      <c r="K91" s="477">
        <f>IF('Incremental Repayments'!$R$22="Debt",IF(AND(K$4&gt;=$D91,K$4&lt;$D91+'Incremental Repayments'!$I$31),-PMT('Interest Rate'!$J$16,'Incremental Repayments'!$I$31,(HLOOKUP($D91,$E$4:$CZ$32,28,FALSE)*'Incremental Repayments'!$I$22)),0),0)</f>
        <v>0</v>
      </c>
      <c r="L91" s="477">
        <f>IF('Incremental Repayments'!$R$22="Debt",IF(AND(L$4&gt;=$D91,L$4&lt;$D91+'Incremental Repayments'!$I$31),-PMT('Interest Rate'!$J$16,'Incremental Repayments'!$I$31,(HLOOKUP($D91,$E$4:$CZ$32,28,FALSE)*'Incremental Repayments'!$I$22)),0),0)</f>
        <v>0</v>
      </c>
      <c r="M91" s="477">
        <f>IF('Incremental Repayments'!$R$22="Debt",IF(AND(M$4&gt;=$D91,M$4&lt;$D91+'Incremental Repayments'!$I$31),-PMT('Interest Rate'!$J$16,'Incremental Repayments'!$I$31,(HLOOKUP($D91,$E$4:$CZ$32,28,FALSE)*'Incremental Repayments'!$I$22)),0),0)</f>
        <v>0</v>
      </c>
      <c r="N91" s="477">
        <f>IF('Incremental Repayments'!$R$22="Debt",IF(AND(N$4&gt;=$D91,N$4&lt;$D91+'Incremental Repayments'!$I$31),-PMT('Interest Rate'!$J$16,'Incremental Repayments'!$I$31,(HLOOKUP($D91,$E$4:$CZ$32,28,FALSE)*'Incremental Repayments'!$I$22)),0),0)</f>
        <v>0</v>
      </c>
      <c r="O91" s="477">
        <f>IF('Incremental Repayments'!$R$22="Debt",IF(AND(O$4&gt;=$D91,O$4&lt;$D91+'Incremental Repayments'!$I$31),-PMT('Interest Rate'!$J$16,'Incremental Repayments'!$I$31,(HLOOKUP($D91,$E$4:$CZ$32,28,FALSE)*'Incremental Repayments'!$I$22)),0),0)</f>
        <v>0</v>
      </c>
      <c r="P91" s="477">
        <f>IF('Incremental Repayments'!$R$22="Debt",IF(AND(P$4&gt;=$D91,P$4&lt;$D91+'Incremental Repayments'!$I$31),-PMT('Interest Rate'!$J$16,'Incremental Repayments'!$I$31,(HLOOKUP($D91,$E$4:$CZ$32,28,FALSE)*'Incremental Repayments'!$I$22)),0),0)</f>
        <v>0</v>
      </c>
      <c r="Q91" s="477">
        <f>IF('Incremental Repayments'!$R$22="Debt",IF(AND(Q$4&gt;=$D91,Q$4&lt;$D91+'Incremental Repayments'!$I$31),-PMT('Interest Rate'!$J$16,'Incremental Repayments'!$I$31,(HLOOKUP($D91,$E$4:$CZ$32,28,FALSE)*'Incremental Repayments'!$I$22)),0),0)</f>
        <v>0</v>
      </c>
      <c r="R91" s="477">
        <f>IF('Incremental Repayments'!$R$22="Debt",IF(AND(R$4&gt;=$D91,R$4&lt;$D91+'Incremental Repayments'!$I$31),-PMT('Interest Rate'!$J$16,'Incremental Repayments'!$I$31,(HLOOKUP($D91,$E$4:$CZ$32,28,FALSE)*'Incremental Repayments'!$I$22)),0),0)</f>
        <v>0</v>
      </c>
      <c r="S91" s="477">
        <f>IF('Incremental Repayments'!$R$22="Debt",IF(AND(S$4&gt;=$D91,S$4&lt;$D91+'Incremental Repayments'!$I$31),-PMT('Interest Rate'!$J$16,'Incremental Repayments'!$I$31,(HLOOKUP($D91,$E$4:$CZ$32,28,FALSE)*'Incremental Repayments'!$I$22)),0),0)</f>
        <v>0</v>
      </c>
      <c r="T91" s="477">
        <f>IF('Incremental Repayments'!$R$22="Debt",IF(AND(T$4&gt;=$D91,T$4&lt;$D91+'Incremental Repayments'!$I$31),-PMT('Interest Rate'!$J$16,'Incremental Repayments'!$I$31,(HLOOKUP($D91,$E$4:$CZ$32,28,FALSE)*'Incremental Repayments'!$I$22)),0),0)</f>
        <v>0</v>
      </c>
      <c r="U91" s="477">
        <f>IF('Incremental Repayments'!$R$22="Debt",IF(AND(U$4&gt;=$D91,U$4&lt;$D91+'Incremental Repayments'!$I$31),-PMT('Interest Rate'!$J$16,'Incremental Repayments'!$I$31,(HLOOKUP($D91,$E$4:$CZ$32,28,FALSE)*'Incremental Repayments'!$I$22)),0),0)</f>
        <v>0</v>
      </c>
      <c r="V91" s="477">
        <f>IF('Incremental Repayments'!$R$22="Debt",IF(AND(V$4&gt;=$D91,V$4&lt;$D91+'Incremental Repayments'!$I$31),-PMT('Interest Rate'!$J$16,'Incremental Repayments'!$I$31,(HLOOKUP($D91,$E$4:$CZ$32,28,FALSE)*'Incremental Repayments'!$I$22)),0),0)</f>
        <v>0</v>
      </c>
      <c r="W91" s="477">
        <f>IF('Incremental Repayments'!$R$22="Debt",IF(AND(W$4&gt;=$D91,W$4&lt;$D91+'Incremental Repayments'!$I$31),-PMT('Interest Rate'!$J$16,'Incremental Repayments'!$I$31,(HLOOKUP($D91,$E$4:$CZ$32,28,FALSE)*'Incremental Repayments'!$I$22)),0),0)</f>
        <v>0</v>
      </c>
      <c r="X91" s="477">
        <f>IF('Incremental Repayments'!$R$22="Debt",IF(AND(X$4&gt;=$D91,X$4&lt;$D91+'Incremental Repayments'!$I$31),-PMT('Interest Rate'!$J$16,'Incremental Repayments'!$I$31,(HLOOKUP($D91,$E$4:$CZ$32,28,FALSE)*'Incremental Repayments'!$I$22)),0),0)</f>
        <v>0</v>
      </c>
      <c r="Y91" s="477">
        <f>IF('Incremental Repayments'!$R$22="Debt",IF(AND(Y$4&gt;=$D91,Y$4&lt;$D91+'Incremental Repayments'!$I$31),-PMT('Interest Rate'!$J$16,'Incremental Repayments'!$I$31,(HLOOKUP($D91,$E$4:$CZ$32,28,FALSE)*'Incremental Repayments'!$I$22)),0),0)</f>
        <v>0</v>
      </c>
      <c r="Z91" s="477">
        <f>IF('Incremental Repayments'!$R$22="Debt",IF(AND(Z$4&gt;=$D91,Z$4&lt;$D91+'Incremental Repayments'!$I$31),-PMT('Interest Rate'!$J$16,'Incremental Repayments'!$I$31,(HLOOKUP($D91,$E$4:$CZ$32,28,FALSE)*'Incremental Repayments'!$I$22)),0),0)</f>
        <v>0</v>
      </c>
      <c r="AA91" s="477">
        <f>IF('Incremental Repayments'!$R$22="Debt",IF(AND(AA$4&gt;=$D91,AA$4&lt;$D91+'Incremental Repayments'!$I$31),-PMT('Interest Rate'!$J$16,'Incremental Repayments'!$I$31,(HLOOKUP($D91,$E$4:$CZ$32,28,FALSE)*'Incremental Repayments'!$I$22)),0),0)</f>
        <v>0</v>
      </c>
      <c r="AB91" s="477">
        <f>IF('Incremental Repayments'!$R$22="Debt",IF(AND(AB$4&gt;=$D91,AB$4&lt;$D91+'Incremental Repayments'!$I$31),-PMT('Interest Rate'!$J$16,'Incremental Repayments'!$I$31,(HLOOKUP($D91,$E$4:$CZ$32,28,FALSE)*'Incremental Repayments'!$I$22)),0),0)</f>
        <v>0</v>
      </c>
      <c r="AC91" s="477">
        <f>IF('Incremental Repayments'!$R$22="Debt",IF(AND(AC$4&gt;=$D91,AC$4&lt;$D91+'Incremental Repayments'!$I$31),-PMT('Interest Rate'!$J$16,'Incremental Repayments'!$I$31,(HLOOKUP($D91,$E$4:$CZ$32,28,FALSE)*'Incremental Repayments'!$I$22)),0),0)</f>
        <v>0</v>
      </c>
      <c r="AD91" s="477">
        <f>IF('Incremental Repayments'!$R$22="Debt",IF(AND(AD$4&gt;=$D91,AD$4&lt;$D91+'Incremental Repayments'!$I$31),-PMT('Interest Rate'!$J$16,'Incremental Repayments'!$I$31,(HLOOKUP($D91,$E$4:$CZ$32,28,FALSE)*'Incremental Repayments'!$I$22)),0),0)</f>
        <v>0</v>
      </c>
      <c r="AE91" s="477">
        <f>IF('Incremental Repayments'!$R$22="Debt",IF(AND(AE$4&gt;=$D91,AE$4&lt;$D91+'Incremental Repayments'!$I$31),-PMT('Interest Rate'!$J$16,'Incremental Repayments'!$I$31,(HLOOKUP($D91,$E$4:$CZ$32,28,FALSE)*'Incremental Repayments'!$I$22)),0),0)</f>
        <v>0</v>
      </c>
      <c r="AF91" s="477">
        <f>IF('Incremental Repayments'!$R$22="Debt",IF(AND(AF$4&gt;=$D91,AF$4&lt;$D91+'Incremental Repayments'!$I$31),-PMT('Interest Rate'!$J$16,'Incremental Repayments'!$I$31,(HLOOKUP($D91,$E$4:$CZ$32,28,FALSE)*'Incremental Repayments'!$I$22)),0),0)</f>
        <v>0</v>
      </c>
      <c r="AG91" s="477">
        <f>IF('Incremental Repayments'!$R$22="Debt",IF(AND(AG$4&gt;=$D91,AG$4&lt;$D91+'Incremental Repayments'!$I$31),-PMT('Interest Rate'!$J$16,'Incremental Repayments'!$I$31,(HLOOKUP($D91,$E$4:$CZ$32,28,FALSE)*'Incremental Repayments'!$I$22)),0),0)</f>
        <v>0</v>
      </c>
      <c r="AH91" s="477">
        <f>IF('Incremental Repayments'!$R$22="Debt",IF(AND(AH$4&gt;=$D91,AH$4&lt;$D91+'Incremental Repayments'!$I$31),-PMT('Interest Rate'!$J$16,'Incremental Repayments'!$I$31,(HLOOKUP($D91,$E$4:$CZ$32,28,FALSE)*'Incremental Repayments'!$I$22)),0),0)</f>
        <v>0</v>
      </c>
      <c r="AI91" s="477">
        <f>IF('Incremental Repayments'!$R$22="Debt",IF(AND(AI$4&gt;=$D91,AI$4&lt;$D91+'Incremental Repayments'!$I$31),-PMT('Interest Rate'!$J$16,'Incremental Repayments'!$I$31,(HLOOKUP($D91,$E$4:$CZ$32,28,FALSE)*'Incremental Repayments'!$I$22)),0),0)</f>
        <v>0</v>
      </c>
      <c r="AJ91" s="477">
        <f>IF('Incremental Repayments'!$R$22="Debt",IF(AND(AJ$4&gt;=$D91,AJ$4&lt;$D91+'Incremental Repayments'!$I$31),-PMT('Interest Rate'!$J$16,'Incremental Repayments'!$I$31,(HLOOKUP($D91,$E$4:$CZ$32,28,FALSE)*'Incremental Repayments'!$I$22)),0),0)</f>
        <v>0</v>
      </c>
      <c r="AK91" s="477">
        <f>IF('Incremental Repayments'!$R$22="Debt",IF(AND(AK$4&gt;=$D91,AK$4&lt;$D91+'Incremental Repayments'!$I$31),-PMT('Interest Rate'!$J$16,'Incremental Repayments'!$I$31,(HLOOKUP($D91,$E$4:$CZ$32,28,FALSE)*'Incremental Repayments'!$I$22)),0),0)</f>
        <v>0</v>
      </c>
      <c r="AL91" s="477">
        <f>IF('Incremental Repayments'!$R$22="Debt",IF(AND(AL$4&gt;=$D91,AL$4&lt;$D91+'Incremental Repayments'!$I$31),-PMT('Interest Rate'!$J$16,'Incremental Repayments'!$I$31,(HLOOKUP($D91,$E$4:$CZ$32,28,FALSE)*'Incremental Repayments'!$I$22)),0),0)</f>
        <v>0</v>
      </c>
      <c r="AM91" s="477">
        <f>IF('Incremental Repayments'!$R$22="Debt",IF(AND(AM$4&gt;=$D91,AM$4&lt;$D91+'Incremental Repayments'!$I$31),-PMT('Interest Rate'!$J$16,'Incremental Repayments'!$I$31,(HLOOKUP($D91,$E$4:$CZ$32,28,FALSE)*'Incremental Repayments'!$I$22)),0),0)</f>
        <v>0</v>
      </c>
      <c r="AN91" s="477">
        <f>IF('Incremental Repayments'!$R$22="Debt",IF(AND(AN$4&gt;=$D91,AN$4&lt;$D91+'Incremental Repayments'!$I$31),-PMT('Interest Rate'!$J$16,'Incremental Repayments'!$I$31,(HLOOKUP($D91,$E$4:$CZ$32,28,FALSE)*'Incremental Repayments'!$I$22)),0),0)</f>
        <v>0</v>
      </c>
      <c r="AO91" s="477">
        <f>IF('Incremental Repayments'!$R$22="Debt",IF(AND(AO$4&gt;=$D91,AO$4&lt;$D91+'Incremental Repayments'!$I$31),-PMT('Interest Rate'!$J$16,'Incremental Repayments'!$I$31,(HLOOKUP($D91,$E$4:$CZ$32,28,FALSE)*'Incremental Repayments'!$I$22)),0),0)</f>
        <v>0</v>
      </c>
      <c r="AP91" s="477">
        <f>IF('Incremental Repayments'!$R$22="Debt",IF(AND(AP$4&gt;=$D91,AP$4&lt;$D91+'Incremental Repayments'!$I$31),-PMT('Interest Rate'!$J$16,'Incremental Repayments'!$I$31,(HLOOKUP($D91,$E$4:$CZ$32,28,FALSE)*'Incremental Repayments'!$I$22)),0),0)</f>
        <v>0</v>
      </c>
      <c r="AQ91" s="477">
        <f>IF('Incremental Repayments'!$R$22="Debt",IF(AND(AQ$4&gt;=$D91,AQ$4&lt;$D91+'Incremental Repayments'!$I$31),-PMT('Interest Rate'!$J$16,'Incremental Repayments'!$I$31,(HLOOKUP($D91,$E$4:$CZ$32,28,FALSE)*'Incremental Repayments'!$I$22)),0),0)</f>
        <v>0</v>
      </c>
      <c r="AR91" s="477">
        <f>IF('Incremental Repayments'!$R$22="Debt",IF(AND(AR$4&gt;=$D91,AR$4&lt;$D91+'Incremental Repayments'!$I$31),-PMT('Interest Rate'!$J$16,'Incremental Repayments'!$I$31,(HLOOKUP($D91,$E$4:$CZ$32,28,FALSE)*'Incremental Repayments'!$I$22)),0),0)</f>
        <v>0</v>
      </c>
      <c r="AS91" s="477">
        <f>IF('Incremental Repayments'!$R$22="Debt",IF(AND(AS$4&gt;=$D91,AS$4&lt;$D91+'Incremental Repayments'!$I$31),-PMT('Interest Rate'!$J$16,'Incremental Repayments'!$I$31,(HLOOKUP($D91,$E$4:$CZ$32,28,FALSE)*'Incremental Repayments'!$I$22)),0),0)</f>
        <v>0</v>
      </c>
      <c r="AT91" s="477">
        <f>IF('Incremental Repayments'!$R$22="Debt",IF(AND(AT$4&gt;=$D91,AT$4&lt;$D91+'Incremental Repayments'!$I$31),-PMT('Interest Rate'!$J$16,'Incremental Repayments'!$I$31,(HLOOKUP($D91,$E$4:$CZ$32,28,FALSE)*'Incremental Repayments'!$I$22)),0),0)</f>
        <v>0</v>
      </c>
      <c r="AU91" s="477">
        <f>IF('Incremental Repayments'!$R$22="Debt",IF(AND(AU$4&gt;=$D91,AU$4&lt;$D91+'Incremental Repayments'!$I$31),-PMT('Interest Rate'!$J$16,'Incremental Repayments'!$I$31,(HLOOKUP($D91,$E$4:$CZ$32,28,FALSE)*'Incremental Repayments'!$I$22)),0),0)</f>
        <v>0</v>
      </c>
      <c r="AV91" s="477">
        <f>IF('Incremental Repayments'!$R$22="Debt",IF(AND(AV$4&gt;=$D91,AV$4&lt;$D91+'Incremental Repayments'!$I$31),-PMT('Interest Rate'!$J$16,'Incremental Repayments'!$I$31,(HLOOKUP($D91,$E$4:$CZ$32,28,FALSE)*'Incremental Repayments'!$I$22)),0),0)</f>
        <v>0</v>
      </c>
      <c r="AW91" s="477">
        <f>IF('Incremental Repayments'!$R$22="Debt",IF(AND(AW$4&gt;=$D91,AW$4&lt;$D91+'Incremental Repayments'!$I$31),-PMT('Interest Rate'!$J$16,'Incremental Repayments'!$I$31,(HLOOKUP($D91,$E$4:$CZ$32,28,FALSE)*'Incremental Repayments'!$I$22)),0),0)</f>
        <v>0</v>
      </c>
      <c r="AX91" s="477">
        <f>IF('Incremental Repayments'!$R$22="Debt",IF(AND(AX$4&gt;=$D91,AX$4&lt;$D91+'Incremental Repayments'!$I$31),-PMT('Interest Rate'!$J$16,'Incremental Repayments'!$I$31,(HLOOKUP($D91,$E$4:$CZ$32,28,FALSE)*'Incremental Repayments'!$I$22)),0),0)</f>
        <v>0</v>
      </c>
      <c r="AY91" s="477">
        <f>IF('Incremental Repayments'!$R$22="Debt",IF(AND(AY$4&gt;=$D91,AY$4&lt;$D91+'Incremental Repayments'!$I$31),-PMT('Interest Rate'!$J$16,'Incremental Repayments'!$I$31,(HLOOKUP($D91,$E$4:$CZ$32,28,FALSE)*'Incremental Repayments'!$I$22)),0),0)</f>
        <v>0</v>
      </c>
      <c r="AZ91" s="477">
        <f>IF('Incremental Repayments'!$R$22="Debt",IF(AND(AZ$4&gt;=$D91,AZ$4&lt;$D91+'Incremental Repayments'!$I$31),-PMT('Interest Rate'!$J$16,'Incremental Repayments'!$I$31,(HLOOKUP($D91,$E$4:$CZ$32,28,FALSE)*'Incremental Repayments'!$I$22)),0),0)</f>
        <v>0</v>
      </c>
      <c r="BA91" s="477">
        <f>IF('Incremental Repayments'!$R$22="Debt",IF(AND(BA$4&gt;=$D91,BA$4&lt;$D91+'Incremental Repayments'!$I$31),-PMT('Interest Rate'!$J$16,'Incremental Repayments'!$I$31,(HLOOKUP($D91,$E$4:$CZ$32,28,FALSE)*'Incremental Repayments'!$I$22)),0),0)</f>
        <v>0</v>
      </c>
      <c r="BB91" s="477">
        <f>IF('Incremental Repayments'!$R$22="Debt",IF(AND(BB$4&gt;=$D91,BB$4&lt;$D91+'Incremental Repayments'!$I$31),-PMT('Interest Rate'!$J$16,'Incremental Repayments'!$I$31,(HLOOKUP($D91,$E$4:$CZ$32,28,FALSE)*'Incremental Repayments'!$I$22)),0),0)</f>
        <v>0</v>
      </c>
      <c r="BC91" s="477">
        <f>IF('Incremental Repayments'!$R$22="Debt",IF(AND(BC$4&gt;=$D91,BC$4&lt;$D91+'Incremental Repayments'!$I$31),-PMT('Interest Rate'!$J$16,'Incremental Repayments'!$I$31,(HLOOKUP($D91,$E$4:$CZ$32,28,FALSE)*'Incremental Repayments'!$I$22)),0),0)</f>
        <v>0</v>
      </c>
      <c r="BD91" s="477">
        <f>IF('Incremental Repayments'!$R$22="Debt",IF(AND(BD$4&gt;=$D91,BD$4&lt;$D91+'Incremental Repayments'!$I$31),-PMT('Interest Rate'!$J$16,'Incremental Repayments'!$I$31,(HLOOKUP($D91,$E$4:$CZ$32,28,FALSE)*'Incremental Repayments'!$I$22)),0),0)</f>
        <v>0</v>
      </c>
      <c r="BE91" s="477">
        <f>IF('Incremental Repayments'!$R$22="Debt",IF(AND(BE$4&gt;=$D91,BE$4&lt;$D91+'Incremental Repayments'!$I$31),-PMT('Interest Rate'!$J$16,'Incremental Repayments'!$I$31,(HLOOKUP($D91,$E$4:$CZ$32,28,FALSE)*'Incremental Repayments'!$I$22)),0),0)</f>
        <v>0</v>
      </c>
      <c r="BF91" s="477">
        <f>IF('Incremental Repayments'!$R$22="Debt",IF(AND(BF$4&gt;=$D91,BF$4&lt;$D91+'Incremental Repayments'!$I$31),-PMT('Interest Rate'!$J$16,'Incremental Repayments'!$I$31,(HLOOKUP($D91,$E$4:$CZ$32,28,FALSE)*'Incremental Repayments'!$I$22)),0),0)</f>
        <v>0</v>
      </c>
      <c r="BG91" s="477">
        <f>IF('Incremental Repayments'!$R$22="Debt",IF(AND(BG$4&gt;=$D91,BG$4&lt;$D91+'Incremental Repayments'!$I$31),-PMT('Interest Rate'!$J$16,'Incremental Repayments'!$I$31,(HLOOKUP($D91,$E$4:$CZ$32,28,FALSE)*'Incremental Repayments'!$I$22)),0),0)</f>
        <v>0</v>
      </c>
      <c r="BH91" s="477">
        <f>IF('Incremental Repayments'!$R$22="Debt",IF(AND(BH$4&gt;=$D91,BH$4&lt;$D91+'Incremental Repayments'!$I$31),-PMT('Interest Rate'!$J$16,'Incremental Repayments'!$I$31,(HLOOKUP($D91,$E$4:$CZ$32,28,FALSE)*'Incremental Repayments'!$I$22)),0),0)</f>
        <v>0</v>
      </c>
      <c r="BI91" s="477">
        <f>IF('Incremental Repayments'!$R$22="Debt",IF(AND(BI$4&gt;=$D91,BI$4&lt;$D91+'Incremental Repayments'!$I$31),-PMT('Interest Rate'!$J$16,'Incremental Repayments'!$I$31,(HLOOKUP($D91,$E$4:$CZ$32,28,FALSE)*'Incremental Repayments'!$I$22)),0),0)</f>
        <v>0</v>
      </c>
      <c r="BJ91" s="477">
        <f>IF('Incremental Repayments'!$R$22="Debt",IF(AND(BJ$4&gt;=$D91,BJ$4&lt;$D91+'Incremental Repayments'!$I$31),-PMT('Interest Rate'!$J$16,'Incremental Repayments'!$I$31,(HLOOKUP($D91,$E$4:$CZ$32,28,FALSE)*'Incremental Repayments'!$I$22)),0),0)</f>
        <v>0</v>
      </c>
      <c r="BK91" s="477">
        <f>IF('Incremental Repayments'!$R$22="Debt",IF(AND(BK$4&gt;=$D91,BK$4&lt;$D91+'Incremental Repayments'!$I$31),-PMT('Interest Rate'!$J$16,'Incremental Repayments'!$I$31,(HLOOKUP($D91,$E$4:$CZ$32,28,FALSE)*'Incremental Repayments'!$I$22)),0),0)</f>
        <v>0</v>
      </c>
      <c r="BL91" s="477">
        <f>IF('Incremental Repayments'!$R$22="Debt",IF(AND(BL$4&gt;=$D91,BL$4&lt;$D91+'Incremental Repayments'!$I$31),-PMT('Interest Rate'!$J$16,'Incremental Repayments'!$I$31,(HLOOKUP($D91,$E$4:$CZ$32,28,FALSE)*'Incremental Repayments'!$I$22)),0),0)</f>
        <v>0</v>
      </c>
      <c r="BM91" s="477">
        <f>IF('Incremental Repayments'!$R$22="Debt",IF(AND(BM$4&gt;=$D91,BM$4&lt;$D91+'Incremental Repayments'!$I$31),-PMT('Interest Rate'!$J$16,'Incremental Repayments'!$I$31,(HLOOKUP($D91,$E$4:$CZ$32,28,FALSE)*'Incremental Repayments'!$I$22)),0),0)</f>
        <v>0</v>
      </c>
      <c r="BN91" s="477">
        <f>IF('Incremental Repayments'!$R$22="Debt",IF(AND(BN$4&gt;=$D91,BN$4&lt;$D91+'Incremental Repayments'!$I$31),-PMT('Interest Rate'!$J$16,'Incremental Repayments'!$I$31,(HLOOKUP($D91,$E$4:$CZ$32,28,FALSE)*'Incremental Repayments'!$I$22)),0),0)</f>
        <v>0</v>
      </c>
      <c r="BO91" s="477">
        <f>IF('Incremental Repayments'!$R$22="Debt",IF(AND(BO$4&gt;=$D91,BO$4&lt;$D91+'Incremental Repayments'!$I$31),-PMT('Interest Rate'!$J$16,'Incremental Repayments'!$I$31,(HLOOKUP($D91,$E$4:$CZ$32,28,FALSE)*'Incremental Repayments'!$I$22)),0),0)</f>
        <v>0</v>
      </c>
      <c r="BP91" s="477">
        <f>IF('Incremental Repayments'!$R$22="Debt",IF(AND(BP$4&gt;=$D91,BP$4&lt;$D91+'Incremental Repayments'!$I$31),-PMT('Interest Rate'!$J$16,'Incremental Repayments'!$I$31,(HLOOKUP($D91,$E$4:$CZ$32,28,FALSE)*'Incremental Repayments'!$I$22)),0),0)</f>
        <v>0</v>
      </c>
      <c r="BQ91" s="477">
        <f>IF('Incremental Repayments'!$R$22="Debt",IF(AND(BQ$4&gt;=$D91,BQ$4&lt;$D91+'Incremental Repayments'!$I$31),-PMT('Interest Rate'!$J$16,'Incremental Repayments'!$I$31,(HLOOKUP($D91,$E$4:$CZ$32,28,FALSE)*'Incremental Repayments'!$I$22)),0),0)</f>
        <v>0</v>
      </c>
      <c r="BR91" s="477">
        <f>IF('Incremental Repayments'!$R$22="Debt",IF(AND(BR$4&gt;=$D91,BR$4&lt;$D91+'Incremental Repayments'!$I$31),-PMT('Interest Rate'!$J$16,'Incremental Repayments'!$I$31,(HLOOKUP($D91,$E$4:$CZ$32,28,FALSE)*'Incremental Repayments'!$I$22)),0),0)</f>
        <v>0</v>
      </c>
      <c r="BS91" s="477">
        <f>IF('Incremental Repayments'!$R$22="Debt",IF(AND(BS$4&gt;=$D91,BS$4&lt;$D91+'Incremental Repayments'!$I$31),-PMT('Interest Rate'!$J$16,'Incremental Repayments'!$I$31,(HLOOKUP($D91,$E$4:$CZ$32,28,FALSE)*'Incremental Repayments'!$I$22)),0),0)</f>
        <v>0</v>
      </c>
      <c r="BT91" s="477">
        <f>IF('Incremental Repayments'!$R$22="Debt",IF(AND(BT$4&gt;=$D91,BT$4&lt;$D91+'Incremental Repayments'!$I$31),-PMT('Interest Rate'!$J$16,'Incremental Repayments'!$I$31,(HLOOKUP($D91,$E$4:$CZ$32,28,FALSE)*'Incremental Repayments'!$I$22)),0),0)</f>
        <v>0</v>
      </c>
      <c r="BU91" s="477">
        <f>IF('Incremental Repayments'!$R$22="Debt",IF(AND(BU$4&gt;=$D91,BU$4&lt;$D91+'Incremental Repayments'!$I$31),-PMT('Interest Rate'!$J$16,'Incremental Repayments'!$I$31,(HLOOKUP($D91,$E$4:$CZ$32,28,FALSE)*'Incremental Repayments'!$I$22)),0),0)</f>
        <v>0</v>
      </c>
      <c r="BV91" s="477">
        <f>IF('Incremental Repayments'!$R$22="Debt",IF(AND(BV$4&gt;=$D91,BV$4&lt;$D91+'Incremental Repayments'!$I$31),-PMT('Interest Rate'!$J$16,'Incremental Repayments'!$I$31,(HLOOKUP($D91,$E$4:$CZ$32,28,FALSE)*'Incremental Repayments'!$I$22)),0),0)</f>
        <v>0</v>
      </c>
      <c r="BW91" s="477">
        <f>IF('Incremental Repayments'!$R$22="Debt",IF(AND(BW$4&gt;=$D91,BW$4&lt;$D91+'Incremental Repayments'!$I$31),-PMT('Interest Rate'!$J$16,'Incremental Repayments'!$I$31,(HLOOKUP($D91,$E$4:$CZ$32,28,FALSE)*'Incremental Repayments'!$I$22)),0),0)</f>
        <v>0</v>
      </c>
      <c r="BX91" s="477">
        <f>IF('Incremental Repayments'!$R$22="Debt",IF(AND(BX$4&gt;=$D91,BX$4&lt;$D91+'Incremental Repayments'!$I$31),-PMT('Interest Rate'!$J$16,'Incremental Repayments'!$I$31,(HLOOKUP($D91,$E$4:$CZ$32,28,FALSE)*'Incremental Repayments'!$I$22)),0),0)</f>
        <v>0</v>
      </c>
      <c r="BY91" s="477">
        <f>IF('Incremental Repayments'!$R$22="Debt",IF(AND(BY$4&gt;=$D91,BY$4&lt;$D91+'Incremental Repayments'!$I$31),-PMT('Interest Rate'!$J$16,'Incremental Repayments'!$I$31,(HLOOKUP($D91,$E$4:$CZ$32,28,FALSE)*'Incremental Repayments'!$I$22)),0),0)</f>
        <v>0</v>
      </c>
      <c r="BZ91" s="477">
        <f>IF('Incremental Repayments'!$R$22="Debt",IF(AND(BZ$4&gt;=$D91,BZ$4&lt;$D91+'Incremental Repayments'!$I$31),-PMT('Interest Rate'!$J$16,'Incremental Repayments'!$I$31,(HLOOKUP($D91,$E$4:$CZ$32,28,FALSE)*'Incremental Repayments'!$I$22)),0),0)</f>
        <v>0</v>
      </c>
      <c r="CA91" s="477">
        <f>IF('Incremental Repayments'!$R$22="Debt",IF(AND(CA$4&gt;=$D91,CA$4&lt;$D91+'Incremental Repayments'!$I$31),-PMT('Interest Rate'!$J$16,'Incremental Repayments'!$I$31,(HLOOKUP($D91,$E$4:$CZ$32,28,FALSE)*'Incremental Repayments'!$I$22)),0),0)</f>
        <v>0</v>
      </c>
      <c r="CB91" s="477">
        <f>IF('Incremental Repayments'!$R$22="Debt",IF(AND(CB$4&gt;=$D91,CB$4&lt;$D91+'Incremental Repayments'!$I$31),-PMT('Interest Rate'!$J$16,'Incremental Repayments'!$I$31,(HLOOKUP($D91,$E$4:$CZ$32,28,FALSE)*'Incremental Repayments'!$I$22)),0),0)</f>
        <v>0</v>
      </c>
      <c r="CC91" s="477">
        <f>IF('Incremental Repayments'!$R$22="Debt",IF(AND(CC$4&gt;=$D91,CC$4&lt;$D91+'Incremental Repayments'!$I$31),-PMT('Interest Rate'!$J$16,'Incremental Repayments'!$I$31,(HLOOKUP($D91,$E$4:$CZ$32,28,FALSE)*'Incremental Repayments'!$I$22)),0),0)</f>
        <v>0</v>
      </c>
      <c r="CD91" s="477">
        <f>IF('Incremental Repayments'!$R$22="Debt",IF(AND(CD$4&gt;=$D91,CD$4&lt;$D91+'Incremental Repayments'!$I$31),-PMT('Interest Rate'!$J$16,'Incremental Repayments'!$I$31,(HLOOKUP($D91,$E$4:$CZ$32,28,FALSE)*'Incremental Repayments'!$I$22)),0),0)</f>
        <v>0</v>
      </c>
      <c r="CE91" s="477">
        <f>IF('Incremental Repayments'!$R$22="Debt",IF(AND(CE$4&gt;=$D91,CE$4&lt;$D91+'Incremental Repayments'!$I$31),-PMT('Interest Rate'!$J$16,'Incremental Repayments'!$I$31,(HLOOKUP($D91,$E$4:$CZ$32,28,FALSE)*'Incremental Repayments'!$I$22)),0),0)</f>
        <v>0</v>
      </c>
      <c r="CF91" s="477">
        <f>IF('Incremental Repayments'!$R$22="Debt",IF(AND(CF$4&gt;=$D91,CF$4&lt;$D91+'Incremental Repayments'!$I$31),-PMT('Interest Rate'!$J$16,'Incremental Repayments'!$I$31,(HLOOKUP($D91,$E$4:$CZ$32,28,FALSE)*'Incremental Repayments'!$I$22)),0),0)</f>
        <v>0</v>
      </c>
      <c r="CG91" s="477">
        <f>IF('Incremental Repayments'!$R$22="Debt",IF(AND(CG$4&gt;=$D91,CG$4&lt;$D91+'Incremental Repayments'!$I$31),-PMT('Interest Rate'!$J$16,'Incremental Repayments'!$I$31,(HLOOKUP($D91,$E$4:$CZ$32,28,FALSE)*'Incremental Repayments'!$I$22)),0),0)</f>
        <v>0</v>
      </c>
      <c r="CH91" s="477">
        <f>IF('Incremental Repayments'!$R$22="Debt",IF(AND(CH$4&gt;=$D91,CH$4&lt;$D91+'Incremental Repayments'!$I$31),-PMT('Interest Rate'!$J$16,'Incremental Repayments'!$I$31,(HLOOKUP($D91,$E$4:$CZ$32,28,FALSE)*'Incremental Repayments'!$I$22)),0),0)</f>
        <v>0</v>
      </c>
      <c r="CI91" s="477">
        <f>IF('Incremental Repayments'!$R$22="Debt",IF(AND(CI$4&gt;=$D91,CI$4&lt;$D91+'Incremental Repayments'!$I$31),-PMT('Interest Rate'!$J$16,'Incremental Repayments'!$I$31,(HLOOKUP($D91,$E$4:$CZ$32,28,FALSE)*'Incremental Repayments'!$I$22)),0),0)</f>
        <v>0</v>
      </c>
      <c r="CJ91" s="477">
        <f>IF('Incremental Repayments'!$R$22="Debt",IF(AND(CJ$4&gt;=$D91,CJ$4&lt;$D91+'Incremental Repayments'!$I$31),-PMT('Interest Rate'!$J$16,'Incremental Repayments'!$I$31,(HLOOKUP($D91,$E$4:$CZ$32,28,FALSE)*'Incremental Repayments'!$I$22)),0),0)</f>
        <v>0</v>
      </c>
      <c r="CK91" s="477">
        <f>IF('Incremental Repayments'!$R$22="Debt",IF(AND(CK$4&gt;=$D91,CK$4&lt;$D91+'Incremental Repayments'!$I$31),-PMT('Interest Rate'!$J$16,'Incremental Repayments'!$I$31,(HLOOKUP($D91,$E$4:$CZ$32,28,FALSE)*'Incremental Repayments'!$I$22)),0),0)</f>
        <v>0</v>
      </c>
      <c r="CL91" s="477">
        <f>IF('Incremental Repayments'!$R$22="Debt",IF(AND(CL$4&gt;=$D91,CL$4&lt;$D91+'Incremental Repayments'!$I$31),-PMT('Interest Rate'!$J$16,'Incremental Repayments'!$I$31,(HLOOKUP($D91,$E$4:$CZ$32,28,FALSE)*'Incremental Repayments'!$I$22)),0),0)</f>
        <v>0</v>
      </c>
      <c r="CM91" s="477">
        <f>IF('Incremental Repayments'!$R$22="Debt",IF(AND(CM$4&gt;=$D91,CM$4&lt;$D91+'Incremental Repayments'!$I$31),-PMT('Interest Rate'!$J$16,'Incremental Repayments'!$I$31,(HLOOKUP($D91,$E$4:$CZ$32,28,FALSE)*'Incremental Repayments'!$I$22)),0),0)</f>
        <v>0</v>
      </c>
      <c r="CN91" s="477">
        <f>IF('Incremental Repayments'!$R$22="Debt",IF(AND(CN$4&gt;=$D91,CN$4&lt;$D91+'Incremental Repayments'!$I$31),-PMT('Interest Rate'!$J$16,'Incremental Repayments'!$I$31,(HLOOKUP($D91,$E$4:$CZ$32,28,FALSE)*'Incremental Repayments'!$I$22)),0),0)</f>
        <v>0</v>
      </c>
      <c r="CO91" s="477">
        <f>IF('Incremental Repayments'!$R$22="Debt",IF(AND(CO$4&gt;=$D91,CO$4&lt;$D91+'Incremental Repayments'!$I$31),-PMT('Interest Rate'!$J$16,'Incremental Repayments'!$I$31,(HLOOKUP($D91,$E$4:$CZ$32,28,FALSE)*'Incremental Repayments'!$I$22)),0),0)</f>
        <v>0</v>
      </c>
      <c r="CP91" s="477">
        <f>IF('Incremental Repayments'!$R$22="Debt",IF(AND(CP$4&gt;=$D91,CP$4&lt;$D91+'Incremental Repayments'!$I$31),-PMT('Interest Rate'!$J$16,'Incremental Repayments'!$I$31,(HLOOKUP($D91,$E$4:$CZ$32,28,FALSE)*'Incremental Repayments'!$I$22)),0),0)</f>
        <v>0</v>
      </c>
      <c r="CQ91" s="477">
        <f>IF('Incremental Repayments'!$R$22="Debt",IF(AND(CQ$4&gt;=$D91,CQ$4&lt;$D91+'Incremental Repayments'!$I$31),-PMT('Interest Rate'!$J$16,'Incremental Repayments'!$I$31,(HLOOKUP($D91,$E$4:$CZ$32,28,FALSE)*'Incremental Repayments'!$I$22)),0),0)</f>
        <v>0</v>
      </c>
      <c r="CR91" s="477">
        <f>IF('Incremental Repayments'!$R$22="Debt",IF(AND(CR$4&gt;=$D91,CR$4&lt;$D91+'Incremental Repayments'!$I$31),-PMT('Interest Rate'!$J$16,'Incremental Repayments'!$I$31,(HLOOKUP($D91,$E$4:$CZ$32,28,FALSE)*'Incremental Repayments'!$I$22)),0),0)</f>
        <v>0</v>
      </c>
      <c r="CS91" s="477">
        <f>IF('Incremental Repayments'!$R$22="Debt",IF(AND(CS$4&gt;=$D91,CS$4&lt;$D91+'Incremental Repayments'!$I$31),-PMT('Interest Rate'!$J$16,'Incremental Repayments'!$I$31,(HLOOKUP($D91,$E$4:$CZ$32,28,FALSE)*'Incremental Repayments'!$I$22)),0),0)</f>
        <v>0</v>
      </c>
      <c r="CT91" s="477">
        <f>IF('Incremental Repayments'!$R$22="Debt",IF(AND(CT$4&gt;=$D91,CT$4&lt;$D91+'Incremental Repayments'!$I$31),-PMT('Interest Rate'!$J$16,'Incremental Repayments'!$I$31,(HLOOKUP($D91,$E$4:$CZ$32,28,FALSE)*'Incremental Repayments'!$I$22)),0),0)</f>
        <v>0</v>
      </c>
      <c r="CU91" s="477">
        <f>IF('Incremental Repayments'!$R$22="Debt",IF(AND(CU$4&gt;=$D91,CU$4&lt;$D91+'Incremental Repayments'!$I$31),-PMT('Interest Rate'!$J$16,'Incremental Repayments'!$I$31,(HLOOKUP($D91,$E$4:$CZ$32,28,FALSE)*'Incremental Repayments'!$I$22)),0),0)</f>
        <v>0</v>
      </c>
      <c r="CV91" s="477">
        <f>IF('Incremental Repayments'!$R$22="Debt",IF(AND(CV$4&gt;=$D91,CV$4&lt;$D91+'Incremental Repayments'!$I$31),-PMT('Interest Rate'!$J$16,'Incremental Repayments'!$I$31,(HLOOKUP($D91,$E$4:$CZ$32,28,FALSE)*'Incremental Repayments'!$I$22)),0),0)</f>
        <v>0</v>
      </c>
      <c r="CW91" s="477">
        <f>IF('Incremental Repayments'!$R$22="Debt",IF(AND(CW$4&gt;=$D91,CW$4&lt;$D91+'Incremental Repayments'!$I$31),-PMT('Interest Rate'!$J$16,'Incremental Repayments'!$I$31,(HLOOKUP($D91,$E$4:$CZ$32,28,FALSE)*'Incremental Repayments'!$I$22)),0),0)</f>
        <v>0</v>
      </c>
      <c r="CX91" s="477">
        <f>IF('Incremental Repayments'!$R$22="Debt",IF(AND(CX$4&gt;=$D91,CX$4&lt;$D91+'Incremental Repayments'!$I$31),-PMT('Interest Rate'!$J$16,'Incremental Repayments'!$I$31,(HLOOKUP($D91,$E$4:$CZ$32,28,FALSE)*'Incremental Repayments'!$I$22)),0),0)</f>
        <v>0</v>
      </c>
      <c r="CY91" s="477">
        <f>IF('Incremental Repayments'!$R$22="Debt",IF(AND(CY$4&gt;=$D91,CY$4&lt;$D91+'Incremental Repayments'!$I$31),-PMT('Interest Rate'!$J$16,'Incremental Repayments'!$I$31,(HLOOKUP($D91,$E$4:$CZ$32,28,FALSE)*'Incremental Repayments'!$I$22)),0),0)</f>
        <v>0</v>
      </c>
      <c r="CZ91" s="477">
        <f>IF('Incremental Repayments'!$R$22="Debt",IF(AND(CZ$4&gt;=$D91,CZ$4&lt;$D91+'Incremental Repayments'!$I$31),-PMT('Interest Rate'!$J$16,'Incremental Repayments'!$I$31,(HLOOKUP($D91,$E$4:$CZ$32,28,FALSE)*'Incremental Repayments'!$I$22)),0),0)</f>
        <v>0</v>
      </c>
    </row>
    <row r="92" spans="2:104" x14ac:dyDescent="0.25">
      <c r="B92" s="480" t="str">
        <f>CONCATENATE("Series ",D92,"A Bonds (at ",'Interest Rate'!$J$16*100,"% Interest)")</f>
        <v>Series 2070A Bonds (at 4.5% Interest)</v>
      </c>
      <c r="C92" s="480"/>
      <c r="D92" s="492">
        <f t="shared" si="494"/>
        <v>2070</v>
      </c>
      <c r="E92" s="477">
        <f>IF('Incremental Repayments'!$R$22="Debt",IF(AND(E$4&gt;=$D92,E$4&lt;$D92+'Incremental Repayments'!$I$31),-PMT('Interest Rate'!$J$16,'Incremental Repayments'!$I$31,(HLOOKUP($D92,$E$4:$CZ$32,28,FALSE)*'Incremental Repayments'!$I$22)),0),0)</f>
        <v>0</v>
      </c>
      <c r="F92" s="477">
        <f>IF('Incremental Repayments'!$R$22="Debt",IF(AND(F$4&gt;=$D92,F$4&lt;$D92+'Incremental Repayments'!$I$31),-PMT('Interest Rate'!$J$16,'Incremental Repayments'!$I$31,(HLOOKUP($D92,$E$4:$CZ$32,28,FALSE)*'Incremental Repayments'!$I$22)),0),0)</f>
        <v>0</v>
      </c>
      <c r="G92" s="477">
        <f>IF('Incremental Repayments'!$R$22="Debt",IF(AND(G$4&gt;=$D92,G$4&lt;$D92+'Incremental Repayments'!$I$31),-PMT('Interest Rate'!$J$16,'Incremental Repayments'!$I$31,(HLOOKUP($D92,$E$4:$CZ$32,28,FALSE)*'Incremental Repayments'!$I$22)),0),0)</f>
        <v>0</v>
      </c>
      <c r="H92" s="477">
        <f>IF('Incremental Repayments'!$R$22="Debt",IF(AND(H$4&gt;=$D92,H$4&lt;$D92+'Incremental Repayments'!$I$31),-PMT('Interest Rate'!$J$16,'Incremental Repayments'!$I$31,(HLOOKUP($D92,$E$4:$CZ$32,28,FALSE)*'Incremental Repayments'!$I$22)),0),0)</f>
        <v>0</v>
      </c>
      <c r="I92" s="477">
        <f>IF('Incremental Repayments'!$R$22="Debt",IF(AND(I$4&gt;=$D92,I$4&lt;$D92+'Incremental Repayments'!$I$31),-PMT('Interest Rate'!$J$16,'Incremental Repayments'!$I$31,(HLOOKUP($D92,$E$4:$CZ$32,28,FALSE)*'Incremental Repayments'!$I$22)),0),0)</f>
        <v>0</v>
      </c>
      <c r="J92" s="477">
        <f>IF('Incremental Repayments'!$R$22="Debt",IF(AND(J$4&gt;=$D92,J$4&lt;$D92+'Incremental Repayments'!$I$31),-PMT('Interest Rate'!$J$16,'Incremental Repayments'!$I$31,(HLOOKUP($D92,$E$4:$CZ$32,28,FALSE)*'Incremental Repayments'!$I$22)),0),0)</f>
        <v>0</v>
      </c>
      <c r="K92" s="477">
        <f>IF('Incremental Repayments'!$R$22="Debt",IF(AND(K$4&gt;=$D92,K$4&lt;$D92+'Incremental Repayments'!$I$31),-PMT('Interest Rate'!$J$16,'Incremental Repayments'!$I$31,(HLOOKUP($D92,$E$4:$CZ$32,28,FALSE)*'Incremental Repayments'!$I$22)),0),0)</f>
        <v>0</v>
      </c>
      <c r="L92" s="477">
        <f>IF('Incremental Repayments'!$R$22="Debt",IF(AND(L$4&gt;=$D92,L$4&lt;$D92+'Incremental Repayments'!$I$31),-PMT('Interest Rate'!$J$16,'Incremental Repayments'!$I$31,(HLOOKUP($D92,$E$4:$CZ$32,28,FALSE)*'Incremental Repayments'!$I$22)),0),0)</f>
        <v>0</v>
      </c>
      <c r="M92" s="477">
        <f>IF('Incremental Repayments'!$R$22="Debt",IF(AND(M$4&gt;=$D92,M$4&lt;$D92+'Incremental Repayments'!$I$31),-PMT('Interest Rate'!$J$16,'Incremental Repayments'!$I$31,(HLOOKUP($D92,$E$4:$CZ$32,28,FALSE)*'Incremental Repayments'!$I$22)),0),0)</f>
        <v>0</v>
      </c>
      <c r="N92" s="477">
        <f>IF('Incremental Repayments'!$R$22="Debt",IF(AND(N$4&gt;=$D92,N$4&lt;$D92+'Incremental Repayments'!$I$31),-PMT('Interest Rate'!$J$16,'Incremental Repayments'!$I$31,(HLOOKUP($D92,$E$4:$CZ$32,28,FALSE)*'Incremental Repayments'!$I$22)),0),0)</f>
        <v>0</v>
      </c>
      <c r="O92" s="477">
        <f>IF('Incremental Repayments'!$R$22="Debt",IF(AND(O$4&gt;=$D92,O$4&lt;$D92+'Incremental Repayments'!$I$31),-PMT('Interest Rate'!$J$16,'Incremental Repayments'!$I$31,(HLOOKUP($D92,$E$4:$CZ$32,28,FALSE)*'Incremental Repayments'!$I$22)),0),0)</f>
        <v>0</v>
      </c>
      <c r="P92" s="477">
        <f>IF('Incremental Repayments'!$R$22="Debt",IF(AND(P$4&gt;=$D92,P$4&lt;$D92+'Incremental Repayments'!$I$31),-PMT('Interest Rate'!$J$16,'Incremental Repayments'!$I$31,(HLOOKUP($D92,$E$4:$CZ$32,28,FALSE)*'Incremental Repayments'!$I$22)),0),0)</f>
        <v>0</v>
      </c>
      <c r="Q92" s="477">
        <f>IF('Incremental Repayments'!$R$22="Debt",IF(AND(Q$4&gt;=$D92,Q$4&lt;$D92+'Incremental Repayments'!$I$31),-PMT('Interest Rate'!$J$16,'Incremental Repayments'!$I$31,(HLOOKUP($D92,$E$4:$CZ$32,28,FALSE)*'Incremental Repayments'!$I$22)),0),0)</f>
        <v>0</v>
      </c>
      <c r="R92" s="477">
        <f>IF('Incremental Repayments'!$R$22="Debt",IF(AND(R$4&gt;=$D92,R$4&lt;$D92+'Incremental Repayments'!$I$31),-PMT('Interest Rate'!$J$16,'Incremental Repayments'!$I$31,(HLOOKUP($D92,$E$4:$CZ$32,28,FALSE)*'Incremental Repayments'!$I$22)),0),0)</f>
        <v>0</v>
      </c>
      <c r="S92" s="477">
        <f>IF('Incremental Repayments'!$R$22="Debt",IF(AND(S$4&gt;=$D92,S$4&lt;$D92+'Incremental Repayments'!$I$31),-PMT('Interest Rate'!$J$16,'Incremental Repayments'!$I$31,(HLOOKUP($D92,$E$4:$CZ$32,28,FALSE)*'Incremental Repayments'!$I$22)),0),0)</f>
        <v>0</v>
      </c>
      <c r="T92" s="477">
        <f>IF('Incremental Repayments'!$R$22="Debt",IF(AND(T$4&gt;=$D92,T$4&lt;$D92+'Incremental Repayments'!$I$31),-PMT('Interest Rate'!$J$16,'Incremental Repayments'!$I$31,(HLOOKUP($D92,$E$4:$CZ$32,28,FALSE)*'Incremental Repayments'!$I$22)),0),0)</f>
        <v>0</v>
      </c>
      <c r="U92" s="477">
        <f>IF('Incremental Repayments'!$R$22="Debt",IF(AND(U$4&gt;=$D92,U$4&lt;$D92+'Incremental Repayments'!$I$31),-PMT('Interest Rate'!$J$16,'Incremental Repayments'!$I$31,(HLOOKUP($D92,$E$4:$CZ$32,28,FALSE)*'Incremental Repayments'!$I$22)),0),0)</f>
        <v>0</v>
      </c>
      <c r="V92" s="477">
        <f>IF('Incremental Repayments'!$R$22="Debt",IF(AND(V$4&gt;=$D92,V$4&lt;$D92+'Incremental Repayments'!$I$31),-PMT('Interest Rate'!$J$16,'Incremental Repayments'!$I$31,(HLOOKUP($D92,$E$4:$CZ$32,28,FALSE)*'Incremental Repayments'!$I$22)),0),0)</f>
        <v>0</v>
      </c>
      <c r="W92" s="477">
        <f>IF('Incremental Repayments'!$R$22="Debt",IF(AND(W$4&gt;=$D92,W$4&lt;$D92+'Incremental Repayments'!$I$31),-PMT('Interest Rate'!$J$16,'Incremental Repayments'!$I$31,(HLOOKUP($D92,$E$4:$CZ$32,28,FALSE)*'Incremental Repayments'!$I$22)),0),0)</f>
        <v>0</v>
      </c>
      <c r="X92" s="477">
        <f>IF('Incremental Repayments'!$R$22="Debt",IF(AND(X$4&gt;=$D92,X$4&lt;$D92+'Incremental Repayments'!$I$31),-PMT('Interest Rate'!$J$16,'Incremental Repayments'!$I$31,(HLOOKUP($D92,$E$4:$CZ$32,28,FALSE)*'Incremental Repayments'!$I$22)),0),0)</f>
        <v>0</v>
      </c>
      <c r="Y92" s="477">
        <f>IF('Incremental Repayments'!$R$22="Debt",IF(AND(Y$4&gt;=$D92,Y$4&lt;$D92+'Incremental Repayments'!$I$31),-PMT('Interest Rate'!$J$16,'Incremental Repayments'!$I$31,(HLOOKUP($D92,$E$4:$CZ$32,28,FALSE)*'Incremental Repayments'!$I$22)),0),0)</f>
        <v>0</v>
      </c>
      <c r="Z92" s="477">
        <f>IF('Incremental Repayments'!$R$22="Debt",IF(AND(Z$4&gt;=$D92,Z$4&lt;$D92+'Incremental Repayments'!$I$31),-PMT('Interest Rate'!$J$16,'Incremental Repayments'!$I$31,(HLOOKUP($D92,$E$4:$CZ$32,28,FALSE)*'Incremental Repayments'!$I$22)),0),0)</f>
        <v>0</v>
      </c>
      <c r="AA92" s="477">
        <f>IF('Incremental Repayments'!$R$22="Debt",IF(AND(AA$4&gt;=$D92,AA$4&lt;$D92+'Incremental Repayments'!$I$31),-PMT('Interest Rate'!$J$16,'Incremental Repayments'!$I$31,(HLOOKUP($D92,$E$4:$CZ$32,28,FALSE)*'Incremental Repayments'!$I$22)),0),0)</f>
        <v>0</v>
      </c>
      <c r="AB92" s="477">
        <f>IF('Incremental Repayments'!$R$22="Debt",IF(AND(AB$4&gt;=$D92,AB$4&lt;$D92+'Incremental Repayments'!$I$31),-PMT('Interest Rate'!$J$16,'Incremental Repayments'!$I$31,(HLOOKUP($D92,$E$4:$CZ$32,28,FALSE)*'Incremental Repayments'!$I$22)),0),0)</f>
        <v>0</v>
      </c>
      <c r="AC92" s="477">
        <f>IF('Incremental Repayments'!$R$22="Debt",IF(AND(AC$4&gt;=$D92,AC$4&lt;$D92+'Incremental Repayments'!$I$31),-PMT('Interest Rate'!$J$16,'Incremental Repayments'!$I$31,(HLOOKUP($D92,$E$4:$CZ$32,28,FALSE)*'Incremental Repayments'!$I$22)),0),0)</f>
        <v>0</v>
      </c>
      <c r="AD92" s="477">
        <f>IF('Incremental Repayments'!$R$22="Debt",IF(AND(AD$4&gt;=$D92,AD$4&lt;$D92+'Incremental Repayments'!$I$31),-PMT('Interest Rate'!$J$16,'Incremental Repayments'!$I$31,(HLOOKUP($D92,$E$4:$CZ$32,28,FALSE)*'Incremental Repayments'!$I$22)),0),0)</f>
        <v>0</v>
      </c>
      <c r="AE92" s="477">
        <f>IF('Incremental Repayments'!$R$22="Debt",IF(AND(AE$4&gt;=$D92,AE$4&lt;$D92+'Incremental Repayments'!$I$31),-PMT('Interest Rate'!$J$16,'Incremental Repayments'!$I$31,(HLOOKUP($D92,$E$4:$CZ$32,28,FALSE)*'Incremental Repayments'!$I$22)),0),0)</f>
        <v>0</v>
      </c>
      <c r="AF92" s="477">
        <f>IF('Incremental Repayments'!$R$22="Debt",IF(AND(AF$4&gt;=$D92,AF$4&lt;$D92+'Incremental Repayments'!$I$31),-PMT('Interest Rate'!$J$16,'Incremental Repayments'!$I$31,(HLOOKUP($D92,$E$4:$CZ$32,28,FALSE)*'Incremental Repayments'!$I$22)),0),0)</f>
        <v>0</v>
      </c>
      <c r="AG92" s="477">
        <f>IF('Incremental Repayments'!$R$22="Debt",IF(AND(AG$4&gt;=$D92,AG$4&lt;$D92+'Incremental Repayments'!$I$31),-PMT('Interest Rate'!$J$16,'Incremental Repayments'!$I$31,(HLOOKUP($D92,$E$4:$CZ$32,28,FALSE)*'Incremental Repayments'!$I$22)),0),0)</f>
        <v>0</v>
      </c>
      <c r="AH92" s="477">
        <f>IF('Incremental Repayments'!$R$22="Debt",IF(AND(AH$4&gt;=$D92,AH$4&lt;$D92+'Incremental Repayments'!$I$31),-PMT('Interest Rate'!$J$16,'Incremental Repayments'!$I$31,(HLOOKUP($D92,$E$4:$CZ$32,28,FALSE)*'Incremental Repayments'!$I$22)),0),0)</f>
        <v>0</v>
      </c>
      <c r="AI92" s="477">
        <f>IF('Incremental Repayments'!$R$22="Debt",IF(AND(AI$4&gt;=$D92,AI$4&lt;$D92+'Incremental Repayments'!$I$31),-PMT('Interest Rate'!$J$16,'Incremental Repayments'!$I$31,(HLOOKUP($D92,$E$4:$CZ$32,28,FALSE)*'Incremental Repayments'!$I$22)),0),0)</f>
        <v>0</v>
      </c>
      <c r="AJ92" s="477">
        <f>IF('Incremental Repayments'!$R$22="Debt",IF(AND(AJ$4&gt;=$D92,AJ$4&lt;$D92+'Incremental Repayments'!$I$31),-PMT('Interest Rate'!$J$16,'Incremental Repayments'!$I$31,(HLOOKUP($D92,$E$4:$CZ$32,28,FALSE)*'Incremental Repayments'!$I$22)),0),0)</f>
        <v>0</v>
      </c>
      <c r="AK92" s="477">
        <f>IF('Incremental Repayments'!$R$22="Debt",IF(AND(AK$4&gt;=$D92,AK$4&lt;$D92+'Incremental Repayments'!$I$31),-PMT('Interest Rate'!$J$16,'Incremental Repayments'!$I$31,(HLOOKUP($D92,$E$4:$CZ$32,28,FALSE)*'Incremental Repayments'!$I$22)),0),0)</f>
        <v>0</v>
      </c>
      <c r="AL92" s="477">
        <f>IF('Incremental Repayments'!$R$22="Debt",IF(AND(AL$4&gt;=$D92,AL$4&lt;$D92+'Incremental Repayments'!$I$31),-PMT('Interest Rate'!$J$16,'Incremental Repayments'!$I$31,(HLOOKUP($D92,$E$4:$CZ$32,28,FALSE)*'Incremental Repayments'!$I$22)),0),0)</f>
        <v>0</v>
      </c>
      <c r="AM92" s="477">
        <f>IF('Incremental Repayments'!$R$22="Debt",IF(AND(AM$4&gt;=$D92,AM$4&lt;$D92+'Incremental Repayments'!$I$31),-PMT('Interest Rate'!$J$16,'Incremental Repayments'!$I$31,(HLOOKUP($D92,$E$4:$CZ$32,28,FALSE)*'Incremental Repayments'!$I$22)),0),0)</f>
        <v>0</v>
      </c>
      <c r="AN92" s="477">
        <f>IF('Incremental Repayments'!$R$22="Debt",IF(AND(AN$4&gt;=$D92,AN$4&lt;$D92+'Incremental Repayments'!$I$31),-PMT('Interest Rate'!$J$16,'Incremental Repayments'!$I$31,(HLOOKUP($D92,$E$4:$CZ$32,28,FALSE)*'Incremental Repayments'!$I$22)),0),0)</f>
        <v>0</v>
      </c>
      <c r="AO92" s="477">
        <f>IF('Incremental Repayments'!$R$22="Debt",IF(AND(AO$4&gt;=$D92,AO$4&lt;$D92+'Incremental Repayments'!$I$31),-PMT('Interest Rate'!$J$16,'Incremental Repayments'!$I$31,(HLOOKUP($D92,$E$4:$CZ$32,28,FALSE)*'Incremental Repayments'!$I$22)),0),0)</f>
        <v>0</v>
      </c>
      <c r="AP92" s="477">
        <f>IF('Incremental Repayments'!$R$22="Debt",IF(AND(AP$4&gt;=$D92,AP$4&lt;$D92+'Incremental Repayments'!$I$31),-PMT('Interest Rate'!$J$16,'Incremental Repayments'!$I$31,(HLOOKUP($D92,$E$4:$CZ$32,28,FALSE)*'Incremental Repayments'!$I$22)),0),0)</f>
        <v>0</v>
      </c>
      <c r="AQ92" s="477">
        <f>IF('Incremental Repayments'!$R$22="Debt",IF(AND(AQ$4&gt;=$D92,AQ$4&lt;$D92+'Incremental Repayments'!$I$31),-PMT('Interest Rate'!$J$16,'Incremental Repayments'!$I$31,(HLOOKUP($D92,$E$4:$CZ$32,28,FALSE)*'Incremental Repayments'!$I$22)),0),0)</f>
        <v>0</v>
      </c>
      <c r="AR92" s="477">
        <f>IF('Incremental Repayments'!$R$22="Debt",IF(AND(AR$4&gt;=$D92,AR$4&lt;$D92+'Incremental Repayments'!$I$31),-PMT('Interest Rate'!$J$16,'Incremental Repayments'!$I$31,(HLOOKUP($D92,$E$4:$CZ$32,28,FALSE)*'Incremental Repayments'!$I$22)),0),0)</f>
        <v>0</v>
      </c>
      <c r="AS92" s="477">
        <f>IF('Incremental Repayments'!$R$22="Debt",IF(AND(AS$4&gt;=$D92,AS$4&lt;$D92+'Incremental Repayments'!$I$31),-PMT('Interest Rate'!$J$16,'Incremental Repayments'!$I$31,(HLOOKUP($D92,$E$4:$CZ$32,28,FALSE)*'Incremental Repayments'!$I$22)),0),0)</f>
        <v>0</v>
      </c>
      <c r="AT92" s="477">
        <f>IF('Incremental Repayments'!$R$22="Debt",IF(AND(AT$4&gt;=$D92,AT$4&lt;$D92+'Incremental Repayments'!$I$31),-PMT('Interest Rate'!$J$16,'Incremental Repayments'!$I$31,(HLOOKUP($D92,$E$4:$CZ$32,28,FALSE)*'Incremental Repayments'!$I$22)),0),0)</f>
        <v>0</v>
      </c>
      <c r="AU92" s="477">
        <f>IF('Incremental Repayments'!$R$22="Debt",IF(AND(AU$4&gt;=$D92,AU$4&lt;$D92+'Incremental Repayments'!$I$31),-PMT('Interest Rate'!$J$16,'Incremental Repayments'!$I$31,(HLOOKUP($D92,$E$4:$CZ$32,28,FALSE)*'Incremental Repayments'!$I$22)),0),0)</f>
        <v>0</v>
      </c>
      <c r="AV92" s="477">
        <f>IF('Incremental Repayments'!$R$22="Debt",IF(AND(AV$4&gt;=$D92,AV$4&lt;$D92+'Incremental Repayments'!$I$31),-PMT('Interest Rate'!$J$16,'Incremental Repayments'!$I$31,(HLOOKUP($D92,$E$4:$CZ$32,28,FALSE)*'Incremental Repayments'!$I$22)),0),0)</f>
        <v>0</v>
      </c>
      <c r="AW92" s="477">
        <f>IF('Incremental Repayments'!$R$22="Debt",IF(AND(AW$4&gt;=$D92,AW$4&lt;$D92+'Incremental Repayments'!$I$31),-PMT('Interest Rate'!$J$16,'Incremental Repayments'!$I$31,(HLOOKUP($D92,$E$4:$CZ$32,28,FALSE)*'Incremental Repayments'!$I$22)),0),0)</f>
        <v>0</v>
      </c>
      <c r="AX92" s="477">
        <f>IF('Incremental Repayments'!$R$22="Debt",IF(AND(AX$4&gt;=$D92,AX$4&lt;$D92+'Incremental Repayments'!$I$31),-PMT('Interest Rate'!$J$16,'Incremental Repayments'!$I$31,(HLOOKUP($D92,$E$4:$CZ$32,28,FALSE)*'Incremental Repayments'!$I$22)),0),0)</f>
        <v>0</v>
      </c>
      <c r="AY92" s="477">
        <f>IF('Incremental Repayments'!$R$22="Debt",IF(AND(AY$4&gt;=$D92,AY$4&lt;$D92+'Incremental Repayments'!$I$31),-PMT('Interest Rate'!$J$16,'Incremental Repayments'!$I$31,(HLOOKUP($D92,$E$4:$CZ$32,28,FALSE)*'Incremental Repayments'!$I$22)),0),0)</f>
        <v>0</v>
      </c>
      <c r="AZ92" s="477">
        <f>IF('Incremental Repayments'!$R$22="Debt",IF(AND(AZ$4&gt;=$D92,AZ$4&lt;$D92+'Incremental Repayments'!$I$31),-PMT('Interest Rate'!$J$16,'Incremental Repayments'!$I$31,(HLOOKUP($D92,$E$4:$CZ$32,28,FALSE)*'Incremental Repayments'!$I$22)),0),0)</f>
        <v>0</v>
      </c>
      <c r="BA92" s="477">
        <f>IF('Incremental Repayments'!$R$22="Debt",IF(AND(BA$4&gt;=$D92,BA$4&lt;$D92+'Incremental Repayments'!$I$31),-PMT('Interest Rate'!$J$16,'Incremental Repayments'!$I$31,(HLOOKUP($D92,$E$4:$CZ$32,28,FALSE)*'Incremental Repayments'!$I$22)),0),0)</f>
        <v>0</v>
      </c>
      <c r="BB92" s="477">
        <f>IF('Incremental Repayments'!$R$22="Debt",IF(AND(BB$4&gt;=$D92,BB$4&lt;$D92+'Incremental Repayments'!$I$31),-PMT('Interest Rate'!$J$16,'Incremental Repayments'!$I$31,(HLOOKUP($D92,$E$4:$CZ$32,28,FALSE)*'Incremental Repayments'!$I$22)),0),0)</f>
        <v>0</v>
      </c>
      <c r="BC92" s="477">
        <f>IF('Incremental Repayments'!$R$22="Debt",IF(AND(BC$4&gt;=$D92,BC$4&lt;$D92+'Incremental Repayments'!$I$31),-PMT('Interest Rate'!$J$16,'Incremental Repayments'!$I$31,(HLOOKUP($D92,$E$4:$CZ$32,28,FALSE)*'Incremental Repayments'!$I$22)),0),0)</f>
        <v>0</v>
      </c>
      <c r="BD92" s="477">
        <f>IF('Incremental Repayments'!$R$22="Debt",IF(AND(BD$4&gt;=$D92,BD$4&lt;$D92+'Incremental Repayments'!$I$31),-PMT('Interest Rate'!$J$16,'Incremental Repayments'!$I$31,(HLOOKUP($D92,$E$4:$CZ$32,28,FALSE)*'Incremental Repayments'!$I$22)),0),0)</f>
        <v>0</v>
      </c>
      <c r="BE92" s="477">
        <f>IF('Incremental Repayments'!$R$22="Debt",IF(AND(BE$4&gt;=$D92,BE$4&lt;$D92+'Incremental Repayments'!$I$31),-PMT('Interest Rate'!$J$16,'Incremental Repayments'!$I$31,(HLOOKUP($D92,$E$4:$CZ$32,28,FALSE)*'Incremental Repayments'!$I$22)),0),0)</f>
        <v>0</v>
      </c>
      <c r="BF92" s="477">
        <f>IF('Incremental Repayments'!$R$22="Debt",IF(AND(BF$4&gt;=$D92,BF$4&lt;$D92+'Incremental Repayments'!$I$31),-PMT('Interest Rate'!$J$16,'Incremental Repayments'!$I$31,(HLOOKUP($D92,$E$4:$CZ$32,28,FALSE)*'Incremental Repayments'!$I$22)),0),0)</f>
        <v>0</v>
      </c>
      <c r="BG92" s="477">
        <f>IF('Incremental Repayments'!$R$22="Debt",IF(AND(BG$4&gt;=$D92,BG$4&lt;$D92+'Incremental Repayments'!$I$31),-PMT('Interest Rate'!$J$16,'Incremental Repayments'!$I$31,(HLOOKUP($D92,$E$4:$CZ$32,28,FALSE)*'Incremental Repayments'!$I$22)),0),0)</f>
        <v>0</v>
      </c>
      <c r="BH92" s="477">
        <f>IF('Incremental Repayments'!$R$22="Debt",IF(AND(BH$4&gt;=$D92,BH$4&lt;$D92+'Incremental Repayments'!$I$31),-PMT('Interest Rate'!$J$16,'Incremental Repayments'!$I$31,(HLOOKUP($D92,$E$4:$CZ$32,28,FALSE)*'Incremental Repayments'!$I$22)),0),0)</f>
        <v>0</v>
      </c>
      <c r="BI92" s="477">
        <f>IF('Incremental Repayments'!$R$22="Debt",IF(AND(BI$4&gt;=$D92,BI$4&lt;$D92+'Incremental Repayments'!$I$31),-PMT('Interest Rate'!$J$16,'Incremental Repayments'!$I$31,(HLOOKUP($D92,$E$4:$CZ$32,28,FALSE)*'Incremental Repayments'!$I$22)),0),0)</f>
        <v>0</v>
      </c>
      <c r="BJ92" s="477">
        <f>IF('Incremental Repayments'!$R$22="Debt",IF(AND(BJ$4&gt;=$D92,BJ$4&lt;$D92+'Incremental Repayments'!$I$31),-PMT('Interest Rate'!$J$16,'Incremental Repayments'!$I$31,(HLOOKUP($D92,$E$4:$CZ$32,28,FALSE)*'Incremental Repayments'!$I$22)),0),0)</f>
        <v>0</v>
      </c>
      <c r="BK92" s="477">
        <f>IF('Incremental Repayments'!$R$22="Debt",IF(AND(BK$4&gt;=$D92,BK$4&lt;$D92+'Incremental Repayments'!$I$31),-PMT('Interest Rate'!$J$16,'Incremental Repayments'!$I$31,(HLOOKUP($D92,$E$4:$CZ$32,28,FALSE)*'Incremental Repayments'!$I$22)),0),0)</f>
        <v>0</v>
      </c>
      <c r="BL92" s="477">
        <f>IF('Incremental Repayments'!$R$22="Debt",IF(AND(BL$4&gt;=$D92,BL$4&lt;$D92+'Incremental Repayments'!$I$31),-PMT('Interest Rate'!$J$16,'Incremental Repayments'!$I$31,(HLOOKUP($D92,$E$4:$CZ$32,28,FALSE)*'Incremental Repayments'!$I$22)),0),0)</f>
        <v>0</v>
      </c>
      <c r="BM92" s="477">
        <f>IF('Incremental Repayments'!$R$22="Debt",IF(AND(BM$4&gt;=$D92,BM$4&lt;$D92+'Incremental Repayments'!$I$31),-PMT('Interest Rate'!$J$16,'Incremental Repayments'!$I$31,(HLOOKUP($D92,$E$4:$CZ$32,28,FALSE)*'Incremental Repayments'!$I$22)),0),0)</f>
        <v>0</v>
      </c>
      <c r="BN92" s="477">
        <f>IF('Incremental Repayments'!$R$22="Debt",IF(AND(BN$4&gt;=$D92,BN$4&lt;$D92+'Incremental Repayments'!$I$31),-PMT('Interest Rate'!$J$16,'Incremental Repayments'!$I$31,(HLOOKUP($D92,$E$4:$CZ$32,28,FALSE)*'Incremental Repayments'!$I$22)),0),0)</f>
        <v>0</v>
      </c>
      <c r="BO92" s="477">
        <f>IF('Incremental Repayments'!$R$22="Debt",IF(AND(BO$4&gt;=$D92,BO$4&lt;$D92+'Incremental Repayments'!$I$31),-PMT('Interest Rate'!$J$16,'Incremental Repayments'!$I$31,(HLOOKUP($D92,$E$4:$CZ$32,28,FALSE)*'Incremental Repayments'!$I$22)),0),0)</f>
        <v>0</v>
      </c>
      <c r="BP92" s="477">
        <f>IF('Incremental Repayments'!$R$22="Debt",IF(AND(BP$4&gt;=$D92,BP$4&lt;$D92+'Incremental Repayments'!$I$31),-PMT('Interest Rate'!$J$16,'Incremental Repayments'!$I$31,(HLOOKUP($D92,$E$4:$CZ$32,28,FALSE)*'Incremental Repayments'!$I$22)),0),0)</f>
        <v>0</v>
      </c>
      <c r="BQ92" s="477">
        <f>IF('Incremental Repayments'!$R$22="Debt",IF(AND(BQ$4&gt;=$D92,BQ$4&lt;$D92+'Incremental Repayments'!$I$31),-PMT('Interest Rate'!$J$16,'Incremental Repayments'!$I$31,(HLOOKUP($D92,$E$4:$CZ$32,28,FALSE)*'Incremental Repayments'!$I$22)),0),0)</f>
        <v>0</v>
      </c>
      <c r="BR92" s="477">
        <f>IF('Incremental Repayments'!$R$22="Debt",IF(AND(BR$4&gt;=$D92,BR$4&lt;$D92+'Incremental Repayments'!$I$31),-PMT('Interest Rate'!$J$16,'Incremental Repayments'!$I$31,(HLOOKUP($D92,$E$4:$CZ$32,28,FALSE)*'Incremental Repayments'!$I$22)),0),0)</f>
        <v>0</v>
      </c>
      <c r="BS92" s="477">
        <f>IF('Incremental Repayments'!$R$22="Debt",IF(AND(BS$4&gt;=$D92,BS$4&lt;$D92+'Incremental Repayments'!$I$31),-PMT('Interest Rate'!$J$16,'Incremental Repayments'!$I$31,(HLOOKUP($D92,$E$4:$CZ$32,28,FALSE)*'Incremental Repayments'!$I$22)),0),0)</f>
        <v>0</v>
      </c>
      <c r="BT92" s="477">
        <f>IF('Incremental Repayments'!$R$22="Debt",IF(AND(BT$4&gt;=$D92,BT$4&lt;$D92+'Incremental Repayments'!$I$31),-PMT('Interest Rate'!$J$16,'Incremental Repayments'!$I$31,(HLOOKUP($D92,$E$4:$CZ$32,28,FALSE)*'Incremental Repayments'!$I$22)),0),0)</f>
        <v>0</v>
      </c>
      <c r="BU92" s="477">
        <f>IF('Incremental Repayments'!$R$22="Debt",IF(AND(BU$4&gt;=$D92,BU$4&lt;$D92+'Incremental Repayments'!$I$31),-PMT('Interest Rate'!$J$16,'Incremental Repayments'!$I$31,(HLOOKUP($D92,$E$4:$CZ$32,28,FALSE)*'Incremental Repayments'!$I$22)),0),0)</f>
        <v>0</v>
      </c>
      <c r="BV92" s="477">
        <f>IF('Incremental Repayments'!$R$22="Debt",IF(AND(BV$4&gt;=$D92,BV$4&lt;$D92+'Incremental Repayments'!$I$31),-PMT('Interest Rate'!$J$16,'Incremental Repayments'!$I$31,(HLOOKUP($D92,$E$4:$CZ$32,28,FALSE)*'Incremental Repayments'!$I$22)),0),0)</f>
        <v>0</v>
      </c>
      <c r="BW92" s="477">
        <f>IF('Incremental Repayments'!$R$22="Debt",IF(AND(BW$4&gt;=$D92,BW$4&lt;$D92+'Incremental Repayments'!$I$31),-PMT('Interest Rate'!$J$16,'Incremental Repayments'!$I$31,(HLOOKUP($D92,$E$4:$CZ$32,28,FALSE)*'Incremental Repayments'!$I$22)),0),0)</f>
        <v>0</v>
      </c>
      <c r="BX92" s="477">
        <f>IF('Incremental Repayments'!$R$22="Debt",IF(AND(BX$4&gt;=$D92,BX$4&lt;$D92+'Incremental Repayments'!$I$31),-PMT('Interest Rate'!$J$16,'Incremental Repayments'!$I$31,(HLOOKUP($D92,$E$4:$CZ$32,28,FALSE)*'Incremental Repayments'!$I$22)),0),0)</f>
        <v>0</v>
      </c>
      <c r="BY92" s="477">
        <f>IF('Incremental Repayments'!$R$22="Debt",IF(AND(BY$4&gt;=$D92,BY$4&lt;$D92+'Incremental Repayments'!$I$31),-PMT('Interest Rate'!$J$16,'Incremental Repayments'!$I$31,(HLOOKUP($D92,$E$4:$CZ$32,28,FALSE)*'Incremental Repayments'!$I$22)),0),0)</f>
        <v>0</v>
      </c>
      <c r="BZ92" s="477">
        <f>IF('Incremental Repayments'!$R$22="Debt",IF(AND(BZ$4&gt;=$D92,BZ$4&lt;$D92+'Incremental Repayments'!$I$31),-PMT('Interest Rate'!$J$16,'Incremental Repayments'!$I$31,(HLOOKUP($D92,$E$4:$CZ$32,28,FALSE)*'Incremental Repayments'!$I$22)),0),0)</f>
        <v>0</v>
      </c>
      <c r="CA92" s="477">
        <f>IF('Incremental Repayments'!$R$22="Debt",IF(AND(CA$4&gt;=$D92,CA$4&lt;$D92+'Incremental Repayments'!$I$31),-PMT('Interest Rate'!$J$16,'Incremental Repayments'!$I$31,(HLOOKUP($D92,$E$4:$CZ$32,28,FALSE)*'Incremental Repayments'!$I$22)),0),0)</f>
        <v>0</v>
      </c>
      <c r="CB92" s="477">
        <f>IF('Incremental Repayments'!$R$22="Debt",IF(AND(CB$4&gt;=$D92,CB$4&lt;$D92+'Incremental Repayments'!$I$31),-PMT('Interest Rate'!$J$16,'Incremental Repayments'!$I$31,(HLOOKUP($D92,$E$4:$CZ$32,28,FALSE)*'Incremental Repayments'!$I$22)),0),0)</f>
        <v>0</v>
      </c>
      <c r="CC92" s="477">
        <f>IF('Incremental Repayments'!$R$22="Debt",IF(AND(CC$4&gt;=$D92,CC$4&lt;$D92+'Incremental Repayments'!$I$31),-PMT('Interest Rate'!$J$16,'Incremental Repayments'!$I$31,(HLOOKUP($D92,$E$4:$CZ$32,28,FALSE)*'Incremental Repayments'!$I$22)),0),0)</f>
        <v>0</v>
      </c>
      <c r="CD92" s="477">
        <f>IF('Incremental Repayments'!$R$22="Debt",IF(AND(CD$4&gt;=$D92,CD$4&lt;$D92+'Incremental Repayments'!$I$31),-PMT('Interest Rate'!$J$16,'Incremental Repayments'!$I$31,(HLOOKUP($D92,$E$4:$CZ$32,28,FALSE)*'Incremental Repayments'!$I$22)),0),0)</f>
        <v>0</v>
      </c>
      <c r="CE92" s="477">
        <f>IF('Incremental Repayments'!$R$22="Debt",IF(AND(CE$4&gt;=$D92,CE$4&lt;$D92+'Incremental Repayments'!$I$31),-PMT('Interest Rate'!$J$16,'Incremental Repayments'!$I$31,(HLOOKUP($D92,$E$4:$CZ$32,28,FALSE)*'Incremental Repayments'!$I$22)),0),0)</f>
        <v>0</v>
      </c>
      <c r="CF92" s="477">
        <f>IF('Incremental Repayments'!$R$22="Debt",IF(AND(CF$4&gt;=$D92,CF$4&lt;$D92+'Incremental Repayments'!$I$31),-PMT('Interest Rate'!$J$16,'Incremental Repayments'!$I$31,(HLOOKUP($D92,$E$4:$CZ$32,28,FALSE)*'Incremental Repayments'!$I$22)),0),0)</f>
        <v>0</v>
      </c>
      <c r="CG92" s="477">
        <f>IF('Incremental Repayments'!$R$22="Debt",IF(AND(CG$4&gt;=$D92,CG$4&lt;$D92+'Incremental Repayments'!$I$31),-PMT('Interest Rate'!$J$16,'Incremental Repayments'!$I$31,(HLOOKUP($D92,$E$4:$CZ$32,28,FALSE)*'Incremental Repayments'!$I$22)),0),0)</f>
        <v>0</v>
      </c>
      <c r="CH92" s="477">
        <f>IF('Incremental Repayments'!$R$22="Debt",IF(AND(CH$4&gt;=$D92,CH$4&lt;$D92+'Incremental Repayments'!$I$31),-PMT('Interest Rate'!$J$16,'Incremental Repayments'!$I$31,(HLOOKUP($D92,$E$4:$CZ$32,28,FALSE)*'Incremental Repayments'!$I$22)),0),0)</f>
        <v>0</v>
      </c>
      <c r="CI92" s="477">
        <f>IF('Incremental Repayments'!$R$22="Debt",IF(AND(CI$4&gt;=$D92,CI$4&lt;$D92+'Incremental Repayments'!$I$31),-PMT('Interest Rate'!$J$16,'Incremental Repayments'!$I$31,(HLOOKUP($D92,$E$4:$CZ$32,28,FALSE)*'Incremental Repayments'!$I$22)),0),0)</f>
        <v>0</v>
      </c>
      <c r="CJ92" s="477">
        <f>IF('Incremental Repayments'!$R$22="Debt",IF(AND(CJ$4&gt;=$D92,CJ$4&lt;$D92+'Incremental Repayments'!$I$31),-PMT('Interest Rate'!$J$16,'Incremental Repayments'!$I$31,(HLOOKUP($D92,$E$4:$CZ$32,28,FALSE)*'Incremental Repayments'!$I$22)),0),0)</f>
        <v>0</v>
      </c>
      <c r="CK92" s="477">
        <f>IF('Incremental Repayments'!$R$22="Debt",IF(AND(CK$4&gt;=$D92,CK$4&lt;$D92+'Incremental Repayments'!$I$31),-PMT('Interest Rate'!$J$16,'Incremental Repayments'!$I$31,(HLOOKUP($D92,$E$4:$CZ$32,28,FALSE)*'Incremental Repayments'!$I$22)),0),0)</f>
        <v>0</v>
      </c>
      <c r="CL92" s="477">
        <f>IF('Incremental Repayments'!$R$22="Debt",IF(AND(CL$4&gt;=$D92,CL$4&lt;$D92+'Incremental Repayments'!$I$31),-PMT('Interest Rate'!$J$16,'Incremental Repayments'!$I$31,(HLOOKUP($D92,$E$4:$CZ$32,28,FALSE)*'Incremental Repayments'!$I$22)),0),0)</f>
        <v>0</v>
      </c>
      <c r="CM92" s="477">
        <f>IF('Incremental Repayments'!$R$22="Debt",IF(AND(CM$4&gt;=$D92,CM$4&lt;$D92+'Incremental Repayments'!$I$31),-PMT('Interest Rate'!$J$16,'Incremental Repayments'!$I$31,(HLOOKUP($D92,$E$4:$CZ$32,28,FALSE)*'Incremental Repayments'!$I$22)),0),0)</f>
        <v>0</v>
      </c>
      <c r="CN92" s="477">
        <f>IF('Incremental Repayments'!$R$22="Debt",IF(AND(CN$4&gt;=$D92,CN$4&lt;$D92+'Incremental Repayments'!$I$31),-PMT('Interest Rate'!$J$16,'Incremental Repayments'!$I$31,(HLOOKUP($D92,$E$4:$CZ$32,28,FALSE)*'Incremental Repayments'!$I$22)),0),0)</f>
        <v>0</v>
      </c>
      <c r="CO92" s="477">
        <f>IF('Incremental Repayments'!$R$22="Debt",IF(AND(CO$4&gt;=$D92,CO$4&lt;$D92+'Incremental Repayments'!$I$31),-PMT('Interest Rate'!$J$16,'Incremental Repayments'!$I$31,(HLOOKUP($D92,$E$4:$CZ$32,28,FALSE)*'Incremental Repayments'!$I$22)),0),0)</f>
        <v>0</v>
      </c>
      <c r="CP92" s="477">
        <f>IF('Incremental Repayments'!$R$22="Debt",IF(AND(CP$4&gt;=$D92,CP$4&lt;$D92+'Incremental Repayments'!$I$31),-PMT('Interest Rate'!$J$16,'Incremental Repayments'!$I$31,(HLOOKUP($D92,$E$4:$CZ$32,28,FALSE)*'Incremental Repayments'!$I$22)),0),0)</f>
        <v>0</v>
      </c>
      <c r="CQ92" s="477">
        <f>IF('Incremental Repayments'!$R$22="Debt",IF(AND(CQ$4&gt;=$D92,CQ$4&lt;$D92+'Incremental Repayments'!$I$31),-PMT('Interest Rate'!$J$16,'Incremental Repayments'!$I$31,(HLOOKUP($D92,$E$4:$CZ$32,28,FALSE)*'Incremental Repayments'!$I$22)),0),0)</f>
        <v>0</v>
      </c>
      <c r="CR92" s="477">
        <f>IF('Incremental Repayments'!$R$22="Debt",IF(AND(CR$4&gt;=$D92,CR$4&lt;$D92+'Incremental Repayments'!$I$31),-PMT('Interest Rate'!$J$16,'Incremental Repayments'!$I$31,(HLOOKUP($D92,$E$4:$CZ$32,28,FALSE)*'Incremental Repayments'!$I$22)),0),0)</f>
        <v>0</v>
      </c>
      <c r="CS92" s="477">
        <f>IF('Incremental Repayments'!$R$22="Debt",IF(AND(CS$4&gt;=$D92,CS$4&lt;$D92+'Incremental Repayments'!$I$31),-PMT('Interest Rate'!$J$16,'Incremental Repayments'!$I$31,(HLOOKUP($D92,$E$4:$CZ$32,28,FALSE)*'Incremental Repayments'!$I$22)),0),0)</f>
        <v>0</v>
      </c>
      <c r="CT92" s="477">
        <f>IF('Incremental Repayments'!$R$22="Debt",IF(AND(CT$4&gt;=$D92,CT$4&lt;$D92+'Incremental Repayments'!$I$31),-PMT('Interest Rate'!$J$16,'Incremental Repayments'!$I$31,(HLOOKUP($D92,$E$4:$CZ$32,28,FALSE)*'Incremental Repayments'!$I$22)),0),0)</f>
        <v>0</v>
      </c>
      <c r="CU92" s="477">
        <f>IF('Incremental Repayments'!$R$22="Debt",IF(AND(CU$4&gt;=$D92,CU$4&lt;$D92+'Incremental Repayments'!$I$31),-PMT('Interest Rate'!$J$16,'Incremental Repayments'!$I$31,(HLOOKUP($D92,$E$4:$CZ$32,28,FALSE)*'Incremental Repayments'!$I$22)),0),0)</f>
        <v>0</v>
      </c>
      <c r="CV92" s="477">
        <f>IF('Incremental Repayments'!$R$22="Debt",IF(AND(CV$4&gt;=$D92,CV$4&lt;$D92+'Incremental Repayments'!$I$31),-PMT('Interest Rate'!$J$16,'Incremental Repayments'!$I$31,(HLOOKUP($D92,$E$4:$CZ$32,28,FALSE)*'Incremental Repayments'!$I$22)),0),0)</f>
        <v>0</v>
      </c>
      <c r="CW92" s="477">
        <f>IF('Incremental Repayments'!$R$22="Debt",IF(AND(CW$4&gt;=$D92,CW$4&lt;$D92+'Incremental Repayments'!$I$31),-PMT('Interest Rate'!$J$16,'Incremental Repayments'!$I$31,(HLOOKUP($D92,$E$4:$CZ$32,28,FALSE)*'Incremental Repayments'!$I$22)),0),0)</f>
        <v>0</v>
      </c>
      <c r="CX92" s="477">
        <f>IF('Incremental Repayments'!$R$22="Debt",IF(AND(CX$4&gt;=$D92,CX$4&lt;$D92+'Incremental Repayments'!$I$31),-PMT('Interest Rate'!$J$16,'Incremental Repayments'!$I$31,(HLOOKUP($D92,$E$4:$CZ$32,28,FALSE)*'Incremental Repayments'!$I$22)),0),0)</f>
        <v>0</v>
      </c>
      <c r="CY92" s="477">
        <f>IF('Incremental Repayments'!$R$22="Debt",IF(AND(CY$4&gt;=$D92,CY$4&lt;$D92+'Incremental Repayments'!$I$31),-PMT('Interest Rate'!$J$16,'Incremental Repayments'!$I$31,(HLOOKUP($D92,$E$4:$CZ$32,28,FALSE)*'Incremental Repayments'!$I$22)),0),0)</f>
        <v>0</v>
      </c>
      <c r="CZ92" s="477">
        <f>IF('Incremental Repayments'!$R$22="Debt",IF(AND(CZ$4&gt;=$D92,CZ$4&lt;$D92+'Incremental Repayments'!$I$31),-PMT('Interest Rate'!$J$16,'Incremental Repayments'!$I$31,(HLOOKUP($D92,$E$4:$CZ$32,28,FALSE)*'Incremental Repayments'!$I$22)),0),0)</f>
        <v>0</v>
      </c>
    </row>
    <row r="93" spans="2:104" x14ac:dyDescent="0.25">
      <c r="B93" s="480" t="str">
        <f>CONCATENATE("Series ",D93,"A Bonds (at ",'Interest Rate'!$J$16*100,"% Interest)")</f>
        <v>Series 2071A Bonds (at 4.5% Interest)</v>
      </c>
      <c r="C93" s="480"/>
      <c r="D93" s="492">
        <f t="shared" si="494"/>
        <v>2071</v>
      </c>
      <c r="E93" s="477">
        <f>IF('Incremental Repayments'!$R$22="Debt",IF(AND(E$4&gt;=$D93,E$4&lt;$D93+'Incremental Repayments'!$I$31),-PMT('Interest Rate'!$J$16,'Incremental Repayments'!$I$31,(HLOOKUP($D93,$E$4:$CZ$32,28,FALSE)*'Incremental Repayments'!$I$22)),0),0)</f>
        <v>0</v>
      </c>
      <c r="F93" s="477">
        <f>IF('Incremental Repayments'!$R$22="Debt",IF(AND(F$4&gt;=$D93,F$4&lt;$D93+'Incremental Repayments'!$I$31),-PMT('Interest Rate'!$J$16,'Incremental Repayments'!$I$31,(HLOOKUP($D93,$E$4:$CZ$32,28,FALSE)*'Incremental Repayments'!$I$22)),0),0)</f>
        <v>0</v>
      </c>
      <c r="G93" s="477">
        <f>IF('Incremental Repayments'!$R$22="Debt",IF(AND(G$4&gt;=$D93,G$4&lt;$D93+'Incremental Repayments'!$I$31),-PMT('Interest Rate'!$J$16,'Incremental Repayments'!$I$31,(HLOOKUP($D93,$E$4:$CZ$32,28,FALSE)*'Incremental Repayments'!$I$22)),0),0)</f>
        <v>0</v>
      </c>
      <c r="H93" s="477">
        <f>IF('Incremental Repayments'!$R$22="Debt",IF(AND(H$4&gt;=$D93,H$4&lt;$D93+'Incremental Repayments'!$I$31),-PMT('Interest Rate'!$J$16,'Incremental Repayments'!$I$31,(HLOOKUP($D93,$E$4:$CZ$32,28,FALSE)*'Incremental Repayments'!$I$22)),0),0)</f>
        <v>0</v>
      </c>
      <c r="I93" s="477">
        <f>IF('Incremental Repayments'!$R$22="Debt",IF(AND(I$4&gt;=$D93,I$4&lt;$D93+'Incremental Repayments'!$I$31),-PMT('Interest Rate'!$J$16,'Incremental Repayments'!$I$31,(HLOOKUP($D93,$E$4:$CZ$32,28,FALSE)*'Incremental Repayments'!$I$22)),0),0)</f>
        <v>0</v>
      </c>
      <c r="J93" s="477">
        <f>IF('Incremental Repayments'!$R$22="Debt",IF(AND(J$4&gt;=$D93,J$4&lt;$D93+'Incremental Repayments'!$I$31),-PMT('Interest Rate'!$J$16,'Incremental Repayments'!$I$31,(HLOOKUP($D93,$E$4:$CZ$32,28,FALSE)*'Incremental Repayments'!$I$22)),0),0)</f>
        <v>0</v>
      </c>
      <c r="K93" s="477">
        <f>IF('Incremental Repayments'!$R$22="Debt",IF(AND(K$4&gt;=$D93,K$4&lt;$D93+'Incremental Repayments'!$I$31),-PMT('Interest Rate'!$J$16,'Incremental Repayments'!$I$31,(HLOOKUP($D93,$E$4:$CZ$32,28,FALSE)*'Incremental Repayments'!$I$22)),0),0)</f>
        <v>0</v>
      </c>
      <c r="L93" s="477">
        <f>IF('Incremental Repayments'!$R$22="Debt",IF(AND(L$4&gt;=$D93,L$4&lt;$D93+'Incremental Repayments'!$I$31),-PMT('Interest Rate'!$J$16,'Incremental Repayments'!$I$31,(HLOOKUP($D93,$E$4:$CZ$32,28,FALSE)*'Incremental Repayments'!$I$22)),0),0)</f>
        <v>0</v>
      </c>
      <c r="M93" s="477">
        <f>IF('Incremental Repayments'!$R$22="Debt",IF(AND(M$4&gt;=$D93,M$4&lt;$D93+'Incremental Repayments'!$I$31),-PMT('Interest Rate'!$J$16,'Incremental Repayments'!$I$31,(HLOOKUP($D93,$E$4:$CZ$32,28,FALSE)*'Incremental Repayments'!$I$22)),0),0)</f>
        <v>0</v>
      </c>
      <c r="N93" s="477">
        <f>IF('Incremental Repayments'!$R$22="Debt",IF(AND(N$4&gt;=$D93,N$4&lt;$D93+'Incremental Repayments'!$I$31),-PMT('Interest Rate'!$J$16,'Incremental Repayments'!$I$31,(HLOOKUP($D93,$E$4:$CZ$32,28,FALSE)*'Incremental Repayments'!$I$22)),0),0)</f>
        <v>0</v>
      </c>
      <c r="O93" s="477">
        <f>IF('Incremental Repayments'!$R$22="Debt",IF(AND(O$4&gt;=$D93,O$4&lt;$D93+'Incremental Repayments'!$I$31),-PMT('Interest Rate'!$J$16,'Incremental Repayments'!$I$31,(HLOOKUP($D93,$E$4:$CZ$32,28,FALSE)*'Incremental Repayments'!$I$22)),0),0)</f>
        <v>0</v>
      </c>
      <c r="P93" s="477">
        <f>IF('Incremental Repayments'!$R$22="Debt",IF(AND(P$4&gt;=$D93,P$4&lt;$D93+'Incremental Repayments'!$I$31),-PMT('Interest Rate'!$J$16,'Incremental Repayments'!$I$31,(HLOOKUP($D93,$E$4:$CZ$32,28,FALSE)*'Incremental Repayments'!$I$22)),0),0)</f>
        <v>0</v>
      </c>
      <c r="Q93" s="477">
        <f>IF('Incremental Repayments'!$R$22="Debt",IF(AND(Q$4&gt;=$D93,Q$4&lt;$D93+'Incremental Repayments'!$I$31),-PMT('Interest Rate'!$J$16,'Incremental Repayments'!$I$31,(HLOOKUP($D93,$E$4:$CZ$32,28,FALSE)*'Incremental Repayments'!$I$22)),0),0)</f>
        <v>0</v>
      </c>
      <c r="R93" s="477">
        <f>IF('Incremental Repayments'!$R$22="Debt",IF(AND(R$4&gt;=$D93,R$4&lt;$D93+'Incremental Repayments'!$I$31),-PMT('Interest Rate'!$J$16,'Incremental Repayments'!$I$31,(HLOOKUP($D93,$E$4:$CZ$32,28,FALSE)*'Incremental Repayments'!$I$22)),0),0)</f>
        <v>0</v>
      </c>
      <c r="S93" s="477">
        <f>IF('Incremental Repayments'!$R$22="Debt",IF(AND(S$4&gt;=$D93,S$4&lt;$D93+'Incremental Repayments'!$I$31),-PMT('Interest Rate'!$J$16,'Incremental Repayments'!$I$31,(HLOOKUP($D93,$E$4:$CZ$32,28,FALSE)*'Incremental Repayments'!$I$22)),0),0)</f>
        <v>0</v>
      </c>
      <c r="T93" s="477">
        <f>IF('Incremental Repayments'!$R$22="Debt",IF(AND(T$4&gt;=$D93,T$4&lt;$D93+'Incremental Repayments'!$I$31),-PMT('Interest Rate'!$J$16,'Incremental Repayments'!$I$31,(HLOOKUP($D93,$E$4:$CZ$32,28,FALSE)*'Incremental Repayments'!$I$22)),0),0)</f>
        <v>0</v>
      </c>
      <c r="U93" s="477">
        <f>IF('Incremental Repayments'!$R$22="Debt",IF(AND(U$4&gt;=$D93,U$4&lt;$D93+'Incremental Repayments'!$I$31),-PMT('Interest Rate'!$J$16,'Incremental Repayments'!$I$31,(HLOOKUP($D93,$E$4:$CZ$32,28,FALSE)*'Incremental Repayments'!$I$22)),0),0)</f>
        <v>0</v>
      </c>
      <c r="V93" s="477">
        <f>IF('Incremental Repayments'!$R$22="Debt",IF(AND(V$4&gt;=$D93,V$4&lt;$D93+'Incremental Repayments'!$I$31),-PMT('Interest Rate'!$J$16,'Incremental Repayments'!$I$31,(HLOOKUP($D93,$E$4:$CZ$32,28,FALSE)*'Incremental Repayments'!$I$22)),0),0)</f>
        <v>0</v>
      </c>
      <c r="W93" s="477">
        <f>IF('Incremental Repayments'!$R$22="Debt",IF(AND(W$4&gt;=$D93,W$4&lt;$D93+'Incremental Repayments'!$I$31),-PMT('Interest Rate'!$J$16,'Incremental Repayments'!$I$31,(HLOOKUP($D93,$E$4:$CZ$32,28,FALSE)*'Incremental Repayments'!$I$22)),0),0)</f>
        <v>0</v>
      </c>
      <c r="X93" s="477">
        <f>IF('Incremental Repayments'!$R$22="Debt",IF(AND(X$4&gt;=$D93,X$4&lt;$D93+'Incremental Repayments'!$I$31),-PMT('Interest Rate'!$J$16,'Incremental Repayments'!$I$31,(HLOOKUP($D93,$E$4:$CZ$32,28,FALSE)*'Incremental Repayments'!$I$22)),0),0)</f>
        <v>0</v>
      </c>
      <c r="Y93" s="477">
        <f>IF('Incremental Repayments'!$R$22="Debt",IF(AND(Y$4&gt;=$D93,Y$4&lt;$D93+'Incremental Repayments'!$I$31),-PMT('Interest Rate'!$J$16,'Incremental Repayments'!$I$31,(HLOOKUP($D93,$E$4:$CZ$32,28,FALSE)*'Incremental Repayments'!$I$22)),0),0)</f>
        <v>0</v>
      </c>
      <c r="Z93" s="477">
        <f>IF('Incremental Repayments'!$R$22="Debt",IF(AND(Z$4&gt;=$D93,Z$4&lt;$D93+'Incremental Repayments'!$I$31),-PMT('Interest Rate'!$J$16,'Incremental Repayments'!$I$31,(HLOOKUP($D93,$E$4:$CZ$32,28,FALSE)*'Incremental Repayments'!$I$22)),0),0)</f>
        <v>0</v>
      </c>
      <c r="AA93" s="477">
        <f>IF('Incremental Repayments'!$R$22="Debt",IF(AND(AA$4&gt;=$D93,AA$4&lt;$D93+'Incremental Repayments'!$I$31),-PMT('Interest Rate'!$J$16,'Incremental Repayments'!$I$31,(HLOOKUP($D93,$E$4:$CZ$32,28,FALSE)*'Incremental Repayments'!$I$22)),0),0)</f>
        <v>0</v>
      </c>
      <c r="AB93" s="477">
        <f>IF('Incremental Repayments'!$R$22="Debt",IF(AND(AB$4&gt;=$D93,AB$4&lt;$D93+'Incremental Repayments'!$I$31),-PMT('Interest Rate'!$J$16,'Incremental Repayments'!$I$31,(HLOOKUP($D93,$E$4:$CZ$32,28,FALSE)*'Incremental Repayments'!$I$22)),0),0)</f>
        <v>0</v>
      </c>
      <c r="AC93" s="477">
        <f>IF('Incremental Repayments'!$R$22="Debt",IF(AND(AC$4&gt;=$D93,AC$4&lt;$D93+'Incremental Repayments'!$I$31),-PMT('Interest Rate'!$J$16,'Incremental Repayments'!$I$31,(HLOOKUP($D93,$E$4:$CZ$32,28,FALSE)*'Incremental Repayments'!$I$22)),0),0)</f>
        <v>0</v>
      </c>
      <c r="AD93" s="477">
        <f>IF('Incremental Repayments'!$R$22="Debt",IF(AND(AD$4&gt;=$D93,AD$4&lt;$D93+'Incremental Repayments'!$I$31),-PMT('Interest Rate'!$J$16,'Incremental Repayments'!$I$31,(HLOOKUP($D93,$E$4:$CZ$32,28,FALSE)*'Incremental Repayments'!$I$22)),0),0)</f>
        <v>0</v>
      </c>
      <c r="AE93" s="477">
        <f>IF('Incremental Repayments'!$R$22="Debt",IF(AND(AE$4&gt;=$D93,AE$4&lt;$D93+'Incremental Repayments'!$I$31),-PMT('Interest Rate'!$J$16,'Incremental Repayments'!$I$31,(HLOOKUP($D93,$E$4:$CZ$32,28,FALSE)*'Incremental Repayments'!$I$22)),0),0)</f>
        <v>0</v>
      </c>
      <c r="AF93" s="477">
        <f>IF('Incremental Repayments'!$R$22="Debt",IF(AND(AF$4&gt;=$D93,AF$4&lt;$D93+'Incremental Repayments'!$I$31),-PMT('Interest Rate'!$J$16,'Incremental Repayments'!$I$31,(HLOOKUP($D93,$E$4:$CZ$32,28,FALSE)*'Incremental Repayments'!$I$22)),0),0)</f>
        <v>0</v>
      </c>
      <c r="AG93" s="477">
        <f>IF('Incremental Repayments'!$R$22="Debt",IF(AND(AG$4&gt;=$D93,AG$4&lt;$D93+'Incremental Repayments'!$I$31),-PMT('Interest Rate'!$J$16,'Incremental Repayments'!$I$31,(HLOOKUP($D93,$E$4:$CZ$32,28,FALSE)*'Incremental Repayments'!$I$22)),0),0)</f>
        <v>0</v>
      </c>
      <c r="AH93" s="477">
        <f>IF('Incremental Repayments'!$R$22="Debt",IF(AND(AH$4&gt;=$D93,AH$4&lt;$D93+'Incremental Repayments'!$I$31),-PMT('Interest Rate'!$J$16,'Incremental Repayments'!$I$31,(HLOOKUP($D93,$E$4:$CZ$32,28,FALSE)*'Incremental Repayments'!$I$22)),0),0)</f>
        <v>0</v>
      </c>
      <c r="AI93" s="477">
        <f>IF('Incremental Repayments'!$R$22="Debt",IF(AND(AI$4&gt;=$D93,AI$4&lt;$D93+'Incremental Repayments'!$I$31),-PMT('Interest Rate'!$J$16,'Incremental Repayments'!$I$31,(HLOOKUP($D93,$E$4:$CZ$32,28,FALSE)*'Incremental Repayments'!$I$22)),0),0)</f>
        <v>0</v>
      </c>
      <c r="AJ93" s="477">
        <f>IF('Incremental Repayments'!$R$22="Debt",IF(AND(AJ$4&gt;=$D93,AJ$4&lt;$D93+'Incremental Repayments'!$I$31),-PMT('Interest Rate'!$J$16,'Incremental Repayments'!$I$31,(HLOOKUP($D93,$E$4:$CZ$32,28,FALSE)*'Incremental Repayments'!$I$22)),0),0)</f>
        <v>0</v>
      </c>
      <c r="AK93" s="477">
        <f>IF('Incremental Repayments'!$R$22="Debt",IF(AND(AK$4&gt;=$D93,AK$4&lt;$D93+'Incremental Repayments'!$I$31),-PMT('Interest Rate'!$J$16,'Incremental Repayments'!$I$31,(HLOOKUP($D93,$E$4:$CZ$32,28,FALSE)*'Incremental Repayments'!$I$22)),0),0)</f>
        <v>0</v>
      </c>
      <c r="AL93" s="477">
        <f>IF('Incremental Repayments'!$R$22="Debt",IF(AND(AL$4&gt;=$D93,AL$4&lt;$D93+'Incremental Repayments'!$I$31),-PMT('Interest Rate'!$J$16,'Incremental Repayments'!$I$31,(HLOOKUP($D93,$E$4:$CZ$32,28,FALSE)*'Incremental Repayments'!$I$22)),0),0)</f>
        <v>0</v>
      </c>
      <c r="AM93" s="477">
        <f>IF('Incremental Repayments'!$R$22="Debt",IF(AND(AM$4&gt;=$D93,AM$4&lt;$D93+'Incremental Repayments'!$I$31),-PMT('Interest Rate'!$J$16,'Incremental Repayments'!$I$31,(HLOOKUP($D93,$E$4:$CZ$32,28,FALSE)*'Incremental Repayments'!$I$22)),0),0)</f>
        <v>0</v>
      </c>
      <c r="AN93" s="477">
        <f>IF('Incremental Repayments'!$R$22="Debt",IF(AND(AN$4&gt;=$D93,AN$4&lt;$D93+'Incremental Repayments'!$I$31),-PMT('Interest Rate'!$J$16,'Incremental Repayments'!$I$31,(HLOOKUP($D93,$E$4:$CZ$32,28,FALSE)*'Incremental Repayments'!$I$22)),0),0)</f>
        <v>0</v>
      </c>
      <c r="AO93" s="477">
        <f>IF('Incremental Repayments'!$R$22="Debt",IF(AND(AO$4&gt;=$D93,AO$4&lt;$D93+'Incremental Repayments'!$I$31),-PMT('Interest Rate'!$J$16,'Incremental Repayments'!$I$31,(HLOOKUP($D93,$E$4:$CZ$32,28,FALSE)*'Incremental Repayments'!$I$22)),0),0)</f>
        <v>0</v>
      </c>
      <c r="AP93" s="477">
        <f>IF('Incremental Repayments'!$R$22="Debt",IF(AND(AP$4&gt;=$D93,AP$4&lt;$D93+'Incremental Repayments'!$I$31),-PMT('Interest Rate'!$J$16,'Incremental Repayments'!$I$31,(HLOOKUP($D93,$E$4:$CZ$32,28,FALSE)*'Incremental Repayments'!$I$22)),0),0)</f>
        <v>0</v>
      </c>
      <c r="AQ93" s="477">
        <f>IF('Incremental Repayments'!$R$22="Debt",IF(AND(AQ$4&gt;=$D93,AQ$4&lt;$D93+'Incremental Repayments'!$I$31),-PMT('Interest Rate'!$J$16,'Incremental Repayments'!$I$31,(HLOOKUP($D93,$E$4:$CZ$32,28,FALSE)*'Incremental Repayments'!$I$22)),0),0)</f>
        <v>0</v>
      </c>
      <c r="AR93" s="477">
        <f>IF('Incremental Repayments'!$R$22="Debt",IF(AND(AR$4&gt;=$D93,AR$4&lt;$D93+'Incremental Repayments'!$I$31),-PMT('Interest Rate'!$J$16,'Incremental Repayments'!$I$31,(HLOOKUP($D93,$E$4:$CZ$32,28,FALSE)*'Incremental Repayments'!$I$22)),0),0)</f>
        <v>0</v>
      </c>
      <c r="AS93" s="477">
        <f>IF('Incremental Repayments'!$R$22="Debt",IF(AND(AS$4&gt;=$D93,AS$4&lt;$D93+'Incremental Repayments'!$I$31),-PMT('Interest Rate'!$J$16,'Incremental Repayments'!$I$31,(HLOOKUP($D93,$E$4:$CZ$32,28,FALSE)*'Incremental Repayments'!$I$22)),0),0)</f>
        <v>0</v>
      </c>
      <c r="AT93" s="477">
        <f>IF('Incremental Repayments'!$R$22="Debt",IF(AND(AT$4&gt;=$D93,AT$4&lt;$D93+'Incremental Repayments'!$I$31),-PMT('Interest Rate'!$J$16,'Incremental Repayments'!$I$31,(HLOOKUP($D93,$E$4:$CZ$32,28,FALSE)*'Incremental Repayments'!$I$22)),0),0)</f>
        <v>0</v>
      </c>
      <c r="AU93" s="477">
        <f>IF('Incremental Repayments'!$R$22="Debt",IF(AND(AU$4&gt;=$D93,AU$4&lt;$D93+'Incremental Repayments'!$I$31),-PMT('Interest Rate'!$J$16,'Incremental Repayments'!$I$31,(HLOOKUP($D93,$E$4:$CZ$32,28,FALSE)*'Incremental Repayments'!$I$22)),0),0)</f>
        <v>0</v>
      </c>
      <c r="AV93" s="477">
        <f>IF('Incremental Repayments'!$R$22="Debt",IF(AND(AV$4&gt;=$D93,AV$4&lt;$D93+'Incremental Repayments'!$I$31),-PMT('Interest Rate'!$J$16,'Incremental Repayments'!$I$31,(HLOOKUP($D93,$E$4:$CZ$32,28,FALSE)*'Incremental Repayments'!$I$22)),0),0)</f>
        <v>0</v>
      </c>
      <c r="AW93" s="477">
        <f>IF('Incremental Repayments'!$R$22="Debt",IF(AND(AW$4&gt;=$D93,AW$4&lt;$D93+'Incremental Repayments'!$I$31),-PMT('Interest Rate'!$J$16,'Incremental Repayments'!$I$31,(HLOOKUP($D93,$E$4:$CZ$32,28,FALSE)*'Incremental Repayments'!$I$22)),0),0)</f>
        <v>0</v>
      </c>
      <c r="AX93" s="477">
        <f>IF('Incremental Repayments'!$R$22="Debt",IF(AND(AX$4&gt;=$D93,AX$4&lt;$D93+'Incremental Repayments'!$I$31),-PMT('Interest Rate'!$J$16,'Incremental Repayments'!$I$31,(HLOOKUP($D93,$E$4:$CZ$32,28,FALSE)*'Incremental Repayments'!$I$22)),0),0)</f>
        <v>0</v>
      </c>
      <c r="AY93" s="477">
        <f>IF('Incremental Repayments'!$R$22="Debt",IF(AND(AY$4&gt;=$D93,AY$4&lt;$D93+'Incremental Repayments'!$I$31),-PMT('Interest Rate'!$J$16,'Incremental Repayments'!$I$31,(HLOOKUP($D93,$E$4:$CZ$32,28,FALSE)*'Incremental Repayments'!$I$22)),0),0)</f>
        <v>0</v>
      </c>
      <c r="AZ93" s="477">
        <f>IF('Incremental Repayments'!$R$22="Debt",IF(AND(AZ$4&gt;=$D93,AZ$4&lt;$D93+'Incremental Repayments'!$I$31),-PMT('Interest Rate'!$J$16,'Incremental Repayments'!$I$31,(HLOOKUP($D93,$E$4:$CZ$32,28,FALSE)*'Incremental Repayments'!$I$22)),0),0)</f>
        <v>0</v>
      </c>
      <c r="BA93" s="477">
        <f>IF('Incremental Repayments'!$R$22="Debt",IF(AND(BA$4&gt;=$D93,BA$4&lt;$D93+'Incremental Repayments'!$I$31),-PMT('Interest Rate'!$J$16,'Incremental Repayments'!$I$31,(HLOOKUP($D93,$E$4:$CZ$32,28,FALSE)*'Incremental Repayments'!$I$22)),0),0)</f>
        <v>0</v>
      </c>
      <c r="BB93" s="477">
        <f>IF('Incremental Repayments'!$R$22="Debt",IF(AND(BB$4&gt;=$D93,BB$4&lt;$D93+'Incremental Repayments'!$I$31),-PMT('Interest Rate'!$J$16,'Incremental Repayments'!$I$31,(HLOOKUP($D93,$E$4:$CZ$32,28,FALSE)*'Incremental Repayments'!$I$22)),0),0)</f>
        <v>0</v>
      </c>
      <c r="BC93" s="477">
        <f>IF('Incremental Repayments'!$R$22="Debt",IF(AND(BC$4&gt;=$D93,BC$4&lt;$D93+'Incremental Repayments'!$I$31),-PMT('Interest Rate'!$J$16,'Incremental Repayments'!$I$31,(HLOOKUP($D93,$E$4:$CZ$32,28,FALSE)*'Incremental Repayments'!$I$22)),0),0)</f>
        <v>0</v>
      </c>
      <c r="BD93" s="477">
        <f>IF('Incremental Repayments'!$R$22="Debt",IF(AND(BD$4&gt;=$D93,BD$4&lt;$D93+'Incremental Repayments'!$I$31),-PMT('Interest Rate'!$J$16,'Incremental Repayments'!$I$31,(HLOOKUP($D93,$E$4:$CZ$32,28,FALSE)*'Incremental Repayments'!$I$22)),0),0)</f>
        <v>0</v>
      </c>
      <c r="BE93" s="477">
        <f>IF('Incremental Repayments'!$R$22="Debt",IF(AND(BE$4&gt;=$D93,BE$4&lt;$D93+'Incremental Repayments'!$I$31),-PMT('Interest Rate'!$J$16,'Incremental Repayments'!$I$31,(HLOOKUP($D93,$E$4:$CZ$32,28,FALSE)*'Incremental Repayments'!$I$22)),0),0)</f>
        <v>0</v>
      </c>
      <c r="BF93" s="477">
        <f>IF('Incremental Repayments'!$R$22="Debt",IF(AND(BF$4&gt;=$D93,BF$4&lt;$D93+'Incremental Repayments'!$I$31),-PMT('Interest Rate'!$J$16,'Incremental Repayments'!$I$31,(HLOOKUP($D93,$E$4:$CZ$32,28,FALSE)*'Incremental Repayments'!$I$22)),0),0)</f>
        <v>0</v>
      </c>
      <c r="BG93" s="477">
        <f>IF('Incremental Repayments'!$R$22="Debt",IF(AND(BG$4&gt;=$D93,BG$4&lt;$D93+'Incremental Repayments'!$I$31),-PMT('Interest Rate'!$J$16,'Incremental Repayments'!$I$31,(HLOOKUP($D93,$E$4:$CZ$32,28,FALSE)*'Incremental Repayments'!$I$22)),0),0)</f>
        <v>0</v>
      </c>
      <c r="BH93" s="477">
        <f>IF('Incremental Repayments'!$R$22="Debt",IF(AND(BH$4&gt;=$D93,BH$4&lt;$D93+'Incremental Repayments'!$I$31),-PMT('Interest Rate'!$J$16,'Incremental Repayments'!$I$31,(HLOOKUP($D93,$E$4:$CZ$32,28,FALSE)*'Incremental Repayments'!$I$22)),0),0)</f>
        <v>0</v>
      </c>
      <c r="BI93" s="477">
        <f>IF('Incremental Repayments'!$R$22="Debt",IF(AND(BI$4&gt;=$D93,BI$4&lt;$D93+'Incremental Repayments'!$I$31),-PMT('Interest Rate'!$J$16,'Incremental Repayments'!$I$31,(HLOOKUP($D93,$E$4:$CZ$32,28,FALSE)*'Incremental Repayments'!$I$22)),0),0)</f>
        <v>0</v>
      </c>
      <c r="BJ93" s="477">
        <f>IF('Incremental Repayments'!$R$22="Debt",IF(AND(BJ$4&gt;=$D93,BJ$4&lt;$D93+'Incremental Repayments'!$I$31),-PMT('Interest Rate'!$J$16,'Incremental Repayments'!$I$31,(HLOOKUP($D93,$E$4:$CZ$32,28,FALSE)*'Incremental Repayments'!$I$22)),0),0)</f>
        <v>0</v>
      </c>
      <c r="BK93" s="477">
        <f>IF('Incremental Repayments'!$R$22="Debt",IF(AND(BK$4&gt;=$D93,BK$4&lt;$D93+'Incremental Repayments'!$I$31),-PMT('Interest Rate'!$J$16,'Incremental Repayments'!$I$31,(HLOOKUP($D93,$E$4:$CZ$32,28,FALSE)*'Incremental Repayments'!$I$22)),0),0)</f>
        <v>0</v>
      </c>
      <c r="BL93" s="477">
        <f>IF('Incremental Repayments'!$R$22="Debt",IF(AND(BL$4&gt;=$D93,BL$4&lt;$D93+'Incremental Repayments'!$I$31),-PMT('Interest Rate'!$J$16,'Incremental Repayments'!$I$31,(HLOOKUP($D93,$E$4:$CZ$32,28,FALSE)*'Incremental Repayments'!$I$22)),0),0)</f>
        <v>0</v>
      </c>
      <c r="BM93" s="477">
        <f>IF('Incremental Repayments'!$R$22="Debt",IF(AND(BM$4&gt;=$D93,BM$4&lt;$D93+'Incremental Repayments'!$I$31),-PMT('Interest Rate'!$J$16,'Incremental Repayments'!$I$31,(HLOOKUP($D93,$E$4:$CZ$32,28,FALSE)*'Incremental Repayments'!$I$22)),0),0)</f>
        <v>0</v>
      </c>
      <c r="BN93" s="477">
        <f>IF('Incremental Repayments'!$R$22="Debt",IF(AND(BN$4&gt;=$D93,BN$4&lt;$D93+'Incremental Repayments'!$I$31),-PMT('Interest Rate'!$J$16,'Incremental Repayments'!$I$31,(HLOOKUP($D93,$E$4:$CZ$32,28,FALSE)*'Incremental Repayments'!$I$22)),0),0)</f>
        <v>0</v>
      </c>
      <c r="BO93" s="477">
        <f>IF('Incremental Repayments'!$R$22="Debt",IF(AND(BO$4&gt;=$D93,BO$4&lt;$D93+'Incremental Repayments'!$I$31),-PMT('Interest Rate'!$J$16,'Incremental Repayments'!$I$31,(HLOOKUP($D93,$E$4:$CZ$32,28,FALSE)*'Incremental Repayments'!$I$22)),0),0)</f>
        <v>0</v>
      </c>
      <c r="BP93" s="477">
        <f>IF('Incremental Repayments'!$R$22="Debt",IF(AND(BP$4&gt;=$D93,BP$4&lt;$D93+'Incremental Repayments'!$I$31),-PMT('Interest Rate'!$J$16,'Incremental Repayments'!$I$31,(HLOOKUP($D93,$E$4:$CZ$32,28,FALSE)*'Incremental Repayments'!$I$22)),0),0)</f>
        <v>0</v>
      </c>
      <c r="BQ93" s="477">
        <f>IF('Incremental Repayments'!$R$22="Debt",IF(AND(BQ$4&gt;=$D93,BQ$4&lt;$D93+'Incremental Repayments'!$I$31),-PMT('Interest Rate'!$J$16,'Incremental Repayments'!$I$31,(HLOOKUP($D93,$E$4:$CZ$32,28,FALSE)*'Incremental Repayments'!$I$22)),0),0)</f>
        <v>0</v>
      </c>
      <c r="BR93" s="477">
        <f>IF('Incremental Repayments'!$R$22="Debt",IF(AND(BR$4&gt;=$D93,BR$4&lt;$D93+'Incremental Repayments'!$I$31),-PMT('Interest Rate'!$J$16,'Incremental Repayments'!$I$31,(HLOOKUP($D93,$E$4:$CZ$32,28,FALSE)*'Incremental Repayments'!$I$22)),0),0)</f>
        <v>0</v>
      </c>
      <c r="BS93" s="477">
        <f>IF('Incremental Repayments'!$R$22="Debt",IF(AND(BS$4&gt;=$D93,BS$4&lt;$D93+'Incremental Repayments'!$I$31),-PMT('Interest Rate'!$J$16,'Incremental Repayments'!$I$31,(HLOOKUP($D93,$E$4:$CZ$32,28,FALSE)*'Incremental Repayments'!$I$22)),0),0)</f>
        <v>0</v>
      </c>
      <c r="BT93" s="477">
        <f>IF('Incremental Repayments'!$R$22="Debt",IF(AND(BT$4&gt;=$D93,BT$4&lt;$D93+'Incremental Repayments'!$I$31),-PMT('Interest Rate'!$J$16,'Incremental Repayments'!$I$31,(HLOOKUP($D93,$E$4:$CZ$32,28,FALSE)*'Incremental Repayments'!$I$22)),0),0)</f>
        <v>0</v>
      </c>
      <c r="BU93" s="477">
        <f>IF('Incremental Repayments'!$R$22="Debt",IF(AND(BU$4&gt;=$D93,BU$4&lt;$D93+'Incremental Repayments'!$I$31),-PMT('Interest Rate'!$J$16,'Incremental Repayments'!$I$31,(HLOOKUP($D93,$E$4:$CZ$32,28,FALSE)*'Incremental Repayments'!$I$22)),0),0)</f>
        <v>0</v>
      </c>
      <c r="BV93" s="477">
        <f>IF('Incremental Repayments'!$R$22="Debt",IF(AND(BV$4&gt;=$D93,BV$4&lt;$D93+'Incremental Repayments'!$I$31),-PMT('Interest Rate'!$J$16,'Incremental Repayments'!$I$31,(HLOOKUP($D93,$E$4:$CZ$32,28,FALSE)*'Incremental Repayments'!$I$22)),0),0)</f>
        <v>0</v>
      </c>
      <c r="BW93" s="477">
        <f>IF('Incremental Repayments'!$R$22="Debt",IF(AND(BW$4&gt;=$D93,BW$4&lt;$D93+'Incremental Repayments'!$I$31),-PMT('Interest Rate'!$J$16,'Incremental Repayments'!$I$31,(HLOOKUP($D93,$E$4:$CZ$32,28,FALSE)*'Incremental Repayments'!$I$22)),0),0)</f>
        <v>0</v>
      </c>
      <c r="BX93" s="477">
        <f>IF('Incremental Repayments'!$R$22="Debt",IF(AND(BX$4&gt;=$D93,BX$4&lt;$D93+'Incremental Repayments'!$I$31),-PMT('Interest Rate'!$J$16,'Incremental Repayments'!$I$31,(HLOOKUP($D93,$E$4:$CZ$32,28,FALSE)*'Incremental Repayments'!$I$22)),0),0)</f>
        <v>0</v>
      </c>
      <c r="BY93" s="477">
        <f>IF('Incremental Repayments'!$R$22="Debt",IF(AND(BY$4&gt;=$D93,BY$4&lt;$D93+'Incremental Repayments'!$I$31),-PMT('Interest Rate'!$J$16,'Incremental Repayments'!$I$31,(HLOOKUP($D93,$E$4:$CZ$32,28,FALSE)*'Incremental Repayments'!$I$22)),0),0)</f>
        <v>0</v>
      </c>
      <c r="BZ93" s="477">
        <f>IF('Incremental Repayments'!$R$22="Debt",IF(AND(BZ$4&gt;=$D93,BZ$4&lt;$D93+'Incremental Repayments'!$I$31),-PMT('Interest Rate'!$J$16,'Incremental Repayments'!$I$31,(HLOOKUP($D93,$E$4:$CZ$32,28,FALSE)*'Incremental Repayments'!$I$22)),0),0)</f>
        <v>0</v>
      </c>
      <c r="CA93" s="477">
        <f>IF('Incremental Repayments'!$R$22="Debt",IF(AND(CA$4&gt;=$D93,CA$4&lt;$D93+'Incremental Repayments'!$I$31),-PMT('Interest Rate'!$J$16,'Incremental Repayments'!$I$31,(HLOOKUP($D93,$E$4:$CZ$32,28,FALSE)*'Incremental Repayments'!$I$22)),0),0)</f>
        <v>0</v>
      </c>
      <c r="CB93" s="477">
        <f>IF('Incremental Repayments'!$R$22="Debt",IF(AND(CB$4&gt;=$D93,CB$4&lt;$D93+'Incremental Repayments'!$I$31),-PMT('Interest Rate'!$J$16,'Incremental Repayments'!$I$31,(HLOOKUP($D93,$E$4:$CZ$32,28,FALSE)*'Incremental Repayments'!$I$22)),0),0)</f>
        <v>0</v>
      </c>
      <c r="CC93" s="477">
        <f>IF('Incremental Repayments'!$R$22="Debt",IF(AND(CC$4&gt;=$D93,CC$4&lt;$D93+'Incremental Repayments'!$I$31),-PMT('Interest Rate'!$J$16,'Incremental Repayments'!$I$31,(HLOOKUP($D93,$E$4:$CZ$32,28,FALSE)*'Incremental Repayments'!$I$22)),0),0)</f>
        <v>0</v>
      </c>
      <c r="CD93" s="477">
        <f>IF('Incremental Repayments'!$R$22="Debt",IF(AND(CD$4&gt;=$D93,CD$4&lt;$D93+'Incremental Repayments'!$I$31),-PMT('Interest Rate'!$J$16,'Incremental Repayments'!$I$31,(HLOOKUP($D93,$E$4:$CZ$32,28,FALSE)*'Incremental Repayments'!$I$22)),0),0)</f>
        <v>0</v>
      </c>
      <c r="CE93" s="477">
        <f>IF('Incremental Repayments'!$R$22="Debt",IF(AND(CE$4&gt;=$D93,CE$4&lt;$D93+'Incremental Repayments'!$I$31),-PMT('Interest Rate'!$J$16,'Incremental Repayments'!$I$31,(HLOOKUP($D93,$E$4:$CZ$32,28,FALSE)*'Incremental Repayments'!$I$22)),0),0)</f>
        <v>0</v>
      </c>
      <c r="CF93" s="477">
        <f>IF('Incremental Repayments'!$R$22="Debt",IF(AND(CF$4&gt;=$D93,CF$4&lt;$D93+'Incremental Repayments'!$I$31),-PMT('Interest Rate'!$J$16,'Incremental Repayments'!$I$31,(HLOOKUP($D93,$E$4:$CZ$32,28,FALSE)*'Incremental Repayments'!$I$22)),0),0)</f>
        <v>0</v>
      </c>
      <c r="CG93" s="477">
        <f>IF('Incremental Repayments'!$R$22="Debt",IF(AND(CG$4&gt;=$D93,CG$4&lt;$D93+'Incremental Repayments'!$I$31),-PMT('Interest Rate'!$J$16,'Incremental Repayments'!$I$31,(HLOOKUP($D93,$E$4:$CZ$32,28,FALSE)*'Incremental Repayments'!$I$22)),0),0)</f>
        <v>0</v>
      </c>
      <c r="CH93" s="477">
        <f>IF('Incremental Repayments'!$R$22="Debt",IF(AND(CH$4&gt;=$D93,CH$4&lt;$D93+'Incremental Repayments'!$I$31),-PMT('Interest Rate'!$J$16,'Incremental Repayments'!$I$31,(HLOOKUP($D93,$E$4:$CZ$32,28,FALSE)*'Incremental Repayments'!$I$22)),0),0)</f>
        <v>0</v>
      </c>
      <c r="CI93" s="477">
        <f>IF('Incremental Repayments'!$R$22="Debt",IF(AND(CI$4&gt;=$D93,CI$4&lt;$D93+'Incremental Repayments'!$I$31),-PMT('Interest Rate'!$J$16,'Incremental Repayments'!$I$31,(HLOOKUP($D93,$E$4:$CZ$32,28,FALSE)*'Incremental Repayments'!$I$22)),0),0)</f>
        <v>0</v>
      </c>
      <c r="CJ93" s="477">
        <f>IF('Incremental Repayments'!$R$22="Debt",IF(AND(CJ$4&gt;=$D93,CJ$4&lt;$D93+'Incremental Repayments'!$I$31),-PMT('Interest Rate'!$J$16,'Incremental Repayments'!$I$31,(HLOOKUP($D93,$E$4:$CZ$32,28,FALSE)*'Incremental Repayments'!$I$22)),0),0)</f>
        <v>0</v>
      </c>
      <c r="CK93" s="477">
        <f>IF('Incremental Repayments'!$R$22="Debt",IF(AND(CK$4&gt;=$D93,CK$4&lt;$D93+'Incremental Repayments'!$I$31),-PMT('Interest Rate'!$J$16,'Incremental Repayments'!$I$31,(HLOOKUP($D93,$E$4:$CZ$32,28,FALSE)*'Incremental Repayments'!$I$22)),0),0)</f>
        <v>0</v>
      </c>
      <c r="CL93" s="477">
        <f>IF('Incremental Repayments'!$R$22="Debt",IF(AND(CL$4&gt;=$D93,CL$4&lt;$D93+'Incremental Repayments'!$I$31),-PMT('Interest Rate'!$J$16,'Incremental Repayments'!$I$31,(HLOOKUP($D93,$E$4:$CZ$32,28,FALSE)*'Incremental Repayments'!$I$22)),0),0)</f>
        <v>0</v>
      </c>
      <c r="CM93" s="477">
        <f>IF('Incremental Repayments'!$R$22="Debt",IF(AND(CM$4&gt;=$D93,CM$4&lt;$D93+'Incremental Repayments'!$I$31),-PMT('Interest Rate'!$J$16,'Incremental Repayments'!$I$31,(HLOOKUP($D93,$E$4:$CZ$32,28,FALSE)*'Incremental Repayments'!$I$22)),0),0)</f>
        <v>0</v>
      </c>
      <c r="CN93" s="477">
        <f>IF('Incremental Repayments'!$R$22="Debt",IF(AND(CN$4&gt;=$D93,CN$4&lt;$D93+'Incremental Repayments'!$I$31),-PMT('Interest Rate'!$J$16,'Incremental Repayments'!$I$31,(HLOOKUP($D93,$E$4:$CZ$32,28,FALSE)*'Incremental Repayments'!$I$22)),0),0)</f>
        <v>0</v>
      </c>
      <c r="CO93" s="477">
        <f>IF('Incremental Repayments'!$R$22="Debt",IF(AND(CO$4&gt;=$D93,CO$4&lt;$D93+'Incremental Repayments'!$I$31),-PMT('Interest Rate'!$J$16,'Incremental Repayments'!$I$31,(HLOOKUP($D93,$E$4:$CZ$32,28,FALSE)*'Incremental Repayments'!$I$22)),0),0)</f>
        <v>0</v>
      </c>
      <c r="CP93" s="477">
        <f>IF('Incremental Repayments'!$R$22="Debt",IF(AND(CP$4&gt;=$D93,CP$4&lt;$D93+'Incremental Repayments'!$I$31),-PMT('Interest Rate'!$J$16,'Incremental Repayments'!$I$31,(HLOOKUP($D93,$E$4:$CZ$32,28,FALSE)*'Incremental Repayments'!$I$22)),0),0)</f>
        <v>0</v>
      </c>
      <c r="CQ93" s="477">
        <f>IF('Incremental Repayments'!$R$22="Debt",IF(AND(CQ$4&gt;=$D93,CQ$4&lt;$D93+'Incremental Repayments'!$I$31),-PMT('Interest Rate'!$J$16,'Incremental Repayments'!$I$31,(HLOOKUP($D93,$E$4:$CZ$32,28,FALSE)*'Incremental Repayments'!$I$22)),0),0)</f>
        <v>0</v>
      </c>
      <c r="CR93" s="477">
        <f>IF('Incremental Repayments'!$R$22="Debt",IF(AND(CR$4&gt;=$D93,CR$4&lt;$D93+'Incremental Repayments'!$I$31),-PMT('Interest Rate'!$J$16,'Incremental Repayments'!$I$31,(HLOOKUP($D93,$E$4:$CZ$32,28,FALSE)*'Incremental Repayments'!$I$22)),0),0)</f>
        <v>0</v>
      </c>
      <c r="CS93" s="477">
        <f>IF('Incremental Repayments'!$R$22="Debt",IF(AND(CS$4&gt;=$D93,CS$4&lt;$D93+'Incremental Repayments'!$I$31),-PMT('Interest Rate'!$J$16,'Incremental Repayments'!$I$31,(HLOOKUP($D93,$E$4:$CZ$32,28,FALSE)*'Incremental Repayments'!$I$22)),0),0)</f>
        <v>0</v>
      </c>
      <c r="CT93" s="477">
        <f>IF('Incremental Repayments'!$R$22="Debt",IF(AND(CT$4&gt;=$D93,CT$4&lt;$D93+'Incremental Repayments'!$I$31),-PMT('Interest Rate'!$J$16,'Incremental Repayments'!$I$31,(HLOOKUP($D93,$E$4:$CZ$32,28,FALSE)*'Incremental Repayments'!$I$22)),0),0)</f>
        <v>0</v>
      </c>
      <c r="CU93" s="477">
        <f>IF('Incremental Repayments'!$R$22="Debt",IF(AND(CU$4&gt;=$D93,CU$4&lt;$D93+'Incremental Repayments'!$I$31),-PMT('Interest Rate'!$J$16,'Incremental Repayments'!$I$31,(HLOOKUP($D93,$E$4:$CZ$32,28,FALSE)*'Incremental Repayments'!$I$22)),0),0)</f>
        <v>0</v>
      </c>
      <c r="CV93" s="477">
        <f>IF('Incremental Repayments'!$R$22="Debt",IF(AND(CV$4&gt;=$D93,CV$4&lt;$D93+'Incremental Repayments'!$I$31),-PMT('Interest Rate'!$J$16,'Incremental Repayments'!$I$31,(HLOOKUP($D93,$E$4:$CZ$32,28,FALSE)*'Incremental Repayments'!$I$22)),0),0)</f>
        <v>0</v>
      </c>
      <c r="CW93" s="477">
        <f>IF('Incremental Repayments'!$R$22="Debt",IF(AND(CW$4&gt;=$D93,CW$4&lt;$D93+'Incremental Repayments'!$I$31),-PMT('Interest Rate'!$J$16,'Incremental Repayments'!$I$31,(HLOOKUP($D93,$E$4:$CZ$32,28,FALSE)*'Incremental Repayments'!$I$22)),0),0)</f>
        <v>0</v>
      </c>
      <c r="CX93" s="477">
        <f>IF('Incremental Repayments'!$R$22="Debt",IF(AND(CX$4&gt;=$D93,CX$4&lt;$D93+'Incremental Repayments'!$I$31),-PMT('Interest Rate'!$J$16,'Incremental Repayments'!$I$31,(HLOOKUP($D93,$E$4:$CZ$32,28,FALSE)*'Incremental Repayments'!$I$22)),0),0)</f>
        <v>0</v>
      </c>
      <c r="CY93" s="477">
        <f>IF('Incremental Repayments'!$R$22="Debt",IF(AND(CY$4&gt;=$D93,CY$4&lt;$D93+'Incremental Repayments'!$I$31),-PMT('Interest Rate'!$J$16,'Incremental Repayments'!$I$31,(HLOOKUP($D93,$E$4:$CZ$32,28,FALSE)*'Incremental Repayments'!$I$22)),0),0)</f>
        <v>0</v>
      </c>
      <c r="CZ93" s="477">
        <f>IF('Incremental Repayments'!$R$22="Debt",IF(AND(CZ$4&gt;=$D93,CZ$4&lt;$D93+'Incremental Repayments'!$I$31),-PMT('Interest Rate'!$J$16,'Incremental Repayments'!$I$31,(HLOOKUP($D93,$E$4:$CZ$32,28,FALSE)*'Incremental Repayments'!$I$22)),0),0)</f>
        <v>0</v>
      </c>
    </row>
    <row r="94" spans="2:104" x14ac:dyDescent="0.25">
      <c r="B94" s="480" t="str">
        <f>CONCATENATE("Series ",D94,"A Bonds (at ",'Interest Rate'!$J$16*100,"% Interest)")</f>
        <v>Series 2072A Bonds (at 4.5% Interest)</v>
      </c>
      <c r="C94" s="480"/>
      <c r="D94" s="492">
        <f t="shared" si="494"/>
        <v>2072</v>
      </c>
      <c r="E94" s="477">
        <f>IF('Incremental Repayments'!$R$22="Debt",IF(AND(E$4&gt;=$D94,E$4&lt;$D94+'Incremental Repayments'!$I$31),-PMT('Interest Rate'!$J$16,'Incremental Repayments'!$I$31,(HLOOKUP($D94,$E$4:$CZ$32,28,FALSE)*'Incremental Repayments'!$I$22)),0),0)</f>
        <v>0</v>
      </c>
      <c r="F94" s="477">
        <f>IF('Incremental Repayments'!$R$22="Debt",IF(AND(F$4&gt;=$D94,F$4&lt;$D94+'Incremental Repayments'!$I$31),-PMT('Interest Rate'!$J$16,'Incremental Repayments'!$I$31,(HLOOKUP($D94,$E$4:$CZ$32,28,FALSE)*'Incremental Repayments'!$I$22)),0),0)</f>
        <v>0</v>
      </c>
      <c r="G94" s="477">
        <f>IF('Incremental Repayments'!$R$22="Debt",IF(AND(G$4&gt;=$D94,G$4&lt;$D94+'Incremental Repayments'!$I$31),-PMT('Interest Rate'!$J$16,'Incremental Repayments'!$I$31,(HLOOKUP($D94,$E$4:$CZ$32,28,FALSE)*'Incremental Repayments'!$I$22)),0),0)</f>
        <v>0</v>
      </c>
      <c r="H94" s="477">
        <f>IF('Incremental Repayments'!$R$22="Debt",IF(AND(H$4&gt;=$D94,H$4&lt;$D94+'Incremental Repayments'!$I$31),-PMT('Interest Rate'!$J$16,'Incremental Repayments'!$I$31,(HLOOKUP($D94,$E$4:$CZ$32,28,FALSE)*'Incremental Repayments'!$I$22)),0),0)</f>
        <v>0</v>
      </c>
      <c r="I94" s="477">
        <f>IF('Incremental Repayments'!$R$22="Debt",IF(AND(I$4&gt;=$D94,I$4&lt;$D94+'Incremental Repayments'!$I$31),-PMT('Interest Rate'!$J$16,'Incremental Repayments'!$I$31,(HLOOKUP($D94,$E$4:$CZ$32,28,FALSE)*'Incremental Repayments'!$I$22)),0),0)</f>
        <v>0</v>
      </c>
      <c r="J94" s="477">
        <f>IF('Incremental Repayments'!$R$22="Debt",IF(AND(J$4&gt;=$D94,J$4&lt;$D94+'Incremental Repayments'!$I$31),-PMT('Interest Rate'!$J$16,'Incremental Repayments'!$I$31,(HLOOKUP($D94,$E$4:$CZ$32,28,FALSE)*'Incremental Repayments'!$I$22)),0),0)</f>
        <v>0</v>
      </c>
      <c r="K94" s="477">
        <f>IF('Incremental Repayments'!$R$22="Debt",IF(AND(K$4&gt;=$D94,K$4&lt;$D94+'Incremental Repayments'!$I$31),-PMT('Interest Rate'!$J$16,'Incremental Repayments'!$I$31,(HLOOKUP($D94,$E$4:$CZ$32,28,FALSE)*'Incremental Repayments'!$I$22)),0),0)</f>
        <v>0</v>
      </c>
      <c r="L94" s="477">
        <f>IF('Incremental Repayments'!$R$22="Debt",IF(AND(L$4&gt;=$D94,L$4&lt;$D94+'Incremental Repayments'!$I$31),-PMT('Interest Rate'!$J$16,'Incremental Repayments'!$I$31,(HLOOKUP($D94,$E$4:$CZ$32,28,FALSE)*'Incremental Repayments'!$I$22)),0),0)</f>
        <v>0</v>
      </c>
      <c r="M94" s="477">
        <f>IF('Incremental Repayments'!$R$22="Debt",IF(AND(M$4&gt;=$D94,M$4&lt;$D94+'Incremental Repayments'!$I$31),-PMT('Interest Rate'!$J$16,'Incremental Repayments'!$I$31,(HLOOKUP($D94,$E$4:$CZ$32,28,FALSE)*'Incremental Repayments'!$I$22)),0),0)</f>
        <v>0</v>
      </c>
      <c r="N94" s="477">
        <f>IF('Incremental Repayments'!$R$22="Debt",IF(AND(N$4&gt;=$D94,N$4&lt;$D94+'Incremental Repayments'!$I$31),-PMT('Interest Rate'!$J$16,'Incremental Repayments'!$I$31,(HLOOKUP($D94,$E$4:$CZ$32,28,FALSE)*'Incremental Repayments'!$I$22)),0),0)</f>
        <v>0</v>
      </c>
      <c r="O94" s="477">
        <f>IF('Incremental Repayments'!$R$22="Debt",IF(AND(O$4&gt;=$D94,O$4&lt;$D94+'Incremental Repayments'!$I$31),-PMT('Interest Rate'!$J$16,'Incremental Repayments'!$I$31,(HLOOKUP($D94,$E$4:$CZ$32,28,FALSE)*'Incremental Repayments'!$I$22)),0),0)</f>
        <v>0</v>
      </c>
      <c r="P94" s="477">
        <f>IF('Incremental Repayments'!$R$22="Debt",IF(AND(P$4&gt;=$D94,P$4&lt;$D94+'Incremental Repayments'!$I$31),-PMT('Interest Rate'!$J$16,'Incremental Repayments'!$I$31,(HLOOKUP($D94,$E$4:$CZ$32,28,FALSE)*'Incremental Repayments'!$I$22)),0),0)</f>
        <v>0</v>
      </c>
      <c r="Q94" s="477">
        <f>IF('Incremental Repayments'!$R$22="Debt",IF(AND(Q$4&gt;=$D94,Q$4&lt;$D94+'Incremental Repayments'!$I$31),-PMT('Interest Rate'!$J$16,'Incremental Repayments'!$I$31,(HLOOKUP($D94,$E$4:$CZ$32,28,FALSE)*'Incremental Repayments'!$I$22)),0),0)</f>
        <v>0</v>
      </c>
      <c r="R94" s="477">
        <f>IF('Incremental Repayments'!$R$22="Debt",IF(AND(R$4&gt;=$D94,R$4&lt;$D94+'Incremental Repayments'!$I$31),-PMT('Interest Rate'!$J$16,'Incremental Repayments'!$I$31,(HLOOKUP($D94,$E$4:$CZ$32,28,FALSE)*'Incremental Repayments'!$I$22)),0),0)</f>
        <v>0</v>
      </c>
      <c r="S94" s="477">
        <f>IF('Incremental Repayments'!$R$22="Debt",IF(AND(S$4&gt;=$D94,S$4&lt;$D94+'Incremental Repayments'!$I$31),-PMT('Interest Rate'!$J$16,'Incremental Repayments'!$I$31,(HLOOKUP($D94,$E$4:$CZ$32,28,FALSE)*'Incremental Repayments'!$I$22)),0),0)</f>
        <v>0</v>
      </c>
      <c r="T94" s="477">
        <f>IF('Incremental Repayments'!$R$22="Debt",IF(AND(T$4&gt;=$D94,T$4&lt;$D94+'Incremental Repayments'!$I$31),-PMT('Interest Rate'!$J$16,'Incremental Repayments'!$I$31,(HLOOKUP($D94,$E$4:$CZ$32,28,FALSE)*'Incremental Repayments'!$I$22)),0),0)</f>
        <v>0</v>
      </c>
      <c r="U94" s="477">
        <f>IF('Incremental Repayments'!$R$22="Debt",IF(AND(U$4&gt;=$D94,U$4&lt;$D94+'Incremental Repayments'!$I$31),-PMT('Interest Rate'!$J$16,'Incremental Repayments'!$I$31,(HLOOKUP($D94,$E$4:$CZ$32,28,FALSE)*'Incremental Repayments'!$I$22)),0),0)</f>
        <v>0</v>
      </c>
      <c r="V94" s="477">
        <f>IF('Incremental Repayments'!$R$22="Debt",IF(AND(V$4&gt;=$D94,V$4&lt;$D94+'Incremental Repayments'!$I$31),-PMT('Interest Rate'!$J$16,'Incremental Repayments'!$I$31,(HLOOKUP($D94,$E$4:$CZ$32,28,FALSE)*'Incremental Repayments'!$I$22)),0),0)</f>
        <v>0</v>
      </c>
      <c r="W94" s="477">
        <f>IF('Incremental Repayments'!$R$22="Debt",IF(AND(W$4&gt;=$D94,W$4&lt;$D94+'Incremental Repayments'!$I$31),-PMT('Interest Rate'!$J$16,'Incremental Repayments'!$I$31,(HLOOKUP($D94,$E$4:$CZ$32,28,FALSE)*'Incremental Repayments'!$I$22)),0),0)</f>
        <v>0</v>
      </c>
      <c r="X94" s="477">
        <f>IF('Incremental Repayments'!$R$22="Debt",IF(AND(X$4&gt;=$D94,X$4&lt;$D94+'Incremental Repayments'!$I$31),-PMT('Interest Rate'!$J$16,'Incremental Repayments'!$I$31,(HLOOKUP($D94,$E$4:$CZ$32,28,FALSE)*'Incremental Repayments'!$I$22)),0),0)</f>
        <v>0</v>
      </c>
      <c r="Y94" s="477">
        <f>IF('Incremental Repayments'!$R$22="Debt",IF(AND(Y$4&gt;=$D94,Y$4&lt;$D94+'Incremental Repayments'!$I$31),-PMT('Interest Rate'!$J$16,'Incremental Repayments'!$I$31,(HLOOKUP($D94,$E$4:$CZ$32,28,FALSE)*'Incremental Repayments'!$I$22)),0),0)</f>
        <v>0</v>
      </c>
      <c r="Z94" s="477">
        <f>IF('Incremental Repayments'!$R$22="Debt",IF(AND(Z$4&gt;=$D94,Z$4&lt;$D94+'Incremental Repayments'!$I$31),-PMT('Interest Rate'!$J$16,'Incremental Repayments'!$I$31,(HLOOKUP($D94,$E$4:$CZ$32,28,FALSE)*'Incremental Repayments'!$I$22)),0),0)</f>
        <v>0</v>
      </c>
      <c r="AA94" s="477">
        <f>IF('Incremental Repayments'!$R$22="Debt",IF(AND(AA$4&gt;=$D94,AA$4&lt;$D94+'Incremental Repayments'!$I$31),-PMT('Interest Rate'!$J$16,'Incremental Repayments'!$I$31,(HLOOKUP($D94,$E$4:$CZ$32,28,FALSE)*'Incremental Repayments'!$I$22)),0),0)</f>
        <v>0</v>
      </c>
      <c r="AB94" s="477">
        <f>IF('Incremental Repayments'!$R$22="Debt",IF(AND(AB$4&gt;=$D94,AB$4&lt;$D94+'Incremental Repayments'!$I$31),-PMT('Interest Rate'!$J$16,'Incremental Repayments'!$I$31,(HLOOKUP($D94,$E$4:$CZ$32,28,FALSE)*'Incremental Repayments'!$I$22)),0),0)</f>
        <v>0</v>
      </c>
      <c r="AC94" s="477">
        <f>IF('Incremental Repayments'!$R$22="Debt",IF(AND(AC$4&gt;=$D94,AC$4&lt;$D94+'Incremental Repayments'!$I$31),-PMT('Interest Rate'!$J$16,'Incremental Repayments'!$I$31,(HLOOKUP($D94,$E$4:$CZ$32,28,FALSE)*'Incremental Repayments'!$I$22)),0),0)</f>
        <v>0</v>
      </c>
      <c r="AD94" s="477">
        <f>IF('Incremental Repayments'!$R$22="Debt",IF(AND(AD$4&gt;=$D94,AD$4&lt;$D94+'Incremental Repayments'!$I$31),-PMT('Interest Rate'!$J$16,'Incremental Repayments'!$I$31,(HLOOKUP($D94,$E$4:$CZ$32,28,FALSE)*'Incremental Repayments'!$I$22)),0),0)</f>
        <v>0</v>
      </c>
      <c r="AE94" s="477">
        <f>IF('Incremental Repayments'!$R$22="Debt",IF(AND(AE$4&gt;=$D94,AE$4&lt;$D94+'Incremental Repayments'!$I$31),-PMT('Interest Rate'!$J$16,'Incremental Repayments'!$I$31,(HLOOKUP($D94,$E$4:$CZ$32,28,FALSE)*'Incremental Repayments'!$I$22)),0),0)</f>
        <v>0</v>
      </c>
      <c r="AF94" s="477">
        <f>IF('Incremental Repayments'!$R$22="Debt",IF(AND(AF$4&gt;=$D94,AF$4&lt;$D94+'Incremental Repayments'!$I$31),-PMT('Interest Rate'!$J$16,'Incremental Repayments'!$I$31,(HLOOKUP($D94,$E$4:$CZ$32,28,FALSE)*'Incremental Repayments'!$I$22)),0),0)</f>
        <v>0</v>
      </c>
      <c r="AG94" s="477">
        <f>IF('Incremental Repayments'!$R$22="Debt",IF(AND(AG$4&gt;=$D94,AG$4&lt;$D94+'Incremental Repayments'!$I$31),-PMT('Interest Rate'!$J$16,'Incremental Repayments'!$I$31,(HLOOKUP($D94,$E$4:$CZ$32,28,FALSE)*'Incremental Repayments'!$I$22)),0),0)</f>
        <v>0</v>
      </c>
      <c r="AH94" s="477">
        <f>IF('Incremental Repayments'!$R$22="Debt",IF(AND(AH$4&gt;=$D94,AH$4&lt;$D94+'Incremental Repayments'!$I$31),-PMT('Interest Rate'!$J$16,'Incremental Repayments'!$I$31,(HLOOKUP($D94,$E$4:$CZ$32,28,FALSE)*'Incremental Repayments'!$I$22)),0),0)</f>
        <v>0</v>
      </c>
      <c r="AI94" s="477">
        <f>IF('Incremental Repayments'!$R$22="Debt",IF(AND(AI$4&gt;=$D94,AI$4&lt;$D94+'Incremental Repayments'!$I$31),-PMT('Interest Rate'!$J$16,'Incremental Repayments'!$I$31,(HLOOKUP($D94,$E$4:$CZ$32,28,FALSE)*'Incremental Repayments'!$I$22)),0),0)</f>
        <v>0</v>
      </c>
      <c r="AJ94" s="477">
        <f>IF('Incremental Repayments'!$R$22="Debt",IF(AND(AJ$4&gt;=$D94,AJ$4&lt;$D94+'Incremental Repayments'!$I$31),-PMT('Interest Rate'!$J$16,'Incremental Repayments'!$I$31,(HLOOKUP($D94,$E$4:$CZ$32,28,FALSE)*'Incremental Repayments'!$I$22)),0),0)</f>
        <v>0</v>
      </c>
      <c r="AK94" s="477">
        <f>IF('Incremental Repayments'!$R$22="Debt",IF(AND(AK$4&gt;=$D94,AK$4&lt;$D94+'Incremental Repayments'!$I$31),-PMT('Interest Rate'!$J$16,'Incremental Repayments'!$I$31,(HLOOKUP($D94,$E$4:$CZ$32,28,FALSE)*'Incremental Repayments'!$I$22)),0),0)</f>
        <v>0</v>
      </c>
      <c r="AL94" s="477">
        <f>IF('Incremental Repayments'!$R$22="Debt",IF(AND(AL$4&gt;=$D94,AL$4&lt;$D94+'Incremental Repayments'!$I$31),-PMT('Interest Rate'!$J$16,'Incremental Repayments'!$I$31,(HLOOKUP($D94,$E$4:$CZ$32,28,FALSE)*'Incremental Repayments'!$I$22)),0),0)</f>
        <v>0</v>
      </c>
      <c r="AM94" s="477">
        <f>IF('Incremental Repayments'!$R$22="Debt",IF(AND(AM$4&gt;=$D94,AM$4&lt;$D94+'Incremental Repayments'!$I$31),-PMT('Interest Rate'!$J$16,'Incremental Repayments'!$I$31,(HLOOKUP($D94,$E$4:$CZ$32,28,FALSE)*'Incremental Repayments'!$I$22)),0),0)</f>
        <v>0</v>
      </c>
      <c r="AN94" s="477">
        <f>IF('Incremental Repayments'!$R$22="Debt",IF(AND(AN$4&gt;=$D94,AN$4&lt;$D94+'Incremental Repayments'!$I$31),-PMT('Interest Rate'!$J$16,'Incremental Repayments'!$I$31,(HLOOKUP($D94,$E$4:$CZ$32,28,FALSE)*'Incremental Repayments'!$I$22)),0),0)</f>
        <v>0</v>
      </c>
      <c r="AO94" s="477">
        <f>IF('Incremental Repayments'!$R$22="Debt",IF(AND(AO$4&gt;=$D94,AO$4&lt;$D94+'Incremental Repayments'!$I$31),-PMT('Interest Rate'!$J$16,'Incremental Repayments'!$I$31,(HLOOKUP($D94,$E$4:$CZ$32,28,FALSE)*'Incremental Repayments'!$I$22)),0),0)</f>
        <v>0</v>
      </c>
      <c r="AP94" s="477">
        <f>IF('Incremental Repayments'!$R$22="Debt",IF(AND(AP$4&gt;=$D94,AP$4&lt;$D94+'Incremental Repayments'!$I$31),-PMT('Interest Rate'!$J$16,'Incremental Repayments'!$I$31,(HLOOKUP($D94,$E$4:$CZ$32,28,FALSE)*'Incremental Repayments'!$I$22)),0),0)</f>
        <v>0</v>
      </c>
      <c r="AQ94" s="477">
        <f>IF('Incremental Repayments'!$R$22="Debt",IF(AND(AQ$4&gt;=$D94,AQ$4&lt;$D94+'Incremental Repayments'!$I$31),-PMT('Interest Rate'!$J$16,'Incremental Repayments'!$I$31,(HLOOKUP($D94,$E$4:$CZ$32,28,FALSE)*'Incremental Repayments'!$I$22)),0),0)</f>
        <v>0</v>
      </c>
      <c r="AR94" s="477">
        <f>IF('Incremental Repayments'!$R$22="Debt",IF(AND(AR$4&gt;=$D94,AR$4&lt;$D94+'Incremental Repayments'!$I$31),-PMT('Interest Rate'!$J$16,'Incremental Repayments'!$I$31,(HLOOKUP($D94,$E$4:$CZ$32,28,FALSE)*'Incremental Repayments'!$I$22)),0),0)</f>
        <v>0</v>
      </c>
      <c r="AS94" s="477">
        <f>IF('Incremental Repayments'!$R$22="Debt",IF(AND(AS$4&gt;=$D94,AS$4&lt;$D94+'Incremental Repayments'!$I$31),-PMT('Interest Rate'!$J$16,'Incremental Repayments'!$I$31,(HLOOKUP($D94,$E$4:$CZ$32,28,FALSE)*'Incremental Repayments'!$I$22)),0),0)</f>
        <v>0</v>
      </c>
      <c r="AT94" s="477">
        <f>IF('Incremental Repayments'!$R$22="Debt",IF(AND(AT$4&gt;=$D94,AT$4&lt;$D94+'Incremental Repayments'!$I$31),-PMT('Interest Rate'!$J$16,'Incremental Repayments'!$I$31,(HLOOKUP($D94,$E$4:$CZ$32,28,FALSE)*'Incremental Repayments'!$I$22)),0),0)</f>
        <v>0</v>
      </c>
      <c r="AU94" s="477">
        <f>IF('Incremental Repayments'!$R$22="Debt",IF(AND(AU$4&gt;=$D94,AU$4&lt;$D94+'Incremental Repayments'!$I$31),-PMT('Interest Rate'!$J$16,'Incremental Repayments'!$I$31,(HLOOKUP($D94,$E$4:$CZ$32,28,FALSE)*'Incremental Repayments'!$I$22)),0),0)</f>
        <v>0</v>
      </c>
      <c r="AV94" s="477">
        <f>IF('Incremental Repayments'!$R$22="Debt",IF(AND(AV$4&gt;=$D94,AV$4&lt;$D94+'Incremental Repayments'!$I$31),-PMT('Interest Rate'!$J$16,'Incremental Repayments'!$I$31,(HLOOKUP($D94,$E$4:$CZ$32,28,FALSE)*'Incremental Repayments'!$I$22)),0),0)</f>
        <v>0</v>
      </c>
      <c r="AW94" s="477">
        <f>IF('Incremental Repayments'!$R$22="Debt",IF(AND(AW$4&gt;=$D94,AW$4&lt;$D94+'Incremental Repayments'!$I$31),-PMT('Interest Rate'!$J$16,'Incremental Repayments'!$I$31,(HLOOKUP($D94,$E$4:$CZ$32,28,FALSE)*'Incremental Repayments'!$I$22)),0),0)</f>
        <v>0</v>
      </c>
      <c r="AX94" s="477">
        <f>IF('Incremental Repayments'!$R$22="Debt",IF(AND(AX$4&gt;=$D94,AX$4&lt;$D94+'Incremental Repayments'!$I$31),-PMT('Interest Rate'!$J$16,'Incremental Repayments'!$I$31,(HLOOKUP($D94,$E$4:$CZ$32,28,FALSE)*'Incremental Repayments'!$I$22)),0),0)</f>
        <v>0</v>
      </c>
      <c r="AY94" s="477">
        <f>IF('Incremental Repayments'!$R$22="Debt",IF(AND(AY$4&gt;=$D94,AY$4&lt;$D94+'Incremental Repayments'!$I$31),-PMT('Interest Rate'!$J$16,'Incremental Repayments'!$I$31,(HLOOKUP($D94,$E$4:$CZ$32,28,FALSE)*'Incremental Repayments'!$I$22)),0),0)</f>
        <v>0</v>
      </c>
      <c r="AZ94" s="477">
        <f>IF('Incremental Repayments'!$R$22="Debt",IF(AND(AZ$4&gt;=$D94,AZ$4&lt;$D94+'Incremental Repayments'!$I$31),-PMT('Interest Rate'!$J$16,'Incremental Repayments'!$I$31,(HLOOKUP($D94,$E$4:$CZ$32,28,FALSE)*'Incremental Repayments'!$I$22)),0),0)</f>
        <v>0</v>
      </c>
      <c r="BA94" s="477">
        <f>IF('Incremental Repayments'!$R$22="Debt",IF(AND(BA$4&gt;=$D94,BA$4&lt;$D94+'Incremental Repayments'!$I$31),-PMT('Interest Rate'!$J$16,'Incremental Repayments'!$I$31,(HLOOKUP($D94,$E$4:$CZ$32,28,FALSE)*'Incremental Repayments'!$I$22)),0),0)</f>
        <v>0</v>
      </c>
      <c r="BB94" s="477">
        <f>IF('Incremental Repayments'!$R$22="Debt",IF(AND(BB$4&gt;=$D94,BB$4&lt;$D94+'Incremental Repayments'!$I$31),-PMT('Interest Rate'!$J$16,'Incremental Repayments'!$I$31,(HLOOKUP($D94,$E$4:$CZ$32,28,FALSE)*'Incremental Repayments'!$I$22)),0),0)</f>
        <v>0</v>
      </c>
      <c r="BC94" s="477">
        <f>IF('Incremental Repayments'!$R$22="Debt",IF(AND(BC$4&gt;=$D94,BC$4&lt;$D94+'Incremental Repayments'!$I$31),-PMT('Interest Rate'!$J$16,'Incremental Repayments'!$I$31,(HLOOKUP($D94,$E$4:$CZ$32,28,FALSE)*'Incremental Repayments'!$I$22)),0),0)</f>
        <v>0</v>
      </c>
      <c r="BD94" s="477">
        <f>IF('Incremental Repayments'!$R$22="Debt",IF(AND(BD$4&gt;=$D94,BD$4&lt;$D94+'Incremental Repayments'!$I$31),-PMT('Interest Rate'!$J$16,'Incremental Repayments'!$I$31,(HLOOKUP($D94,$E$4:$CZ$32,28,FALSE)*'Incremental Repayments'!$I$22)),0),0)</f>
        <v>0</v>
      </c>
      <c r="BE94" s="477">
        <f>IF('Incremental Repayments'!$R$22="Debt",IF(AND(BE$4&gt;=$D94,BE$4&lt;$D94+'Incremental Repayments'!$I$31),-PMT('Interest Rate'!$J$16,'Incremental Repayments'!$I$31,(HLOOKUP($D94,$E$4:$CZ$32,28,FALSE)*'Incremental Repayments'!$I$22)),0),0)</f>
        <v>0</v>
      </c>
      <c r="BF94" s="477">
        <f>IF('Incremental Repayments'!$R$22="Debt",IF(AND(BF$4&gt;=$D94,BF$4&lt;$D94+'Incremental Repayments'!$I$31),-PMT('Interest Rate'!$J$16,'Incremental Repayments'!$I$31,(HLOOKUP($D94,$E$4:$CZ$32,28,FALSE)*'Incremental Repayments'!$I$22)),0),0)</f>
        <v>0</v>
      </c>
      <c r="BG94" s="477">
        <f>IF('Incremental Repayments'!$R$22="Debt",IF(AND(BG$4&gt;=$D94,BG$4&lt;$D94+'Incremental Repayments'!$I$31),-PMT('Interest Rate'!$J$16,'Incremental Repayments'!$I$31,(HLOOKUP($D94,$E$4:$CZ$32,28,FALSE)*'Incremental Repayments'!$I$22)),0),0)</f>
        <v>0</v>
      </c>
      <c r="BH94" s="477">
        <f>IF('Incremental Repayments'!$R$22="Debt",IF(AND(BH$4&gt;=$D94,BH$4&lt;$D94+'Incremental Repayments'!$I$31),-PMT('Interest Rate'!$J$16,'Incremental Repayments'!$I$31,(HLOOKUP($D94,$E$4:$CZ$32,28,FALSE)*'Incremental Repayments'!$I$22)),0),0)</f>
        <v>0</v>
      </c>
      <c r="BI94" s="477">
        <f>IF('Incremental Repayments'!$R$22="Debt",IF(AND(BI$4&gt;=$D94,BI$4&lt;$D94+'Incremental Repayments'!$I$31),-PMT('Interest Rate'!$J$16,'Incremental Repayments'!$I$31,(HLOOKUP($D94,$E$4:$CZ$32,28,FALSE)*'Incremental Repayments'!$I$22)),0),0)</f>
        <v>0</v>
      </c>
      <c r="BJ94" s="477">
        <f>IF('Incremental Repayments'!$R$22="Debt",IF(AND(BJ$4&gt;=$D94,BJ$4&lt;$D94+'Incremental Repayments'!$I$31),-PMT('Interest Rate'!$J$16,'Incremental Repayments'!$I$31,(HLOOKUP($D94,$E$4:$CZ$32,28,FALSE)*'Incremental Repayments'!$I$22)),0),0)</f>
        <v>0</v>
      </c>
      <c r="BK94" s="477">
        <f>IF('Incremental Repayments'!$R$22="Debt",IF(AND(BK$4&gt;=$D94,BK$4&lt;$D94+'Incremental Repayments'!$I$31),-PMT('Interest Rate'!$J$16,'Incremental Repayments'!$I$31,(HLOOKUP($D94,$E$4:$CZ$32,28,FALSE)*'Incremental Repayments'!$I$22)),0),0)</f>
        <v>0</v>
      </c>
      <c r="BL94" s="477">
        <f>IF('Incremental Repayments'!$R$22="Debt",IF(AND(BL$4&gt;=$D94,BL$4&lt;$D94+'Incremental Repayments'!$I$31),-PMT('Interest Rate'!$J$16,'Incremental Repayments'!$I$31,(HLOOKUP($D94,$E$4:$CZ$32,28,FALSE)*'Incremental Repayments'!$I$22)),0),0)</f>
        <v>0</v>
      </c>
      <c r="BM94" s="477">
        <f>IF('Incremental Repayments'!$R$22="Debt",IF(AND(BM$4&gt;=$D94,BM$4&lt;$D94+'Incremental Repayments'!$I$31),-PMT('Interest Rate'!$J$16,'Incremental Repayments'!$I$31,(HLOOKUP($D94,$E$4:$CZ$32,28,FALSE)*'Incremental Repayments'!$I$22)),0),0)</f>
        <v>0</v>
      </c>
      <c r="BN94" s="477">
        <f>IF('Incremental Repayments'!$R$22="Debt",IF(AND(BN$4&gt;=$D94,BN$4&lt;$D94+'Incremental Repayments'!$I$31),-PMT('Interest Rate'!$J$16,'Incremental Repayments'!$I$31,(HLOOKUP($D94,$E$4:$CZ$32,28,FALSE)*'Incremental Repayments'!$I$22)),0),0)</f>
        <v>0</v>
      </c>
      <c r="BO94" s="477">
        <f>IF('Incremental Repayments'!$R$22="Debt",IF(AND(BO$4&gt;=$D94,BO$4&lt;$D94+'Incremental Repayments'!$I$31),-PMT('Interest Rate'!$J$16,'Incremental Repayments'!$I$31,(HLOOKUP($D94,$E$4:$CZ$32,28,FALSE)*'Incremental Repayments'!$I$22)),0),0)</f>
        <v>0</v>
      </c>
      <c r="BP94" s="477">
        <f>IF('Incremental Repayments'!$R$22="Debt",IF(AND(BP$4&gt;=$D94,BP$4&lt;$D94+'Incremental Repayments'!$I$31),-PMT('Interest Rate'!$J$16,'Incremental Repayments'!$I$31,(HLOOKUP($D94,$E$4:$CZ$32,28,FALSE)*'Incremental Repayments'!$I$22)),0),0)</f>
        <v>0</v>
      </c>
      <c r="BQ94" s="477">
        <f>IF('Incremental Repayments'!$R$22="Debt",IF(AND(BQ$4&gt;=$D94,BQ$4&lt;$D94+'Incremental Repayments'!$I$31),-PMT('Interest Rate'!$J$16,'Incremental Repayments'!$I$31,(HLOOKUP($D94,$E$4:$CZ$32,28,FALSE)*'Incremental Repayments'!$I$22)),0),0)</f>
        <v>0</v>
      </c>
      <c r="BR94" s="477">
        <f>IF('Incremental Repayments'!$R$22="Debt",IF(AND(BR$4&gt;=$D94,BR$4&lt;$D94+'Incremental Repayments'!$I$31),-PMT('Interest Rate'!$J$16,'Incremental Repayments'!$I$31,(HLOOKUP($D94,$E$4:$CZ$32,28,FALSE)*'Incremental Repayments'!$I$22)),0),0)</f>
        <v>0</v>
      </c>
      <c r="BS94" s="477">
        <f>IF('Incremental Repayments'!$R$22="Debt",IF(AND(BS$4&gt;=$D94,BS$4&lt;$D94+'Incremental Repayments'!$I$31),-PMT('Interest Rate'!$J$16,'Incremental Repayments'!$I$31,(HLOOKUP($D94,$E$4:$CZ$32,28,FALSE)*'Incremental Repayments'!$I$22)),0),0)</f>
        <v>0</v>
      </c>
      <c r="BT94" s="477">
        <f>IF('Incremental Repayments'!$R$22="Debt",IF(AND(BT$4&gt;=$D94,BT$4&lt;$D94+'Incremental Repayments'!$I$31),-PMT('Interest Rate'!$J$16,'Incremental Repayments'!$I$31,(HLOOKUP($D94,$E$4:$CZ$32,28,FALSE)*'Incremental Repayments'!$I$22)),0),0)</f>
        <v>0</v>
      </c>
      <c r="BU94" s="477">
        <f>IF('Incremental Repayments'!$R$22="Debt",IF(AND(BU$4&gt;=$D94,BU$4&lt;$D94+'Incremental Repayments'!$I$31),-PMT('Interest Rate'!$J$16,'Incremental Repayments'!$I$31,(HLOOKUP($D94,$E$4:$CZ$32,28,FALSE)*'Incremental Repayments'!$I$22)),0),0)</f>
        <v>0</v>
      </c>
      <c r="BV94" s="477">
        <f>IF('Incremental Repayments'!$R$22="Debt",IF(AND(BV$4&gt;=$D94,BV$4&lt;$D94+'Incremental Repayments'!$I$31),-PMT('Interest Rate'!$J$16,'Incremental Repayments'!$I$31,(HLOOKUP($D94,$E$4:$CZ$32,28,FALSE)*'Incremental Repayments'!$I$22)),0),0)</f>
        <v>0</v>
      </c>
      <c r="BW94" s="477">
        <f>IF('Incremental Repayments'!$R$22="Debt",IF(AND(BW$4&gt;=$D94,BW$4&lt;$D94+'Incremental Repayments'!$I$31),-PMT('Interest Rate'!$J$16,'Incremental Repayments'!$I$31,(HLOOKUP($D94,$E$4:$CZ$32,28,FALSE)*'Incremental Repayments'!$I$22)),0),0)</f>
        <v>0</v>
      </c>
      <c r="BX94" s="477">
        <f>IF('Incremental Repayments'!$R$22="Debt",IF(AND(BX$4&gt;=$D94,BX$4&lt;$D94+'Incremental Repayments'!$I$31),-PMT('Interest Rate'!$J$16,'Incremental Repayments'!$I$31,(HLOOKUP($D94,$E$4:$CZ$32,28,FALSE)*'Incremental Repayments'!$I$22)),0),0)</f>
        <v>0</v>
      </c>
      <c r="BY94" s="477">
        <f>IF('Incremental Repayments'!$R$22="Debt",IF(AND(BY$4&gt;=$D94,BY$4&lt;$D94+'Incremental Repayments'!$I$31),-PMT('Interest Rate'!$J$16,'Incremental Repayments'!$I$31,(HLOOKUP($D94,$E$4:$CZ$32,28,FALSE)*'Incremental Repayments'!$I$22)),0),0)</f>
        <v>0</v>
      </c>
      <c r="BZ94" s="477">
        <f>IF('Incremental Repayments'!$R$22="Debt",IF(AND(BZ$4&gt;=$D94,BZ$4&lt;$D94+'Incremental Repayments'!$I$31),-PMT('Interest Rate'!$J$16,'Incremental Repayments'!$I$31,(HLOOKUP($D94,$E$4:$CZ$32,28,FALSE)*'Incremental Repayments'!$I$22)),0),0)</f>
        <v>0</v>
      </c>
      <c r="CA94" s="477">
        <f>IF('Incremental Repayments'!$R$22="Debt",IF(AND(CA$4&gt;=$D94,CA$4&lt;$D94+'Incremental Repayments'!$I$31),-PMT('Interest Rate'!$J$16,'Incremental Repayments'!$I$31,(HLOOKUP($D94,$E$4:$CZ$32,28,FALSE)*'Incremental Repayments'!$I$22)),0),0)</f>
        <v>0</v>
      </c>
      <c r="CB94" s="477">
        <f>IF('Incremental Repayments'!$R$22="Debt",IF(AND(CB$4&gt;=$D94,CB$4&lt;$D94+'Incremental Repayments'!$I$31),-PMT('Interest Rate'!$J$16,'Incremental Repayments'!$I$31,(HLOOKUP($D94,$E$4:$CZ$32,28,FALSE)*'Incremental Repayments'!$I$22)),0),0)</f>
        <v>0</v>
      </c>
      <c r="CC94" s="477">
        <f>IF('Incremental Repayments'!$R$22="Debt",IF(AND(CC$4&gt;=$D94,CC$4&lt;$D94+'Incremental Repayments'!$I$31),-PMT('Interest Rate'!$J$16,'Incremental Repayments'!$I$31,(HLOOKUP($D94,$E$4:$CZ$32,28,FALSE)*'Incremental Repayments'!$I$22)),0),0)</f>
        <v>0</v>
      </c>
      <c r="CD94" s="477">
        <f>IF('Incremental Repayments'!$R$22="Debt",IF(AND(CD$4&gt;=$D94,CD$4&lt;$D94+'Incremental Repayments'!$I$31),-PMT('Interest Rate'!$J$16,'Incremental Repayments'!$I$31,(HLOOKUP($D94,$E$4:$CZ$32,28,FALSE)*'Incremental Repayments'!$I$22)),0),0)</f>
        <v>0</v>
      </c>
      <c r="CE94" s="477">
        <f>IF('Incremental Repayments'!$R$22="Debt",IF(AND(CE$4&gt;=$D94,CE$4&lt;$D94+'Incremental Repayments'!$I$31),-PMT('Interest Rate'!$J$16,'Incremental Repayments'!$I$31,(HLOOKUP($D94,$E$4:$CZ$32,28,FALSE)*'Incremental Repayments'!$I$22)),0),0)</f>
        <v>0</v>
      </c>
      <c r="CF94" s="477">
        <f>IF('Incremental Repayments'!$R$22="Debt",IF(AND(CF$4&gt;=$D94,CF$4&lt;$D94+'Incremental Repayments'!$I$31),-PMT('Interest Rate'!$J$16,'Incremental Repayments'!$I$31,(HLOOKUP($D94,$E$4:$CZ$32,28,FALSE)*'Incremental Repayments'!$I$22)),0),0)</f>
        <v>0</v>
      </c>
      <c r="CG94" s="477">
        <f>IF('Incremental Repayments'!$R$22="Debt",IF(AND(CG$4&gt;=$D94,CG$4&lt;$D94+'Incremental Repayments'!$I$31),-PMT('Interest Rate'!$J$16,'Incremental Repayments'!$I$31,(HLOOKUP($D94,$E$4:$CZ$32,28,FALSE)*'Incremental Repayments'!$I$22)),0),0)</f>
        <v>0</v>
      </c>
      <c r="CH94" s="477">
        <f>IF('Incremental Repayments'!$R$22="Debt",IF(AND(CH$4&gt;=$D94,CH$4&lt;$D94+'Incremental Repayments'!$I$31),-PMT('Interest Rate'!$J$16,'Incremental Repayments'!$I$31,(HLOOKUP($D94,$E$4:$CZ$32,28,FALSE)*'Incremental Repayments'!$I$22)),0),0)</f>
        <v>0</v>
      </c>
      <c r="CI94" s="477">
        <f>IF('Incremental Repayments'!$R$22="Debt",IF(AND(CI$4&gt;=$D94,CI$4&lt;$D94+'Incremental Repayments'!$I$31),-PMT('Interest Rate'!$J$16,'Incremental Repayments'!$I$31,(HLOOKUP($D94,$E$4:$CZ$32,28,FALSE)*'Incremental Repayments'!$I$22)),0),0)</f>
        <v>0</v>
      </c>
      <c r="CJ94" s="477">
        <f>IF('Incremental Repayments'!$R$22="Debt",IF(AND(CJ$4&gt;=$D94,CJ$4&lt;$D94+'Incremental Repayments'!$I$31),-PMT('Interest Rate'!$J$16,'Incremental Repayments'!$I$31,(HLOOKUP($D94,$E$4:$CZ$32,28,FALSE)*'Incremental Repayments'!$I$22)),0),0)</f>
        <v>0</v>
      </c>
      <c r="CK94" s="477">
        <f>IF('Incremental Repayments'!$R$22="Debt",IF(AND(CK$4&gt;=$D94,CK$4&lt;$D94+'Incremental Repayments'!$I$31),-PMT('Interest Rate'!$J$16,'Incremental Repayments'!$I$31,(HLOOKUP($D94,$E$4:$CZ$32,28,FALSE)*'Incremental Repayments'!$I$22)),0),0)</f>
        <v>0</v>
      </c>
      <c r="CL94" s="477">
        <f>IF('Incremental Repayments'!$R$22="Debt",IF(AND(CL$4&gt;=$D94,CL$4&lt;$D94+'Incremental Repayments'!$I$31),-PMT('Interest Rate'!$J$16,'Incremental Repayments'!$I$31,(HLOOKUP($D94,$E$4:$CZ$32,28,FALSE)*'Incremental Repayments'!$I$22)),0),0)</f>
        <v>0</v>
      </c>
      <c r="CM94" s="477">
        <f>IF('Incremental Repayments'!$R$22="Debt",IF(AND(CM$4&gt;=$D94,CM$4&lt;$D94+'Incremental Repayments'!$I$31),-PMT('Interest Rate'!$J$16,'Incremental Repayments'!$I$31,(HLOOKUP($D94,$E$4:$CZ$32,28,FALSE)*'Incremental Repayments'!$I$22)),0),0)</f>
        <v>0</v>
      </c>
      <c r="CN94" s="477">
        <f>IF('Incremental Repayments'!$R$22="Debt",IF(AND(CN$4&gt;=$D94,CN$4&lt;$D94+'Incremental Repayments'!$I$31),-PMT('Interest Rate'!$J$16,'Incremental Repayments'!$I$31,(HLOOKUP($D94,$E$4:$CZ$32,28,FALSE)*'Incremental Repayments'!$I$22)),0),0)</f>
        <v>0</v>
      </c>
      <c r="CO94" s="477">
        <f>IF('Incremental Repayments'!$R$22="Debt",IF(AND(CO$4&gt;=$D94,CO$4&lt;$D94+'Incremental Repayments'!$I$31),-PMT('Interest Rate'!$J$16,'Incremental Repayments'!$I$31,(HLOOKUP($D94,$E$4:$CZ$32,28,FALSE)*'Incremental Repayments'!$I$22)),0),0)</f>
        <v>0</v>
      </c>
      <c r="CP94" s="477">
        <f>IF('Incremental Repayments'!$R$22="Debt",IF(AND(CP$4&gt;=$D94,CP$4&lt;$D94+'Incremental Repayments'!$I$31),-PMT('Interest Rate'!$J$16,'Incremental Repayments'!$I$31,(HLOOKUP($D94,$E$4:$CZ$32,28,FALSE)*'Incremental Repayments'!$I$22)),0),0)</f>
        <v>0</v>
      </c>
      <c r="CQ94" s="477">
        <f>IF('Incremental Repayments'!$R$22="Debt",IF(AND(CQ$4&gt;=$D94,CQ$4&lt;$D94+'Incremental Repayments'!$I$31),-PMT('Interest Rate'!$J$16,'Incremental Repayments'!$I$31,(HLOOKUP($D94,$E$4:$CZ$32,28,FALSE)*'Incremental Repayments'!$I$22)),0),0)</f>
        <v>0</v>
      </c>
      <c r="CR94" s="477">
        <f>IF('Incremental Repayments'!$R$22="Debt",IF(AND(CR$4&gt;=$D94,CR$4&lt;$D94+'Incremental Repayments'!$I$31),-PMT('Interest Rate'!$J$16,'Incremental Repayments'!$I$31,(HLOOKUP($D94,$E$4:$CZ$32,28,FALSE)*'Incremental Repayments'!$I$22)),0),0)</f>
        <v>0</v>
      </c>
      <c r="CS94" s="477">
        <f>IF('Incremental Repayments'!$R$22="Debt",IF(AND(CS$4&gt;=$D94,CS$4&lt;$D94+'Incremental Repayments'!$I$31),-PMT('Interest Rate'!$J$16,'Incremental Repayments'!$I$31,(HLOOKUP($D94,$E$4:$CZ$32,28,FALSE)*'Incremental Repayments'!$I$22)),0),0)</f>
        <v>0</v>
      </c>
      <c r="CT94" s="477">
        <f>IF('Incremental Repayments'!$R$22="Debt",IF(AND(CT$4&gt;=$D94,CT$4&lt;$D94+'Incremental Repayments'!$I$31),-PMT('Interest Rate'!$J$16,'Incremental Repayments'!$I$31,(HLOOKUP($D94,$E$4:$CZ$32,28,FALSE)*'Incremental Repayments'!$I$22)),0),0)</f>
        <v>0</v>
      </c>
      <c r="CU94" s="477">
        <f>IF('Incremental Repayments'!$R$22="Debt",IF(AND(CU$4&gt;=$D94,CU$4&lt;$D94+'Incremental Repayments'!$I$31),-PMT('Interest Rate'!$J$16,'Incremental Repayments'!$I$31,(HLOOKUP($D94,$E$4:$CZ$32,28,FALSE)*'Incremental Repayments'!$I$22)),0),0)</f>
        <v>0</v>
      </c>
      <c r="CV94" s="477">
        <f>IF('Incremental Repayments'!$R$22="Debt",IF(AND(CV$4&gt;=$D94,CV$4&lt;$D94+'Incremental Repayments'!$I$31),-PMT('Interest Rate'!$J$16,'Incremental Repayments'!$I$31,(HLOOKUP($D94,$E$4:$CZ$32,28,FALSE)*'Incremental Repayments'!$I$22)),0),0)</f>
        <v>0</v>
      </c>
      <c r="CW94" s="477">
        <f>IF('Incremental Repayments'!$R$22="Debt",IF(AND(CW$4&gt;=$D94,CW$4&lt;$D94+'Incremental Repayments'!$I$31),-PMT('Interest Rate'!$J$16,'Incremental Repayments'!$I$31,(HLOOKUP($D94,$E$4:$CZ$32,28,FALSE)*'Incremental Repayments'!$I$22)),0),0)</f>
        <v>0</v>
      </c>
      <c r="CX94" s="477">
        <f>IF('Incremental Repayments'!$R$22="Debt",IF(AND(CX$4&gt;=$D94,CX$4&lt;$D94+'Incremental Repayments'!$I$31),-PMT('Interest Rate'!$J$16,'Incremental Repayments'!$I$31,(HLOOKUP($D94,$E$4:$CZ$32,28,FALSE)*'Incremental Repayments'!$I$22)),0),0)</f>
        <v>0</v>
      </c>
      <c r="CY94" s="477">
        <f>IF('Incremental Repayments'!$R$22="Debt",IF(AND(CY$4&gt;=$D94,CY$4&lt;$D94+'Incremental Repayments'!$I$31),-PMT('Interest Rate'!$J$16,'Incremental Repayments'!$I$31,(HLOOKUP($D94,$E$4:$CZ$32,28,FALSE)*'Incremental Repayments'!$I$22)),0),0)</f>
        <v>0</v>
      </c>
      <c r="CZ94" s="477">
        <f>IF('Incremental Repayments'!$R$22="Debt",IF(AND(CZ$4&gt;=$D94,CZ$4&lt;$D94+'Incremental Repayments'!$I$31),-PMT('Interest Rate'!$J$16,'Incremental Repayments'!$I$31,(HLOOKUP($D94,$E$4:$CZ$32,28,FALSE)*'Incremental Repayments'!$I$22)),0),0)</f>
        <v>0</v>
      </c>
    </row>
    <row r="95" spans="2:104" x14ac:dyDescent="0.25">
      <c r="B95" s="480" t="str">
        <f>CONCATENATE("Series ",D95,"A Bonds (at ",'Interest Rate'!$J$16*100,"% Interest)")</f>
        <v>Series 2073A Bonds (at 4.5% Interest)</v>
      </c>
      <c r="C95" s="480"/>
      <c r="D95" s="492">
        <f t="shared" si="494"/>
        <v>2073</v>
      </c>
      <c r="E95" s="477">
        <f>IF('Incremental Repayments'!$R$22="Debt",IF(AND(E$4&gt;=$D95,E$4&lt;$D95+'Incremental Repayments'!$I$31),-PMT('Interest Rate'!$J$16,'Incremental Repayments'!$I$31,(HLOOKUP($D95,$E$4:$CZ$32,28,FALSE)*'Incremental Repayments'!$I$22)),0),0)</f>
        <v>0</v>
      </c>
      <c r="F95" s="477">
        <f>IF('Incremental Repayments'!$R$22="Debt",IF(AND(F$4&gt;=$D95,F$4&lt;$D95+'Incremental Repayments'!$I$31),-PMT('Interest Rate'!$J$16,'Incremental Repayments'!$I$31,(HLOOKUP($D95,$E$4:$CZ$32,28,FALSE)*'Incremental Repayments'!$I$22)),0),0)</f>
        <v>0</v>
      </c>
      <c r="G95" s="477">
        <f>IF('Incremental Repayments'!$R$22="Debt",IF(AND(G$4&gt;=$D95,G$4&lt;$D95+'Incremental Repayments'!$I$31),-PMT('Interest Rate'!$J$16,'Incremental Repayments'!$I$31,(HLOOKUP($D95,$E$4:$CZ$32,28,FALSE)*'Incremental Repayments'!$I$22)),0),0)</f>
        <v>0</v>
      </c>
      <c r="H95" s="477">
        <f>IF('Incremental Repayments'!$R$22="Debt",IF(AND(H$4&gt;=$D95,H$4&lt;$D95+'Incremental Repayments'!$I$31),-PMT('Interest Rate'!$J$16,'Incremental Repayments'!$I$31,(HLOOKUP($D95,$E$4:$CZ$32,28,FALSE)*'Incremental Repayments'!$I$22)),0),0)</f>
        <v>0</v>
      </c>
      <c r="I95" s="477">
        <f>IF('Incremental Repayments'!$R$22="Debt",IF(AND(I$4&gt;=$D95,I$4&lt;$D95+'Incremental Repayments'!$I$31),-PMT('Interest Rate'!$J$16,'Incremental Repayments'!$I$31,(HLOOKUP($D95,$E$4:$CZ$32,28,FALSE)*'Incremental Repayments'!$I$22)),0),0)</f>
        <v>0</v>
      </c>
      <c r="J95" s="477">
        <f>IF('Incremental Repayments'!$R$22="Debt",IF(AND(J$4&gt;=$D95,J$4&lt;$D95+'Incremental Repayments'!$I$31),-PMT('Interest Rate'!$J$16,'Incremental Repayments'!$I$31,(HLOOKUP($D95,$E$4:$CZ$32,28,FALSE)*'Incremental Repayments'!$I$22)),0),0)</f>
        <v>0</v>
      </c>
      <c r="K95" s="477">
        <f>IF('Incremental Repayments'!$R$22="Debt",IF(AND(K$4&gt;=$D95,K$4&lt;$D95+'Incremental Repayments'!$I$31),-PMT('Interest Rate'!$J$16,'Incremental Repayments'!$I$31,(HLOOKUP($D95,$E$4:$CZ$32,28,FALSE)*'Incremental Repayments'!$I$22)),0),0)</f>
        <v>0</v>
      </c>
      <c r="L95" s="477">
        <f>IF('Incremental Repayments'!$R$22="Debt",IF(AND(L$4&gt;=$D95,L$4&lt;$D95+'Incremental Repayments'!$I$31),-PMT('Interest Rate'!$J$16,'Incremental Repayments'!$I$31,(HLOOKUP($D95,$E$4:$CZ$32,28,FALSE)*'Incremental Repayments'!$I$22)),0),0)</f>
        <v>0</v>
      </c>
      <c r="M95" s="477">
        <f>IF('Incremental Repayments'!$R$22="Debt",IF(AND(M$4&gt;=$D95,M$4&lt;$D95+'Incremental Repayments'!$I$31),-PMT('Interest Rate'!$J$16,'Incremental Repayments'!$I$31,(HLOOKUP($D95,$E$4:$CZ$32,28,FALSE)*'Incremental Repayments'!$I$22)),0),0)</f>
        <v>0</v>
      </c>
      <c r="N95" s="477">
        <f>IF('Incremental Repayments'!$R$22="Debt",IF(AND(N$4&gt;=$D95,N$4&lt;$D95+'Incremental Repayments'!$I$31),-PMT('Interest Rate'!$J$16,'Incremental Repayments'!$I$31,(HLOOKUP($D95,$E$4:$CZ$32,28,FALSE)*'Incremental Repayments'!$I$22)),0),0)</f>
        <v>0</v>
      </c>
      <c r="O95" s="477">
        <f>IF('Incremental Repayments'!$R$22="Debt",IF(AND(O$4&gt;=$D95,O$4&lt;$D95+'Incremental Repayments'!$I$31),-PMT('Interest Rate'!$J$16,'Incremental Repayments'!$I$31,(HLOOKUP($D95,$E$4:$CZ$32,28,FALSE)*'Incremental Repayments'!$I$22)),0),0)</f>
        <v>0</v>
      </c>
      <c r="P95" s="477">
        <f>IF('Incremental Repayments'!$R$22="Debt",IF(AND(P$4&gt;=$D95,P$4&lt;$D95+'Incremental Repayments'!$I$31),-PMT('Interest Rate'!$J$16,'Incremental Repayments'!$I$31,(HLOOKUP($D95,$E$4:$CZ$32,28,FALSE)*'Incremental Repayments'!$I$22)),0),0)</f>
        <v>0</v>
      </c>
      <c r="Q95" s="477">
        <f>IF('Incremental Repayments'!$R$22="Debt",IF(AND(Q$4&gt;=$D95,Q$4&lt;$D95+'Incremental Repayments'!$I$31),-PMT('Interest Rate'!$J$16,'Incremental Repayments'!$I$31,(HLOOKUP($D95,$E$4:$CZ$32,28,FALSE)*'Incremental Repayments'!$I$22)),0),0)</f>
        <v>0</v>
      </c>
      <c r="R95" s="477">
        <f>IF('Incremental Repayments'!$R$22="Debt",IF(AND(R$4&gt;=$D95,R$4&lt;$D95+'Incremental Repayments'!$I$31),-PMT('Interest Rate'!$J$16,'Incremental Repayments'!$I$31,(HLOOKUP($D95,$E$4:$CZ$32,28,FALSE)*'Incremental Repayments'!$I$22)),0),0)</f>
        <v>0</v>
      </c>
      <c r="S95" s="477">
        <f>IF('Incremental Repayments'!$R$22="Debt",IF(AND(S$4&gt;=$D95,S$4&lt;$D95+'Incremental Repayments'!$I$31),-PMT('Interest Rate'!$J$16,'Incremental Repayments'!$I$31,(HLOOKUP($D95,$E$4:$CZ$32,28,FALSE)*'Incremental Repayments'!$I$22)),0),0)</f>
        <v>0</v>
      </c>
      <c r="T95" s="477">
        <f>IF('Incremental Repayments'!$R$22="Debt",IF(AND(T$4&gt;=$D95,T$4&lt;$D95+'Incremental Repayments'!$I$31),-PMT('Interest Rate'!$J$16,'Incremental Repayments'!$I$31,(HLOOKUP($D95,$E$4:$CZ$32,28,FALSE)*'Incremental Repayments'!$I$22)),0),0)</f>
        <v>0</v>
      </c>
      <c r="U95" s="477">
        <f>IF('Incremental Repayments'!$R$22="Debt",IF(AND(U$4&gt;=$D95,U$4&lt;$D95+'Incremental Repayments'!$I$31),-PMT('Interest Rate'!$J$16,'Incremental Repayments'!$I$31,(HLOOKUP($D95,$E$4:$CZ$32,28,FALSE)*'Incremental Repayments'!$I$22)),0),0)</f>
        <v>0</v>
      </c>
      <c r="V95" s="477">
        <f>IF('Incremental Repayments'!$R$22="Debt",IF(AND(V$4&gt;=$D95,V$4&lt;$D95+'Incremental Repayments'!$I$31),-PMT('Interest Rate'!$J$16,'Incremental Repayments'!$I$31,(HLOOKUP($D95,$E$4:$CZ$32,28,FALSE)*'Incremental Repayments'!$I$22)),0),0)</f>
        <v>0</v>
      </c>
      <c r="W95" s="477">
        <f>IF('Incremental Repayments'!$R$22="Debt",IF(AND(W$4&gt;=$D95,W$4&lt;$D95+'Incremental Repayments'!$I$31),-PMT('Interest Rate'!$J$16,'Incremental Repayments'!$I$31,(HLOOKUP($D95,$E$4:$CZ$32,28,FALSE)*'Incremental Repayments'!$I$22)),0),0)</f>
        <v>0</v>
      </c>
      <c r="X95" s="477">
        <f>IF('Incremental Repayments'!$R$22="Debt",IF(AND(X$4&gt;=$D95,X$4&lt;$D95+'Incremental Repayments'!$I$31),-PMT('Interest Rate'!$J$16,'Incremental Repayments'!$I$31,(HLOOKUP($D95,$E$4:$CZ$32,28,FALSE)*'Incremental Repayments'!$I$22)),0),0)</f>
        <v>0</v>
      </c>
      <c r="Y95" s="477">
        <f>IF('Incremental Repayments'!$R$22="Debt",IF(AND(Y$4&gt;=$D95,Y$4&lt;$D95+'Incremental Repayments'!$I$31),-PMT('Interest Rate'!$J$16,'Incremental Repayments'!$I$31,(HLOOKUP($D95,$E$4:$CZ$32,28,FALSE)*'Incremental Repayments'!$I$22)),0),0)</f>
        <v>0</v>
      </c>
      <c r="Z95" s="477">
        <f>IF('Incremental Repayments'!$R$22="Debt",IF(AND(Z$4&gt;=$D95,Z$4&lt;$D95+'Incremental Repayments'!$I$31),-PMT('Interest Rate'!$J$16,'Incremental Repayments'!$I$31,(HLOOKUP($D95,$E$4:$CZ$32,28,FALSE)*'Incremental Repayments'!$I$22)),0),0)</f>
        <v>0</v>
      </c>
      <c r="AA95" s="477">
        <f>IF('Incremental Repayments'!$R$22="Debt",IF(AND(AA$4&gt;=$D95,AA$4&lt;$D95+'Incremental Repayments'!$I$31),-PMT('Interest Rate'!$J$16,'Incremental Repayments'!$I$31,(HLOOKUP($D95,$E$4:$CZ$32,28,FALSE)*'Incremental Repayments'!$I$22)),0),0)</f>
        <v>0</v>
      </c>
      <c r="AB95" s="477">
        <f>IF('Incremental Repayments'!$R$22="Debt",IF(AND(AB$4&gt;=$D95,AB$4&lt;$D95+'Incremental Repayments'!$I$31),-PMT('Interest Rate'!$J$16,'Incremental Repayments'!$I$31,(HLOOKUP($D95,$E$4:$CZ$32,28,FALSE)*'Incremental Repayments'!$I$22)),0),0)</f>
        <v>0</v>
      </c>
      <c r="AC95" s="477">
        <f>IF('Incremental Repayments'!$R$22="Debt",IF(AND(AC$4&gt;=$D95,AC$4&lt;$D95+'Incremental Repayments'!$I$31),-PMT('Interest Rate'!$J$16,'Incremental Repayments'!$I$31,(HLOOKUP($D95,$E$4:$CZ$32,28,FALSE)*'Incremental Repayments'!$I$22)),0),0)</f>
        <v>0</v>
      </c>
      <c r="AD95" s="477">
        <f>IF('Incremental Repayments'!$R$22="Debt",IF(AND(AD$4&gt;=$D95,AD$4&lt;$D95+'Incremental Repayments'!$I$31),-PMT('Interest Rate'!$J$16,'Incremental Repayments'!$I$31,(HLOOKUP($D95,$E$4:$CZ$32,28,FALSE)*'Incremental Repayments'!$I$22)),0),0)</f>
        <v>0</v>
      </c>
      <c r="AE95" s="477">
        <f>IF('Incremental Repayments'!$R$22="Debt",IF(AND(AE$4&gt;=$D95,AE$4&lt;$D95+'Incremental Repayments'!$I$31),-PMT('Interest Rate'!$J$16,'Incremental Repayments'!$I$31,(HLOOKUP($D95,$E$4:$CZ$32,28,FALSE)*'Incremental Repayments'!$I$22)),0),0)</f>
        <v>0</v>
      </c>
      <c r="AF95" s="477">
        <f>IF('Incremental Repayments'!$R$22="Debt",IF(AND(AF$4&gt;=$D95,AF$4&lt;$D95+'Incremental Repayments'!$I$31),-PMT('Interest Rate'!$J$16,'Incremental Repayments'!$I$31,(HLOOKUP($D95,$E$4:$CZ$32,28,FALSE)*'Incremental Repayments'!$I$22)),0),0)</f>
        <v>0</v>
      </c>
      <c r="AG95" s="477">
        <f>IF('Incremental Repayments'!$R$22="Debt",IF(AND(AG$4&gt;=$D95,AG$4&lt;$D95+'Incremental Repayments'!$I$31),-PMT('Interest Rate'!$J$16,'Incremental Repayments'!$I$31,(HLOOKUP($D95,$E$4:$CZ$32,28,FALSE)*'Incremental Repayments'!$I$22)),0),0)</f>
        <v>0</v>
      </c>
      <c r="AH95" s="477">
        <f>IF('Incremental Repayments'!$R$22="Debt",IF(AND(AH$4&gt;=$D95,AH$4&lt;$D95+'Incremental Repayments'!$I$31),-PMT('Interest Rate'!$J$16,'Incremental Repayments'!$I$31,(HLOOKUP($D95,$E$4:$CZ$32,28,FALSE)*'Incremental Repayments'!$I$22)),0),0)</f>
        <v>0</v>
      </c>
      <c r="AI95" s="477">
        <f>IF('Incremental Repayments'!$R$22="Debt",IF(AND(AI$4&gt;=$D95,AI$4&lt;$D95+'Incremental Repayments'!$I$31),-PMT('Interest Rate'!$J$16,'Incremental Repayments'!$I$31,(HLOOKUP($D95,$E$4:$CZ$32,28,FALSE)*'Incremental Repayments'!$I$22)),0),0)</f>
        <v>0</v>
      </c>
      <c r="AJ95" s="477">
        <f>IF('Incremental Repayments'!$R$22="Debt",IF(AND(AJ$4&gt;=$D95,AJ$4&lt;$D95+'Incremental Repayments'!$I$31),-PMT('Interest Rate'!$J$16,'Incremental Repayments'!$I$31,(HLOOKUP($D95,$E$4:$CZ$32,28,FALSE)*'Incremental Repayments'!$I$22)),0),0)</f>
        <v>0</v>
      </c>
      <c r="AK95" s="477">
        <f>IF('Incremental Repayments'!$R$22="Debt",IF(AND(AK$4&gt;=$D95,AK$4&lt;$D95+'Incremental Repayments'!$I$31),-PMT('Interest Rate'!$J$16,'Incremental Repayments'!$I$31,(HLOOKUP($D95,$E$4:$CZ$32,28,FALSE)*'Incremental Repayments'!$I$22)),0),0)</f>
        <v>0</v>
      </c>
      <c r="AL95" s="477">
        <f>IF('Incremental Repayments'!$R$22="Debt",IF(AND(AL$4&gt;=$D95,AL$4&lt;$D95+'Incremental Repayments'!$I$31),-PMT('Interest Rate'!$J$16,'Incremental Repayments'!$I$31,(HLOOKUP($D95,$E$4:$CZ$32,28,FALSE)*'Incremental Repayments'!$I$22)),0),0)</f>
        <v>0</v>
      </c>
      <c r="AM95" s="477">
        <f>IF('Incremental Repayments'!$R$22="Debt",IF(AND(AM$4&gt;=$D95,AM$4&lt;$D95+'Incremental Repayments'!$I$31),-PMT('Interest Rate'!$J$16,'Incremental Repayments'!$I$31,(HLOOKUP($D95,$E$4:$CZ$32,28,FALSE)*'Incremental Repayments'!$I$22)),0),0)</f>
        <v>0</v>
      </c>
      <c r="AN95" s="477">
        <f>IF('Incremental Repayments'!$R$22="Debt",IF(AND(AN$4&gt;=$D95,AN$4&lt;$D95+'Incremental Repayments'!$I$31),-PMT('Interest Rate'!$J$16,'Incremental Repayments'!$I$31,(HLOOKUP($D95,$E$4:$CZ$32,28,FALSE)*'Incremental Repayments'!$I$22)),0),0)</f>
        <v>0</v>
      </c>
      <c r="AO95" s="477">
        <f>IF('Incremental Repayments'!$R$22="Debt",IF(AND(AO$4&gt;=$D95,AO$4&lt;$D95+'Incremental Repayments'!$I$31),-PMT('Interest Rate'!$J$16,'Incremental Repayments'!$I$31,(HLOOKUP($D95,$E$4:$CZ$32,28,FALSE)*'Incremental Repayments'!$I$22)),0),0)</f>
        <v>0</v>
      </c>
      <c r="AP95" s="477">
        <f>IF('Incremental Repayments'!$R$22="Debt",IF(AND(AP$4&gt;=$D95,AP$4&lt;$D95+'Incremental Repayments'!$I$31),-PMT('Interest Rate'!$J$16,'Incremental Repayments'!$I$31,(HLOOKUP($D95,$E$4:$CZ$32,28,FALSE)*'Incremental Repayments'!$I$22)),0),0)</f>
        <v>0</v>
      </c>
      <c r="AQ95" s="477">
        <f>IF('Incremental Repayments'!$R$22="Debt",IF(AND(AQ$4&gt;=$D95,AQ$4&lt;$D95+'Incremental Repayments'!$I$31),-PMT('Interest Rate'!$J$16,'Incremental Repayments'!$I$31,(HLOOKUP($D95,$E$4:$CZ$32,28,FALSE)*'Incremental Repayments'!$I$22)),0),0)</f>
        <v>0</v>
      </c>
      <c r="AR95" s="477">
        <f>IF('Incremental Repayments'!$R$22="Debt",IF(AND(AR$4&gt;=$D95,AR$4&lt;$D95+'Incremental Repayments'!$I$31),-PMT('Interest Rate'!$J$16,'Incremental Repayments'!$I$31,(HLOOKUP($D95,$E$4:$CZ$32,28,FALSE)*'Incremental Repayments'!$I$22)),0),0)</f>
        <v>0</v>
      </c>
      <c r="AS95" s="477">
        <f>IF('Incremental Repayments'!$R$22="Debt",IF(AND(AS$4&gt;=$D95,AS$4&lt;$D95+'Incremental Repayments'!$I$31),-PMT('Interest Rate'!$J$16,'Incremental Repayments'!$I$31,(HLOOKUP($D95,$E$4:$CZ$32,28,FALSE)*'Incremental Repayments'!$I$22)),0),0)</f>
        <v>0</v>
      </c>
      <c r="AT95" s="477">
        <f>IF('Incremental Repayments'!$R$22="Debt",IF(AND(AT$4&gt;=$D95,AT$4&lt;$D95+'Incremental Repayments'!$I$31),-PMT('Interest Rate'!$J$16,'Incremental Repayments'!$I$31,(HLOOKUP($D95,$E$4:$CZ$32,28,FALSE)*'Incremental Repayments'!$I$22)),0),0)</f>
        <v>0</v>
      </c>
      <c r="AU95" s="477">
        <f>IF('Incremental Repayments'!$R$22="Debt",IF(AND(AU$4&gt;=$D95,AU$4&lt;$D95+'Incremental Repayments'!$I$31),-PMT('Interest Rate'!$J$16,'Incremental Repayments'!$I$31,(HLOOKUP($D95,$E$4:$CZ$32,28,FALSE)*'Incremental Repayments'!$I$22)),0),0)</f>
        <v>0</v>
      </c>
      <c r="AV95" s="477">
        <f>IF('Incremental Repayments'!$R$22="Debt",IF(AND(AV$4&gt;=$D95,AV$4&lt;$D95+'Incremental Repayments'!$I$31),-PMT('Interest Rate'!$J$16,'Incremental Repayments'!$I$31,(HLOOKUP($D95,$E$4:$CZ$32,28,FALSE)*'Incremental Repayments'!$I$22)),0),0)</f>
        <v>0</v>
      </c>
      <c r="AW95" s="477">
        <f>IF('Incremental Repayments'!$R$22="Debt",IF(AND(AW$4&gt;=$D95,AW$4&lt;$D95+'Incremental Repayments'!$I$31),-PMT('Interest Rate'!$J$16,'Incremental Repayments'!$I$31,(HLOOKUP($D95,$E$4:$CZ$32,28,FALSE)*'Incremental Repayments'!$I$22)),0),0)</f>
        <v>0</v>
      </c>
      <c r="AX95" s="477">
        <f>IF('Incremental Repayments'!$R$22="Debt",IF(AND(AX$4&gt;=$D95,AX$4&lt;$D95+'Incremental Repayments'!$I$31),-PMT('Interest Rate'!$J$16,'Incremental Repayments'!$I$31,(HLOOKUP($D95,$E$4:$CZ$32,28,FALSE)*'Incremental Repayments'!$I$22)),0),0)</f>
        <v>0</v>
      </c>
      <c r="AY95" s="477">
        <f>IF('Incremental Repayments'!$R$22="Debt",IF(AND(AY$4&gt;=$D95,AY$4&lt;$D95+'Incremental Repayments'!$I$31),-PMT('Interest Rate'!$J$16,'Incremental Repayments'!$I$31,(HLOOKUP($D95,$E$4:$CZ$32,28,FALSE)*'Incremental Repayments'!$I$22)),0),0)</f>
        <v>0</v>
      </c>
      <c r="AZ95" s="477">
        <f>IF('Incremental Repayments'!$R$22="Debt",IF(AND(AZ$4&gt;=$D95,AZ$4&lt;$D95+'Incremental Repayments'!$I$31),-PMT('Interest Rate'!$J$16,'Incremental Repayments'!$I$31,(HLOOKUP($D95,$E$4:$CZ$32,28,FALSE)*'Incremental Repayments'!$I$22)),0),0)</f>
        <v>0</v>
      </c>
      <c r="BA95" s="477">
        <f>IF('Incremental Repayments'!$R$22="Debt",IF(AND(BA$4&gt;=$D95,BA$4&lt;$D95+'Incremental Repayments'!$I$31),-PMT('Interest Rate'!$J$16,'Incremental Repayments'!$I$31,(HLOOKUP($D95,$E$4:$CZ$32,28,FALSE)*'Incremental Repayments'!$I$22)),0),0)</f>
        <v>0</v>
      </c>
      <c r="BB95" s="477">
        <f>IF('Incremental Repayments'!$R$22="Debt",IF(AND(BB$4&gt;=$D95,BB$4&lt;$D95+'Incremental Repayments'!$I$31),-PMT('Interest Rate'!$J$16,'Incremental Repayments'!$I$31,(HLOOKUP($D95,$E$4:$CZ$32,28,FALSE)*'Incremental Repayments'!$I$22)),0),0)</f>
        <v>0</v>
      </c>
      <c r="BC95" s="477">
        <f>IF('Incremental Repayments'!$R$22="Debt",IF(AND(BC$4&gt;=$D95,BC$4&lt;$D95+'Incremental Repayments'!$I$31),-PMT('Interest Rate'!$J$16,'Incremental Repayments'!$I$31,(HLOOKUP($D95,$E$4:$CZ$32,28,FALSE)*'Incremental Repayments'!$I$22)),0),0)</f>
        <v>0</v>
      </c>
      <c r="BD95" s="477">
        <f>IF('Incremental Repayments'!$R$22="Debt",IF(AND(BD$4&gt;=$D95,BD$4&lt;$D95+'Incremental Repayments'!$I$31),-PMT('Interest Rate'!$J$16,'Incremental Repayments'!$I$31,(HLOOKUP($D95,$E$4:$CZ$32,28,FALSE)*'Incremental Repayments'!$I$22)),0),0)</f>
        <v>0</v>
      </c>
      <c r="BE95" s="477">
        <f>IF('Incremental Repayments'!$R$22="Debt",IF(AND(BE$4&gt;=$D95,BE$4&lt;$D95+'Incremental Repayments'!$I$31),-PMT('Interest Rate'!$J$16,'Incremental Repayments'!$I$31,(HLOOKUP($D95,$E$4:$CZ$32,28,FALSE)*'Incremental Repayments'!$I$22)),0),0)</f>
        <v>0</v>
      </c>
      <c r="BF95" s="477">
        <f>IF('Incremental Repayments'!$R$22="Debt",IF(AND(BF$4&gt;=$D95,BF$4&lt;$D95+'Incremental Repayments'!$I$31),-PMT('Interest Rate'!$J$16,'Incremental Repayments'!$I$31,(HLOOKUP($D95,$E$4:$CZ$32,28,FALSE)*'Incremental Repayments'!$I$22)),0),0)</f>
        <v>0</v>
      </c>
      <c r="BG95" s="477">
        <f>IF('Incremental Repayments'!$R$22="Debt",IF(AND(BG$4&gt;=$D95,BG$4&lt;$D95+'Incremental Repayments'!$I$31),-PMT('Interest Rate'!$J$16,'Incremental Repayments'!$I$31,(HLOOKUP($D95,$E$4:$CZ$32,28,FALSE)*'Incremental Repayments'!$I$22)),0),0)</f>
        <v>0</v>
      </c>
      <c r="BH95" s="477">
        <f>IF('Incremental Repayments'!$R$22="Debt",IF(AND(BH$4&gt;=$D95,BH$4&lt;$D95+'Incremental Repayments'!$I$31),-PMT('Interest Rate'!$J$16,'Incremental Repayments'!$I$31,(HLOOKUP($D95,$E$4:$CZ$32,28,FALSE)*'Incremental Repayments'!$I$22)),0),0)</f>
        <v>0</v>
      </c>
      <c r="BI95" s="477">
        <f>IF('Incremental Repayments'!$R$22="Debt",IF(AND(BI$4&gt;=$D95,BI$4&lt;$D95+'Incremental Repayments'!$I$31),-PMT('Interest Rate'!$J$16,'Incremental Repayments'!$I$31,(HLOOKUP($D95,$E$4:$CZ$32,28,FALSE)*'Incremental Repayments'!$I$22)),0),0)</f>
        <v>0</v>
      </c>
      <c r="BJ95" s="477">
        <f>IF('Incremental Repayments'!$R$22="Debt",IF(AND(BJ$4&gt;=$D95,BJ$4&lt;$D95+'Incremental Repayments'!$I$31),-PMT('Interest Rate'!$J$16,'Incremental Repayments'!$I$31,(HLOOKUP($D95,$E$4:$CZ$32,28,FALSE)*'Incremental Repayments'!$I$22)),0),0)</f>
        <v>0</v>
      </c>
      <c r="BK95" s="477">
        <f>IF('Incremental Repayments'!$R$22="Debt",IF(AND(BK$4&gt;=$D95,BK$4&lt;$D95+'Incremental Repayments'!$I$31),-PMT('Interest Rate'!$J$16,'Incremental Repayments'!$I$31,(HLOOKUP($D95,$E$4:$CZ$32,28,FALSE)*'Incremental Repayments'!$I$22)),0),0)</f>
        <v>0</v>
      </c>
      <c r="BL95" s="477">
        <f>IF('Incremental Repayments'!$R$22="Debt",IF(AND(BL$4&gt;=$D95,BL$4&lt;$D95+'Incremental Repayments'!$I$31),-PMT('Interest Rate'!$J$16,'Incremental Repayments'!$I$31,(HLOOKUP($D95,$E$4:$CZ$32,28,FALSE)*'Incremental Repayments'!$I$22)),0),0)</f>
        <v>0</v>
      </c>
      <c r="BM95" s="477">
        <f>IF('Incremental Repayments'!$R$22="Debt",IF(AND(BM$4&gt;=$D95,BM$4&lt;$D95+'Incremental Repayments'!$I$31),-PMT('Interest Rate'!$J$16,'Incremental Repayments'!$I$31,(HLOOKUP($D95,$E$4:$CZ$32,28,FALSE)*'Incremental Repayments'!$I$22)),0),0)</f>
        <v>0</v>
      </c>
      <c r="BN95" s="477">
        <f>IF('Incremental Repayments'!$R$22="Debt",IF(AND(BN$4&gt;=$D95,BN$4&lt;$D95+'Incremental Repayments'!$I$31),-PMT('Interest Rate'!$J$16,'Incremental Repayments'!$I$31,(HLOOKUP($D95,$E$4:$CZ$32,28,FALSE)*'Incremental Repayments'!$I$22)),0),0)</f>
        <v>0</v>
      </c>
      <c r="BO95" s="477">
        <f>IF('Incremental Repayments'!$R$22="Debt",IF(AND(BO$4&gt;=$D95,BO$4&lt;$D95+'Incremental Repayments'!$I$31),-PMT('Interest Rate'!$J$16,'Incremental Repayments'!$I$31,(HLOOKUP($D95,$E$4:$CZ$32,28,FALSE)*'Incremental Repayments'!$I$22)),0),0)</f>
        <v>0</v>
      </c>
      <c r="BP95" s="477">
        <f>IF('Incremental Repayments'!$R$22="Debt",IF(AND(BP$4&gt;=$D95,BP$4&lt;$D95+'Incremental Repayments'!$I$31),-PMT('Interest Rate'!$J$16,'Incremental Repayments'!$I$31,(HLOOKUP($D95,$E$4:$CZ$32,28,FALSE)*'Incremental Repayments'!$I$22)),0),0)</f>
        <v>0</v>
      </c>
      <c r="BQ95" s="477">
        <f>IF('Incremental Repayments'!$R$22="Debt",IF(AND(BQ$4&gt;=$D95,BQ$4&lt;$D95+'Incremental Repayments'!$I$31),-PMT('Interest Rate'!$J$16,'Incremental Repayments'!$I$31,(HLOOKUP($D95,$E$4:$CZ$32,28,FALSE)*'Incremental Repayments'!$I$22)),0),0)</f>
        <v>0</v>
      </c>
      <c r="BR95" s="477">
        <f>IF('Incremental Repayments'!$R$22="Debt",IF(AND(BR$4&gt;=$D95,BR$4&lt;$D95+'Incremental Repayments'!$I$31),-PMT('Interest Rate'!$J$16,'Incremental Repayments'!$I$31,(HLOOKUP($D95,$E$4:$CZ$32,28,FALSE)*'Incremental Repayments'!$I$22)),0),0)</f>
        <v>0</v>
      </c>
      <c r="BS95" s="477">
        <f>IF('Incremental Repayments'!$R$22="Debt",IF(AND(BS$4&gt;=$D95,BS$4&lt;$D95+'Incremental Repayments'!$I$31),-PMT('Interest Rate'!$J$16,'Incremental Repayments'!$I$31,(HLOOKUP($D95,$E$4:$CZ$32,28,FALSE)*'Incremental Repayments'!$I$22)),0),0)</f>
        <v>0</v>
      </c>
      <c r="BT95" s="477">
        <f>IF('Incremental Repayments'!$R$22="Debt",IF(AND(BT$4&gt;=$D95,BT$4&lt;$D95+'Incremental Repayments'!$I$31),-PMT('Interest Rate'!$J$16,'Incremental Repayments'!$I$31,(HLOOKUP($D95,$E$4:$CZ$32,28,FALSE)*'Incremental Repayments'!$I$22)),0),0)</f>
        <v>0</v>
      </c>
      <c r="BU95" s="477">
        <f>IF('Incremental Repayments'!$R$22="Debt",IF(AND(BU$4&gt;=$D95,BU$4&lt;$D95+'Incremental Repayments'!$I$31),-PMT('Interest Rate'!$J$16,'Incremental Repayments'!$I$31,(HLOOKUP($D95,$E$4:$CZ$32,28,FALSE)*'Incremental Repayments'!$I$22)),0),0)</f>
        <v>0</v>
      </c>
      <c r="BV95" s="477">
        <f>IF('Incremental Repayments'!$R$22="Debt",IF(AND(BV$4&gt;=$D95,BV$4&lt;$D95+'Incremental Repayments'!$I$31),-PMT('Interest Rate'!$J$16,'Incremental Repayments'!$I$31,(HLOOKUP($D95,$E$4:$CZ$32,28,FALSE)*'Incremental Repayments'!$I$22)),0),0)</f>
        <v>0</v>
      </c>
      <c r="BW95" s="477">
        <f>IF('Incremental Repayments'!$R$22="Debt",IF(AND(BW$4&gt;=$D95,BW$4&lt;$D95+'Incremental Repayments'!$I$31),-PMT('Interest Rate'!$J$16,'Incremental Repayments'!$I$31,(HLOOKUP($D95,$E$4:$CZ$32,28,FALSE)*'Incremental Repayments'!$I$22)),0),0)</f>
        <v>0</v>
      </c>
      <c r="BX95" s="477">
        <f>IF('Incremental Repayments'!$R$22="Debt",IF(AND(BX$4&gt;=$D95,BX$4&lt;$D95+'Incremental Repayments'!$I$31),-PMT('Interest Rate'!$J$16,'Incremental Repayments'!$I$31,(HLOOKUP($D95,$E$4:$CZ$32,28,FALSE)*'Incremental Repayments'!$I$22)),0),0)</f>
        <v>0</v>
      </c>
      <c r="BY95" s="477">
        <f>IF('Incremental Repayments'!$R$22="Debt",IF(AND(BY$4&gt;=$D95,BY$4&lt;$D95+'Incremental Repayments'!$I$31),-PMT('Interest Rate'!$J$16,'Incremental Repayments'!$I$31,(HLOOKUP($D95,$E$4:$CZ$32,28,FALSE)*'Incremental Repayments'!$I$22)),0),0)</f>
        <v>0</v>
      </c>
      <c r="BZ95" s="477">
        <f>IF('Incremental Repayments'!$R$22="Debt",IF(AND(BZ$4&gt;=$D95,BZ$4&lt;$D95+'Incremental Repayments'!$I$31),-PMT('Interest Rate'!$J$16,'Incremental Repayments'!$I$31,(HLOOKUP($D95,$E$4:$CZ$32,28,FALSE)*'Incremental Repayments'!$I$22)),0),0)</f>
        <v>0</v>
      </c>
      <c r="CA95" s="477">
        <f>IF('Incremental Repayments'!$R$22="Debt",IF(AND(CA$4&gt;=$D95,CA$4&lt;$D95+'Incremental Repayments'!$I$31),-PMT('Interest Rate'!$J$16,'Incremental Repayments'!$I$31,(HLOOKUP($D95,$E$4:$CZ$32,28,FALSE)*'Incremental Repayments'!$I$22)),0),0)</f>
        <v>0</v>
      </c>
      <c r="CB95" s="477">
        <f>IF('Incremental Repayments'!$R$22="Debt",IF(AND(CB$4&gt;=$D95,CB$4&lt;$D95+'Incremental Repayments'!$I$31),-PMT('Interest Rate'!$J$16,'Incremental Repayments'!$I$31,(HLOOKUP($D95,$E$4:$CZ$32,28,FALSE)*'Incremental Repayments'!$I$22)),0),0)</f>
        <v>0</v>
      </c>
      <c r="CC95" s="477">
        <f>IF('Incremental Repayments'!$R$22="Debt",IF(AND(CC$4&gt;=$D95,CC$4&lt;$D95+'Incremental Repayments'!$I$31),-PMT('Interest Rate'!$J$16,'Incremental Repayments'!$I$31,(HLOOKUP($D95,$E$4:$CZ$32,28,FALSE)*'Incremental Repayments'!$I$22)),0),0)</f>
        <v>0</v>
      </c>
      <c r="CD95" s="477">
        <f>IF('Incremental Repayments'!$R$22="Debt",IF(AND(CD$4&gt;=$D95,CD$4&lt;$D95+'Incremental Repayments'!$I$31),-PMT('Interest Rate'!$J$16,'Incremental Repayments'!$I$31,(HLOOKUP($D95,$E$4:$CZ$32,28,FALSE)*'Incremental Repayments'!$I$22)),0),0)</f>
        <v>0</v>
      </c>
      <c r="CE95" s="477">
        <f>IF('Incremental Repayments'!$R$22="Debt",IF(AND(CE$4&gt;=$D95,CE$4&lt;$D95+'Incremental Repayments'!$I$31),-PMT('Interest Rate'!$J$16,'Incremental Repayments'!$I$31,(HLOOKUP($D95,$E$4:$CZ$32,28,FALSE)*'Incremental Repayments'!$I$22)),0),0)</f>
        <v>0</v>
      </c>
      <c r="CF95" s="477">
        <f>IF('Incremental Repayments'!$R$22="Debt",IF(AND(CF$4&gt;=$D95,CF$4&lt;$D95+'Incremental Repayments'!$I$31),-PMT('Interest Rate'!$J$16,'Incremental Repayments'!$I$31,(HLOOKUP($D95,$E$4:$CZ$32,28,FALSE)*'Incremental Repayments'!$I$22)),0),0)</f>
        <v>0</v>
      </c>
      <c r="CG95" s="477">
        <f>IF('Incremental Repayments'!$R$22="Debt",IF(AND(CG$4&gt;=$D95,CG$4&lt;$D95+'Incremental Repayments'!$I$31),-PMT('Interest Rate'!$J$16,'Incremental Repayments'!$I$31,(HLOOKUP($D95,$E$4:$CZ$32,28,FALSE)*'Incremental Repayments'!$I$22)),0),0)</f>
        <v>0</v>
      </c>
      <c r="CH95" s="477">
        <f>IF('Incremental Repayments'!$R$22="Debt",IF(AND(CH$4&gt;=$D95,CH$4&lt;$D95+'Incremental Repayments'!$I$31),-PMT('Interest Rate'!$J$16,'Incremental Repayments'!$I$31,(HLOOKUP($D95,$E$4:$CZ$32,28,FALSE)*'Incremental Repayments'!$I$22)),0),0)</f>
        <v>0</v>
      </c>
      <c r="CI95" s="477">
        <f>IF('Incremental Repayments'!$R$22="Debt",IF(AND(CI$4&gt;=$D95,CI$4&lt;$D95+'Incremental Repayments'!$I$31),-PMT('Interest Rate'!$J$16,'Incremental Repayments'!$I$31,(HLOOKUP($D95,$E$4:$CZ$32,28,FALSE)*'Incremental Repayments'!$I$22)),0),0)</f>
        <v>0</v>
      </c>
      <c r="CJ95" s="477">
        <f>IF('Incremental Repayments'!$R$22="Debt",IF(AND(CJ$4&gt;=$D95,CJ$4&lt;$D95+'Incremental Repayments'!$I$31),-PMT('Interest Rate'!$J$16,'Incremental Repayments'!$I$31,(HLOOKUP($D95,$E$4:$CZ$32,28,FALSE)*'Incremental Repayments'!$I$22)),0),0)</f>
        <v>0</v>
      </c>
      <c r="CK95" s="477">
        <f>IF('Incremental Repayments'!$R$22="Debt",IF(AND(CK$4&gt;=$D95,CK$4&lt;$D95+'Incremental Repayments'!$I$31),-PMT('Interest Rate'!$J$16,'Incremental Repayments'!$I$31,(HLOOKUP($D95,$E$4:$CZ$32,28,FALSE)*'Incremental Repayments'!$I$22)),0),0)</f>
        <v>0</v>
      </c>
      <c r="CL95" s="477">
        <f>IF('Incremental Repayments'!$R$22="Debt",IF(AND(CL$4&gt;=$D95,CL$4&lt;$D95+'Incremental Repayments'!$I$31),-PMT('Interest Rate'!$J$16,'Incremental Repayments'!$I$31,(HLOOKUP($D95,$E$4:$CZ$32,28,FALSE)*'Incremental Repayments'!$I$22)),0),0)</f>
        <v>0</v>
      </c>
      <c r="CM95" s="477">
        <f>IF('Incremental Repayments'!$R$22="Debt",IF(AND(CM$4&gt;=$D95,CM$4&lt;$D95+'Incremental Repayments'!$I$31),-PMT('Interest Rate'!$J$16,'Incremental Repayments'!$I$31,(HLOOKUP($D95,$E$4:$CZ$32,28,FALSE)*'Incremental Repayments'!$I$22)),0),0)</f>
        <v>0</v>
      </c>
      <c r="CN95" s="477">
        <f>IF('Incremental Repayments'!$R$22="Debt",IF(AND(CN$4&gt;=$D95,CN$4&lt;$D95+'Incremental Repayments'!$I$31),-PMT('Interest Rate'!$J$16,'Incremental Repayments'!$I$31,(HLOOKUP($D95,$E$4:$CZ$32,28,FALSE)*'Incremental Repayments'!$I$22)),0),0)</f>
        <v>0</v>
      </c>
      <c r="CO95" s="477">
        <f>IF('Incremental Repayments'!$R$22="Debt",IF(AND(CO$4&gt;=$D95,CO$4&lt;$D95+'Incremental Repayments'!$I$31),-PMT('Interest Rate'!$J$16,'Incremental Repayments'!$I$31,(HLOOKUP($D95,$E$4:$CZ$32,28,FALSE)*'Incremental Repayments'!$I$22)),0),0)</f>
        <v>0</v>
      </c>
      <c r="CP95" s="477">
        <f>IF('Incremental Repayments'!$R$22="Debt",IF(AND(CP$4&gt;=$D95,CP$4&lt;$D95+'Incremental Repayments'!$I$31),-PMT('Interest Rate'!$J$16,'Incremental Repayments'!$I$31,(HLOOKUP($D95,$E$4:$CZ$32,28,FALSE)*'Incremental Repayments'!$I$22)),0),0)</f>
        <v>0</v>
      </c>
      <c r="CQ95" s="477">
        <f>IF('Incremental Repayments'!$R$22="Debt",IF(AND(CQ$4&gt;=$D95,CQ$4&lt;$D95+'Incremental Repayments'!$I$31),-PMT('Interest Rate'!$J$16,'Incremental Repayments'!$I$31,(HLOOKUP($D95,$E$4:$CZ$32,28,FALSE)*'Incremental Repayments'!$I$22)),0),0)</f>
        <v>0</v>
      </c>
      <c r="CR95" s="477">
        <f>IF('Incremental Repayments'!$R$22="Debt",IF(AND(CR$4&gt;=$D95,CR$4&lt;$D95+'Incremental Repayments'!$I$31),-PMT('Interest Rate'!$J$16,'Incremental Repayments'!$I$31,(HLOOKUP($D95,$E$4:$CZ$32,28,FALSE)*'Incremental Repayments'!$I$22)),0),0)</f>
        <v>0</v>
      </c>
      <c r="CS95" s="477">
        <f>IF('Incremental Repayments'!$R$22="Debt",IF(AND(CS$4&gt;=$D95,CS$4&lt;$D95+'Incremental Repayments'!$I$31),-PMT('Interest Rate'!$J$16,'Incremental Repayments'!$I$31,(HLOOKUP($D95,$E$4:$CZ$32,28,FALSE)*'Incremental Repayments'!$I$22)),0),0)</f>
        <v>0</v>
      </c>
      <c r="CT95" s="477">
        <f>IF('Incremental Repayments'!$R$22="Debt",IF(AND(CT$4&gt;=$D95,CT$4&lt;$D95+'Incremental Repayments'!$I$31),-PMT('Interest Rate'!$J$16,'Incremental Repayments'!$I$31,(HLOOKUP($D95,$E$4:$CZ$32,28,FALSE)*'Incremental Repayments'!$I$22)),0),0)</f>
        <v>0</v>
      </c>
      <c r="CU95" s="477">
        <f>IF('Incremental Repayments'!$R$22="Debt",IF(AND(CU$4&gt;=$D95,CU$4&lt;$D95+'Incremental Repayments'!$I$31),-PMT('Interest Rate'!$J$16,'Incremental Repayments'!$I$31,(HLOOKUP($D95,$E$4:$CZ$32,28,FALSE)*'Incremental Repayments'!$I$22)),0),0)</f>
        <v>0</v>
      </c>
      <c r="CV95" s="477">
        <f>IF('Incremental Repayments'!$R$22="Debt",IF(AND(CV$4&gt;=$D95,CV$4&lt;$D95+'Incremental Repayments'!$I$31),-PMT('Interest Rate'!$J$16,'Incremental Repayments'!$I$31,(HLOOKUP($D95,$E$4:$CZ$32,28,FALSE)*'Incremental Repayments'!$I$22)),0),0)</f>
        <v>0</v>
      </c>
      <c r="CW95" s="477">
        <f>IF('Incremental Repayments'!$R$22="Debt",IF(AND(CW$4&gt;=$D95,CW$4&lt;$D95+'Incremental Repayments'!$I$31),-PMT('Interest Rate'!$J$16,'Incremental Repayments'!$I$31,(HLOOKUP($D95,$E$4:$CZ$32,28,FALSE)*'Incremental Repayments'!$I$22)),0),0)</f>
        <v>0</v>
      </c>
      <c r="CX95" s="477">
        <f>IF('Incremental Repayments'!$R$22="Debt",IF(AND(CX$4&gt;=$D95,CX$4&lt;$D95+'Incremental Repayments'!$I$31),-PMT('Interest Rate'!$J$16,'Incremental Repayments'!$I$31,(HLOOKUP($D95,$E$4:$CZ$32,28,FALSE)*'Incremental Repayments'!$I$22)),0),0)</f>
        <v>0</v>
      </c>
      <c r="CY95" s="477">
        <f>IF('Incremental Repayments'!$R$22="Debt",IF(AND(CY$4&gt;=$D95,CY$4&lt;$D95+'Incremental Repayments'!$I$31),-PMT('Interest Rate'!$J$16,'Incremental Repayments'!$I$31,(HLOOKUP($D95,$E$4:$CZ$32,28,FALSE)*'Incremental Repayments'!$I$22)),0),0)</f>
        <v>0</v>
      </c>
      <c r="CZ95" s="477">
        <f>IF('Incremental Repayments'!$R$22="Debt",IF(AND(CZ$4&gt;=$D95,CZ$4&lt;$D95+'Incremental Repayments'!$I$31),-PMT('Interest Rate'!$J$16,'Incremental Repayments'!$I$31,(HLOOKUP($D95,$E$4:$CZ$32,28,FALSE)*'Incremental Repayments'!$I$22)),0),0)</f>
        <v>0</v>
      </c>
    </row>
    <row r="96" spans="2:104" x14ac:dyDescent="0.25">
      <c r="B96" s="480" t="str">
        <f>CONCATENATE("Series ",D96,"A Bonds (at ",'Interest Rate'!$J$16*100,"% Interest)")</f>
        <v>Series 2074A Bonds (at 4.5% Interest)</v>
      </c>
      <c r="C96" s="480"/>
      <c r="D96" s="492">
        <f t="shared" si="494"/>
        <v>2074</v>
      </c>
      <c r="E96" s="477">
        <f>IF('Incremental Repayments'!$R$22="Debt",IF(AND(E$4&gt;=$D96,E$4&lt;$D96+'Incremental Repayments'!$I$31),-PMT('Interest Rate'!$J$16,'Incremental Repayments'!$I$31,(HLOOKUP($D96,$E$4:$CZ$32,28,FALSE)*'Incremental Repayments'!$I$22)),0),0)</f>
        <v>0</v>
      </c>
      <c r="F96" s="477">
        <f>IF('Incremental Repayments'!$R$22="Debt",IF(AND(F$4&gt;=$D96,F$4&lt;$D96+'Incremental Repayments'!$I$31),-PMT('Interest Rate'!$J$16,'Incremental Repayments'!$I$31,(HLOOKUP($D96,$E$4:$CZ$32,28,FALSE)*'Incremental Repayments'!$I$22)),0),0)</f>
        <v>0</v>
      </c>
      <c r="G96" s="477">
        <f>IF('Incremental Repayments'!$R$22="Debt",IF(AND(G$4&gt;=$D96,G$4&lt;$D96+'Incremental Repayments'!$I$31),-PMT('Interest Rate'!$J$16,'Incremental Repayments'!$I$31,(HLOOKUP($D96,$E$4:$CZ$32,28,FALSE)*'Incremental Repayments'!$I$22)),0),0)</f>
        <v>0</v>
      </c>
      <c r="H96" s="477">
        <f>IF('Incremental Repayments'!$R$22="Debt",IF(AND(H$4&gt;=$D96,H$4&lt;$D96+'Incremental Repayments'!$I$31),-PMT('Interest Rate'!$J$16,'Incremental Repayments'!$I$31,(HLOOKUP($D96,$E$4:$CZ$32,28,FALSE)*'Incremental Repayments'!$I$22)),0),0)</f>
        <v>0</v>
      </c>
      <c r="I96" s="477">
        <f>IF('Incremental Repayments'!$R$22="Debt",IF(AND(I$4&gt;=$D96,I$4&lt;$D96+'Incremental Repayments'!$I$31),-PMT('Interest Rate'!$J$16,'Incremental Repayments'!$I$31,(HLOOKUP($D96,$E$4:$CZ$32,28,FALSE)*'Incremental Repayments'!$I$22)),0),0)</f>
        <v>0</v>
      </c>
      <c r="J96" s="477">
        <f>IF('Incremental Repayments'!$R$22="Debt",IF(AND(J$4&gt;=$D96,J$4&lt;$D96+'Incremental Repayments'!$I$31),-PMT('Interest Rate'!$J$16,'Incremental Repayments'!$I$31,(HLOOKUP($D96,$E$4:$CZ$32,28,FALSE)*'Incremental Repayments'!$I$22)),0),0)</f>
        <v>0</v>
      </c>
      <c r="K96" s="477">
        <f>IF('Incremental Repayments'!$R$22="Debt",IF(AND(K$4&gt;=$D96,K$4&lt;$D96+'Incremental Repayments'!$I$31),-PMT('Interest Rate'!$J$16,'Incremental Repayments'!$I$31,(HLOOKUP($D96,$E$4:$CZ$32,28,FALSE)*'Incremental Repayments'!$I$22)),0),0)</f>
        <v>0</v>
      </c>
      <c r="L96" s="477">
        <f>IF('Incremental Repayments'!$R$22="Debt",IF(AND(L$4&gt;=$D96,L$4&lt;$D96+'Incremental Repayments'!$I$31),-PMT('Interest Rate'!$J$16,'Incremental Repayments'!$I$31,(HLOOKUP($D96,$E$4:$CZ$32,28,FALSE)*'Incremental Repayments'!$I$22)),0),0)</f>
        <v>0</v>
      </c>
      <c r="M96" s="477">
        <f>IF('Incremental Repayments'!$R$22="Debt",IF(AND(M$4&gt;=$D96,M$4&lt;$D96+'Incremental Repayments'!$I$31),-PMT('Interest Rate'!$J$16,'Incremental Repayments'!$I$31,(HLOOKUP($D96,$E$4:$CZ$32,28,FALSE)*'Incremental Repayments'!$I$22)),0),0)</f>
        <v>0</v>
      </c>
      <c r="N96" s="477">
        <f>IF('Incremental Repayments'!$R$22="Debt",IF(AND(N$4&gt;=$D96,N$4&lt;$D96+'Incremental Repayments'!$I$31),-PMT('Interest Rate'!$J$16,'Incremental Repayments'!$I$31,(HLOOKUP($D96,$E$4:$CZ$32,28,FALSE)*'Incremental Repayments'!$I$22)),0),0)</f>
        <v>0</v>
      </c>
      <c r="O96" s="477">
        <f>IF('Incremental Repayments'!$R$22="Debt",IF(AND(O$4&gt;=$D96,O$4&lt;$D96+'Incremental Repayments'!$I$31),-PMT('Interest Rate'!$J$16,'Incremental Repayments'!$I$31,(HLOOKUP($D96,$E$4:$CZ$32,28,FALSE)*'Incremental Repayments'!$I$22)),0),0)</f>
        <v>0</v>
      </c>
      <c r="P96" s="477">
        <f>IF('Incremental Repayments'!$R$22="Debt",IF(AND(P$4&gt;=$D96,P$4&lt;$D96+'Incremental Repayments'!$I$31),-PMT('Interest Rate'!$J$16,'Incremental Repayments'!$I$31,(HLOOKUP($D96,$E$4:$CZ$32,28,FALSE)*'Incremental Repayments'!$I$22)),0),0)</f>
        <v>0</v>
      </c>
      <c r="Q96" s="477">
        <f>IF('Incremental Repayments'!$R$22="Debt",IF(AND(Q$4&gt;=$D96,Q$4&lt;$D96+'Incremental Repayments'!$I$31),-PMT('Interest Rate'!$J$16,'Incremental Repayments'!$I$31,(HLOOKUP($D96,$E$4:$CZ$32,28,FALSE)*'Incremental Repayments'!$I$22)),0),0)</f>
        <v>0</v>
      </c>
      <c r="R96" s="477">
        <f>IF('Incremental Repayments'!$R$22="Debt",IF(AND(R$4&gt;=$D96,R$4&lt;$D96+'Incremental Repayments'!$I$31),-PMT('Interest Rate'!$J$16,'Incremental Repayments'!$I$31,(HLOOKUP($D96,$E$4:$CZ$32,28,FALSE)*'Incremental Repayments'!$I$22)),0),0)</f>
        <v>0</v>
      </c>
      <c r="S96" s="477">
        <f>IF('Incremental Repayments'!$R$22="Debt",IF(AND(S$4&gt;=$D96,S$4&lt;$D96+'Incremental Repayments'!$I$31),-PMT('Interest Rate'!$J$16,'Incremental Repayments'!$I$31,(HLOOKUP($D96,$E$4:$CZ$32,28,FALSE)*'Incremental Repayments'!$I$22)),0),0)</f>
        <v>0</v>
      </c>
      <c r="T96" s="477">
        <f>IF('Incremental Repayments'!$R$22="Debt",IF(AND(T$4&gt;=$D96,T$4&lt;$D96+'Incremental Repayments'!$I$31),-PMT('Interest Rate'!$J$16,'Incremental Repayments'!$I$31,(HLOOKUP($D96,$E$4:$CZ$32,28,FALSE)*'Incremental Repayments'!$I$22)),0),0)</f>
        <v>0</v>
      </c>
      <c r="U96" s="477">
        <f>IF('Incremental Repayments'!$R$22="Debt",IF(AND(U$4&gt;=$D96,U$4&lt;$D96+'Incremental Repayments'!$I$31),-PMT('Interest Rate'!$J$16,'Incremental Repayments'!$I$31,(HLOOKUP($D96,$E$4:$CZ$32,28,FALSE)*'Incremental Repayments'!$I$22)),0),0)</f>
        <v>0</v>
      </c>
      <c r="V96" s="477">
        <f>IF('Incremental Repayments'!$R$22="Debt",IF(AND(V$4&gt;=$D96,V$4&lt;$D96+'Incremental Repayments'!$I$31),-PMT('Interest Rate'!$J$16,'Incremental Repayments'!$I$31,(HLOOKUP($D96,$E$4:$CZ$32,28,FALSE)*'Incremental Repayments'!$I$22)),0),0)</f>
        <v>0</v>
      </c>
      <c r="W96" s="477">
        <f>IF('Incremental Repayments'!$R$22="Debt",IF(AND(W$4&gt;=$D96,W$4&lt;$D96+'Incremental Repayments'!$I$31),-PMT('Interest Rate'!$J$16,'Incremental Repayments'!$I$31,(HLOOKUP($D96,$E$4:$CZ$32,28,FALSE)*'Incremental Repayments'!$I$22)),0),0)</f>
        <v>0</v>
      </c>
      <c r="X96" s="477">
        <f>IF('Incremental Repayments'!$R$22="Debt",IF(AND(X$4&gt;=$D96,X$4&lt;$D96+'Incremental Repayments'!$I$31),-PMT('Interest Rate'!$J$16,'Incremental Repayments'!$I$31,(HLOOKUP($D96,$E$4:$CZ$32,28,FALSE)*'Incremental Repayments'!$I$22)),0),0)</f>
        <v>0</v>
      </c>
      <c r="Y96" s="477">
        <f>IF('Incremental Repayments'!$R$22="Debt",IF(AND(Y$4&gt;=$D96,Y$4&lt;$D96+'Incremental Repayments'!$I$31),-PMT('Interest Rate'!$J$16,'Incremental Repayments'!$I$31,(HLOOKUP($D96,$E$4:$CZ$32,28,FALSE)*'Incremental Repayments'!$I$22)),0),0)</f>
        <v>0</v>
      </c>
      <c r="Z96" s="477">
        <f>IF('Incremental Repayments'!$R$22="Debt",IF(AND(Z$4&gt;=$D96,Z$4&lt;$D96+'Incremental Repayments'!$I$31),-PMT('Interest Rate'!$J$16,'Incremental Repayments'!$I$31,(HLOOKUP($D96,$E$4:$CZ$32,28,FALSE)*'Incremental Repayments'!$I$22)),0),0)</f>
        <v>0</v>
      </c>
      <c r="AA96" s="477">
        <f>IF('Incremental Repayments'!$R$22="Debt",IF(AND(AA$4&gt;=$D96,AA$4&lt;$D96+'Incremental Repayments'!$I$31),-PMT('Interest Rate'!$J$16,'Incremental Repayments'!$I$31,(HLOOKUP($D96,$E$4:$CZ$32,28,FALSE)*'Incremental Repayments'!$I$22)),0),0)</f>
        <v>0</v>
      </c>
      <c r="AB96" s="477">
        <f>IF('Incremental Repayments'!$R$22="Debt",IF(AND(AB$4&gt;=$D96,AB$4&lt;$D96+'Incremental Repayments'!$I$31),-PMT('Interest Rate'!$J$16,'Incremental Repayments'!$I$31,(HLOOKUP($D96,$E$4:$CZ$32,28,FALSE)*'Incremental Repayments'!$I$22)),0),0)</f>
        <v>0</v>
      </c>
      <c r="AC96" s="477">
        <f>IF('Incremental Repayments'!$R$22="Debt",IF(AND(AC$4&gt;=$D96,AC$4&lt;$D96+'Incremental Repayments'!$I$31),-PMT('Interest Rate'!$J$16,'Incremental Repayments'!$I$31,(HLOOKUP($D96,$E$4:$CZ$32,28,FALSE)*'Incremental Repayments'!$I$22)),0),0)</f>
        <v>0</v>
      </c>
      <c r="AD96" s="477">
        <f>IF('Incremental Repayments'!$R$22="Debt",IF(AND(AD$4&gt;=$D96,AD$4&lt;$D96+'Incremental Repayments'!$I$31),-PMT('Interest Rate'!$J$16,'Incremental Repayments'!$I$31,(HLOOKUP($D96,$E$4:$CZ$32,28,FALSE)*'Incremental Repayments'!$I$22)),0),0)</f>
        <v>0</v>
      </c>
      <c r="AE96" s="477">
        <f>IF('Incremental Repayments'!$R$22="Debt",IF(AND(AE$4&gt;=$D96,AE$4&lt;$D96+'Incremental Repayments'!$I$31),-PMT('Interest Rate'!$J$16,'Incremental Repayments'!$I$31,(HLOOKUP($D96,$E$4:$CZ$32,28,FALSE)*'Incremental Repayments'!$I$22)),0),0)</f>
        <v>0</v>
      </c>
      <c r="AF96" s="477">
        <f>IF('Incremental Repayments'!$R$22="Debt",IF(AND(AF$4&gt;=$D96,AF$4&lt;$D96+'Incremental Repayments'!$I$31),-PMT('Interest Rate'!$J$16,'Incremental Repayments'!$I$31,(HLOOKUP($D96,$E$4:$CZ$32,28,FALSE)*'Incremental Repayments'!$I$22)),0),0)</f>
        <v>0</v>
      </c>
      <c r="AG96" s="477">
        <f>IF('Incremental Repayments'!$R$22="Debt",IF(AND(AG$4&gt;=$D96,AG$4&lt;$D96+'Incremental Repayments'!$I$31),-PMT('Interest Rate'!$J$16,'Incremental Repayments'!$I$31,(HLOOKUP($D96,$E$4:$CZ$32,28,FALSE)*'Incremental Repayments'!$I$22)),0),0)</f>
        <v>0</v>
      </c>
      <c r="AH96" s="477">
        <f>IF('Incremental Repayments'!$R$22="Debt",IF(AND(AH$4&gt;=$D96,AH$4&lt;$D96+'Incremental Repayments'!$I$31),-PMT('Interest Rate'!$J$16,'Incremental Repayments'!$I$31,(HLOOKUP($D96,$E$4:$CZ$32,28,FALSE)*'Incremental Repayments'!$I$22)),0),0)</f>
        <v>0</v>
      </c>
      <c r="AI96" s="477">
        <f>IF('Incremental Repayments'!$R$22="Debt",IF(AND(AI$4&gt;=$D96,AI$4&lt;$D96+'Incremental Repayments'!$I$31),-PMT('Interest Rate'!$J$16,'Incremental Repayments'!$I$31,(HLOOKUP($D96,$E$4:$CZ$32,28,FALSE)*'Incremental Repayments'!$I$22)),0),0)</f>
        <v>0</v>
      </c>
      <c r="AJ96" s="477">
        <f>IF('Incremental Repayments'!$R$22="Debt",IF(AND(AJ$4&gt;=$D96,AJ$4&lt;$D96+'Incremental Repayments'!$I$31),-PMT('Interest Rate'!$J$16,'Incremental Repayments'!$I$31,(HLOOKUP($D96,$E$4:$CZ$32,28,FALSE)*'Incremental Repayments'!$I$22)),0),0)</f>
        <v>0</v>
      </c>
      <c r="AK96" s="477">
        <f>IF('Incremental Repayments'!$R$22="Debt",IF(AND(AK$4&gt;=$D96,AK$4&lt;$D96+'Incremental Repayments'!$I$31),-PMT('Interest Rate'!$J$16,'Incremental Repayments'!$I$31,(HLOOKUP($D96,$E$4:$CZ$32,28,FALSE)*'Incremental Repayments'!$I$22)),0),0)</f>
        <v>0</v>
      </c>
      <c r="AL96" s="477">
        <f>IF('Incremental Repayments'!$R$22="Debt",IF(AND(AL$4&gt;=$D96,AL$4&lt;$D96+'Incremental Repayments'!$I$31),-PMT('Interest Rate'!$J$16,'Incremental Repayments'!$I$31,(HLOOKUP($D96,$E$4:$CZ$32,28,FALSE)*'Incremental Repayments'!$I$22)),0),0)</f>
        <v>0</v>
      </c>
      <c r="AM96" s="477">
        <f>IF('Incremental Repayments'!$R$22="Debt",IF(AND(AM$4&gt;=$D96,AM$4&lt;$D96+'Incremental Repayments'!$I$31),-PMT('Interest Rate'!$J$16,'Incremental Repayments'!$I$31,(HLOOKUP($D96,$E$4:$CZ$32,28,FALSE)*'Incremental Repayments'!$I$22)),0),0)</f>
        <v>0</v>
      </c>
      <c r="AN96" s="477">
        <f>IF('Incremental Repayments'!$R$22="Debt",IF(AND(AN$4&gt;=$D96,AN$4&lt;$D96+'Incremental Repayments'!$I$31),-PMT('Interest Rate'!$J$16,'Incremental Repayments'!$I$31,(HLOOKUP($D96,$E$4:$CZ$32,28,FALSE)*'Incremental Repayments'!$I$22)),0),0)</f>
        <v>0</v>
      </c>
      <c r="AO96" s="477">
        <f>IF('Incremental Repayments'!$R$22="Debt",IF(AND(AO$4&gt;=$D96,AO$4&lt;$D96+'Incremental Repayments'!$I$31),-PMT('Interest Rate'!$J$16,'Incremental Repayments'!$I$31,(HLOOKUP($D96,$E$4:$CZ$32,28,FALSE)*'Incremental Repayments'!$I$22)),0),0)</f>
        <v>0</v>
      </c>
      <c r="AP96" s="477">
        <f>IF('Incremental Repayments'!$R$22="Debt",IF(AND(AP$4&gt;=$D96,AP$4&lt;$D96+'Incremental Repayments'!$I$31),-PMT('Interest Rate'!$J$16,'Incremental Repayments'!$I$31,(HLOOKUP($D96,$E$4:$CZ$32,28,FALSE)*'Incremental Repayments'!$I$22)),0),0)</f>
        <v>0</v>
      </c>
      <c r="AQ96" s="477">
        <f>IF('Incremental Repayments'!$R$22="Debt",IF(AND(AQ$4&gt;=$D96,AQ$4&lt;$D96+'Incremental Repayments'!$I$31),-PMT('Interest Rate'!$J$16,'Incremental Repayments'!$I$31,(HLOOKUP($D96,$E$4:$CZ$32,28,FALSE)*'Incremental Repayments'!$I$22)),0),0)</f>
        <v>0</v>
      </c>
      <c r="AR96" s="477">
        <f>IF('Incremental Repayments'!$R$22="Debt",IF(AND(AR$4&gt;=$D96,AR$4&lt;$D96+'Incremental Repayments'!$I$31),-PMT('Interest Rate'!$J$16,'Incremental Repayments'!$I$31,(HLOOKUP($D96,$E$4:$CZ$32,28,FALSE)*'Incremental Repayments'!$I$22)),0),0)</f>
        <v>0</v>
      </c>
      <c r="AS96" s="477">
        <f>IF('Incremental Repayments'!$R$22="Debt",IF(AND(AS$4&gt;=$D96,AS$4&lt;$D96+'Incremental Repayments'!$I$31),-PMT('Interest Rate'!$J$16,'Incremental Repayments'!$I$31,(HLOOKUP($D96,$E$4:$CZ$32,28,FALSE)*'Incremental Repayments'!$I$22)),0),0)</f>
        <v>0</v>
      </c>
      <c r="AT96" s="477">
        <f>IF('Incremental Repayments'!$R$22="Debt",IF(AND(AT$4&gt;=$D96,AT$4&lt;$D96+'Incremental Repayments'!$I$31),-PMT('Interest Rate'!$J$16,'Incremental Repayments'!$I$31,(HLOOKUP($D96,$E$4:$CZ$32,28,FALSE)*'Incremental Repayments'!$I$22)),0),0)</f>
        <v>0</v>
      </c>
      <c r="AU96" s="477">
        <f>IF('Incremental Repayments'!$R$22="Debt",IF(AND(AU$4&gt;=$D96,AU$4&lt;$D96+'Incremental Repayments'!$I$31),-PMT('Interest Rate'!$J$16,'Incremental Repayments'!$I$31,(HLOOKUP($D96,$E$4:$CZ$32,28,FALSE)*'Incremental Repayments'!$I$22)),0),0)</f>
        <v>0</v>
      </c>
      <c r="AV96" s="477">
        <f>IF('Incremental Repayments'!$R$22="Debt",IF(AND(AV$4&gt;=$D96,AV$4&lt;$D96+'Incremental Repayments'!$I$31),-PMT('Interest Rate'!$J$16,'Incremental Repayments'!$I$31,(HLOOKUP($D96,$E$4:$CZ$32,28,FALSE)*'Incremental Repayments'!$I$22)),0),0)</f>
        <v>0</v>
      </c>
      <c r="AW96" s="477">
        <f>IF('Incremental Repayments'!$R$22="Debt",IF(AND(AW$4&gt;=$D96,AW$4&lt;$D96+'Incremental Repayments'!$I$31),-PMT('Interest Rate'!$J$16,'Incremental Repayments'!$I$31,(HLOOKUP($D96,$E$4:$CZ$32,28,FALSE)*'Incremental Repayments'!$I$22)),0),0)</f>
        <v>0</v>
      </c>
      <c r="AX96" s="477">
        <f>IF('Incremental Repayments'!$R$22="Debt",IF(AND(AX$4&gt;=$D96,AX$4&lt;$D96+'Incremental Repayments'!$I$31),-PMT('Interest Rate'!$J$16,'Incremental Repayments'!$I$31,(HLOOKUP($D96,$E$4:$CZ$32,28,FALSE)*'Incremental Repayments'!$I$22)),0),0)</f>
        <v>0</v>
      </c>
      <c r="AY96" s="477">
        <f>IF('Incremental Repayments'!$R$22="Debt",IF(AND(AY$4&gt;=$D96,AY$4&lt;$D96+'Incremental Repayments'!$I$31),-PMT('Interest Rate'!$J$16,'Incremental Repayments'!$I$31,(HLOOKUP($D96,$E$4:$CZ$32,28,FALSE)*'Incremental Repayments'!$I$22)),0),0)</f>
        <v>0</v>
      </c>
      <c r="AZ96" s="477">
        <f>IF('Incremental Repayments'!$R$22="Debt",IF(AND(AZ$4&gt;=$D96,AZ$4&lt;$D96+'Incremental Repayments'!$I$31),-PMT('Interest Rate'!$J$16,'Incremental Repayments'!$I$31,(HLOOKUP($D96,$E$4:$CZ$32,28,FALSE)*'Incremental Repayments'!$I$22)),0),0)</f>
        <v>0</v>
      </c>
      <c r="BA96" s="477">
        <f>IF('Incremental Repayments'!$R$22="Debt",IF(AND(BA$4&gt;=$D96,BA$4&lt;$D96+'Incremental Repayments'!$I$31),-PMT('Interest Rate'!$J$16,'Incremental Repayments'!$I$31,(HLOOKUP($D96,$E$4:$CZ$32,28,FALSE)*'Incremental Repayments'!$I$22)),0),0)</f>
        <v>0</v>
      </c>
      <c r="BB96" s="477">
        <f>IF('Incremental Repayments'!$R$22="Debt",IF(AND(BB$4&gt;=$D96,BB$4&lt;$D96+'Incremental Repayments'!$I$31),-PMT('Interest Rate'!$J$16,'Incremental Repayments'!$I$31,(HLOOKUP($D96,$E$4:$CZ$32,28,FALSE)*'Incremental Repayments'!$I$22)),0),0)</f>
        <v>0</v>
      </c>
      <c r="BC96" s="477">
        <f>IF('Incremental Repayments'!$R$22="Debt",IF(AND(BC$4&gt;=$D96,BC$4&lt;$D96+'Incremental Repayments'!$I$31),-PMT('Interest Rate'!$J$16,'Incremental Repayments'!$I$31,(HLOOKUP($D96,$E$4:$CZ$32,28,FALSE)*'Incremental Repayments'!$I$22)),0),0)</f>
        <v>0</v>
      </c>
      <c r="BD96" s="477">
        <f>IF('Incremental Repayments'!$R$22="Debt",IF(AND(BD$4&gt;=$D96,BD$4&lt;$D96+'Incremental Repayments'!$I$31),-PMT('Interest Rate'!$J$16,'Incremental Repayments'!$I$31,(HLOOKUP($D96,$E$4:$CZ$32,28,FALSE)*'Incremental Repayments'!$I$22)),0),0)</f>
        <v>0</v>
      </c>
      <c r="BE96" s="477">
        <f>IF('Incremental Repayments'!$R$22="Debt",IF(AND(BE$4&gt;=$D96,BE$4&lt;$D96+'Incremental Repayments'!$I$31),-PMT('Interest Rate'!$J$16,'Incremental Repayments'!$I$31,(HLOOKUP($D96,$E$4:$CZ$32,28,FALSE)*'Incremental Repayments'!$I$22)),0),0)</f>
        <v>0</v>
      </c>
      <c r="BF96" s="477">
        <f>IF('Incremental Repayments'!$R$22="Debt",IF(AND(BF$4&gt;=$D96,BF$4&lt;$D96+'Incremental Repayments'!$I$31),-PMT('Interest Rate'!$J$16,'Incremental Repayments'!$I$31,(HLOOKUP($D96,$E$4:$CZ$32,28,FALSE)*'Incremental Repayments'!$I$22)),0),0)</f>
        <v>0</v>
      </c>
      <c r="BG96" s="477">
        <f>IF('Incremental Repayments'!$R$22="Debt",IF(AND(BG$4&gt;=$D96,BG$4&lt;$D96+'Incremental Repayments'!$I$31),-PMT('Interest Rate'!$J$16,'Incremental Repayments'!$I$31,(HLOOKUP($D96,$E$4:$CZ$32,28,FALSE)*'Incremental Repayments'!$I$22)),0),0)</f>
        <v>0</v>
      </c>
      <c r="BH96" s="477">
        <f>IF('Incremental Repayments'!$R$22="Debt",IF(AND(BH$4&gt;=$D96,BH$4&lt;$D96+'Incremental Repayments'!$I$31),-PMT('Interest Rate'!$J$16,'Incremental Repayments'!$I$31,(HLOOKUP($D96,$E$4:$CZ$32,28,FALSE)*'Incremental Repayments'!$I$22)),0),0)</f>
        <v>0</v>
      </c>
      <c r="BI96" s="477">
        <f>IF('Incremental Repayments'!$R$22="Debt",IF(AND(BI$4&gt;=$D96,BI$4&lt;$D96+'Incremental Repayments'!$I$31),-PMT('Interest Rate'!$J$16,'Incremental Repayments'!$I$31,(HLOOKUP($D96,$E$4:$CZ$32,28,FALSE)*'Incremental Repayments'!$I$22)),0),0)</f>
        <v>0</v>
      </c>
      <c r="BJ96" s="477">
        <f>IF('Incremental Repayments'!$R$22="Debt",IF(AND(BJ$4&gt;=$D96,BJ$4&lt;$D96+'Incremental Repayments'!$I$31),-PMT('Interest Rate'!$J$16,'Incremental Repayments'!$I$31,(HLOOKUP($D96,$E$4:$CZ$32,28,FALSE)*'Incremental Repayments'!$I$22)),0),0)</f>
        <v>0</v>
      </c>
      <c r="BK96" s="477">
        <f>IF('Incremental Repayments'!$R$22="Debt",IF(AND(BK$4&gt;=$D96,BK$4&lt;$D96+'Incremental Repayments'!$I$31),-PMT('Interest Rate'!$J$16,'Incremental Repayments'!$I$31,(HLOOKUP($D96,$E$4:$CZ$32,28,FALSE)*'Incremental Repayments'!$I$22)),0),0)</f>
        <v>0</v>
      </c>
      <c r="BL96" s="477">
        <f>IF('Incremental Repayments'!$R$22="Debt",IF(AND(BL$4&gt;=$D96,BL$4&lt;$D96+'Incremental Repayments'!$I$31),-PMT('Interest Rate'!$J$16,'Incremental Repayments'!$I$31,(HLOOKUP($D96,$E$4:$CZ$32,28,FALSE)*'Incremental Repayments'!$I$22)),0),0)</f>
        <v>0</v>
      </c>
      <c r="BM96" s="477">
        <f>IF('Incremental Repayments'!$R$22="Debt",IF(AND(BM$4&gt;=$D96,BM$4&lt;$D96+'Incremental Repayments'!$I$31),-PMT('Interest Rate'!$J$16,'Incremental Repayments'!$I$31,(HLOOKUP($D96,$E$4:$CZ$32,28,FALSE)*'Incremental Repayments'!$I$22)),0),0)</f>
        <v>0</v>
      </c>
      <c r="BN96" s="477">
        <f>IF('Incremental Repayments'!$R$22="Debt",IF(AND(BN$4&gt;=$D96,BN$4&lt;$D96+'Incremental Repayments'!$I$31),-PMT('Interest Rate'!$J$16,'Incremental Repayments'!$I$31,(HLOOKUP($D96,$E$4:$CZ$32,28,FALSE)*'Incremental Repayments'!$I$22)),0),0)</f>
        <v>0</v>
      </c>
      <c r="BO96" s="477">
        <f>IF('Incremental Repayments'!$R$22="Debt",IF(AND(BO$4&gt;=$D96,BO$4&lt;$D96+'Incremental Repayments'!$I$31),-PMT('Interest Rate'!$J$16,'Incremental Repayments'!$I$31,(HLOOKUP($D96,$E$4:$CZ$32,28,FALSE)*'Incremental Repayments'!$I$22)),0),0)</f>
        <v>0</v>
      </c>
      <c r="BP96" s="477">
        <f>IF('Incremental Repayments'!$R$22="Debt",IF(AND(BP$4&gt;=$D96,BP$4&lt;$D96+'Incremental Repayments'!$I$31),-PMT('Interest Rate'!$J$16,'Incremental Repayments'!$I$31,(HLOOKUP($D96,$E$4:$CZ$32,28,FALSE)*'Incremental Repayments'!$I$22)),0),0)</f>
        <v>0</v>
      </c>
      <c r="BQ96" s="477">
        <f>IF('Incremental Repayments'!$R$22="Debt",IF(AND(BQ$4&gt;=$D96,BQ$4&lt;$D96+'Incremental Repayments'!$I$31),-PMT('Interest Rate'!$J$16,'Incremental Repayments'!$I$31,(HLOOKUP($D96,$E$4:$CZ$32,28,FALSE)*'Incremental Repayments'!$I$22)),0),0)</f>
        <v>0</v>
      </c>
      <c r="BR96" s="477">
        <f>IF('Incremental Repayments'!$R$22="Debt",IF(AND(BR$4&gt;=$D96,BR$4&lt;$D96+'Incremental Repayments'!$I$31),-PMT('Interest Rate'!$J$16,'Incremental Repayments'!$I$31,(HLOOKUP($D96,$E$4:$CZ$32,28,FALSE)*'Incremental Repayments'!$I$22)),0),0)</f>
        <v>0</v>
      </c>
      <c r="BS96" s="477">
        <f>IF('Incremental Repayments'!$R$22="Debt",IF(AND(BS$4&gt;=$D96,BS$4&lt;$D96+'Incremental Repayments'!$I$31),-PMT('Interest Rate'!$J$16,'Incremental Repayments'!$I$31,(HLOOKUP($D96,$E$4:$CZ$32,28,FALSE)*'Incremental Repayments'!$I$22)),0),0)</f>
        <v>0</v>
      </c>
      <c r="BT96" s="477">
        <f>IF('Incremental Repayments'!$R$22="Debt",IF(AND(BT$4&gt;=$D96,BT$4&lt;$D96+'Incremental Repayments'!$I$31),-PMT('Interest Rate'!$J$16,'Incremental Repayments'!$I$31,(HLOOKUP($D96,$E$4:$CZ$32,28,FALSE)*'Incremental Repayments'!$I$22)),0),0)</f>
        <v>0</v>
      </c>
      <c r="BU96" s="477">
        <f>IF('Incremental Repayments'!$R$22="Debt",IF(AND(BU$4&gt;=$D96,BU$4&lt;$D96+'Incremental Repayments'!$I$31),-PMT('Interest Rate'!$J$16,'Incremental Repayments'!$I$31,(HLOOKUP($D96,$E$4:$CZ$32,28,FALSE)*'Incremental Repayments'!$I$22)),0),0)</f>
        <v>0</v>
      </c>
      <c r="BV96" s="477">
        <f>IF('Incremental Repayments'!$R$22="Debt",IF(AND(BV$4&gt;=$D96,BV$4&lt;$D96+'Incremental Repayments'!$I$31),-PMT('Interest Rate'!$J$16,'Incremental Repayments'!$I$31,(HLOOKUP($D96,$E$4:$CZ$32,28,FALSE)*'Incremental Repayments'!$I$22)),0),0)</f>
        <v>0</v>
      </c>
      <c r="BW96" s="477">
        <f>IF('Incremental Repayments'!$R$22="Debt",IF(AND(BW$4&gt;=$D96,BW$4&lt;$D96+'Incremental Repayments'!$I$31),-PMT('Interest Rate'!$J$16,'Incremental Repayments'!$I$31,(HLOOKUP($D96,$E$4:$CZ$32,28,FALSE)*'Incremental Repayments'!$I$22)),0),0)</f>
        <v>0</v>
      </c>
      <c r="BX96" s="477">
        <f>IF('Incremental Repayments'!$R$22="Debt",IF(AND(BX$4&gt;=$D96,BX$4&lt;$D96+'Incremental Repayments'!$I$31),-PMT('Interest Rate'!$J$16,'Incremental Repayments'!$I$31,(HLOOKUP($D96,$E$4:$CZ$32,28,FALSE)*'Incremental Repayments'!$I$22)),0),0)</f>
        <v>0</v>
      </c>
      <c r="BY96" s="477">
        <f>IF('Incremental Repayments'!$R$22="Debt",IF(AND(BY$4&gt;=$D96,BY$4&lt;$D96+'Incremental Repayments'!$I$31),-PMT('Interest Rate'!$J$16,'Incremental Repayments'!$I$31,(HLOOKUP($D96,$E$4:$CZ$32,28,FALSE)*'Incremental Repayments'!$I$22)),0),0)</f>
        <v>0</v>
      </c>
      <c r="BZ96" s="477">
        <f>IF('Incremental Repayments'!$R$22="Debt",IF(AND(BZ$4&gt;=$D96,BZ$4&lt;$D96+'Incremental Repayments'!$I$31),-PMT('Interest Rate'!$J$16,'Incremental Repayments'!$I$31,(HLOOKUP($D96,$E$4:$CZ$32,28,FALSE)*'Incremental Repayments'!$I$22)),0),0)</f>
        <v>0</v>
      </c>
      <c r="CA96" s="477">
        <f>IF('Incremental Repayments'!$R$22="Debt",IF(AND(CA$4&gt;=$D96,CA$4&lt;$D96+'Incremental Repayments'!$I$31),-PMT('Interest Rate'!$J$16,'Incremental Repayments'!$I$31,(HLOOKUP($D96,$E$4:$CZ$32,28,FALSE)*'Incremental Repayments'!$I$22)),0),0)</f>
        <v>0</v>
      </c>
      <c r="CB96" s="477">
        <f>IF('Incremental Repayments'!$R$22="Debt",IF(AND(CB$4&gt;=$D96,CB$4&lt;$D96+'Incremental Repayments'!$I$31),-PMT('Interest Rate'!$J$16,'Incremental Repayments'!$I$31,(HLOOKUP($D96,$E$4:$CZ$32,28,FALSE)*'Incremental Repayments'!$I$22)),0),0)</f>
        <v>0</v>
      </c>
      <c r="CC96" s="477">
        <f>IF('Incremental Repayments'!$R$22="Debt",IF(AND(CC$4&gt;=$D96,CC$4&lt;$D96+'Incremental Repayments'!$I$31),-PMT('Interest Rate'!$J$16,'Incremental Repayments'!$I$31,(HLOOKUP($D96,$E$4:$CZ$32,28,FALSE)*'Incremental Repayments'!$I$22)),0),0)</f>
        <v>0</v>
      </c>
      <c r="CD96" s="477">
        <f>IF('Incremental Repayments'!$R$22="Debt",IF(AND(CD$4&gt;=$D96,CD$4&lt;$D96+'Incremental Repayments'!$I$31),-PMT('Interest Rate'!$J$16,'Incremental Repayments'!$I$31,(HLOOKUP($D96,$E$4:$CZ$32,28,FALSE)*'Incremental Repayments'!$I$22)),0),0)</f>
        <v>0</v>
      </c>
      <c r="CE96" s="477">
        <f>IF('Incremental Repayments'!$R$22="Debt",IF(AND(CE$4&gt;=$D96,CE$4&lt;$D96+'Incremental Repayments'!$I$31),-PMT('Interest Rate'!$J$16,'Incremental Repayments'!$I$31,(HLOOKUP($D96,$E$4:$CZ$32,28,FALSE)*'Incremental Repayments'!$I$22)),0),0)</f>
        <v>0</v>
      </c>
      <c r="CF96" s="477">
        <f>IF('Incremental Repayments'!$R$22="Debt",IF(AND(CF$4&gt;=$D96,CF$4&lt;$D96+'Incremental Repayments'!$I$31),-PMT('Interest Rate'!$J$16,'Incremental Repayments'!$I$31,(HLOOKUP($D96,$E$4:$CZ$32,28,FALSE)*'Incremental Repayments'!$I$22)),0),0)</f>
        <v>0</v>
      </c>
      <c r="CG96" s="477">
        <f>IF('Incremental Repayments'!$R$22="Debt",IF(AND(CG$4&gt;=$D96,CG$4&lt;$D96+'Incremental Repayments'!$I$31),-PMT('Interest Rate'!$J$16,'Incremental Repayments'!$I$31,(HLOOKUP($D96,$E$4:$CZ$32,28,FALSE)*'Incremental Repayments'!$I$22)),0),0)</f>
        <v>0</v>
      </c>
      <c r="CH96" s="477">
        <f>IF('Incremental Repayments'!$R$22="Debt",IF(AND(CH$4&gt;=$D96,CH$4&lt;$D96+'Incremental Repayments'!$I$31),-PMT('Interest Rate'!$J$16,'Incremental Repayments'!$I$31,(HLOOKUP($D96,$E$4:$CZ$32,28,FALSE)*'Incremental Repayments'!$I$22)),0),0)</f>
        <v>0</v>
      </c>
      <c r="CI96" s="477">
        <f>IF('Incremental Repayments'!$R$22="Debt",IF(AND(CI$4&gt;=$D96,CI$4&lt;$D96+'Incremental Repayments'!$I$31),-PMT('Interest Rate'!$J$16,'Incremental Repayments'!$I$31,(HLOOKUP($D96,$E$4:$CZ$32,28,FALSE)*'Incremental Repayments'!$I$22)),0),0)</f>
        <v>0</v>
      </c>
      <c r="CJ96" s="477">
        <f>IF('Incremental Repayments'!$R$22="Debt",IF(AND(CJ$4&gt;=$D96,CJ$4&lt;$D96+'Incremental Repayments'!$I$31),-PMT('Interest Rate'!$J$16,'Incremental Repayments'!$I$31,(HLOOKUP($D96,$E$4:$CZ$32,28,FALSE)*'Incremental Repayments'!$I$22)),0),0)</f>
        <v>0</v>
      </c>
      <c r="CK96" s="477">
        <f>IF('Incremental Repayments'!$R$22="Debt",IF(AND(CK$4&gt;=$D96,CK$4&lt;$D96+'Incremental Repayments'!$I$31),-PMT('Interest Rate'!$J$16,'Incremental Repayments'!$I$31,(HLOOKUP($D96,$E$4:$CZ$32,28,FALSE)*'Incremental Repayments'!$I$22)),0),0)</f>
        <v>0</v>
      </c>
      <c r="CL96" s="477">
        <f>IF('Incremental Repayments'!$R$22="Debt",IF(AND(CL$4&gt;=$D96,CL$4&lt;$D96+'Incremental Repayments'!$I$31),-PMT('Interest Rate'!$J$16,'Incremental Repayments'!$I$31,(HLOOKUP($D96,$E$4:$CZ$32,28,FALSE)*'Incremental Repayments'!$I$22)),0),0)</f>
        <v>0</v>
      </c>
      <c r="CM96" s="477">
        <f>IF('Incremental Repayments'!$R$22="Debt",IF(AND(CM$4&gt;=$D96,CM$4&lt;$D96+'Incremental Repayments'!$I$31),-PMT('Interest Rate'!$J$16,'Incremental Repayments'!$I$31,(HLOOKUP($D96,$E$4:$CZ$32,28,FALSE)*'Incremental Repayments'!$I$22)),0),0)</f>
        <v>0</v>
      </c>
      <c r="CN96" s="477">
        <f>IF('Incremental Repayments'!$R$22="Debt",IF(AND(CN$4&gt;=$D96,CN$4&lt;$D96+'Incremental Repayments'!$I$31),-PMT('Interest Rate'!$J$16,'Incremental Repayments'!$I$31,(HLOOKUP($D96,$E$4:$CZ$32,28,FALSE)*'Incremental Repayments'!$I$22)),0),0)</f>
        <v>0</v>
      </c>
      <c r="CO96" s="477">
        <f>IF('Incremental Repayments'!$R$22="Debt",IF(AND(CO$4&gt;=$D96,CO$4&lt;$D96+'Incremental Repayments'!$I$31),-PMT('Interest Rate'!$J$16,'Incremental Repayments'!$I$31,(HLOOKUP($D96,$E$4:$CZ$32,28,FALSE)*'Incremental Repayments'!$I$22)),0),0)</f>
        <v>0</v>
      </c>
      <c r="CP96" s="477">
        <f>IF('Incremental Repayments'!$R$22="Debt",IF(AND(CP$4&gt;=$D96,CP$4&lt;$D96+'Incremental Repayments'!$I$31),-PMT('Interest Rate'!$J$16,'Incremental Repayments'!$I$31,(HLOOKUP($D96,$E$4:$CZ$32,28,FALSE)*'Incremental Repayments'!$I$22)),0),0)</f>
        <v>0</v>
      </c>
      <c r="CQ96" s="477">
        <f>IF('Incremental Repayments'!$R$22="Debt",IF(AND(CQ$4&gt;=$D96,CQ$4&lt;$D96+'Incremental Repayments'!$I$31),-PMT('Interest Rate'!$J$16,'Incremental Repayments'!$I$31,(HLOOKUP($D96,$E$4:$CZ$32,28,FALSE)*'Incremental Repayments'!$I$22)),0),0)</f>
        <v>0</v>
      </c>
      <c r="CR96" s="477">
        <f>IF('Incremental Repayments'!$R$22="Debt",IF(AND(CR$4&gt;=$D96,CR$4&lt;$D96+'Incremental Repayments'!$I$31),-PMT('Interest Rate'!$J$16,'Incremental Repayments'!$I$31,(HLOOKUP($D96,$E$4:$CZ$32,28,FALSE)*'Incremental Repayments'!$I$22)),0),0)</f>
        <v>0</v>
      </c>
      <c r="CS96" s="477">
        <f>IF('Incremental Repayments'!$R$22="Debt",IF(AND(CS$4&gt;=$D96,CS$4&lt;$D96+'Incremental Repayments'!$I$31),-PMT('Interest Rate'!$J$16,'Incremental Repayments'!$I$31,(HLOOKUP($D96,$E$4:$CZ$32,28,FALSE)*'Incremental Repayments'!$I$22)),0),0)</f>
        <v>0</v>
      </c>
      <c r="CT96" s="477">
        <f>IF('Incremental Repayments'!$R$22="Debt",IF(AND(CT$4&gt;=$D96,CT$4&lt;$D96+'Incremental Repayments'!$I$31),-PMT('Interest Rate'!$J$16,'Incremental Repayments'!$I$31,(HLOOKUP($D96,$E$4:$CZ$32,28,FALSE)*'Incremental Repayments'!$I$22)),0),0)</f>
        <v>0</v>
      </c>
      <c r="CU96" s="477">
        <f>IF('Incremental Repayments'!$R$22="Debt",IF(AND(CU$4&gt;=$D96,CU$4&lt;$D96+'Incremental Repayments'!$I$31),-PMT('Interest Rate'!$J$16,'Incremental Repayments'!$I$31,(HLOOKUP($D96,$E$4:$CZ$32,28,FALSE)*'Incremental Repayments'!$I$22)),0),0)</f>
        <v>0</v>
      </c>
      <c r="CV96" s="477">
        <f>IF('Incremental Repayments'!$R$22="Debt",IF(AND(CV$4&gt;=$D96,CV$4&lt;$D96+'Incremental Repayments'!$I$31),-PMT('Interest Rate'!$J$16,'Incremental Repayments'!$I$31,(HLOOKUP($D96,$E$4:$CZ$32,28,FALSE)*'Incremental Repayments'!$I$22)),0),0)</f>
        <v>0</v>
      </c>
      <c r="CW96" s="477">
        <f>IF('Incremental Repayments'!$R$22="Debt",IF(AND(CW$4&gt;=$D96,CW$4&lt;$D96+'Incremental Repayments'!$I$31),-PMT('Interest Rate'!$J$16,'Incremental Repayments'!$I$31,(HLOOKUP($D96,$E$4:$CZ$32,28,FALSE)*'Incremental Repayments'!$I$22)),0),0)</f>
        <v>0</v>
      </c>
      <c r="CX96" s="477">
        <f>IF('Incremental Repayments'!$R$22="Debt",IF(AND(CX$4&gt;=$D96,CX$4&lt;$D96+'Incremental Repayments'!$I$31),-PMT('Interest Rate'!$J$16,'Incremental Repayments'!$I$31,(HLOOKUP($D96,$E$4:$CZ$32,28,FALSE)*'Incremental Repayments'!$I$22)),0),0)</f>
        <v>0</v>
      </c>
      <c r="CY96" s="477">
        <f>IF('Incremental Repayments'!$R$22="Debt",IF(AND(CY$4&gt;=$D96,CY$4&lt;$D96+'Incremental Repayments'!$I$31),-PMT('Interest Rate'!$J$16,'Incremental Repayments'!$I$31,(HLOOKUP($D96,$E$4:$CZ$32,28,FALSE)*'Incremental Repayments'!$I$22)),0),0)</f>
        <v>0</v>
      </c>
      <c r="CZ96" s="477">
        <f>IF('Incremental Repayments'!$R$22="Debt",IF(AND(CZ$4&gt;=$D96,CZ$4&lt;$D96+'Incremental Repayments'!$I$31),-PMT('Interest Rate'!$J$16,'Incremental Repayments'!$I$31,(HLOOKUP($D96,$E$4:$CZ$32,28,FALSE)*'Incremental Repayments'!$I$22)),0),0)</f>
        <v>0</v>
      </c>
    </row>
    <row r="97" spans="2:104" x14ac:dyDescent="0.25">
      <c r="B97" s="480" t="str">
        <f>CONCATENATE("Series ",D97,"A Bonds (at ",'Interest Rate'!$J$16*100,"% Interest)")</f>
        <v>Series 2075A Bonds (at 4.5% Interest)</v>
      </c>
      <c r="C97" s="480"/>
      <c r="D97" s="492">
        <f t="shared" si="494"/>
        <v>2075</v>
      </c>
      <c r="E97" s="477">
        <f>IF('Incremental Repayments'!$R$22="Debt",IF(AND(E$4&gt;=$D97,E$4&lt;$D97+'Incremental Repayments'!$I$31),-PMT('Interest Rate'!$J$16,'Incremental Repayments'!$I$31,(HLOOKUP($D97,$E$4:$CZ$32,28,FALSE)*'Incremental Repayments'!$I$22)),0),0)</f>
        <v>0</v>
      </c>
      <c r="F97" s="477">
        <f>IF('Incremental Repayments'!$R$22="Debt",IF(AND(F$4&gt;=$D97,F$4&lt;$D97+'Incremental Repayments'!$I$31),-PMT('Interest Rate'!$J$16,'Incremental Repayments'!$I$31,(HLOOKUP($D97,$E$4:$CZ$32,28,FALSE)*'Incremental Repayments'!$I$22)),0),0)</f>
        <v>0</v>
      </c>
      <c r="G97" s="477">
        <f>IF('Incremental Repayments'!$R$22="Debt",IF(AND(G$4&gt;=$D97,G$4&lt;$D97+'Incremental Repayments'!$I$31),-PMT('Interest Rate'!$J$16,'Incremental Repayments'!$I$31,(HLOOKUP($D97,$E$4:$CZ$32,28,FALSE)*'Incremental Repayments'!$I$22)),0),0)</f>
        <v>0</v>
      </c>
      <c r="H97" s="477">
        <f>IF('Incremental Repayments'!$R$22="Debt",IF(AND(H$4&gt;=$D97,H$4&lt;$D97+'Incremental Repayments'!$I$31),-PMT('Interest Rate'!$J$16,'Incremental Repayments'!$I$31,(HLOOKUP($D97,$E$4:$CZ$32,28,FALSE)*'Incremental Repayments'!$I$22)),0),0)</f>
        <v>0</v>
      </c>
      <c r="I97" s="477">
        <f>IF('Incremental Repayments'!$R$22="Debt",IF(AND(I$4&gt;=$D97,I$4&lt;$D97+'Incremental Repayments'!$I$31),-PMT('Interest Rate'!$J$16,'Incremental Repayments'!$I$31,(HLOOKUP($D97,$E$4:$CZ$32,28,FALSE)*'Incremental Repayments'!$I$22)),0),0)</f>
        <v>0</v>
      </c>
      <c r="J97" s="477">
        <f>IF('Incremental Repayments'!$R$22="Debt",IF(AND(J$4&gt;=$D97,J$4&lt;$D97+'Incremental Repayments'!$I$31),-PMT('Interest Rate'!$J$16,'Incremental Repayments'!$I$31,(HLOOKUP($D97,$E$4:$CZ$32,28,FALSE)*'Incremental Repayments'!$I$22)),0),0)</f>
        <v>0</v>
      </c>
      <c r="K97" s="477">
        <f>IF('Incremental Repayments'!$R$22="Debt",IF(AND(K$4&gt;=$D97,K$4&lt;$D97+'Incremental Repayments'!$I$31),-PMT('Interest Rate'!$J$16,'Incremental Repayments'!$I$31,(HLOOKUP($D97,$E$4:$CZ$32,28,FALSE)*'Incremental Repayments'!$I$22)),0),0)</f>
        <v>0</v>
      </c>
      <c r="L97" s="477">
        <f>IF('Incremental Repayments'!$R$22="Debt",IF(AND(L$4&gt;=$D97,L$4&lt;$D97+'Incremental Repayments'!$I$31),-PMT('Interest Rate'!$J$16,'Incremental Repayments'!$I$31,(HLOOKUP($D97,$E$4:$CZ$32,28,FALSE)*'Incremental Repayments'!$I$22)),0),0)</f>
        <v>0</v>
      </c>
      <c r="M97" s="477">
        <f>IF('Incremental Repayments'!$R$22="Debt",IF(AND(M$4&gt;=$D97,M$4&lt;$D97+'Incremental Repayments'!$I$31),-PMT('Interest Rate'!$J$16,'Incremental Repayments'!$I$31,(HLOOKUP($D97,$E$4:$CZ$32,28,FALSE)*'Incremental Repayments'!$I$22)),0),0)</f>
        <v>0</v>
      </c>
      <c r="N97" s="477">
        <f>IF('Incremental Repayments'!$R$22="Debt",IF(AND(N$4&gt;=$D97,N$4&lt;$D97+'Incremental Repayments'!$I$31),-PMT('Interest Rate'!$J$16,'Incremental Repayments'!$I$31,(HLOOKUP($D97,$E$4:$CZ$32,28,FALSE)*'Incremental Repayments'!$I$22)),0),0)</f>
        <v>0</v>
      </c>
      <c r="O97" s="477">
        <f>IF('Incremental Repayments'!$R$22="Debt",IF(AND(O$4&gt;=$D97,O$4&lt;$D97+'Incremental Repayments'!$I$31),-PMT('Interest Rate'!$J$16,'Incremental Repayments'!$I$31,(HLOOKUP($D97,$E$4:$CZ$32,28,FALSE)*'Incremental Repayments'!$I$22)),0),0)</f>
        <v>0</v>
      </c>
      <c r="P97" s="477">
        <f>IF('Incremental Repayments'!$R$22="Debt",IF(AND(P$4&gt;=$D97,P$4&lt;$D97+'Incremental Repayments'!$I$31),-PMT('Interest Rate'!$J$16,'Incremental Repayments'!$I$31,(HLOOKUP($D97,$E$4:$CZ$32,28,FALSE)*'Incremental Repayments'!$I$22)),0),0)</f>
        <v>0</v>
      </c>
      <c r="Q97" s="477">
        <f>IF('Incremental Repayments'!$R$22="Debt",IF(AND(Q$4&gt;=$D97,Q$4&lt;$D97+'Incremental Repayments'!$I$31),-PMT('Interest Rate'!$J$16,'Incremental Repayments'!$I$31,(HLOOKUP($D97,$E$4:$CZ$32,28,FALSE)*'Incremental Repayments'!$I$22)),0),0)</f>
        <v>0</v>
      </c>
      <c r="R97" s="477">
        <f>IF('Incremental Repayments'!$R$22="Debt",IF(AND(R$4&gt;=$D97,R$4&lt;$D97+'Incremental Repayments'!$I$31),-PMT('Interest Rate'!$J$16,'Incremental Repayments'!$I$31,(HLOOKUP($D97,$E$4:$CZ$32,28,FALSE)*'Incremental Repayments'!$I$22)),0),0)</f>
        <v>0</v>
      </c>
      <c r="S97" s="477">
        <f>IF('Incremental Repayments'!$R$22="Debt",IF(AND(S$4&gt;=$D97,S$4&lt;$D97+'Incremental Repayments'!$I$31),-PMT('Interest Rate'!$J$16,'Incremental Repayments'!$I$31,(HLOOKUP($D97,$E$4:$CZ$32,28,FALSE)*'Incremental Repayments'!$I$22)),0),0)</f>
        <v>0</v>
      </c>
      <c r="T97" s="477">
        <f>IF('Incremental Repayments'!$R$22="Debt",IF(AND(T$4&gt;=$D97,T$4&lt;$D97+'Incremental Repayments'!$I$31),-PMT('Interest Rate'!$J$16,'Incremental Repayments'!$I$31,(HLOOKUP($D97,$E$4:$CZ$32,28,FALSE)*'Incremental Repayments'!$I$22)),0),0)</f>
        <v>0</v>
      </c>
      <c r="U97" s="477">
        <f>IF('Incremental Repayments'!$R$22="Debt",IF(AND(U$4&gt;=$D97,U$4&lt;$D97+'Incremental Repayments'!$I$31),-PMT('Interest Rate'!$J$16,'Incremental Repayments'!$I$31,(HLOOKUP($D97,$E$4:$CZ$32,28,FALSE)*'Incremental Repayments'!$I$22)),0),0)</f>
        <v>0</v>
      </c>
      <c r="V97" s="477">
        <f>IF('Incremental Repayments'!$R$22="Debt",IF(AND(V$4&gt;=$D97,V$4&lt;$D97+'Incremental Repayments'!$I$31),-PMT('Interest Rate'!$J$16,'Incremental Repayments'!$I$31,(HLOOKUP($D97,$E$4:$CZ$32,28,FALSE)*'Incremental Repayments'!$I$22)),0),0)</f>
        <v>0</v>
      </c>
      <c r="W97" s="477">
        <f>IF('Incremental Repayments'!$R$22="Debt",IF(AND(W$4&gt;=$D97,W$4&lt;$D97+'Incremental Repayments'!$I$31),-PMT('Interest Rate'!$J$16,'Incremental Repayments'!$I$31,(HLOOKUP($D97,$E$4:$CZ$32,28,FALSE)*'Incremental Repayments'!$I$22)),0),0)</f>
        <v>0</v>
      </c>
      <c r="X97" s="477">
        <f>IF('Incremental Repayments'!$R$22="Debt",IF(AND(X$4&gt;=$D97,X$4&lt;$D97+'Incremental Repayments'!$I$31),-PMT('Interest Rate'!$J$16,'Incremental Repayments'!$I$31,(HLOOKUP($D97,$E$4:$CZ$32,28,FALSE)*'Incremental Repayments'!$I$22)),0),0)</f>
        <v>0</v>
      </c>
      <c r="Y97" s="477">
        <f>IF('Incremental Repayments'!$R$22="Debt",IF(AND(Y$4&gt;=$D97,Y$4&lt;$D97+'Incremental Repayments'!$I$31),-PMT('Interest Rate'!$J$16,'Incremental Repayments'!$I$31,(HLOOKUP($D97,$E$4:$CZ$32,28,FALSE)*'Incremental Repayments'!$I$22)),0),0)</f>
        <v>0</v>
      </c>
      <c r="Z97" s="477">
        <f>IF('Incremental Repayments'!$R$22="Debt",IF(AND(Z$4&gt;=$D97,Z$4&lt;$D97+'Incremental Repayments'!$I$31),-PMT('Interest Rate'!$J$16,'Incremental Repayments'!$I$31,(HLOOKUP($D97,$E$4:$CZ$32,28,FALSE)*'Incremental Repayments'!$I$22)),0),0)</f>
        <v>0</v>
      </c>
      <c r="AA97" s="477">
        <f>IF('Incremental Repayments'!$R$22="Debt",IF(AND(AA$4&gt;=$D97,AA$4&lt;$D97+'Incremental Repayments'!$I$31),-PMT('Interest Rate'!$J$16,'Incremental Repayments'!$I$31,(HLOOKUP($D97,$E$4:$CZ$32,28,FALSE)*'Incremental Repayments'!$I$22)),0),0)</f>
        <v>0</v>
      </c>
      <c r="AB97" s="477">
        <f>IF('Incremental Repayments'!$R$22="Debt",IF(AND(AB$4&gt;=$D97,AB$4&lt;$D97+'Incremental Repayments'!$I$31),-PMT('Interest Rate'!$J$16,'Incremental Repayments'!$I$31,(HLOOKUP($D97,$E$4:$CZ$32,28,FALSE)*'Incremental Repayments'!$I$22)),0),0)</f>
        <v>0</v>
      </c>
      <c r="AC97" s="477">
        <f>IF('Incremental Repayments'!$R$22="Debt",IF(AND(AC$4&gt;=$D97,AC$4&lt;$D97+'Incremental Repayments'!$I$31),-PMT('Interest Rate'!$J$16,'Incremental Repayments'!$I$31,(HLOOKUP($D97,$E$4:$CZ$32,28,FALSE)*'Incremental Repayments'!$I$22)),0),0)</f>
        <v>0</v>
      </c>
      <c r="AD97" s="477">
        <f>IF('Incremental Repayments'!$R$22="Debt",IF(AND(AD$4&gt;=$D97,AD$4&lt;$D97+'Incremental Repayments'!$I$31),-PMT('Interest Rate'!$J$16,'Incremental Repayments'!$I$31,(HLOOKUP($D97,$E$4:$CZ$32,28,FALSE)*'Incremental Repayments'!$I$22)),0),0)</f>
        <v>0</v>
      </c>
      <c r="AE97" s="477">
        <f>IF('Incremental Repayments'!$R$22="Debt",IF(AND(AE$4&gt;=$D97,AE$4&lt;$D97+'Incremental Repayments'!$I$31),-PMT('Interest Rate'!$J$16,'Incremental Repayments'!$I$31,(HLOOKUP($D97,$E$4:$CZ$32,28,FALSE)*'Incremental Repayments'!$I$22)),0),0)</f>
        <v>0</v>
      </c>
      <c r="AF97" s="477">
        <f>IF('Incremental Repayments'!$R$22="Debt",IF(AND(AF$4&gt;=$D97,AF$4&lt;$D97+'Incremental Repayments'!$I$31),-PMT('Interest Rate'!$J$16,'Incremental Repayments'!$I$31,(HLOOKUP($D97,$E$4:$CZ$32,28,FALSE)*'Incremental Repayments'!$I$22)),0),0)</f>
        <v>0</v>
      </c>
      <c r="AG97" s="477">
        <f>IF('Incremental Repayments'!$R$22="Debt",IF(AND(AG$4&gt;=$D97,AG$4&lt;$D97+'Incremental Repayments'!$I$31),-PMT('Interest Rate'!$J$16,'Incremental Repayments'!$I$31,(HLOOKUP($D97,$E$4:$CZ$32,28,FALSE)*'Incremental Repayments'!$I$22)),0),0)</f>
        <v>0</v>
      </c>
      <c r="AH97" s="477">
        <f>IF('Incremental Repayments'!$R$22="Debt",IF(AND(AH$4&gt;=$D97,AH$4&lt;$D97+'Incremental Repayments'!$I$31),-PMT('Interest Rate'!$J$16,'Incremental Repayments'!$I$31,(HLOOKUP($D97,$E$4:$CZ$32,28,FALSE)*'Incremental Repayments'!$I$22)),0),0)</f>
        <v>0</v>
      </c>
      <c r="AI97" s="477">
        <f>IF('Incremental Repayments'!$R$22="Debt",IF(AND(AI$4&gt;=$D97,AI$4&lt;$D97+'Incremental Repayments'!$I$31),-PMT('Interest Rate'!$J$16,'Incremental Repayments'!$I$31,(HLOOKUP($D97,$E$4:$CZ$32,28,FALSE)*'Incremental Repayments'!$I$22)),0),0)</f>
        <v>0</v>
      </c>
      <c r="AJ97" s="477">
        <f>IF('Incremental Repayments'!$R$22="Debt",IF(AND(AJ$4&gt;=$D97,AJ$4&lt;$D97+'Incremental Repayments'!$I$31),-PMT('Interest Rate'!$J$16,'Incremental Repayments'!$I$31,(HLOOKUP($D97,$E$4:$CZ$32,28,FALSE)*'Incremental Repayments'!$I$22)),0),0)</f>
        <v>0</v>
      </c>
      <c r="AK97" s="477">
        <f>IF('Incremental Repayments'!$R$22="Debt",IF(AND(AK$4&gt;=$D97,AK$4&lt;$D97+'Incremental Repayments'!$I$31),-PMT('Interest Rate'!$J$16,'Incremental Repayments'!$I$31,(HLOOKUP($D97,$E$4:$CZ$32,28,FALSE)*'Incremental Repayments'!$I$22)),0),0)</f>
        <v>0</v>
      </c>
      <c r="AL97" s="477">
        <f>IF('Incremental Repayments'!$R$22="Debt",IF(AND(AL$4&gt;=$D97,AL$4&lt;$D97+'Incremental Repayments'!$I$31),-PMT('Interest Rate'!$J$16,'Incremental Repayments'!$I$31,(HLOOKUP($D97,$E$4:$CZ$32,28,FALSE)*'Incremental Repayments'!$I$22)),0),0)</f>
        <v>0</v>
      </c>
      <c r="AM97" s="477">
        <f>IF('Incremental Repayments'!$R$22="Debt",IF(AND(AM$4&gt;=$D97,AM$4&lt;$D97+'Incremental Repayments'!$I$31),-PMT('Interest Rate'!$J$16,'Incremental Repayments'!$I$31,(HLOOKUP($D97,$E$4:$CZ$32,28,FALSE)*'Incremental Repayments'!$I$22)),0),0)</f>
        <v>0</v>
      </c>
      <c r="AN97" s="477">
        <f>IF('Incremental Repayments'!$R$22="Debt",IF(AND(AN$4&gt;=$D97,AN$4&lt;$D97+'Incremental Repayments'!$I$31),-PMT('Interest Rate'!$J$16,'Incremental Repayments'!$I$31,(HLOOKUP($D97,$E$4:$CZ$32,28,FALSE)*'Incremental Repayments'!$I$22)),0),0)</f>
        <v>0</v>
      </c>
      <c r="AO97" s="477">
        <f>IF('Incremental Repayments'!$R$22="Debt",IF(AND(AO$4&gt;=$D97,AO$4&lt;$D97+'Incremental Repayments'!$I$31),-PMT('Interest Rate'!$J$16,'Incremental Repayments'!$I$31,(HLOOKUP($D97,$E$4:$CZ$32,28,FALSE)*'Incremental Repayments'!$I$22)),0),0)</f>
        <v>0</v>
      </c>
      <c r="AP97" s="477">
        <f>IF('Incremental Repayments'!$R$22="Debt",IF(AND(AP$4&gt;=$D97,AP$4&lt;$D97+'Incremental Repayments'!$I$31),-PMT('Interest Rate'!$J$16,'Incremental Repayments'!$I$31,(HLOOKUP($D97,$E$4:$CZ$32,28,FALSE)*'Incremental Repayments'!$I$22)),0),0)</f>
        <v>0</v>
      </c>
      <c r="AQ97" s="477">
        <f>IF('Incremental Repayments'!$R$22="Debt",IF(AND(AQ$4&gt;=$D97,AQ$4&lt;$D97+'Incremental Repayments'!$I$31),-PMT('Interest Rate'!$J$16,'Incremental Repayments'!$I$31,(HLOOKUP($D97,$E$4:$CZ$32,28,FALSE)*'Incremental Repayments'!$I$22)),0),0)</f>
        <v>0</v>
      </c>
      <c r="AR97" s="477">
        <f>IF('Incremental Repayments'!$R$22="Debt",IF(AND(AR$4&gt;=$D97,AR$4&lt;$D97+'Incremental Repayments'!$I$31),-PMT('Interest Rate'!$J$16,'Incremental Repayments'!$I$31,(HLOOKUP($D97,$E$4:$CZ$32,28,FALSE)*'Incremental Repayments'!$I$22)),0),0)</f>
        <v>0</v>
      </c>
      <c r="AS97" s="477">
        <f>IF('Incremental Repayments'!$R$22="Debt",IF(AND(AS$4&gt;=$D97,AS$4&lt;$D97+'Incremental Repayments'!$I$31),-PMT('Interest Rate'!$J$16,'Incremental Repayments'!$I$31,(HLOOKUP($D97,$E$4:$CZ$32,28,FALSE)*'Incremental Repayments'!$I$22)),0),0)</f>
        <v>0</v>
      </c>
      <c r="AT97" s="477">
        <f>IF('Incremental Repayments'!$R$22="Debt",IF(AND(AT$4&gt;=$D97,AT$4&lt;$D97+'Incremental Repayments'!$I$31),-PMT('Interest Rate'!$J$16,'Incremental Repayments'!$I$31,(HLOOKUP($D97,$E$4:$CZ$32,28,FALSE)*'Incremental Repayments'!$I$22)),0),0)</f>
        <v>0</v>
      </c>
      <c r="AU97" s="477">
        <f>IF('Incremental Repayments'!$R$22="Debt",IF(AND(AU$4&gt;=$D97,AU$4&lt;$D97+'Incremental Repayments'!$I$31),-PMT('Interest Rate'!$J$16,'Incremental Repayments'!$I$31,(HLOOKUP($D97,$E$4:$CZ$32,28,FALSE)*'Incremental Repayments'!$I$22)),0),0)</f>
        <v>0</v>
      </c>
      <c r="AV97" s="477">
        <f>IF('Incremental Repayments'!$R$22="Debt",IF(AND(AV$4&gt;=$D97,AV$4&lt;$D97+'Incremental Repayments'!$I$31),-PMT('Interest Rate'!$J$16,'Incremental Repayments'!$I$31,(HLOOKUP($D97,$E$4:$CZ$32,28,FALSE)*'Incremental Repayments'!$I$22)),0),0)</f>
        <v>0</v>
      </c>
      <c r="AW97" s="477">
        <f>IF('Incremental Repayments'!$R$22="Debt",IF(AND(AW$4&gt;=$D97,AW$4&lt;$D97+'Incremental Repayments'!$I$31),-PMT('Interest Rate'!$J$16,'Incremental Repayments'!$I$31,(HLOOKUP($D97,$E$4:$CZ$32,28,FALSE)*'Incremental Repayments'!$I$22)),0),0)</f>
        <v>0</v>
      </c>
      <c r="AX97" s="477">
        <f>IF('Incremental Repayments'!$R$22="Debt",IF(AND(AX$4&gt;=$D97,AX$4&lt;$D97+'Incremental Repayments'!$I$31),-PMT('Interest Rate'!$J$16,'Incremental Repayments'!$I$31,(HLOOKUP($D97,$E$4:$CZ$32,28,FALSE)*'Incremental Repayments'!$I$22)),0),0)</f>
        <v>0</v>
      </c>
      <c r="AY97" s="477">
        <f>IF('Incremental Repayments'!$R$22="Debt",IF(AND(AY$4&gt;=$D97,AY$4&lt;$D97+'Incremental Repayments'!$I$31),-PMT('Interest Rate'!$J$16,'Incremental Repayments'!$I$31,(HLOOKUP($D97,$E$4:$CZ$32,28,FALSE)*'Incremental Repayments'!$I$22)),0),0)</f>
        <v>0</v>
      </c>
      <c r="AZ97" s="477">
        <f>IF('Incremental Repayments'!$R$22="Debt",IF(AND(AZ$4&gt;=$D97,AZ$4&lt;$D97+'Incremental Repayments'!$I$31),-PMT('Interest Rate'!$J$16,'Incremental Repayments'!$I$31,(HLOOKUP($D97,$E$4:$CZ$32,28,FALSE)*'Incremental Repayments'!$I$22)),0),0)</f>
        <v>0</v>
      </c>
      <c r="BA97" s="477">
        <f>IF('Incremental Repayments'!$R$22="Debt",IF(AND(BA$4&gt;=$D97,BA$4&lt;$D97+'Incremental Repayments'!$I$31),-PMT('Interest Rate'!$J$16,'Incremental Repayments'!$I$31,(HLOOKUP($D97,$E$4:$CZ$32,28,FALSE)*'Incremental Repayments'!$I$22)),0),0)</f>
        <v>0</v>
      </c>
      <c r="BB97" s="477">
        <f>IF('Incremental Repayments'!$R$22="Debt",IF(AND(BB$4&gt;=$D97,BB$4&lt;$D97+'Incremental Repayments'!$I$31),-PMT('Interest Rate'!$J$16,'Incremental Repayments'!$I$31,(HLOOKUP($D97,$E$4:$CZ$32,28,FALSE)*'Incremental Repayments'!$I$22)),0),0)</f>
        <v>0</v>
      </c>
      <c r="BC97" s="477">
        <f>IF('Incremental Repayments'!$R$22="Debt",IF(AND(BC$4&gt;=$D97,BC$4&lt;$D97+'Incremental Repayments'!$I$31),-PMT('Interest Rate'!$J$16,'Incremental Repayments'!$I$31,(HLOOKUP($D97,$E$4:$CZ$32,28,FALSE)*'Incremental Repayments'!$I$22)),0),0)</f>
        <v>0</v>
      </c>
      <c r="BD97" s="477">
        <f>IF('Incremental Repayments'!$R$22="Debt",IF(AND(BD$4&gt;=$D97,BD$4&lt;$D97+'Incremental Repayments'!$I$31),-PMT('Interest Rate'!$J$16,'Incremental Repayments'!$I$31,(HLOOKUP($D97,$E$4:$CZ$32,28,FALSE)*'Incremental Repayments'!$I$22)),0),0)</f>
        <v>0</v>
      </c>
      <c r="BE97" s="477">
        <f>IF('Incremental Repayments'!$R$22="Debt",IF(AND(BE$4&gt;=$D97,BE$4&lt;$D97+'Incremental Repayments'!$I$31),-PMT('Interest Rate'!$J$16,'Incremental Repayments'!$I$31,(HLOOKUP($D97,$E$4:$CZ$32,28,FALSE)*'Incremental Repayments'!$I$22)),0),0)</f>
        <v>0</v>
      </c>
      <c r="BF97" s="477">
        <f>IF('Incremental Repayments'!$R$22="Debt",IF(AND(BF$4&gt;=$D97,BF$4&lt;$D97+'Incremental Repayments'!$I$31),-PMT('Interest Rate'!$J$16,'Incremental Repayments'!$I$31,(HLOOKUP($D97,$E$4:$CZ$32,28,FALSE)*'Incremental Repayments'!$I$22)),0),0)</f>
        <v>0</v>
      </c>
      <c r="BG97" s="477">
        <f>IF('Incremental Repayments'!$R$22="Debt",IF(AND(BG$4&gt;=$D97,BG$4&lt;$D97+'Incremental Repayments'!$I$31),-PMT('Interest Rate'!$J$16,'Incremental Repayments'!$I$31,(HLOOKUP($D97,$E$4:$CZ$32,28,FALSE)*'Incremental Repayments'!$I$22)),0),0)</f>
        <v>0</v>
      </c>
      <c r="BH97" s="477">
        <f>IF('Incremental Repayments'!$R$22="Debt",IF(AND(BH$4&gt;=$D97,BH$4&lt;$D97+'Incremental Repayments'!$I$31),-PMT('Interest Rate'!$J$16,'Incremental Repayments'!$I$31,(HLOOKUP($D97,$E$4:$CZ$32,28,FALSE)*'Incremental Repayments'!$I$22)),0),0)</f>
        <v>0</v>
      </c>
      <c r="BI97" s="477">
        <f>IF('Incremental Repayments'!$R$22="Debt",IF(AND(BI$4&gt;=$D97,BI$4&lt;$D97+'Incremental Repayments'!$I$31),-PMT('Interest Rate'!$J$16,'Incremental Repayments'!$I$31,(HLOOKUP($D97,$E$4:$CZ$32,28,FALSE)*'Incremental Repayments'!$I$22)),0),0)</f>
        <v>0</v>
      </c>
      <c r="BJ97" s="477">
        <f>IF('Incremental Repayments'!$R$22="Debt",IF(AND(BJ$4&gt;=$D97,BJ$4&lt;$D97+'Incremental Repayments'!$I$31),-PMT('Interest Rate'!$J$16,'Incremental Repayments'!$I$31,(HLOOKUP($D97,$E$4:$CZ$32,28,FALSE)*'Incremental Repayments'!$I$22)),0),0)</f>
        <v>0</v>
      </c>
      <c r="BK97" s="477">
        <f>IF('Incremental Repayments'!$R$22="Debt",IF(AND(BK$4&gt;=$D97,BK$4&lt;$D97+'Incremental Repayments'!$I$31),-PMT('Interest Rate'!$J$16,'Incremental Repayments'!$I$31,(HLOOKUP($D97,$E$4:$CZ$32,28,FALSE)*'Incremental Repayments'!$I$22)),0),0)</f>
        <v>0</v>
      </c>
      <c r="BL97" s="477">
        <f>IF('Incremental Repayments'!$R$22="Debt",IF(AND(BL$4&gt;=$D97,BL$4&lt;$D97+'Incremental Repayments'!$I$31),-PMT('Interest Rate'!$J$16,'Incremental Repayments'!$I$31,(HLOOKUP($D97,$E$4:$CZ$32,28,FALSE)*'Incremental Repayments'!$I$22)),0),0)</f>
        <v>0</v>
      </c>
      <c r="BM97" s="477">
        <f>IF('Incremental Repayments'!$R$22="Debt",IF(AND(BM$4&gt;=$D97,BM$4&lt;$D97+'Incremental Repayments'!$I$31),-PMT('Interest Rate'!$J$16,'Incremental Repayments'!$I$31,(HLOOKUP($D97,$E$4:$CZ$32,28,FALSE)*'Incremental Repayments'!$I$22)),0),0)</f>
        <v>0</v>
      </c>
      <c r="BN97" s="477">
        <f>IF('Incremental Repayments'!$R$22="Debt",IF(AND(BN$4&gt;=$D97,BN$4&lt;$D97+'Incremental Repayments'!$I$31),-PMT('Interest Rate'!$J$16,'Incremental Repayments'!$I$31,(HLOOKUP($D97,$E$4:$CZ$32,28,FALSE)*'Incremental Repayments'!$I$22)),0),0)</f>
        <v>0</v>
      </c>
      <c r="BO97" s="477">
        <f>IF('Incremental Repayments'!$R$22="Debt",IF(AND(BO$4&gt;=$D97,BO$4&lt;$D97+'Incremental Repayments'!$I$31),-PMT('Interest Rate'!$J$16,'Incremental Repayments'!$I$31,(HLOOKUP($D97,$E$4:$CZ$32,28,FALSE)*'Incremental Repayments'!$I$22)),0),0)</f>
        <v>0</v>
      </c>
      <c r="BP97" s="477">
        <f>IF('Incremental Repayments'!$R$22="Debt",IF(AND(BP$4&gt;=$D97,BP$4&lt;$D97+'Incremental Repayments'!$I$31),-PMT('Interest Rate'!$J$16,'Incremental Repayments'!$I$31,(HLOOKUP($D97,$E$4:$CZ$32,28,FALSE)*'Incremental Repayments'!$I$22)),0),0)</f>
        <v>0</v>
      </c>
      <c r="BQ97" s="477">
        <f>IF('Incremental Repayments'!$R$22="Debt",IF(AND(BQ$4&gt;=$D97,BQ$4&lt;$D97+'Incremental Repayments'!$I$31),-PMT('Interest Rate'!$J$16,'Incremental Repayments'!$I$31,(HLOOKUP($D97,$E$4:$CZ$32,28,FALSE)*'Incremental Repayments'!$I$22)),0),0)</f>
        <v>0</v>
      </c>
      <c r="BR97" s="477">
        <f>IF('Incremental Repayments'!$R$22="Debt",IF(AND(BR$4&gt;=$D97,BR$4&lt;$D97+'Incremental Repayments'!$I$31),-PMT('Interest Rate'!$J$16,'Incremental Repayments'!$I$31,(HLOOKUP($D97,$E$4:$CZ$32,28,FALSE)*'Incremental Repayments'!$I$22)),0),0)</f>
        <v>0</v>
      </c>
      <c r="BS97" s="477">
        <f>IF('Incremental Repayments'!$R$22="Debt",IF(AND(BS$4&gt;=$D97,BS$4&lt;$D97+'Incremental Repayments'!$I$31),-PMT('Interest Rate'!$J$16,'Incremental Repayments'!$I$31,(HLOOKUP($D97,$E$4:$CZ$32,28,FALSE)*'Incremental Repayments'!$I$22)),0),0)</f>
        <v>0</v>
      </c>
      <c r="BT97" s="477">
        <f>IF('Incremental Repayments'!$R$22="Debt",IF(AND(BT$4&gt;=$D97,BT$4&lt;$D97+'Incremental Repayments'!$I$31),-PMT('Interest Rate'!$J$16,'Incremental Repayments'!$I$31,(HLOOKUP($D97,$E$4:$CZ$32,28,FALSE)*'Incremental Repayments'!$I$22)),0),0)</f>
        <v>0</v>
      </c>
      <c r="BU97" s="477">
        <f>IF('Incremental Repayments'!$R$22="Debt",IF(AND(BU$4&gt;=$D97,BU$4&lt;$D97+'Incremental Repayments'!$I$31),-PMT('Interest Rate'!$J$16,'Incremental Repayments'!$I$31,(HLOOKUP($D97,$E$4:$CZ$32,28,FALSE)*'Incremental Repayments'!$I$22)),0),0)</f>
        <v>0</v>
      </c>
      <c r="BV97" s="477">
        <f>IF('Incremental Repayments'!$R$22="Debt",IF(AND(BV$4&gt;=$D97,BV$4&lt;$D97+'Incremental Repayments'!$I$31),-PMT('Interest Rate'!$J$16,'Incremental Repayments'!$I$31,(HLOOKUP($D97,$E$4:$CZ$32,28,FALSE)*'Incremental Repayments'!$I$22)),0),0)</f>
        <v>0</v>
      </c>
      <c r="BW97" s="477">
        <f>IF('Incremental Repayments'!$R$22="Debt",IF(AND(BW$4&gt;=$D97,BW$4&lt;$D97+'Incremental Repayments'!$I$31),-PMT('Interest Rate'!$J$16,'Incremental Repayments'!$I$31,(HLOOKUP($D97,$E$4:$CZ$32,28,FALSE)*'Incremental Repayments'!$I$22)),0),0)</f>
        <v>0</v>
      </c>
      <c r="BX97" s="477">
        <f>IF('Incremental Repayments'!$R$22="Debt",IF(AND(BX$4&gt;=$D97,BX$4&lt;$D97+'Incremental Repayments'!$I$31),-PMT('Interest Rate'!$J$16,'Incremental Repayments'!$I$31,(HLOOKUP($D97,$E$4:$CZ$32,28,FALSE)*'Incremental Repayments'!$I$22)),0),0)</f>
        <v>0</v>
      </c>
      <c r="BY97" s="477">
        <f>IF('Incremental Repayments'!$R$22="Debt",IF(AND(BY$4&gt;=$D97,BY$4&lt;$D97+'Incremental Repayments'!$I$31),-PMT('Interest Rate'!$J$16,'Incremental Repayments'!$I$31,(HLOOKUP($D97,$E$4:$CZ$32,28,FALSE)*'Incremental Repayments'!$I$22)),0),0)</f>
        <v>0</v>
      </c>
      <c r="BZ97" s="477">
        <f>IF('Incremental Repayments'!$R$22="Debt",IF(AND(BZ$4&gt;=$D97,BZ$4&lt;$D97+'Incremental Repayments'!$I$31),-PMT('Interest Rate'!$J$16,'Incremental Repayments'!$I$31,(HLOOKUP($D97,$E$4:$CZ$32,28,FALSE)*'Incremental Repayments'!$I$22)),0),0)</f>
        <v>0</v>
      </c>
      <c r="CA97" s="477">
        <f>IF('Incremental Repayments'!$R$22="Debt",IF(AND(CA$4&gt;=$D97,CA$4&lt;$D97+'Incremental Repayments'!$I$31),-PMT('Interest Rate'!$J$16,'Incremental Repayments'!$I$31,(HLOOKUP($D97,$E$4:$CZ$32,28,FALSE)*'Incremental Repayments'!$I$22)),0),0)</f>
        <v>0</v>
      </c>
      <c r="CB97" s="477">
        <f>IF('Incremental Repayments'!$R$22="Debt",IF(AND(CB$4&gt;=$D97,CB$4&lt;$D97+'Incremental Repayments'!$I$31),-PMT('Interest Rate'!$J$16,'Incremental Repayments'!$I$31,(HLOOKUP($D97,$E$4:$CZ$32,28,FALSE)*'Incremental Repayments'!$I$22)),0),0)</f>
        <v>0</v>
      </c>
      <c r="CC97" s="477">
        <f>IF('Incremental Repayments'!$R$22="Debt",IF(AND(CC$4&gt;=$D97,CC$4&lt;$D97+'Incremental Repayments'!$I$31),-PMT('Interest Rate'!$J$16,'Incremental Repayments'!$I$31,(HLOOKUP($D97,$E$4:$CZ$32,28,FALSE)*'Incremental Repayments'!$I$22)),0),0)</f>
        <v>0</v>
      </c>
      <c r="CD97" s="477">
        <f>IF('Incremental Repayments'!$R$22="Debt",IF(AND(CD$4&gt;=$D97,CD$4&lt;$D97+'Incremental Repayments'!$I$31),-PMT('Interest Rate'!$J$16,'Incremental Repayments'!$I$31,(HLOOKUP($D97,$E$4:$CZ$32,28,FALSE)*'Incremental Repayments'!$I$22)),0),0)</f>
        <v>0</v>
      </c>
      <c r="CE97" s="477">
        <f>IF('Incremental Repayments'!$R$22="Debt",IF(AND(CE$4&gt;=$D97,CE$4&lt;$D97+'Incremental Repayments'!$I$31),-PMT('Interest Rate'!$J$16,'Incremental Repayments'!$I$31,(HLOOKUP($D97,$E$4:$CZ$32,28,FALSE)*'Incremental Repayments'!$I$22)),0),0)</f>
        <v>0</v>
      </c>
      <c r="CF97" s="477">
        <f>IF('Incremental Repayments'!$R$22="Debt",IF(AND(CF$4&gt;=$D97,CF$4&lt;$D97+'Incremental Repayments'!$I$31),-PMT('Interest Rate'!$J$16,'Incremental Repayments'!$I$31,(HLOOKUP($D97,$E$4:$CZ$32,28,FALSE)*'Incremental Repayments'!$I$22)),0),0)</f>
        <v>0</v>
      </c>
      <c r="CG97" s="477">
        <f>IF('Incremental Repayments'!$R$22="Debt",IF(AND(CG$4&gt;=$D97,CG$4&lt;$D97+'Incremental Repayments'!$I$31),-PMT('Interest Rate'!$J$16,'Incremental Repayments'!$I$31,(HLOOKUP($D97,$E$4:$CZ$32,28,FALSE)*'Incremental Repayments'!$I$22)),0),0)</f>
        <v>0</v>
      </c>
      <c r="CH97" s="477">
        <f>IF('Incremental Repayments'!$R$22="Debt",IF(AND(CH$4&gt;=$D97,CH$4&lt;$D97+'Incremental Repayments'!$I$31),-PMT('Interest Rate'!$J$16,'Incremental Repayments'!$I$31,(HLOOKUP($D97,$E$4:$CZ$32,28,FALSE)*'Incremental Repayments'!$I$22)),0),0)</f>
        <v>0</v>
      </c>
      <c r="CI97" s="477">
        <f>IF('Incremental Repayments'!$R$22="Debt",IF(AND(CI$4&gt;=$D97,CI$4&lt;$D97+'Incremental Repayments'!$I$31),-PMT('Interest Rate'!$J$16,'Incremental Repayments'!$I$31,(HLOOKUP($D97,$E$4:$CZ$32,28,FALSE)*'Incremental Repayments'!$I$22)),0),0)</f>
        <v>0</v>
      </c>
      <c r="CJ97" s="477">
        <f>IF('Incremental Repayments'!$R$22="Debt",IF(AND(CJ$4&gt;=$D97,CJ$4&lt;$D97+'Incremental Repayments'!$I$31),-PMT('Interest Rate'!$J$16,'Incremental Repayments'!$I$31,(HLOOKUP($D97,$E$4:$CZ$32,28,FALSE)*'Incremental Repayments'!$I$22)),0),0)</f>
        <v>0</v>
      </c>
      <c r="CK97" s="477">
        <f>IF('Incremental Repayments'!$R$22="Debt",IF(AND(CK$4&gt;=$D97,CK$4&lt;$D97+'Incremental Repayments'!$I$31),-PMT('Interest Rate'!$J$16,'Incremental Repayments'!$I$31,(HLOOKUP($D97,$E$4:$CZ$32,28,FALSE)*'Incremental Repayments'!$I$22)),0),0)</f>
        <v>0</v>
      </c>
      <c r="CL97" s="477">
        <f>IF('Incremental Repayments'!$R$22="Debt",IF(AND(CL$4&gt;=$D97,CL$4&lt;$D97+'Incremental Repayments'!$I$31),-PMT('Interest Rate'!$J$16,'Incremental Repayments'!$I$31,(HLOOKUP($D97,$E$4:$CZ$32,28,FALSE)*'Incremental Repayments'!$I$22)),0),0)</f>
        <v>0</v>
      </c>
      <c r="CM97" s="477">
        <f>IF('Incremental Repayments'!$R$22="Debt",IF(AND(CM$4&gt;=$D97,CM$4&lt;$D97+'Incremental Repayments'!$I$31),-PMT('Interest Rate'!$J$16,'Incremental Repayments'!$I$31,(HLOOKUP($D97,$E$4:$CZ$32,28,FALSE)*'Incremental Repayments'!$I$22)),0),0)</f>
        <v>0</v>
      </c>
      <c r="CN97" s="477">
        <f>IF('Incremental Repayments'!$R$22="Debt",IF(AND(CN$4&gt;=$D97,CN$4&lt;$D97+'Incremental Repayments'!$I$31),-PMT('Interest Rate'!$J$16,'Incremental Repayments'!$I$31,(HLOOKUP($D97,$E$4:$CZ$32,28,FALSE)*'Incremental Repayments'!$I$22)),0),0)</f>
        <v>0</v>
      </c>
      <c r="CO97" s="477">
        <f>IF('Incremental Repayments'!$R$22="Debt",IF(AND(CO$4&gt;=$D97,CO$4&lt;$D97+'Incremental Repayments'!$I$31),-PMT('Interest Rate'!$J$16,'Incremental Repayments'!$I$31,(HLOOKUP($D97,$E$4:$CZ$32,28,FALSE)*'Incremental Repayments'!$I$22)),0),0)</f>
        <v>0</v>
      </c>
      <c r="CP97" s="477">
        <f>IF('Incremental Repayments'!$R$22="Debt",IF(AND(CP$4&gt;=$D97,CP$4&lt;$D97+'Incremental Repayments'!$I$31),-PMT('Interest Rate'!$J$16,'Incremental Repayments'!$I$31,(HLOOKUP($D97,$E$4:$CZ$32,28,FALSE)*'Incremental Repayments'!$I$22)),0),0)</f>
        <v>0</v>
      </c>
      <c r="CQ97" s="477">
        <f>IF('Incremental Repayments'!$R$22="Debt",IF(AND(CQ$4&gt;=$D97,CQ$4&lt;$D97+'Incremental Repayments'!$I$31),-PMT('Interest Rate'!$J$16,'Incremental Repayments'!$I$31,(HLOOKUP($D97,$E$4:$CZ$32,28,FALSE)*'Incremental Repayments'!$I$22)),0),0)</f>
        <v>0</v>
      </c>
      <c r="CR97" s="477">
        <f>IF('Incremental Repayments'!$R$22="Debt",IF(AND(CR$4&gt;=$D97,CR$4&lt;$D97+'Incremental Repayments'!$I$31),-PMT('Interest Rate'!$J$16,'Incremental Repayments'!$I$31,(HLOOKUP($D97,$E$4:$CZ$32,28,FALSE)*'Incremental Repayments'!$I$22)),0),0)</f>
        <v>0</v>
      </c>
      <c r="CS97" s="477">
        <f>IF('Incremental Repayments'!$R$22="Debt",IF(AND(CS$4&gt;=$D97,CS$4&lt;$D97+'Incremental Repayments'!$I$31),-PMT('Interest Rate'!$J$16,'Incremental Repayments'!$I$31,(HLOOKUP($D97,$E$4:$CZ$32,28,FALSE)*'Incremental Repayments'!$I$22)),0),0)</f>
        <v>0</v>
      </c>
      <c r="CT97" s="477">
        <f>IF('Incremental Repayments'!$R$22="Debt",IF(AND(CT$4&gt;=$D97,CT$4&lt;$D97+'Incremental Repayments'!$I$31),-PMT('Interest Rate'!$J$16,'Incremental Repayments'!$I$31,(HLOOKUP($D97,$E$4:$CZ$32,28,FALSE)*'Incremental Repayments'!$I$22)),0),0)</f>
        <v>0</v>
      </c>
      <c r="CU97" s="477">
        <f>IF('Incremental Repayments'!$R$22="Debt",IF(AND(CU$4&gt;=$D97,CU$4&lt;$D97+'Incremental Repayments'!$I$31),-PMT('Interest Rate'!$J$16,'Incremental Repayments'!$I$31,(HLOOKUP($D97,$E$4:$CZ$32,28,FALSE)*'Incremental Repayments'!$I$22)),0),0)</f>
        <v>0</v>
      </c>
      <c r="CV97" s="477">
        <f>IF('Incremental Repayments'!$R$22="Debt",IF(AND(CV$4&gt;=$D97,CV$4&lt;$D97+'Incremental Repayments'!$I$31),-PMT('Interest Rate'!$J$16,'Incremental Repayments'!$I$31,(HLOOKUP($D97,$E$4:$CZ$32,28,FALSE)*'Incremental Repayments'!$I$22)),0),0)</f>
        <v>0</v>
      </c>
      <c r="CW97" s="477">
        <f>IF('Incremental Repayments'!$R$22="Debt",IF(AND(CW$4&gt;=$D97,CW$4&lt;$D97+'Incremental Repayments'!$I$31),-PMT('Interest Rate'!$J$16,'Incremental Repayments'!$I$31,(HLOOKUP($D97,$E$4:$CZ$32,28,FALSE)*'Incremental Repayments'!$I$22)),0),0)</f>
        <v>0</v>
      </c>
      <c r="CX97" s="477">
        <f>IF('Incremental Repayments'!$R$22="Debt",IF(AND(CX$4&gt;=$D97,CX$4&lt;$D97+'Incremental Repayments'!$I$31),-PMT('Interest Rate'!$J$16,'Incremental Repayments'!$I$31,(HLOOKUP($D97,$E$4:$CZ$32,28,FALSE)*'Incremental Repayments'!$I$22)),0),0)</f>
        <v>0</v>
      </c>
      <c r="CY97" s="477">
        <f>IF('Incremental Repayments'!$R$22="Debt",IF(AND(CY$4&gt;=$D97,CY$4&lt;$D97+'Incremental Repayments'!$I$31),-PMT('Interest Rate'!$J$16,'Incremental Repayments'!$I$31,(HLOOKUP($D97,$E$4:$CZ$32,28,FALSE)*'Incremental Repayments'!$I$22)),0),0)</f>
        <v>0</v>
      </c>
      <c r="CZ97" s="477">
        <f>IF('Incremental Repayments'!$R$22="Debt",IF(AND(CZ$4&gt;=$D97,CZ$4&lt;$D97+'Incremental Repayments'!$I$31),-PMT('Interest Rate'!$J$16,'Incremental Repayments'!$I$31,(HLOOKUP($D97,$E$4:$CZ$32,28,FALSE)*'Incremental Repayments'!$I$22)),0),0)</f>
        <v>0</v>
      </c>
    </row>
    <row r="98" spans="2:104" x14ac:dyDescent="0.25">
      <c r="B98" s="480" t="str">
        <f>CONCATENATE("Series ",D98,"A Bonds (at ",'Interest Rate'!$J$16*100,"% Interest)")</f>
        <v>Series 2076A Bonds (at 4.5% Interest)</v>
      </c>
      <c r="C98" s="480"/>
      <c r="D98" s="492">
        <f t="shared" si="494"/>
        <v>2076</v>
      </c>
      <c r="E98" s="477">
        <f>IF('Incremental Repayments'!$R$22="Debt",IF(AND(E$4&gt;=$D98,E$4&lt;$D98+'Incremental Repayments'!$I$31),-PMT('Interest Rate'!$J$16,'Incremental Repayments'!$I$31,(HLOOKUP($D98,$E$4:$CZ$32,28,FALSE)*'Incremental Repayments'!$I$22)),0),0)</f>
        <v>0</v>
      </c>
      <c r="F98" s="477">
        <f>IF('Incremental Repayments'!$R$22="Debt",IF(AND(F$4&gt;=$D98,F$4&lt;$D98+'Incremental Repayments'!$I$31),-PMT('Interest Rate'!$J$16,'Incremental Repayments'!$I$31,(HLOOKUP($D98,$E$4:$CZ$32,28,FALSE)*'Incremental Repayments'!$I$22)),0),0)</f>
        <v>0</v>
      </c>
      <c r="G98" s="477">
        <f>IF('Incremental Repayments'!$R$22="Debt",IF(AND(G$4&gt;=$D98,G$4&lt;$D98+'Incremental Repayments'!$I$31),-PMT('Interest Rate'!$J$16,'Incremental Repayments'!$I$31,(HLOOKUP($D98,$E$4:$CZ$32,28,FALSE)*'Incremental Repayments'!$I$22)),0),0)</f>
        <v>0</v>
      </c>
      <c r="H98" s="477">
        <f>IF('Incremental Repayments'!$R$22="Debt",IF(AND(H$4&gt;=$D98,H$4&lt;$D98+'Incremental Repayments'!$I$31),-PMT('Interest Rate'!$J$16,'Incremental Repayments'!$I$31,(HLOOKUP($D98,$E$4:$CZ$32,28,FALSE)*'Incremental Repayments'!$I$22)),0),0)</f>
        <v>0</v>
      </c>
      <c r="I98" s="477">
        <f>IF('Incremental Repayments'!$R$22="Debt",IF(AND(I$4&gt;=$D98,I$4&lt;$D98+'Incremental Repayments'!$I$31),-PMT('Interest Rate'!$J$16,'Incremental Repayments'!$I$31,(HLOOKUP($D98,$E$4:$CZ$32,28,FALSE)*'Incremental Repayments'!$I$22)),0),0)</f>
        <v>0</v>
      </c>
      <c r="J98" s="477">
        <f>IF('Incremental Repayments'!$R$22="Debt",IF(AND(J$4&gt;=$D98,J$4&lt;$D98+'Incremental Repayments'!$I$31),-PMT('Interest Rate'!$J$16,'Incremental Repayments'!$I$31,(HLOOKUP($D98,$E$4:$CZ$32,28,FALSE)*'Incremental Repayments'!$I$22)),0),0)</f>
        <v>0</v>
      </c>
      <c r="K98" s="477">
        <f>IF('Incremental Repayments'!$R$22="Debt",IF(AND(K$4&gt;=$D98,K$4&lt;$D98+'Incremental Repayments'!$I$31),-PMT('Interest Rate'!$J$16,'Incremental Repayments'!$I$31,(HLOOKUP($D98,$E$4:$CZ$32,28,FALSE)*'Incremental Repayments'!$I$22)),0),0)</f>
        <v>0</v>
      </c>
      <c r="L98" s="477">
        <f>IF('Incremental Repayments'!$R$22="Debt",IF(AND(L$4&gt;=$D98,L$4&lt;$D98+'Incremental Repayments'!$I$31),-PMT('Interest Rate'!$J$16,'Incremental Repayments'!$I$31,(HLOOKUP($D98,$E$4:$CZ$32,28,FALSE)*'Incremental Repayments'!$I$22)),0),0)</f>
        <v>0</v>
      </c>
      <c r="M98" s="477">
        <f>IF('Incremental Repayments'!$R$22="Debt",IF(AND(M$4&gt;=$D98,M$4&lt;$D98+'Incremental Repayments'!$I$31),-PMT('Interest Rate'!$J$16,'Incremental Repayments'!$I$31,(HLOOKUP($D98,$E$4:$CZ$32,28,FALSE)*'Incremental Repayments'!$I$22)),0),0)</f>
        <v>0</v>
      </c>
      <c r="N98" s="477">
        <f>IF('Incremental Repayments'!$R$22="Debt",IF(AND(N$4&gt;=$D98,N$4&lt;$D98+'Incremental Repayments'!$I$31),-PMT('Interest Rate'!$J$16,'Incremental Repayments'!$I$31,(HLOOKUP($D98,$E$4:$CZ$32,28,FALSE)*'Incremental Repayments'!$I$22)),0),0)</f>
        <v>0</v>
      </c>
      <c r="O98" s="477">
        <f>IF('Incremental Repayments'!$R$22="Debt",IF(AND(O$4&gt;=$D98,O$4&lt;$D98+'Incremental Repayments'!$I$31),-PMT('Interest Rate'!$J$16,'Incremental Repayments'!$I$31,(HLOOKUP($D98,$E$4:$CZ$32,28,FALSE)*'Incremental Repayments'!$I$22)),0),0)</f>
        <v>0</v>
      </c>
      <c r="P98" s="477">
        <f>IF('Incremental Repayments'!$R$22="Debt",IF(AND(P$4&gt;=$D98,P$4&lt;$D98+'Incremental Repayments'!$I$31),-PMT('Interest Rate'!$J$16,'Incremental Repayments'!$I$31,(HLOOKUP($D98,$E$4:$CZ$32,28,FALSE)*'Incremental Repayments'!$I$22)),0),0)</f>
        <v>0</v>
      </c>
      <c r="Q98" s="477">
        <f>IF('Incremental Repayments'!$R$22="Debt",IF(AND(Q$4&gt;=$D98,Q$4&lt;$D98+'Incremental Repayments'!$I$31),-PMT('Interest Rate'!$J$16,'Incremental Repayments'!$I$31,(HLOOKUP($D98,$E$4:$CZ$32,28,FALSE)*'Incremental Repayments'!$I$22)),0),0)</f>
        <v>0</v>
      </c>
      <c r="R98" s="477">
        <f>IF('Incremental Repayments'!$R$22="Debt",IF(AND(R$4&gt;=$D98,R$4&lt;$D98+'Incremental Repayments'!$I$31),-PMT('Interest Rate'!$J$16,'Incremental Repayments'!$I$31,(HLOOKUP($D98,$E$4:$CZ$32,28,FALSE)*'Incremental Repayments'!$I$22)),0),0)</f>
        <v>0</v>
      </c>
      <c r="S98" s="477">
        <f>IF('Incremental Repayments'!$R$22="Debt",IF(AND(S$4&gt;=$D98,S$4&lt;$D98+'Incremental Repayments'!$I$31),-PMT('Interest Rate'!$J$16,'Incremental Repayments'!$I$31,(HLOOKUP($D98,$E$4:$CZ$32,28,FALSE)*'Incremental Repayments'!$I$22)),0),0)</f>
        <v>0</v>
      </c>
      <c r="T98" s="477">
        <f>IF('Incremental Repayments'!$R$22="Debt",IF(AND(T$4&gt;=$D98,T$4&lt;$D98+'Incremental Repayments'!$I$31),-PMT('Interest Rate'!$J$16,'Incremental Repayments'!$I$31,(HLOOKUP($D98,$E$4:$CZ$32,28,FALSE)*'Incremental Repayments'!$I$22)),0),0)</f>
        <v>0</v>
      </c>
      <c r="U98" s="477">
        <f>IF('Incremental Repayments'!$R$22="Debt",IF(AND(U$4&gt;=$D98,U$4&lt;$D98+'Incremental Repayments'!$I$31),-PMT('Interest Rate'!$J$16,'Incremental Repayments'!$I$31,(HLOOKUP($D98,$E$4:$CZ$32,28,FALSE)*'Incremental Repayments'!$I$22)),0),0)</f>
        <v>0</v>
      </c>
      <c r="V98" s="477">
        <f>IF('Incremental Repayments'!$R$22="Debt",IF(AND(V$4&gt;=$D98,V$4&lt;$D98+'Incremental Repayments'!$I$31),-PMT('Interest Rate'!$J$16,'Incremental Repayments'!$I$31,(HLOOKUP($D98,$E$4:$CZ$32,28,FALSE)*'Incremental Repayments'!$I$22)),0),0)</f>
        <v>0</v>
      </c>
      <c r="W98" s="477">
        <f>IF('Incremental Repayments'!$R$22="Debt",IF(AND(W$4&gt;=$D98,W$4&lt;$D98+'Incremental Repayments'!$I$31),-PMT('Interest Rate'!$J$16,'Incremental Repayments'!$I$31,(HLOOKUP($D98,$E$4:$CZ$32,28,FALSE)*'Incremental Repayments'!$I$22)),0),0)</f>
        <v>0</v>
      </c>
      <c r="X98" s="477">
        <f>IF('Incremental Repayments'!$R$22="Debt",IF(AND(X$4&gt;=$D98,X$4&lt;$D98+'Incremental Repayments'!$I$31),-PMT('Interest Rate'!$J$16,'Incremental Repayments'!$I$31,(HLOOKUP($D98,$E$4:$CZ$32,28,FALSE)*'Incremental Repayments'!$I$22)),0),0)</f>
        <v>0</v>
      </c>
      <c r="Y98" s="477">
        <f>IF('Incremental Repayments'!$R$22="Debt",IF(AND(Y$4&gt;=$D98,Y$4&lt;$D98+'Incremental Repayments'!$I$31),-PMT('Interest Rate'!$J$16,'Incremental Repayments'!$I$31,(HLOOKUP($D98,$E$4:$CZ$32,28,FALSE)*'Incremental Repayments'!$I$22)),0),0)</f>
        <v>0</v>
      </c>
      <c r="Z98" s="477">
        <f>IF('Incremental Repayments'!$R$22="Debt",IF(AND(Z$4&gt;=$D98,Z$4&lt;$D98+'Incremental Repayments'!$I$31),-PMT('Interest Rate'!$J$16,'Incremental Repayments'!$I$31,(HLOOKUP($D98,$E$4:$CZ$32,28,FALSE)*'Incremental Repayments'!$I$22)),0),0)</f>
        <v>0</v>
      </c>
      <c r="AA98" s="477">
        <f>IF('Incremental Repayments'!$R$22="Debt",IF(AND(AA$4&gt;=$D98,AA$4&lt;$D98+'Incremental Repayments'!$I$31),-PMT('Interest Rate'!$J$16,'Incremental Repayments'!$I$31,(HLOOKUP($D98,$E$4:$CZ$32,28,FALSE)*'Incremental Repayments'!$I$22)),0),0)</f>
        <v>0</v>
      </c>
      <c r="AB98" s="477">
        <f>IF('Incremental Repayments'!$R$22="Debt",IF(AND(AB$4&gt;=$D98,AB$4&lt;$D98+'Incremental Repayments'!$I$31),-PMT('Interest Rate'!$J$16,'Incremental Repayments'!$I$31,(HLOOKUP($D98,$E$4:$CZ$32,28,FALSE)*'Incremental Repayments'!$I$22)),0),0)</f>
        <v>0</v>
      </c>
      <c r="AC98" s="477">
        <f>IF('Incremental Repayments'!$R$22="Debt",IF(AND(AC$4&gt;=$D98,AC$4&lt;$D98+'Incremental Repayments'!$I$31),-PMT('Interest Rate'!$J$16,'Incremental Repayments'!$I$31,(HLOOKUP($D98,$E$4:$CZ$32,28,FALSE)*'Incremental Repayments'!$I$22)),0),0)</f>
        <v>0</v>
      </c>
      <c r="AD98" s="477">
        <f>IF('Incremental Repayments'!$R$22="Debt",IF(AND(AD$4&gt;=$D98,AD$4&lt;$D98+'Incremental Repayments'!$I$31),-PMT('Interest Rate'!$J$16,'Incremental Repayments'!$I$31,(HLOOKUP($D98,$E$4:$CZ$32,28,FALSE)*'Incremental Repayments'!$I$22)),0),0)</f>
        <v>0</v>
      </c>
      <c r="AE98" s="477">
        <f>IF('Incremental Repayments'!$R$22="Debt",IF(AND(AE$4&gt;=$D98,AE$4&lt;$D98+'Incremental Repayments'!$I$31),-PMT('Interest Rate'!$J$16,'Incremental Repayments'!$I$31,(HLOOKUP($D98,$E$4:$CZ$32,28,FALSE)*'Incremental Repayments'!$I$22)),0),0)</f>
        <v>0</v>
      </c>
      <c r="AF98" s="477">
        <f>IF('Incremental Repayments'!$R$22="Debt",IF(AND(AF$4&gt;=$D98,AF$4&lt;$D98+'Incremental Repayments'!$I$31),-PMT('Interest Rate'!$J$16,'Incremental Repayments'!$I$31,(HLOOKUP($D98,$E$4:$CZ$32,28,FALSE)*'Incremental Repayments'!$I$22)),0),0)</f>
        <v>0</v>
      </c>
      <c r="AG98" s="477">
        <f>IF('Incremental Repayments'!$R$22="Debt",IF(AND(AG$4&gt;=$D98,AG$4&lt;$D98+'Incremental Repayments'!$I$31),-PMT('Interest Rate'!$J$16,'Incremental Repayments'!$I$31,(HLOOKUP($D98,$E$4:$CZ$32,28,FALSE)*'Incremental Repayments'!$I$22)),0),0)</f>
        <v>0</v>
      </c>
      <c r="AH98" s="477">
        <f>IF('Incremental Repayments'!$R$22="Debt",IF(AND(AH$4&gt;=$D98,AH$4&lt;$D98+'Incremental Repayments'!$I$31),-PMT('Interest Rate'!$J$16,'Incremental Repayments'!$I$31,(HLOOKUP($D98,$E$4:$CZ$32,28,FALSE)*'Incremental Repayments'!$I$22)),0),0)</f>
        <v>0</v>
      </c>
      <c r="AI98" s="477">
        <f>IF('Incremental Repayments'!$R$22="Debt",IF(AND(AI$4&gt;=$D98,AI$4&lt;$D98+'Incremental Repayments'!$I$31),-PMT('Interest Rate'!$J$16,'Incremental Repayments'!$I$31,(HLOOKUP($D98,$E$4:$CZ$32,28,FALSE)*'Incremental Repayments'!$I$22)),0),0)</f>
        <v>0</v>
      </c>
      <c r="AJ98" s="477">
        <f>IF('Incremental Repayments'!$R$22="Debt",IF(AND(AJ$4&gt;=$D98,AJ$4&lt;$D98+'Incremental Repayments'!$I$31),-PMT('Interest Rate'!$J$16,'Incremental Repayments'!$I$31,(HLOOKUP($D98,$E$4:$CZ$32,28,FALSE)*'Incremental Repayments'!$I$22)),0),0)</f>
        <v>0</v>
      </c>
      <c r="AK98" s="477">
        <f>IF('Incremental Repayments'!$R$22="Debt",IF(AND(AK$4&gt;=$D98,AK$4&lt;$D98+'Incremental Repayments'!$I$31),-PMT('Interest Rate'!$J$16,'Incremental Repayments'!$I$31,(HLOOKUP($D98,$E$4:$CZ$32,28,FALSE)*'Incremental Repayments'!$I$22)),0),0)</f>
        <v>0</v>
      </c>
      <c r="AL98" s="477">
        <f>IF('Incremental Repayments'!$R$22="Debt",IF(AND(AL$4&gt;=$D98,AL$4&lt;$D98+'Incremental Repayments'!$I$31),-PMT('Interest Rate'!$J$16,'Incremental Repayments'!$I$31,(HLOOKUP($D98,$E$4:$CZ$32,28,FALSE)*'Incremental Repayments'!$I$22)),0),0)</f>
        <v>0</v>
      </c>
      <c r="AM98" s="477">
        <f>IF('Incremental Repayments'!$R$22="Debt",IF(AND(AM$4&gt;=$D98,AM$4&lt;$D98+'Incremental Repayments'!$I$31),-PMT('Interest Rate'!$J$16,'Incremental Repayments'!$I$31,(HLOOKUP($D98,$E$4:$CZ$32,28,FALSE)*'Incremental Repayments'!$I$22)),0),0)</f>
        <v>0</v>
      </c>
      <c r="AN98" s="477">
        <f>IF('Incremental Repayments'!$R$22="Debt",IF(AND(AN$4&gt;=$D98,AN$4&lt;$D98+'Incremental Repayments'!$I$31),-PMT('Interest Rate'!$J$16,'Incremental Repayments'!$I$31,(HLOOKUP($D98,$E$4:$CZ$32,28,FALSE)*'Incremental Repayments'!$I$22)),0),0)</f>
        <v>0</v>
      </c>
      <c r="AO98" s="477">
        <f>IF('Incremental Repayments'!$R$22="Debt",IF(AND(AO$4&gt;=$D98,AO$4&lt;$D98+'Incremental Repayments'!$I$31),-PMT('Interest Rate'!$J$16,'Incremental Repayments'!$I$31,(HLOOKUP($D98,$E$4:$CZ$32,28,FALSE)*'Incremental Repayments'!$I$22)),0),0)</f>
        <v>0</v>
      </c>
      <c r="AP98" s="477">
        <f>IF('Incremental Repayments'!$R$22="Debt",IF(AND(AP$4&gt;=$D98,AP$4&lt;$D98+'Incremental Repayments'!$I$31),-PMT('Interest Rate'!$J$16,'Incremental Repayments'!$I$31,(HLOOKUP($D98,$E$4:$CZ$32,28,FALSE)*'Incremental Repayments'!$I$22)),0),0)</f>
        <v>0</v>
      </c>
      <c r="AQ98" s="477">
        <f>IF('Incremental Repayments'!$R$22="Debt",IF(AND(AQ$4&gt;=$D98,AQ$4&lt;$D98+'Incremental Repayments'!$I$31),-PMT('Interest Rate'!$J$16,'Incremental Repayments'!$I$31,(HLOOKUP($D98,$E$4:$CZ$32,28,FALSE)*'Incremental Repayments'!$I$22)),0),0)</f>
        <v>0</v>
      </c>
      <c r="AR98" s="477">
        <f>IF('Incremental Repayments'!$R$22="Debt",IF(AND(AR$4&gt;=$D98,AR$4&lt;$D98+'Incremental Repayments'!$I$31),-PMT('Interest Rate'!$J$16,'Incremental Repayments'!$I$31,(HLOOKUP($D98,$E$4:$CZ$32,28,FALSE)*'Incremental Repayments'!$I$22)),0),0)</f>
        <v>0</v>
      </c>
      <c r="AS98" s="477">
        <f>IF('Incremental Repayments'!$R$22="Debt",IF(AND(AS$4&gt;=$D98,AS$4&lt;$D98+'Incremental Repayments'!$I$31),-PMT('Interest Rate'!$J$16,'Incremental Repayments'!$I$31,(HLOOKUP($D98,$E$4:$CZ$32,28,FALSE)*'Incremental Repayments'!$I$22)),0),0)</f>
        <v>0</v>
      </c>
      <c r="AT98" s="477">
        <f>IF('Incremental Repayments'!$R$22="Debt",IF(AND(AT$4&gt;=$D98,AT$4&lt;$D98+'Incremental Repayments'!$I$31),-PMT('Interest Rate'!$J$16,'Incremental Repayments'!$I$31,(HLOOKUP($D98,$E$4:$CZ$32,28,FALSE)*'Incremental Repayments'!$I$22)),0),0)</f>
        <v>0</v>
      </c>
      <c r="AU98" s="477">
        <f>IF('Incremental Repayments'!$R$22="Debt",IF(AND(AU$4&gt;=$D98,AU$4&lt;$D98+'Incremental Repayments'!$I$31),-PMT('Interest Rate'!$J$16,'Incremental Repayments'!$I$31,(HLOOKUP($D98,$E$4:$CZ$32,28,FALSE)*'Incremental Repayments'!$I$22)),0),0)</f>
        <v>0</v>
      </c>
      <c r="AV98" s="477">
        <f>IF('Incremental Repayments'!$R$22="Debt",IF(AND(AV$4&gt;=$D98,AV$4&lt;$D98+'Incremental Repayments'!$I$31),-PMT('Interest Rate'!$J$16,'Incremental Repayments'!$I$31,(HLOOKUP($D98,$E$4:$CZ$32,28,FALSE)*'Incremental Repayments'!$I$22)),0),0)</f>
        <v>0</v>
      </c>
      <c r="AW98" s="477">
        <f>IF('Incremental Repayments'!$R$22="Debt",IF(AND(AW$4&gt;=$D98,AW$4&lt;$D98+'Incremental Repayments'!$I$31),-PMT('Interest Rate'!$J$16,'Incremental Repayments'!$I$31,(HLOOKUP($D98,$E$4:$CZ$32,28,FALSE)*'Incremental Repayments'!$I$22)),0),0)</f>
        <v>0</v>
      </c>
      <c r="AX98" s="477">
        <f>IF('Incremental Repayments'!$R$22="Debt",IF(AND(AX$4&gt;=$D98,AX$4&lt;$D98+'Incremental Repayments'!$I$31),-PMT('Interest Rate'!$J$16,'Incremental Repayments'!$I$31,(HLOOKUP($D98,$E$4:$CZ$32,28,FALSE)*'Incremental Repayments'!$I$22)),0),0)</f>
        <v>0</v>
      </c>
      <c r="AY98" s="477">
        <f>IF('Incremental Repayments'!$R$22="Debt",IF(AND(AY$4&gt;=$D98,AY$4&lt;$D98+'Incremental Repayments'!$I$31),-PMT('Interest Rate'!$J$16,'Incremental Repayments'!$I$31,(HLOOKUP($D98,$E$4:$CZ$32,28,FALSE)*'Incremental Repayments'!$I$22)),0),0)</f>
        <v>0</v>
      </c>
      <c r="AZ98" s="477">
        <f>IF('Incremental Repayments'!$R$22="Debt",IF(AND(AZ$4&gt;=$D98,AZ$4&lt;$D98+'Incremental Repayments'!$I$31),-PMT('Interest Rate'!$J$16,'Incremental Repayments'!$I$31,(HLOOKUP($D98,$E$4:$CZ$32,28,FALSE)*'Incremental Repayments'!$I$22)),0),0)</f>
        <v>0</v>
      </c>
      <c r="BA98" s="477">
        <f>IF('Incremental Repayments'!$R$22="Debt",IF(AND(BA$4&gt;=$D98,BA$4&lt;$D98+'Incremental Repayments'!$I$31),-PMT('Interest Rate'!$J$16,'Incremental Repayments'!$I$31,(HLOOKUP($D98,$E$4:$CZ$32,28,FALSE)*'Incremental Repayments'!$I$22)),0),0)</f>
        <v>0</v>
      </c>
      <c r="BB98" s="477">
        <f>IF('Incremental Repayments'!$R$22="Debt",IF(AND(BB$4&gt;=$D98,BB$4&lt;$D98+'Incremental Repayments'!$I$31),-PMT('Interest Rate'!$J$16,'Incremental Repayments'!$I$31,(HLOOKUP($D98,$E$4:$CZ$32,28,FALSE)*'Incremental Repayments'!$I$22)),0),0)</f>
        <v>0</v>
      </c>
      <c r="BC98" s="477">
        <f>IF('Incremental Repayments'!$R$22="Debt",IF(AND(BC$4&gt;=$D98,BC$4&lt;$D98+'Incremental Repayments'!$I$31),-PMT('Interest Rate'!$J$16,'Incremental Repayments'!$I$31,(HLOOKUP($D98,$E$4:$CZ$32,28,FALSE)*'Incremental Repayments'!$I$22)),0),0)</f>
        <v>0</v>
      </c>
      <c r="BD98" s="477">
        <f>IF('Incremental Repayments'!$R$22="Debt",IF(AND(BD$4&gt;=$D98,BD$4&lt;$D98+'Incremental Repayments'!$I$31),-PMT('Interest Rate'!$J$16,'Incremental Repayments'!$I$31,(HLOOKUP($D98,$E$4:$CZ$32,28,FALSE)*'Incremental Repayments'!$I$22)),0),0)</f>
        <v>0</v>
      </c>
      <c r="BE98" s="477">
        <f>IF('Incremental Repayments'!$R$22="Debt",IF(AND(BE$4&gt;=$D98,BE$4&lt;$D98+'Incremental Repayments'!$I$31),-PMT('Interest Rate'!$J$16,'Incremental Repayments'!$I$31,(HLOOKUP($D98,$E$4:$CZ$32,28,FALSE)*'Incremental Repayments'!$I$22)),0),0)</f>
        <v>0</v>
      </c>
      <c r="BF98" s="477">
        <f>IF('Incremental Repayments'!$R$22="Debt",IF(AND(BF$4&gt;=$D98,BF$4&lt;$D98+'Incremental Repayments'!$I$31),-PMT('Interest Rate'!$J$16,'Incremental Repayments'!$I$31,(HLOOKUP($D98,$E$4:$CZ$32,28,FALSE)*'Incremental Repayments'!$I$22)),0),0)</f>
        <v>0</v>
      </c>
      <c r="BG98" s="477">
        <f>IF('Incremental Repayments'!$R$22="Debt",IF(AND(BG$4&gt;=$D98,BG$4&lt;$D98+'Incremental Repayments'!$I$31),-PMT('Interest Rate'!$J$16,'Incremental Repayments'!$I$31,(HLOOKUP($D98,$E$4:$CZ$32,28,FALSE)*'Incremental Repayments'!$I$22)),0),0)</f>
        <v>0</v>
      </c>
      <c r="BH98" s="477">
        <f>IF('Incremental Repayments'!$R$22="Debt",IF(AND(BH$4&gt;=$D98,BH$4&lt;$D98+'Incremental Repayments'!$I$31),-PMT('Interest Rate'!$J$16,'Incremental Repayments'!$I$31,(HLOOKUP($D98,$E$4:$CZ$32,28,FALSE)*'Incremental Repayments'!$I$22)),0),0)</f>
        <v>0</v>
      </c>
      <c r="BI98" s="477">
        <f>IF('Incremental Repayments'!$R$22="Debt",IF(AND(BI$4&gt;=$D98,BI$4&lt;$D98+'Incremental Repayments'!$I$31),-PMT('Interest Rate'!$J$16,'Incremental Repayments'!$I$31,(HLOOKUP($D98,$E$4:$CZ$32,28,FALSE)*'Incremental Repayments'!$I$22)),0),0)</f>
        <v>0</v>
      </c>
      <c r="BJ98" s="477">
        <f>IF('Incremental Repayments'!$R$22="Debt",IF(AND(BJ$4&gt;=$D98,BJ$4&lt;$D98+'Incremental Repayments'!$I$31),-PMT('Interest Rate'!$J$16,'Incremental Repayments'!$I$31,(HLOOKUP($D98,$E$4:$CZ$32,28,FALSE)*'Incremental Repayments'!$I$22)),0),0)</f>
        <v>0</v>
      </c>
      <c r="BK98" s="477">
        <f>IF('Incremental Repayments'!$R$22="Debt",IF(AND(BK$4&gt;=$D98,BK$4&lt;$D98+'Incremental Repayments'!$I$31),-PMT('Interest Rate'!$J$16,'Incremental Repayments'!$I$31,(HLOOKUP($D98,$E$4:$CZ$32,28,FALSE)*'Incremental Repayments'!$I$22)),0),0)</f>
        <v>0</v>
      </c>
      <c r="BL98" s="477">
        <f>IF('Incremental Repayments'!$R$22="Debt",IF(AND(BL$4&gt;=$D98,BL$4&lt;$D98+'Incremental Repayments'!$I$31),-PMT('Interest Rate'!$J$16,'Incremental Repayments'!$I$31,(HLOOKUP($D98,$E$4:$CZ$32,28,FALSE)*'Incremental Repayments'!$I$22)),0),0)</f>
        <v>0</v>
      </c>
      <c r="BM98" s="477">
        <f>IF('Incremental Repayments'!$R$22="Debt",IF(AND(BM$4&gt;=$D98,BM$4&lt;$D98+'Incremental Repayments'!$I$31),-PMT('Interest Rate'!$J$16,'Incremental Repayments'!$I$31,(HLOOKUP($D98,$E$4:$CZ$32,28,FALSE)*'Incremental Repayments'!$I$22)),0),0)</f>
        <v>0</v>
      </c>
      <c r="BN98" s="477">
        <f>IF('Incremental Repayments'!$R$22="Debt",IF(AND(BN$4&gt;=$D98,BN$4&lt;$D98+'Incremental Repayments'!$I$31),-PMT('Interest Rate'!$J$16,'Incremental Repayments'!$I$31,(HLOOKUP($D98,$E$4:$CZ$32,28,FALSE)*'Incremental Repayments'!$I$22)),0),0)</f>
        <v>0</v>
      </c>
      <c r="BO98" s="477">
        <f>IF('Incremental Repayments'!$R$22="Debt",IF(AND(BO$4&gt;=$D98,BO$4&lt;$D98+'Incremental Repayments'!$I$31),-PMT('Interest Rate'!$J$16,'Incremental Repayments'!$I$31,(HLOOKUP($D98,$E$4:$CZ$32,28,FALSE)*'Incremental Repayments'!$I$22)),0),0)</f>
        <v>0</v>
      </c>
      <c r="BP98" s="477">
        <f>IF('Incremental Repayments'!$R$22="Debt",IF(AND(BP$4&gt;=$D98,BP$4&lt;$D98+'Incremental Repayments'!$I$31),-PMT('Interest Rate'!$J$16,'Incremental Repayments'!$I$31,(HLOOKUP($D98,$E$4:$CZ$32,28,FALSE)*'Incremental Repayments'!$I$22)),0),0)</f>
        <v>0</v>
      </c>
      <c r="BQ98" s="477">
        <f>IF('Incremental Repayments'!$R$22="Debt",IF(AND(BQ$4&gt;=$D98,BQ$4&lt;$D98+'Incremental Repayments'!$I$31),-PMT('Interest Rate'!$J$16,'Incremental Repayments'!$I$31,(HLOOKUP($D98,$E$4:$CZ$32,28,FALSE)*'Incremental Repayments'!$I$22)),0),0)</f>
        <v>0</v>
      </c>
      <c r="BR98" s="477">
        <f>IF('Incremental Repayments'!$R$22="Debt",IF(AND(BR$4&gt;=$D98,BR$4&lt;$D98+'Incremental Repayments'!$I$31),-PMT('Interest Rate'!$J$16,'Incremental Repayments'!$I$31,(HLOOKUP($D98,$E$4:$CZ$32,28,FALSE)*'Incremental Repayments'!$I$22)),0),0)</f>
        <v>0</v>
      </c>
      <c r="BS98" s="477">
        <f>IF('Incremental Repayments'!$R$22="Debt",IF(AND(BS$4&gt;=$D98,BS$4&lt;$D98+'Incremental Repayments'!$I$31),-PMT('Interest Rate'!$J$16,'Incremental Repayments'!$I$31,(HLOOKUP($D98,$E$4:$CZ$32,28,FALSE)*'Incremental Repayments'!$I$22)),0),0)</f>
        <v>0</v>
      </c>
      <c r="BT98" s="477">
        <f>IF('Incremental Repayments'!$R$22="Debt",IF(AND(BT$4&gt;=$D98,BT$4&lt;$D98+'Incremental Repayments'!$I$31),-PMT('Interest Rate'!$J$16,'Incremental Repayments'!$I$31,(HLOOKUP($D98,$E$4:$CZ$32,28,FALSE)*'Incremental Repayments'!$I$22)),0),0)</f>
        <v>0</v>
      </c>
      <c r="BU98" s="477">
        <f>IF('Incremental Repayments'!$R$22="Debt",IF(AND(BU$4&gt;=$D98,BU$4&lt;$D98+'Incremental Repayments'!$I$31),-PMT('Interest Rate'!$J$16,'Incremental Repayments'!$I$31,(HLOOKUP($D98,$E$4:$CZ$32,28,FALSE)*'Incremental Repayments'!$I$22)),0),0)</f>
        <v>0</v>
      </c>
      <c r="BV98" s="477">
        <f>IF('Incremental Repayments'!$R$22="Debt",IF(AND(BV$4&gt;=$D98,BV$4&lt;$D98+'Incremental Repayments'!$I$31),-PMT('Interest Rate'!$J$16,'Incremental Repayments'!$I$31,(HLOOKUP($D98,$E$4:$CZ$32,28,FALSE)*'Incremental Repayments'!$I$22)),0),0)</f>
        <v>0</v>
      </c>
      <c r="BW98" s="477">
        <f>IF('Incremental Repayments'!$R$22="Debt",IF(AND(BW$4&gt;=$D98,BW$4&lt;$D98+'Incremental Repayments'!$I$31),-PMT('Interest Rate'!$J$16,'Incremental Repayments'!$I$31,(HLOOKUP($D98,$E$4:$CZ$32,28,FALSE)*'Incremental Repayments'!$I$22)),0),0)</f>
        <v>0</v>
      </c>
      <c r="BX98" s="477">
        <f>IF('Incremental Repayments'!$R$22="Debt",IF(AND(BX$4&gt;=$D98,BX$4&lt;$D98+'Incremental Repayments'!$I$31),-PMT('Interest Rate'!$J$16,'Incremental Repayments'!$I$31,(HLOOKUP($D98,$E$4:$CZ$32,28,FALSE)*'Incremental Repayments'!$I$22)),0),0)</f>
        <v>0</v>
      </c>
      <c r="BY98" s="477">
        <f>IF('Incremental Repayments'!$R$22="Debt",IF(AND(BY$4&gt;=$D98,BY$4&lt;$D98+'Incremental Repayments'!$I$31),-PMT('Interest Rate'!$J$16,'Incremental Repayments'!$I$31,(HLOOKUP($D98,$E$4:$CZ$32,28,FALSE)*'Incremental Repayments'!$I$22)),0),0)</f>
        <v>0</v>
      </c>
      <c r="BZ98" s="477">
        <f>IF('Incremental Repayments'!$R$22="Debt",IF(AND(BZ$4&gt;=$D98,BZ$4&lt;$D98+'Incremental Repayments'!$I$31),-PMT('Interest Rate'!$J$16,'Incremental Repayments'!$I$31,(HLOOKUP($D98,$E$4:$CZ$32,28,FALSE)*'Incremental Repayments'!$I$22)),0),0)</f>
        <v>0</v>
      </c>
      <c r="CA98" s="477">
        <f>IF('Incremental Repayments'!$R$22="Debt",IF(AND(CA$4&gt;=$D98,CA$4&lt;$D98+'Incremental Repayments'!$I$31),-PMT('Interest Rate'!$J$16,'Incremental Repayments'!$I$31,(HLOOKUP($D98,$E$4:$CZ$32,28,FALSE)*'Incremental Repayments'!$I$22)),0),0)</f>
        <v>0</v>
      </c>
      <c r="CB98" s="477">
        <f>IF('Incremental Repayments'!$R$22="Debt",IF(AND(CB$4&gt;=$D98,CB$4&lt;$D98+'Incremental Repayments'!$I$31),-PMT('Interest Rate'!$J$16,'Incremental Repayments'!$I$31,(HLOOKUP($D98,$E$4:$CZ$32,28,FALSE)*'Incremental Repayments'!$I$22)),0),0)</f>
        <v>0</v>
      </c>
      <c r="CC98" s="477">
        <f>IF('Incremental Repayments'!$R$22="Debt",IF(AND(CC$4&gt;=$D98,CC$4&lt;$D98+'Incremental Repayments'!$I$31),-PMT('Interest Rate'!$J$16,'Incremental Repayments'!$I$31,(HLOOKUP($D98,$E$4:$CZ$32,28,FALSE)*'Incremental Repayments'!$I$22)),0),0)</f>
        <v>0</v>
      </c>
      <c r="CD98" s="477">
        <f>IF('Incremental Repayments'!$R$22="Debt",IF(AND(CD$4&gt;=$D98,CD$4&lt;$D98+'Incremental Repayments'!$I$31),-PMT('Interest Rate'!$J$16,'Incremental Repayments'!$I$31,(HLOOKUP($D98,$E$4:$CZ$32,28,FALSE)*'Incremental Repayments'!$I$22)),0),0)</f>
        <v>0</v>
      </c>
      <c r="CE98" s="477">
        <f>IF('Incremental Repayments'!$R$22="Debt",IF(AND(CE$4&gt;=$D98,CE$4&lt;$D98+'Incremental Repayments'!$I$31),-PMT('Interest Rate'!$J$16,'Incremental Repayments'!$I$31,(HLOOKUP($D98,$E$4:$CZ$32,28,FALSE)*'Incremental Repayments'!$I$22)),0),0)</f>
        <v>0</v>
      </c>
      <c r="CF98" s="477">
        <f>IF('Incremental Repayments'!$R$22="Debt",IF(AND(CF$4&gt;=$D98,CF$4&lt;$D98+'Incremental Repayments'!$I$31),-PMT('Interest Rate'!$J$16,'Incremental Repayments'!$I$31,(HLOOKUP($D98,$E$4:$CZ$32,28,FALSE)*'Incremental Repayments'!$I$22)),0),0)</f>
        <v>0</v>
      </c>
      <c r="CG98" s="477">
        <f>IF('Incremental Repayments'!$R$22="Debt",IF(AND(CG$4&gt;=$D98,CG$4&lt;$D98+'Incremental Repayments'!$I$31),-PMT('Interest Rate'!$J$16,'Incremental Repayments'!$I$31,(HLOOKUP($D98,$E$4:$CZ$32,28,FALSE)*'Incremental Repayments'!$I$22)),0),0)</f>
        <v>0</v>
      </c>
      <c r="CH98" s="477">
        <f>IF('Incremental Repayments'!$R$22="Debt",IF(AND(CH$4&gt;=$D98,CH$4&lt;$D98+'Incremental Repayments'!$I$31),-PMT('Interest Rate'!$J$16,'Incremental Repayments'!$I$31,(HLOOKUP($D98,$E$4:$CZ$32,28,FALSE)*'Incremental Repayments'!$I$22)),0),0)</f>
        <v>0</v>
      </c>
      <c r="CI98" s="477">
        <f>IF('Incremental Repayments'!$R$22="Debt",IF(AND(CI$4&gt;=$D98,CI$4&lt;$D98+'Incremental Repayments'!$I$31),-PMT('Interest Rate'!$J$16,'Incremental Repayments'!$I$31,(HLOOKUP($D98,$E$4:$CZ$32,28,FALSE)*'Incremental Repayments'!$I$22)),0),0)</f>
        <v>0</v>
      </c>
      <c r="CJ98" s="477">
        <f>IF('Incremental Repayments'!$R$22="Debt",IF(AND(CJ$4&gt;=$D98,CJ$4&lt;$D98+'Incremental Repayments'!$I$31),-PMT('Interest Rate'!$J$16,'Incremental Repayments'!$I$31,(HLOOKUP($D98,$E$4:$CZ$32,28,FALSE)*'Incremental Repayments'!$I$22)),0),0)</f>
        <v>0</v>
      </c>
      <c r="CK98" s="477">
        <f>IF('Incremental Repayments'!$R$22="Debt",IF(AND(CK$4&gt;=$D98,CK$4&lt;$D98+'Incremental Repayments'!$I$31),-PMT('Interest Rate'!$J$16,'Incremental Repayments'!$I$31,(HLOOKUP($D98,$E$4:$CZ$32,28,FALSE)*'Incremental Repayments'!$I$22)),0),0)</f>
        <v>0</v>
      </c>
      <c r="CL98" s="477">
        <f>IF('Incremental Repayments'!$R$22="Debt",IF(AND(CL$4&gt;=$D98,CL$4&lt;$D98+'Incremental Repayments'!$I$31),-PMT('Interest Rate'!$J$16,'Incremental Repayments'!$I$31,(HLOOKUP($D98,$E$4:$CZ$32,28,FALSE)*'Incremental Repayments'!$I$22)),0),0)</f>
        <v>0</v>
      </c>
      <c r="CM98" s="477">
        <f>IF('Incremental Repayments'!$R$22="Debt",IF(AND(CM$4&gt;=$D98,CM$4&lt;$D98+'Incremental Repayments'!$I$31),-PMT('Interest Rate'!$J$16,'Incremental Repayments'!$I$31,(HLOOKUP($D98,$E$4:$CZ$32,28,FALSE)*'Incremental Repayments'!$I$22)),0),0)</f>
        <v>0</v>
      </c>
      <c r="CN98" s="477">
        <f>IF('Incremental Repayments'!$R$22="Debt",IF(AND(CN$4&gt;=$D98,CN$4&lt;$D98+'Incremental Repayments'!$I$31),-PMT('Interest Rate'!$J$16,'Incremental Repayments'!$I$31,(HLOOKUP($D98,$E$4:$CZ$32,28,FALSE)*'Incremental Repayments'!$I$22)),0),0)</f>
        <v>0</v>
      </c>
      <c r="CO98" s="477">
        <f>IF('Incremental Repayments'!$R$22="Debt",IF(AND(CO$4&gt;=$D98,CO$4&lt;$D98+'Incremental Repayments'!$I$31),-PMT('Interest Rate'!$J$16,'Incremental Repayments'!$I$31,(HLOOKUP($D98,$E$4:$CZ$32,28,FALSE)*'Incremental Repayments'!$I$22)),0),0)</f>
        <v>0</v>
      </c>
      <c r="CP98" s="477">
        <f>IF('Incremental Repayments'!$R$22="Debt",IF(AND(CP$4&gt;=$D98,CP$4&lt;$D98+'Incremental Repayments'!$I$31),-PMT('Interest Rate'!$J$16,'Incremental Repayments'!$I$31,(HLOOKUP($D98,$E$4:$CZ$32,28,FALSE)*'Incremental Repayments'!$I$22)),0),0)</f>
        <v>0</v>
      </c>
      <c r="CQ98" s="477">
        <f>IF('Incremental Repayments'!$R$22="Debt",IF(AND(CQ$4&gt;=$D98,CQ$4&lt;$D98+'Incremental Repayments'!$I$31),-PMT('Interest Rate'!$J$16,'Incremental Repayments'!$I$31,(HLOOKUP($D98,$E$4:$CZ$32,28,FALSE)*'Incremental Repayments'!$I$22)),0),0)</f>
        <v>0</v>
      </c>
      <c r="CR98" s="477">
        <f>IF('Incremental Repayments'!$R$22="Debt",IF(AND(CR$4&gt;=$D98,CR$4&lt;$D98+'Incremental Repayments'!$I$31),-PMT('Interest Rate'!$J$16,'Incremental Repayments'!$I$31,(HLOOKUP($D98,$E$4:$CZ$32,28,FALSE)*'Incremental Repayments'!$I$22)),0),0)</f>
        <v>0</v>
      </c>
      <c r="CS98" s="477">
        <f>IF('Incremental Repayments'!$R$22="Debt",IF(AND(CS$4&gt;=$D98,CS$4&lt;$D98+'Incremental Repayments'!$I$31),-PMT('Interest Rate'!$J$16,'Incremental Repayments'!$I$31,(HLOOKUP($D98,$E$4:$CZ$32,28,FALSE)*'Incremental Repayments'!$I$22)),0),0)</f>
        <v>0</v>
      </c>
      <c r="CT98" s="477">
        <f>IF('Incremental Repayments'!$R$22="Debt",IF(AND(CT$4&gt;=$D98,CT$4&lt;$D98+'Incremental Repayments'!$I$31),-PMT('Interest Rate'!$J$16,'Incremental Repayments'!$I$31,(HLOOKUP($D98,$E$4:$CZ$32,28,FALSE)*'Incremental Repayments'!$I$22)),0),0)</f>
        <v>0</v>
      </c>
      <c r="CU98" s="477">
        <f>IF('Incremental Repayments'!$R$22="Debt",IF(AND(CU$4&gt;=$D98,CU$4&lt;$D98+'Incremental Repayments'!$I$31),-PMT('Interest Rate'!$J$16,'Incremental Repayments'!$I$31,(HLOOKUP($D98,$E$4:$CZ$32,28,FALSE)*'Incremental Repayments'!$I$22)),0),0)</f>
        <v>0</v>
      </c>
      <c r="CV98" s="477">
        <f>IF('Incremental Repayments'!$R$22="Debt",IF(AND(CV$4&gt;=$D98,CV$4&lt;$D98+'Incremental Repayments'!$I$31),-PMT('Interest Rate'!$J$16,'Incremental Repayments'!$I$31,(HLOOKUP($D98,$E$4:$CZ$32,28,FALSE)*'Incremental Repayments'!$I$22)),0),0)</f>
        <v>0</v>
      </c>
      <c r="CW98" s="477">
        <f>IF('Incremental Repayments'!$R$22="Debt",IF(AND(CW$4&gt;=$D98,CW$4&lt;$D98+'Incremental Repayments'!$I$31),-PMT('Interest Rate'!$J$16,'Incremental Repayments'!$I$31,(HLOOKUP($D98,$E$4:$CZ$32,28,FALSE)*'Incremental Repayments'!$I$22)),0),0)</f>
        <v>0</v>
      </c>
      <c r="CX98" s="477">
        <f>IF('Incremental Repayments'!$R$22="Debt",IF(AND(CX$4&gt;=$D98,CX$4&lt;$D98+'Incremental Repayments'!$I$31),-PMT('Interest Rate'!$J$16,'Incremental Repayments'!$I$31,(HLOOKUP($D98,$E$4:$CZ$32,28,FALSE)*'Incremental Repayments'!$I$22)),0),0)</f>
        <v>0</v>
      </c>
      <c r="CY98" s="477">
        <f>IF('Incremental Repayments'!$R$22="Debt",IF(AND(CY$4&gt;=$D98,CY$4&lt;$D98+'Incremental Repayments'!$I$31),-PMT('Interest Rate'!$J$16,'Incremental Repayments'!$I$31,(HLOOKUP($D98,$E$4:$CZ$32,28,FALSE)*'Incremental Repayments'!$I$22)),0),0)</f>
        <v>0</v>
      </c>
      <c r="CZ98" s="477">
        <f>IF('Incremental Repayments'!$R$22="Debt",IF(AND(CZ$4&gt;=$D98,CZ$4&lt;$D98+'Incremental Repayments'!$I$31),-PMT('Interest Rate'!$J$16,'Incremental Repayments'!$I$31,(HLOOKUP($D98,$E$4:$CZ$32,28,FALSE)*'Incremental Repayments'!$I$22)),0),0)</f>
        <v>0</v>
      </c>
    </row>
    <row r="99" spans="2:104" x14ac:dyDescent="0.25">
      <c r="B99" s="480" t="str">
        <f>CONCATENATE("Series ",D99,"A Bonds (at ",'Interest Rate'!$J$16*100,"% Interest)")</f>
        <v>Series 2077A Bonds (at 4.5% Interest)</v>
      </c>
      <c r="C99" s="480"/>
      <c r="D99" s="492">
        <f t="shared" si="494"/>
        <v>2077</v>
      </c>
      <c r="E99" s="477">
        <f>IF('Incremental Repayments'!$R$22="Debt",IF(AND(E$4&gt;=$D99,E$4&lt;$D99+'Incremental Repayments'!$I$31),-PMT('Interest Rate'!$J$16,'Incremental Repayments'!$I$31,(HLOOKUP($D99,$E$4:$CZ$32,28,FALSE)*'Incremental Repayments'!$I$22)),0),0)</f>
        <v>0</v>
      </c>
      <c r="F99" s="477">
        <f>IF('Incremental Repayments'!$R$22="Debt",IF(AND(F$4&gt;=$D99,F$4&lt;$D99+'Incremental Repayments'!$I$31),-PMT('Interest Rate'!$J$16,'Incremental Repayments'!$I$31,(HLOOKUP($D99,$E$4:$CZ$32,28,FALSE)*'Incremental Repayments'!$I$22)),0),0)</f>
        <v>0</v>
      </c>
      <c r="G99" s="477">
        <f>IF('Incremental Repayments'!$R$22="Debt",IF(AND(G$4&gt;=$D99,G$4&lt;$D99+'Incremental Repayments'!$I$31),-PMT('Interest Rate'!$J$16,'Incremental Repayments'!$I$31,(HLOOKUP($D99,$E$4:$CZ$32,28,FALSE)*'Incremental Repayments'!$I$22)),0),0)</f>
        <v>0</v>
      </c>
      <c r="H99" s="477">
        <f>IF('Incremental Repayments'!$R$22="Debt",IF(AND(H$4&gt;=$D99,H$4&lt;$D99+'Incremental Repayments'!$I$31),-PMT('Interest Rate'!$J$16,'Incremental Repayments'!$I$31,(HLOOKUP($D99,$E$4:$CZ$32,28,FALSE)*'Incremental Repayments'!$I$22)),0),0)</f>
        <v>0</v>
      </c>
      <c r="I99" s="477">
        <f>IF('Incremental Repayments'!$R$22="Debt",IF(AND(I$4&gt;=$D99,I$4&lt;$D99+'Incremental Repayments'!$I$31),-PMT('Interest Rate'!$J$16,'Incremental Repayments'!$I$31,(HLOOKUP($D99,$E$4:$CZ$32,28,FALSE)*'Incremental Repayments'!$I$22)),0),0)</f>
        <v>0</v>
      </c>
      <c r="J99" s="477">
        <f>IF('Incremental Repayments'!$R$22="Debt",IF(AND(J$4&gt;=$D99,J$4&lt;$D99+'Incremental Repayments'!$I$31),-PMT('Interest Rate'!$J$16,'Incremental Repayments'!$I$31,(HLOOKUP($D99,$E$4:$CZ$32,28,FALSE)*'Incremental Repayments'!$I$22)),0),0)</f>
        <v>0</v>
      </c>
      <c r="K99" s="477">
        <f>IF('Incremental Repayments'!$R$22="Debt",IF(AND(K$4&gt;=$D99,K$4&lt;$D99+'Incremental Repayments'!$I$31),-PMT('Interest Rate'!$J$16,'Incremental Repayments'!$I$31,(HLOOKUP($D99,$E$4:$CZ$32,28,FALSE)*'Incremental Repayments'!$I$22)),0),0)</f>
        <v>0</v>
      </c>
      <c r="L99" s="477">
        <f>IF('Incremental Repayments'!$R$22="Debt",IF(AND(L$4&gt;=$D99,L$4&lt;$D99+'Incremental Repayments'!$I$31),-PMT('Interest Rate'!$J$16,'Incremental Repayments'!$I$31,(HLOOKUP($D99,$E$4:$CZ$32,28,FALSE)*'Incremental Repayments'!$I$22)),0),0)</f>
        <v>0</v>
      </c>
      <c r="M99" s="477">
        <f>IF('Incremental Repayments'!$R$22="Debt",IF(AND(M$4&gt;=$D99,M$4&lt;$D99+'Incremental Repayments'!$I$31),-PMT('Interest Rate'!$J$16,'Incremental Repayments'!$I$31,(HLOOKUP($D99,$E$4:$CZ$32,28,FALSE)*'Incremental Repayments'!$I$22)),0),0)</f>
        <v>0</v>
      </c>
      <c r="N99" s="477">
        <f>IF('Incremental Repayments'!$R$22="Debt",IF(AND(N$4&gt;=$D99,N$4&lt;$D99+'Incremental Repayments'!$I$31),-PMT('Interest Rate'!$J$16,'Incremental Repayments'!$I$31,(HLOOKUP($D99,$E$4:$CZ$32,28,FALSE)*'Incremental Repayments'!$I$22)),0),0)</f>
        <v>0</v>
      </c>
      <c r="O99" s="477">
        <f>IF('Incremental Repayments'!$R$22="Debt",IF(AND(O$4&gt;=$D99,O$4&lt;$D99+'Incremental Repayments'!$I$31),-PMT('Interest Rate'!$J$16,'Incremental Repayments'!$I$31,(HLOOKUP($D99,$E$4:$CZ$32,28,FALSE)*'Incremental Repayments'!$I$22)),0),0)</f>
        <v>0</v>
      </c>
      <c r="P99" s="477">
        <f>IF('Incremental Repayments'!$R$22="Debt",IF(AND(P$4&gt;=$D99,P$4&lt;$D99+'Incremental Repayments'!$I$31),-PMT('Interest Rate'!$J$16,'Incremental Repayments'!$I$31,(HLOOKUP($D99,$E$4:$CZ$32,28,FALSE)*'Incremental Repayments'!$I$22)),0),0)</f>
        <v>0</v>
      </c>
      <c r="Q99" s="477">
        <f>IF('Incremental Repayments'!$R$22="Debt",IF(AND(Q$4&gt;=$D99,Q$4&lt;$D99+'Incremental Repayments'!$I$31),-PMT('Interest Rate'!$J$16,'Incremental Repayments'!$I$31,(HLOOKUP($D99,$E$4:$CZ$32,28,FALSE)*'Incremental Repayments'!$I$22)),0),0)</f>
        <v>0</v>
      </c>
      <c r="R99" s="477">
        <f>IF('Incremental Repayments'!$R$22="Debt",IF(AND(R$4&gt;=$D99,R$4&lt;$D99+'Incremental Repayments'!$I$31),-PMT('Interest Rate'!$J$16,'Incremental Repayments'!$I$31,(HLOOKUP($D99,$E$4:$CZ$32,28,FALSE)*'Incremental Repayments'!$I$22)),0),0)</f>
        <v>0</v>
      </c>
      <c r="S99" s="477">
        <f>IF('Incremental Repayments'!$R$22="Debt",IF(AND(S$4&gt;=$D99,S$4&lt;$D99+'Incremental Repayments'!$I$31),-PMT('Interest Rate'!$J$16,'Incremental Repayments'!$I$31,(HLOOKUP($D99,$E$4:$CZ$32,28,FALSE)*'Incremental Repayments'!$I$22)),0),0)</f>
        <v>0</v>
      </c>
      <c r="T99" s="477">
        <f>IF('Incremental Repayments'!$R$22="Debt",IF(AND(T$4&gt;=$D99,T$4&lt;$D99+'Incremental Repayments'!$I$31),-PMT('Interest Rate'!$J$16,'Incremental Repayments'!$I$31,(HLOOKUP($D99,$E$4:$CZ$32,28,FALSE)*'Incremental Repayments'!$I$22)),0),0)</f>
        <v>0</v>
      </c>
      <c r="U99" s="477">
        <f>IF('Incremental Repayments'!$R$22="Debt",IF(AND(U$4&gt;=$D99,U$4&lt;$D99+'Incremental Repayments'!$I$31),-PMT('Interest Rate'!$J$16,'Incremental Repayments'!$I$31,(HLOOKUP($D99,$E$4:$CZ$32,28,FALSE)*'Incremental Repayments'!$I$22)),0),0)</f>
        <v>0</v>
      </c>
      <c r="V99" s="477">
        <f>IF('Incremental Repayments'!$R$22="Debt",IF(AND(V$4&gt;=$D99,V$4&lt;$D99+'Incremental Repayments'!$I$31),-PMT('Interest Rate'!$J$16,'Incremental Repayments'!$I$31,(HLOOKUP($D99,$E$4:$CZ$32,28,FALSE)*'Incremental Repayments'!$I$22)),0),0)</f>
        <v>0</v>
      </c>
      <c r="W99" s="477">
        <f>IF('Incremental Repayments'!$R$22="Debt",IF(AND(W$4&gt;=$D99,W$4&lt;$D99+'Incremental Repayments'!$I$31),-PMT('Interest Rate'!$J$16,'Incremental Repayments'!$I$31,(HLOOKUP($D99,$E$4:$CZ$32,28,FALSE)*'Incremental Repayments'!$I$22)),0),0)</f>
        <v>0</v>
      </c>
      <c r="X99" s="477">
        <f>IF('Incremental Repayments'!$R$22="Debt",IF(AND(X$4&gt;=$D99,X$4&lt;$D99+'Incremental Repayments'!$I$31),-PMT('Interest Rate'!$J$16,'Incremental Repayments'!$I$31,(HLOOKUP($D99,$E$4:$CZ$32,28,FALSE)*'Incremental Repayments'!$I$22)),0),0)</f>
        <v>0</v>
      </c>
      <c r="Y99" s="477">
        <f>IF('Incremental Repayments'!$R$22="Debt",IF(AND(Y$4&gt;=$D99,Y$4&lt;$D99+'Incremental Repayments'!$I$31),-PMT('Interest Rate'!$J$16,'Incremental Repayments'!$I$31,(HLOOKUP($D99,$E$4:$CZ$32,28,FALSE)*'Incremental Repayments'!$I$22)),0),0)</f>
        <v>0</v>
      </c>
      <c r="Z99" s="477">
        <f>IF('Incremental Repayments'!$R$22="Debt",IF(AND(Z$4&gt;=$D99,Z$4&lt;$D99+'Incremental Repayments'!$I$31),-PMT('Interest Rate'!$J$16,'Incremental Repayments'!$I$31,(HLOOKUP($D99,$E$4:$CZ$32,28,FALSE)*'Incremental Repayments'!$I$22)),0),0)</f>
        <v>0</v>
      </c>
      <c r="AA99" s="477">
        <f>IF('Incremental Repayments'!$R$22="Debt",IF(AND(AA$4&gt;=$D99,AA$4&lt;$D99+'Incremental Repayments'!$I$31),-PMT('Interest Rate'!$J$16,'Incremental Repayments'!$I$31,(HLOOKUP($D99,$E$4:$CZ$32,28,FALSE)*'Incremental Repayments'!$I$22)),0),0)</f>
        <v>0</v>
      </c>
      <c r="AB99" s="477">
        <f>IF('Incremental Repayments'!$R$22="Debt",IF(AND(AB$4&gt;=$D99,AB$4&lt;$D99+'Incremental Repayments'!$I$31),-PMT('Interest Rate'!$J$16,'Incremental Repayments'!$I$31,(HLOOKUP($D99,$E$4:$CZ$32,28,FALSE)*'Incremental Repayments'!$I$22)),0),0)</f>
        <v>0</v>
      </c>
      <c r="AC99" s="477">
        <f>IF('Incremental Repayments'!$R$22="Debt",IF(AND(AC$4&gt;=$D99,AC$4&lt;$D99+'Incremental Repayments'!$I$31),-PMT('Interest Rate'!$J$16,'Incremental Repayments'!$I$31,(HLOOKUP($D99,$E$4:$CZ$32,28,FALSE)*'Incremental Repayments'!$I$22)),0),0)</f>
        <v>0</v>
      </c>
      <c r="AD99" s="477">
        <f>IF('Incremental Repayments'!$R$22="Debt",IF(AND(AD$4&gt;=$D99,AD$4&lt;$D99+'Incremental Repayments'!$I$31),-PMT('Interest Rate'!$J$16,'Incremental Repayments'!$I$31,(HLOOKUP($D99,$E$4:$CZ$32,28,FALSE)*'Incremental Repayments'!$I$22)),0),0)</f>
        <v>0</v>
      </c>
      <c r="AE99" s="477">
        <f>IF('Incremental Repayments'!$R$22="Debt",IF(AND(AE$4&gt;=$D99,AE$4&lt;$D99+'Incremental Repayments'!$I$31),-PMT('Interest Rate'!$J$16,'Incremental Repayments'!$I$31,(HLOOKUP($D99,$E$4:$CZ$32,28,FALSE)*'Incremental Repayments'!$I$22)),0),0)</f>
        <v>0</v>
      </c>
      <c r="AF99" s="477">
        <f>IF('Incremental Repayments'!$R$22="Debt",IF(AND(AF$4&gt;=$D99,AF$4&lt;$D99+'Incremental Repayments'!$I$31),-PMT('Interest Rate'!$J$16,'Incremental Repayments'!$I$31,(HLOOKUP($D99,$E$4:$CZ$32,28,FALSE)*'Incremental Repayments'!$I$22)),0),0)</f>
        <v>0</v>
      </c>
      <c r="AG99" s="477">
        <f>IF('Incremental Repayments'!$R$22="Debt",IF(AND(AG$4&gt;=$D99,AG$4&lt;$D99+'Incremental Repayments'!$I$31),-PMT('Interest Rate'!$J$16,'Incremental Repayments'!$I$31,(HLOOKUP($D99,$E$4:$CZ$32,28,FALSE)*'Incremental Repayments'!$I$22)),0),0)</f>
        <v>0</v>
      </c>
      <c r="AH99" s="477">
        <f>IF('Incremental Repayments'!$R$22="Debt",IF(AND(AH$4&gt;=$D99,AH$4&lt;$D99+'Incremental Repayments'!$I$31),-PMT('Interest Rate'!$J$16,'Incremental Repayments'!$I$31,(HLOOKUP($D99,$E$4:$CZ$32,28,FALSE)*'Incremental Repayments'!$I$22)),0),0)</f>
        <v>0</v>
      </c>
      <c r="AI99" s="477">
        <f>IF('Incremental Repayments'!$R$22="Debt",IF(AND(AI$4&gt;=$D99,AI$4&lt;$D99+'Incremental Repayments'!$I$31),-PMT('Interest Rate'!$J$16,'Incremental Repayments'!$I$31,(HLOOKUP($D99,$E$4:$CZ$32,28,FALSE)*'Incremental Repayments'!$I$22)),0),0)</f>
        <v>0</v>
      </c>
      <c r="AJ99" s="477">
        <f>IF('Incremental Repayments'!$R$22="Debt",IF(AND(AJ$4&gt;=$D99,AJ$4&lt;$D99+'Incremental Repayments'!$I$31),-PMT('Interest Rate'!$J$16,'Incremental Repayments'!$I$31,(HLOOKUP($D99,$E$4:$CZ$32,28,FALSE)*'Incremental Repayments'!$I$22)),0),0)</f>
        <v>0</v>
      </c>
      <c r="AK99" s="477">
        <f>IF('Incremental Repayments'!$R$22="Debt",IF(AND(AK$4&gt;=$D99,AK$4&lt;$D99+'Incremental Repayments'!$I$31),-PMT('Interest Rate'!$J$16,'Incremental Repayments'!$I$31,(HLOOKUP($D99,$E$4:$CZ$32,28,FALSE)*'Incremental Repayments'!$I$22)),0),0)</f>
        <v>0</v>
      </c>
      <c r="AL99" s="477">
        <f>IF('Incremental Repayments'!$R$22="Debt",IF(AND(AL$4&gt;=$D99,AL$4&lt;$D99+'Incremental Repayments'!$I$31),-PMT('Interest Rate'!$J$16,'Incremental Repayments'!$I$31,(HLOOKUP($D99,$E$4:$CZ$32,28,FALSE)*'Incremental Repayments'!$I$22)),0),0)</f>
        <v>0</v>
      </c>
      <c r="AM99" s="477">
        <f>IF('Incremental Repayments'!$R$22="Debt",IF(AND(AM$4&gt;=$D99,AM$4&lt;$D99+'Incremental Repayments'!$I$31),-PMT('Interest Rate'!$J$16,'Incremental Repayments'!$I$31,(HLOOKUP($D99,$E$4:$CZ$32,28,FALSE)*'Incremental Repayments'!$I$22)),0),0)</f>
        <v>0</v>
      </c>
      <c r="AN99" s="477">
        <f>IF('Incremental Repayments'!$R$22="Debt",IF(AND(AN$4&gt;=$D99,AN$4&lt;$D99+'Incremental Repayments'!$I$31),-PMT('Interest Rate'!$J$16,'Incremental Repayments'!$I$31,(HLOOKUP($D99,$E$4:$CZ$32,28,FALSE)*'Incremental Repayments'!$I$22)),0),0)</f>
        <v>0</v>
      </c>
      <c r="AO99" s="477">
        <f>IF('Incremental Repayments'!$R$22="Debt",IF(AND(AO$4&gt;=$D99,AO$4&lt;$D99+'Incremental Repayments'!$I$31),-PMT('Interest Rate'!$J$16,'Incremental Repayments'!$I$31,(HLOOKUP($D99,$E$4:$CZ$32,28,FALSE)*'Incremental Repayments'!$I$22)),0),0)</f>
        <v>0</v>
      </c>
      <c r="AP99" s="477">
        <f>IF('Incremental Repayments'!$R$22="Debt",IF(AND(AP$4&gt;=$D99,AP$4&lt;$D99+'Incremental Repayments'!$I$31),-PMT('Interest Rate'!$J$16,'Incremental Repayments'!$I$31,(HLOOKUP($D99,$E$4:$CZ$32,28,FALSE)*'Incremental Repayments'!$I$22)),0),0)</f>
        <v>0</v>
      </c>
      <c r="AQ99" s="477">
        <f>IF('Incremental Repayments'!$R$22="Debt",IF(AND(AQ$4&gt;=$D99,AQ$4&lt;$D99+'Incremental Repayments'!$I$31),-PMT('Interest Rate'!$J$16,'Incremental Repayments'!$I$31,(HLOOKUP($D99,$E$4:$CZ$32,28,FALSE)*'Incremental Repayments'!$I$22)),0),0)</f>
        <v>0</v>
      </c>
      <c r="AR99" s="477">
        <f>IF('Incremental Repayments'!$R$22="Debt",IF(AND(AR$4&gt;=$D99,AR$4&lt;$D99+'Incremental Repayments'!$I$31),-PMT('Interest Rate'!$J$16,'Incremental Repayments'!$I$31,(HLOOKUP($D99,$E$4:$CZ$32,28,FALSE)*'Incremental Repayments'!$I$22)),0),0)</f>
        <v>0</v>
      </c>
      <c r="AS99" s="477">
        <f>IF('Incremental Repayments'!$R$22="Debt",IF(AND(AS$4&gt;=$D99,AS$4&lt;$D99+'Incremental Repayments'!$I$31),-PMT('Interest Rate'!$J$16,'Incremental Repayments'!$I$31,(HLOOKUP($D99,$E$4:$CZ$32,28,FALSE)*'Incremental Repayments'!$I$22)),0),0)</f>
        <v>0</v>
      </c>
      <c r="AT99" s="477">
        <f>IF('Incremental Repayments'!$R$22="Debt",IF(AND(AT$4&gt;=$D99,AT$4&lt;$D99+'Incremental Repayments'!$I$31),-PMT('Interest Rate'!$J$16,'Incremental Repayments'!$I$31,(HLOOKUP($D99,$E$4:$CZ$32,28,FALSE)*'Incremental Repayments'!$I$22)),0),0)</f>
        <v>0</v>
      </c>
      <c r="AU99" s="477">
        <f>IF('Incremental Repayments'!$R$22="Debt",IF(AND(AU$4&gt;=$D99,AU$4&lt;$D99+'Incremental Repayments'!$I$31),-PMT('Interest Rate'!$J$16,'Incremental Repayments'!$I$31,(HLOOKUP($D99,$E$4:$CZ$32,28,FALSE)*'Incremental Repayments'!$I$22)),0),0)</f>
        <v>0</v>
      </c>
      <c r="AV99" s="477">
        <f>IF('Incremental Repayments'!$R$22="Debt",IF(AND(AV$4&gt;=$D99,AV$4&lt;$D99+'Incremental Repayments'!$I$31),-PMT('Interest Rate'!$J$16,'Incremental Repayments'!$I$31,(HLOOKUP($D99,$E$4:$CZ$32,28,FALSE)*'Incremental Repayments'!$I$22)),0),0)</f>
        <v>0</v>
      </c>
      <c r="AW99" s="477">
        <f>IF('Incremental Repayments'!$R$22="Debt",IF(AND(AW$4&gt;=$D99,AW$4&lt;$D99+'Incremental Repayments'!$I$31),-PMT('Interest Rate'!$J$16,'Incremental Repayments'!$I$31,(HLOOKUP($D99,$E$4:$CZ$32,28,FALSE)*'Incremental Repayments'!$I$22)),0),0)</f>
        <v>0</v>
      </c>
      <c r="AX99" s="477">
        <f>IF('Incremental Repayments'!$R$22="Debt",IF(AND(AX$4&gt;=$D99,AX$4&lt;$D99+'Incremental Repayments'!$I$31),-PMT('Interest Rate'!$J$16,'Incremental Repayments'!$I$31,(HLOOKUP($D99,$E$4:$CZ$32,28,FALSE)*'Incremental Repayments'!$I$22)),0),0)</f>
        <v>0</v>
      </c>
      <c r="AY99" s="477">
        <f>IF('Incremental Repayments'!$R$22="Debt",IF(AND(AY$4&gt;=$D99,AY$4&lt;$D99+'Incremental Repayments'!$I$31),-PMT('Interest Rate'!$J$16,'Incremental Repayments'!$I$31,(HLOOKUP($D99,$E$4:$CZ$32,28,FALSE)*'Incremental Repayments'!$I$22)),0),0)</f>
        <v>0</v>
      </c>
      <c r="AZ99" s="477">
        <f>IF('Incremental Repayments'!$R$22="Debt",IF(AND(AZ$4&gt;=$D99,AZ$4&lt;$D99+'Incremental Repayments'!$I$31),-PMT('Interest Rate'!$J$16,'Incremental Repayments'!$I$31,(HLOOKUP($D99,$E$4:$CZ$32,28,FALSE)*'Incremental Repayments'!$I$22)),0),0)</f>
        <v>0</v>
      </c>
      <c r="BA99" s="477">
        <f>IF('Incremental Repayments'!$R$22="Debt",IF(AND(BA$4&gt;=$D99,BA$4&lt;$D99+'Incremental Repayments'!$I$31),-PMT('Interest Rate'!$J$16,'Incremental Repayments'!$I$31,(HLOOKUP($D99,$E$4:$CZ$32,28,FALSE)*'Incremental Repayments'!$I$22)),0),0)</f>
        <v>0</v>
      </c>
      <c r="BB99" s="477">
        <f>IF('Incremental Repayments'!$R$22="Debt",IF(AND(BB$4&gt;=$D99,BB$4&lt;$D99+'Incremental Repayments'!$I$31),-PMT('Interest Rate'!$J$16,'Incremental Repayments'!$I$31,(HLOOKUP($D99,$E$4:$CZ$32,28,FALSE)*'Incremental Repayments'!$I$22)),0),0)</f>
        <v>0</v>
      </c>
      <c r="BC99" s="477">
        <f>IF('Incremental Repayments'!$R$22="Debt",IF(AND(BC$4&gt;=$D99,BC$4&lt;$D99+'Incremental Repayments'!$I$31),-PMT('Interest Rate'!$J$16,'Incremental Repayments'!$I$31,(HLOOKUP($D99,$E$4:$CZ$32,28,FALSE)*'Incremental Repayments'!$I$22)),0),0)</f>
        <v>0</v>
      </c>
      <c r="BD99" s="477">
        <f>IF('Incremental Repayments'!$R$22="Debt",IF(AND(BD$4&gt;=$D99,BD$4&lt;$D99+'Incremental Repayments'!$I$31),-PMT('Interest Rate'!$J$16,'Incremental Repayments'!$I$31,(HLOOKUP($D99,$E$4:$CZ$32,28,FALSE)*'Incremental Repayments'!$I$22)),0),0)</f>
        <v>0</v>
      </c>
      <c r="BE99" s="477">
        <f>IF('Incremental Repayments'!$R$22="Debt",IF(AND(BE$4&gt;=$D99,BE$4&lt;$D99+'Incremental Repayments'!$I$31),-PMT('Interest Rate'!$J$16,'Incremental Repayments'!$I$31,(HLOOKUP($D99,$E$4:$CZ$32,28,FALSE)*'Incremental Repayments'!$I$22)),0),0)</f>
        <v>0</v>
      </c>
      <c r="BF99" s="477">
        <f>IF('Incremental Repayments'!$R$22="Debt",IF(AND(BF$4&gt;=$D99,BF$4&lt;$D99+'Incremental Repayments'!$I$31),-PMT('Interest Rate'!$J$16,'Incremental Repayments'!$I$31,(HLOOKUP($D99,$E$4:$CZ$32,28,FALSE)*'Incremental Repayments'!$I$22)),0),0)</f>
        <v>0</v>
      </c>
      <c r="BG99" s="477">
        <f>IF('Incremental Repayments'!$R$22="Debt",IF(AND(BG$4&gt;=$D99,BG$4&lt;$D99+'Incremental Repayments'!$I$31),-PMT('Interest Rate'!$J$16,'Incremental Repayments'!$I$31,(HLOOKUP($D99,$E$4:$CZ$32,28,FALSE)*'Incremental Repayments'!$I$22)),0),0)</f>
        <v>0</v>
      </c>
      <c r="BH99" s="477">
        <f>IF('Incremental Repayments'!$R$22="Debt",IF(AND(BH$4&gt;=$D99,BH$4&lt;$D99+'Incremental Repayments'!$I$31),-PMT('Interest Rate'!$J$16,'Incremental Repayments'!$I$31,(HLOOKUP($D99,$E$4:$CZ$32,28,FALSE)*'Incremental Repayments'!$I$22)),0),0)</f>
        <v>0</v>
      </c>
      <c r="BI99" s="477">
        <f>IF('Incremental Repayments'!$R$22="Debt",IF(AND(BI$4&gt;=$D99,BI$4&lt;$D99+'Incremental Repayments'!$I$31),-PMT('Interest Rate'!$J$16,'Incremental Repayments'!$I$31,(HLOOKUP($D99,$E$4:$CZ$32,28,FALSE)*'Incremental Repayments'!$I$22)),0),0)</f>
        <v>0</v>
      </c>
      <c r="BJ99" s="477">
        <f>IF('Incremental Repayments'!$R$22="Debt",IF(AND(BJ$4&gt;=$D99,BJ$4&lt;$D99+'Incremental Repayments'!$I$31),-PMT('Interest Rate'!$J$16,'Incremental Repayments'!$I$31,(HLOOKUP($D99,$E$4:$CZ$32,28,FALSE)*'Incremental Repayments'!$I$22)),0),0)</f>
        <v>0</v>
      </c>
      <c r="BK99" s="477">
        <f>IF('Incremental Repayments'!$R$22="Debt",IF(AND(BK$4&gt;=$D99,BK$4&lt;$D99+'Incremental Repayments'!$I$31),-PMT('Interest Rate'!$J$16,'Incremental Repayments'!$I$31,(HLOOKUP($D99,$E$4:$CZ$32,28,FALSE)*'Incremental Repayments'!$I$22)),0),0)</f>
        <v>0</v>
      </c>
      <c r="BL99" s="477">
        <f>IF('Incremental Repayments'!$R$22="Debt",IF(AND(BL$4&gt;=$D99,BL$4&lt;$D99+'Incremental Repayments'!$I$31),-PMT('Interest Rate'!$J$16,'Incremental Repayments'!$I$31,(HLOOKUP($D99,$E$4:$CZ$32,28,FALSE)*'Incremental Repayments'!$I$22)),0),0)</f>
        <v>0</v>
      </c>
      <c r="BM99" s="477">
        <f>IF('Incremental Repayments'!$R$22="Debt",IF(AND(BM$4&gt;=$D99,BM$4&lt;$D99+'Incremental Repayments'!$I$31),-PMT('Interest Rate'!$J$16,'Incremental Repayments'!$I$31,(HLOOKUP($D99,$E$4:$CZ$32,28,FALSE)*'Incremental Repayments'!$I$22)),0),0)</f>
        <v>0</v>
      </c>
      <c r="BN99" s="477">
        <f>IF('Incremental Repayments'!$R$22="Debt",IF(AND(BN$4&gt;=$D99,BN$4&lt;$D99+'Incremental Repayments'!$I$31),-PMT('Interest Rate'!$J$16,'Incremental Repayments'!$I$31,(HLOOKUP($D99,$E$4:$CZ$32,28,FALSE)*'Incremental Repayments'!$I$22)),0),0)</f>
        <v>0</v>
      </c>
      <c r="BO99" s="477">
        <f>IF('Incremental Repayments'!$R$22="Debt",IF(AND(BO$4&gt;=$D99,BO$4&lt;$D99+'Incremental Repayments'!$I$31),-PMT('Interest Rate'!$J$16,'Incremental Repayments'!$I$31,(HLOOKUP($D99,$E$4:$CZ$32,28,FALSE)*'Incremental Repayments'!$I$22)),0),0)</f>
        <v>0</v>
      </c>
      <c r="BP99" s="477">
        <f>IF('Incremental Repayments'!$R$22="Debt",IF(AND(BP$4&gt;=$D99,BP$4&lt;$D99+'Incremental Repayments'!$I$31),-PMT('Interest Rate'!$J$16,'Incremental Repayments'!$I$31,(HLOOKUP($D99,$E$4:$CZ$32,28,FALSE)*'Incremental Repayments'!$I$22)),0),0)</f>
        <v>0</v>
      </c>
      <c r="BQ99" s="477">
        <f>IF('Incremental Repayments'!$R$22="Debt",IF(AND(BQ$4&gt;=$D99,BQ$4&lt;$D99+'Incremental Repayments'!$I$31),-PMT('Interest Rate'!$J$16,'Incremental Repayments'!$I$31,(HLOOKUP($D99,$E$4:$CZ$32,28,FALSE)*'Incremental Repayments'!$I$22)),0),0)</f>
        <v>0</v>
      </c>
      <c r="BR99" s="477">
        <f>IF('Incremental Repayments'!$R$22="Debt",IF(AND(BR$4&gt;=$D99,BR$4&lt;$D99+'Incremental Repayments'!$I$31),-PMT('Interest Rate'!$J$16,'Incremental Repayments'!$I$31,(HLOOKUP($D99,$E$4:$CZ$32,28,FALSE)*'Incremental Repayments'!$I$22)),0),0)</f>
        <v>0</v>
      </c>
      <c r="BS99" s="477">
        <f>IF('Incremental Repayments'!$R$22="Debt",IF(AND(BS$4&gt;=$D99,BS$4&lt;$D99+'Incremental Repayments'!$I$31),-PMT('Interest Rate'!$J$16,'Incremental Repayments'!$I$31,(HLOOKUP($D99,$E$4:$CZ$32,28,FALSE)*'Incremental Repayments'!$I$22)),0),0)</f>
        <v>0</v>
      </c>
      <c r="BT99" s="477">
        <f>IF('Incremental Repayments'!$R$22="Debt",IF(AND(BT$4&gt;=$D99,BT$4&lt;$D99+'Incremental Repayments'!$I$31),-PMT('Interest Rate'!$J$16,'Incremental Repayments'!$I$31,(HLOOKUP($D99,$E$4:$CZ$32,28,FALSE)*'Incremental Repayments'!$I$22)),0),0)</f>
        <v>0</v>
      </c>
      <c r="BU99" s="477">
        <f>IF('Incremental Repayments'!$R$22="Debt",IF(AND(BU$4&gt;=$D99,BU$4&lt;$D99+'Incremental Repayments'!$I$31),-PMT('Interest Rate'!$J$16,'Incremental Repayments'!$I$31,(HLOOKUP($D99,$E$4:$CZ$32,28,FALSE)*'Incremental Repayments'!$I$22)),0),0)</f>
        <v>0</v>
      </c>
      <c r="BV99" s="477">
        <f>IF('Incremental Repayments'!$R$22="Debt",IF(AND(BV$4&gt;=$D99,BV$4&lt;$D99+'Incremental Repayments'!$I$31),-PMT('Interest Rate'!$J$16,'Incremental Repayments'!$I$31,(HLOOKUP($D99,$E$4:$CZ$32,28,FALSE)*'Incremental Repayments'!$I$22)),0),0)</f>
        <v>0</v>
      </c>
      <c r="BW99" s="477">
        <f>IF('Incremental Repayments'!$R$22="Debt",IF(AND(BW$4&gt;=$D99,BW$4&lt;$D99+'Incremental Repayments'!$I$31),-PMT('Interest Rate'!$J$16,'Incremental Repayments'!$I$31,(HLOOKUP($D99,$E$4:$CZ$32,28,FALSE)*'Incremental Repayments'!$I$22)),0),0)</f>
        <v>0</v>
      </c>
      <c r="BX99" s="477">
        <f>IF('Incremental Repayments'!$R$22="Debt",IF(AND(BX$4&gt;=$D99,BX$4&lt;$D99+'Incremental Repayments'!$I$31),-PMT('Interest Rate'!$J$16,'Incremental Repayments'!$I$31,(HLOOKUP($D99,$E$4:$CZ$32,28,FALSE)*'Incremental Repayments'!$I$22)),0),0)</f>
        <v>0</v>
      </c>
      <c r="BY99" s="477">
        <f>IF('Incremental Repayments'!$R$22="Debt",IF(AND(BY$4&gt;=$D99,BY$4&lt;$D99+'Incremental Repayments'!$I$31),-PMT('Interest Rate'!$J$16,'Incremental Repayments'!$I$31,(HLOOKUP($D99,$E$4:$CZ$32,28,FALSE)*'Incremental Repayments'!$I$22)),0),0)</f>
        <v>0</v>
      </c>
      <c r="BZ99" s="477">
        <f>IF('Incremental Repayments'!$R$22="Debt",IF(AND(BZ$4&gt;=$D99,BZ$4&lt;$D99+'Incremental Repayments'!$I$31),-PMT('Interest Rate'!$J$16,'Incremental Repayments'!$I$31,(HLOOKUP($D99,$E$4:$CZ$32,28,FALSE)*'Incremental Repayments'!$I$22)),0),0)</f>
        <v>0</v>
      </c>
      <c r="CA99" s="477">
        <f>IF('Incremental Repayments'!$R$22="Debt",IF(AND(CA$4&gt;=$D99,CA$4&lt;$D99+'Incremental Repayments'!$I$31),-PMT('Interest Rate'!$J$16,'Incremental Repayments'!$I$31,(HLOOKUP($D99,$E$4:$CZ$32,28,FALSE)*'Incremental Repayments'!$I$22)),0),0)</f>
        <v>0</v>
      </c>
      <c r="CB99" s="477">
        <f>IF('Incremental Repayments'!$R$22="Debt",IF(AND(CB$4&gt;=$D99,CB$4&lt;$D99+'Incremental Repayments'!$I$31),-PMT('Interest Rate'!$J$16,'Incremental Repayments'!$I$31,(HLOOKUP($D99,$E$4:$CZ$32,28,FALSE)*'Incremental Repayments'!$I$22)),0),0)</f>
        <v>0</v>
      </c>
      <c r="CC99" s="477">
        <f>IF('Incremental Repayments'!$R$22="Debt",IF(AND(CC$4&gt;=$D99,CC$4&lt;$D99+'Incremental Repayments'!$I$31),-PMT('Interest Rate'!$J$16,'Incremental Repayments'!$I$31,(HLOOKUP($D99,$E$4:$CZ$32,28,FALSE)*'Incremental Repayments'!$I$22)),0),0)</f>
        <v>0</v>
      </c>
      <c r="CD99" s="477">
        <f>IF('Incremental Repayments'!$R$22="Debt",IF(AND(CD$4&gt;=$D99,CD$4&lt;$D99+'Incremental Repayments'!$I$31),-PMT('Interest Rate'!$J$16,'Incremental Repayments'!$I$31,(HLOOKUP($D99,$E$4:$CZ$32,28,FALSE)*'Incremental Repayments'!$I$22)),0),0)</f>
        <v>0</v>
      </c>
      <c r="CE99" s="477">
        <f>IF('Incremental Repayments'!$R$22="Debt",IF(AND(CE$4&gt;=$D99,CE$4&lt;$D99+'Incremental Repayments'!$I$31),-PMT('Interest Rate'!$J$16,'Incremental Repayments'!$I$31,(HLOOKUP($D99,$E$4:$CZ$32,28,FALSE)*'Incremental Repayments'!$I$22)),0),0)</f>
        <v>0</v>
      </c>
      <c r="CF99" s="477">
        <f>IF('Incremental Repayments'!$R$22="Debt",IF(AND(CF$4&gt;=$D99,CF$4&lt;$D99+'Incremental Repayments'!$I$31),-PMT('Interest Rate'!$J$16,'Incremental Repayments'!$I$31,(HLOOKUP($D99,$E$4:$CZ$32,28,FALSE)*'Incremental Repayments'!$I$22)),0),0)</f>
        <v>0</v>
      </c>
      <c r="CG99" s="477">
        <f>IF('Incremental Repayments'!$R$22="Debt",IF(AND(CG$4&gt;=$D99,CG$4&lt;$D99+'Incremental Repayments'!$I$31),-PMT('Interest Rate'!$J$16,'Incremental Repayments'!$I$31,(HLOOKUP($D99,$E$4:$CZ$32,28,FALSE)*'Incremental Repayments'!$I$22)),0),0)</f>
        <v>0</v>
      </c>
      <c r="CH99" s="477">
        <f>IF('Incremental Repayments'!$R$22="Debt",IF(AND(CH$4&gt;=$D99,CH$4&lt;$D99+'Incremental Repayments'!$I$31),-PMT('Interest Rate'!$J$16,'Incremental Repayments'!$I$31,(HLOOKUP($D99,$E$4:$CZ$32,28,FALSE)*'Incremental Repayments'!$I$22)),0),0)</f>
        <v>0</v>
      </c>
      <c r="CI99" s="477">
        <f>IF('Incremental Repayments'!$R$22="Debt",IF(AND(CI$4&gt;=$D99,CI$4&lt;$D99+'Incremental Repayments'!$I$31),-PMT('Interest Rate'!$J$16,'Incremental Repayments'!$I$31,(HLOOKUP($D99,$E$4:$CZ$32,28,FALSE)*'Incremental Repayments'!$I$22)),0),0)</f>
        <v>0</v>
      </c>
      <c r="CJ99" s="477">
        <f>IF('Incremental Repayments'!$R$22="Debt",IF(AND(CJ$4&gt;=$D99,CJ$4&lt;$D99+'Incremental Repayments'!$I$31),-PMT('Interest Rate'!$J$16,'Incremental Repayments'!$I$31,(HLOOKUP($D99,$E$4:$CZ$32,28,FALSE)*'Incremental Repayments'!$I$22)),0),0)</f>
        <v>0</v>
      </c>
      <c r="CK99" s="477">
        <f>IF('Incremental Repayments'!$R$22="Debt",IF(AND(CK$4&gt;=$D99,CK$4&lt;$D99+'Incremental Repayments'!$I$31),-PMT('Interest Rate'!$J$16,'Incremental Repayments'!$I$31,(HLOOKUP($D99,$E$4:$CZ$32,28,FALSE)*'Incremental Repayments'!$I$22)),0),0)</f>
        <v>0</v>
      </c>
      <c r="CL99" s="477">
        <f>IF('Incremental Repayments'!$R$22="Debt",IF(AND(CL$4&gt;=$D99,CL$4&lt;$D99+'Incremental Repayments'!$I$31),-PMT('Interest Rate'!$J$16,'Incremental Repayments'!$I$31,(HLOOKUP($D99,$E$4:$CZ$32,28,FALSE)*'Incremental Repayments'!$I$22)),0),0)</f>
        <v>0</v>
      </c>
      <c r="CM99" s="477">
        <f>IF('Incremental Repayments'!$R$22="Debt",IF(AND(CM$4&gt;=$D99,CM$4&lt;$D99+'Incremental Repayments'!$I$31),-PMT('Interest Rate'!$J$16,'Incremental Repayments'!$I$31,(HLOOKUP($D99,$E$4:$CZ$32,28,FALSE)*'Incremental Repayments'!$I$22)),0),0)</f>
        <v>0</v>
      </c>
      <c r="CN99" s="477">
        <f>IF('Incremental Repayments'!$R$22="Debt",IF(AND(CN$4&gt;=$D99,CN$4&lt;$D99+'Incremental Repayments'!$I$31),-PMT('Interest Rate'!$J$16,'Incremental Repayments'!$I$31,(HLOOKUP($D99,$E$4:$CZ$32,28,FALSE)*'Incremental Repayments'!$I$22)),0),0)</f>
        <v>0</v>
      </c>
      <c r="CO99" s="477">
        <f>IF('Incremental Repayments'!$R$22="Debt",IF(AND(CO$4&gt;=$D99,CO$4&lt;$D99+'Incremental Repayments'!$I$31),-PMT('Interest Rate'!$J$16,'Incremental Repayments'!$I$31,(HLOOKUP($D99,$E$4:$CZ$32,28,FALSE)*'Incremental Repayments'!$I$22)),0),0)</f>
        <v>0</v>
      </c>
      <c r="CP99" s="477">
        <f>IF('Incremental Repayments'!$R$22="Debt",IF(AND(CP$4&gt;=$D99,CP$4&lt;$D99+'Incremental Repayments'!$I$31),-PMT('Interest Rate'!$J$16,'Incremental Repayments'!$I$31,(HLOOKUP($D99,$E$4:$CZ$32,28,FALSE)*'Incremental Repayments'!$I$22)),0),0)</f>
        <v>0</v>
      </c>
      <c r="CQ99" s="477">
        <f>IF('Incremental Repayments'!$R$22="Debt",IF(AND(CQ$4&gt;=$D99,CQ$4&lt;$D99+'Incremental Repayments'!$I$31),-PMT('Interest Rate'!$J$16,'Incremental Repayments'!$I$31,(HLOOKUP($D99,$E$4:$CZ$32,28,FALSE)*'Incremental Repayments'!$I$22)),0),0)</f>
        <v>0</v>
      </c>
      <c r="CR99" s="477">
        <f>IF('Incremental Repayments'!$R$22="Debt",IF(AND(CR$4&gt;=$D99,CR$4&lt;$D99+'Incremental Repayments'!$I$31),-PMT('Interest Rate'!$J$16,'Incremental Repayments'!$I$31,(HLOOKUP($D99,$E$4:$CZ$32,28,FALSE)*'Incremental Repayments'!$I$22)),0),0)</f>
        <v>0</v>
      </c>
      <c r="CS99" s="477">
        <f>IF('Incremental Repayments'!$R$22="Debt",IF(AND(CS$4&gt;=$D99,CS$4&lt;$D99+'Incremental Repayments'!$I$31),-PMT('Interest Rate'!$J$16,'Incremental Repayments'!$I$31,(HLOOKUP($D99,$E$4:$CZ$32,28,FALSE)*'Incremental Repayments'!$I$22)),0),0)</f>
        <v>0</v>
      </c>
      <c r="CT99" s="477">
        <f>IF('Incremental Repayments'!$R$22="Debt",IF(AND(CT$4&gt;=$D99,CT$4&lt;$D99+'Incremental Repayments'!$I$31),-PMT('Interest Rate'!$J$16,'Incremental Repayments'!$I$31,(HLOOKUP($D99,$E$4:$CZ$32,28,FALSE)*'Incremental Repayments'!$I$22)),0),0)</f>
        <v>0</v>
      </c>
      <c r="CU99" s="477">
        <f>IF('Incremental Repayments'!$R$22="Debt",IF(AND(CU$4&gt;=$D99,CU$4&lt;$D99+'Incremental Repayments'!$I$31),-PMT('Interest Rate'!$J$16,'Incremental Repayments'!$I$31,(HLOOKUP($D99,$E$4:$CZ$32,28,FALSE)*'Incremental Repayments'!$I$22)),0),0)</f>
        <v>0</v>
      </c>
      <c r="CV99" s="477">
        <f>IF('Incremental Repayments'!$R$22="Debt",IF(AND(CV$4&gt;=$D99,CV$4&lt;$D99+'Incremental Repayments'!$I$31),-PMT('Interest Rate'!$J$16,'Incremental Repayments'!$I$31,(HLOOKUP($D99,$E$4:$CZ$32,28,FALSE)*'Incremental Repayments'!$I$22)),0),0)</f>
        <v>0</v>
      </c>
      <c r="CW99" s="477">
        <f>IF('Incremental Repayments'!$R$22="Debt",IF(AND(CW$4&gt;=$D99,CW$4&lt;$D99+'Incremental Repayments'!$I$31),-PMT('Interest Rate'!$J$16,'Incremental Repayments'!$I$31,(HLOOKUP($D99,$E$4:$CZ$32,28,FALSE)*'Incremental Repayments'!$I$22)),0),0)</f>
        <v>0</v>
      </c>
      <c r="CX99" s="477">
        <f>IF('Incremental Repayments'!$R$22="Debt",IF(AND(CX$4&gt;=$D99,CX$4&lt;$D99+'Incremental Repayments'!$I$31),-PMT('Interest Rate'!$J$16,'Incremental Repayments'!$I$31,(HLOOKUP($D99,$E$4:$CZ$32,28,FALSE)*'Incremental Repayments'!$I$22)),0),0)</f>
        <v>0</v>
      </c>
      <c r="CY99" s="477">
        <f>IF('Incremental Repayments'!$R$22="Debt",IF(AND(CY$4&gt;=$D99,CY$4&lt;$D99+'Incremental Repayments'!$I$31),-PMT('Interest Rate'!$J$16,'Incremental Repayments'!$I$31,(HLOOKUP($D99,$E$4:$CZ$32,28,FALSE)*'Incremental Repayments'!$I$22)),0),0)</f>
        <v>0</v>
      </c>
      <c r="CZ99" s="477">
        <f>IF('Incremental Repayments'!$R$22="Debt",IF(AND(CZ$4&gt;=$D99,CZ$4&lt;$D99+'Incremental Repayments'!$I$31),-PMT('Interest Rate'!$J$16,'Incremental Repayments'!$I$31,(HLOOKUP($D99,$E$4:$CZ$32,28,FALSE)*'Incremental Repayments'!$I$22)),0),0)</f>
        <v>0</v>
      </c>
    </row>
    <row r="100" spans="2:104" x14ac:dyDescent="0.25">
      <c r="B100" s="480" t="str">
        <f>CONCATENATE("Series ",D100,"A Bonds (at ",'Interest Rate'!$J$16*100,"% Interest)")</f>
        <v>Series 2078A Bonds (at 4.5% Interest)</v>
      </c>
      <c r="C100" s="480"/>
      <c r="D100" s="492">
        <f t="shared" si="494"/>
        <v>2078</v>
      </c>
      <c r="E100" s="477">
        <f>IF('Incremental Repayments'!$R$22="Debt",IF(AND(E$4&gt;=$D100,E$4&lt;$D100+'Incremental Repayments'!$I$31),-PMT('Interest Rate'!$J$16,'Incremental Repayments'!$I$31,(HLOOKUP($D100,$E$4:$CZ$32,28,FALSE)*'Incremental Repayments'!$I$22)),0),0)</f>
        <v>0</v>
      </c>
      <c r="F100" s="477">
        <f>IF('Incremental Repayments'!$R$22="Debt",IF(AND(F$4&gt;=$D100,F$4&lt;$D100+'Incremental Repayments'!$I$31),-PMT('Interest Rate'!$J$16,'Incremental Repayments'!$I$31,(HLOOKUP($D100,$E$4:$CZ$32,28,FALSE)*'Incremental Repayments'!$I$22)),0),0)</f>
        <v>0</v>
      </c>
      <c r="G100" s="477">
        <f>IF('Incremental Repayments'!$R$22="Debt",IF(AND(G$4&gt;=$D100,G$4&lt;$D100+'Incremental Repayments'!$I$31),-PMT('Interest Rate'!$J$16,'Incremental Repayments'!$I$31,(HLOOKUP($D100,$E$4:$CZ$32,28,FALSE)*'Incremental Repayments'!$I$22)),0),0)</f>
        <v>0</v>
      </c>
      <c r="H100" s="477">
        <f>IF('Incremental Repayments'!$R$22="Debt",IF(AND(H$4&gt;=$D100,H$4&lt;$D100+'Incremental Repayments'!$I$31),-PMT('Interest Rate'!$J$16,'Incremental Repayments'!$I$31,(HLOOKUP($D100,$E$4:$CZ$32,28,FALSE)*'Incremental Repayments'!$I$22)),0),0)</f>
        <v>0</v>
      </c>
      <c r="I100" s="477">
        <f>IF('Incremental Repayments'!$R$22="Debt",IF(AND(I$4&gt;=$D100,I$4&lt;$D100+'Incremental Repayments'!$I$31),-PMT('Interest Rate'!$J$16,'Incremental Repayments'!$I$31,(HLOOKUP($D100,$E$4:$CZ$32,28,FALSE)*'Incremental Repayments'!$I$22)),0),0)</f>
        <v>0</v>
      </c>
      <c r="J100" s="477">
        <f>IF('Incremental Repayments'!$R$22="Debt",IF(AND(J$4&gt;=$D100,J$4&lt;$D100+'Incremental Repayments'!$I$31),-PMT('Interest Rate'!$J$16,'Incremental Repayments'!$I$31,(HLOOKUP($D100,$E$4:$CZ$32,28,FALSE)*'Incremental Repayments'!$I$22)),0),0)</f>
        <v>0</v>
      </c>
      <c r="K100" s="477">
        <f>IF('Incremental Repayments'!$R$22="Debt",IF(AND(K$4&gt;=$D100,K$4&lt;$D100+'Incremental Repayments'!$I$31),-PMT('Interest Rate'!$J$16,'Incremental Repayments'!$I$31,(HLOOKUP($D100,$E$4:$CZ$32,28,FALSE)*'Incremental Repayments'!$I$22)),0),0)</f>
        <v>0</v>
      </c>
      <c r="L100" s="477">
        <f>IF('Incremental Repayments'!$R$22="Debt",IF(AND(L$4&gt;=$D100,L$4&lt;$D100+'Incremental Repayments'!$I$31),-PMT('Interest Rate'!$J$16,'Incremental Repayments'!$I$31,(HLOOKUP($D100,$E$4:$CZ$32,28,FALSE)*'Incremental Repayments'!$I$22)),0),0)</f>
        <v>0</v>
      </c>
      <c r="M100" s="477">
        <f>IF('Incremental Repayments'!$R$22="Debt",IF(AND(M$4&gt;=$D100,M$4&lt;$D100+'Incremental Repayments'!$I$31),-PMT('Interest Rate'!$J$16,'Incremental Repayments'!$I$31,(HLOOKUP($D100,$E$4:$CZ$32,28,FALSE)*'Incremental Repayments'!$I$22)),0),0)</f>
        <v>0</v>
      </c>
      <c r="N100" s="477">
        <f>IF('Incremental Repayments'!$R$22="Debt",IF(AND(N$4&gt;=$D100,N$4&lt;$D100+'Incremental Repayments'!$I$31),-PMT('Interest Rate'!$J$16,'Incremental Repayments'!$I$31,(HLOOKUP($D100,$E$4:$CZ$32,28,FALSE)*'Incremental Repayments'!$I$22)),0),0)</f>
        <v>0</v>
      </c>
      <c r="O100" s="477">
        <f>IF('Incremental Repayments'!$R$22="Debt",IF(AND(O$4&gt;=$D100,O$4&lt;$D100+'Incremental Repayments'!$I$31),-PMT('Interest Rate'!$J$16,'Incremental Repayments'!$I$31,(HLOOKUP($D100,$E$4:$CZ$32,28,FALSE)*'Incremental Repayments'!$I$22)),0),0)</f>
        <v>0</v>
      </c>
      <c r="P100" s="477">
        <f>IF('Incremental Repayments'!$R$22="Debt",IF(AND(P$4&gt;=$D100,P$4&lt;$D100+'Incremental Repayments'!$I$31),-PMT('Interest Rate'!$J$16,'Incremental Repayments'!$I$31,(HLOOKUP($D100,$E$4:$CZ$32,28,FALSE)*'Incremental Repayments'!$I$22)),0),0)</f>
        <v>0</v>
      </c>
      <c r="Q100" s="477">
        <f>IF('Incremental Repayments'!$R$22="Debt",IF(AND(Q$4&gt;=$D100,Q$4&lt;$D100+'Incremental Repayments'!$I$31),-PMT('Interest Rate'!$J$16,'Incremental Repayments'!$I$31,(HLOOKUP($D100,$E$4:$CZ$32,28,FALSE)*'Incremental Repayments'!$I$22)),0),0)</f>
        <v>0</v>
      </c>
      <c r="R100" s="477">
        <f>IF('Incremental Repayments'!$R$22="Debt",IF(AND(R$4&gt;=$D100,R$4&lt;$D100+'Incremental Repayments'!$I$31),-PMT('Interest Rate'!$J$16,'Incremental Repayments'!$I$31,(HLOOKUP($D100,$E$4:$CZ$32,28,FALSE)*'Incremental Repayments'!$I$22)),0),0)</f>
        <v>0</v>
      </c>
      <c r="S100" s="477">
        <f>IF('Incremental Repayments'!$R$22="Debt",IF(AND(S$4&gt;=$D100,S$4&lt;$D100+'Incremental Repayments'!$I$31),-PMT('Interest Rate'!$J$16,'Incremental Repayments'!$I$31,(HLOOKUP($D100,$E$4:$CZ$32,28,FALSE)*'Incremental Repayments'!$I$22)),0),0)</f>
        <v>0</v>
      </c>
      <c r="T100" s="477">
        <f>IF('Incremental Repayments'!$R$22="Debt",IF(AND(T$4&gt;=$D100,T$4&lt;$D100+'Incremental Repayments'!$I$31),-PMT('Interest Rate'!$J$16,'Incremental Repayments'!$I$31,(HLOOKUP($D100,$E$4:$CZ$32,28,FALSE)*'Incremental Repayments'!$I$22)),0),0)</f>
        <v>0</v>
      </c>
      <c r="U100" s="477">
        <f>IF('Incremental Repayments'!$R$22="Debt",IF(AND(U$4&gt;=$D100,U$4&lt;$D100+'Incremental Repayments'!$I$31),-PMT('Interest Rate'!$J$16,'Incremental Repayments'!$I$31,(HLOOKUP($D100,$E$4:$CZ$32,28,FALSE)*'Incremental Repayments'!$I$22)),0),0)</f>
        <v>0</v>
      </c>
      <c r="V100" s="477">
        <f>IF('Incremental Repayments'!$R$22="Debt",IF(AND(V$4&gt;=$D100,V$4&lt;$D100+'Incremental Repayments'!$I$31),-PMT('Interest Rate'!$J$16,'Incremental Repayments'!$I$31,(HLOOKUP($D100,$E$4:$CZ$32,28,FALSE)*'Incremental Repayments'!$I$22)),0),0)</f>
        <v>0</v>
      </c>
      <c r="W100" s="477">
        <f>IF('Incremental Repayments'!$R$22="Debt",IF(AND(W$4&gt;=$D100,W$4&lt;$D100+'Incremental Repayments'!$I$31),-PMT('Interest Rate'!$J$16,'Incremental Repayments'!$I$31,(HLOOKUP($D100,$E$4:$CZ$32,28,FALSE)*'Incremental Repayments'!$I$22)),0),0)</f>
        <v>0</v>
      </c>
      <c r="X100" s="477">
        <f>IF('Incremental Repayments'!$R$22="Debt",IF(AND(X$4&gt;=$D100,X$4&lt;$D100+'Incremental Repayments'!$I$31),-PMT('Interest Rate'!$J$16,'Incremental Repayments'!$I$31,(HLOOKUP($D100,$E$4:$CZ$32,28,FALSE)*'Incremental Repayments'!$I$22)),0),0)</f>
        <v>0</v>
      </c>
      <c r="Y100" s="477">
        <f>IF('Incremental Repayments'!$R$22="Debt",IF(AND(Y$4&gt;=$D100,Y$4&lt;$D100+'Incremental Repayments'!$I$31),-PMT('Interest Rate'!$J$16,'Incremental Repayments'!$I$31,(HLOOKUP($D100,$E$4:$CZ$32,28,FALSE)*'Incremental Repayments'!$I$22)),0),0)</f>
        <v>0</v>
      </c>
      <c r="Z100" s="477">
        <f>IF('Incremental Repayments'!$R$22="Debt",IF(AND(Z$4&gt;=$D100,Z$4&lt;$D100+'Incremental Repayments'!$I$31),-PMT('Interest Rate'!$J$16,'Incremental Repayments'!$I$31,(HLOOKUP($D100,$E$4:$CZ$32,28,FALSE)*'Incremental Repayments'!$I$22)),0),0)</f>
        <v>0</v>
      </c>
      <c r="AA100" s="477">
        <f>IF('Incremental Repayments'!$R$22="Debt",IF(AND(AA$4&gt;=$D100,AA$4&lt;$D100+'Incremental Repayments'!$I$31),-PMT('Interest Rate'!$J$16,'Incremental Repayments'!$I$31,(HLOOKUP($D100,$E$4:$CZ$32,28,FALSE)*'Incremental Repayments'!$I$22)),0),0)</f>
        <v>0</v>
      </c>
      <c r="AB100" s="477">
        <f>IF('Incremental Repayments'!$R$22="Debt",IF(AND(AB$4&gt;=$D100,AB$4&lt;$D100+'Incremental Repayments'!$I$31),-PMT('Interest Rate'!$J$16,'Incremental Repayments'!$I$31,(HLOOKUP($D100,$E$4:$CZ$32,28,FALSE)*'Incremental Repayments'!$I$22)),0),0)</f>
        <v>0</v>
      </c>
      <c r="AC100" s="477">
        <f>IF('Incremental Repayments'!$R$22="Debt",IF(AND(AC$4&gt;=$D100,AC$4&lt;$D100+'Incremental Repayments'!$I$31),-PMT('Interest Rate'!$J$16,'Incremental Repayments'!$I$31,(HLOOKUP($D100,$E$4:$CZ$32,28,FALSE)*'Incremental Repayments'!$I$22)),0),0)</f>
        <v>0</v>
      </c>
      <c r="AD100" s="477">
        <f>IF('Incremental Repayments'!$R$22="Debt",IF(AND(AD$4&gt;=$D100,AD$4&lt;$D100+'Incremental Repayments'!$I$31),-PMT('Interest Rate'!$J$16,'Incremental Repayments'!$I$31,(HLOOKUP($D100,$E$4:$CZ$32,28,FALSE)*'Incremental Repayments'!$I$22)),0),0)</f>
        <v>0</v>
      </c>
      <c r="AE100" s="477">
        <f>IF('Incremental Repayments'!$R$22="Debt",IF(AND(AE$4&gt;=$D100,AE$4&lt;$D100+'Incremental Repayments'!$I$31),-PMT('Interest Rate'!$J$16,'Incremental Repayments'!$I$31,(HLOOKUP($D100,$E$4:$CZ$32,28,FALSE)*'Incremental Repayments'!$I$22)),0),0)</f>
        <v>0</v>
      </c>
      <c r="AF100" s="477">
        <f>IF('Incremental Repayments'!$R$22="Debt",IF(AND(AF$4&gt;=$D100,AF$4&lt;$D100+'Incremental Repayments'!$I$31),-PMT('Interest Rate'!$J$16,'Incremental Repayments'!$I$31,(HLOOKUP($D100,$E$4:$CZ$32,28,FALSE)*'Incremental Repayments'!$I$22)),0),0)</f>
        <v>0</v>
      </c>
      <c r="AG100" s="477">
        <f>IF('Incremental Repayments'!$R$22="Debt",IF(AND(AG$4&gt;=$D100,AG$4&lt;$D100+'Incremental Repayments'!$I$31),-PMT('Interest Rate'!$J$16,'Incremental Repayments'!$I$31,(HLOOKUP($D100,$E$4:$CZ$32,28,FALSE)*'Incremental Repayments'!$I$22)),0),0)</f>
        <v>0</v>
      </c>
      <c r="AH100" s="477">
        <f>IF('Incremental Repayments'!$R$22="Debt",IF(AND(AH$4&gt;=$D100,AH$4&lt;$D100+'Incremental Repayments'!$I$31),-PMT('Interest Rate'!$J$16,'Incremental Repayments'!$I$31,(HLOOKUP($D100,$E$4:$CZ$32,28,FALSE)*'Incremental Repayments'!$I$22)),0),0)</f>
        <v>0</v>
      </c>
      <c r="AI100" s="477">
        <f>IF('Incremental Repayments'!$R$22="Debt",IF(AND(AI$4&gt;=$D100,AI$4&lt;$D100+'Incremental Repayments'!$I$31),-PMT('Interest Rate'!$J$16,'Incremental Repayments'!$I$31,(HLOOKUP($D100,$E$4:$CZ$32,28,FALSE)*'Incremental Repayments'!$I$22)),0),0)</f>
        <v>0</v>
      </c>
      <c r="AJ100" s="477">
        <f>IF('Incremental Repayments'!$R$22="Debt",IF(AND(AJ$4&gt;=$D100,AJ$4&lt;$D100+'Incremental Repayments'!$I$31),-PMT('Interest Rate'!$J$16,'Incremental Repayments'!$I$31,(HLOOKUP($D100,$E$4:$CZ$32,28,FALSE)*'Incremental Repayments'!$I$22)),0),0)</f>
        <v>0</v>
      </c>
      <c r="AK100" s="477">
        <f>IF('Incremental Repayments'!$R$22="Debt",IF(AND(AK$4&gt;=$D100,AK$4&lt;$D100+'Incremental Repayments'!$I$31),-PMT('Interest Rate'!$J$16,'Incremental Repayments'!$I$31,(HLOOKUP($D100,$E$4:$CZ$32,28,FALSE)*'Incremental Repayments'!$I$22)),0),0)</f>
        <v>0</v>
      </c>
      <c r="AL100" s="477">
        <f>IF('Incremental Repayments'!$R$22="Debt",IF(AND(AL$4&gt;=$D100,AL$4&lt;$D100+'Incremental Repayments'!$I$31),-PMT('Interest Rate'!$J$16,'Incremental Repayments'!$I$31,(HLOOKUP($D100,$E$4:$CZ$32,28,FALSE)*'Incremental Repayments'!$I$22)),0),0)</f>
        <v>0</v>
      </c>
      <c r="AM100" s="477">
        <f>IF('Incremental Repayments'!$R$22="Debt",IF(AND(AM$4&gt;=$D100,AM$4&lt;$D100+'Incremental Repayments'!$I$31),-PMT('Interest Rate'!$J$16,'Incremental Repayments'!$I$31,(HLOOKUP($D100,$E$4:$CZ$32,28,FALSE)*'Incremental Repayments'!$I$22)),0),0)</f>
        <v>0</v>
      </c>
      <c r="AN100" s="477">
        <f>IF('Incremental Repayments'!$R$22="Debt",IF(AND(AN$4&gt;=$D100,AN$4&lt;$D100+'Incremental Repayments'!$I$31),-PMT('Interest Rate'!$J$16,'Incremental Repayments'!$I$31,(HLOOKUP($D100,$E$4:$CZ$32,28,FALSE)*'Incremental Repayments'!$I$22)),0),0)</f>
        <v>0</v>
      </c>
      <c r="AO100" s="477">
        <f>IF('Incremental Repayments'!$R$22="Debt",IF(AND(AO$4&gt;=$D100,AO$4&lt;$D100+'Incremental Repayments'!$I$31),-PMT('Interest Rate'!$J$16,'Incremental Repayments'!$I$31,(HLOOKUP($D100,$E$4:$CZ$32,28,FALSE)*'Incremental Repayments'!$I$22)),0),0)</f>
        <v>0</v>
      </c>
      <c r="AP100" s="477">
        <f>IF('Incremental Repayments'!$R$22="Debt",IF(AND(AP$4&gt;=$D100,AP$4&lt;$D100+'Incremental Repayments'!$I$31),-PMT('Interest Rate'!$J$16,'Incremental Repayments'!$I$31,(HLOOKUP($D100,$E$4:$CZ$32,28,FALSE)*'Incremental Repayments'!$I$22)),0),0)</f>
        <v>0</v>
      </c>
      <c r="AQ100" s="477">
        <f>IF('Incremental Repayments'!$R$22="Debt",IF(AND(AQ$4&gt;=$D100,AQ$4&lt;$D100+'Incremental Repayments'!$I$31),-PMT('Interest Rate'!$J$16,'Incremental Repayments'!$I$31,(HLOOKUP($D100,$E$4:$CZ$32,28,FALSE)*'Incremental Repayments'!$I$22)),0),0)</f>
        <v>0</v>
      </c>
      <c r="AR100" s="477">
        <f>IF('Incremental Repayments'!$R$22="Debt",IF(AND(AR$4&gt;=$D100,AR$4&lt;$D100+'Incremental Repayments'!$I$31),-PMT('Interest Rate'!$J$16,'Incremental Repayments'!$I$31,(HLOOKUP($D100,$E$4:$CZ$32,28,FALSE)*'Incremental Repayments'!$I$22)),0),0)</f>
        <v>0</v>
      </c>
      <c r="AS100" s="477">
        <f>IF('Incremental Repayments'!$R$22="Debt",IF(AND(AS$4&gt;=$D100,AS$4&lt;$D100+'Incremental Repayments'!$I$31),-PMT('Interest Rate'!$J$16,'Incremental Repayments'!$I$31,(HLOOKUP($D100,$E$4:$CZ$32,28,FALSE)*'Incremental Repayments'!$I$22)),0),0)</f>
        <v>0</v>
      </c>
      <c r="AT100" s="477">
        <f>IF('Incremental Repayments'!$R$22="Debt",IF(AND(AT$4&gt;=$D100,AT$4&lt;$D100+'Incremental Repayments'!$I$31),-PMT('Interest Rate'!$J$16,'Incremental Repayments'!$I$31,(HLOOKUP($D100,$E$4:$CZ$32,28,FALSE)*'Incremental Repayments'!$I$22)),0),0)</f>
        <v>0</v>
      </c>
      <c r="AU100" s="477">
        <f>IF('Incremental Repayments'!$R$22="Debt",IF(AND(AU$4&gt;=$D100,AU$4&lt;$D100+'Incremental Repayments'!$I$31),-PMT('Interest Rate'!$J$16,'Incremental Repayments'!$I$31,(HLOOKUP($D100,$E$4:$CZ$32,28,FALSE)*'Incremental Repayments'!$I$22)),0),0)</f>
        <v>0</v>
      </c>
      <c r="AV100" s="477">
        <f>IF('Incremental Repayments'!$R$22="Debt",IF(AND(AV$4&gt;=$D100,AV$4&lt;$D100+'Incremental Repayments'!$I$31),-PMT('Interest Rate'!$J$16,'Incremental Repayments'!$I$31,(HLOOKUP($D100,$E$4:$CZ$32,28,FALSE)*'Incremental Repayments'!$I$22)),0),0)</f>
        <v>0</v>
      </c>
      <c r="AW100" s="477">
        <f>IF('Incremental Repayments'!$R$22="Debt",IF(AND(AW$4&gt;=$D100,AW$4&lt;$D100+'Incremental Repayments'!$I$31),-PMT('Interest Rate'!$J$16,'Incremental Repayments'!$I$31,(HLOOKUP($D100,$E$4:$CZ$32,28,FALSE)*'Incremental Repayments'!$I$22)),0),0)</f>
        <v>0</v>
      </c>
      <c r="AX100" s="477">
        <f>IF('Incremental Repayments'!$R$22="Debt",IF(AND(AX$4&gt;=$D100,AX$4&lt;$D100+'Incremental Repayments'!$I$31),-PMT('Interest Rate'!$J$16,'Incremental Repayments'!$I$31,(HLOOKUP($D100,$E$4:$CZ$32,28,FALSE)*'Incremental Repayments'!$I$22)),0),0)</f>
        <v>0</v>
      </c>
      <c r="AY100" s="477">
        <f>IF('Incremental Repayments'!$R$22="Debt",IF(AND(AY$4&gt;=$D100,AY$4&lt;$D100+'Incremental Repayments'!$I$31),-PMT('Interest Rate'!$J$16,'Incremental Repayments'!$I$31,(HLOOKUP($D100,$E$4:$CZ$32,28,FALSE)*'Incremental Repayments'!$I$22)),0),0)</f>
        <v>0</v>
      </c>
      <c r="AZ100" s="477">
        <f>IF('Incremental Repayments'!$R$22="Debt",IF(AND(AZ$4&gt;=$D100,AZ$4&lt;$D100+'Incremental Repayments'!$I$31),-PMT('Interest Rate'!$J$16,'Incremental Repayments'!$I$31,(HLOOKUP($D100,$E$4:$CZ$32,28,FALSE)*'Incremental Repayments'!$I$22)),0),0)</f>
        <v>0</v>
      </c>
      <c r="BA100" s="477">
        <f>IF('Incremental Repayments'!$R$22="Debt",IF(AND(BA$4&gt;=$D100,BA$4&lt;$D100+'Incremental Repayments'!$I$31),-PMT('Interest Rate'!$J$16,'Incremental Repayments'!$I$31,(HLOOKUP($D100,$E$4:$CZ$32,28,FALSE)*'Incremental Repayments'!$I$22)),0),0)</f>
        <v>0</v>
      </c>
      <c r="BB100" s="477">
        <f>IF('Incremental Repayments'!$R$22="Debt",IF(AND(BB$4&gt;=$D100,BB$4&lt;$D100+'Incremental Repayments'!$I$31),-PMT('Interest Rate'!$J$16,'Incremental Repayments'!$I$31,(HLOOKUP($D100,$E$4:$CZ$32,28,FALSE)*'Incremental Repayments'!$I$22)),0),0)</f>
        <v>0</v>
      </c>
      <c r="BC100" s="477">
        <f>IF('Incremental Repayments'!$R$22="Debt",IF(AND(BC$4&gt;=$D100,BC$4&lt;$D100+'Incremental Repayments'!$I$31),-PMT('Interest Rate'!$J$16,'Incremental Repayments'!$I$31,(HLOOKUP($D100,$E$4:$CZ$32,28,FALSE)*'Incremental Repayments'!$I$22)),0),0)</f>
        <v>0</v>
      </c>
      <c r="BD100" s="477">
        <f>IF('Incremental Repayments'!$R$22="Debt",IF(AND(BD$4&gt;=$D100,BD$4&lt;$D100+'Incremental Repayments'!$I$31),-PMT('Interest Rate'!$J$16,'Incremental Repayments'!$I$31,(HLOOKUP($D100,$E$4:$CZ$32,28,FALSE)*'Incremental Repayments'!$I$22)),0),0)</f>
        <v>0</v>
      </c>
      <c r="BE100" s="477">
        <f>IF('Incremental Repayments'!$R$22="Debt",IF(AND(BE$4&gt;=$D100,BE$4&lt;$D100+'Incremental Repayments'!$I$31),-PMT('Interest Rate'!$J$16,'Incremental Repayments'!$I$31,(HLOOKUP($D100,$E$4:$CZ$32,28,FALSE)*'Incremental Repayments'!$I$22)),0),0)</f>
        <v>0</v>
      </c>
      <c r="BF100" s="477">
        <f>IF('Incremental Repayments'!$R$22="Debt",IF(AND(BF$4&gt;=$D100,BF$4&lt;$D100+'Incremental Repayments'!$I$31),-PMT('Interest Rate'!$J$16,'Incremental Repayments'!$I$31,(HLOOKUP($D100,$E$4:$CZ$32,28,FALSE)*'Incremental Repayments'!$I$22)),0),0)</f>
        <v>0</v>
      </c>
      <c r="BG100" s="477">
        <f>IF('Incremental Repayments'!$R$22="Debt",IF(AND(BG$4&gt;=$D100,BG$4&lt;$D100+'Incremental Repayments'!$I$31),-PMT('Interest Rate'!$J$16,'Incremental Repayments'!$I$31,(HLOOKUP($D100,$E$4:$CZ$32,28,FALSE)*'Incremental Repayments'!$I$22)),0),0)</f>
        <v>0</v>
      </c>
      <c r="BH100" s="477">
        <f>IF('Incremental Repayments'!$R$22="Debt",IF(AND(BH$4&gt;=$D100,BH$4&lt;$D100+'Incremental Repayments'!$I$31),-PMT('Interest Rate'!$J$16,'Incremental Repayments'!$I$31,(HLOOKUP($D100,$E$4:$CZ$32,28,FALSE)*'Incremental Repayments'!$I$22)),0),0)</f>
        <v>0</v>
      </c>
      <c r="BI100" s="477">
        <f>IF('Incremental Repayments'!$R$22="Debt",IF(AND(BI$4&gt;=$D100,BI$4&lt;$D100+'Incremental Repayments'!$I$31),-PMT('Interest Rate'!$J$16,'Incremental Repayments'!$I$31,(HLOOKUP($D100,$E$4:$CZ$32,28,FALSE)*'Incremental Repayments'!$I$22)),0),0)</f>
        <v>0</v>
      </c>
      <c r="BJ100" s="477">
        <f>IF('Incremental Repayments'!$R$22="Debt",IF(AND(BJ$4&gt;=$D100,BJ$4&lt;$D100+'Incremental Repayments'!$I$31),-PMT('Interest Rate'!$J$16,'Incremental Repayments'!$I$31,(HLOOKUP($D100,$E$4:$CZ$32,28,FALSE)*'Incremental Repayments'!$I$22)),0),0)</f>
        <v>0</v>
      </c>
      <c r="BK100" s="477">
        <f>IF('Incremental Repayments'!$R$22="Debt",IF(AND(BK$4&gt;=$D100,BK$4&lt;$D100+'Incremental Repayments'!$I$31),-PMT('Interest Rate'!$J$16,'Incremental Repayments'!$I$31,(HLOOKUP($D100,$E$4:$CZ$32,28,FALSE)*'Incremental Repayments'!$I$22)),0),0)</f>
        <v>0</v>
      </c>
      <c r="BL100" s="477">
        <f>IF('Incremental Repayments'!$R$22="Debt",IF(AND(BL$4&gt;=$D100,BL$4&lt;$D100+'Incremental Repayments'!$I$31),-PMT('Interest Rate'!$J$16,'Incremental Repayments'!$I$31,(HLOOKUP($D100,$E$4:$CZ$32,28,FALSE)*'Incremental Repayments'!$I$22)),0),0)</f>
        <v>0</v>
      </c>
      <c r="BM100" s="477">
        <f>IF('Incremental Repayments'!$R$22="Debt",IF(AND(BM$4&gt;=$D100,BM$4&lt;$D100+'Incremental Repayments'!$I$31),-PMT('Interest Rate'!$J$16,'Incremental Repayments'!$I$31,(HLOOKUP($D100,$E$4:$CZ$32,28,FALSE)*'Incremental Repayments'!$I$22)),0),0)</f>
        <v>0</v>
      </c>
      <c r="BN100" s="477">
        <f>IF('Incremental Repayments'!$R$22="Debt",IF(AND(BN$4&gt;=$D100,BN$4&lt;$D100+'Incremental Repayments'!$I$31),-PMT('Interest Rate'!$J$16,'Incremental Repayments'!$I$31,(HLOOKUP($D100,$E$4:$CZ$32,28,FALSE)*'Incremental Repayments'!$I$22)),0),0)</f>
        <v>0</v>
      </c>
      <c r="BO100" s="477">
        <f>IF('Incremental Repayments'!$R$22="Debt",IF(AND(BO$4&gt;=$D100,BO$4&lt;$D100+'Incremental Repayments'!$I$31),-PMT('Interest Rate'!$J$16,'Incremental Repayments'!$I$31,(HLOOKUP($D100,$E$4:$CZ$32,28,FALSE)*'Incremental Repayments'!$I$22)),0),0)</f>
        <v>0</v>
      </c>
      <c r="BP100" s="477">
        <f>IF('Incremental Repayments'!$R$22="Debt",IF(AND(BP$4&gt;=$D100,BP$4&lt;$D100+'Incremental Repayments'!$I$31),-PMT('Interest Rate'!$J$16,'Incremental Repayments'!$I$31,(HLOOKUP($D100,$E$4:$CZ$32,28,FALSE)*'Incremental Repayments'!$I$22)),0),0)</f>
        <v>0</v>
      </c>
      <c r="BQ100" s="477">
        <f>IF('Incremental Repayments'!$R$22="Debt",IF(AND(BQ$4&gt;=$D100,BQ$4&lt;$D100+'Incremental Repayments'!$I$31),-PMT('Interest Rate'!$J$16,'Incremental Repayments'!$I$31,(HLOOKUP($D100,$E$4:$CZ$32,28,FALSE)*'Incremental Repayments'!$I$22)),0),0)</f>
        <v>0</v>
      </c>
      <c r="BR100" s="477">
        <f>IF('Incremental Repayments'!$R$22="Debt",IF(AND(BR$4&gt;=$D100,BR$4&lt;$D100+'Incremental Repayments'!$I$31),-PMT('Interest Rate'!$J$16,'Incremental Repayments'!$I$31,(HLOOKUP($D100,$E$4:$CZ$32,28,FALSE)*'Incremental Repayments'!$I$22)),0),0)</f>
        <v>0</v>
      </c>
      <c r="BS100" s="477">
        <f>IF('Incremental Repayments'!$R$22="Debt",IF(AND(BS$4&gt;=$D100,BS$4&lt;$D100+'Incremental Repayments'!$I$31),-PMT('Interest Rate'!$J$16,'Incremental Repayments'!$I$31,(HLOOKUP($D100,$E$4:$CZ$32,28,FALSE)*'Incremental Repayments'!$I$22)),0),0)</f>
        <v>0</v>
      </c>
      <c r="BT100" s="477">
        <f>IF('Incremental Repayments'!$R$22="Debt",IF(AND(BT$4&gt;=$D100,BT$4&lt;$D100+'Incremental Repayments'!$I$31),-PMT('Interest Rate'!$J$16,'Incremental Repayments'!$I$31,(HLOOKUP($D100,$E$4:$CZ$32,28,FALSE)*'Incremental Repayments'!$I$22)),0),0)</f>
        <v>0</v>
      </c>
      <c r="BU100" s="477">
        <f>IF('Incremental Repayments'!$R$22="Debt",IF(AND(BU$4&gt;=$D100,BU$4&lt;$D100+'Incremental Repayments'!$I$31),-PMT('Interest Rate'!$J$16,'Incremental Repayments'!$I$31,(HLOOKUP($D100,$E$4:$CZ$32,28,FALSE)*'Incremental Repayments'!$I$22)),0),0)</f>
        <v>0</v>
      </c>
      <c r="BV100" s="477">
        <f>IF('Incremental Repayments'!$R$22="Debt",IF(AND(BV$4&gt;=$D100,BV$4&lt;$D100+'Incremental Repayments'!$I$31),-PMT('Interest Rate'!$J$16,'Incremental Repayments'!$I$31,(HLOOKUP($D100,$E$4:$CZ$32,28,FALSE)*'Incremental Repayments'!$I$22)),0),0)</f>
        <v>0</v>
      </c>
      <c r="BW100" s="477">
        <f>IF('Incremental Repayments'!$R$22="Debt",IF(AND(BW$4&gt;=$D100,BW$4&lt;$D100+'Incremental Repayments'!$I$31),-PMT('Interest Rate'!$J$16,'Incremental Repayments'!$I$31,(HLOOKUP($D100,$E$4:$CZ$32,28,FALSE)*'Incremental Repayments'!$I$22)),0),0)</f>
        <v>0</v>
      </c>
      <c r="BX100" s="477">
        <f>IF('Incremental Repayments'!$R$22="Debt",IF(AND(BX$4&gt;=$D100,BX$4&lt;$D100+'Incremental Repayments'!$I$31),-PMT('Interest Rate'!$J$16,'Incremental Repayments'!$I$31,(HLOOKUP($D100,$E$4:$CZ$32,28,FALSE)*'Incremental Repayments'!$I$22)),0),0)</f>
        <v>0</v>
      </c>
      <c r="BY100" s="477">
        <f>IF('Incremental Repayments'!$R$22="Debt",IF(AND(BY$4&gt;=$D100,BY$4&lt;$D100+'Incremental Repayments'!$I$31),-PMT('Interest Rate'!$J$16,'Incremental Repayments'!$I$31,(HLOOKUP($D100,$E$4:$CZ$32,28,FALSE)*'Incremental Repayments'!$I$22)),0),0)</f>
        <v>0</v>
      </c>
      <c r="BZ100" s="477">
        <f>IF('Incremental Repayments'!$R$22="Debt",IF(AND(BZ$4&gt;=$D100,BZ$4&lt;$D100+'Incremental Repayments'!$I$31),-PMT('Interest Rate'!$J$16,'Incremental Repayments'!$I$31,(HLOOKUP($D100,$E$4:$CZ$32,28,FALSE)*'Incremental Repayments'!$I$22)),0),0)</f>
        <v>0</v>
      </c>
      <c r="CA100" s="477">
        <f>IF('Incremental Repayments'!$R$22="Debt",IF(AND(CA$4&gt;=$D100,CA$4&lt;$D100+'Incremental Repayments'!$I$31),-PMT('Interest Rate'!$J$16,'Incremental Repayments'!$I$31,(HLOOKUP($D100,$E$4:$CZ$32,28,FALSE)*'Incremental Repayments'!$I$22)),0),0)</f>
        <v>0</v>
      </c>
      <c r="CB100" s="477">
        <f>IF('Incremental Repayments'!$R$22="Debt",IF(AND(CB$4&gt;=$D100,CB$4&lt;$D100+'Incremental Repayments'!$I$31),-PMT('Interest Rate'!$J$16,'Incremental Repayments'!$I$31,(HLOOKUP($D100,$E$4:$CZ$32,28,FALSE)*'Incremental Repayments'!$I$22)),0),0)</f>
        <v>0</v>
      </c>
      <c r="CC100" s="477">
        <f>IF('Incremental Repayments'!$R$22="Debt",IF(AND(CC$4&gt;=$D100,CC$4&lt;$D100+'Incremental Repayments'!$I$31),-PMT('Interest Rate'!$J$16,'Incremental Repayments'!$I$31,(HLOOKUP($D100,$E$4:$CZ$32,28,FALSE)*'Incremental Repayments'!$I$22)),0),0)</f>
        <v>0</v>
      </c>
      <c r="CD100" s="477">
        <f>IF('Incremental Repayments'!$R$22="Debt",IF(AND(CD$4&gt;=$D100,CD$4&lt;$D100+'Incremental Repayments'!$I$31),-PMT('Interest Rate'!$J$16,'Incremental Repayments'!$I$31,(HLOOKUP($D100,$E$4:$CZ$32,28,FALSE)*'Incremental Repayments'!$I$22)),0),0)</f>
        <v>0</v>
      </c>
      <c r="CE100" s="477">
        <f>IF('Incremental Repayments'!$R$22="Debt",IF(AND(CE$4&gt;=$D100,CE$4&lt;$D100+'Incremental Repayments'!$I$31),-PMT('Interest Rate'!$J$16,'Incremental Repayments'!$I$31,(HLOOKUP($D100,$E$4:$CZ$32,28,FALSE)*'Incremental Repayments'!$I$22)),0),0)</f>
        <v>0</v>
      </c>
      <c r="CF100" s="477">
        <f>IF('Incremental Repayments'!$R$22="Debt",IF(AND(CF$4&gt;=$D100,CF$4&lt;$D100+'Incremental Repayments'!$I$31),-PMT('Interest Rate'!$J$16,'Incremental Repayments'!$I$31,(HLOOKUP($D100,$E$4:$CZ$32,28,FALSE)*'Incremental Repayments'!$I$22)),0),0)</f>
        <v>0</v>
      </c>
      <c r="CG100" s="477">
        <f>IF('Incremental Repayments'!$R$22="Debt",IF(AND(CG$4&gt;=$D100,CG$4&lt;$D100+'Incremental Repayments'!$I$31),-PMT('Interest Rate'!$J$16,'Incremental Repayments'!$I$31,(HLOOKUP($D100,$E$4:$CZ$32,28,FALSE)*'Incremental Repayments'!$I$22)),0),0)</f>
        <v>0</v>
      </c>
      <c r="CH100" s="477">
        <f>IF('Incremental Repayments'!$R$22="Debt",IF(AND(CH$4&gt;=$D100,CH$4&lt;$D100+'Incremental Repayments'!$I$31),-PMT('Interest Rate'!$J$16,'Incremental Repayments'!$I$31,(HLOOKUP($D100,$E$4:$CZ$32,28,FALSE)*'Incremental Repayments'!$I$22)),0),0)</f>
        <v>0</v>
      </c>
      <c r="CI100" s="477">
        <f>IF('Incremental Repayments'!$R$22="Debt",IF(AND(CI$4&gt;=$D100,CI$4&lt;$D100+'Incremental Repayments'!$I$31),-PMT('Interest Rate'!$J$16,'Incremental Repayments'!$I$31,(HLOOKUP($D100,$E$4:$CZ$32,28,FALSE)*'Incremental Repayments'!$I$22)),0),0)</f>
        <v>0</v>
      </c>
      <c r="CJ100" s="477">
        <f>IF('Incremental Repayments'!$R$22="Debt",IF(AND(CJ$4&gt;=$D100,CJ$4&lt;$D100+'Incremental Repayments'!$I$31),-PMT('Interest Rate'!$J$16,'Incremental Repayments'!$I$31,(HLOOKUP($D100,$E$4:$CZ$32,28,FALSE)*'Incremental Repayments'!$I$22)),0),0)</f>
        <v>0</v>
      </c>
      <c r="CK100" s="477">
        <f>IF('Incremental Repayments'!$R$22="Debt",IF(AND(CK$4&gt;=$D100,CK$4&lt;$D100+'Incremental Repayments'!$I$31),-PMT('Interest Rate'!$J$16,'Incremental Repayments'!$I$31,(HLOOKUP($D100,$E$4:$CZ$32,28,FALSE)*'Incremental Repayments'!$I$22)),0),0)</f>
        <v>0</v>
      </c>
      <c r="CL100" s="477">
        <f>IF('Incremental Repayments'!$R$22="Debt",IF(AND(CL$4&gt;=$D100,CL$4&lt;$D100+'Incremental Repayments'!$I$31),-PMT('Interest Rate'!$J$16,'Incremental Repayments'!$I$31,(HLOOKUP($D100,$E$4:$CZ$32,28,FALSE)*'Incremental Repayments'!$I$22)),0),0)</f>
        <v>0</v>
      </c>
      <c r="CM100" s="477">
        <f>IF('Incremental Repayments'!$R$22="Debt",IF(AND(CM$4&gt;=$D100,CM$4&lt;$D100+'Incremental Repayments'!$I$31),-PMT('Interest Rate'!$J$16,'Incremental Repayments'!$I$31,(HLOOKUP($D100,$E$4:$CZ$32,28,FALSE)*'Incremental Repayments'!$I$22)),0),0)</f>
        <v>0</v>
      </c>
      <c r="CN100" s="477">
        <f>IF('Incremental Repayments'!$R$22="Debt",IF(AND(CN$4&gt;=$D100,CN$4&lt;$D100+'Incremental Repayments'!$I$31),-PMT('Interest Rate'!$J$16,'Incremental Repayments'!$I$31,(HLOOKUP($D100,$E$4:$CZ$32,28,FALSE)*'Incremental Repayments'!$I$22)),0),0)</f>
        <v>0</v>
      </c>
      <c r="CO100" s="477">
        <f>IF('Incremental Repayments'!$R$22="Debt",IF(AND(CO$4&gt;=$D100,CO$4&lt;$D100+'Incremental Repayments'!$I$31),-PMT('Interest Rate'!$J$16,'Incremental Repayments'!$I$31,(HLOOKUP($D100,$E$4:$CZ$32,28,FALSE)*'Incremental Repayments'!$I$22)),0),0)</f>
        <v>0</v>
      </c>
      <c r="CP100" s="477">
        <f>IF('Incremental Repayments'!$R$22="Debt",IF(AND(CP$4&gt;=$D100,CP$4&lt;$D100+'Incremental Repayments'!$I$31),-PMT('Interest Rate'!$J$16,'Incremental Repayments'!$I$31,(HLOOKUP($D100,$E$4:$CZ$32,28,FALSE)*'Incremental Repayments'!$I$22)),0),0)</f>
        <v>0</v>
      </c>
      <c r="CQ100" s="477">
        <f>IF('Incremental Repayments'!$R$22="Debt",IF(AND(CQ$4&gt;=$D100,CQ$4&lt;$D100+'Incremental Repayments'!$I$31),-PMT('Interest Rate'!$J$16,'Incremental Repayments'!$I$31,(HLOOKUP($D100,$E$4:$CZ$32,28,FALSE)*'Incremental Repayments'!$I$22)),0),0)</f>
        <v>0</v>
      </c>
      <c r="CR100" s="477">
        <f>IF('Incremental Repayments'!$R$22="Debt",IF(AND(CR$4&gt;=$D100,CR$4&lt;$D100+'Incremental Repayments'!$I$31),-PMT('Interest Rate'!$J$16,'Incremental Repayments'!$I$31,(HLOOKUP($D100,$E$4:$CZ$32,28,FALSE)*'Incremental Repayments'!$I$22)),0),0)</f>
        <v>0</v>
      </c>
      <c r="CS100" s="477">
        <f>IF('Incremental Repayments'!$R$22="Debt",IF(AND(CS$4&gt;=$D100,CS$4&lt;$D100+'Incremental Repayments'!$I$31),-PMT('Interest Rate'!$J$16,'Incremental Repayments'!$I$31,(HLOOKUP($D100,$E$4:$CZ$32,28,FALSE)*'Incremental Repayments'!$I$22)),0),0)</f>
        <v>0</v>
      </c>
      <c r="CT100" s="477">
        <f>IF('Incremental Repayments'!$R$22="Debt",IF(AND(CT$4&gt;=$D100,CT$4&lt;$D100+'Incremental Repayments'!$I$31),-PMT('Interest Rate'!$J$16,'Incremental Repayments'!$I$31,(HLOOKUP($D100,$E$4:$CZ$32,28,FALSE)*'Incremental Repayments'!$I$22)),0),0)</f>
        <v>0</v>
      </c>
      <c r="CU100" s="477">
        <f>IF('Incremental Repayments'!$R$22="Debt",IF(AND(CU$4&gt;=$D100,CU$4&lt;$D100+'Incremental Repayments'!$I$31),-PMT('Interest Rate'!$J$16,'Incremental Repayments'!$I$31,(HLOOKUP($D100,$E$4:$CZ$32,28,FALSE)*'Incremental Repayments'!$I$22)),0),0)</f>
        <v>0</v>
      </c>
      <c r="CV100" s="477">
        <f>IF('Incremental Repayments'!$R$22="Debt",IF(AND(CV$4&gt;=$D100,CV$4&lt;$D100+'Incremental Repayments'!$I$31),-PMT('Interest Rate'!$J$16,'Incremental Repayments'!$I$31,(HLOOKUP($D100,$E$4:$CZ$32,28,FALSE)*'Incremental Repayments'!$I$22)),0),0)</f>
        <v>0</v>
      </c>
      <c r="CW100" s="477">
        <f>IF('Incremental Repayments'!$R$22="Debt",IF(AND(CW$4&gt;=$D100,CW$4&lt;$D100+'Incremental Repayments'!$I$31),-PMT('Interest Rate'!$J$16,'Incremental Repayments'!$I$31,(HLOOKUP($D100,$E$4:$CZ$32,28,FALSE)*'Incremental Repayments'!$I$22)),0),0)</f>
        <v>0</v>
      </c>
      <c r="CX100" s="477">
        <f>IF('Incremental Repayments'!$R$22="Debt",IF(AND(CX$4&gt;=$D100,CX$4&lt;$D100+'Incremental Repayments'!$I$31),-PMT('Interest Rate'!$J$16,'Incremental Repayments'!$I$31,(HLOOKUP($D100,$E$4:$CZ$32,28,FALSE)*'Incremental Repayments'!$I$22)),0),0)</f>
        <v>0</v>
      </c>
      <c r="CY100" s="477">
        <f>IF('Incremental Repayments'!$R$22="Debt",IF(AND(CY$4&gt;=$D100,CY$4&lt;$D100+'Incremental Repayments'!$I$31),-PMT('Interest Rate'!$J$16,'Incremental Repayments'!$I$31,(HLOOKUP($D100,$E$4:$CZ$32,28,FALSE)*'Incremental Repayments'!$I$22)),0),0)</f>
        <v>0</v>
      </c>
      <c r="CZ100" s="477">
        <f>IF('Incremental Repayments'!$R$22="Debt",IF(AND(CZ$4&gt;=$D100,CZ$4&lt;$D100+'Incremental Repayments'!$I$31),-PMT('Interest Rate'!$J$16,'Incremental Repayments'!$I$31,(HLOOKUP($D100,$E$4:$CZ$32,28,FALSE)*'Incremental Repayments'!$I$22)),0),0)</f>
        <v>0</v>
      </c>
    </row>
    <row r="101" spans="2:104" x14ac:dyDescent="0.25">
      <c r="B101" s="480" t="str">
        <f>CONCATENATE("Series ",D101,"A Bonds (at ",'Interest Rate'!$J$16*100,"% Interest)")</f>
        <v>Series 2079A Bonds (at 4.5% Interest)</v>
      </c>
      <c r="C101" s="480"/>
      <c r="D101" s="492">
        <f t="shared" si="494"/>
        <v>2079</v>
      </c>
      <c r="E101" s="477">
        <f>IF('Incremental Repayments'!$R$22="Debt",IF(AND(E$4&gt;=$D101,E$4&lt;$D101+'Incremental Repayments'!$I$31),-PMT('Interest Rate'!$J$16,'Incremental Repayments'!$I$31,(HLOOKUP($D101,$E$4:$CZ$32,28,FALSE)*'Incremental Repayments'!$I$22)),0),0)</f>
        <v>0</v>
      </c>
      <c r="F101" s="477">
        <f>IF('Incremental Repayments'!$R$22="Debt",IF(AND(F$4&gt;=$D101,F$4&lt;$D101+'Incremental Repayments'!$I$31),-PMT('Interest Rate'!$J$16,'Incremental Repayments'!$I$31,(HLOOKUP($D101,$E$4:$CZ$32,28,FALSE)*'Incremental Repayments'!$I$22)),0),0)</f>
        <v>0</v>
      </c>
      <c r="G101" s="477">
        <f>IF('Incremental Repayments'!$R$22="Debt",IF(AND(G$4&gt;=$D101,G$4&lt;$D101+'Incremental Repayments'!$I$31),-PMT('Interest Rate'!$J$16,'Incremental Repayments'!$I$31,(HLOOKUP($D101,$E$4:$CZ$32,28,FALSE)*'Incremental Repayments'!$I$22)),0),0)</f>
        <v>0</v>
      </c>
      <c r="H101" s="477">
        <f>IF('Incremental Repayments'!$R$22="Debt",IF(AND(H$4&gt;=$D101,H$4&lt;$D101+'Incremental Repayments'!$I$31),-PMT('Interest Rate'!$J$16,'Incremental Repayments'!$I$31,(HLOOKUP($D101,$E$4:$CZ$32,28,FALSE)*'Incremental Repayments'!$I$22)),0),0)</f>
        <v>0</v>
      </c>
      <c r="I101" s="477">
        <f>IF('Incremental Repayments'!$R$22="Debt",IF(AND(I$4&gt;=$D101,I$4&lt;$D101+'Incremental Repayments'!$I$31),-PMT('Interest Rate'!$J$16,'Incremental Repayments'!$I$31,(HLOOKUP($D101,$E$4:$CZ$32,28,FALSE)*'Incremental Repayments'!$I$22)),0),0)</f>
        <v>0</v>
      </c>
      <c r="J101" s="477">
        <f>IF('Incremental Repayments'!$R$22="Debt",IF(AND(J$4&gt;=$D101,J$4&lt;$D101+'Incremental Repayments'!$I$31),-PMT('Interest Rate'!$J$16,'Incremental Repayments'!$I$31,(HLOOKUP($D101,$E$4:$CZ$32,28,FALSE)*'Incremental Repayments'!$I$22)),0),0)</f>
        <v>0</v>
      </c>
      <c r="K101" s="477">
        <f>IF('Incremental Repayments'!$R$22="Debt",IF(AND(K$4&gt;=$D101,K$4&lt;$D101+'Incremental Repayments'!$I$31),-PMT('Interest Rate'!$J$16,'Incremental Repayments'!$I$31,(HLOOKUP($D101,$E$4:$CZ$32,28,FALSE)*'Incremental Repayments'!$I$22)),0),0)</f>
        <v>0</v>
      </c>
      <c r="L101" s="477">
        <f>IF('Incremental Repayments'!$R$22="Debt",IF(AND(L$4&gt;=$D101,L$4&lt;$D101+'Incremental Repayments'!$I$31),-PMT('Interest Rate'!$J$16,'Incremental Repayments'!$I$31,(HLOOKUP($D101,$E$4:$CZ$32,28,FALSE)*'Incremental Repayments'!$I$22)),0),0)</f>
        <v>0</v>
      </c>
      <c r="M101" s="477">
        <f>IF('Incremental Repayments'!$R$22="Debt",IF(AND(M$4&gt;=$D101,M$4&lt;$D101+'Incremental Repayments'!$I$31),-PMT('Interest Rate'!$J$16,'Incremental Repayments'!$I$31,(HLOOKUP($D101,$E$4:$CZ$32,28,FALSE)*'Incremental Repayments'!$I$22)),0),0)</f>
        <v>0</v>
      </c>
      <c r="N101" s="477">
        <f>IF('Incremental Repayments'!$R$22="Debt",IF(AND(N$4&gt;=$D101,N$4&lt;$D101+'Incremental Repayments'!$I$31),-PMT('Interest Rate'!$J$16,'Incremental Repayments'!$I$31,(HLOOKUP($D101,$E$4:$CZ$32,28,FALSE)*'Incremental Repayments'!$I$22)),0),0)</f>
        <v>0</v>
      </c>
      <c r="O101" s="477">
        <f>IF('Incremental Repayments'!$R$22="Debt",IF(AND(O$4&gt;=$D101,O$4&lt;$D101+'Incremental Repayments'!$I$31),-PMT('Interest Rate'!$J$16,'Incremental Repayments'!$I$31,(HLOOKUP($D101,$E$4:$CZ$32,28,FALSE)*'Incremental Repayments'!$I$22)),0),0)</f>
        <v>0</v>
      </c>
      <c r="P101" s="477">
        <f>IF('Incremental Repayments'!$R$22="Debt",IF(AND(P$4&gt;=$D101,P$4&lt;$D101+'Incremental Repayments'!$I$31),-PMT('Interest Rate'!$J$16,'Incremental Repayments'!$I$31,(HLOOKUP($D101,$E$4:$CZ$32,28,FALSE)*'Incremental Repayments'!$I$22)),0),0)</f>
        <v>0</v>
      </c>
      <c r="Q101" s="477">
        <f>IF('Incremental Repayments'!$R$22="Debt",IF(AND(Q$4&gt;=$D101,Q$4&lt;$D101+'Incremental Repayments'!$I$31),-PMT('Interest Rate'!$J$16,'Incremental Repayments'!$I$31,(HLOOKUP($D101,$E$4:$CZ$32,28,FALSE)*'Incremental Repayments'!$I$22)),0),0)</f>
        <v>0</v>
      </c>
      <c r="R101" s="477">
        <f>IF('Incremental Repayments'!$R$22="Debt",IF(AND(R$4&gt;=$D101,R$4&lt;$D101+'Incremental Repayments'!$I$31),-PMT('Interest Rate'!$J$16,'Incremental Repayments'!$I$31,(HLOOKUP($D101,$E$4:$CZ$32,28,FALSE)*'Incremental Repayments'!$I$22)),0),0)</f>
        <v>0</v>
      </c>
      <c r="S101" s="477">
        <f>IF('Incremental Repayments'!$R$22="Debt",IF(AND(S$4&gt;=$D101,S$4&lt;$D101+'Incremental Repayments'!$I$31),-PMT('Interest Rate'!$J$16,'Incremental Repayments'!$I$31,(HLOOKUP($D101,$E$4:$CZ$32,28,FALSE)*'Incremental Repayments'!$I$22)),0),0)</f>
        <v>0</v>
      </c>
      <c r="T101" s="477">
        <f>IF('Incremental Repayments'!$R$22="Debt",IF(AND(T$4&gt;=$D101,T$4&lt;$D101+'Incremental Repayments'!$I$31),-PMT('Interest Rate'!$J$16,'Incremental Repayments'!$I$31,(HLOOKUP($D101,$E$4:$CZ$32,28,FALSE)*'Incremental Repayments'!$I$22)),0),0)</f>
        <v>0</v>
      </c>
      <c r="U101" s="477">
        <f>IF('Incremental Repayments'!$R$22="Debt",IF(AND(U$4&gt;=$D101,U$4&lt;$D101+'Incremental Repayments'!$I$31),-PMT('Interest Rate'!$J$16,'Incremental Repayments'!$I$31,(HLOOKUP($D101,$E$4:$CZ$32,28,FALSE)*'Incremental Repayments'!$I$22)),0),0)</f>
        <v>0</v>
      </c>
      <c r="V101" s="477">
        <f>IF('Incremental Repayments'!$R$22="Debt",IF(AND(V$4&gt;=$D101,V$4&lt;$D101+'Incremental Repayments'!$I$31),-PMT('Interest Rate'!$J$16,'Incremental Repayments'!$I$31,(HLOOKUP($D101,$E$4:$CZ$32,28,FALSE)*'Incremental Repayments'!$I$22)),0),0)</f>
        <v>0</v>
      </c>
      <c r="W101" s="477">
        <f>IF('Incremental Repayments'!$R$22="Debt",IF(AND(W$4&gt;=$D101,W$4&lt;$D101+'Incremental Repayments'!$I$31),-PMT('Interest Rate'!$J$16,'Incremental Repayments'!$I$31,(HLOOKUP($D101,$E$4:$CZ$32,28,FALSE)*'Incremental Repayments'!$I$22)),0),0)</f>
        <v>0</v>
      </c>
      <c r="X101" s="477">
        <f>IF('Incremental Repayments'!$R$22="Debt",IF(AND(X$4&gt;=$D101,X$4&lt;$D101+'Incremental Repayments'!$I$31),-PMT('Interest Rate'!$J$16,'Incremental Repayments'!$I$31,(HLOOKUP($D101,$E$4:$CZ$32,28,FALSE)*'Incremental Repayments'!$I$22)),0),0)</f>
        <v>0</v>
      </c>
      <c r="Y101" s="477">
        <f>IF('Incremental Repayments'!$R$22="Debt",IF(AND(Y$4&gt;=$D101,Y$4&lt;$D101+'Incremental Repayments'!$I$31),-PMT('Interest Rate'!$J$16,'Incremental Repayments'!$I$31,(HLOOKUP($D101,$E$4:$CZ$32,28,FALSE)*'Incremental Repayments'!$I$22)),0),0)</f>
        <v>0</v>
      </c>
      <c r="Z101" s="477">
        <f>IF('Incremental Repayments'!$R$22="Debt",IF(AND(Z$4&gt;=$D101,Z$4&lt;$D101+'Incremental Repayments'!$I$31),-PMT('Interest Rate'!$J$16,'Incremental Repayments'!$I$31,(HLOOKUP($D101,$E$4:$CZ$32,28,FALSE)*'Incremental Repayments'!$I$22)),0),0)</f>
        <v>0</v>
      </c>
      <c r="AA101" s="477">
        <f>IF('Incremental Repayments'!$R$22="Debt",IF(AND(AA$4&gt;=$D101,AA$4&lt;$D101+'Incremental Repayments'!$I$31),-PMT('Interest Rate'!$J$16,'Incremental Repayments'!$I$31,(HLOOKUP($D101,$E$4:$CZ$32,28,FALSE)*'Incremental Repayments'!$I$22)),0),0)</f>
        <v>0</v>
      </c>
      <c r="AB101" s="477">
        <f>IF('Incremental Repayments'!$R$22="Debt",IF(AND(AB$4&gt;=$D101,AB$4&lt;$D101+'Incremental Repayments'!$I$31),-PMT('Interest Rate'!$J$16,'Incremental Repayments'!$I$31,(HLOOKUP($D101,$E$4:$CZ$32,28,FALSE)*'Incremental Repayments'!$I$22)),0),0)</f>
        <v>0</v>
      </c>
      <c r="AC101" s="477">
        <f>IF('Incremental Repayments'!$R$22="Debt",IF(AND(AC$4&gt;=$D101,AC$4&lt;$D101+'Incremental Repayments'!$I$31),-PMT('Interest Rate'!$J$16,'Incremental Repayments'!$I$31,(HLOOKUP($D101,$E$4:$CZ$32,28,FALSE)*'Incremental Repayments'!$I$22)),0),0)</f>
        <v>0</v>
      </c>
      <c r="AD101" s="477">
        <f>IF('Incremental Repayments'!$R$22="Debt",IF(AND(AD$4&gt;=$D101,AD$4&lt;$D101+'Incremental Repayments'!$I$31),-PMT('Interest Rate'!$J$16,'Incremental Repayments'!$I$31,(HLOOKUP($D101,$E$4:$CZ$32,28,FALSE)*'Incremental Repayments'!$I$22)),0),0)</f>
        <v>0</v>
      </c>
      <c r="AE101" s="477">
        <f>IF('Incremental Repayments'!$R$22="Debt",IF(AND(AE$4&gt;=$D101,AE$4&lt;$D101+'Incremental Repayments'!$I$31),-PMT('Interest Rate'!$J$16,'Incremental Repayments'!$I$31,(HLOOKUP($D101,$E$4:$CZ$32,28,FALSE)*'Incremental Repayments'!$I$22)),0),0)</f>
        <v>0</v>
      </c>
      <c r="AF101" s="477">
        <f>IF('Incremental Repayments'!$R$22="Debt",IF(AND(AF$4&gt;=$D101,AF$4&lt;$D101+'Incremental Repayments'!$I$31),-PMT('Interest Rate'!$J$16,'Incremental Repayments'!$I$31,(HLOOKUP($D101,$E$4:$CZ$32,28,FALSE)*'Incremental Repayments'!$I$22)),0),0)</f>
        <v>0</v>
      </c>
      <c r="AG101" s="477">
        <f>IF('Incremental Repayments'!$R$22="Debt",IF(AND(AG$4&gt;=$D101,AG$4&lt;$D101+'Incremental Repayments'!$I$31),-PMT('Interest Rate'!$J$16,'Incremental Repayments'!$I$31,(HLOOKUP($D101,$E$4:$CZ$32,28,FALSE)*'Incremental Repayments'!$I$22)),0),0)</f>
        <v>0</v>
      </c>
      <c r="AH101" s="477">
        <f>IF('Incremental Repayments'!$R$22="Debt",IF(AND(AH$4&gt;=$D101,AH$4&lt;$D101+'Incremental Repayments'!$I$31),-PMT('Interest Rate'!$J$16,'Incremental Repayments'!$I$31,(HLOOKUP($D101,$E$4:$CZ$32,28,FALSE)*'Incremental Repayments'!$I$22)),0),0)</f>
        <v>0</v>
      </c>
      <c r="AI101" s="477">
        <f>IF('Incremental Repayments'!$R$22="Debt",IF(AND(AI$4&gt;=$D101,AI$4&lt;$D101+'Incremental Repayments'!$I$31),-PMT('Interest Rate'!$J$16,'Incremental Repayments'!$I$31,(HLOOKUP($D101,$E$4:$CZ$32,28,FALSE)*'Incremental Repayments'!$I$22)),0),0)</f>
        <v>0</v>
      </c>
      <c r="AJ101" s="477">
        <f>IF('Incremental Repayments'!$R$22="Debt",IF(AND(AJ$4&gt;=$D101,AJ$4&lt;$D101+'Incremental Repayments'!$I$31),-PMT('Interest Rate'!$J$16,'Incremental Repayments'!$I$31,(HLOOKUP($D101,$E$4:$CZ$32,28,FALSE)*'Incremental Repayments'!$I$22)),0),0)</f>
        <v>0</v>
      </c>
      <c r="AK101" s="477">
        <f>IF('Incremental Repayments'!$R$22="Debt",IF(AND(AK$4&gt;=$D101,AK$4&lt;$D101+'Incremental Repayments'!$I$31),-PMT('Interest Rate'!$J$16,'Incremental Repayments'!$I$31,(HLOOKUP($D101,$E$4:$CZ$32,28,FALSE)*'Incremental Repayments'!$I$22)),0),0)</f>
        <v>0</v>
      </c>
      <c r="AL101" s="477">
        <f>IF('Incremental Repayments'!$R$22="Debt",IF(AND(AL$4&gt;=$D101,AL$4&lt;$D101+'Incremental Repayments'!$I$31),-PMT('Interest Rate'!$J$16,'Incremental Repayments'!$I$31,(HLOOKUP($D101,$E$4:$CZ$32,28,FALSE)*'Incremental Repayments'!$I$22)),0),0)</f>
        <v>0</v>
      </c>
      <c r="AM101" s="477">
        <f>IF('Incremental Repayments'!$R$22="Debt",IF(AND(AM$4&gt;=$D101,AM$4&lt;$D101+'Incremental Repayments'!$I$31),-PMT('Interest Rate'!$J$16,'Incremental Repayments'!$I$31,(HLOOKUP($D101,$E$4:$CZ$32,28,FALSE)*'Incremental Repayments'!$I$22)),0),0)</f>
        <v>0</v>
      </c>
      <c r="AN101" s="477">
        <f>IF('Incremental Repayments'!$R$22="Debt",IF(AND(AN$4&gt;=$D101,AN$4&lt;$D101+'Incremental Repayments'!$I$31),-PMT('Interest Rate'!$J$16,'Incremental Repayments'!$I$31,(HLOOKUP($D101,$E$4:$CZ$32,28,FALSE)*'Incremental Repayments'!$I$22)),0),0)</f>
        <v>0</v>
      </c>
      <c r="AO101" s="477">
        <f>IF('Incremental Repayments'!$R$22="Debt",IF(AND(AO$4&gt;=$D101,AO$4&lt;$D101+'Incremental Repayments'!$I$31),-PMT('Interest Rate'!$J$16,'Incremental Repayments'!$I$31,(HLOOKUP($D101,$E$4:$CZ$32,28,FALSE)*'Incremental Repayments'!$I$22)),0),0)</f>
        <v>0</v>
      </c>
      <c r="AP101" s="477">
        <f>IF('Incremental Repayments'!$R$22="Debt",IF(AND(AP$4&gt;=$D101,AP$4&lt;$D101+'Incremental Repayments'!$I$31),-PMT('Interest Rate'!$J$16,'Incremental Repayments'!$I$31,(HLOOKUP($D101,$E$4:$CZ$32,28,FALSE)*'Incremental Repayments'!$I$22)),0),0)</f>
        <v>0</v>
      </c>
      <c r="AQ101" s="477">
        <f>IF('Incremental Repayments'!$R$22="Debt",IF(AND(AQ$4&gt;=$D101,AQ$4&lt;$D101+'Incremental Repayments'!$I$31),-PMT('Interest Rate'!$J$16,'Incremental Repayments'!$I$31,(HLOOKUP($D101,$E$4:$CZ$32,28,FALSE)*'Incremental Repayments'!$I$22)),0),0)</f>
        <v>0</v>
      </c>
      <c r="AR101" s="477">
        <f>IF('Incremental Repayments'!$R$22="Debt",IF(AND(AR$4&gt;=$D101,AR$4&lt;$D101+'Incremental Repayments'!$I$31),-PMT('Interest Rate'!$J$16,'Incremental Repayments'!$I$31,(HLOOKUP($D101,$E$4:$CZ$32,28,FALSE)*'Incremental Repayments'!$I$22)),0),0)</f>
        <v>0</v>
      </c>
      <c r="AS101" s="477">
        <f>IF('Incremental Repayments'!$R$22="Debt",IF(AND(AS$4&gt;=$D101,AS$4&lt;$D101+'Incremental Repayments'!$I$31),-PMT('Interest Rate'!$J$16,'Incremental Repayments'!$I$31,(HLOOKUP($D101,$E$4:$CZ$32,28,FALSE)*'Incremental Repayments'!$I$22)),0),0)</f>
        <v>0</v>
      </c>
      <c r="AT101" s="477">
        <f>IF('Incremental Repayments'!$R$22="Debt",IF(AND(AT$4&gt;=$D101,AT$4&lt;$D101+'Incremental Repayments'!$I$31),-PMT('Interest Rate'!$J$16,'Incremental Repayments'!$I$31,(HLOOKUP($D101,$E$4:$CZ$32,28,FALSE)*'Incremental Repayments'!$I$22)),0),0)</f>
        <v>0</v>
      </c>
      <c r="AU101" s="477">
        <f>IF('Incremental Repayments'!$R$22="Debt",IF(AND(AU$4&gt;=$D101,AU$4&lt;$D101+'Incremental Repayments'!$I$31),-PMT('Interest Rate'!$J$16,'Incremental Repayments'!$I$31,(HLOOKUP($D101,$E$4:$CZ$32,28,FALSE)*'Incremental Repayments'!$I$22)),0),0)</f>
        <v>0</v>
      </c>
      <c r="AV101" s="477">
        <f>IF('Incremental Repayments'!$R$22="Debt",IF(AND(AV$4&gt;=$D101,AV$4&lt;$D101+'Incremental Repayments'!$I$31),-PMT('Interest Rate'!$J$16,'Incremental Repayments'!$I$31,(HLOOKUP($D101,$E$4:$CZ$32,28,FALSE)*'Incremental Repayments'!$I$22)),0),0)</f>
        <v>0</v>
      </c>
      <c r="AW101" s="477">
        <f>IF('Incremental Repayments'!$R$22="Debt",IF(AND(AW$4&gt;=$D101,AW$4&lt;$D101+'Incremental Repayments'!$I$31),-PMT('Interest Rate'!$J$16,'Incremental Repayments'!$I$31,(HLOOKUP($D101,$E$4:$CZ$32,28,FALSE)*'Incremental Repayments'!$I$22)),0),0)</f>
        <v>0</v>
      </c>
      <c r="AX101" s="477">
        <f>IF('Incremental Repayments'!$R$22="Debt",IF(AND(AX$4&gt;=$D101,AX$4&lt;$D101+'Incremental Repayments'!$I$31),-PMT('Interest Rate'!$J$16,'Incremental Repayments'!$I$31,(HLOOKUP($D101,$E$4:$CZ$32,28,FALSE)*'Incremental Repayments'!$I$22)),0),0)</f>
        <v>0</v>
      </c>
      <c r="AY101" s="477">
        <f>IF('Incremental Repayments'!$R$22="Debt",IF(AND(AY$4&gt;=$D101,AY$4&lt;$D101+'Incremental Repayments'!$I$31),-PMT('Interest Rate'!$J$16,'Incremental Repayments'!$I$31,(HLOOKUP($D101,$E$4:$CZ$32,28,FALSE)*'Incremental Repayments'!$I$22)),0),0)</f>
        <v>0</v>
      </c>
      <c r="AZ101" s="477">
        <f>IF('Incremental Repayments'!$R$22="Debt",IF(AND(AZ$4&gt;=$D101,AZ$4&lt;$D101+'Incremental Repayments'!$I$31),-PMT('Interest Rate'!$J$16,'Incremental Repayments'!$I$31,(HLOOKUP($D101,$E$4:$CZ$32,28,FALSE)*'Incremental Repayments'!$I$22)),0),0)</f>
        <v>0</v>
      </c>
      <c r="BA101" s="477">
        <f>IF('Incremental Repayments'!$R$22="Debt",IF(AND(BA$4&gt;=$D101,BA$4&lt;$D101+'Incremental Repayments'!$I$31),-PMT('Interest Rate'!$J$16,'Incremental Repayments'!$I$31,(HLOOKUP($D101,$E$4:$CZ$32,28,FALSE)*'Incremental Repayments'!$I$22)),0),0)</f>
        <v>0</v>
      </c>
      <c r="BB101" s="477">
        <f>IF('Incremental Repayments'!$R$22="Debt",IF(AND(BB$4&gt;=$D101,BB$4&lt;$D101+'Incremental Repayments'!$I$31),-PMT('Interest Rate'!$J$16,'Incremental Repayments'!$I$31,(HLOOKUP($D101,$E$4:$CZ$32,28,FALSE)*'Incremental Repayments'!$I$22)),0),0)</f>
        <v>0</v>
      </c>
      <c r="BC101" s="477">
        <f>IF('Incremental Repayments'!$R$22="Debt",IF(AND(BC$4&gt;=$D101,BC$4&lt;$D101+'Incremental Repayments'!$I$31),-PMT('Interest Rate'!$J$16,'Incremental Repayments'!$I$31,(HLOOKUP($D101,$E$4:$CZ$32,28,FALSE)*'Incremental Repayments'!$I$22)),0),0)</f>
        <v>0</v>
      </c>
      <c r="BD101" s="477">
        <f>IF('Incremental Repayments'!$R$22="Debt",IF(AND(BD$4&gt;=$D101,BD$4&lt;$D101+'Incremental Repayments'!$I$31),-PMT('Interest Rate'!$J$16,'Incremental Repayments'!$I$31,(HLOOKUP($D101,$E$4:$CZ$32,28,FALSE)*'Incremental Repayments'!$I$22)),0),0)</f>
        <v>0</v>
      </c>
      <c r="BE101" s="477">
        <f>IF('Incremental Repayments'!$R$22="Debt",IF(AND(BE$4&gt;=$D101,BE$4&lt;$D101+'Incremental Repayments'!$I$31),-PMT('Interest Rate'!$J$16,'Incremental Repayments'!$I$31,(HLOOKUP($D101,$E$4:$CZ$32,28,FALSE)*'Incremental Repayments'!$I$22)),0),0)</f>
        <v>0</v>
      </c>
      <c r="BF101" s="477">
        <f>IF('Incremental Repayments'!$R$22="Debt",IF(AND(BF$4&gt;=$D101,BF$4&lt;$D101+'Incremental Repayments'!$I$31),-PMT('Interest Rate'!$J$16,'Incremental Repayments'!$I$31,(HLOOKUP($D101,$E$4:$CZ$32,28,FALSE)*'Incremental Repayments'!$I$22)),0),0)</f>
        <v>0</v>
      </c>
      <c r="BG101" s="477">
        <f>IF('Incremental Repayments'!$R$22="Debt",IF(AND(BG$4&gt;=$D101,BG$4&lt;$D101+'Incremental Repayments'!$I$31),-PMT('Interest Rate'!$J$16,'Incremental Repayments'!$I$31,(HLOOKUP($D101,$E$4:$CZ$32,28,FALSE)*'Incremental Repayments'!$I$22)),0),0)</f>
        <v>0</v>
      </c>
      <c r="BH101" s="477">
        <f>IF('Incremental Repayments'!$R$22="Debt",IF(AND(BH$4&gt;=$D101,BH$4&lt;$D101+'Incremental Repayments'!$I$31),-PMT('Interest Rate'!$J$16,'Incremental Repayments'!$I$31,(HLOOKUP($D101,$E$4:$CZ$32,28,FALSE)*'Incremental Repayments'!$I$22)),0),0)</f>
        <v>0</v>
      </c>
      <c r="BI101" s="477">
        <f>IF('Incremental Repayments'!$R$22="Debt",IF(AND(BI$4&gt;=$D101,BI$4&lt;$D101+'Incremental Repayments'!$I$31),-PMT('Interest Rate'!$J$16,'Incremental Repayments'!$I$31,(HLOOKUP($D101,$E$4:$CZ$32,28,FALSE)*'Incremental Repayments'!$I$22)),0),0)</f>
        <v>0</v>
      </c>
      <c r="BJ101" s="477">
        <f>IF('Incremental Repayments'!$R$22="Debt",IF(AND(BJ$4&gt;=$D101,BJ$4&lt;$D101+'Incremental Repayments'!$I$31),-PMT('Interest Rate'!$J$16,'Incremental Repayments'!$I$31,(HLOOKUP($D101,$E$4:$CZ$32,28,FALSE)*'Incremental Repayments'!$I$22)),0),0)</f>
        <v>0</v>
      </c>
      <c r="BK101" s="477">
        <f>IF('Incremental Repayments'!$R$22="Debt",IF(AND(BK$4&gt;=$D101,BK$4&lt;$D101+'Incremental Repayments'!$I$31),-PMT('Interest Rate'!$J$16,'Incremental Repayments'!$I$31,(HLOOKUP($D101,$E$4:$CZ$32,28,FALSE)*'Incremental Repayments'!$I$22)),0),0)</f>
        <v>0</v>
      </c>
      <c r="BL101" s="477">
        <f>IF('Incremental Repayments'!$R$22="Debt",IF(AND(BL$4&gt;=$D101,BL$4&lt;$D101+'Incremental Repayments'!$I$31),-PMT('Interest Rate'!$J$16,'Incremental Repayments'!$I$31,(HLOOKUP($D101,$E$4:$CZ$32,28,FALSE)*'Incremental Repayments'!$I$22)),0),0)</f>
        <v>0</v>
      </c>
      <c r="BM101" s="477">
        <f>IF('Incremental Repayments'!$R$22="Debt",IF(AND(BM$4&gt;=$D101,BM$4&lt;$D101+'Incremental Repayments'!$I$31),-PMT('Interest Rate'!$J$16,'Incremental Repayments'!$I$31,(HLOOKUP($D101,$E$4:$CZ$32,28,FALSE)*'Incremental Repayments'!$I$22)),0),0)</f>
        <v>0</v>
      </c>
      <c r="BN101" s="477">
        <f>IF('Incremental Repayments'!$R$22="Debt",IF(AND(BN$4&gt;=$D101,BN$4&lt;$D101+'Incremental Repayments'!$I$31),-PMT('Interest Rate'!$J$16,'Incremental Repayments'!$I$31,(HLOOKUP($D101,$E$4:$CZ$32,28,FALSE)*'Incremental Repayments'!$I$22)),0),0)</f>
        <v>0</v>
      </c>
      <c r="BO101" s="477">
        <f>IF('Incremental Repayments'!$R$22="Debt",IF(AND(BO$4&gt;=$D101,BO$4&lt;$D101+'Incremental Repayments'!$I$31),-PMT('Interest Rate'!$J$16,'Incremental Repayments'!$I$31,(HLOOKUP($D101,$E$4:$CZ$32,28,FALSE)*'Incremental Repayments'!$I$22)),0),0)</f>
        <v>0</v>
      </c>
      <c r="BP101" s="477">
        <f>IF('Incremental Repayments'!$R$22="Debt",IF(AND(BP$4&gt;=$D101,BP$4&lt;$D101+'Incremental Repayments'!$I$31),-PMT('Interest Rate'!$J$16,'Incremental Repayments'!$I$31,(HLOOKUP($D101,$E$4:$CZ$32,28,FALSE)*'Incremental Repayments'!$I$22)),0),0)</f>
        <v>0</v>
      </c>
      <c r="BQ101" s="477">
        <f>IF('Incremental Repayments'!$R$22="Debt",IF(AND(BQ$4&gt;=$D101,BQ$4&lt;$D101+'Incremental Repayments'!$I$31),-PMT('Interest Rate'!$J$16,'Incremental Repayments'!$I$31,(HLOOKUP($D101,$E$4:$CZ$32,28,FALSE)*'Incremental Repayments'!$I$22)),0),0)</f>
        <v>0</v>
      </c>
      <c r="BR101" s="477">
        <f>IF('Incremental Repayments'!$R$22="Debt",IF(AND(BR$4&gt;=$D101,BR$4&lt;$D101+'Incremental Repayments'!$I$31),-PMT('Interest Rate'!$J$16,'Incremental Repayments'!$I$31,(HLOOKUP($D101,$E$4:$CZ$32,28,FALSE)*'Incremental Repayments'!$I$22)),0),0)</f>
        <v>0</v>
      </c>
      <c r="BS101" s="477">
        <f>IF('Incremental Repayments'!$R$22="Debt",IF(AND(BS$4&gt;=$D101,BS$4&lt;$D101+'Incremental Repayments'!$I$31),-PMT('Interest Rate'!$J$16,'Incremental Repayments'!$I$31,(HLOOKUP($D101,$E$4:$CZ$32,28,FALSE)*'Incremental Repayments'!$I$22)),0),0)</f>
        <v>0</v>
      </c>
      <c r="BT101" s="477">
        <f>IF('Incremental Repayments'!$R$22="Debt",IF(AND(BT$4&gt;=$D101,BT$4&lt;$D101+'Incremental Repayments'!$I$31),-PMT('Interest Rate'!$J$16,'Incremental Repayments'!$I$31,(HLOOKUP($D101,$E$4:$CZ$32,28,FALSE)*'Incremental Repayments'!$I$22)),0),0)</f>
        <v>0</v>
      </c>
      <c r="BU101" s="477">
        <f>IF('Incremental Repayments'!$R$22="Debt",IF(AND(BU$4&gt;=$D101,BU$4&lt;$D101+'Incremental Repayments'!$I$31),-PMT('Interest Rate'!$J$16,'Incremental Repayments'!$I$31,(HLOOKUP($D101,$E$4:$CZ$32,28,FALSE)*'Incremental Repayments'!$I$22)),0),0)</f>
        <v>0</v>
      </c>
      <c r="BV101" s="477">
        <f>IF('Incremental Repayments'!$R$22="Debt",IF(AND(BV$4&gt;=$D101,BV$4&lt;$D101+'Incremental Repayments'!$I$31),-PMT('Interest Rate'!$J$16,'Incremental Repayments'!$I$31,(HLOOKUP($D101,$E$4:$CZ$32,28,FALSE)*'Incremental Repayments'!$I$22)),0),0)</f>
        <v>0</v>
      </c>
      <c r="BW101" s="477">
        <f>IF('Incremental Repayments'!$R$22="Debt",IF(AND(BW$4&gt;=$D101,BW$4&lt;$D101+'Incremental Repayments'!$I$31),-PMT('Interest Rate'!$J$16,'Incremental Repayments'!$I$31,(HLOOKUP($D101,$E$4:$CZ$32,28,FALSE)*'Incremental Repayments'!$I$22)),0),0)</f>
        <v>0</v>
      </c>
      <c r="BX101" s="477">
        <f>IF('Incremental Repayments'!$R$22="Debt",IF(AND(BX$4&gt;=$D101,BX$4&lt;$D101+'Incremental Repayments'!$I$31),-PMT('Interest Rate'!$J$16,'Incremental Repayments'!$I$31,(HLOOKUP($D101,$E$4:$CZ$32,28,FALSE)*'Incremental Repayments'!$I$22)),0),0)</f>
        <v>0</v>
      </c>
      <c r="BY101" s="477">
        <f>IF('Incremental Repayments'!$R$22="Debt",IF(AND(BY$4&gt;=$D101,BY$4&lt;$D101+'Incremental Repayments'!$I$31),-PMT('Interest Rate'!$J$16,'Incremental Repayments'!$I$31,(HLOOKUP($D101,$E$4:$CZ$32,28,FALSE)*'Incremental Repayments'!$I$22)),0),0)</f>
        <v>0</v>
      </c>
      <c r="BZ101" s="477">
        <f>IF('Incremental Repayments'!$R$22="Debt",IF(AND(BZ$4&gt;=$D101,BZ$4&lt;$D101+'Incremental Repayments'!$I$31),-PMT('Interest Rate'!$J$16,'Incremental Repayments'!$I$31,(HLOOKUP($D101,$E$4:$CZ$32,28,FALSE)*'Incremental Repayments'!$I$22)),0),0)</f>
        <v>0</v>
      </c>
      <c r="CA101" s="477">
        <f>IF('Incremental Repayments'!$R$22="Debt",IF(AND(CA$4&gt;=$D101,CA$4&lt;$D101+'Incremental Repayments'!$I$31),-PMT('Interest Rate'!$J$16,'Incremental Repayments'!$I$31,(HLOOKUP($D101,$E$4:$CZ$32,28,FALSE)*'Incremental Repayments'!$I$22)),0),0)</f>
        <v>0</v>
      </c>
      <c r="CB101" s="477">
        <f>IF('Incremental Repayments'!$R$22="Debt",IF(AND(CB$4&gt;=$D101,CB$4&lt;$D101+'Incremental Repayments'!$I$31),-PMT('Interest Rate'!$J$16,'Incremental Repayments'!$I$31,(HLOOKUP($D101,$E$4:$CZ$32,28,FALSE)*'Incremental Repayments'!$I$22)),0),0)</f>
        <v>0</v>
      </c>
      <c r="CC101" s="477">
        <f>IF('Incremental Repayments'!$R$22="Debt",IF(AND(CC$4&gt;=$D101,CC$4&lt;$D101+'Incremental Repayments'!$I$31),-PMT('Interest Rate'!$J$16,'Incremental Repayments'!$I$31,(HLOOKUP($D101,$E$4:$CZ$32,28,FALSE)*'Incremental Repayments'!$I$22)),0),0)</f>
        <v>0</v>
      </c>
      <c r="CD101" s="477">
        <f>IF('Incremental Repayments'!$R$22="Debt",IF(AND(CD$4&gt;=$D101,CD$4&lt;$D101+'Incremental Repayments'!$I$31),-PMT('Interest Rate'!$J$16,'Incremental Repayments'!$I$31,(HLOOKUP($D101,$E$4:$CZ$32,28,FALSE)*'Incremental Repayments'!$I$22)),0),0)</f>
        <v>0</v>
      </c>
      <c r="CE101" s="477">
        <f>IF('Incremental Repayments'!$R$22="Debt",IF(AND(CE$4&gt;=$D101,CE$4&lt;$D101+'Incremental Repayments'!$I$31),-PMT('Interest Rate'!$J$16,'Incremental Repayments'!$I$31,(HLOOKUP($D101,$E$4:$CZ$32,28,FALSE)*'Incremental Repayments'!$I$22)),0),0)</f>
        <v>0</v>
      </c>
      <c r="CF101" s="477">
        <f>IF('Incremental Repayments'!$R$22="Debt",IF(AND(CF$4&gt;=$D101,CF$4&lt;$D101+'Incremental Repayments'!$I$31),-PMT('Interest Rate'!$J$16,'Incremental Repayments'!$I$31,(HLOOKUP($D101,$E$4:$CZ$32,28,FALSE)*'Incremental Repayments'!$I$22)),0),0)</f>
        <v>0</v>
      </c>
      <c r="CG101" s="477">
        <f>IF('Incremental Repayments'!$R$22="Debt",IF(AND(CG$4&gt;=$D101,CG$4&lt;$D101+'Incremental Repayments'!$I$31),-PMT('Interest Rate'!$J$16,'Incremental Repayments'!$I$31,(HLOOKUP($D101,$E$4:$CZ$32,28,FALSE)*'Incremental Repayments'!$I$22)),0),0)</f>
        <v>0</v>
      </c>
      <c r="CH101" s="477">
        <f>IF('Incremental Repayments'!$R$22="Debt",IF(AND(CH$4&gt;=$D101,CH$4&lt;$D101+'Incremental Repayments'!$I$31),-PMT('Interest Rate'!$J$16,'Incremental Repayments'!$I$31,(HLOOKUP($D101,$E$4:$CZ$32,28,FALSE)*'Incremental Repayments'!$I$22)),0),0)</f>
        <v>0</v>
      </c>
      <c r="CI101" s="477">
        <f>IF('Incremental Repayments'!$R$22="Debt",IF(AND(CI$4&gt;=$D101,CI$4&lt;$D101+'Incremental Repayments'!$I$31),-PMT('Interest Rate'!$J$16,'Incremental Repayments'!$I$31,(HLOOKUP($D101,$E$4:$CZ$32,28,FALSE)*'Incremental Repayments'!$I$22)),0),0)</f>
        <v>0</v>
      </c>
      <c r="CJ101" s="477">
        <f>IF('Incremental Repayments'!$R$22="Debt",IF(AND(CJ$4&gt;=$D101,CJ$4&lt;$D101+'Incremental Repayments'!$I$31),-PMT('Interest Rate'!$J$16,'Incremental Repayments'!$I$31,(HLOOKUP($D101,$E$4:$CZ$32,28,FALSE)*'Incremental Repayments'!$I$22)),0),0)</f>
        <v>0</v>
      </c>
      <c r="CK101" s="477">
        <f>IF('Incremental Repayments'!$R$22="Debt",IF(AND(CK$4&gt;=$D101,CK$4&lt;$D101+'Incremental Repayments'!$I$31),-PMT('Interest Rate'!$J$16,'Incremental Repayments'!$I$31,(HLOOKUP($D101,$E$4:$CZ$32,28,FALSE)*'Incremental Repayments'!$I$22)),0),0)</f>
        <v>0</v>
      </c>
      <c r="CL101" s="477">
        <f>IF('Incremental Repayments'!$R$22="Debt",IF(AND(CL$4&gt;=$D101,CL$4&lt;$D101+'Incremental Repayments'!$I$31),-PMT('Interest Rate'!$J$16,'Incremental Repayments'!$I$31,(HLOOKUP($D101,$E$4:$CZ$32,28,FALSE)*'Incremental Repayments'!$I$22)),0),0)</f>
        <v>0</v>
      </c>
      <c r="CM101" s="477">
        <f>IF('Incremental Repayments'!$R$22="Debt",IF(AND(CM$4&gt;=$D101,CM$4&lt;$D101+'Incremental Repayments'!$I$31),-PMT('Interest Rate'!$J$16,'Incremental Repayments'!$I$31,(HLOOKUP($D101,$E$4:$CZ$32,28,FALSE)*'Incremental Repayments'!$I$22)),0),0)</f>
        <v>0</v>
      </c>
      <c r="CN101" s="477">
        <f>IF('Incremental Repayments'!$R$22="Debt",IF(AND(CN$4&gt;=$D101,CN$4&lt;$D101+'Incremental Repayments'!$I$31),-PMT('Interest Rate'!$J$16,'Incremental Repayments'!$I$31,(HLOOKUP($D101,$E$4:$CZ$32,28,FALSE)*'Incremental Repayments'!$I$22)),0),0)</f>
        <v>0</v>
      </c>
      <c r="CO101" s="477">
        <f>IF('Incremental Repayments'!$R$22="Debt",IF(AND(CO$4&gt;=$D101,CO$4&lt;$D101+'Incremental Repayments'!$I$31),-PMT('Interest Rate'!$J$16,'Incremental Repayments'!$I$31,(HLOOKUP($D101,$E$4:$CZ$32,28,FALSE)*'Incremental Repayments'!$I$22)),0),0)</f>
        <v>0</v>
      </c>
      <c r="CP101" s="477">
        <f>IF('Incremental Repayments'!$R$22="Debt",IF(AND(CP$4&gt;=$D101,CP$4&lt;$D101+'Incremental Repayments'!$I$31),-PMT('Interest Rate'!$J$16,'Incremental Repayments'!$I$31,(HLOOKUP($D101,$E$4:$CZ$32,28,FALSE)*'Incremental Repayments'!$I$22)),0),0)</f>
        <v>0</v>
      </c>
      <c r="CQ101" s="477">
        <f>IF('Incremental Repayments'!$R$22="Debt",IF(AND(CQ$4&gt;=$D101,CQ$4&lt;$D101+'Incremental Repayments'!$I$31),-PMT('Interest Rate'!$J$16,'Incremental Repayments'!$I$31,(HLOOKUP($D101,$E$4:$CZ$32,28,FALSE)*'Incremental Repayments'!$I$22)),0),0)</f>
        <v>0</v>
      </c>
      <c r="CR101" s="477">
        <f>IF('Incremental Repayments'!$R$22="Debt",IF(AND(CR$4&gt;=$D101,CR$4&lt;$D101+'Incremental Repayments'!$I$31),-PMT('Interest Rate'!$J$16,'Incremental Repayments'!$I$31,(HLOOKUP($D101,$E$4:$CZ$32,28,FALSE)*'Incremental Repayments'!$I$22)),0),0)</f>
        <v>0</v>
      </c>
      <c r="CS101" s="477">
        <f>IF('Incremental Repayments'!$R$22="Debt",IF(AND(CS$4&gt;=$D101,CS$4&lt;$D101+'Incremental Repayments'!$I$31),-PMT('Interest Rate'!$J$16,'Incremental Repayments'!$I$31,(HLOOKUP($D101,$E$4:$CZ$32,28,FALSE)*'Incremental Repayments'!$I$22)),0),0)</f>
        <v>0</v>
      </c>
      <c r="CT101" s="477">
        <f>IF('Incremental Repayments'!$R$22="Debt",IF(AND(CT$4&gt;=$D101,CT$4&lt;$D101+'Incremental Repayments'!$I$31),-PMT('Interest Rate'!$J$16,'Incremental Repayments'!$I$31,(HLOOKUP($D101,$E$4:$CZ$32,28,FALSE)*'Incremental Repayments'!$I$22)),0),0)</f>
        <v>0</v>
      </c>
      <c r="CU101" s="477">
        <f>IF('Incremental Repayments'!$R$22="Debt",IF(AND(CU$4&gt;=$D101,CU$4&lt;$D101+'Incremental Repayments'!$I$31),-PMT('Interest Rate'!$J$16,'Incremental Repayments'!$I$31,(HLOOKUP($D101,$E$4:$CZ$32,28,FALSE)*'Incremental Repayments'!$I$22)),0),0)</f>
        <v>0</v>
      </c>
      <c r="CV101" s="477">
        <f>IF('Incremental Repayments'!$R$22="Debt",IF(AND(CV$4&gt;=$D101,CV$4&lt;$D101+'Incremental Repayments'!$I$31),-PMT('Interest Rate'!$J$16,'Incremental Repayments'!$I$31,(HLOOKUP($D101,$E$4:$CZ$32,28,FALSE)*'Incremental Repayments'!$I$22)),0),0)</f>
        <v>0</v>
      </c>
      <c r="CW101" s="477">
        <f>IF('Incremental Repayments'!$R$22="Debt",IF(AND(CW$4&gt;=$D101,CW$4&lt;$D101+'Incremental Repayments'!$I$31),-PMT('Interest Rate'!$J$16,'Incremental Repayments'!$I$31,(HLOOKUP($D101,$E$4:$CZ$32,28,FALSE)*'Incremental Repayments'!$I$22)),0),0)</f>
        <v>0</v>
      </c>
      <c r="CX101" s="477">
        <f>IF('Incremental Repayments'!$R$22="Debt",IF(AND(CX$4&gt;=$D101,CX$4&lt;$D101+'Incremental Repayments'!$I$31),-PMT('Interest Rate'!$J$16,'Incremental Repayments'!$I$31,(HLOOKUP($D101,$E$4:$CZ$32,28,FALSE)*'Incremental Repayments'!$I$22)),0),0)</f>
        <v>0</v>
      </c>
      <c r="CY101" s="477">
        <f>IF('Incremental Repayments'!$R$22="Debt",IF(AND(CY$4&gt;=$D101,CY$4&lt;$D101+'Incremental Repayments'!$I$31),-PMT('Interest Rate'!$J$16,'Incremental Repayments'!$I$31,(HLOOKUP($D101,$E$4:$CZ$32,28,FALSE)*'Incremental Repayments'!$I$22)),0),0)</f>
        <v>0</v>
      </c>
      <c r="CZ101" s="477">
        <f>IF('Incremental Repayments'!$R$22="Debt",IF(AND(CZ$4&gt;=$D101,CZ$4&lt;$D101+'Incremental Repayments'!$I$31),-PMT('Interest Rate'!$J$16,'Incremental Repayments'!$I$31,(HLOOKUP($D101,$E$4:$CZ$32,28,FALSE)*'Incremental Repayments'!$I$22)),0),0)</f>
        <v>0</v>
      </c>
    </row>
    <row r="102" spans="2:104" x14ac:dyDescent="0.25">
      <c r="B102" s="480" t="str">
        <f>CONCATENATE("Series ",D102,"A Bonds (at ",'Interest Rate'!$J$16*100,"% Interest)")</f>
        <v>Series 2080A Bonds (at 4.5% Interest)</v>
      </c>
      <c r="C102" s="480"/>
      <c r="D102" s="492">
        <f t="shared" si="494"/>
        <v>2080</v>
      </c>
      <c r="E102" s="477">
        <f>IF('Incremental Repayments'!$R$22="Debt",IF(AND(E$4&gt;=$D102,E$4&lt;$D102+'Incremental Repayments'!$I$31),-PMT('Interest Rate'!$J$16,'Incremental Repayments'!$I$31,(HLOOKUP($D102,$E$4:$CZ$32,28,FALSE)*'Incremental Repayments'!$I$22)),0),0)</f>
        <v>0</v>
      </c>
      <c r="F102" s="477">
        <f>IF('Incremental Repayments'!$R$22="Debt",IF(AND(F$4&gt;=$D102,F$4&lt;$D102+'Incremental Repayments'!$I$31),-PMT('Interest Rate'!$J$16,'Incremental Repayments'!$I$31,(HLOOKUP($D102,$E$4:$CZ$32,28,FALSE)*'Incremental Repayments'!$I$22)),0),0)</f>
        <v>0</v>
      </c>
      <c r="G102" s="477">
        <f>IF('Incremental Repayments'!$R$22="Debt",IF(AND(G$4&gt;=$D102,G$4&lt;$D102+'Incremental Repayments'!$I$31),-PMT('Interest Rate'!$J$16,'Incremental Repayments'!$I$31,(HLOOKUP($D102,$E$4:$CZ$32,28,FALSE)*'Incremental Repayments'!$I$22)),0),0)</f>
        <v>0</v>
      </c>
      <c r="H102" s="477">
        <f>IF('Incremental Repayments'!$R$22="Debt",IF(AND(H$4&gt;=$D102,H$4&lt;$D102+'Incremental Repayments'!$I$31),-PMT('Interest Rate'!$J$16,'Incremental Repayments'!$I$31,(HLOOKUP($D102,$E$4:$CZ$32,28,FALSE)*'Incremental Repayments'!$I$22)),0),0)</f>
        <v>0</v>
      </c>
      <c r="I102" s="477">
        <f>IF('Incremental Repayments'!$R$22="Debt",IF(AND(I$4&gt;=$D102,I$4&lt;$D102+'Incremental Repayments'!$I$31),-PMT('Interest Rate'!$J$16,'Incremental Repayments'!$I$31,(HLOOKUP($D102,$E$4:$CZ$32,28,FALSE)*'Incremental Repayments'!$I$22)),0),0)</f>
        <v>0</v>
      </c>
      <c r="J102" s="477">
        <f>IF('Incremental Repayments'!$R$22="Debt",IF(AND(J$4&gt;=$D102,J$4&lt;$D102+'Incremental Repayments'!$I$31),-PMT('Interest Rate'!$J$16,'Incremental Repayments'!$I$31,(HLOOKUP($D102,$E$4:$CZ$32,28,FALSE)*'Incremental Repayments'!$I$22)),0),0)</f>
        <v>0</v>
      </c>
      <c r="K102" s="477">
        <f>IF('Incremental Repayments'!$R$22="Debt",IF(AND(K$4&gt;=$D102,K$4&lt;$D102+'Incremental Repayments'!$I$31),-PMT('Interest Rate'!$J$16,'Incremental Repayments'!$I$31,(HLOOKUP($D102,$E$4:$CZ$32,28,FALSE)*'Incremental Repayments'!$I$22)),0),0)</f>
        <v>0</v>
      </c>
      <c r="L102" s="477">
        <f>IF('Incremental Repayments'!$R$22="Debt",IF(AND(L$4&gt;=$D102,L$4&lt;$D102+'Incremental Repayments'!$I$31),-PMT('Interest Rate'!$J$16,'Incremental Repayments'!$I$31,(HLOOKUP($D102,$E$4:$CZ$32,28,FALSE)*'Incremental Repayments'!$I$22)),0),0)</f>
        <v>0</v>
      </c>
      <c r="M102" s="477">
        <f>IF('Incremental Repayments'!$R$22="Debt",IF(AND(M$4&gt;=$D102,M$4&lt;$D102+'Incremental Repayments'!$I$31),-PMT('Interest Rate'!$J$16,'Incremental Repayments'!$I$31,(HLOOKUP($D102,$E$4:$CZ$32,28,FALSE)*'Incremental Repayments'!$I$22)),0),0)</f>
        <v>0</v>
      </c>
      <c r="N102" s="477">
        <f>IF('Incremental Repayments'!$R$22="Debt",IF(AND(N$4&gt;=$D102,N$4&lt;$D102+'Incremental Repayments'!$I$31),-PMT('Interest Rate'!$J$16,'Incremental Repayments'!$I$31,(HLOOKUP($D102,$E$4:$CZ$32,28,FALSE)*'Incremental Repayments'!$I$22)),0),0)</f>
        <v>0</v>
      </c>
      <c r="O102" s="477">
        <f>IF('Incremental Repayments'!$R$22="Debt",IF(AND(O$4&gt;=$D102,O$4&lt;$D102+'Incremental Repayments'!$I$31),-PMT('Interest Rate'!$J$16,'Incremental Repayments'!$I$31,(HLOOKUP($D102,$E$4:$CZ$32,28,FALSE)*'Incremental Repayments'!$I$22)),0),0)</f>
        <v>0</v>
      </c>
      <c r="P102" s="477">
        <f>IF('Incremental Repayments'!$R$22="Debt",IF(AND(P$4&gt;=$D102,P$4&lt;$D102+'Incremental Repayments'!$I$31),-PMT('Interest Rate'!$J$16,'Incremental Repayments'!$I$31,(HLOOKUP($D102,$E$4:$CZ$32,28,FALSE)*'Incremental Repayments'!$I$22)),0),0)</f>
        <v>0</v>
      </c>
      <c r="Q102" s="477">
        <f>IF('Incremental Repayments'!$R$22="Debt",IF(AND(Q$4&gt;=$D102,Q$4&lt;$D102+'Incremental Repayments'!$I$31),-PMT('Interest Rate'!$J$16,'Incremental Repayments'!$I$31,(HLOOKUP($D102,$E$4:$CZ$32,28,FALSE)*'Incremental Repayments'!$I$22)),0),0)</f>
        <v>0</v>
      </c>
      <c r="R102" s="477">
        <f>IF('Incremental Repayments'!$R$22="Debt",IF(AND(R$4&gt;=$D102,R$4&lt;$D102+'Incremental Repayments'!$I$31),-PMT('Interest Rate'!$J$16,'Incremental Repayments'!$I$31,(HLOOKUP($D102,$E$4:$CZ$32,28,FALSE)*'Incremental Repayments'!$I$22)),0),0)</f>
        <v>0</v>
      </c>
      <c r="S102" s="477">
        <f>IF('Incremental Repayments'!$R$22="Debt",IF(AND(S$4&gt;=$D102,S$4&lt;$D102+'Incremental Repayments'!$I$31),-PMT('Interest Rate'!$J$16,'Incremental Repayments'!$I$31,(HLOOKUP($D102,$E$4:$CZ$32,28,FALSE)*'Incremental Repayments'!$I$22)),0),0)</f>
        <v>0</v>
      </c>
      <c r="T102" s="477">
        <f>IF('Incremental Repayments'!$R$22="Debt",IF(AND(T$4&gt;=$D102,T$4&lt;$D102+'Incremental Repayments'!$I$31),-PMT('Interest Rate'!$J$16,'Incremental Repayments'!$I$31,(HLOOKUP($D102,$E$4:$CZ$32,28,FALSE)*'Incremental Repayments'!$I$22)),0),0)</f>
        <v>0</v>
      </c>
      <c r="U102" s="477">
        <f>IF('Incremental Repayments'!$R$22="Debt",IF(AND(U$4&gt;=$D102,U$4&lt;$D102+'Incremental Repayments'!$I$31),-PMT('Interest Rate'!$J$16,'Incremental Repayments'!$I$31,(HLOOKUP($D102,$E$4:$CZ$32,28,FALSE)*'Incremental Repayments'!$I$22)),0),0)</f>
        <v>0</v>
      </c>
      <c r="V102" s="477">
        <f>IF('Incremental Repayments'!$R$22="Debt",IF(AND(V$4&gt;=$D102,V$4&lt;$D102+'Incremental Repayments'!$I$31),-PMT('Interest Rate'!$J$16,'Incremental Repayments'!$I$31,(HLOOKUP($D102,$E$4:$CZ$32,28,FALSE)*'Incremental Repayments'!$I$22)),0),0)</f>
        <v>0</v>
      </c>
      <c r="W102" s="477">
        <f>IF('Incremental Repayments'!$R$22="Debt",IF(AND(W$4&gt;=$D102,W$4&lt;$D102+'Incremental Repayments'!$I$31),-PMT('Interest Rate'!$J$16,'Incremental Repayments'!$I$31,(HLOOKUP($D102,$E$4:$CZ$32,28,FALSE)*'Incremental Repayments'!$I$22)),0),0)</f>
        <v>0</v>
      </c>
      <c r="X102" s="477">
        <f>IF('Incremental Repayments'!$R$22="Debt",IF(AND(X$4&gt;=$D102,X$4&lt;$D102+'Incremental Repayments'!$I$31),-PMT('Interest Rate'!$J$16,'Incremental Repayments'!$I$31,(HLOOKUP($D102,$E$4:$CZ$32,28,FALSE)*'Incremental Repayments'!$I$22)),0),0)</f>
        <v>0</v>
      </c>
      <c r="Y102" s="477">
        <f>IF('Incremental Repayments'!$R$22="Debt",IF(AND(Y$4&gt;=$D102,Y$4&lt;$D102+'Incremental Repayments'!$I$31),-PMT('Interest Rate'!$J$16,'Incremental Repayments'!$I$31,(HLOOKUP($D102,$E$4:$CZ$32,28,FALSE)*'Incremental Repayments'!$I$22)),0),0)</f>
        <v>0</v>
      </c>
      <c r="Z102" s="477">
        <f>IF('Incremental Repayments'!$R$22="Debt",IF(AND(Z$4&gt;=$D102,Z$4&lt;$D102+'Incremental Repayments'!$I$31),-PMT('Interest Rate'!$J$16,'Incremental Repayments'!$I$31,(HLOOKUP($D102,$E$4:$CZ$32,28,FALSE)*'Incremental Repayments'!$I$22)),0),0)</f>
        <v>0</v>
      </c>
      <c r="AA102" s="477">
        <f>IF('Incremental Repayments'!$R$22="Debt",IF(AND(AA$4&gt;=$D102,AA$4&lt;$D102+'Incremental Repayments'!$I$31),-PMT('Interest Rate'!$J$16,'Incremental Repayments'!$I$31,(HLOOKUP($D102,$E$4:$CZ$32,28,FALSE)*'Incremental Repayments'!$I$22)),0),0)</f>
        <v>0</v>
      </c>
      <c r="AB102" s="477">
        <f>IF('Incremental Repayments'!$R$22="Debt",IF(AND(AB$4&gt;=$D102,AB$4&lt;$D102+'Incremental Repayments'!$I$31),-PMT('Interest Rate'!$J$16,'Incremental Repayments'!$I$31,(HLOOKUP($D102,$E$4:$CZ$32,28,FALSE)*'Incremental Repayments'!$I$22)),0),0)</f>
        <v>0</v>
      </c>
      <c r="AC102" s="477">
        <f>IF('Incremental Repayments'!$R$22="Debt",IF(AND(AC$4&gt;=$D102,AC$4&lt;$D102+'Incremental Repayments'!$I$31),-PMT('Interest Rate'!$J$16,'Incremental Repayments'!$I$31,(HLOOKUP($D102,$E$4:$CZ$32,28,FALSE)*'Incremental Repayments'!$I$22)),0),0)</f>
        <v>0</v>
      </c>
      <c r="AD102" s="477">
        <f>IF('Incremental Repayments'!$R$22="Debt",IF(AND(AD$4&gt;=$D102,AD$4&lt;$D102+'Incremental Repayments'!$I$31),-PMT('Interest Rate'!$J$16,'Incremental Repayments'!$I$31,(HLOOKUP($D102,$E$4:$CZ$32,28,FALSE)*'Incremental Repayments'!$I$22)),0),0)</f>
        <v>0</v>
      </c>
      <c r="AE102" s="477">
        <f>IF('Incremental Repayments'!$R$22="Debt",IF(AND(AE$4&gt;=$D102,AE$4&lt;$D102+'Incremental Repayments'!$I$31),-PMT('Interest Rate'!$J$16,'Incremental Repayments'!$I$31,(HLOOKUP($D102,$E$4:$CZ$32,28,FALSE)*'Incremental Repayments'!$I$22)),0),0)</f>
        <v>0</v>
      </c>
      <c r="AF102" s="477">
        <f>IF('Incremental Repayments'!$R$22="Debt",IF(AND(AF$4&gt;=$D102,AF$4&lt;$D102+'Incremental Repayments'!$I$31),-PMT('Interest Rate'!$J$16,'Incremental Repayments'!$I$31,(HLOOKUP($D102,$E$4:$CZ$32,28,FALSE)*'Incremental Repayments'!$I$22)),0),0)</f>
        <v>0</v>
      </c>
      <c r="AG102" s="477">
        <f>IF('Incremental Repayments'!$R$22="Debt",IF(AND(AG$4&gt;=$D102,AG$4&lt;$D102+'Incremental Repayments'!$I$31),-PMT('Interest Rate'!$J$16,'Incremental Repayments'!$I$31,(HLOOKUP($D102,$E$4:$CZ$32,28,FALSE)*'Incremental Repayments'!$I$22)),0),0)</f>
        <v>0</v>
      </c>
      <c r="AH102" s="477">
        <f>IF('Incremental Repayments'!$R$22="Debt",IF(AND(AH$4&gt;=$D102,AH$4&lt;$D102+'Incremental Repayments'!$I$31),-PMT('Interest Rate'!$J$16,'Incremental Repayments'!$I$31,(HLOOKUP($D102,$E$4:$CZ$32,28,FALSE)*'Incremental Repayments'!$I$22)),0),0)</f>
        <v>0</v>
      </c>
      <c r="AI102" s="477">
        <f>IF('Incremental Repayments'!$R$22="Debt",IF(AND(AI$4&gt;=$D102,AI$4&lt;$D102+'Incremental Repayments'!$I$31),-PMT('Interest Rate'!$J$16,'Incremental Repayments'!$I$31,(HLOOKUP($D102,$E$4:$CZ$32,28,FALSE)*'Incremental Repayments'!$I$22)),0),0)</f>
        <v>0</v>
      </c>
      <c r="AJ102" s="477">
        <f>IF('Incremental Repayments'!$R$22="Debt",IF(AND(AJ$4&gt;=$D102,AJ$4&lt;$D102+'Incremental Repayments'!$I$31),-PMT('Interest Rate'!$J$16,'Incremental Repayments'!$I$31,(HLOOKUP($D102,$E$4:$CZ$32,28,FALSE)*'Incremental Repayments'!$I$22)),0),0)</f>
        <v>0</v>
      </c>
      <c r="AK102" s="477">
        <f>IF('Incremental Repayments'!$R$22="Debt",IF(AND(AK$4&gt;=$D102,AK$4&lt;$D102+'Incremental Repayments'!$I$31),-PMT('Interest Rate'!$J$16,'Incremental Repayments'!$I$31,(HLOOKUP($D102,$E$4:$CZ$32,28,FALSE)*'Incremental Repayments'!$I$22)),0),0)</f>
        <v>0</v>
      </c>
      <c r="AL102" s="477">
        <f>IF('Incremental Repayments'!$R$22="Debt",IF(AND(AL$4&gt;=$D102,AL$4&lt;$D102+'Incremental Repayments'!$I$31),-PMT('Interest Rate'!$J$16,'Incremental Repayments'!$I$31,(HLOOKUP($D102,$E$4:$CZ$32,28,FALSE)*'Incremental Repayments'!$I$22)),0),0)</f>
        <v>0</v>
      </c>
      <c r="AM102" s="477">
        <f>IF('Incremental Repayments'!$R$22="Debt",IF(AND(AM$4&gt;=$D102,AM$4&lt;$D102+'Incremental Repayments'!$I$31),-PMT('Interest Rate'!$J$16,'Incremental Repayments'!$I$31,(HLOOKUP($D102,$E$4:$CZ$32,28,FALSE)*'Incremental Repayments'!$I$22)),0),0)</f>
        <v>0</v>
      </c>
      <c r="AN102" s="477">
        <f>IF('Incremental Repayments'!$R$22="Debt",IF(AND(AN$4&gt;=$D102,AN$4&lt;$D102+'Incremental Repayments'!$I$31),-PMT('Interest Rate'!$J$16,'Incremental Repayments'!$I$31,(HLOOKUP($D102,$E$4:$CZ$32,28,FALSE)*'Incremental Repayments'!$I$22)),0),0)</f>
        <v>0</v>
      </c>
      <c r="AO102" s="477">
        <f>IF('Incremental Repayments'!$R$22="Debt",IF(AND(AO$4&gt;=$D102,AO$4&lt;$D102+'Incremental Repayments'!$I$31),-PMT('Interest Rate'!$J$16,'Incremental Repayments'!$I$31,(HLOOKUP($D102,$E$4:$CZ$32,28,FALSE)*'Incremental Repayments'!$I$22)),0),0)</f>
        <v>0</v>
      </c>
      <c r="AP102" s="477">
        <f>IF('Incremental Repayments'!$R$22="Debt",IF(AND(AP$4&gt;=$D102,AP$4&lt;$D102+'Incremental Repayments'!$I$31),-PMT('Interest Rate'!$J$16,'Incremental Repayments'!$I$31,(HLOOKUP($D102,$E$4:$CZ$32,28,FALSE)*'Incremental Repayments'!$I$22)),0),0)</f>
        <v>0</v>
      </c>
      <c r="AQ102" s="477">
        <f>IF('Incremental Repayments'!$R$22="Debt",IF(AND(AQ$4&gt;=$D102,AQ$4&lt;$D102+'Incremental Repayments'!$I$31),-PMT('Interest Rate'!$J$16,'Incremental Repayments'!$I$31,(HLOOKUP($D102,$E$4:$CZ$32,28,FALSE)*'Incremental Repayments'!$I$22)),0),0)</f>
        <v>0</v>
      </c>
      <c r="AR102" s="477">
        <f>IF('Incremental Repayments'!$R$22="Debt",IF(AND(AR$4&gt;=$D102,AR$4&lt;$D102+'Incremental Repayments'!$I$31),-PMT('Interest Rate'!$J$16,'Incremental Repayments'!$I$31,(HLOOKUP($D102,$E$4:$CZ$32,28,FALSE)*'Incremental Repayments'!$I$22)),0),0)</f>
        <v>0</v>
      </c>
      <c r="AS102" s="477">
        <f>IF('Incremental Repayments'!$R$22="Debt",IF(AND(AS$4&gt;=$D102,AS$4&lt;$D102+'Incremental Repayments'!$I$31),-PMT('Interest Rate'!$J$16,'Incremental Repayments'!$I$31,(HLOOKUP($D102,$E$4:$CZ$32,28,FALSE)*'Incremental Repayments'!$I$22)),0),0)</f>
        <v>0</v>
      </c>
      <c r="AT102" s="477">
        <f>IF('Incremental Repayments'!$R$22="Debt",IF(AND(AT$4&gt;=$D102,AT$4&lt;$D102+'Incremental Repayments'!$I$31),-PMT('Interest Rate'!$J$16,'Incremental Repayments'!$I$31,(HLOOKUP($D102,$E$4:$CZ$32,28,FALSE)*'Incremental Repayments'!$I$22)),0),0)</f>
        <v>0</v>
      </c>
      <c r="AU102" s="477">
        <f>IF('Incremental Repayments'!$R$22="Debt",IF(AND(AU$4&gt;=$D102,AU$4&lt;$D102+'Incremental Repayments'!$I$31),-PMT('Interest Rate'!$J$16,'Incremental Repayments'!$I$31,(HLOOKUP($D102,$E$4:$CZ$32,28,FALSE)*'Incremental Repayments'!$I$22)),0),0)</f>
        <v>0</v>
      </c>
      <c r="AV102" s="477">
        <f>IF('Incremental Repayments'!$R$22="Debt",IF(AND(AV$4&gt;=$D102,AV$4&lt;$D102+'Incremental Repayments'!$I$31),-PMT('Interest Rate'!$J$16,'Incremental Repayments'!$I$31,(HLOOKUP($D102,$E$4:$CZ$32,28,FALSE)*'Incremental Repayments'!$I$22)),0),0)</f>
        <v>0</v>
      </c>
      <c r="AW102" s="477">
        <f>IF('Incremental Repayments'!$R$22="Debt",IF(AND(AW$4&gt;=$D102,AW$4&lt;$D102+'Incremental Repayments'!$I$31),-PMT('Interest Rate'!$J$16,'Incremental Repayments'!$I$31,(HLOOKUP($D102,$E$4:$CZ$32,28,FALSE)*'Incremental Repayments'!$I$22)),0),0)</f>
        <v>0</v>
      </c>
      <c r="AX102" s="477">
        <f>IF('Incremental Repayments'!$R$22="Debt",IF(AND(AX$4&gt;=$D102,AX$4&lt;$D102+'Incremental Repayments'!$I$31),-PMT('Interest Rate'!$J$16,'Incremental Repayments'!$I$31,(HLOOKUP($D102,$E$4:$CZ$32,28,FALSE)*'Incremental Repayments'!$I$22)),0),0)</f>
        <v>0</v>
      </c>
      <c r="AY102" s="477">
        <f>IF('Incremental Repayments'!$R$22="Debt",IF(AND(AY$4&gt;=$D102,AY$4&lt;$D102+'Incremental Repayments'!$I$31),-PMT('Interest Rate'!$J$16,'Incremental Repayments'!$I$31,(HLOOKUP($D102,$E$4:$CZ$32,28,FALSE)*'Incremental Repayments'!$I$22)),0),0)</f>
        <v>0</v>
      </c>
      <c r="AZ102" s="477">
        <f>IF('Incremental Repayments'!$R$22="Debt",IF(AND(AZ$4&gt;=$D102,AZ$4&lt;$D102+'Incremental Repayments'!$I$31),-PMT('Interest Rate'!$J$16,'Incremental Repayments'!$I$31,(HLOOKUP($D102,$E$4:$CZ$32,28,FALSE)*'Incremental Repayments'!$I$22)),0),0)</f>
        <v>0</v>
      </c>
      <c r="BA102" s="477">
        <f>IF('Incremental Repayments'!$R$22="Debt",IF(AND(BA$4&gt;=$D102,BA$4&lt;$D102+'Incremental Repayments'!$I$31),-PMT('Interest Rate'!$J$16,'Incremental Repayments'!$I$31,(HLOOKUP($D102,$E$4:$CZ$32,28,FALSE)*'Incremental Repayments'!$I$22)),0),0)</f>
        <v>0</v>
      </c>
      <c r="BB102" s="477">
        <f>IF('Incremental Repayments'!$R$22="Debt",IF(AND(BB$4&gt;=$D102,BB$4&lt;$D102+'Incremental Repayments'!$I$31),-PMT('Interest Rate'!$J$16,'Incremental Repayments'!$I$31,(HLOOKUP($D102,$E$4:$CZ$32,28,FALSE)*'Incremental Repayments'!$I$22)),0),0)</f>
        <v>0</v>
      </c>
      <c r="BC102" s="477">
        <f>IF('Incremental Repayments'!$R$22="Debt",IF(AND(BC$4&gt;=$D102,BC$4&lt;$D102+'Incremental Repayments'!$I$31),-PMT('Interest Rate'!$J$16,'Incremental Repayments'!$I$31,(HLOOKUP($D102,$E$4:$CZ$32,28,FALSE)*'Incremental Repayments'!$I$22)),0),0)</f>
        <v>0</v>
      </c>
      <c r="BD102" s="477">
        <f>IF('Incremental Repayments'!$R$22="Debt",IF(AND(BD$4&gt;=$D102,BD$4&lt;$D102+'Incremental Repayments'!$I$31),-PMT('Interest Rate'!$J$16,'Incremental Repayments'!$I$31,(HLOOKUP($D102,$E$4:$CZ$32,28,FALSE)*'Incremental Repayments'!$I$22)),0),0)</f>
        <v>0</v>
      </c>
      <c r="BE102" s="477">
        <f>IF('Incremental Repayments'!$R$22="Debt",IF(AND(BE$4&gt;=$D102,BE$4&lt;$D102+'Incremental Repayments'!$I$31),-PMT('Interest Rate'!$J$16,'Incremental Repayments'!$I$31,(HLOOKUP($D102,$E$4:$CZ$32,28,FALSE)*'Incremental Repayments'!$I$22)),0),0)</f>
        <v>0</v>
      </c>
      <c r="BF102" s="477">
        <f>IF('Incremental Repayments'!$R$22="Debt",IF(AND(BF$4&gt;=$D102,BF$4&lt;$D102+'Incremental Repayments'!$I$31),-PMT('Interest Rate'!$J$16,'Incremental Repayments'!$I$31,(HLOOKUP($D102,$E$4:$CZ$32,28,FALSE)*'Incremental Repayments'!$I$22)),0),0)</f>
        <v>0</v>
      </c>
      <c r="BG102" s="477">
        <f>IF('Incremental Repayments'!$R$22="Debt",IF(AND(BG$4&gt;=$D102,BG$4&lt;$D102+'Incremental Repayments'!$I$31),-PMT('Interest Rate'!$J$16,'Incremental Repayments'!$I$31,(HLOOKUP($D102,$E$4:$CZ$32,28,FALSE)*'Incremental Repayments'!$I$22)),0),0)</f>
        <v>0</v>
      </c>
      <c r="BH102" s="477">
        <f>IF('Incremental Repayments'!$R$22="Debt",IF(AND(BH$4&gt;=$D102,BH$4&lt;$D102+'Incremental Repayments'!$I$31),-PMT('Interest Rate'!$J$16,'Incremental Repayments'!$I$31,(HLOOKUP($D102,$E$4:$CZ$32,28,FALSE)*'Incremental Repayments'!$I$22)),0),0)</f>
        <v>0</v>
      </c>
      <c r="BI102" s="477">
        <f>IF('Incremental Repayments'!$R$22="Debt",IF(AND(BI$4&gt;=$D102,BI$4&lt;$D102+'Incremental Repayments'!$I$31),-PMT('Interest Rate'!$J$16,'Incremental Repayments'!$I$31,(HLOOKUP($D102,$E$4:$CZ$32,28,FALSE)*'Incremental Repayments'!$I$22)),0),0)</f>
        <v>0</v>
      </c>
      <c r="BJ102" s="477">
        <f>IF('Incremental Repayments'!$R$22="Debt",IF(AND(BJ$4&gt;=$D102,BJ$4&lt;$D102+'Incremental Repayments'!$I$31),-PMT('Interest Rate'!$J$16,'Incremental Repayments'!$I$31,(HLOOKUP($D102,$E$4:$CZ$32,28,FALSE)*'Incremental Repayments'!$I$22)),0),0)</f>
        <v>0</v>
      </c>
      <c r="BK102" s="477">
        <f>IF('Incremental Repayments'!$R$22="Debt",IF(AND(BK$4&gt;=$D102,BK$4&lt;$D102+'Incremental Repayments'!$I$31),-PMT('Interest Rate'!$J$16,'Incremental Repayments'!$I$31,(HLOOKUP($D102,$E$4:$CZ$32,28,FALSE)*'Incremental Repayments'!$I$22)),0),0)</f>
        <v>0</v>
      </c>
      <c r="BL102" s="477">
        <f>IF('Incremental Repayments'!$R$22="Debt",IF(AND(BL$4&gt;=$D102,BL$4&lt;$D102+'Incremental Repayments'!$I$31),-PMT('Interest Rate'!$J$16,'Incremental Repayments'!$I$31,(HLOOKUP($D102,$E$4:$CZ$32,28,FALSE)*'Incremental Repayments'!$I$22)),0),0)</f>
        <v>0</v>
      </c>
      <c r="BM102" s="477">
        <f>IF('Incremental Repayments'!$R$22="Debt",IF(AND(BM$4&gt;=$D102,BM$4&lt;$D102+'Incremental Repayments'!$I$31),-PMT('Interest Rate'!$J$16,'Incremental Repayments'!$I$31,(HLOOKUP($D102,$E$4:$CZ$32,28,FALSE)*'Incremental Repayments'!$I$22)),0),0)</f>
        <v>0</v>
      </c>
      <c r="BN102" s="477">
        <f>IF('Incremental Repayments'!$R$22="Debt",IF(AND(BN$4&gt;=$D102,BN$4&lt;$D102+'Incremental Repayments'!$I$31),-PMT('Interest Rate'!$J$16,'Incremental Repayments'!$I$31,(HLOOKUP($D102,$E$4:$CZ$32,28,FALSE)*'Incremental Repayments'!$I$22)),0),0)</f>
        <v>0</v>
      </c>
      <c r="BO102" s="477">
        <f>IF('Incremental Repayments'!$R$22="Debt",IF(AND(BO$4&gt;=$D102,BO$4&lt;$D102+'Incremental Repayments'!$I$31),-PMT('Interest Rate'!$J$16,'Incremental Repayments'!$I$31,(HLOOKUP($D102,$E$4:$CZ$32,28,FALSE)*'Incremental Repayments'!$I$22)),0),0)</f>
        <v>0</v>
      </c>
      <c r="BP102" s="477">
        <f>IF('Incremental Repayments'!$R$22="Debt",IF(AND(BP$4&gt;=$D102,BP$4&lt;$D102+'Incremental Repayments'!$I$31),-PMT('Interest Rate'!$J$16,'Incremental Repayments'!$I$31,(HLOOKUP($D102,$E$4:$CZ$32,28,FALSE)*'Incremental Repayments'!$I$22)),0),0)</f>
        <v>0</v>
      </c>
      <c r="BQ102" s="477">
        <f>IF('Incremental Repayments'!$R$22="Debt",IF(AND(BQ$4&gt;=$D102,BQ$4&lt;$D102+'Incremental Repayments'!$I$31),-PMT('Interest Rate'!$J$16,'Incremental Repayments'!$I$31,(HLOOKUP($D102,$E$4:$CZ$32,28,FALSE)*'Incremental Repayments'!$I$22)),0),0)</f>
        <v>0</v>
      </c>
      <c r="BR102" s="477">
        <f>IF('Incremental Repayments'!$R$22="Debt",IF(AND(BR$4&gt;=$D102,BR$4&lt;$D102+'Incremental Repayments'!$I$31),-PMT('Interest Rate'!$J$16,'Incremental Repayments'!$I$31,(HLOOKUP($D102,$E$4:$CZ$32,28,FALSE)*'Incremental Repayments'!$I$22)),0),0)</f>
        <v>0</v>
      </c>
      <c r="BS102" s="477">
        <f>IF('Incremental Repayments'!$R$22="Debt",IF(AND(BS$4&gt;=$D102,BS$4&lt;$D102+'Incremental Repayments'!$I$31),-PMT('Interest Rate'!$J$16,'Incremental Repayments'!$I$31,(HLOOKUP($D102,$E$4:$CZ$32,28,FALSE)*'Incremental Repayments'!$I$22)),0),0)</f>
        <v>0</v>
      </c>
      <c r="BT102" s="477">
        <f>IF('Incremental Repayments'!$R$22="Debt",IF(AND(BT$4&gt;=$D102,BT$4&lt;$D102+'Incremental Repayments'!$I$31),-PMT('Interest Rate'!$J$16,'Incremental Repayments'!$I$31,(HLOOKUP($D102,$E$4:$CZ$32,28,FALSE)*'Incremental Repayments'!$I$22)),0),0)</f>
        <v>0</v>
      </c>
      <c r="BU102" s="477">
        <f>IF('Incremental Repayments'!$R$22="Debt",IF(AND(BU$4&gt;=$D102,BU$4&lt;$D102+'Incremental Repayments'!$I$31),-PMT('Interest Rate'!$J$16,'Incremental Repayments'!$I$31,(HLOOKUP($D102,$E$4:$CZ$32,28,FALSE)*'Incremental Repayments'!$I$22)),0),0)</f>
        <v>0</v>
      </c>
      <c r="BV102" s="477">
        <f>IF('Incremental Repayments'!$R$22="Debt",IF(AND(BV$4&gt;=$D102,BV$4&lt;$D102+'Incremental Repayments'!$I$31),-PMT('Interest Rate'!$J$16,'Incremental Repayments'!$I$31,(HLOOKUP($D102,$E$4:$CZ$32,28,FALSE)*'Incremental Repayments'!$I$22)),0),0)</f>
        <v>0</v>
      </c>
      <c r="BW102" s="477">
        <f>IF('Incremental Repayments'!$R$22="Debt",IF(AND(BW$4&gt;=$D102,BW$4&lt;$D102+'Incremental Repayments'!$I$31),-PMT('Interest Rate'!$J$16,'Incremental Repayments'!$I$31,(HLOOKUP($D102,$E$4:$CZ$32,28,FALSE)*'Incremental Repayments'!$I$22)),0),0)</f>
        <v>0</v>
      </c>
      <c r="BX102" s="477">
        <f>IF('Incremental Repayments'!$R$22="Debt",IF(AND(BX$4&gt;=$D102,BX$4&lt;$D102+'Incremental Repayments'!$I$31),-PMT('Interest Rate'!$J$16,'Incremental Repayments'!$I$31,(HLOOKUP($D102,$E$4:$CZ$32,28,FALSE)*'Incremental Repayments'!$I$22)),0),0)</f>
        <v>0</v>
      </c>
      <c r="BY102" s="477">
        <f>IF('Incremental Repayments'!$R$22="Debt",IF(AND(BY$4&gt;=$D102,BY$4&lt;$D102+'Incremental Repayments'!$I$31),-PMT('Interest Rate'!$J$16,'Incremental Repayments'!$I$31,(HLOOKUP($D102,$E$4:$CZ$32,28,FALSE)*'Incremental Repayments'!$I$22)),0),0)</f>
        <v>0</v>
      </c>
      <c r="BZ102" s="477">
        <f>IF('Incremental Repayments'!$R$22="Debt",IF(AND(BZ$4&gt;=$D102,BZ$4&lt;$D102+'Incremental Repayments'!$I$31),-PMT('Interest Rate'!$J$16,'Incremental Repayments'!$I$31,(HLOOKUP($D102,$E$4:$CZ$32,28,FALSE)*'Incremental Repayments'!$I$22)),0),0)</f>
        <v>0</v>
      </c>
      <c r="CA102" s="477">
        <f>IF('Incremental Repayments'!$R$22="Debt",IF(AND(CA$4&gt;=$D102,CA$4&lt;$D102+'Incremental Repayments'!$I$31),-PMT('Interest Rate'!$J$16,'Incremental Repayments'!$I$31,(HLOOKUP($D102,$E$4:$CZ$32,28,FALSE)*'Incremental Repayments'!$I$22)),0),0)</f>
        <v>0</v>
      </c>
      <c r="CB102" s="477">
        <f>IF('Incremental Repayments'!$R$22="Debt",IF(AND(CB$4&gt;=$D102,CB$4&lt;$D102+'Incremental Repayments'!$I$31),-PMT('Interest Rate'!$J$16,'Incremental Repayments'!$I$31,(HLOOKUP($D102,$E$4:$CZ$32,28,FALSE)*'Incremental Repayments'!$I$22)),0),0)</f>
        <v>0</v>
      </c>
      <c r="CC102" s="477">
        <f>IF('Incremental Repayments'!$R$22="Debt",IF(AND(CC$4&gt;=$D102,CC$4&lt;$D102+'Incremental Repayments'!$I$31),-PMT('Interest Rate'!$J$16,'Incremental Repayments'!$I$31,(HLOOKUP($D102,$E$4:$CZ$32,28,FALSE)*'Incremental Repayments'!$I$22)),0),0)</f>
        <v>0</v>
      </c>
      <c r="CD102" s="477">
        <f>IF('Incremental Repayments'!$R$22="Debt",IF(AND(CD$4&gt;=$D102,CD$4&lt;$D102+'Incremental Repayments'!$I$31),-PMT('Interest Rate'!$J$16,'Incremental Repayments'!$I$31,(HLOOKUP($D102,$E$4:$CZ$32,28,FALSE)*'Incremental Repayments'!$I$22)),0),0)</f>
        <v>0</v>
      </c>
      <c r="CE102" s="477">
        <f>IF('Incremental Repayments'!$R$22="Debt",IF(AND(CE$4&gt;=$D102,CE$4&lt;$D102+'Incremental Repayments'!$I$31),-PMT('Interest Rate'!$J$16,'Incremental Repayments'!$I$31,(HLOOKUP($D102,$E$4:$CZ$32,28,FALSE)*'Incremental Repayments'!$I$22)),0),0)</f>
        <v>0</v>
      </c>
      <c r="CF102" s="477">
        <f>IF('Incremental Repayments'!$R$22="Debt",IF(AND(CF$4&gt;=$D102,CF$4&lt;$D102+'Incremental Repayments'!$I$31),-PMT('Interest Rate'!$J$16,'Incremental Repayments'!$I$31,(HLOOKUP($D102,$E$4:$CZ$32,28,FALSE)*'Incremental Repayments'!$I$22)),0),0)</f>
        <v>0</v>
      </c>
      <c r="CG102" s="477">
        <f>IF('Incremental Repayments'!$R$22="Debt",IF(AND(CG$4&gt;=$D102,CG$4&lt;$D102+'Incremental Repayments'!$I$31),-PMT('Interest Rate'!$J$16,'Incremental Repayments'!$I$31,(HLOOKUP($D102,$E$4:$CZ$32,28,FALSE)*'Incremental Repayments'!$I$22)),0),0)</f>
        <v>0</v>
      </c>
      <c r="CH102" s="477">
        <f>IF('Incremental Repayments'!$R$22="Debt",IF(AND(CH$4&gt;=$D102,CH$4&lt;$D102+'Incremental Repayments'!$I$31),-PMT('Interest Rate'!$J$16,'Incremental Repayments'!$I$31,(HLOOKUP($D102,$E$4:$CZ$32,28,FALSE)*'Incremental Repayments'!$I$22)),0),0)</f>
        <v>0</v>
      </c>
      <c r="CI102" s="477">
        <f>IF('Incremental Repayments'!$R$22="Debt",IF(AND(CI$4&gt;=$D102,CI$4&lt;$D102+'Incremental Repayments'!$I$31),-PMT('Interest Rate'!$J$16,'Incremental Repayments'!$I$31,(HLOOKUP($D102,$E$4:$CZ$32,28,FALSE)*'Incremental Repayments'!$I$22)),0),0)</f>
        <v>0</v>
      </c>
      <c r="CJ102" s="477">
        <f>IF('Incremental Repayments'!$R$22="Debt",IF(AND(CJ$4&gt;=$D102,CJ$4&lt;$D102+'Incremental Repayments'!$I$31),-PMT('Interest Rate'!$J$16,'Incremental Repayments'!$I$31,(HLOOKUP($D102,$E$4:$CZ$32,28,FALSE)*'Incremental Repayments'!$I$22)),0),0)</f>
        <v>0</v>
      </c>
      <c r="CK102" s="477">
        <f>IF('Incremental Repayments'!$R$22="Debt",IF(AND(CK$4&gt;=$D102,CK$4&lt;$D102+'Incremental Repayments'!$I$31),-PMT('Interest Rate'!$J$16,'Incremental Repayments'!$I$31,(HLOOKUP($D102,$E$4:$CZ$32,28,FALSE)*'Incremental Repayments'!$I$22)),0),0)</f>
        <v>0</v>
      </c>
      <c r="CL102" s="477">
        <f>IF('Incremental Repayments'!$R$22="Debt",IF(AND(CL$4&gt;=$D102,CL$4&lt;$D102+'Incremental Repayments'!$I$31),-PMT('Interest Rate'!$J$16,'Incremental Repayments'!$I$31,(HLOOKUP($D102,$E$4:$CZ$32,28,FALSE)*'Incremental Repayments'!$I$22)),0),0)</f>
        <v>0</v>
      </c>
      <c r="CM102" s="477">
        <f>IF('Incremental Repayments'!$R$22="Debt",IF(AND(CM$4&gt;=$D102,CM$4&lt;$D102+'Incremental Repayments'!$I$31),-PMT('Interest Rate'!$J$16,'Incremental Repayments'!$I$31,(HLOOKUP($D102,$E$4:$CZ$32,28,FALSE)*'Incremental Repayments'!$I$22)),0),0)</f>
        <v>0</v>
      </c>
      <c r="CN102" s="477">
        <f>IF('Incremental Repayments'!$R$22="Debt",IF(AND(CN$4&gt;=$D102,CN$4&lt;$D102+'Incremental Repayments'!$I$31),-PMT('Interest Rate'!$J$16,'Incremental Repayments'!$I$31,(HLOOKUP($D102,$E$4:$CZ$32,28,FALSE)*'Incremental Repayments'!$I$22)),0),0)</f>
        <v>0</v>
      </c>
      <c r="CO102" s="477">
        <f>IF('Incremental Repayments'!$R$22="Debt",IF(AND(CO$4&gt;=$D102,CO$4&lt;$D102+'Incremental Repayments'!$I$31),-PMT('Interest Rate'!$J$16,'Incremental Repayments'!$I$31,(HLOOKUP($D102,$E$4:$CZ$32,28,FALSE)*'Incremental Repayments'!$I$22)),0),0)</f>
        <v>0</v>
      </c>
      <c r="CP102" s="477">
        <f>IF('Incremental Repayments'!$R$22="Debt",IF(AND(CP$4&gt;=$D102,CP$4&lt;$D102+'Incremental Repayments'!$I$31),-PMT('Interest Rate'!$J$16,'Incremental Repayments'!$I$31,(HLOOKUP($D102,$E$4:$CZ$32,28,FALSE)*'Incremental Repayments'!$I$22)),0),0)</f>
        <v>0</v>
      </c>
      <c r="CQ102" s="477">
        <f>IF('Incremental Repayments'!$R$22="Debt",IF(AND(CQ$4&gt;=$D102,CQ$4&lt;$D102+'Incremental Repayments'!$I$31),-PMT('Interest Rate'!$J$16,'Incremental Repayments'!$I$31,(HLOOKUP($D102,$E$4:$CZ$32,28,FALSE)*'Incremental Repayments'!$I$22)),0),0)</f>
        <v>0</v>
      </c>
      <c r="CR102" s="477">
        <f>IF('Incremental Repayments'!$R$22="Debt",IF(AND(CR$4&gt;=$D102,CR$4&lt;$D102+'Incremental Repayments'!$I$31),-PMT('Interest Rate'!$J$16,'Incremental Repayments'!$I$31,(HLOOKUP($D102,$E$4:$CZ$32,28,FALSE)*'Incremental Repayments'!$I$22)),0),0)</f>
        <v>0</v>
      </c>
      <c r="CS102" s="477">
        <f>IF('Incremental Repayments'!$R$22="Debt",IF(AND(CS$4&gt;=$D102,CS$4&lt;$D102+'Incremental Repayments'!$I$31),-PMT('Interest Rate'!$J$16,'Incremental Repayments'!$I$31,(HLOOKUP($D102,$E$4:$CZ$32,28,FALSE)*'Incremental Repayments'!$I$22)),0),0)</f>
        <v>0</v>
      </c>
      <c r="CT102" s="477">
        <f>IF('Incremental Repayments'!$R$22="Debt",IF(AND(CT$4&gt;=$D102,CT$4&lt;$D102+'Incremental Repayments'!$I$31),-PMT('Interest Rate'!$J$16,'Incremental Repayments'!$I$31,(HLOOKUP($D102,$E$4:$CZ$32,28,FALSE)*'Incremental Repayments'!$I$22)),0),0)</f>
        <v>0</v>
      </c>
      <c r="CU102" s="477">
        <f>IF('Incremental Repayments'!$R$22="Debt",IF(AND(CU$4&gt;=$D102,CU$4&lt;$D102+'Incremental Repayments'!$I$31),-PMT('Interest Rate'!$J$16,'Incremental Repayments'!$I$31,(HLOOKUP($D102,$E$4:$CZ$32,28,FALSE)*'Incremental Repayments'!$I$22)),0),0)</f>
        <v>0</v>
      </c>
      <c r="CV102" s="477">
        <f>IF('Incremental Repayments'!$R$22="Debt",IF(AND(CV$4&gt;=$D102,CV$4&lt;$D102+'Incremental Repayments'!$I$31),-PMT('Interest Rate'!$J$16,'Incremental Repayments'!$I$31,(HLOOKUP($D102,$E$4:$CZ$32,28,FALSE)*'Incremental Repayments'!$I$22)),0),0)</f>
        <v>0</v>
      </c>
      <c r="CW102" s="477">
        <f>IF('Incremental Repayments'!$R$22="Debt",IF(AND(CW$4&gt;=$D102,CW$4&lt;$D102+'Incremental Repayments'!$I$31),-PMT('Interest Rate'!$J$16,'Incremental Repayments'!$I$31,(HLOOKUP($D102,$E$4:$CZ$32,28,FALSE)*'Incremental Repayments'!$I$22)),0),0)</f>
        <v>0</v>
      </c>
      <c r="CX102" s="477">
        <f>IF('Incremental Repayments'!$R$22="Debt",IF(AND(CX$4&gt;=$D102,CX$4&lt;$D102+'Incremental Repayments'!$I$31),-PMT('Interest Rate'!$J$16,'Incremental Repayments'!$I$31,(HLOOKUP($D102,$E$4:$CZ$32,28,FALSE)*'Incremental Repayments'!$I$22)),0),0)</f>
        <v>0</v>
      </c>
      <c r="CY102" s="477">
        <f>IF('Incremental Repayments'!$R$22="Debt",IF(AND(CY$4&gt;=$D102,CY$4&lt;$D102+'Incremental Repayments'!$I$31),-PMT('Interest Rate'!$J$16,'Incremental Repayments'!$I$31,(HLOOKUP($D102,$E$4:$CZ$32,28,FALSE)*'Incremental Repayments'!$I$22)),0),0)</f>
        <v>0</v>
      </c>
      <c r="CZ102" s="477">
        <f>IF('Incremental Repayments'!$R$22="Debt",IF(AND(CZ$4&gt;=$D102,CZ$4&lt;$D102+'Incremental Repayments'!$I$31),-PMT('Interest Rate'!$J$16,'Incremental Repayments'!$I$31,(HLOOKUP($D102,$E$4:$CZ$32,28,FALSE)*'Incremental Repayments'!$I$22)),0),0)</f>
        <v>0</v>
      </c>
    </row>
    <row r="103" spans="2:104" x14ac:dyDescent="0.25">
      <c r="B103" s="480" t="str">
        <f>CONCATENATE("Series ",D103,"A Bonds (at ",'Interest Rate'!$J$16*100,"% Interest)")</f>
        <v>Series 2081A Bonds (at 4.5% Interest)</v>
      </c>
      <c r="C103" s="480"/>
      <c r="D103" s="492">
        <f t="shared" si="494"/>
        <v>2081</v>
      </c>
      <c r="E103" s="477">
        <f>IF('Incremental Repayments'!$R$22="Debt",IF(AND(E$4&gt;=$D103,E$4&lt;$D103+'Incremental Repayments'!$I$31),-PMT('Interest Rate'!$J$16,'Incremental Repayments'!$I$31,(HLOOKUP($D103,$E$4:$CZ$32,28,FALSE)*'Incremental Repayments'!$I$22)),0),0)</f>
        <v>0</v>
      </c>
      <c r="F103" s="477">
        <f>IF('Incremental Repayments'!$R$22="Debt",IF(AND(F$4&gt;=$D103,F$4&lt;$D103+'Incremental Repayments'!$I$31),-PMT('Interest Rate'!$J$16,'Incremental Repayments'!$I$31,(HLOOKUP($D103,$E$4:$CZ$32,28,FALSE)*'Incremental Repayments'!$I$22)),0),0)</f>
        <v>0</v>
      </c>
      <c r="G103" s="477">
        <f>IF('Incremental Repayments'!$R$22="Debt",IF(AND(G$4&gt;=$D103,G$4&lt;$D103+'Incremental Repayments'!$I$31),-PMT('Interest Rate'!$J$16,'Incremental Repayments'!$I$31,(HLOOKUP($D103,$E$4:$CZ$32,28,FALSE)*'Incremental Repayments'!$I$22)),0),0)</f>
        <v>0</v>
      </c>
      <c r="H103" s="477">
        <f>IF('Incremental Repayments'!$R$22="Debt",IF(AND(H$4&gt;=$D103,H$4&lt;$D103+'Incremental Repayments'!$I$31),-PMT('Interest Rate'!$J$16,'Incremental Repayments'!$I$31,(HLOOKUP($D103,$E$4:$CZ$32,28,FALSE)*'Incremental Repayments'!$I$22)),0),0)</f>
        <v>0</v>
      </c>
      <c r="I103" s="477">
        <f>IF('Incremental Repayments'!$R$22="Debt",IF(AND(I$4&gt;=$D103,I$4&lt;$D103+'Incremental Repayments'!$I$31),-PMT('Interest Rate'!$J$16,'Incremental Repayments'!$I$31,(HLOOKUP($D103,$E$4:$CZ$32,28,FALSE)*'Incremental Repayments'!$I$22)),0),0)</f>
        <v>0</v>
      </c>
      <c r="J103" s="477">
        <f>IF('Incremental Repayments'!$R$22="Debt",IF(AND(J$4&gt;=$D103,J$4&lt;$D103+'Incremental Repayments'!$I$31),-PMT('Interest Rate'!$J$16,'Incremental Repayments'!$I$31,(HLOOKUP($D103,$E$4:$CZ$32,28,FALSE)*'Incremental Repayments'!$I$22)),0),0)</f>
        <v>0</v>
      </c>
      <c r="K103" s="477">
        <f>IF('Incremental Repayments'!$R$22="Debt",IF(AND(K$4&gt;=$D103,K$4&lt;$D103+'Incremental Repayments'!$I$31),-PMT('Interest Rate'!$J$16,'Incremental Repayments'!$I$31,(HLOOKUP($D103,$E$4:$CZ$32,28,FALSE)*'Incremental Repayments'!$I$22)),0),0)</f>
        <v>0</v>
      </c>
      <c r="L103" s="477">
        <f>IF('Incremental Repayments'!$R$22="Debt",IF(AND(L$4&gt;=$D103,L$4&lt;$D103+'Incremental Repayments'!$I$31),-PMT('Interest Rate'!$J$16,'Incremental Repayments'!$I$31,(HLOOKUP($D103,$E$4:$CZ$32,28,FALSE)*'Incremental Repayments'!$I$22)),0),0)</f>
        <v>0</v>
      </c>
      <c r="M103" s="477">
        <f>IF('Incremental Repayments'!$R$22="Debt",IF(AND(M$4&gt;=$D103,M$4&lt;$D103+'Incremental Repayments'!$I$31),-PMT('Interest Rate'!$J$16,'Incremental Repayments'!$I$31,(HLOOKUP($D103,$E$4:$CZ$32,28,FALSE)*'Incremental Repayments'!$I$22)),0),0)</f>
        <v>0</v>
      </c>
      <c r="N103" s="477">
        <f>IF('Incremental Repayments'!$R$22="Debt",IF(AND(N$4&gt;=$D103,N$4&lt;$D103+'Incremental Repayments'!$I$31),-PMT('Interest Rate'!$J$16,'Incremental Repayments'!$I$31,(HLOOKUP($D103,$E$4:$CZ$32,28,FALSE)*'Incremental Repayments'!$I$22)),0),0)</f>
        <v>0</v>
      </c>
      <c r="O103" s="477">
        <f>IF('Incremental Repayments'!$R$22="Debt",IF(AND(O$4&gt;=$D103,O$4&lt;$D103+'Incremental Repayments'!$I$31),-PMT('Interest Rate'!$J$16,'Incremental Repayments'!$I$31,(HLOOKUP($D103,$E$4:$CZ$32,28,FALSE)*'Incremental Repayments'!$I$22)),0),0)</f>
        <v>0</v>
      </c>
      <c r="P103" s="477">
        <f>IF('Incremental Repayments'!$R$22="Debt",IF(AND(P$4&gt;=$D103,P$4&lt;$D103+'Incremental Repayments'!$I$31),-PMT('Interest Rate'!$J$16,'Incremental Repayments'!$I$31,(HLOOKUP($D103,$E$4:$CZ$32,28,FALSE)*'Incremental Repayments'!$I$22)),0),0)</f>
        <v>0</v>
      </c>
      <c r="Q103" s="477">
        <f>IF('Incremental Repayments'!$R$22="Debt",IF(AND(Q$4&gt;=$D103,Q$4&lt;$D103+'Incremental Repayments'!$I$31),-PMT('Interest Rate'!$J$16,'Incremental Repayments'!$I$31,(HLOOKUP($D103,$E$4:$CZ$32,28,FALSE)*'Incremental Repayments'!$I$22)),0),0)</f>
        <v>0</v>
      </c>
      <c r="R103" s="477">
        <f>IF('Incremental Repayments'!$R$22="Debt",IF(AND(R$4&gt;=$D103,R$4&lt;$D103+'Incremental Repayments'!$I$31),-PMT('Interest Rate'!$J$16,'Incremental Repayments'!$I$31,(HLOOKUP($D103,$E$4:$CZ$32,28,FALSE)*'Incremental Repayments'!$I$22)),0),0)</f>
        <v>0</v>
      </c>
      <c r="S103" s="477">
        <f>IF('Incremental Repayments'!$R$22="Debt",IF(AND(S$4&gt;=$D103,S$4&lt;$D103+'Incremental Repayments'!$I$31),-PMT('Interest Rate'!$J$16,'Incremental Repayments'!$I$31,(HLOOKUP($D103,$E$4:$CZ$32,28,FALSE)*'Incremental Repayments'!$I$22)),0),0)</f>
        <v>0</v>
      </c>
      <c r="T103" s="477">
        <f>IF('Incremental Repayments'!$R$22="Debt",IF(AND(T$4&gt;=$D103,T$4&lt;$D103+'Incremental Repayments'!$I$31),-PMT('Interest Rate'!$J$16,'Incremental Repayments'!$I$31,(HLOOKUP($D103,$E$4:$CZ$32,28,FALSE)*'Incremental Repayments'!$I$22)),0),0)</f>
        <v>0</v>
      </c>
      <c r="U103" s="477">
        <f>IF('Incremental Repayments'!$R$22="Debt",IF(AND(U$4&gt;=$D103,U$4&lt;$D103+'Incremental Repayments'!$I$31),-PMT('Interest Rate'!$J$16,'Incremental Repayments'!$I$31,(HLOOKUP($D103,$E$4:$CZ$32,28,FALSE)*'Incremental Repayments'!$I$22)),0),0)</f>
        <v>0</v>
      </c>
      <c r="V103" s="477">
        <f>IF('Incremental Repayments'!$R$22="Debt",IF(AND(V$4&gt;=$D103,V$4&lt;$D103+'Incremental Repayments'!$I$31),-PMT('Interest Rate'!$J$16,'Incremental Repayments'!$I$31,(HLOOKUP($D103,$E$4:$CZ$32,28,FALSE)*'Incremental Repayments'!$I$22)),0),0)</f>
        <v>0</v>
      </c>
      <c r="W103" s="477">
        <f>IF('Incremental Repayments'!$R$22="Debt",IF(AND(W$4&gt;=$D103,W$4&lt;$D103+'Incremental Repayments'!$I$31),-PMT('Interest Rate'!$J$16,'Incremental Repayments'!$I$31,(HLOOKUP($D103,$E$4:$CZ$32,28,FALSE)*'Incremental Repayments'!$I$22)),0),0)</f>
        <v>0</v>
      </c>
      <c r="X103" s="477">
        <f>IF('Incremental Repayments'!$R$22="Debt",IF(AND(X$4&gt;=$D103,X$4&lt;$D103+'Incremental Repayments'!$I$31),-PMT('Interest Rate'!$J$16,'Incremental Repayments'!$I$31,(HLOOKUP($D103,$E$4:$CZ$32,28,FALSE)*'Incremental Repayments'!$I$22)),0),0)</f>
        <v>0</v>
      </c>
      <c r="Y103" s="477">
        <f>IF('Incremental Repayments'!$R$22="Debt",IF(AND(Y$4&gt;=$D103,Y$4&lt;$D103+'Incremental Repayments'!$I$31),-PMT('Interest Rate'!$J$16,'Incremental Repayments'!$I$31,(HLOOKUP($D103,$E$4:$CZ$32,28,FALSE)*'Incremental Repayments'!$I$22)),0),0)</f>
        <v>0</v>
      </c>
      <c r="Z103" s="477">
        <f>IF('Incremental Repayments'!$R$22="Debt",IF(AND(Z$4&gt;=$D103,Z$4&lt;$D103+'Incremental Repayments'!$I$31),-PMT('Interest Rate'!$J$16,'Incremental Repayments'!$I$31,(HLOOKUP($D103,$E$4:$CZ$32,28,FALSE)*'Incremental Repayments'!$I$22)),0),0)</f>
        <v>0</v>
      </c>
      <c r="AA103" s="477">
        <f>IF('Incremental Repayments'!$R$22="Debt",IF(AND(AA$4&gt;=$D103,AA$4&lt;$D103+'Incremental Repayments'!$I$31),-PMT('Interest Rate'!$J$16,'Incremental Repayments'!$I$31,(HLOOKUP($D103,$E$4:$CZ$32,28,FALSE)*'Incremental Repayments'!$I$22)),0),0)</f>
        <v>0</v>
      </c>
      <c r="AB103" s="477">
        <f>IF('Incremental Repayments'!$R$22="Debt",IF(AND(AB$4&gt;=$D103,AB$4&lt;$D103+'Incremental Repayments'!$I$31),-PMT('Interest Rate'!$J$16,'Incremental Repayments'!$I$31,(HLOOKUP($D103,$E$4:$CZ$32,28,FALSE)*'Incremental Repayments'!$I$22)),0),0)</f>
        <v>0</v>
      </c>
      <c r="AC103" s="477">
        <f>IF('Incremental Repayments'!$R$22="Debt",IF(AND(AC$4&gt;=$D103,AC$4&lt;$D103+'Incremental Repayments'!$I$31),-PMT('Interest Rate'!$J$16,'Incremental Repayments'!$I$31,(HLOOKUP($D103,$E$4:$CZ$32,28,FALSE)*'Incremental Repayments'!$I$22)),0),0)</f>
        <v>0</v>
      </c>
      <c r="AD103" s="477">
        <f>IF('Incremental Repayments'!$R$22="Debt",IF(AND(AD$4&gt;=$D103,AD$4&lt;$D103+'Incremental Repayments'!$I$31),-PMT('Interest Rate'!$J$16,'Incremental Repayments'!$I$31,(HLOOKUP($D103,$E$4:$CZ$32,28,FALSE)*'Incremental Repayments'!$I$22)),0),0)</f>
        <v>0</v>
      </c>
      <c r="AE103" s="477">
        <f>IF('Incremental Repayments'!$R$22="Debt",IF(AND(AE$4&gt;=$D103,AE$4&lt;$D103+'Incremental Repayments'!$I$31),-PMT('Interest Rate'!$J$16,'Incremental Repayments'!$I$31,(HLOOKUP($D103,$E$4:$CZ$32,28,FALSE)*'Incremental Repayments'!$I$22)),0),0)</f>
        <v>0</v>
      </c>
      <c r="AF103" s="477">
        <f>IF('Incremental Repayments'!$R$22="Debt",IF(AND(AF$4&gt;=$D103,AF$4&lt;$D103+'Incremental Repayments'!$I$31),-PMT('Interest Rate'!$J$16,'Incremental Repayments'!$I$31,(HLOOKUP($D103,$E$4:$CZ$32,28,FALSE)*'Incremental Repayments'!$I$22)),0),0)</f>
        <v>0</v>
      </c>
      <c r="AG103" s="477">
        <f>IF('Incremental Repayments'!$R$22="Debt",IF(AND(AG$4&gt;=$D103,AG$4&lt;$D103+'Incremental Repayments'!$I$31),-PMT('Interest Rate'!$J$16,'Incremental Repayments'!$I$31,(HLOOKUP($D103,$E$4:$CZ$32,28,FALSE)*'Incremental Repayments'!$I$22)),0),0)</f>
        <v>0</v>
      </c>
      <c r="AH103" s="477">
        <f>IF('Incremental Repayments'!$R$22="Debt",IF(AND(AH$4&gt;=$D103,AH$4&lt;$D103+'Incremental Repayments'!$I$31),-PMT('Interest Rate'!$J$16,'Incremental Repayments'!$I$31,(HLOOKUP($D103,$E$4:$CZ$32,28,FALSE)*'Incremental Repayments'!$I$22)),0),0)</f>
        <v>0</v>
      </c>
      <c r="AI103" s="477">
        <f>IF('Incremental Repayments'!$R$22="Debt",IF(AND(AI$4&gt;=$D103,AI$4&lt;$D103+'Incremental Repayments'!$I$31),-PMT('Interest Rate'!$J$16,'Incremental Repayments'!$I$31,(HLOOKUP($D103,$E$4:$CZ$32,28,FALSE)*'Incremental Repayments'!$I$22)),0),0)</f>
        <v>0</v>
      </c>
      <c r="AJ103" s="477">
        <f>IF('Incremental Repayments'!$R$22="Debt",IF(AND(AJ$4&gt;=$D103,AJ$4&lt;$D103+'Incremental Repayments'!$I$31),-PMT('Interest Rate'!$J$16,'Incremental Repayments'!$I$31,(HLOOKUP($D103,$E$4:$CZ$32,28,FALSE)*'Incremental Repayments'!$I$22)),0),0)</f>
        <v>0</v>
      </c>
      <c r="AK103" s="477">
        <f>IF('Incremental Repayments'!$R$22="Debt",IF(AND(AK$4&gt;=$D103,AK$4&lt;$D103+'Incremental Repayments'!$I$31),-PMT('Interest Rate'!$J$16,'Incremental Repayments'!$I$31,(HLOOKUP($D103,$E$4:$CZ$32,28,FALSE)*'Incremental Repayments'!$I$22)),0),0)</f>
        <v>0</v>
      </c>
      <c r="AL103" s="477">
        <f>IF('Incremental Repayments'!$R$22="Debt",IF(AND(AL$4&gt;=$D103,AL$4&lt;$D103+'Incremental Repayments'!$I$31),-PMT('Interest Rate'!$J$16,'Incremental Repayments'!$I$31,(HLOOKUP($D103,$E$4:$CZ$32,28,FALSE)*'Incremental Repayments'!$I$22)),0),0)</f>
        <v>0</v>
      </c>
      <c r="AM103" s="477">
        <f>IF('Incremental Repayments'!$R$22="Debt",IF(AND(AM$4&gt;=$D103,AM$4&lt;$D103+'Incremental Repayments'!$I$31),-PMT('Interest Rate'!$J$16,'Incremental Repayments'!$I$31,(HLOOKUP($D103,$E$4:$CZ$32,28,FALSE)*'Incremental Repayments'!$I$22)),0),0)</f>
        <v>0</v>
      </c>
      <c r="AN103" s="477">
        <f>IF('Incremental Repayments'!$R$22="Debt",IF(AND(AN$4&gt;=$D103,AN$4&lt;$D103+'Incremental Repayments'!$I$31),-PMT('Interest Rate'!$J$16,'Incremental Repayments'!$I$31,(HLOOKUP($D103,$E$4:$CZ$32,28,FALSE)*'Incremental Repayments'!$I$22)),0),0)</f>
        <v>0</v>
      </c>
      <c r="AO103" s="477">
        <f>IF('Incremental Repayments'!$R$22="Debt",IF(AND(AO$4&gt;=$D103,AO$4&lt;$D103+'Incremental Repayments'!$I$31),-PMT('Interest Rate'!$J$16,'Incremental Repayments'!$I$31,(HLOOKUP($D103,$E$4:$CZ$32,28,FALSE)*'Incremental Repayments'!$I$22)),0),0)</f>
        <v>0</v>
      </c>
      <c r="AP103" s="477">
        <f>IF('Incremental Repayments'!$R$22="Debt",IF(AND(AP$4&gt;=$D103,AP$4&lt;$D103+'Incremental Repayments'!$I$31),-PMT('Interest Rate'!$J$16,'Incremental Repayments'!$I$31,(HLOOKUP($D103,$E$4:$CZ$32,28,FALSE)*'Incremental Repayments'!$I$22)),0),0)</f>
        <v>0</v>
      </c>
      <c r="AQ103" s="477">
        <f>IF('Incremental Repayments'!$R$22="Debt",IF(AND(AQ$4&gt;=$D103,AQ$4&lt;$D103+'Incremental Repayments'!$I$31),-PMT('Interest Rate'!$J$16,'Incremental Repayments'!$I$31,(HLOOKUP($D103,$E$4:$CZ$32,28,FALSE)*'Incremental Repayments'!$I$22)),0),0)</f>
        <v>0</v>
      </c>
      <c r="AR103" s="477">
        <f>IF('Incremental Repayments'!$R$22="Debt",IF(AND(AR$4&gt;=$D103,AR$4&lt;$D103+'Incremental Repayments'!$I$31),-PMT('Interest Rate'!$J$16,'Incremental Repayments'!$I$31,(HLOOKUP($D103,$E$4:$CZ$32,28,FALSE)*'Incremental Repayments'!$I$22)),0),0)</f>
        <v>0</v>
      </c>
      <c r="AS103" s="477">
        <f>IF('Incremental Repayments'!$R$22="Debt",IF(AND(AS$4&gt;=$D103,AS$4&lt;$D103+'Incremental Repayments'!$I$31),-PMT('Interest Rate'!$J$16,'Incremental Repayments'!$I$31,(HLOOKUP($D103,$E$4:$CZ$32,28,FALSE)*'Incremental Repayments'!$I$22)),0),0)</f>
        <v>0</v>
      </c>
      <c r="AT103" s="477">
        <f>IF('Incremental Repayments'!$R$22="Debt",IF(AND(AT$4&gt;=$D103,AT$4&lt;$D103+'Incremental Repayments'!$I$31),-PMT('Interest Rate'!$J$16,'Incremental Repayments'!$I$31,(HLOOKUP($D103,$E$4:$CZ$32,28,FALSE)*'Incremental Repayments'!$I$22)),0),0)</f>
        <v>0</v>
      </c>
      <c r="AU103" s="477">
        <f>IF('Incremental Repayments'!$R$22="Debt",IF(AND(AU$4&gt;=$D103,AU$4&lt;$D103+'Incremental Repayments'!$I$31),-PMT('Interest Rate'!$J$16,'Incremental Repayments'!$I$31,(HLOOKUP($D103,$E$4:$CZ$32,28,FALSE)*'Incremental Repayments'!$I$22)),0),0)</f>
        <v>0</v>
      </c>
      <c r="AV103" s="477">
        <f>IF('Incremental Repayments'!$R$22="Debt",IF(AND(AV$4&gt;=$D103,AV$4&lt;$D103+'Incremental Repayments'!$I$31),-PMT('Interest Rate'!$J$16,'Incremental Repayments'!$I$31,(HLOOKUP($D103,$E$4:$CZ$32,28,FALSE)*'Incremental Repayments'!$I$22)),0),0)</f>
        <v>0</v>
      </c>
      <c r="AW103" s="477">
        <f>IF('Incremental Repayments'!$R$22="Debt",IF(AND(AW$4&gt;=$D103,AW$4&lt;$D103+'Incremental Repayments'!$I$31),-PMT('Interest Rate'!$J$16,'Incremental Repayments'!$I$31,(HLOOKUP($D103,$E$4:$CZ$32,28,FALSE)*'Incremental Repayments'!$I$22)),0),0)</f>
        <v>0</v>
      </c>
      <c r="AX103" s="477">
        <f>IF('Incremental Repayments'!$R$22="Debt",IF(AND(AX$4&gt;=$D103,AX$4&lt;$D103+'Incremental Repayments'!$I$31),-PMT('Interest Rate'!$J$16,'Incremental Repayments'!$I$31,(HLOOKUP($D103,$E$4:$CZ$32,28,FALSE)*'Incremental Repayments'!$I$22)),0),0)</f>
        <v>0</v>
      </c>
      <c r="AY103" s="477">
        <f>IF('Incremental Repayments'!$R$22="Debt",IF(AND(AY$4&gt;=$D103,AY$4&lt;$D103+'Incremental Repayments'!$I$31),-PMT('Interest Rate'!$J$16,'Incremental Repayments'!$I$31,(HLOOKUP($D103,$E$4:$CZ$32,28,FALSE)*'Incremental Repayments'!$I$22)),0),0)</f>
        <v>0</v>
      </c>
      <c r="AZ103" s="477">
        <f>IF('Incremental Repayments'!$R$22="Debt",IF(AND(AZ$4&gt;=$D103,AZ$4&lt;$D103+'Incremental Repayments'!$I$31),-PMT('Interest Rate'!$J$16,'Incremental Repayments'!$I$31,(HLOOKUP($D103,$E$4:$CZ$32,28,FALSE)*'Incremental Repayments'!$I$22)),0),0)</f>
        <v>0</v>
      </c>
      <c r="BA103" s="477">
        <f>IF('Incremental Repayments'!$R$22="Debt",IF(AND(BA$4&gt;=$D103,BA$4&lt;$D103+'Incremental Repayments'!$I$31),-PMT('Interest Rate'!$J$16,'Incremental Repayments'!$I$31,(HLOOKUP($D103,$E$4:$CZ$32,28,FALSE)*'Incremental Repayments'!$I$22)),0),0)</f>
        <v>0</v>
      </c>
      <c r="BB103" s="477">
        <f>IF('Incremental Repayments'!$R$22="Debt",IF(AND(BB$4&gt;=$D103,BB$4&lt;$D103+'Incremental Repayments'!$I$31),-PMT('Interest Rate'!$J$16,'Incremental Repayments'!$I$31,(HLOOKUP($D103,$E$4:$CZ$32,28,FALSE)*'Incremental Repayments'!$I$22)),0),0)</f>
        <v>0</v>
      </c>
      <c r="BC103" s="477">
        <f>IF('Incremental Repayments'!$R$22="Debt",IF(AND(BC$4&gt;=$D103,BC$4&lt;$D103+'Incremental Repayments'!$I$31),-PMT('Interest Rate'!$J$16,'Incremental Repayments'!$I$31,(HLOOKUP($D103,$E$4:$CZ$32,28,FALSE)*'Incremental Repayments'!$I$22)),0),0)</f>
        <v>0</v>
      </c>
      <c r="BD103" s="477">
        <f>IF('Incremental Repayments'!$R$22="Debt",IF(AND(BD$4&gt;=$D103,BD$4&lt;$D103+'Incremental Repayments'!$I$31),-PMT('Interest Rate'!$J$16,'Incremental Repayments'!$I$31,(HLOOKUP($D103,$E$4:$CZ$32,28,FALSE)*'Incremental Repayments'!$I$22)),0),0)</f>
        <v>0</v>
      </c>
      <c r="BE103" s="477">
        <f>IF('Incremental Repayments'!$R$22="Debt",IF(AND(BE$4&gt;=$D103,BE$4&lt;$D103+'Incremental Repayments'!$I$31),-PMT('Interest Rate'!$J$16,'Incremental Repayments'!$I$31,(HLOOKUP($D103,$E$4:$CZ$32,28,FALSE)*'Incremental Repayments'!$I$22)),0),0)</f>
        <v>0</v>
      </c>
      <c r="BF103" s="477">
        <f>IF('Incremental Repayments'!$R$22="Debt",IF(AND(BF$4&gt;=$D103,BF$4&lt;$D103+'Incremental Repayments'!$I$31),-PMT('Interest Rate'!$J$16,'Incremental Repayments'!$I$31,(HLOOKUP($D103,$E$4:$CZ$32,28,FALSE)*'Incremental Repayments'!$I$22)),0),0)</f>
        <v>0</v>
      </c>
      <c r="BG103" s="477">
        <f>IF('Incremental Repayments'!$R$22="Debt",IF(AND(BG$4&gt;=$D103,BG$4&lt;$D103+'Incremental Repayments'!$I$31),-PMT('Interest Rate'!$J$16,'Incremental Repayments'!$I$31,(HLOOKUP($D103,$E$4:$CZ$32,28,FALSE)*'Incremental Repayments'!$I$22)),0),0)</f>
        <v>0</v>
      </c>
      <c r="BH103" s="477">
        <f>IF('Incremental Repayments'!$R$22="Debt",IF(AND(BH$4&gt;=$D103,BH$4&lt;$D103+'Incremental Repayments'!$I$31),-PMT('Interest Rate'!$J$16,'Incremental Repayments'!$I$31,(HLOOKUP($D103,$E$4:$CZ$32,28,FALSE)*'Incremental Repayments'!$I$22)),0),0)</f>
        <v>0</v>
      </c>
      <c r="BI103" s="477">
        <f>IF('Incremental Repayments'!$R$22="Debt",IF(AND(BI$4&gt;=$D103,BI$4&lt;$D103+'Incremental Repayments'!$I$31),-PMT('Interest Rate'!$J$16,'Incremental Repayments'!$I$31,(HLOOKUP($D103,$E$4:$CZ$32,28,FALSE)*'Incremental Repayments'!$I$22)),0),0)</f>
        <v>0</v>
      </c>
      <c r="BJ103" s="477">
        <f>IF('Incremental Repayments'!$R$22="Debt",IF(AND(BJ$4&gt;=$D103,BJ$4&lt;$D103+'Incremental Repayments'!$I$31),-PMT('Interest Rate'!$J$16,'Incremental Repayments'!$I$31,(HLOOKUP($D103,$E$4:$CZ$32,28,FALSE)*'Incremental Repayments'!$I$22)),0),0)</f>
        <v>0</v>
      </c>
      <c r="BK103" s="477">
        <f>IF('Incremental Repayments'!$R$22="Debt",IF(AND(BK$4&gt;=$D103,BK$4&lt;$D103+'Incremental Repayments'!$I$31),-PMT('Interest Rate'!$J$16,'Incremental Repayments'!$I$31,(HLOOKUP($D103,$E$4:$CZ$32,28,FALSE)*'Incremental Repayments'!$I$22)),0),0)</f>
        <v>0</v>
      </c>
      <c r="BL103" s="477">
        <f>IF('Incremental Repayments'!$R$22="Debt",IF(AND(BL$4&gt;=$D103,BL$4&lt;$D103+'Incremental Repayments'!$I$31),-PMT('Interest Rate'!$J$16,'Incremental Repayments'!$I$31,(HLOOKUP($D103,$E$4:$CZ$32,28,FALSE)*'Incremental Repayments'!$I$22)),0),0)</f>
        <v>0</v>
      </c>
      <c r="BM103" s="477">
        <f>IF('Incremental Repayments'!$R$22="Debt",IF(AND(BM$4&gt;=$D103,BM$4&lt;$D103+'Incremental Repayments'!$I$31),-PMT('Interest Rate'!$J$16,'Incremental Repayments'!$I$31,(HLOOKUP($D103,$E$4:$CZ$32,28,FALSE)*'Incremental Repayments'!$I$22)),0),0)</f>
        <v>0</v>
      </c>
      <c r="BN103" s="477">
        <f>IF('Incremental Repayments'!$R$22="Debt",IF(AND(BN$4&gt;=$D103,BN$4&lt;$D103+'Incremental Repayments'!$I$31),-PMT('Interest Rate'!$J$16,'Incremental Repayments'!$I$31,(HLOOKUP($D103,$E$4:$CZ$32,28,FALSE)*'Incremental Repayments'!$I$22)),0),0)</f>
        <v>0</v>
      </c>
      <c r="BO103" s="477">
        <f>IF('Incremental Repayments'!$R$22="Debt",IF(AND(BO$4&gt;=$D103,BO$4&lt;$D103+'Incremental Repayments'!$I$31),-PMT('Interest Rate'!$J$16,'Incremental Repayments'!$I$31,(HLOOKUP($D103,$E$4:$CZ$32,28,FALSE)*'Incremental Repayments'!$I$22)),0),0)</f>
        <v>0</v>
      </c>
      <c r="BP103" s="477">
        <f>IF('Incremental Repayments'!$R$22="Debt",IF(AND(BP$4&gt;=$D103,BP$4&lt;$D103+'Incremental Repayments'!$I$31),-PMT('Interest Rate'!$J$16,'Incremental Repayments'!$I$31,(HLOOKUP($D103,$E$4:$CZ$32,28,FALSE)*'Incremental Repayments'!$I$22)),0),0)</f>
        <v>0</v>
      </c>
      <c r="BQ103" s="477">
        <f>IF('Incremental Repayments'!$R$22="Debt",IF(AND(BQ$4&gt;=$D103,BQ$4&lt;$D103+'Incremental Repayments'!$I$31),-PMT('Interest Rate'!$J$16,'Incremental Repayments'!$I$31,(HLOOKUP($D103,$E$4:$CZ$32,28,FALSE)*'Incremental Repayments'!$I$22)),0),0)</f>
        <v>0</v>
      </c>
      <c r="BR103" s="477">
        <f>IF('Incremental Repayments'!$R$22="Debt",IF(AND(BR$4&gt;=$D103,BR$4&lt;$D103+'Incremental Repayments'!$I$31),-PMT('Interest Rate'!$J$16,'Incremental Repayments'!$I$31,(HLOOKUP($D103,$E$4:$CZ$32,28,FALSE)*'Incremental Repayments'!$I$22)),0),0)</f>
        <v>0</v>
      </c>
      <c r="BS103" s="477">
        <f>IF('Incremental Repayments'!$R$22="Debt",IF(AND(BS$4&gt;=$D103,BS$4&lt;$D103+'Incremental Repayments'!$I$31),-PMT('Interest Rate'!$J$16,'Incremental Repayments'!$I$31,(HLOOKUP($D103,$E$4:$CZ$32,28,FALSE)*'Incremental Repayments'!$I$22)),0),0)</f>
        <v>0</v>
      </c>
      <c r="BT103" s="477">
        <f>IF('Incremental Repayments'!$R$22="Debt",IF(AND(BT$4&gt;=$D103,BT$4&lt;$D103+'Incremental Repayments'!$I$31),-PMT('Interest Rate'!$J$16,'Incremental Repayments'!$I$31,(HLOOKUP($D103,$E$4:$CZ$32,28,FALSE)*'Incremental Repayments'!$I$22)),0),0)</f>
        <v>0</v>
      </c>
      <c r="BU103" s="477">
        <f>IF('Incremental Repayments'!$R$22="Debt",IF(AND(BU$4&gt;=$D103,BU$4&lt;$D103+'Incremental Repayments'!$I$31),-PMT('Interest Rate'!$J$16,'Incremental Repayments'!$I$31,(HLOOKUP($D103,$E$4:$CZ$32,28,FALSE)*'Incremental Repayments'!$I$22)),0),0)</f>
        <v>0</v>
      </c>
      <c r="BV103" s="477">
        <f>IF('Incremental Repayments'!$R$22="Debt",IF(AND(BV$4&gt;=$D103,BV$4&lt;$D103+'Incremental Repayments'!$I$31),-PMT('Interest Rate'!$J$16,'Incremental Repayments'!$I$31,(HLOOKUP($D103,$E$4:$CZ$32,28,FALSE)*'Incremental Repayments'!$I$22)),0),0)</f>
        <v>0</v>
      </c>
      <c r="BW103" s="477">
        <f>IF('Incremental Repayments'!$R$22="Debt",IF(AND(BW$4&gt;=$D103,BW$4&lt;$D103+'Incremental Repayments'!$I$31),-PMT('Interest Rate'!$J$16,'Incremental Repayments'!$I$31,(HLOOKUP($D103,$E$4:$CZ$32,28,FALSE)*'Incremental Repayments'!$I$22)),0),0)</f>
        <v>0</v>
      </c>
      <c r="BX103" s="477">
        <f>IF('Incremental Repayments'!$R$22="Debt",IF(AND(BX$4&gt;=$D103,BX$4&lt;$D103+'Incremental Repayments'!$I$31),-PMT('Interest Rate'!$J$16,'Incremental Repayments'!$I$31,(HLOOKUP($D103,$E$4:$CZ$32,28,FALSE)*'Incremental Repayments'!$I$22)),0),0)</f>
        <v>0</v>
      </c>
      <c r="BY103" s="477">
        <f>IF('Incremental Repayments'!$R$22="Debt",IF(AND(BY$4&gt;=$D103,BY$4&lt;$D103+'Incremental Repayments'!$I$31),-PMT('Interest Rate'!$J$16,'Incremental Repayments'!$I$31,(HLOOKUP($D103,$E$4:$CZ$32,28,FALSE)*'Incremental Repayments'!$I$22)),0),0)</f>
        <v>0</v>
      </c>
      <c r="BZ103" s="477">
        <f>IF('Incremental Repayments'!$R$22="Debt",IF(AND(BZ$4&gt;=$D103,BZ$4&lt;$D103+'Incremental Repayments'!$I$31),-PMT('Interest Rate'!$J$16,'Incremental Repayments'!$I$31,(HLOOKUP($D103,$E$4:$CZ$32,28,FALSE)*'Incremental Repayments'!$I$22)),0),0)</f>
        <v>0</v>
      </c>
      <c r="CA103" s="477">
        <f>IF('Incremental Repayments'!$R$22="Debt",IF(AND(CA$4&gt;=$D103,CA$4&lt;$D103+'Incremental Repayments'!$I$31),-PMT('Interest Rate'!$J$16,'Incremental Repayments'!$I$31,(HLOOKUP($D103,$E$4:$CZ$32,28,FALSE)*'Incremental Repayments'!$I$22)),0),0)</f>
        <v>0</v>
      </c>
      <c r="CB103" s="477">
        <f>IF('Incremental Repayments'!$R$22="Debt",IF(AND(CB$4&gt;=$D103,CB$4&lt;$D103+'Incremental Repayments'!$I$31),-PMT('Interest Rate'!$J$16,'Incremental Repayments'!$I$31,(HLOOKUP($D103,$E$4:$CZ$32,28,FALSE)*'Incremental Repayments'!$I$22)),0),0)</f>
        <v>0</v>
      </c>
      <c r="CC103" s="477">
        <f>IF('Incremental Repayments'!$R$22="Debt",IF(AND(CC$4&gt;=$D103,CC$4&lt;$D103+'Incremental Repayments'!$I$31),-PMT('Interest Rate'!$J$16,'Incremental Repayments'!$I$31,(HLOOKUP($D103,$E$4:$CZ$32,28,FALSE)*'Incremental Repayments'!$I$22)),0),0)</f>
        <v>0</v>
      </c>
      <c r="CD103" s="477">
        <f>IF('Incremental Repayments'!$R$22="Debt",IF(AND(CD$4&gt;=$D103,CD$4&lt;$D103+'Incremental Repayments'!$I$31),-PMT('Interest Rate'!$J$16,'Incremental Repayments'!$I$31,(HLOOKUP($D103,$E$4:$CZ$32,28,FALSE)*'Incremental Repayments'!$I$22)),0),0)</f>
        <v>0</v>
      </c>
      <c r="CE103" s="477">
        <f>IF('Incremental Repayments'!$R$22="Debt",IF(AND(CE$4&gt;=$D103,CE$4&lt;$D103+'Incremental Repayments'!$I$31),-PMT('Interest Rate'!$J$16,'Incremental Repayments'!$I$31,(HLOOKUP($D103,$E$4:$CZ$32,28,FALSE)*'Incremental Repayments'!$I$22)),0),0)</f>
        <v>0</v>
      </c>
      <c r="CF103" s="477">
        <f>IF('Incremental Repayments'!$R$22="Debt",IF(AND(CF$4&gt;=$D103,CF$4&lt;$D103+'Incremental Repayments'!$I$31),-PMT('Interest Rate'!$J$16,'Incremental Repayments'!$I$31,(HLOOKUP($D103,$E$4:$CZ$32,28,FALSE)*'Incremental Repayments'!$I$22)),0),0)</f>
        <v>0</v>
      </c>
      <c r="CG103" s="477">
        <f>IF('Incremental Repayments'!$R$22="Debt",IF(AND(CG$4&gt;=$D103,CG$4&lt;$D103+'Incremental Repayments'!$I$31),-PMT('Interest Rate'!$J$16,'Incremental Repayments'!$I$31,(HLOOKUP($D103,$E$4:$CZ$32,28,FALSE)*'Incremental Repayments'!$I$22)),0),0)</f>
        <v>0</v>
      </c>
      <c r="CH103" s="477">
        <f>IF('Incremental Repayments'!$R$22="Debt",IF(AND(CH$4&gt;=$D103,CH$4&lt;$D103+'Incremental Repayments'!$I$31),-PMT('Interest Rate'!$J$16,'Incremental Repayments'!$I$31,(HLOOKUP($D103,$E$4:$CZ$32,28,FALSE)*'Incremental Repayments'!$I$22)),0),0)</f>
        <v>0</v>
      </c>
      <c r="CI103" s="477">
        <f>IF('Incremental Repayments'!$R$22="Debt",IF(AND(CI$4&gt;=$D103,CI$4&lt;$D103+'Incremental Repayments'!$I$31),-PMT('Interest Rate'!$J$16,'Incremental Repayments'!$I$31,(HLOOKUP($D103,$E$4:$CZ$32,28,FALSE)*'Incremental Repayments'!$I$22)),0),0)</f>
        <v>0</v>
      </c>
      <c r="CJ103" s="477">
        <f>IF('Incremental Repayments'!$R$22="Debt",IF(AND(CJ$4&gt;=$D103,CJ$4&lt;$D103+'Incremental Repayments'!$I$31),-PMT('Interest Rate'!$J$16,'Incremental Repayments'!$I$31,(HLOOKUP($D103,$E$4:$CZ$32,28,FALSE)*'Incremental Repayments'!$I$22)),0),0)</f>
        <v>0</v>
      </c>
      <c r="CK103" s="477">
        <f>IF('Incremental Repayments'!$R$22="Debt",IF(AND(CK$4&gt;=$D103,CK$4&lt;$D103+'Incremental Repayments'!$I$31),-PMT('Interest Rate'!$J$16,'Incremental Repayments'!$I$31,(HLOOKUP($D103,$E$4:$CZ$32,28,FALSE)*'Incremental Repayments'!$I$22)),0),0)</f>
        <v>0</v>
      </c>
      <c r="CL103" s="477">
        <f>IF('Incremental Repayments'!$R$22="Debt",IF(AND(CL$4&gt;=$D103,CL$4&lt;$D103+'Incremental Repayments'!$I$31),-PMT('Interest Rate'!$J$16,'Incremental Repayments'!$I$31,(HLOOKUP($D103,$E$4:$CZ$32,28,FALSE)*'Incremental Repayments'!$I$22)),0),0)</f>
        <v>0</v>
      </c>
      <c r="CM103" s="477">
        <f>IF('Incremental Repayments'!$R$22="Debt",IF(AND(CM$4&gt;=$D103,CM$4&lt;$D103+'Incremental Repayments'!$I$31),-PMT('Interest Rate'!$J$16,'Incremental Repayments'!$I$31,(HLOOKUP($D103,$E$4:$CZ$32,28,FALSE)*'Incremental Repayments'!$I$22)),0),0)</f>
        <v>0</v>
      </c>
      <c r="CN103" s="477">
        <f>IF('Incremental Repayments'!$R$22="Debt",IF(AND(CN$4&gt;=$D103,CN$4&lt;$D103+'Incremental Repayments'!$I$31),-PMT('Interest Rate'!$J$16,'Incremental Repayments'!$I$31,(HLOOKUP($D103,$E$4:$CZ$32,28,FALSE)*'Incremental Repayments'!$I$22)),0),0)</f>
        <v>0</v>
      </c>
      <c r="CO103" s="477">
        <f>IF('Incremental Repayments'!$R$22="Debt",IF(AND(CO$4&gt;=$D103,CO$4&lt;$D103+'Incremental Repayments'!$I$31),-PMT('Interest Rate'!$J$16,'Incremental Repayments'!$I$31,(HLOOKUP($D103,$E$4:$CZ$32,28,FALSE)*'Incremental Repayments'!$I$22)),0),0)</f>
        <v>0</v>
      </c>
      <c r="CP103" s="477">
        <f>IF('Incremental Repayments'!$R$22="Debt",IF(AND(CP$4&gt;=$D103,CP$4&lt;$D103+'Incremental Repayments'!$I$31),-PMT('Interest Rate'!$J$16,'Incremental Repayments'!$I$31,(HLOOKUP($D103,$E$4:$CZ$32,28,FALSE)*'Incremental Repayments'!$I$22)),0),0)</f>
        <v>0</v>
      </c>
      <c r="CQ103" s="477">
        <f>IF('Incremental Repayments'!$R$22="Debt",IF(AND(CQ$4&gt;=$D103,CQ$4&lt;$D103+'Incremental Repayments'!$I$31),-PMT('Interest Rate'!$J$16,'Incremental Repayments'!$I$31,(HLOOKUP($D103,$E$4:$CZ$32,28,FALSE)*'Incremental Repayments'!$I$22)),0),0)</f>
        <v>0</v>
      </c>
      <c r="CR103" s="477">
        <f>IF('Incremental Repayments'!$R$22="Debt",IF(AND(CR$4&gt;=$D103,CR$4&lt;$D103+'Incremental Repayments'!$I$31),-PMT('Interest Rate'!$J$16,'Incremental Repayments'!$I$31,(HLOOKUP($D103,$E$4:$CZ$32,28,FALSE)*'Incremental Repayments'!$I$22)),0),0)</f>
        <v>0</v>
      </c>
      <c r="CS103" s="477">
        <f>IF('Incremental Repayments'!$R$22="Debt",IF(AND(CS$4&gt;=$D103,CS$4&lt;$D103+'Incremental Repayments'!$I$31),-PMT('Interest Rate'!$J$16,'Incremental Repayments'!$I$31,(HLOOKUP($D103,$E$4:$CZ$32,28,FALSE)*'Incremental Repayments'!$I$22)),0),0)</f>
        <v>0</v>
      </c>
      <c r="CT103" s="477">
        <f>IF('Incremental Repayments'!$R$22="Debt",IF(AND(CT$4&gt;=$D103,CT$4&lt;$D103+'Incremental Repayments'!$I$31),-PMT('Interest Rate'!$J$16,'Incremental Repayments'!$I$31,(HLOOKUP($D103,$E$4:$CZ$32,28,FALSE)*'Incremental Repayments'!$I$22)),0),0)</f>
        <v>0</v>
      </c>
      <c r="CU103" s="477">
        <f>IF('Incremental Repayments'!$R$22="Debt",IF(AND(CU$4&gt;=$D103,CU$4&lt;$D103+'Incremental Repayments'!$I$31),-PMT('Interest Rate'!$J$16,'Incremental Repayments'!$I$31,(HLOOKUP($D103,$E$4:$CZ$32,28,FALSE)*'Incremental Repayments'!$I$22)),0),0)</f>
        <v>0</v>
      </c>
      <c r="CV103" s="477">
        <f>IF('Incremental Repayments'!$R$22="Debt",IF(AND(CV$4&gt;=$D103,CV$4&lt;$D103+'Incremental Repayments'!$I$31),-PMT('Interest Rate'!$J$16,'Incremental Repayments'!$I$31,(HLOOKUP($D103,$E$4:$CZ$32,28,FALSE)*'Incremental Repayments'!$I$22)),0),0)</f>
        <v>0</v>
      </c>
      <c r="CW103" s="477">
        <f>IF('Incremental Repayments'!$R$22="Debt",IF(AND(CW$4&gt;=$D103,CW$4&lt;$D103+'Incremental Repayments'!$I$31),-PMT('Interest Rate'!$J$16,'Incremental Repayments'!$I$31,(HLOOKUP($D103,$E$4:$CZ$32,28,FALSE)*'Incremental Repayments'!$I$22)),0),0)</f>
        <v>0</v>
      </c>
      <c r="CX103" s="477">
        <f>IF('Incremental Repayments'!$R$22="Debt",IF(AND(CX$4&gt;=$D103,CX$4&lt;$D103+'Incremental Repayments'!$I$31),-PMT('Interest Rate'!$J$16,'Incremental Repayments'!$I$31,(HLOOKUP($D103,$E$4:$CZ$32,28,FALSE)*'Incremental Repayments'!$I$22)),0),0)</f>
        <v>0</v>
      </c>
      <c r="CY103" s="477">
        <f>IF('Incremental Repayments'!$R$22="Debt",IF(AND(CY$4&gt;=$D103,CY$4&lt;$D103+'Incremental Repayments'!$I$31),-PMT('Interest Rate'!$J$16,'Incremental Repayments'!$I$31,(HLOOKUP($D103,$E$4:$CZ$32,28,FALSE)*'Incremental Repayments'!$I$22)),0),0)</f>
        <v>0</v>
      </c>
      <c r="CZ103" s="477">
        <f>IF('Incremental Repayments'!$R$22="Debt",IF(AND(CZ$4&gt;=$D103,CZ$4&lt;$D103+'Incremental Repayments'!$I$31),-PMT('Interest Rate'!$J$16,'Incremental Repayments'!$I$31,(HLOOKUP($D103,$E$4:$CZ$32,28,FALSE)*'Incremental Repayments'!$I$22)),0),0)</f>
        <v>0</v>
      </c>
    </row>
    <row r="104" spans="2:104" x14ac:dyDescent="0.25">
      <c r="B104" s="480" t="str">
        <f>CONCATENATE("Series ",D104,"A Bonds (at ",'Interest Rate'!$J$16*100,"% Interest)")</f>
        <v>Series 2082A Bonds (at 4.5% Interest)</v>
      </c>
      <c r="C104" s="480"/>
      <c r="D104" s="492">
        <f t="shared" ref="D104:D110" si="495">D103+1</f>
        <v>2082</v>
      </c>
      <c r="E104" s="477">
        <f>IF('Incremental Repayments'!$R$22="Debt",IF(AND(E$4&gt;=$D104,E$4&lt;$D104+'Incremental Repayments'!$I$31),-PMT('Interest Rate'!$J$16,'Incremental Repayments'!$I$31,(HLOOKUP($D104,$E$4:$CZ$32,28,FALSE)*'Incremental Repayments'!$I$22)),0),0)</f>
        <v>0</v>
      </c>
      <c r="F104" s="477">
        <f>IF('Incremental Repayments'!$R$22="Debt",IF(AND(F$4&gt;=$D104,F$4&lt;$D104+'Incremental Repayments'!$I$31),-PMT('Interest Rate'!$J$16,'Incremental Repayments'!$I$31,(HLOOKUP($D104,$E$4:$CZ$32,28,FALSE)*'Incremental Repayments'!$I$22)),0),0)</f>
        <v>0</v>
      </c>
      <c r="G104" s="477">
        <f>IF('Incremental Repayments'!$R$22="Debt",IF(AND(G$4&gt;=$D104,G$4&lt;$D104+'Incremental Repayments'!$I$31),-PMT('Interest Rate'!$J$16,'Incremental Repayments'!$I$31,(HLOOKUP($D104,$E$4:$CZ$32,28,FALSE)*'Incremental Repayments'!$I$22)),0),0)</f>
        <v>0</v>
      </c>
      <c r="H104" s="477">
        <f>IF('Incremental Repayments'!$R$22="Debt",IF(AND(H$4&gt;=$D104,H$4&lt;$D104+'Incremental Repayments'!$I$31),-PMT('Interest Rate'!$J$16,'Incremental Repayments'!$I$31,(HLOOKUP($D104,$E$4:$CZ$32,28,FALSE)*'Incremental Repayments'!$I$22)),0),0)</f>
        <v>0</v>
      </c>
      <c r="I104" s="477">
        <f>IF('Incremental Repayments'!$R$22="Debt",IF(AND(I$4&gt;=$D104,I$4&lt;$D104+'Incremental Repayments'!$I$31),-PMT('Interest Rate'!$J$16,'Incremental Repayments'!$I$31,(HLOOKUP($D104,$E$4:$CZ$32,28,FALSE)*'Incremental Repayments'!$I$22)),0),0)</f>
        <v>0</v>
      </c>
      <c r="J104" s="477">
        <f>IF('Incremental Repayments'!$R$22="Debt",IF(AND(J$4&gt;=$D104,J$4&lt;$D104+'Incremental Repayments'!$I$31),-PMT('Interest Rate'!$J$16,'Incremental Repayments'!$I$31,(HLOOKUP($D104,$E$4:$CZ$32,28,FALSE)*'Incremental Repayments'!$I$22)),0),0)</f>
        <v>0</v>
      </c>
      <c r="K104" s="477">
        <f>IF('Incremental Repayments'!$R$22="Debt",IF(AND(K$4&gt;=$D104,K$4&lt;$D104+'Incremental Repayments'!$I$31),-PMT('Interest Rate'!$J$16,'Incremental Repayments'!$I$31,(HLOOKUP($D104,$E$4:$CZ$32,28,FALSE)*'Incremental Repayments'!$I$22)),0),0)</f>
        <v>0</v>
      </c>
      <c r="L104" s="477">
        <f>IF('Incremental Repayments'!$R$22="Debt",IF(AND(L$4&gt;=$D104,L$4&lt;$D104+'Incremental Repayments'!$I$31),-PMT('Interest Rate'!$J$16,'Incremental Repayments'!$I$31,(HLOOKUP($D104,$E$4:$CZ$32,28,FALSE)*'Incremental Repayments'!$I$22)),0),0)</f>
        <v>0</v>
      </c>
      <c r="M104" s="477">
        <f>IF('Incremental Repayments'!$R$22="Debt",IF(AND(M$4&gt;=$D104,M$4&lt;$D104+'Incremental Repayments'!$I$31),-PMT('Interest Rate'!$J$16,'Incremental Repayments'!$I$31,(HLOOKUP($D104,$E$4:$CZ$32,28,FALSE)*'Incremental Repayments'!$I$22)),0),0)</f>
        <v>0</v>
      </c>
      <c r="N104" s="477">
        <f>IF('Incremental Repayments'!$R$22="Debt",IF(AND(N$4&gt;=$D104,N$4&lt;$D104+'Incremental Repayments'!$I$31),-PMT('Interest Rate'!$J$16,'Incremental Repayments'!$I$31,(HLOOKUP($D104,$E$4:$CZ$32,28,FALSE)*'Incremental Repayments'!$I$22)),0),0)</f>
        <v>0</v>
      </c>
      <c r="O104" s="477">
        <f>IF('Incremental Repayments'!$R$22="Debt",IF(AND(O$4&gt;=$D104,O$4&lt;$D104+'Incremental Repayments'!$I$31),-PMT('Interest Rate'!$J$16,'Incremental Repayments'!$I$31,(HLOOKUP($D104,$E$4:$CZ$32,28,FALSE)*'Incremental Repayments'!$I$22)),0),0)</f>
        <v>0</v>
      </c>
      <c r="P104" s="477">
        <f>IF('Incremental Repayments'!$R$22="Debt",IF(AND(P$4&gt;=$D104,P$4&lt;$D104+'Incremental Repayments'!$I$31),-PMT('Interest Rate'!$J$16,'Incremental Repayments'!$I$31,(HLOOKUP($D104,$E$4:$CZ$32,28,FALSE)*'Incremental Repayments'!$I$22)),0),0)</f>
        <v>0</v>
      </c>
      <c r="Q104" s="477">
        <f>IF('Incremental Repayments'!$R$22="Debt",IF(AND(Q$4&gt;=$D104,Q$4&lt;$D104+'Incremental Repayments'!$I$31),-PMT('Interest Rate'!$J$16,'Incremental Repayments'!$I$31,(HLOOKUP($D104,$E$4:$CZ$32,28,FALSE)*'Incremental Repayments'!$I$22)),0),0)</f>
        <v>0</v>
      </c>
      <c r="R104" s="477">
        <f>IF('Incremental Repayments'!$R$22="Debt",IF(AND(R$4&gt;=$D104,R$4&lt;$D104+'Incremental Repayments'!$I$31),-PMT('Interest Rate'!$J$16,'Incremental Repayments'!$I$31,(HLOOKUP($D104,$E$4:$CZ$32,28,FALSE)*'Incremental Repayments'!$I$22)),0),0)</f>
        <v>0</v>
      </c>
      <c r="S104" s="477">
        <f>IF('Incremental Repayments'!$R$22="Debt",IF(AND(S$4&gt;=$D104,S$4&lt;$D104+'Incremental Repayments'!$I$31),-PMT('Interest Rate'!$J$16,'Incremental Repayments'!$I$31,(HLOOKUP($D104,$E$4:$CZ$32,28,FALSE)*'Incremental Repayments'!$I$22)),0),0)</f>
        <v>0</v>
      </c>
      <c r="T104" s="477">
        <f>IF('Incremental Repayments'!$R$22="Debt",IF(AND(T$4&gt;=$D104,T$4&lt;$D104+'Incremental Repayments'!$I$31),-PMT('Interest Rate'!$J$16,'Incremental Repayments'!$I$31,(HLOOKUP($D104,$E$4:$CZ$32,28,FALSE)*'Incremental Repayments'!$I$22)),0),0)</f>
        <v>0</v>
      </c>
      <c r="U104" s="477">
        <f>IF('Incremental Repayments'!$R$22="Debt",IF(AND(U$4&gt;=$D104,U$4&lt;$D104+'Incremental Repayments'!$I$31),-PMT('Interest Rate'!$J$16,'Incremental Repayments'!$I$31,(HLOOKUP($D104,$E$4:$CZ$32,28,FALSE)*'Incremental Repayments'!$I$22)),0),0)</f>
        <v>0</v>
      </c>
      <c r="V104" s="477">
        <f>IF('Incremental Repayments'!$R$22="Debt",IF(AND(V$4&gt;=$D104,V$4&lt;$D104+'Incremental Repayments'!$I$31),-PMT('Interest Rate'!$J$16,'Incremental Repayments'!$I$31,(HLOOKUP($D104,$E$4:$CZ$32,28,FALSE)*'Incremental Repayments'!$I$22)),0),0)</f>
        <v>0</v>
      </c>
      <c r="W104" s="477">
        <f>IF('Incremental Repayments'!$R$22="Debt",IF(AND(W$4&gt;=$D104,W$4&lt;$D104+'Incremental Repayments'!$I$31),-PMT('Interest Rate'!$J$16,'Incremental Repayments'!$I$31,(HLOOKUP($D104,$E$4:$CZ$32,28,FALSE)*'Incremental Repayments'!$I$22)),0),0)</f>
        <v>0</v>
      </c>
      <c r="X104" s="477">
        <f>IF('Incremental Repayments'!$R$22="Debt",IF(AND(X$4&gt;=$D104,X$4&lt;$D104+'Incremental Repayments'!$I$31),-PMT('Interest Rate'!$J$16,'Incremental Repayments'!$I$31,(HLOOKUP($D104,$E$4:$CZ$32,28,FALSE)*'Incremental Repayments'!$I$22)),0),0)</f>
        <v>0</v>
      </c>
      <c r="Y104" s="477">
        <f>IF('Incremental Repayments'!$R$22="Debt",IF(AND(Y$4&gt;=$D104,Y$4&lt;$D104+'Incremental Repayments'!$I$31),-PMT('Interest Rate'!$J$16,'Incremental Repayments'!$I$31,(HLOOKUP($D104,$E$4:$CZ$32,28,FALSE)*'Incremental Repayments'!$I$22)),0),0)</f>
        <v>0</v>
      </c>
      <c r="Z104" s="477">
        <f>IF('Incremental Repayments'!$R$22="Debt",IF(AND(Z$4&gt;=$D104,Z$4&lt;$D104+'Incremental Repayments'!$I$31),-PMT('Interest Rate'!$J$16,'Incremental Repayments'!$I$31,(HLOOKUP($D104,$E$4:$CZ$32,28,FALSE)*'Incremental Repayments'!$I$22)),0),0)</f>
        <v>0</v>
      </c>
      <c r="AA104" s="477">
        <f>IF('Incremental Repayments'!$R$22="Debt",IF(AND(AA$4&gt;=$D104,AA$4&lt;$D104+'Incremental Repayments'!$I$31),-PMT('Interest Rate'!$J$16,'Incremental Repayments'!$I$31,(HLOOKUP($D104,$E$4:$CZ$32,28,FALSE)*'Incremental Repayments'!$I$22)),0),0)</f>
        <v>0</v>
      </c>
      <c r="AB104" s="477">
        <f>IF('Incremental Repayments'!$R$22="Debt",IF(AND(AB$4&gt;=$D104,AB$4&lt;$D104+'Incremental Repayments'!$I$31),-PMT('Interest Rate'!$J$16,'Incremental Repayments'!$I$31,(HLOOKUP($D104,$E$4:$CZ$32,28,FALSE)*'Incremental Repayments'!$I$22)),0),0)</f>
        <v>0</v>
      </c>
      <c r="AC104" s="477">
        <f>IF('Incremental Repayments'!$R$22="Debt",IF(AND(AC$4&gt;=$D104,AC$4&lt;$D104+'Incremental Repayments'!$I$31),-PMT('Interest Rate'!$J$16,'Incremental Repayments'!$I$31,(HLOOKUP($D104,$E$4:$CZ$32,28,FALSE)*'Incremental Repayments'!$I$22)),0),0)</f>
        <v>0</v>
      </c>
      <c r="AD104" s="477">
        <f>IF('Incremental Repayments'!$R$22="Debt",IF(AND(AD$4&gt;=$D104,AD$4&lt;$D104+'Incremental Repayments'!$I$31),-PMT('Interest Rate'!$J$16,'Incremental Repayments'!$I$31,(HLOOKUP($D104,$E$4:$CZ$32,28,FALSE)*'Incremental Repayments'!$I$22)),0),0)</f>
        <v>0</v>
      </c>
      <c r="AE104" s="477">
        <f>IF('Incremental Repayments'!$R$22="Debt",IF(AND(AE$4&gt;=$D104,AE$4&lt;$D104+'Incremental Repayments'!$I$31),-PMT('Interest Rate'!$J$16,'Incremental Repayments'!$I$31,(HLOOKUP($D104,$E$4:$CZ$32,28,FALSE)*'Incremental Repayments'!$I$22)),0),0)</f>
        <v>0</v>
      </c>
      <c r="AF104" s="477">
        <f>IF('Incremental Repayments'!$R$22="Debt",IF(AND(AF$4&gt;=$D104,AF$4&lt;$D104+'Incremental Repayments'!$I$31),-PMT('Interest Rate'!$J$16,'Incremental Repayments'!$I$31,(HLOOKUP($D104,$E$4:$CZ$32,28,FALSE)*'Incremental Repayments'!$I$22)),0),0)</f>
        <v>0</v>
      </c>
      <c r="AG104" s="477">
        <f>IF('Incremental Repayments'!$R$22="Debt",IF(AND(AG$4&gt;=$D104,AG$4&lt;$D104+'Incremental Repayments'!$I$31),-PMT('Interest Rate'!$J$16,'Incremental Repayments'!$I$31,(HLOOKUP($D104,$E$4:$CZ$32,28,FALSE)*'Incremental Repayments'!$I$22)),0),0)</f>
        <v>0</v>
      </c>
      <c r="AH104" s="477">
        <f>IF('Incremental Repayments'!$R$22="Debt",IF(AND(AH$4&gt;=$D104,AH$4&lt;$D104+'Incremental Repayments'!$I$31),-PMT('Interest Rate'!$J$16,'Incremental Repayments'!$I$31,(HLOOKUP($D104,$E$4:$CZ$32,28,FALSE)*'Incremental Repayments'!$I$22)),0),0)</f>
        <v>0</v>
      </c>
      <c r="AI104" s="477">
        <f>IF('Incremental Repayments'!$R$22="Debt",IF(AND(AI$4&gt;=$D104,AI$4&lt;$D104+'Incremental Repayments'!$I$31),-PMT('Interest Rate'!$J$16,'Incremental Repayments'!$I$31,(HLOOKUP($D104,$E$4:$CZ$32,28,FALSE)*'Incremental Repayments'!$I$22)),0),0)</f>
        <v>0</v>
      </c>
      <c r="AJ104" s="477">
        <f>IF('Incremental Repayments'!$R$22="Debt",IF(AND(AJ$4&gt;=$D104,AJ$4&lt;$D104+'Incremental Repayments'!$I$31),-PMT('Interest Rate'!$J$16,'Incremental Repayments'!$I$31,(HLOOKUP($D104,$E$4:$CZ$32,28,FALSE)*'Incremental Repayments'!$I$22)),0),0)</f>
        <v>0</v>
      </c>
      <c r="AK104" s="477">
        <f>IF('Incremental Repayments'!$R$22="Debt",IF(AND(AK$4&gt;=$D104,AK$4&lt;$D104+'Incremental Repayments'!$I$31),-PMT('Interest Rate'!$J$16,'Incremental Repayments'!$I$31,(HLOOKUP($D104,$E$4:$CZ$32,28,FALSE)*'Incremental Repayments'!$I$22)),0),0)</f>
        <v>0</v>
      </c>
      <c r="AL104" s="477">
        <f>IF('Incremental Repayments'!$R$22="Debt",IF(AND(AL$4&gt;=$D104,AL$4&lt;$D104+'Incremental Repayments'!$I$31),-PMT('Interest Rate'!$J$16,'Incremental Repayments'!$I$31,(HLOOKUP($D104,$E$4:$CZ$32,28,FALSE)*'Incremental Repayments'!$I$22)),0),0)</f>
        <v>0</v>
      </c>
      <c r="AM104" s="477">
        <f>IF('Incremental Repayments'!$R$22="Debt",IF(AND(AM$4&gt;=$D104,AM$4&lt;$D104+'Incremental Repayments'!$I$31),-PMT('Interest Rate'!$J$16,'Incremental Repayments'!$I$31,(HLOOKUP($D104,$E$4:$CZ$32,28,FALSE)*'Incremental Repayments'!$I$22)),0),0)</f>
        <v>0</v>
      </c>
      <c r="AN104" s="477">
        <f>IF('Incremental Repayments'!$R$22="Debt",IF(AND(AN$4&gt;=$D104,AN$4&lt;$D104+'Incremental Repayments'!$I$31),-PMT('Interest Rate'!$J$16,'Incremental Repayments'!$I$31,(HLOOKUP($D104,$E$4:$CZ$32,28,FALSE)*'Incremental Repayments'!$I$22)),0),0)</f>
        <v>0</v>
      </c>
      <c r="AO104" s="477">
        <f>IF('Incremental Repayments'!$R$22="Debt",IF(AND(AO$4&gt;=$D104,AO$4&lt;$D104+'Incremental Repayments'!$I$31),-PMT('Interest Rate'!$J$16,'Incremental Repayments'!$I$31,(HLOOKUP($D104,$E$4:$CZ$32,28,FALSE)*'Incremental Repayments'!$I$22)),0),0)</f>
        <v>0</v>
      </c>
      <c r="AP104" s="477">
        <f>IF('Incremental Repayments'!$R$22="Debt",IF(AND(AP$4&gt;=$D104,AP$4&lt;$D104+'Incremental Repayments'!$I$31),-PMT('Interest Rate'!$J$16,'Incremental Repayments'!$I$31,(HLOOKUP($D104,$E$4:$CZ$32,28,FALSE)*'Incremental Repayments'!$I$22)),0),0)</f>
        <v>0</v>
      </c>
      <c r="AQ104" s="477">
        <f>IF('Incremental Repayments'!$R$22="Debt",IF(AND(AQ$4&gt;=$D104,AQ$4&lt;$D104+'Incremental Repayments'!$I$31),-PMT('Interest Rate'!$J$16,'Incremental Repayments'!$I$31,(HLOOKUP($D104,$E$4:$CZ$32,28,FALSE)*'Incremental Repayments'!$I$22)),0),0)</f>
        <v>0</v>
      </c>
      <c r="AR104" s="477">
        <f>IF('Incremental Repayments'!$R$22="Debt",IF(AND(AR$4&gt;=$D104,AR$4&lt;$D104+'Incremental Repayments'!$I$31),-PMT('Interest Rate'!$J$16,'Incremental Repayments'!$I$31,(HLOOKUP($D104,$E$4:$CZ$32,28,FALSE)*'Incremental Repayments'!$I$22)),0),0)</f>
        <v>0</v>
      </c>
      <c r="AS104" s="477">
        <f>IF('Incremental Repayments'!$R$22="Debt",IF(AND(AS$4&gt;=$D104,AS$4&lt;$D104+'Incremental Repayments'!$I$31),-PMT('Interest Rate'!$J$16,'Incremental Repayments'!$I$31,(HLOOKUP($D104,$E$4:$CZ$32,28,FALSE)*'Incremental Repayments'!$I$22)),0),0)</f>
        <v>0</v>
      </c>
      <c r="AT104" s="477">
        <f>IF('Incremental Repayments'!$R$22="Debt",IF(AND(AT$4&gt;=$D104,AT$4&lt;$D104+'Incremental Repayments'!$I$31),-PMT('Interest Rate'!$J$16,'Incremental Repayments'!$I$31,(HLOOKUP($D104,$E$4:$CZ$32,28,FALSE)*'Incremental Repayments'!$I$22)),0),0)</f>
        <v>0</v>
      </c>
      <c r="AU104" s="477">
        <f>IF('Incremental Repayments'!$R$22="Debt",IF(AND(AU$4&gt;=$D104,AU$4&lt;$D104+'Incremental Repayments'!$I$31),-PMT('Interest Rate'!$J$16,'Incremental Repayments'!$I$31,(HLOOKUP($D104,$E$4:$CZ$32,28,FALSE)*'Incremental Repayments'!$I$22)),0),0)</f>
        <v>0</v>
      </c>
      <c r="AV104" s="477">
        <f>IF('Incremental Repayments'!$R$22="Debt",IF(AND(AV$4&gt;=$D104,AV$4&lt;$D104+'Incremental Repayments'!$I$31),-PMT('Interest Rate'!$J$16,'Incremental Repayments'!$I$31,(HLOOKUP($D104,$E$4:$CZ$32,28,FALSE)*'Incremental Repayments'!$I$22)),0),0)</f>
        <v>0</v>
      </c>
      <c r="AW104" s="477">
        <f>IF('Incremental Repayments'!$R$22="Debt",IF(AND(AW$4&gt;=$D104,AW$4&lt;$D104+'Incremental Repayments'!$I$31),-PMT('Interest Rate'!$J$16,'Incremental Repayments'!$I$31,(HLOOKUP($D104,$E$4:$CZ$32,28,FALSE)*'Incremental Repayments'!$I$22)),0),0)</f>
        <v>0</v>
      </c>
      <c r="AX104" s="477">
        <f>IF('Incremental Repayments'!$R$22="Debt",IF(AND(AX$4&gt;=$D104,AX$4&lt;$D104+'Incremental Repayments'!$I$31),-PMT('Interest Rate'!$J$16,'Incremental Repayments'!$I$31,(HLOOKUP($D104,$E$4:$CZ$32,28,FALSE)*'Incremental Repayments'!$I$22)),0),0)</f>
        <v>0</v>
      </c>
      <c r="AY104" s="477">
        <f>IF('Incremental Repayments'!$R$22="Debt",IF(AND(AY$4&gt;=$D104,AY$4&lt;$D104+'Incremental Repayments'!$I$31),-PMT('Interest Rate'!$J$16,'Incremental Repayments'!$I$31,(HLOOKUP($D104,$E$4:$CZ$32,28,FALSE)*'Incremental Repayments'!$I$22)),0),0)</f>
        <v>0</v>
      </c>
      <c r="AZ104" s="477">
        <f>IF('Incremental Repayments'!$R$22="Debt",IF(AND(AZ$4&gt;=$D104,AZ$4&lt;$D104+'Incremental Repayments'!$I$31),-PMT('Interest Rate'!$J$16,'Incremental Repayments'!$I$31,(HLOOKUP($D104,$E$4:$CZ$32,28,FALSE)*'Incremental Repayments'!$I$22)),0),0)</f>
        <v>0</v>
      </c>
      <c r="BA104" s="477">
        <f>IF('Incremental Repayments'!$R$22="Debt",IF(AND(BA$4&gt;=$D104,BA$4&lt;$D104+'Incremental Repayments'!$I$31),-PMT('Interest Rate'!$J$16,'Incremental Repayments'!$I$31,(HLOOKUP($D104,$E$4:$CZ$32,28,FALSE)*'Incremental Repayments'!$I$22)),0),0)</f>
        <v>0</v>
      </c>
      <c r="BB104" s="477">
        <f>IF('Incremental Repayments'!$R$22="Debt",IF(AND(BB$4&gt;=$D104,BB$4&lt;$D104+'Incremental Repayments'!$I$31),-PMT('Interest Rate'!$J$16,'Incremental Repayments'!$I$31,(HLOOKUP($D104,$E$4:$CZ$32,28,FALSE)*'Incremental Repayments'!$I$22)),0),0)</f>
        <v>0</v>
      </c>
      <c r="BC104" s="477">
        <f>IF('Incremental Repayments'!$R$22="Debt",IF(AND(BC$4&gt;=$D104,BC$4&lt;$D104+'Incremental Repayments'!$I$31),-PMT('Interest Rate'!$J$16,'Incremental Repayments'!$I$31,(HLOOKUP($D104,$E$4:$CZ$32,28,FALSE)*'Incremental Repayments'!$I$22)),0),0)</f>
        <v>0</v>
      </c>
      <c r="BD104" s="477">
        <f>IF('Incremental Repayments'!$R$22="Debt",IF(AND(BD$4&gt;=$D104,BD$4&lt;$D104+'Incremental Repayments'!$I$31),-PMT('Interest Rate'!$J$16,'Incremental Repayments'!$I$31,(HLOOKUP($D104,$E$4:$CZ$32,28,FALSE)*'Incremental Repayments'!$I$22)),0),0)</f>
        <v>0</v>
      </c>
      <c r="BE104" s="477">
        <f>IF('Incremental Repayments'!$R$22="Debt",IF(AND(BE$4&gt;=$D104,BE$4&lt;$D104+'Incremental Repayments'!$I$31),-PMT('Interest Rate'!$J$16,'Incremental Repayments'!$I$31,(HLOOKUP($D104,$E$4:$CZ$32,28,FALSE)*'Incremental Repayments'!$I$22)),0),0)</f>
        <v>0</v>
      </c>
      <c r="BF104" s="477">
        <f>IF('Incremental Repayments'!$R$22="Debt",IF(AND(BF$4&gt;=$D104,BF$4&lt;$D104+'Incremental Repayments'!$I$31),-PMT('Interest Rate'!$J$16,'Incremental Repayments'!$I$31,(HLOOKUP($D104,$E$4:$CZ$32,28,FALSE)*'Incremental Repayments'!$I$22)),0),0)</f>
        <v>0</v>
      </c>
      <c r="BG104" s="477">
        <f>IF('Incremental Repayments'!$R$22="Debt",IF(AND(BG$4&gt;=$D104,BG$4&lt;$D104+'Incremental Repayments'!$I$31),-PMT('Interest Rate'!$J$16,'Incremental Repayments'!$I$31,(HLOOKUP($D104,$E$4:$CZ$32,28,FALSE)*'Incremental Repayments'!$I$22)),0),0)</f>
        <v>0</v>
      </c>
      <c r="BH104" s="477">
        <f>IF('Incremental Repayments'!$R$22="Debt",IF(AND(BH$4&gt;=$D104,BH$4&lt;$D104+'Incremental Repayments'!$I$31),-PMT('Interest Rate'!$J$16,'Incremental Repayments'!$I$31,(HLOOKUP($D104,$E$4:$CZ$32,28,FALSE)*'Incremental Repayments'!$I$22)),0),0)</f>
        <v>0</v>
      </c>
      <c r="BI104" s="477">
        <f>IF('Incremental Repayments'!$R$22="Debt",IF(AND(BI$4&gt;=$D104,BI$4&lt;$D104+'Incremental Repayments'!$I$31),-PMT('Interest Rate'!$J$16,'Incremental Repayments'!$I$31,(HLOOKUP($D104,$E$4:$CZ$32,28,FALSE)*'Incremental Repayments'!$I$22)),0),0)</f>
        <v>0</v>
      </c>
      <c r="BJ104" s="477">
        <f>IF('Incremental Repayments'!$R$22="Debt",IF(AND(BJ$4&gt;=$D104,BJ$4&lt;$D104+'Incremental Repayments'!$I$31),-PMT('Interest Rate'!$J$16,'Incremental Repayments'!$I$31,(HLOOKUP($D104,$E$4:$CZ$32,28,FALSE)*'Incremental Repayments'!$I$22)),0),0)</f>
        <v>0</v>
      </c>
      <c r="BK104" s="477">
        <f>IF('Incremental Repayments'!$R$22="Debt",IF(AND(BK$4&gt;=$D104,BK$4&lt;$D104+'Incremental Repayments'!$I$31),-PMT('Interest Rate'!$J$16,'Incremental Repayments'!$I$31,(HLOOKUP($D104,$E$4:$CZ$32,28,FALSE)*'Incremental Repayments'!$I$22)),0),0)</f>
        <v>0</v>
      </c>
      <c r="BL104" s="477">
        <f>IF('Incremental Repayments'!$R$22="Debt",IF(AND(BL$4&gt;=$D104,BL$4&lt;$D104+'Incremental Repayments'!$I$31),-PMT('Interest Rate'!$J$16,'Incremental Repayments'!$I$31,(HLOOKUP($D104,$E$4:$CZ$32,28,FALSE)*'Incremental Repayments'!$I$22)),0),0)</f>
        <v>0</v>
      </c>
      <c r="BM104" s="477">
        <f>IF('Incremental Repayments'!$R$22="Debt",IF(AND(BM$4&gt;=$D104,BM$4&lt;$D104+'Incremental Repayments'!$I$31),-PMT('Interest Rate'!$J$16,'Incremental Repayments'!$I$31,(HLOOKUP($D104,$E$4:$CZ$32,28,FALSE)*'Incremental Repayments'!$I$22)),0),0)</f>
        <v>0</v>
      </c>
      <c r="BN104" s="477">
        <f>IF('Incremental Repayments'!$R$22="Debt",IF(AND(BN$4&gt;=$D104,BN$4&lt;$D104+'Incremental Repayments'!$I$31),-PMT('Interest Rate'!$J$16,'Incremental Repayments'!$I$31,(HLOOKUP($D104,$E$4:$CZ$32,28,FALSE)*'Incremental Repayments'!$I$22)),0),0)</f>
        <v>0</v>
      </c>
      <c r="BO104" s="477">
        <f>IF('Incremental Repayments'!$R$22="Debt",IF(AND(BO$4&gt;=$D104,BO$4&lt;$D104+'Incremental Repayments'!$I$31),-PMT('Interest Rate'!$J$16,'Incremental Repayments'!$I$31,(HLOOKUP($D104,$E$4:$CZ$32,28,FALSE)*'Incremental Repayments'!$I$22)),0),0)</f>
        <v>0</v>
      </c>
      <c r="BP104" s="477">
        <f>IF('Incremental Repayments'!$R$22="Debt",IF(AND(BP$4&gt;=$D104,BP$4&lt;$D104+'Incremental Repayments'!$I$31),-PMT('Interest Rate'!$J$16,'Incremental Repayments'!$I$31,(HLOOKUP($D104,$E$4:$CZ$32,28,FALSE)*'Incremental Repayments'!$I$22)),0),0)</f>
        <v>0</v>
      </c>
      <c r="BQ104" s="477">
        <f>IF('Incremental Repayments'!$R$22="Debt",IF(AND(BQ$4&gt;=$D104,BQ$4&lt;$D104+'Incremental Repayments'!$I$31),-PMT('Interest Rate'!$J$16,'Incremental Repayments'!$I$31,(HLOOKUP($D104,$E$4:$CZ$32,28,FALSE)*'Incremental Repayments'!$I$22)),0),0)</f>
        <v>0</v>
      </c>
      <c r="BR104" s="477">
        <f>IF('Incremental Repayments'!$R$22="Debt",IF(AND(BR$4&gt;=$D104,BR$4&lt;$D104+'Incremental Repayments'!$I$31),-PMT('Interest Rate'!$J$16,'Incremental Repayments'!$I$31,(HLOOKUP($D104,$E$4:$CZ$32,28,FALSE)*'Incremental Repayments'!$I$22)),0),0)</f>
        <v>0</v>
      </c>
      <c r="BS104" s="477">
        <f>IF('Incremental Repayments'!$R$22="Debt",IF(AND(BS$4&gt;=$D104,BS$4&lt;$D104+'Incremental Repayments'!$I$31),-PMT('Interest Rate'!$J$16,'Incremental Repayments'!$I$31,(HLOOKUP($D104,$E$4:$CZ$32,28,FALSE)*'Incremental Repayments'!$I$22)),0),0)</f>
        <v>0</v>
      </c>
      <c r="BT104" s="477">
        <f>IF('Incremental Repayments'!$R$22="Debt",IF(AND(BT$4&gt;=$D104,BT$4&lt;$D104+'Incremental Repayments'!$I$31),-PMT('Interest Rate'!$J$16,'Incremental Repayments'!$I$31,(HLOOKUP($D104,$E$4:$CZ$32,28,FALSE)*'Incremental Repayments'!$I$22)),0),0)</f>
        <v>0</v>
      </c>
      <c r="BU104" s="477">
        <f>IF('Incremental Repayments'!$R$22="Debt",IF(AND(BU$4&gt;=$D104,BU$4&lt;$D104+'Incremental Repayments'!$I$31),-PMT('Interest Rate'!$J$16,'Incremental Repayments'!$I$31,(HLOOKUP($D104,$E$4:$CZ$32,28,FALSE)*'Incremental Repayments'!$I$22)),0),0)</f>
        <v>0</v>
      </c>
      <c r="BV104" s="477">
        <f>IF('Incremental Repayments'!$R$22="Debt",IF(AND(BV$4&gt;=$D104,BV$4&lt;$D104+'Incremental Repayments'!$I$31),-PMT('Interest Rate'!$J$16,'Incremental Repayments'!$I$31,(HLOOKUP($D104,$E$4:$CZ$32,28,FALSE)*'Incremental Repayments'!$I$22)),0),0)</f>
        <v>0</v>
      </c>
      <c r="BW104" s="477">
        <f>IF('Incremental Repayments'!$R$22="Debt",IF(AND(BW$4&gt;=$D104,BW$4&lt;$D104+'Incremental Repayments'!$I$31),-PMT('Interest Rate'!$J$16,'Incremental Repayments'!$I$31,(HLOOKUP($D104,$E$4:$CZ$32,28,FALSE)*'Incremental Repayments'!$I$22)),0),0)</f>
        <v>0</v>
      </c>
      <c r="BX104" s="477">
        <f>IF('Incremental Repayments'!$R$22="Debt",IF(AND(BX$4&gt;=$D104,BX$4&lt;$D104+'Incremental Repayments'!$I$31),-PMT('Interest Rate'!$J$16,'Incremental Repayments'!$I$31,(HLOOKUP($D104,$E$4:$CZ$32,28,FALSE)*'Incremental Repayments'!$I$22)),0),0)</f>
        <v>0</v>
      </c>
      <c r="BY104" s="477">
        <f>IF('Incremental Repayments'!$R$22="Debt",IF(AND(BY$4&gt;=$D104,BY$4&lt;$D104+'Incremental Repayments'!$I$31),-PMT('Interest Rate'!$J$16,'Incremental Repayments'!$I$31,(HLOOKUP($D104,$E$4:$CZ$32,28,FALSE)*'Incremental Repayments'!$I$22)),0),0)</f>
        <v>0</v>
      </c>
      <c r="BZ104" s="477">
        <f>IF('Incremental Repayments'!$R$22="Debt",IF(AND(BZ$4&gt;=$D104,BZ$4&lt;$D104+'Incremental Repayments'!$I$31),-PMT('Interest Rate'!$J$16,'Incremental Repayments'!$I$31,(HLOOKUP($D104,$E$4:$CZ$32,28,FALSE)*'Incremental Repayments'!$I$22)),0),0)</f>
        <v>0</v>
      </c>
      <c r="CA104" s="477">
        <f>IF('Incremental Repayments'!$R$22="Debt",IF(AND(CA$4&gt;=$D104,CA$4&lt;$D104+'Incremental Repayments'!$I$31),-PMT('Interest Rate'!$J$16,'Incremental Repayments'!$I$31,(HLOOKUP($D104,$E$4:$CZ$32,28,FALSE)*'Incremental Repayments'!$I$22)),0),0)</f>
        <v>0</v>
      </c>
      <c r="CB104" s="477">
        <f>IF('Incremental Repayments'!$R$22="Debt",IF(AND(CB$4&gt;=$D104,CB$4&lt;$D104+'Incremental Repayments'!$I$31),-PMT('Interest Rate'!$J$16,'Incremental Repayments'!$I$31,(HLOOKUP($D104,$E$4:$CZ$32,28,FALSE)*'Incremental Repayments'!$I$22)),0),0)</f>
        <v>0</v>
      </c>
      <c r="CC104" s="477">
        <f>IF('Incremental Repayments'!$R$22="Debt",IF(AND(CC$4&gt;=$D104,CC$4&lt;$D104+'Incremental Repayments'!$I$31),-PMT('Interest Rate'!$J$16,'Incremental Repayments'!$I$31,(HLOOKUP($D104,$E$4:$CZ$32,28,FALSE)*'Incremental Repayments'!$I$22)),0),0)</f>
        <v>0</v>
      </c>
      <c r="CD104" s="477">
        <f>IF('Incremental Repayments'!$R$22="Debt",IF(AND(CD$4&gt;=$D104,CD$4&lt;$D104+'Incremental Repayments'!$I$31),-PMT('Interest Rate'!$J$16,'Incremental Repayments'!$I$31,(HLOOKUP($D104,$E$4:$CZ$32,28,FALSE)*'Incremental Repayments'!$I$22)),0),0)</f>
        <v>0</v>
      </c>
      <c r="CE104" s="477">
        <f>IF('Incremental Repayments'!$R$22="Debt",IF(AND(CE$4&gt;=$D104,CE$4&lt;$D104+'Incremental Repayments'!$I$31),-PMT('Interest Rate'!$J$16,'Incremental Repayments'!$I$31,(HLOOKUP($D104,$E$4:$CZ$32,28,FALSE)*'Incremental Repayments'!$I$22)),0),0)</f>
        <v>0</v>
      </c>
      <c r="CF104" s="477">
        <f>IF('Incremental Repayments'!$R$22="Debt",IF(AND(CF$4&gt;=$D104,CF$4&lt;$D104+'Incremental Repayments'!$I$31),-PMT('Interest Rate'!$J$16,'Incremental Repayments'!$I$31,(HLOOKUP($D104,$E$4:$CZ$32,28,FALSE)*'Incremental Repayments'!$I$22)),0),0)</f>
        <v>0</v>
      </c>
      <c r="CG104" s="477">
        <f>IF('Incremental Repayments'!$R$22="Debt",IF(AND(CG$4&gt;=$D104,CG$4&lt;$D104+'Incremental Repayments'!$I$31),-PMT('Interest Rate'!$J$16,'Incremental Repayments'!$I$31,(HLOOKUP($D104,$E$4:$CZ$32,28,FALSE)*'Incremental Repayments'!$I$22)),0),0)</f>
        <v>0</v>
      </c>
      <c r="CH104" s="477">
        <f>IF('Incremental Repayments'!$R$22="Debt",IF(AND(CH$4&gt;=$D104,CH$4&lt;$D104+'Incremental Repayments'!$I$31),-PMT('Interest Rate'!$J$16,'Incremental Repayments'!$I$31,(HLOOKUP($D104,$E$4:$CZ$32,28,FALSE)*'Incremental Repayments'!$I$22)),0),0)</f>
        <v>0</v>
      </c>
      <c r="CI104" s="477">
        <f>IF('Incremental Repayments'!$R$22="Debt",IF(AND(CI$4&gt;=$D104,CI$4&lt;$D104+'Incremental Repayments'!$I$31),-PMT('Interest Rate'!$J$16,'Incremental Repayments'!$I$31,(HLOOKUP($D104,$E$4:$CZ$32,28,FALSE)*'Incremental Repayments'!$I$22)),0),0)</f>
        <v>0</v>
      </c>
      <c r="CJ104" s="477">
        <f>IF('Incremental Repayments'!$R$22="Debt",IF(AND(CJ$4&gt;=$D104,CJ$4&lt;$D104+'Incremental Repayments'!$I$31),-PMT('Interest Rate'!$J$16,'Incremental Repayments'!$I$31,(HLOOKUP($D104,$E$4:$CZ$32,28,FALSE)*'Incremental Repayments'!$I$22)),0),0)</f>
        <v>0</v>
      </c>
      <c r="CK104" s="477">
        <f>IF('Incremental Repayments'!$R$22="Debt",IF(AND(CK$4&gt;=$D104,CK$4&lt;$D104+'Incremental Repayments'!$I$31),-PMT('Interest Rate'!$J$16,'Incremental Repayments'!$I$31,(HLOOKUP($D104,$E$4:$CZ$32,28,FALSE)*'Incremental Repayments'!$I$22)),0),0)</f>
        <v>0</v>
      </c>
      <c r="CL104" s="477">
        <f>IF('Incremental Repayments'!$R$22="Debt",IF(AND(CL$4&gt;=$D104,CL$4&lt;$D104+'Incremental Repayments'!$I$31),-PMT('Interest Rate'!$J$16,'Incremental Repayments'!$I$31,(HLOOKUP($D104,$E$4:$CZ$32,28,FALSE)*'Incremental Repayments'!$I$22)),0),0)</f>
        <v>0</v>
      </c>
      <c r="CM104" s="477">
        <f>IF('Incremental Repayments'!$R$22="Debt",IF(AND(CM$4&gt;=$D104,CM$4&lt;$D104+'Incremental Repayments'!$I$31),-PMT('Interest Rate'!$J$16,'Incremental Repayments'!$I$31,(HLOOKUP($D104,$E$4:$CZ$32,28,FALSE)*'Incremental Repayments'!$I$22)),0),0)</f>
        <v>0</v>
      </c>
      <c r="CN104" s="477">
        <f>IF('Incremental Repayments'!$R$22="Debt",IF(AND(CN$4&gt;=$D104,CN$4&lt;$D104+'Incremental Repayments'!$I$31),-PMT('Interest Rate'!$J$16,'Incremental Repayments'!$I$31,(HLOOKUP($D104,$E$4:$CZ$32,28,FALSE)*'Incremental Repayments'!$I$22)),0),0)</f>
        <v>0</v>
      </c>
      <c r="CO104" s="477">
        <f>IF('Incremental Repayments'!$R$22="Debt",IF(AND(CO$4&gt;=$D104,CO$4&lt;$D104+'Incremental Repayments'!$I$31),-PMT('Interest Rate'!$J$16,'Incremental Repayments'!$I$31,(HLOOKUP($D104,$E$4:$CZ$32,28,FALSE)*'Incremental Repayments'!$I$22)),0),0)</f>
        <v>0</v>
      </c>
      <c r="CP104" s="477">
        <f>IF('Incremental Repayments'!$R$22="Debt",IF(AND(CP$4&gt;=$D104,CP$4&lt;$D104+'Incremental Repayments'!$I$31),-PMT('Interest Rate'!$J$16,'Incremental Repayments'!$I$31,(HLOOKUP($D104,$E$4:$CZ$32,28,FALSE)*'Incremental Repayments'!$I$22)),0),0)</f>
        <v>0</v>
      </c>
      <c r="CQ104" s="477">
        <f>IF('Incremental Repayments'!$R$22="Debt",IF(AND(CQ$4&gt;=$D104,CQ$4&lt;$D104+'Incremental Repayments'!$I$31),-PMT('Interest Rate'!$J$16,'Incremental Repayments'!$I$31,(HLOOKUP($D104,$E$4:$CZ$32,28,FALSE)*'Incremental Repayments'!$I$22)),0),0)</f>
        <v>0</v>
      </c>
      <c r="CR104" s="477">
        <f>IF('Incremental Repayments'!$R$22="Debt",IF(AND(CR$4&gt;=$D104,CR$4&lt;$D104+'Incremental Repayments'!$I$31),-PMT('Interest Rate'!$J$16,'Incremental Repayments'!$I$31,(HLOOKUP($D104,$E$4:$CZ$32,28,FALSE)*'Incremental Repayments'!$I$22)),0),0)</f>
        <v>0</v>
      </c>
      <c r="CS104" s="477">
        <f>IF('Incremental Repayments'!$R$22="Debt",IF(AND(CS$4&gt;=$D104,CS$4&lt;$D104+'Incremental Repayments'!$I$31),-PMT('Interest Rate'!$J$16,'Incremental Repayments'!$I$31,(HLOOKUP($D104,$E$4:$CZ$32,28,FALSE)*'Incremental Repayments'!$I$22)),0),0)</f>
        <v>0</v>
      </c>
      <c r="CT104" s="477">
        <f>IF('Incremental Repayments'!$R$22="Debt",IF(AND(CT$4&gt;=$D104,CT$4&lt;$D104+'Incremental Repayments'!$I$31),-PMT('Interest Rate'!$J$16,'Incremental Repayments'!$I$31,(HLOOKUP($D104,$E$4:$CZ$32,28,FALSE)*'Incremental Repayments'!$I$22)),0),0)</f>
        <v>0</v>
      </c>
      <c r="CU104" s="477">
        <f>IF('Incremental Repayments'!$R$22="Debt",IF(AND(CU$4&gt;=$D104,CU$4&lt;$D104+'Incremental Repayments'!$I$31),-PMT('Interest Rate'!$J$16,'Incremental Repayments'!$I$31,(HLOOKUP($D104,$E$4:$CZ$32,28,FALSE)*'Incremental Repayments'!$I$22)),0),0)</f>
        <v>0</v>
      </c>
      <c r="CV104" s="477">
        <f>IF('Incremental Repayments'!$R$22="Debt",IF(AND(CV$4&gt;=$D104,CV$4&lt;$D104+'Incremental Repayments'!$I$31),-PMT('Interest Rate'!$J$16,'Incremental Repayments'!$I$31,(HLOOKUP($D104,$E$4:$CZ$32,28,FALSE)*'Incremental Repayments'!$I$22)),0),0)</f>
        <v>0</v>
      </c>
      <c r="CW104" s="477">
        <f>IF('Incremental Repayments'!$R$22="Debt",IF(AND(CW$4&gt;=$D104,CW$4&lt;$D104+'Incremental Repayments'!$I$31),-PMT('Interest Rate'!$J$16,'Incremental Repayments'!$I$31,(HLOOKUP($D104,$E$4:$CZ$32,28,FALSE)*'Incremental Repayments'!$I$22)),0),0)</f>
        <v>0</v>
      </c>
      <c r="CX104" s="477">
        <f>IF('Incremental Repayments'!$R$22="Debt",IF(AND(CX$4&gt;=$D104,CX$4&lt;$D104+'Incremental Repayments'!$I$31),-PMT('Interest Rate'!$J$16,'Incremental Repayments'!$I$31,(HLOOKUP($D104,$E$4:$CZ$32,28,FALSE)*'Incremental Repayments'!$I$22)),0),0)</f>
        <v>0</v>
      </c>
      <c r="CY104" s="477">
        <f>IF('Incremental Repayments'!$R$22="Debt",IF(AND(CY$4&gt;=$D104,CY$4&lt;$D104+'Incremental Repayments'!$I$31),-PMT('Interest Rate'!$J$16,'Incremental Repayments'!$I$31,(HLOOKUP($D104,$E$4:$CZ$32,28,FALSE)*'Incremental Repayments'!$I$22)),0),0)</f>
        <v>0</v>
      </c>
      <c r="CZ104" s="477">
        <f>IF('Incremental Repayments'!$R$22="Debt",IF(AND(CZ$4&gt;=$D104,CZ$4&lt;$D104+'Incremental Repayments'!$I$31),-PMT('Interest Rate'!$J$16,'Incremental Repayments'!$I$31,(HLOOKUP($D104,$E$4:$CZ$32,28,FALSE)*'Incremental Repayments'!$I$22)),0),0)</f>
        <v>0</v>
      </c>
    </row>
    <row r="105" spans="2:104" x14ac:dyDescent="0.25">
      <c r="B105" s="480" t="str">
        <f>CONCATENATE("Series ",D105,"A Bonds (at ",'Interest Rate'!$J$16*100,"% Interest)")</f>
        <v>Series 2083A Bonds (at 4.5% Interest)</v>
      </c>
      <c r="C105" s="480"/>
      <c r="D105" s="492">
        <f t="shared" si="495"/>
        <v>2083</v>
      </c>
      <c r="E105" s="477">
        <f>IF('Incremental Repayments'!$R$22="Debt",IF(AND(E$4&gt;=$D105,E$4&lt;$D105+'Incremental Repayments'!$I$31),-PMT('Interest Rate'!$J$16,'Incremental Repayments'!$I$31,(HLOOKUP($D105,$E$4:$CZ$32,28,FALSE)*'Incremental Repayments'!$I$22)),0),0)</f>
        <v>0</v>
      </c>
      <c r="F105" s="477">
        <f>IF('Incremental Repayments'!$R$22="Debt",IF(AND(F$4&gt;=$D105,F$4&lt;$D105+'Incremental Repayments'!$I$31),-PMT('Interest Rate'!$J$16,'Incremental Repayments'!$I$31,(HLOOKUP($D105,$E$4:$CZ$32,28,FALSE)*'Incremental Repayments'!$I$22)),0),0)</f>
        <v>0</v>
      </c>
      <c r="G105" s="477">
        <f>IF('Incremental Repayments'!$R$22="Debt",IF(AND(G$4&gt;=$D105,G$4&lt;$D105+'Incremental Repayments'!$I$31),-PMT('Interest Rate'!$J$16,'Incremental Repayments'!$I$31,(HLOOKUP($D105,$E$4:$CZ$32,28,FALSE)*'Incremental Repayments'!$I$22)),0),0)</f>
        <v>0</v>
      </c>
      <c r="H105" s="477">
        <f>IF('Incremental Repayments'!$R$22="Debt",IF(AND(H$4&gt;=$D105,H$4&lt;$D105+'Incremental Repayments'!$I$31),-PMT('Interest Rate'!$J$16,'Incremental Repayments'!$I$31,(HLOOKUP($D105,$E$4:$CZ$32,28,FALSE)*'Incremental Repayments'!$I$22)),0),0)</f>
        <v>0</v>
      </c>
      <c r="I105" s="477">
        <f>IF('Incremental Repayments'!$R$22="Debt",IF(AND(I$4&gt;=$D105,I$4&lt;$D105+'Incremental Repayments'!$I$31),-PMT('Interest Rate'!$J$16,'Incremental Repayments'!$I$31,(HLOOKUP($D105,$E$4:$CZ$32,28,FALSE)*'Incremental Repayments'!$I$22)),0),0)</f>
        <v>0</v>
      </c>
      <c r="J105" s="477">
        <f>IF('Incremental Repayments'!$R$22="Debt",IF(AND(J$4&gt;=$D105,J$4&lt;$D105+'Incremental Repayments'!$I$31),-PMT('Interest Rate'!$J$16,'Incremental Repayments'!$I$31,(HLOOKUP($D105,$E$4:$CZ$32,28,FALSE)*'Incremental Repayments'!$I$22)),0),0)</f>
        <v>0</v>
      </c>
      <c r="K105" s="477">
        <f>IF('Incremental Repayments'!$R$22="Debt",IF(AND(K$4&gt;=$D105,K$4&lt;$D105+'Incremental Repayments'!$I$31),-PMT('Interest Rate'!$J$16,'Incremental Repayments'!$I$31,(HLOOKUP($D105,$E$4:$CZ$32,28,FALSE)*'Incremental Repayments'!$I$22)),0),0)</f>
        <v>0</v>
      </c>
      <c r="L105" s="477">
        <f>IF('Incremental Repayments'!$R$22="Debt",IF(AND(L$4&gt;=$D105,L$4&lt;$D105+'Incremental Repayments'!$I$31),-PMT('Interest Rate'!$J$16,'Incremental Repayments'!$I$31,(HLOOKUP($D105,$E$4:$CZ$32,28,FALSE)*'Incremental Repayments'!$I$22)),0),0)</f>
        <v>0</v>
      </c>
      <c r="M105" s="477">
        <f>IF('Incremental Repayments'!$R$22="Debt",IF(AND(M$4&gt;=$D105,M$4&lt;$D105+'Incremental Repayments'!$I$31),-PMT('Interest Rate'!$J$16,'Incremental Repayments'!$I$31,(HLOOKUP($D105,$E$4:$CZ$32,28,FALSE)*'Incremental Repayments'!$I$22)),0),0)</f>
        <v>0</v>
      </c>
      <c r="N105" s="477">
        <f>IF('Incremental Repayments'!$R$22="Debt",IF(AND(N$4&gt;=$D105,N$4&lt;$D105+'Incremental Repayments'!$I$31),-PMT('Interest Rate'!$J$16,'Incremental Repayments'!$I$31,(HLOOKUP($D105,$E$4:$CZ$32,28,FALSE)*'Incremental Repayments'!$I$22)),0),0)</f>
        <v>0</v>
      </c>
      <c r="O105" s="477">
        <f>IF('Incremental Repayments'!$R$22="Debt",IF(AND(O$4&gt;=$D105,O$4&lt;$D105+'Incremental Repayments'!$I$31),-PMT('Interest Rate'!$J$16,'Incremental Repayments'!$I$31,(HLOOKUP($D105,$E$4:$CZ$32,28,FALSE)*'Incremental Repayments'!$I$22)),0),0)</f>
        <v>0</v>
      </c>
      <c r="P105" s="477">
        <f>IF('Incremental Repayments'!$R$22="Debt",IF(AND(P$4&gt;=$D105,P$4&lt;$D105+'Incremental Repayments'!$I$31),-PMT('Interest Rate'!$J$16,'Incremental Repayments'!$I$31,(HLOOKUP($D105,$E$4:$CZ$32,28,FALSE)*'Incremental Repayments'!$I$22)),0),0)</f>
        <v>0</v>
      </c>
      <c r="Q105" s="477">
        <f>IF('Incremental Repayments'!$R$22="Debt",IF(AND(Q$4&gt;=$D105,Q$4&lt;$D105+'Incremental Repayments'!$I$31),-PMT('Interest Rate'!$J$16,'Incremental Repayments'!$I$31,(HLOOKUP($D105,$E$4:$CZ$32,28,FALSE)*'Incremental Repayments'!$I$22)),0),0)</f>
        <v>0</v>
      </c>
      <c r="R105" s="477">
        <f>IF('Incremental Repayments'!$R$22="Debt",IF(AND(R$4&gt;=$D105,R$4&lt;$D105+'Incremental Repayments'!$I$31),-PMT('Interest Rate'!$J$16,'Incremental Repayments'!$I$31,(HLOOKUP($D105,$E$4:$CZ$32,28,FALSE)*'Incremental Repayments'!$I$22)),0),0)</f>
        <v>0</v>
      </c>
      <c r="S105" s="477">
        <f>IF('Incremental Repayments'!$R$22="Debt",IF(AND(S$4&gt;=$D105,S$4&lt;$D105+'Incremental Repayments'!$I$31),-PMT('Interest Rate'!$J$16,'Incremental Repayments'!$I$31,(HLOOKUP($D105,$E$4:$CZ$32,28,FALSE)*'Incremental Repayments'!$I$22)),0),0)</f>
        <v>0</v>
      </c>
      <c r="T105" s="477">
        <f>IF('Incremental Repayments'!$R$22="Debt",IF(AND(T$4&gt;=$D105,T$4&lt;$D105+'Incremental Repayments'!$I$31),-PMT('Interest Rate'!$J$16,'Incremental Repayments'!$I$31,(HLOOKUP($D105,$E$4:$CZ$32,28,FALSE)*'Incremental Repayments'!$I$22)),0),0)</f>
        <v>0</v>
      </c>
      <c r="U105" s="477">
        <f>IF('Incremental Repayments'!$R$22="Debt",IF(AND(U$4&gt;=$D105,U$4&lt;$D105+'Incremental Repayments'!$I$31),-PMT('Interest Rate'!$J$16,'Incremental Repayments'!$I$31,(HLOOKUP($D105,$E$4:$CZ$32,28,FALSE)*'Incremental Repayments'!$I$22)),0),0)</f>
        <v>0</v>
      </c>
      <c r="V105" s="477">
        <f>IF('Incremental Repayments'!$R$22="Debt",IF(AND(V$4&gt;=$D105,V$4&lt;$D105+'Incremental Repayments'!$I$31),-PMT('Interest Rate'!$J$16,'Incremental Repayments'!$I$31,(HLOOKUP($D105,$E$4:$CZ$32,28,FALSE)*'Incremental Repayments'!$I$22)),0),0)</f>
        <v>0</v>
      </c>
      <c r="W105" s="477">
        <f>IF('Incremental Repayments'!$R$22="Debt",IF(AND(W$4&gt;=$D105,W$4&lt;$D105+'Incremental Repayments'!$I$31),-PMT('Interest Rate'!$J$16,'Incremental Repayments'!$I$31,(HLOOKUP($D105,$E$4:$CZ$32,28,FALSE)*'Incremental Repayments'!$I$22)),0),0)</f>
        <v>0</v>
      </c>
      <c r="X105" s="477">
        <f>IF('Incremental Repayments'!$R$22="Debt",IF(AND(X$4&gt;=$D105,X$4&lt;$D105+'Incremental Repayments'!$I$31),-PMT('Interest Rate'!$J$16,'Incremental Repayments'!$I$31,(HLOOKUP($D105,$E$4:$CZ$32,28,FALSE)*'Incremental Repayments'!$I$22)),0),0)</f>
        <v>0</v>
      </c>
      <c r="Y105" s="477">
        <f>IF('Incremental Repayments'!$R$22="Debt",IF(AND(Y$4&gt;=$D105,Y$4&lt;$D105+'Incremental Repayments'!$I$31),-PMT('Interest Rate'!$J$16,'Incremental Repayments'!$I$31,(HLOOKUP($D105,$E$4:$CZ$32,28,FALSE)*'Incremental Repayments'!$I$22)),0),0)</f>
        <v>0</v>
      </c>
      <c r="Z105" s="477">
        <f>IF('Incremental Repayments'!$R$22="Debt",IF(AND(Z$4&gt;=$D105,Z$4&lt;$D105+'Incremental Repayments'!$I$31),-PMT('Interest Rate'!$J$16,'Incremental Repayments'!$I$31,(HLOOKUP($D105,$E$4:$CZ$32,28,FALSE)*'Incremental Repayments'!$I$22)),0),0)</f>
        <v>0</v>
      </c>
      <c r="AA105" s="477">
        <f>IF('Incremental Repayments'!$R$22="Debt",IF(AND(AA$4&gt;=$D105,AA$4&lt;$D105+'Incremental Repayments'!$I$31),-PMT('Interest Rate'!$J$16,'Incremental Repayments'!$I$31,(HLOOKUP($D105,$E$4:$CZ$32,28,FALSE)*'Incremental Repayments'!$I$22)),0),0)</f>
        <v>0</v>
      </c>
      <c r="AB105" s="477">
        <f>IF('Incremental Repayments'!$R$22="Debt",IF(AND(AB$4&gt;=$D105,AB$4&lt;$D105+'Incremental Repayments'!$I$31),-PMT('Interest Rate'!$J$16,'Incremental Repayments'!$I$31,(HLOOKUP($D105,$E$4:$CZ$32,28,FALSE)*'Incremental Repayments'!$I$22)),0),0)</f>
        <v>0</v>
      </c>
      <c r="AC105" s="477">
        <f>IF('Incremental Repayments'!$R$22="Debt",IF(AND(AC$4&gt;=$D105,AC$4&lt;$D105+'Incremental Repayments'!$I$31),-PMT('Interest Rate'!$J$16,'Incremental Repayments'!$I$31,(HLOOKUP($D105,$E$4:$CZ$32,28,FALSE)*'Incremental Repayments'!$I$22)),0),0)</f>
        <v>0</v>
      </c>
      <c r="AD105" s="477">
        <f>IF('Incremental Repayments'!$R$22="Debt",IF(AND(AD$4&gt;=$D105,AD$4&lt;$D105+'Incremental Repayments'!$I$31),-PMT('Interest Rate'!$J$16,'Incremental Repayments'!$I$31,(HLOOKUP($D105,$E$4:$CZ$32,28,FALSE)*'Incremental Repayments'!$I$22)),0),0)</f>
        <v>0</v>
      </c>
      <c r="AE105" s="477">
        <f>IF('Incremental Repayments'!$R$22="Debt",IF(AND(AE$4&gt;=$D105,AE$4&lt;$D105+'Incremental Repayments'!$I$31),-PMT('Interest Rate'!$J$16,'Incremental Repayments'!$I$31,(HLOOKUP($D105,$E$4:$CZ$32,28,FALSE)*'Incremental Repayments'!$I$22)),0),0)</f>
        <v>0</v>
      </c>
      <c r="AF105" s="477">
        <f>IF('Incremental Repayments'!$R$22="Debt",IF(AND(AF$4&gt;=$D105,AF$4&lt;$D105+'Incremental Repayments'!$I$31),-PMT('Interest Rate'!$J$16,'Incremental Repayments'!$I$31,(HLOOKUP($D105,$E$4:$CZ$32,28,FALSE)*'Incremental Repayments'!$I$22)),0),0)</f>
        <v>0</v>
      </c>
      <c r="AG105" s="477">
        <f>IF('Incremental Repayments'!$R$22="Debt",IF(AND(AG$4&gt;=$D105,AG$4&lt;$D105+'Incremental Repayments'!$I$31),-PMT('Interest Rate'!$J$16,'Incremental Repayments'!$I$31,(HLOOKUP($D105,$E$4:$CZ$32,28,FALSE)*'Incremental Repayments'!$I$22)),0),0)</f>
        <v>0</v>
      </c>
      <c r="AH105" s="477">
        <f>IF('Incremental Repayments'!$R$22="Debt",IF(AND(AH$4&gt;=$D105,AH$4&lt;$D105+'Incremental Repayments'!$I$31),-PMT('Interest Rate'!$J$16,'Incremental Repayments'!$I$31,(HLOOKUP($D105,$E$4:$CZ$32,28,FALSE)*'Incremental Repayments'!$I$22)),0),0)</f>
        <v>0</v>
      </c>
      <c r="AI105" s="477">
        <f>IF('Incremental Repayments'!$R$22="Debt",IF(AND(AI$4&gt;=$D105,AI$4&lt;$D105+'Incremental Repayments'!$I$31),-PMT('Interest Rate'!$J$16,'Incremental Repayments'!$I$31,(HLOOKUP($D105,$E$4:$CZ$32,28,FALSE)*'Incremental Repayments'!$I$22)),0),0)</f>
        <v>0</v>
      </c>
      <c r="AJ105" s="477">
        <f>IF('Incremental Repayments'!$R$22="Debt",IF(AND(AJ$4&gt;=$D105,AJ$4&lt;$D105+'Incremental Repayments'!$I$31),-PMT('Interest Rate'!$J$16,'Incremental Repayments'!$I$31,(HLOOKUP($D105,$E$4:$CZ$32,28,FALSE)*'Incremental Repayments'!$I$22)),0),0)</f>
        <v>0</v>
      </c>
      <c r="AK105" s="477">
        <f>IF('Incremental Repayments'!$R$22="Debt",IF(AND(AK$4&gt;=$D105,AK$4&lt;$D105+'Incremental Repayments'!$I$31),-PMT('Interest Rate'!$J$16,'Incremental Repayments'!$I$31,(HLOOKUP($D105,$E$4:$CZ$32,28,FALSE)*'Incremental Repayments'!$I$22)),0),0)</f>
        <v>0</v>
      </c>
      <c r="AL105" s="477">
        <f>IF('Incremental Repayments'!$R$22="Debt",IF(AND(AL$4&gt;=$D105,AL$4&lt;$D105+'Incremental Repayments'!$I$31),-PMT('Interest Rate'!$J$16,'Incremental Repayments'!$I$31,(HLOOKUP($D105,$E$4:$CZ$32,28,FALSE)*'Incremental Repayments'!$I$22)),0),0)</f>
        <v>0</v>
      </c>
      <c r="AM105" s="477">
        <f>IF('Incremental Repayments'!$R$22="Debt",IF(AND(AM$4&gt;=$D105,AM$4&lt;$D105+'Incremental Repayments'!$I$31),-PMT('Interest Rate'!$J$16,'Incremental Repayments'!$I$31,(HLOOKUP($D105,$E$4:$CZ$32,28,FALSE)*'Incremental Repayments'!$I$22)),0),0)</f>
        <v>0</v>
      </c>
      <c r="AN105" s="477">
        <f>IF('Incremental Repayments'!$R$22="Debt",IF(AND(AN$4&gt;=$D105,AN$4&lt;$D105+'Incremental Repayments'!$I$31),-PMT('Interest Rate'!$J$16,'Incremental Repayments'!$I$31,(HLOOKUP($D105,$E$4:$CZ$32,28,FALSE)*'Incremental Repayments'!$I$22)),0),0)</f>
        <v>0</v>
      </c>
      <c r="AO105" s="477">
        <f>IF('Incremental Repayments'!$R$22="Debt",IF(AND(AO$4&gt;=$D105,AO$4&lt;$D105+'Incremental Repayments'!$I$31),-PMT('Interest Rate'!$J$16,'Incremental Repayments'!$I$31,(HLOOKUP($D105,$E$4:$CZ$32,28,FALSE)*'Incremental Repayments'!$I$22)),0),0)</f>
        <v>0</v>
      </c>
      <c r="AP105" s="477">
        <f>IF('Incremental Repayments'!$R$22="Debt",IF(AND(AP$4&gt;=$D105,AP$4&lt;$D105+'Incremental Repayments'!$I$31),-PMT('Interest Rate'!$J$16,'Incremental Repayments'!$I$31,(HLOOKUP($D105,$E$4:$CZ$32,28,FALSE)*'Incremental Repayments'!$I$22)),0),0)</f>
        <v>0</v>
      </c>
      <c r="AQ105" s="477">
        <f>IF('Incremental Repayments'!$R$22="Debt",IF(AND(AQ$4&gt;=$D105,AQ$4&lt;$D105+'Incremental Repayments'!$I$31),-PMT('Interest Rate'!$J$16,'Incremental Repayments'!$I$31,(HLOOKUP($D105,$E$4:$CZ$32,28,FALSE)*'Incremental Repayments'!$I$22)),0),0)</f>
        <v>0</v>
      </c>
      <c r="AR105" s="477">
        <f>IF('Incremental Repayments'!$R$22="Debt",IF(AND(AR$4&gt;=$D105,AR$4&lt;$D105+'Incremental Repayments'!$I$31),-PMT('Interest Rate'!$J$16,'Incremental Repayments'!$I$31,(HLOOKUP($D105,$E$4:$CZ$32,28,FALSE)*'Incremental Repayments'!$I$22)),0),0)</f>
        <v>0</v>
      </c>
      <c r="AS105" s="477">
        <f>IF('Incremental Repayments'!$R$22="Debt",IF(AND(AS$4&gt;=$D105,AS$4&lt;$D105+'Incremental Repayments'!$I$31),-PMT('Interest Rate'!$J$16,'Incremental Repayments'!$I$31,(HLOOKUP($D105,$E$4:$CZ$32,28,FALSE)*'Incremental Repayments'!$I$22)),0),0)</f>
        <v>0</v>
      </c>
      <c r="AT105" s="477">
        <f>IF('Incremental Repayments'!$R$22="Debt",IF(AND(AT$4&gt;=$D105,AT$4&lt;$D105+'Incremental Repayments'!$I$31),-PMT('Interest Rate'!$J$16,'Incremental Repayments'!$I$31,(HLOOKUP($D105,$E$4:$CZ$32,28,FALSE)*'Incremental Repayments'!$I$22)),0),0)</f>
        <v>0</v>
      </c>
      <c r="AU105" s="477">
        <f>IF('Incremental Repayments'!$R$22="Debt",IF(AND(AU$4&gt;=$D105,AU$4&lt;$D105+'Incremental Repayments'!$I$31),-PMT('Interest Rate'!$J$16,'Incremental Repayments'!$I$31,(HLOOKUP($D105,$E$4:$CZ$32,28,FALSE)*'Incremental Repayments'!$I$22)),0),0)</f>
        <v>0</v>
      </c>
      <c r="AV105" s="477">
        <f>IF('Incremental Repayments'!$R$22="Debt",IF(AND(AV$4&gt;=$D105,AV$4&lt;$D105+'Incremental Repayments'!$I$31),-PMT('Interest Rate'!$J$16,'Incremental Repayments'!$I$31,(HLOOKUP($D105,$E$4:$CZ$32,28,FALSE)*'Incremental Repayments'!$I$22)),0),0)</f>
        <v>0</v>
      </c>
      <c r="AW105" s="477">
        <f>IF('Incremental Repayments'!$R$22="Debt",IF(AND(AW$4&gt;=$D105,AW$4&lt;$D105+'Incremental Repayments'!$I$31),-PMT('Interest Rate'!$J$16,'Incremental Repayments'!$I$31,(HLOOKUP($D105,$E$4:$CZ$32,28,FALSE)*'Incremental Repayments'!$I$22)),0),0)</f>
        <v>0</v>
      </c>
      <c r="AX105" s="477">
        <f>IF('Incremental Repayments'!$R$22="Debt",IF(AND(AX$4&gt;=$D105,AX$4&lt;$D105+'Incremental Repayments'!$I$31),-PMT('Interest Rate'!$J$16,'Incremental Repayments'!$I$31,(HLOOKUP($D105,$E$4:$CZ$32,28,FALSE)*'Incremental Repayments'!$I$22)),0),0)</f>
        <v>0</v>
      </c>
      <c r="AY105" s="477">
        <f>IF('Incremental Repayments'!$R$22="Debt",IF(AND(AY$4&gt;=$D105,AY$4&lt;$D105+'Incremental Repayments'!$I$31),-PMT('Interest Rate'!$J$16,'Incremental Repayments'!$I$31,(HLOOKUP($D105,$E$4:$CZ$32,28,FALSE)*'Incremental Repayments'!$I$22)),0),0)</f>
        <v>0</v>
      </c>
      <c r="AZ105" s="477">
        <f>IF('Incremental Repayments'!$R$22="Debt",IF(AND(AZ$4&gt;=$D105,AZ$4&lt;$D105+'Incremental Repayments'!$I$31),-PMT('Interest Rate'!$J$16,'Incremental Repayments'!$I$31,(HLOOKUP($D105,$E$4:$CZ$32,28,FALSE)*'Incremental Repayments'!$I$22)),0),0)</f>
        <v>0</v>
      </c>
      <c r="BA105" s="477">
        <f>IF('Incremental Repayments'!$R$22="Debt",IF(AND(BA$4&gt;=$D105,BA$4&lt;$D105+'Incremental Repayments'!$I$31),-PMT('Interest Rate'!$J$16,'Incremental Repayments'!$I$31,(HLOOKUP($D105,$E$4:$CZ$32,28,FALSE)*'Incremental Repayments'!$I$22)),0),0)</f>
        <v>0</v>
      </c>
      <c r="BB105" s="477">
        <f>IF('Incremental Repayments'!$R$22="Debt",IF(AND(BB$4&gt;=$D105,BB$4&lt;$D105+'Incremental Repayments'!$I$31),-PMT('Interest Rate'!$J$16,'Incremental Repayments'!$I$31,(HLOOKUP($D105,$E$4:$CZ$32,28,FALSE)*'Incremental Repayments'!$I$22)),0),0)</f>
        <v>0</v>
      </c>
      <c r="BC105" s="477">
        <f>IF('Incremental Repayments'!$R$22="Debt",IF(AND(BC$4&gt;=$D105,BC$4&lt;$D105+'Incremental Repayments'!$I$31),-PMT('Interest Rate'!$J$16,'Incremental Repayments'!$I$31,(HLOOKUP($D105,$E$4:$CZ$32,28,FALSE)*'Incremental Repayments'!$I$22)),0),0)</f>
        <v>0</v>
      </c>
      <c r="BD105" s="477">
        <f>IF('Incremental Repayments'!$R$22="Debt",IF(AND(BD$4&gt;=$D105,BD$4&lt;$D105+'Incremental Repayments'!$I$31),-PMT('Interest Rate'!$J$16,'Incremental Repayments'!$I$31,(HLOOKUP($D105,$E$4:$CZ$32,28,FALSE)*'Incremental Repayments'!$I$22)),0),0)</f>
        <v>0</v>
      </c>
      <c r="BE105" s="477">
        <f>IF('Incremental Repayments'!$R$22="Debt",IF(AND(BE$4&gt;=$D105,BE$4&lt;$D105+'Incremental Repayments'!$I$31),-PMT('Interest Rate'!$J$16,'Incremental Repayments'!$I$31,(HLOOKUP($D105,$E$4:$CZ$32,28,FALSE)*'Incremental Repayments'!$I$22)),0),0)</f>
        <v>0</v>
      </c>
      <c r="BF105" s="477">
        <f>IF('Incremental Repayments'!$R$22="Debt",IF(AND(BF$4&gt;=$D105,BF$4&lt;$D105+'Incremental Repayments'!$I$31),-PMT('Interest Rate'!$J$16,'Incremental Repayments'!$I$31,(HLOOKUP($D105,$E$4:$CZ$32,28,FALSE)*'Incremental Repayments'!$I$22)),0),0)</f>
        <v>0</v>
      </c>
      <c r="BG105" s="477">
        <f>IF('Incremental Repayments'!$R$22="Debt",IF(AND(BG$4&gt;=$D105,BG$4&lt;$D105+'Incremental Repayments'!$I$31),-PMT('Interest Rate'!$J$16,'Incremental Repayments'!$I$31,(HLOOKUP($D105,$E$4:$CZ$32,28,FALSE)*'Incremental Repayments'!$I$22)),0),0)</f>
        <v>0</v>
      </c>
      <c r="BH105" s="477">
        <f>IF('Incremental Repayments'!$R$22="Debt",IF(AND(BH$4&gt;=$D105,BH$4&lt;$D105+'Incremental Repayments'!$I$31),-PMT('Interest Rate'!$J$16,'Incremental Repayments'!$I$31,(HLOOKUP($D105,$E$4:$CZ$32,28,FALSE)*'Incremental Repayments'!$I$22)),0),0)</f>
        <v>0</v>
      </c>
      <c r="BI105" s="477">
        <f>IF('Incremental Repayments'!$R$22="Debt",IF(AND(BI$4&gt;=$D105,BI$4&lt;$D105+'Incremental Repayments'!$I$31),-PMT('Interest Rate'!$J$16,'Incremental Repayments'!$I$31,(HLOOKUP($D105,$E$4:$CZ$32,28,FALSE)*'Incremental Repayments'!$I$22)),0),0)</f>
        <v>0</v>
      </c>
      <c r="BJ105" s="477">
        <f>IF('Incremental Repayments'!$R$22="Debt",IF(AND(BJ$4&gt;=$D105,BJ$4&lt;$D105+'Incremental Repayments'!$I$31),-PMT('Interest Rate'!$J$16,'Incremental Repayments'!$I$31,(HLOOKUP($D105,$E$4:$CZ$32,28,FALSE)*'Incremental Repayments'!$I$22)),0),0)</f>
        <v>0</v>
      </c>
      <c r="BK105" s="477">
        <f>IF('Incremental Repayments'!$R$22="Debt",IF(AND(BK$4&gt;=$D105,BK$4&lt;$D105+'Incremental Repayments'!$I$31),-PMT('Interest Rate'!$J$16,'Incremental Repayments'!$I$31,(HLOOKUP($D105,$E$4:$CZ$32,28,FALSE)*'Incremental Repayments'!$I$22)),0),0)</f>
        <v>0</v>
      </c>
      <c r="BL105" s="477">
        <f>IF('Incremental Repayments'!$R$22="Debt",IF(AND(BL$4&gt;=$D105,BL$4&lt;$D105+'Incremental Repayments'!$I$31),-PMT('Interest Rate'!$J$16,'Incremental Repayments'!$I$31,(HLOOKUP($D105,$E$4:$CZ$32,28,FALSE)*'Incremental Repayments'!$I$22)),0),0)</f>
        <v>0</v>
      </c>
      <c r="BM105" s="477">
        <f>IF('Incremental Repayments'!$R$22="Debt",IF(AND(BM$4&gt;=$D105,BM$4&lt;$D105+'Incremental Repayments'!$I$31),-PMT('Interest Rate'!$J$16,'Incremental Repayments'!$I$31,(HLOOKUP($D105,$E$4:$CZ$32,28,FALSE)*'Incremental Repayments'!$I$22)),0),0)</f>
        <v>0</v>
      </c>
      <c r="BN105" s="477">
        <f>IF('Incremental Repayments'!$R$22="Debt",IF(AND(BN$4&gt;=$D105,BN$4&lt;$D105+'Incremental Repayments'!$I$31),-PMT('Interest Rate'!$J$16,'Incremental Repayments'!$I$31,(HLOOKUP($D105,$E$4:$CZ$32,28,FALSE)*'Incremental Repayments'!$I$22)),0),0)</f>
        <v>0</v>
      </c>
      <c r="BO105" s="477">
        <f>IF('Incremental Repayments'!$R$22="Debt",IF(AND(BO$4&gt;=$D105,BO$4&lt;$D105+'Incremental Repayments'!$I$31),-PMT('Interest Rate'!$J$16,'Incremental Repayments'!$I$31,(HLOOKUP($D105,$E$4:$CZ$32,28,FALSE)*'Incremental Repayments'!$I$22)),0),0)</f>
        <v>0</v>
      </c>
      <c r="BP105" s="477">
        <f>IF('Incremental Repayments'!$R$22="Debt",IF(AND(BP$4&gt;=$D105,BP$4&lt;$D105+'Incremental Repayments'!$I$31),-PMT('Interest Rate'!$J$16,'Incremental Repayments'!$I$31,(HLOOKUP($D105,$E$4:$CZ$32,28,FALSE)*'Incremental Repayments'!$I$22)),0),0)</f>
        <v>0</v>
      </c>
      <c r="BQ105" s="477">
        <f>IF('Incremental Repayments'!$R$22="Debt",IF(AND(BQ$4&gt;=$D105,BQ$4&lt;$D105+'Incremental Repayments'!$I$31),-PMT('Interest Rate'!$J$16,'Incremental Repayments'!$I$31,(HLOOKUP($D105,$E$4:$CZ$32,28,FALSE)*'Incremental Repayments'!$I$22)),0),0)</f>
        <v>0</v>
      </c>
      <c r="BR105" s="477">
        <f>IF('Incremental Repayments'!$R$22="Debt",IF(AND(BR$4&gt;=$D105,BR$4&lt;$D105+'Incremental Repayments'!$I$31),-PMT('Interest Rate'!$J$16,'Incremental Repayments'!$I$31,(HLOOKUP($D105,$E$4:$CZ$32,28,FALSE)*'Incremental Repayments'!$I$22)),0),0)</f>
        <v>0</v>
      </c>
      <c r="BS105" s="477">
        <f>IF('Incremental Repayments'!$R$22="Debt",IF(AND(BS$4&gt;=$D105,BS$4&lt;$D105+'Incremental Repayments'!$I$31),-PMT('Interest Rate'!$J$16,'Incremental Repayments'!$I$31,(HLOOKUP($D105,$E$4:$CZ$32,28,FALSE)*'Incremental Repayments'!$I$22)),0),0)</f>
        <v>0</v>
      </c>
      <c r="BT105" s="477">
        <f>IF('Incremental Repayments'!$R$22="Debt",IF(AND(BT$4&gt;=$D105,BT$4&lt;$D105+'Incremental Repayments'!$I$31),-PMT('Interest Rate'!$J$16,'Incremental Repayments'!$I$31,(HLOOKUP($D105,$E$4:$CZ$32,28,FALSE)*'Incremental Repayments'!$I$22)),0),0)</f>
        <v>0</v>
      </c>
      <c r="BU105" s="477">
        <f>IF('Incremental Repayments'!$R$22="Debt",IF(AND(BU$4&gt;=$D105,BU$4&lt;$D105+'Incremental Repayments'!$I$31),-PMT('Interest Rate'!$J$16,'Incremental Repayments'!$I$31,(HLOOKUP($D105,$E$4:$CZ$32,28,FALSE)*'Incremental Repayments'!$I$22)),0),0)</f>
        <v>0</v>
      </c>
      <c r="BV105" s="477">
        <f>IF('Incremental Repayments'!$R$22="Debt",IF(AND(BV$4&gt;=$D105,BV$4&lt;$D105+'Incremental Repayments'!$I$31),-PMT('Interest Rate'!$J$16,'Incremental Repayments'!$I$31,(HLOOKUP($D105,$E$4:$CZ$32,28,FALSE)*'Incremental Repayments'!$I$22)),0),0)</f>
        <v>0</v>
      </c>
      <c r="BW105" s="477">
        <f>IF('Incremental Repayments'!$R$22="Debt",IF(AND(BW$4&gt;=$D105,BW$4&lt;$D105+'Incremental Repayments'!$I$31),-PMT('Interest Rate'!$J$16,'Incremental Repayments'!$I$31,(HLOOKUP($D105,$E$4:$CZ$32,28,FALSE)*'Incremental Repayments'!$I$22)),0),0)</f>
        <v>0</v>
      </c>
      <c r="BX105" s="477">
        <f>IF('Incremental Repayments'!$R$22="Debt",IF(AND(BX$4&gt;=$D105,BX$4&lt;$D105+'Incremental Repayments'!$I$31),-PMT('Interest Rate'!$J$16,'Incremental Repayments'!$I$31,(HLOOKUP($D105,$E$4:$CZ$32,28,FALSE)*'Incremental Repayments'!$I$22)),0),0)</f>
        <v>0</v>
      </c>
      <c r="BY105" s="477">
        <f>IF('Incremental Repayments'!$R$22="Debt",IF(AND(BY$4&gt;=$D105,BY$4&lt;$D105+'Incremental Repayments'!$I$31),-PMT('Interest Rate'!$J$16,'Incremental Repayments'!$I$31,(HLOOKUP($D105,$E$4:$CZ$32,28,FALSE)*'Incremental Repayments'!$I$22)),0),0)</f>
        <v>0</v>
      </c>
      <c r="BZ105" s="477">
        <f>IF('Incremental Repayments'!$R$22="Debt",IF(AND(BZ$4&gt;=$D105,BZ$4&lt;$D105+'Incremental Repayments'!$I$31),-PMT('Interest Rate'!$J$16,'Incremental Repayments'!$I$31,(HLOOKUP($D105,$E$4:$CZ$32,28,FALSE)*'Incremental Repayments'!$I$22)),0),0)</f>
        <v>0</v>
      </c>
      <c r="CA105" s="477">
        <f>IF('Incremental Repayments'!$R$22="Debt",IF(AND(CA$4&gt;=$D105,CA$4&lt;$D105+'Incremental Repayments'!$I$31),-PMT('Interest Rate'!$J$16,'Incremental Repayments'!$I$31,(HLOOKUP($D105,$E$4:$CZ$32,28,FALSE)*'Incremental Repayments'!$I$22)),0),0)</f>
        <v>0</v>
      </c>
      <c r="CB105" s="477">
        <f>IF('Incremental Repayments'!$R$22="Debt",IF(AND(CB$4&gt;=$D105,CB$4&lt;$D105+'Incremental Repayments'!$I$31),-PMT('Interest Rate'!$J$16,'Incremental Repayments'!$I$31,(HLOOKUP($D105,$E$4:$CZ$32,28,FALSE)*'Incremental Repayments'!$I$22)),0),0)</f>
        <v>0</v>
      </c>
      <c r="CC105" s="477">
        <f>IF('Incremental Repayments'!$R$22="Debt",IF(AND(CC$4&gt;=$D105,CC$4&lt;$D105+'Incremental Repayments'!$I$31),-PMT('Interest Rate'!$J$16,'Incremental Repayments'!$I$31,(HLOOKUP($D105,$E$4:$CZ$32,28,FALSE)*'Incremental Repayments'!$I$22)),0),0)</f>
        <v>0</v>
      </c>
      <c r="CD105" s="477">
        <f>IF('Incremental Repayments'!$R$22="Debt",IF(AND(CD$4&gt;=$D105,CD$4&lt;$D105+'Incremental Repayments'!$I$31),-PMT('Interest Rate'!$J$16,'Incremental Repayments'!$I$31,(HLOOKUP($D105,$E$4:$CZ$32,28,FALSE)*'Incremental Repayments'!$I$22)),0),0)</f>
        <v>0</v>
      </c>
      <c r="CE105" s="477">
        <f>IF('Incremental Repayments'!$R$22="Debt",IF(AND(CE$4&gt;=$D105,CE$4&lt;$D105+'Incremental Repayments'!$I$31),-PMT('Interest Rate'!$J$16,'Incremental Repayments'!$I$31,(HLOOKUP($D105,$E$4:$CZ$32,28,FALSE)*'Incremental Repayments'!$I$22)),0),0)</f>
        <v>0</v>
      </c>
      <c r="CF105" s="477">
        <f>IF('Incremental Repayments'!$R$22="Debt",IF(AND(CF$4&gt;=$D105,CF$4&lt;$D105+'Incremental Repayments'!$I$31),-PMT('Interest Rate'!$J$16,'Incremental Repayments'!$I$31,(HLOOKUP($D105,$E$4:$CZ$32,28,FALSE)*'Incremental Repayments'!$I$22)),0),0)</f>
        <v>0</v>
      </c>
      <c r="CG105" s="477">
        <f>IF('Incremental Repayments'!$R$22="Debt",IF(AND(CG$4&gt;=$D105,CG$4&lt;$D105+'Incremental Repayments'!$I$31),-PMT('Interest Rate'!$J$16,'Incremental Repayments'!$I$31,(HLOOKUP($D105,$E$4:$CZ$32,28,FALSE)*'Incremental Repayments'!$I$22)),0),0)</f>
        <v>0</v>
      </c>
      <c r="CH105" s="477">
        <f>IF('Incremental Repayments'!$R$22="Debt",IF(AND(CH$4&gt;=$D105,CH$4&lt;$D105+'Incremental Repayments'!$I$31),-PMT('Interest Rate'!$J$16,'Incremental Repayments'!$I$31,(HLOOKUP($D105,$E$4:$CZ$32,28,FALSE)*'Incremental Repayments'!$I$22)),0),0)</f>
        <v>0</v>
      </c>
      <c r="CI105" s="477">
        <f>IF('Incremental Repayments'!$R$22="Debt",IF(AND(CI$4&gt;=$D105,CI$4&lt;$D105+'Incremental Repayments'!$I$31),-PMT('Interest Rate'!$J$16,'Incremental Repayments'!$I$31,(HLOOKUP($D105,$E$4:$CZ$32,28,FALSE)*'Incremental Repayments'!$I$22)),0),0)</f>
        <v>0</v>
      </c>
      <c r="CJ105" s="477">
        <f>IF('Incremental Repayments'!$R$22="Debt",IF(AND(CJ$4&gt;=$D105,CJ$4&lt;$D105+'Incremental Repayments'!$I$31),-PMT('Interest Rate'!$J$16,'Incremental Repayments'!$I$31,(HLOOKUP($D105,$E$4:$CZ$32,28,FALSE)*'Incremental Repayments'!$I$22)),0),0)</f>
        <v>0</v>
      </c>
      <c r="CK105" s="477">
        <f>IF('Incremental Repayments'!$R$22="Debt",IF(AND(CK$4&gt;=$D105,CK$4&lt;$D105+'Incremental Repayments'!$I$31),-PMT('Interest Rate'!$J$16,'Incremental Repayments'!$I$31,(HLOOKUP($D105,$E$4:$CZ$32,28,FALSE)*'Incremental Repayments'!$I$22)),0),0)</f>
        <v>0</v>
      </c>
      <c r="CL105" s="477">
        <f>IF('Incremental Repayments'!$R$22="Debt",IF(AND(CL$4&gt;=$D105,CL$4&lt;$D105+'Incremental Repayments'!$I$31),-PMT('Interest Rate'!$J$16,'Incremental Repayments'!$I$31,(HLOOKUP($D105,$E$4:$CZ$32,28,FALSE)*'Incremental Repayments'!$I$22)),0),0)</f>
        <v>0</v>
      </c>
      <c r="CM105" s="477">
        <f>IF('Incremental Repayments'!$R$22="Debt",IF(AND(CM$4&gt;=$D105,CM$4&lt;$D105+'Incremental Repayments'!$I$31),-PMT('Interest Rate'!$J$16,'Incremental Repayments'!$I$31,(HLOOKUP($D105,$E$4:$CZ$32,28,FALSE)*'Incremental Repayments'!$I$22)),0),0)</f>
        <v>0</v>
      </c>
      <c r="CN105" s="477">
        <f>IF('Incremental Repayments'!$R$22="Debt",IF(AND(CN$4&gt;=$D105,CN$4&lt;$D105+'Incremental Repayments'!$I$31),-PMT('Interest Rate'!$J$16,'Incremental Repayments'!$I$31,(HLOOKUP($D105,$E$4:$CZ$32,28,FALSE)*'Incremental Repayments'!$I$22)),0),0)</f>
        <v>0</v>
      </c>
      <c r="CO105" s="477">
        <f>IF('Incremental Repayments'!$R$22="Debt",IF(AND(CO$4&gt;=$D105,CO$4&lt;$D105+'Incremental Repayments'!$I$31),-PMT('Interest Rate'!$J$16,'Incremental Repayments'!$I$31,(HLOOKUP($D105,$E$4:$CZ$32,28,FALSE)*'Incremental Repayments'!$I$22)),0),0)</f>
        <v>0</v>
      </c>
      <c r="CP105" s="477">
        <f>IF('Incremental Repayments'!$R$22="Debt",IF(AND(CP$4&gt;=$D105,CP$4&lt;$D105+'Incremental Repayments'!$I$31),-PMT('Interest Rate'!$J$16,'Incremental Repayments'!$I$31,(HLOOKUP($D105,$E$4:$CZ$32,28,FALSE)*'Incremental Repayments'!$I$22)),0),0)</f>
        <v>0</v>
      </c>
      <c r="CQ105" s="477">
        <f>IF('Incremental Repayments'!$R$22="Debt",IF(AND(CQ$4&gt;=$D105,CQ$4&lt;$D105+'Incremental Repayments'!$I$31),-PMT('Interest Rate'!$J$16,'Incremental Repayments'!$I$31,(HLOOKUP($D105,$E$4:$CZ$32,28,FALSE)*'Incremental Repayments'!$I$22)),0),0)</f>
        <v>0</v>
      </c>
      <c r="CR105" s="477">
        <f>IF('Incremental Repayments'!$R$22="Debt",IF(AND(CR$4&gt;=$D105,CR$4&lt;$D105+'Incremental Repayments'!$I$31),-PMT('Interest Rate'!$J$16,'Incremental Repayments'!$I$31,(HLOOKUP($D105,$E$4:$CZ$32,28,FALSE)*'Incremental Repayments'!$I$22)),0),0)</f>
        <v>0</v>
      </c>
      <c r="CS105" s="477">
        <f>IF('Incremental Repayments'!$R$22="Debt",IF(AND(CS$4&gt;=$D105,CS$4&lt;$D105+'Incremental Repayments'!$I$31),-PMT('Interest Rate'!$J$16,'Incremental Repayments'!$I$31,(HLOOKUP($D105,$E$4:$CZ$32,28,FALSE)*'Incremental Repayments'!$I$22)),0),0)</f>
        <v>0</v>
      </c>
      <c r="CT105" s="477">
        <f>IF('Incremental Repayments'!$R$22="Debt",IF(AND(CT$4&gt;=$D105,CT$4&lt;$D105+'Incremental Repayments'!$I$31),-PMT('Interest Rate'!$J$16,'Incremental Repayments'!$I$31,(HLOOKUP($D105,$E$4:$CZ$32,28,FALSE)*'Incremental Repayments'!$I$22)),0),0)</f>
        <v>0</v>
      </c>
      <c r="CU105" s="477">
        <f>IF('Incremental Repayments'!$R$22="Debt",IF(AND(CU$4&gt;=$D105,CU$4&lt;$D105+'Incremental Repayments'!$I$31),-PMT('Interest Rate'!$J$16,'Incremental Repayments'!$I$31,(HLOOKUP($D105,$E$4:$CZ$32,28,FALSE)*'Incremental Repayments'!$I$22)),0),0)</f>
        <v>0</v>
      </c>
      <c r="CV105" s="477">
        <f>IF('Incremental Repayments'!$R$22="Debt",IF(AND(CV$4&gt;=$D105,CV$4&lt;$D105+'Incremental Repayments'!$I$31),-PMT('Interest Rate'!$J$16,'Incremental Repayments'!$I$31,(HLOOKUP($D105,$E$4:$CZ$32,28,FALSE)*'Incremental Repayments'!$I$22)),0),0)</f>
        <v>0</v>
      </c>
      <c r="CW105" s="477">
        <f>IF('Incremental Repayments'!$R$22="Debt",IF(AND(CW$4&gt;=$D105,CW$4&lt;$D105+'Incremental Repayments'!$I$31),-PMT('Interest Rate'!$J$16,'Incremental Repayments'!$I$31,(HLOOKUP($D105,$E$4:$CZ$32,28,FALSE)*'Incremental Repayments'!$I$22)),0),0)</f>
        <v>0</v>
      </c>
      <c r="CX105" s="477">
        <f>IF('Incremental Repayments'!$R$22="Debt",IF(AND(CX$4&gt;=$D105,CX$4&lt;$D105+'Incremental Repayments'!$I$31),-PMT('Interest Rate'!$J$16,'Incremental Repayments'!$I$31,(HLOOKUP($D105,$E$4:$CZ$32,28,FALSE)*'Incremental Repayments'!$I$22)),0),0)</f>
        <v>0</v>
      </c>
      <c r="CY105" s="477">
        <f>IF('Incremental Repayments'!$R$22="Debt",IF(AND(CY$4&gt;=$D105,CY$4&lt;$D105+'Incremental Repayments'!$I$31),-PMT('Interest Rate'!$J$16,'Incremental Repayments'!$I$31,(HLOOKUP($D105,$E$4:$CZ$32,28,FALSE)*'Incremental Repayments'!$I$22)),0),0)</f>
        <v>0</v>
      </c>
      <c r="CZ105" s="477">
        <f>IF('Incremental Repayments'!$R$22="Debt",IF(AND(CZ$4&gt;=$D105,CZ$4&lt;$D105+'Incremental Repayments'!$I$31),-PMT('Interest Rate'!$J$16,'Incremental Repayments'!$I$31,(HLOOKUP($D105,$E$4:$CZ$32,28,FALSE)*'Incremental Repayments'!$I$22)),0),0)</f>
        <v>0</v>
      </c>
    </row>
    <row r="106" spans="2:104" x14ac:dyDescent="0.25">
      <c r="B106" s="480" t="str">
        <f>CONCATENATE("Series ",D106,"A Bonds (at ",'Interest Rate'!$J$16*100,"% Interest)")</f>
        <v>Series 2084A Bonds (at 4.5% Interest)</v>
      </c>
      <c r="C106" s="480"/>
      <c r="D106" s="492">
        <f t="shared" si="495"/>
        <v>2084</v>
      </c>
      <c r="E106" s="477">
        <f>IF('Incremental Repayments'!$R$22="Debt",IF(AND(E$4&gt;=$D106,E$4&lt;$D106+'Incremental Repayments'!$I$31),-PMT('Interest Rate'!$J$16,'Incremental Repayments'!$I$31,(HLOOKUP($D106,$E$4:$CZ$32,28,FALSE)*'Incremental Repayments'!$I$22)),0),0)</f>
        <v>0</v>
      </c>
      <c r="F106" s="477">
        <f>IF('Incremental Repayments'!$R$22="Debt",IF(AND(F$4&gt;=$D106,F$4&lt;$D106+'Incremental Repayments'!$I$31),-PMT('Interest Rate'!$J$16,'Incremental Repayments'!$I$31,(HLOOKUP($D106,$E$4:$CZ$32,28,FALSE)*'Incremental Repayments'!$I$22)),0),0)</f>
        <v>0</v>
      </c>
      <c r="G106" s="477">
        <f>IF('Incremental Repayments'!$R$22="Debt",IF(AND(G$4&gt;=$D106,G$4&lt;$D106+'Incremental Repayments'!$I$31),-PMT('Interest Rate'!$J$16,'Incremental Repayments'!$I$31,(HLOOKUP($D106,$E$4:$CZ$32,28,FALSE)*'Incremental Repayments'!$I$22)),0),0)</f>
        <v>0</v>
      </c>
      <c r="H106" s="477">
        <f>IF('Incremental Repayments'!$R$22="Debt",IF(AND(H$4&gt;=$D106,H$4&lt;$D106+'Incremental Repayments'!$I$31),-PMT('Interest Rate'!$J$16,'Incremental Repayments'!$I$31,(HLOOKUP($D106,$E$4:$CZ$32,28,FALSE)*'Incremental Repayments'!$I$22)),0),0)</f>
        <v>0</v>
      </c>
      <c r="I106" s="477">
        <f>IF('Incremental Repayments'!$R$22="Debt",IF(AND(I$4&gt;=$D106,I$4&lt;$D106+'Incremental Repayments'!$I$31),-PMT('Interest Rate'!$J$16,'Incremental Repayments'!$I$31,(HLOOKUP($D106,$E$4:$CZ$32,28,FALSE)*'Incremental Repayments'!$I$22)),0),0)</f>
        <v>0</v>
      </c>
      <c r="J106" s="477">
        <f>IF('Incremental Repayments'!$R$22="Debt",IF(AND(J$4&gt;=$D106,J$4&lt;$D106+'Incremental Repayments'!$I$31),-PMT('Interest Rate'!$J$16,'Incremental Repayments'!$I$31,(HLOOKUP($D106,$E$4:$CZ$32,28,FALSE)*'Incremental Repayments'!$I$22)),0),0)</f>
        <v>0</v>
      </c>
      <c r="K106" s="477">
        <f>IF('Incremental Repayments'!$R$22="Debt",IF(AND(K$4&gt;=$D106,K$4&lt;$D106+'Incremental Repayments'!$I$31),-PMT('Interest Rate'!$J$16,'Incremental Repayments'!$I$31,(HLOOKUP($D106,$E$4:$CZ$32,28,FALSE)*'Incremental Repayments'!$I$22)),0),0)</f>
        <v>0</v>
      </c>
      <c r="L106" s="477">
        <f>IF('Incremental Repayments'!$R$22="Debt",IF(AND(L$4&gt;=$D106,L$4&lt;$D106+'Incremental Repayments'!$I$31),-PMT('Interest Rate'!$J$16,'Incremental Repayments'!$I$31,(HLOOKUP($D106,$E$4:$CZ$32,28,FALSE)*'Incremental Repayments'!$I$22)),0),0)</f>
        <v>0</v>
      </c>
      <c r="M106" s="477">
        <f>IF('Incremental Repayments'!$R$22="Debt",IF(AND(M$4&gt;=$D106,M$4&lt;$D106+'Incremental Repayments'!$I$31),-PMT('Interest Rate'!$J$16,'Incremental Repayments'!$I$31,(HLOOKUP($D106,$E$4:$CZ$32,28,FALSE)*'Incremental Repayments'!$I$22)),0),0)</f>
        <v>0</v>
      </c>
      <c r="N106" s="477">
        <f>IF('Incremental Repayments'!$R$22="Debt",IF(AND(N$4&gt;=$D106,N$4&lt;$D106+'Incremental Repayments'!$I$31),-PMT('Interest Rate'!$J$16,'Incremental Repayments'!$I$31,(HLOOKUP($D106,$E$4:$CZ$32,28,FALSE)*'Incremental Repayments'!$I$22)),0),0)</f>
        <v>0</v>
      </c>
      <c r="O106" s="477">
        <f>IF('Incremental Repayments'!$R$22="Debt",IF(AND(O$4&gt;=$D106,O$4&lt;$D106+'Incremental Repayments'!$I$31),-PMT('Interest Rate'!$J$16,'Incremental Repayments'!$I$31,(HLOOKUP($D106,$E$4:$CZ$32,28,FALSE)*'Incremental Repayments'!$I$22)),0),0)</f>
        <v>0</v>
      </c>
      <c r="P106" s="477">
        <f>IF('Incremental Repayments'!$R$22="Debt",IF(AND(P$4&gt;=$D106,P$4&lt;$D106+'Incremental Repayments'!$I$31),-PMT('Interest Rate'!$J$16,'Incremental Repayments'!$I$31,(HLOOKUP($D106,$E$4:$CZ$32,28,FALSE)*'Incremental Repayments'!$I$22)),0),0)</f>
        <v>0</v>
      </c>
      <c r="Q106" s="477">
        <f>IF('Incremental Repayments'!$R$22="Debt",IF(AND(Q$4&gt;=$D106,Q$4&lt;$D106+'Incremental Repayments'!$I$31),-PMT('Interest Rate'!$J$16,'Incremental Repayments'!$I$31,(HLOOKUP($D106,$E$4:$CZ$32,28,FALSE)*'Incremental Repayments'!$I$22)),0),0)</f>
        <v>0</v>
      </c>
      <c r="R106" s="477">
        <f>IF('Incremental Repayments'!$R$22="Debt",IF(AND(R$4&gt;=$D106,R$4&lt;$D106+'Incremental Repayments'!$I$31),-PMT('Interest Rate'!$J$16,'Incremental Repayments'!$I$31,(HLOOKUP($D106,$E$4:$CZ$32,28,FALSE)*'Incremental Repayments'!$I$22)),0),0)</f>
        <v>0</v>
      </c>
      <c r="S106" s="477">
        <f>IF('Incremental Repayments'!$R$22="Debt",IF(AND(S$4&gt;=$D106,S$4&lt;$D106+'Incremental Repayments'!$I$31),-PMT('Interest Rate'!$J$16,'Incremental Repayments'!$I$31,(HLOOKUP($D106,$E$4:$CZ$32,28,FALSE)*'Incremental Repayments'!$I$22)),0),0)</f>
        <v>0</v>
      </c>
      <c r="T106" s="477">
        <f>IF('Incremental Repayments'!$R$22="Debt",IF(AND(T$4&gt;=$D106,T$4&lt;$D106+'Incremental Repayments'!$I$31),-PMT('Interest Rate'!$J$16,'Incremental Repayments'!$I$31,(HLOOKUP($D106,$E$4:$CZ$32,28,FALSE)*'Incremental Repayments'!$I$22)),0),0)</f>
        <v>0</v>
      </c>
      <c r="U106" s="477">
        <f>IF('Incremental Repayments'!$R$22="Debt",IF(AND(U$4&gt;=$D106,U$4&lt;$D106+'Incremental Repayments'!$I$31),-PMT('Interest Rate'!$J$16,'Incremental Repayments'!$I$31,(HLOOKUP($D106,$E$4:$CZ$32,28,FALSE)*'Incremental Repayments'!$I$22)),0),0)</f>
        <v>0</v>
      </c>
      <c r="V106" s="477">
        <f>IF('Incremental Repayments'!$R$22="Debt",IF(AND(V$4&gt;=$D106,V$4&lt;$D106+'Incremental Repayments'!$I$31),-PMT('Interest Rate'!$J$16,'Incremental Repayments'!$I$31,(HLOOKUP($D106,$E$4:$CZ$32,28,FALSE)*'Incremental Repayments'!$I$22)),0),0)</f>
        <v>0</v>
      </c>
      <c r="W106" s="477">
        <f>IF('Incremental Repayments'!$R$22="Debt",IF(AND(W$4&gt;=$D106,W$4&lt;$D106+'Incremental Repayments'!$I$31),-PMT('Interest Rate'!$J$16,'Incremental Repayments'!$I$31,(HLOOKUP($D106,$E$4:$CZ$32,28,FALSE)*'Incremental Repayments'!$I$22)),0),0)</f>
        <v>0</v>
      </c>
      <c r="X106" s="477">
        <f>IF('Incremental Repayments'!$R$22="Debt",IF(AND(X$4&gt;=$D106,X$4&lt;$D106+'Incremental Repayments'!$I$31),-PMT('Interest Rate'!$J$16,'Incremental Repayments'!$I$31,(HLOOKUP($D106,$E$4:$CZ$32,28,FALSE)*'Incremental Repayments'!$I$22)),0),0)</f>
        <v>0</v>
      </c>
      <c r="Y106" s="477">
        <f>IF('Incremental Repayments'!$R$22="Debt",IF(AND(Y$4&gt;=$D106,Y$4&lt;$D106+'Incremental Repayments'!$I$31),-PMT('Interest Rate'!$J$16,'Incremental Repayments'!$I$31,(HLOOKUP($D106,$E$4:$CZ$32,28,FALSE)*'Incremental Repayments'!$I$22)),0),0)</f>
        <v>0</v>
      </c>
      <c r="Z106" s="477">
        <f>IF('Incremental Repayments'!$R$22="Debt",IF(AND(Z$4&gt;=$D106,Z$4&lt;$D106+'Incremental Repayments'!$I$31),-PMT('Interest Rate'!$J$16,'Incremental Repayments'!$I$31,(HLOOKUP($D106,$E$4:$CZ$32,28,FALSE)*'Incremental Repayments'!$I$22)),0),0)</f>
        <v>0</v>
      </c>
      <c r="AA106" s="477">
        <f>IF('Incremental Repayments'!$R$22="Debt",IF(AND(AA$4&gt;=$D106,AA$4&lt;$D106+'Incremental Repayments'!$I$31),-PMT('Interest Rate'!$J$16,'Incremental Repayments'!$I$31,(HLOOKUP($D106,$E$4:$CZ$32,28,FALSE)*'Incremental Repayments'!$I$22)),0),0)</f>
        <v>0</v>
      </c>
      <c r="AB106" s="477">
        <f>IF('Incremental Repayments'!$R$22="Debt",IF(AND(AB$4&gt;=$D106,AB$4&lt;$D106+'Incremental Repayments'!$I$31),-PMT('Interest Rate'!$J$16,'Incremental Repayments'!$I$31,(HLOOKUP($D106,$E$4:$CZ$32,28,FALSE)*'Incremental Repayments'!$I$22)),0),0)</f>
        <v>0</v>
      </c>
      <c r="AC106" s="477">
        <f>IF('Incremental Repayments'!$R$22="Debt",IF(AND(AC$4&gt;=$D106,AC$4&lt;$D106+'Incremental Repayments'!$I$31),-PMT('Interest Rate'!$J$16,'Incremental Repayments'!$I$31,(HLOOKUP($D106,$E$4:$CZ$32,28,FALSE)*'Incremental Repayments'!$I$22)),0),0)</f>
        <v>0</v>
      </c>
      <c r="AD106" s="477">
        <f>IF('Incremental Repayments'!$R$22="Debt",IF(AND(AD$4&gt;=$D106,AD$4&lt;$D106+'Incremental Repayments'!$I$31),-PMT('Interest Rate'!$J$16,'Incremental Repayments'!$I$31,(HLOOKUP($D106,$E$4:$CZ$32,28,FALSE)*'Incremental Repayments'!$I$22)),0),0)</f>
        <v>0</v>
      </c>
      <c r="AE106" s="477">
        <f>IF('Incremental Repayments'!$R$22="Debt",IF(AND(AE$4&gt;=$D106,AE$4&lt;$D106+'Incremental Repayments'!$I$31),-PMT('Interest Rate'!$J$16,'Incremental Repayments'!$I$31,(HLOOKUP($D106,$E$4:$CZ$32,28,FALSE)*'Incremental Repayments'!$I$22)),0),0)</f>
        <v>0</v>
      </c>
      <c r="AF106" s="477">
        <f>IF('Incremental Repayments'!$R$22="Debt",IF(AND(AF$4&gt;=$D106,AF$4&lt;$D106+'Incremental Repayments'!$I$31),-PMT('Interest Rate'!$J$16,'Incremental Repayments'!$I$31,(HLOOKUP($D106,$E$4:$CZ$32,28,FALSE)*'Incremental Repayments'!$I$22)),0),0)</f>
        <v>0</v>
      </c>
      <c r="AG106" s="477">
        <f>IF('Incremental Repayments'!$R$22="Debt",IF(AND(AG$4&gt;=$D106,AG$4&lt;$D106+'Incremental Repayments'!$I$31),-PMT('Interest Rate'!$J$16,'Incremental Repayments'!$I$31,(HLOOKUP($D106,$E$4:$CZ$32,28,FALSE)*'Incremental Repayments'!$I$22)),0),0)</f>
        <v>0</v>
      </c>
      <c r="AH106" s="477">
        <f>IF('Incremental Repayments'!$R$22="Debt",IF(AND(AH$4&gt;=$D106,AH$4&lt;$D106+'Incremental Repayments'!$I$31),-PMT('Interest Rate'!$J$16,'Incremental Repayments'!$I$31,(HLOOKUP($D106,$E$4:$CZ$32,28,FALSE)*'Incremental Repayments'!$I$22)),0),0)</f>
        <v>0</v>
      </c>
      <c r="AI106" s="477">
        <f>IF('Incremental Repayments'!$R$22="Debt",IF(AND(AI$4&gt;=$D106,AI$4&lt;$D106+'Incremental Repayments'!$I$31),-PMT('Interest Rate'!$J$16,'Incremental Repayments'!$I$31,(HLOOKUP($D106,$E$4:$CZ$32,28,FALSE)*'Incremental Repayments'!$I$22)),0),0)</f>
        <v>0</v>
      </c>
      <c r="AJ106" s="477">
        <f>IF('Incremental Repayments'!$R$22="Debt",IF(AND(AJ$4&gt;=$D106,AJ$4&lt;$D106+'Incremental Repayments'!$I$31),-PMT('Interest Rate'!$J$16,'Incremental Repayments'!$I$31,(HLOOKUP($D106,$E$4:$CZ$32,28,FALSE)*'Incremental Repayments'!$I$22)),0),0)</f>
        <v>0</v>
      </c>
      <c r="AK106" s="477">
        <f>IF('Incremental Repayments'!$R$22="Debt",IF(AND(AK$4&gt;=$D106,AK$4&lt;$D106+'Incremental Repayments'!$I$31),-PMT('Interest Rate'!$J$16,'Incremental Repayments'!$I$31,(HLOOKUP($D106,$E$4:$CZ$32,28,FALSE)*'Incremental Repayments'!$I$22)),0),0)</f>
        <v>0</v>
      </c>
      <c r="AL106" s="477">
        <f>IF('Incremental Repayments'!$R$22="Debt",IF(AND(AL$4&gt;=$D106,AL$4&lt;$D106+'Incremental Repayments'!$I$31),-PMT('Interest Rate'!$J$16,'Incremental Repayments'!$I$31,(HLOOKUP($D106,$E$4:$CZ$32,28,FALSE)*'Incremental Repayments'!$I$22)),0),0)</f>
        <v>0</v>
      </c>
      <c r="AM106" s="477">
        <f>IF('Incremental Repayments'!$R$22="Debt",IF(AND(AM$4&gt;=$D106,AM$4&lt;$D106+'Incremental Repayments'!$I$31),-PMT('Interest Rate'!$J$16,'Incremental Repayments'!$I$31,(HLOOKUP($D106,$E$4:$CZ$32,28,FALSE)*'Incremental Repayments'!$I$22)),0),0)</f>
        <v>0</v>
      </c>
      <c r="AN106" s="477">
        <f>IF('Incremental Repayments'!$R$22="Debt",IF(AND(AN$4&gt;=$D106,AN$4&lt;$D106+'Incremental Repayments'!$I$31),-PMT('Interest Rate'!$J$16,'Incremental Repayments'!$I$31,(HLOOKUP($D106,$E$4:$CZ$32,28,FALSE)*'Incremental Repayments'!$I$22)),0),0)</f>
        <v>0</v>
      </c>
      <c r="AO106" s="477">
        <f>IF('Incremental Repayments'!$R$22="Debt",IF(AND(AO$4&gt;=$D106,AO$4&lt;$D106+'Incremental Repayments'!$I$31),-PMT('Interest Rate'!$J$16,'Incremental Repayments'!$I$31,(HLOOKUP($D106,$E$4:$CZ$32,28,FALSE)*'Incremental Repayments'!$I$22)),0),0)</f>
        <v>0</v>
      </c>
      <c r="AP106" s="477">
        <f>IF('Incremental Repayments'!$R$22="Debt",IF(AND(AP$4&gt;=$D106,AP$4&lt;$D106+'Incremental Repayments'!$I$31),-PMT('Interest Rate'!$J$16,'Incremental Repayments'!$I$31,(HLOOKUP($D106,$E$4:$CZ$32,28,FALSE)*'Incremental Repayments'!$I$22)),0),0)</f>
        <v>0</v>
      </c>
      <c r="AQ106" s="477">
        <f>IF('Incremental Repayments'!$R$22="Debt",IF(AND(AQ$4&gt;=$D106,AQ$4&lt;$D106+'Incremental Repayments'!$I$31),-PMT('Interest Rate'!$J$16,'Incremental Repayments'!$I$31,(HLOOKUP($D106,$E$4:$CZ$32,28,FALSE)*'Incremental Repayments'!$I$22)),0),0)</f>
        <v>0</v>
      </c>
      <c r="AR106" s="477">
        <f>IF('Incremental Repayments'!$R$22="Debt",IF(AND(AR$4&gt;=$D106,AR$4&lt;$D106+'Incremental Repayments'!$I$31),-PMT('Interest Rate'!$J$16,'Incremental Repayments'!$I$31,(HLOOKUP($D106,$E$4:$CZ$32,28,FALSE)*'Incremental Repayments'!$I$22)),0),0)</f>
        <v>0</v>
      </c>
      <c r="AS106" s="477">
        <f>IF('Incremental Repayments'!$R$22="Debt",IF(AND(AS$4&gt;=$D106,AS$4&lt;$D106+'Incremental Repayments'!$I$31),-PMT('Interest Rate'!$J$16,'Incremental Repayments'!$I$31,(HLOOKUP($D106,$E$4:$CZ$32,28,FALSE)*'Incremental Repayments'!$I$22)),0),0)</f>
        <v>0</v>
      </c>
      <c r="AT106" s="477">
        <f>IF('Incremental Repayments'!$R$22="Debt",IF(AND(AT$4&gt;=$D106,AT$4&lt;$D106+'Incremental Repayments'!$I$31),-PMT('Interest Rate'!$J$16,'Incremental Repayments'!$I$31,(HLOOKUP($D106,$E$4:$CZ$32,28,FALSE)*'Incremental Repayments'!$I$22)),0),0)</f>
        <v>0</v>
      </c>
      <c r="AU106" s="477">
        <f>IF('Incremental Repayments'!$R$22="Debt",IF(AND(AU$4&gt;=$D106,AU$4&lt;$D106+'Incremental Repayments'!$I$31),-PMT('Interest Rate'!$J$16,'Incremental Repayments'!$I$31,(HLOOKUP($D106,$E$4:$CZ$32,28,FALSE)*'Incremental Repayments'!$I$22)),0),0)</f>
        <v>0</v>
      </c>
      <c r="AV106" s="477">
        <f>IF('Incremental Repayments'!$R$22="Debt",IF(AND(AV$4&gt;=$D106,AV$4&lt;$D106+'Incremental Repayments'!$I$31),-PMT('Interest Rate'!$J$16,'Incremental Repayments'!$I$31,(HLOOKUP($D106,$E$4:$CZ$32,28,FALSE)*'Incremental Repayments'!$I$22)),0),0)</f>
        <v>0</v>
      </c>
      <c r="AW106" s="477">
        <f>IF('Incremental Repayments'!$R$22="Debt",IF(AND(AW$4&gt;=$D106,AW$4&lt;$D106+'Incremental Repayments'!$I$31),-PMT('Interest Rate'!$J$16,'Incremental Repayments'!$I$31,(HLOOKUP($D106,$E$4:$CZ$32,28,FALSE)*'Incremental Repayments'!$I$22)),0),0)</f>
        <v>0</v>
      </c>
      <c r="AX106" s="477">
        <f>IF('Incremental Repayments'!$R$22="Debt",IF(AND(AX$4&gt;=$D106,AX$4&lt;$D106+'Incremental Repayments'!$I$31),-PMT('Interest Rate'!$J$16,'Incremental Repayments'!$I$31,(HLOOKUP($D106,$E$4:$CZ$32,28,FALSE)*'Incremental Repayments'!$I$22)),0),0)</f>
        <v>0</v>
      </c>
      <c r="AY106" s="477">
        <f>IF('Incremental Repayments'!$R$22="Debt",IF(AND(AY$4&gt;=$D106,AY$4&lt;$D106+'Incremental Repayments'!$I$31),-PMT('Interest Rate'!$J$16,'Incremental Repayments'!$I$31,(HLOOKUP($D106,$E$4:$CZ$32,28,FALSE)*'Incremental Repayments'!$I$22)),0),0)</f>
        <v>0</v>
      </c>
      <c r="AZ106" s="477">
        <f>IF('Incremental Repayments'!$R$22="Debt",IF(AND(AZ$4&gt;=$D106,AZ$4&lt;$D106+'Incremental Repayments'!$I$31),-PMT('Interest Rate'!$J$16,'Incremental Repayments'!$I$31,(HLOOKUP($D106,$E$4:$CZ$32,28,FALSE)*'Incremental Repayments'!$I$22)),0),0)</f>
        <v>0</v>
      </c>
      <c r="BA106" s="477">
        <f>IF('Incremental Repayments'!$R$22="Debt",IF(AND(BA$4&gt;=$D106,BA$4&lt;$D106+'Incremental Repayments'!$I$31),-PMT('Interest Rate'!$J$16,'Incremental Repayments'!$I$31,(HLOOKUP($D106,$E$4:$CZ$32,28,FALSE)*'Incremental Repayments'!$I$22)),0),0)</f>
        <v>0</v>
      </c>
      <c r="BB106" s="477">
        <f>IF('Incremental Repayments'!$R$22="Debt",IF(AND(BB$4&gt;=$D106,BB$4&lt;$D106+'Incremental Repayments'!$I$31),-PMT('Interest Rate'!$J$16,'Incremental Repayments'!$I$31,(HLOOKUP($D106,$E$4:$CZ$32,28,FALSE)*'Incremental Repayments'!$I$22)),0),0)</f>
        <v>0</v>
      </c>
      <c r="BC106" s="477">
        <f>IF('Incremental Repayments'!$R$22="Debt",IF(AND(BC$4&gt;=$D106,BC$4&lt;$D106+'Incremental Repayments'!$I$31),-PMT('Interest Rate'!$J$16,'Incremental Repayments'!$I$31,(HLOOKUP($D106,$E$4:$CZ$32,28,FALSE)*'Incremental Repayments'!$I$22)),0),0)</f>
        <v>0</v>
      </c>
      <c r="BD106" s="477">
        <f>IF('Incremental Repayments'!$R$22="Debt",IF(AND(BD$4&gt;=$D106,BD$4&lt;$D106+'Incremental Repayments'!$I$31),-PMT('Interest Rate'!$J$16,'Incremental Repayments'!$I$31,(HLOOKUP($D106,$E$4:$CZ$32,28,FALSE)*'Incremental Repayments'!$I$22)),0),0)</f>
        <v>0</v>
      </c>
      <c r="BE106" s="477">
        <f>IF('Incremental Repayments'!$R$22="Debt",IF(AND(BE$4&gt;=$D106,BE$4&lt;$D106+'Incremental Repayments'!$I$31),-PMT('Interest Rate'!$J$16,'Incremental Repayments'!$I$31,(HLOOKUP($D106,$E$4:$CZ$32,28,FALSE)*'Incremental Repayments'!$I$22)),0),0)</f>
        <v>0</v>
      </c>
      <c r="BF106" s="477">
        <f>IF('Incremental Repayments'!$R$22="Debt",IF(AND(BF$4&gt;=$D106,BF$4&lt;$D106+'Incremental Repayments'!$I$31),-PMT('Interest Rate'!$J$16,'Incremental Repayments'!$I$31,(HLOOKUP($D106,$E$4:$CZ$32,28,FALSE)*'Incremental Repayments'!$I$22)),0),0)</f>
        <v>0</v>
      </c>
      <c r="BG106" s="477">
        <f>IF('Incremental Repayments'!$R$22="Debt",IF(AND(BG$4&gt;=$D106,BG$4&lt;$D106+'Incremental Repayments'!$I$31),-PMT('Interest Rate'!$J$16,'Incremental Repayments'!$I$31,(HLOOKUP($D106,$E$4:$CZ$32,28,FALSE)*'Incremental Repayments'!$I$22)),0),0)</f>
        <v>0</v>
      </c>
      <c r="BH106" s="477">
        <f>IF('Incremental Repayments'!$R$22="Debt",IF(AND(BH$4&gt;=$D106,BH$4&lt;$D106+'Incremental Repayments'!$I$31),-PMT('Interest Rate'!$J$16,'Incremental Repayments'!$I$31,(HLOOKUP($D106,$E$4:$CZ$32,28,FALSE)*'Incremental Repayments'!$I$22)),0),0)</f>
        <v>0</v>
      </c>
      <c r="BI106" s="477">
        <f>IF('Incremental Repayments'!$R$22="Debt",IF(AND(BI$4&gt;=$D106,BI$4&lt;$D106+'Incremental Repayments'!$I$31),-PMT('Interest Rate'!$J$16,'Incremental Repayments'!$I$31,(HLOOKUP($D106,$E$4:$CZ$32,28,FALSE)*'Incremental Repayments'!$I$22)),0),0)</f>
        <v>0</v>
      </c>
      <c r="BJ106" s="477">
        <f>IF('Incremental Repayments'!$R$22="Debt",IF(AND(BJ$4&gt;=$D106,BJ$4&lt;$D106+'Incremental Repayments'!$I$31),-PMT('Interest Rate'!$J$16,'Incremental Repayments'!$I$31,(HLOOKUP($D106,$E$4:$CZ$32,28,FALSE)*'Incremental Repayments'!$I$22)),0),0)</f>
        <v>0</v>
      </c>
      <c r="BK106" s="477">
        <f>IF('Incremental Repayments'!$R$22="Debt",IF(AND(BK$4&gt;=$D106,BK$4&lt;$D106+'Incremental Repayments'!$I$31),-PMT('Interest Rate'!$J$16,'Incremental Repayments'!$I$31,(HLOOKUP($D106,$E$4:$CZ$32,28,FALSE)*'Incremental Repayments'!$I$22)),0),0)</f>
        <v>0</v>
      </c>
      <c r="BL106" s="477">
        <f>IF('Incremental Repayments'!$R$22="Debt",IF(AND(BL$4&gt;=$D106,BL$4&lt;$D106+'Incremental Repayments'!$I$31),-PMT('Interest Rate'!$J$16,'Incremental Repayments'!$I$31,(HLOOKUP($D106,$E$4:$CZ$32,28,FALSE)*'Incremental Repayments'!$I$22)),0),0)</f>
        <v>0</v>
      </c>
      <c r="BM106" s="477">
        <f>IF('Incremental Repayments'!$R$22="Debt",IF(AND(BM$4&gt;=$D106,BM$4&lt;$D106+'Incremental Repayments'!$I$31),-PMT('Interest Rate'!$J$16,'Incremental Repayments'!$I$31,(HLOOKUP($D106,$E$4:$CZ$32,28,FALSE)*'Incremental Repayments'!$I$22)),0),0)</f>
        <v>0</v>
      </c>
      <c r="BN106" s="477">
        <f>IF('Incremental Repayments'!$R$22="Debt",IF(AND(BN$4&gt;=$D106,BN$4&lt;$D106+'Incremental Repayments'!$I$31),-PMT('Interest Rate'!$J$16,'Incremental Repayments'!$I$31,(HLOOKUP($D106,$E$4:$CZ$32,28,FALSE)*'Incremental Repayments'!$I$22)),0),0)</f>
        <v>0</v>
      </c>
      <c r="BO106" s="477">
        <f>IF('Incremental Repayments'!$R$22="Debt",IF(AND(BO$4&gt;=$D106,BO$4&lt;$D106+'Incremental Repayments'!$I$31),-PMT('Interest Rate'!$J$16,'Incremental Repayments'!$I$31,(HLOOKUP($D106,$E$4:$CZ$32,28,FALSE)*'Incremental Repayments'!$I$22)),0),0)</f>
        <v>0</v>
      </c>
      <c r="BP106" s="477">
        <f>IF('Incremental Repayments'!$R$22="Debt",IF(AND(BP$4&gt;=$D106,BP$4&lt;$D106+'Incremental Repayments'!$I$31),-PMT('Interest Rate'!$J$16,'Incremental Repayments'!$I$31,(HLOOKUP($D106,$E$4:$CZ$32,28,FALSE)*'Incremental Repayments'!$I$22)),0),0)</f>
        <v>0</v>
      </c>
      <c r="BQ106" s="477">
        <f>IF('Incremental Repayments'!$R$22="Debt",IF(AND(BQ$4&gt;=$D106,BQ$4&lt;$D106+'Incremental Repayments'!$I$31),-PMT('Interest Rate'!$J$16,'Incremental Repayments'!$I$31,(HLOOKUP($D106,$E$4:$CZ$32,28,FALSE)*'Incremental Repayments'!$I$22)),0),0)</f>
        <v>0</v>
      </c>
      <c r="BR106" s="477">
        <f>IF('Incremental Repayments'!$R$22="Debt",IF(AND(BR$4&gt;=$D106,BR$4&lt;$D106+'Incremental Repayments'!$I$31),-PMT('Interest Rate'!$J$16,'Incremental Repayments'!$I$31,(HLOOKUP($D106,$E$4:$CZ$32,28,FALSE)*'Incremental Repayments'!$I$22)),0),0)</f>
        <v>0</v>
      </c>
      <c r="BS106" s="477">
        <f>IF('Incremental Repayments'!$R$22="Debt",IF(AND(BS$4&gt;=$D106,BS$4&lt;$D106+'Incremental Repayments'!$I$31),-PMT('Interest Rate'!$J$16,'Incremental Repayments'!$I$31,(HLOOKUP($D106,$E$4:$CZ$32,28,FALSE)*'Incremental Repayments'!$I$22)),0),0)</f>
        <v>0</v>
      </c>
      <c r="BT106" s="477">
        <f>IF('Incremental Repayments'!$R$22="Debt",IF(AND(BT$4&gt;=$D106,BT$4&lt;$D106+'Incremental Repayments'!$I$31),-PMT('Interest Rate'!$J$16,'Incremental Repayments'!$I$31,(HLOOKUP($D106,$E$4:$CZ$32,28,FALSE)*'Incremental Repayments'!$I$22)),0),0)</f>
        <v>0</v>
      </c>
      <c r="BU106" s="477">
        <f>IF('Incremental Repayments'!$R$22="Debt",IF(AND(BU$4&gt;=$D106,BU$4&lt;$D106+'Incremental Repayments'!$I$31),-PMT('Interest Rate'!$J$16,'Incremental Repayments'!$I$31,(HLOOKUP($D106,$E$4:$CZ$32,28,FALSE)*'Incremental Repayments'!$I$22)),0),0)</f>
        <v>0</v>
      </c>
      <c r="BV106" s="477">
        <f>IF('Incremental Repayments'!$R$22="Debt",IF(AND(BV$4&gt;=$D106,BV$4&lt;$D106+'Incremental Repayments'!$I$31),-PMT('Interest Rate'!$J$16,'Incremental Repayments'!$I$31,(HLOOKUP($D106,$E$4:$CZ$32,28,FALSE)*'Incremental Repayments'!$I$22)),0),0)</f>
        <v>0</v>
      </c>
      <c r="BW106" s="477">
        <f>IF('Incremental Repayments'!$R$22="Debt",IF(AND(BW$4&gt;=$D106,BW$4&lt;$D106+'Incremental Repayments'!$I$31),-PMT('Interest Rate'!$J$16,'Incremental Repayments'!$I$31,(HLOOKUP($D106,$E$4:$CZ$32,28,FALSE)*'Incremental Repayments'!$I$22)),0),0)</f>
        <v>0</v>
      </c>
      <c r="BX106" s="477">
        <f>IF('Incremental Repayments'!$R$22="Debt",IF(AND(BX$4&gt;=$D106,BX$4&lt;$D106+'Incremental Repayments'!$I$31),-PMT('Interest Rate'!$J$16,'Incremental Repayments'!$I$31,(HLOOKUP($D106,$E$4:$CZ$32,28,FALSE)*'Incremental Repayments'!$I$22)),0),0)</f>
        <v>0</v>
      </c>
      <c r="BY106" s="477">
        <f>IF('Incremental Repayments'!$R$22="Debt",IF(AND(BY$4&gt;=$D106,BY$4&lt;$D106+'Incremental Repayments'!$I$31),-PMT('Interest Rate'!$J$16,'Incremental Repayments'!$I$31,(HLOOKUP($D106,$E$4:$CZ$32,28,FALSE)*'Incremental Repayments'!$I$22)),0),0)</f>
        <v>0</v>
      </c>
      <c r="BZ106" s="477">
        <f>IF('Incremental Repayments'!$R$22="Debt",IF(AND(BZ$4&gt;=$D106,BZ$4&lt;$D106+'Incremental Repayments'!$I$31),-PMT('Interest Rate'!$J$16,'Incremental Repayments'!$I$31,(HLOOKUP($D106,$E$4:$CZ$32,28,FALSE)*'Incremental Repayments'!$I$22)),0),0)</f>
        <v>0</v>
      </c>
      <c r="CA106" s="477">
        <f>IF('Incremental Repayments'!$R$22="Debt",IF(AND(CA$4&gt;=$D106,CA$4&lt;$D106+'Incremental Repayments'!$I$31),-PMT('Interest Rate'!$J$16,'Incremental Repayments'!$I$31,(HLOOKUP($D106,$E$4:$CZ$32,28,FALSE)*'Incremental Repayments'!$I$22)),0),0)</f>
        <v>0</v>
      </c>
      <c r="CB106" s="477">
        <f>IF('Incremental Repayments'!$R$22="Debt",IF(AND(CB$4&gt;=$D106,CB$4&lt;$D106+'Incremental Repayments'!$I$31),-PMT('Interest Rate'!$J$16,'Incremental Repayments'!$I$31,(HLOOKUP($D106,$E$4:$CZ$32,28,FALSE)*'Incremental Repayments'!$I$22)),0),0)</f>
        <v>0</v>
      </c>
      <c r="CC106" s="477">
        <f>IF('Incremental Repayments'!$R$22="Debt",IF(AND(CC$4&gt;=$D106,CC$4&lt;$D106+'Incremental Repayments'!$I$31),-PMT('Interest Rate'!$J$16,'Incremental Repayments'!$I$31,(HLOOKUP($D106,$E$4:$CZ$32,28,FALSE)*'Incremental Repayments'!$I$22)),0),0)</f>
        <v>0</v>
      </c>
      <c r="CD106" s="477">
        <f>IF('Incremental Repayments'!$R$22="Debt",IF(AND(CD$4&gt;=$D106,CD$4&lt;$D106+'Incremental Repayments'!$I$31),-PMT('Interest Rate'!$J$16,'Incremental Repayments'!$I$31,(HLOOKUP($D106,$E$4:$CZ$32,28,FALSE)*'Incremental Repayments'!$I$22)),0),0)</f>
        <v>0</v>
      </c>
      <c r="CE106" s="477">
        <f>IF('Incremental Repayments'!$R$22="Debt",IF(AND(CE$4&gt;=$D106,CE$4&lt;$D106+'Incremental Repayments'!$I$31),-PMT('Interest Rate'!$J$16,'Incremental Repayments'!$I$31,(HLOOKUP($D106,$E$4:$CZ$32,28,FALSE)*'Incremental Repayments'!$I$22)),0),0)</f>
        <v>0</v>
      </c>
      <c r="CF106" s="477">
        <f>IF('Incremental Repayments'!$R$22="Debt",IF(AND(CF$4&gt;=$D106,CF$4&lt;$D106+'Incremental Repayments'!$I$31),-PMT('Interest Rate'!$J$16,'Incremental Repayments'!$I$31,(HLOOKUP($D106,$E$4:$CZ$32,28,FALSE)*'Incremental Repayments'!$I$22)),0),0)</f>
        <v>0</v>
      </c>
      <c r="CG106" s="477">
        <f>IF('Incremental Repayments'!$R$22="Debt",IF(AND(CG$4&gt;=$D106,CG$4&lt;$D106+'Incremental Repayments'!$I$31),-PMT('Interest Rate'!$J$16,'Incremental Repayments'!$I$31,(HLOOKUP($D106,$E$4:$CZ$32,28,FALSE)*'Incremental Repayments'!$I$22)),0),0)</f>
        <v>0</v>
      </c>
      <c r="CH106" s="477">
        <f>IF('Incremental Repayments'!$R$22="Debt",IF(AND(CH$4&gt;=$D106,CH$4&lt;$D106+'Incremental Repayments'!$I$31),-PMT('Interest Rate'!$J$16,'Incremental Repayments'!$I$31,(HLOOKUP($D106,$E$4:$CZ$32,28,FALSE)*'Incremental Repayments'!$I$22)),0),0)</f>
        <v>0</v>
      </c>
      <c r="CI106" s="477">
        <f>IF('Incremental Repayments'!$R$22="Debt",IF(AND(CI$4&gt;=$D106,CI$4&lt;$D106+'Incremental Repayments'!$I$31),-PMT('Interest Rate'!$J$16,'Incremental Repayments'!$I$31,(HLOOKUP($D106,$E$4:$CZ$32,28,FALSE)*'Incremental Repayments'!$I$22)),0),0)</f>
        <v>0</v>
      </c>
      <c r="CJ106" s="477">
        <f>IF('Incremental Repayments'!$R$22="Debt",IF(AND(CJ$4&gt;=$D106,CJ$4&lt;$D106+'Incremental Repayments'!$I$31),-PMT('Interest Rate'!$J$16,'Incremental Repayments'!$I$31,(HLOOKUP($D106,$E$4:$CZ$32,28,FALSE)*'Incremental Repayments'!$I$22)),0),0)</f>
        <v>0</v>
      </c>
      <c r="CK106" s="477">
        <f>IF('Incremental Repayments'!$R$22="Debt",IF(AND(CK$4&gt;=$D106,CK$4&lt;$D106+'Incremental Repayments'!$I$31),-PMT('Interest Rate'!$J$16,'Incremental Repayments'!$I$31,(HLOOKUP($D106,$E$4:$CZ$32,28,FALSE)*'Incremental Repayments'!$I$22)),0),0)</f>
        <v>0</v>
      </c>
      <c r="CL106" s="477">
        <f>IF('Incremental Repayments'!$R$22="Debt",IF(AND(CL$4&gt;=$D106,CL$4&lt;$D106+'Incremental Repayments'!$I$31),-PMT('Interest Rate'!$J$16,'Incremental Repayments'!$I$31,(HLOOKUP($D106,$E$4:$CZ$32,28,FALSE)*'Incremental Repayments'!$I$22)),0),0)</f>
        <v>0</v>
      </c>
      <c r="CM106" s="477">
        <f>IF('Incremental Repayments'!$R$22="Debt",IF(AND(CM$4&gt;=$D106,CM$4&lt;$D106+'Incremental Repayments'!$I$31),-PMT('Interest Rate'!$J$16,'Incremental Repayments'!$I$31,(HLOOKUP($D106,$E$4:$CZ$32,28,FALSE)*'Incremental Repayments'!$I$22)),0),0)</f>
        <v>0</v>
      </c>
      <c r="CN106" s="477">
        <f>IF('Incremental Repayments'!$R$22="Debt",IF(AND(CN$4&gt;=$D106,CN$4&lt;$D106+'Incremental Repayments'!$I$31),-PMT('Interest Rate'!$J$16,'Incremental Repayments'!$I$31,(HLOOKUP($D106,$E$4:$CZ$32,28,FALSE)*'Incremental Repayments'!$I$22)),0),0)</f>
        <v>0</v>
      </c>
      <c r="CO106" s="477">
        <f>IF('Incremental Repayments'!$R$22="Debt",IF(AND(CO$4&gt;=$D106,CO$4&lt;$D106+'Incremental Repayments'!$I$31),-PMT('Interest Rate'!$J$16,'Incremental Repayments'!$I$31,(HLOOKUP($D106,$E$4:$CZ$32,28,FALSE)*'Incremental Repayments'!$I$22)),0),0)</f>
        <v>0</v>
      </c>
      <c r="CP106" s="477">
        <f>IF('Incremental Repayments'!$R$22="Debt",IF(AND(CP$4&gt;=$D106,CP$4&lt;$D106+'Incremental Repayments'!$I$31),-PMT('Interest Rate'!$J$16,'Incremental Repayments'!$I$31,(HLOOKUP($D106,$E$4:$CZ$32,28,FALSE)*'Incremental Repayments'!$I$22)),0),0)</f>
        <v>0</v>
      </c>
      <c r="CQ106" s="477">
        <f>IF('Incremental Repayments'!$R$22="Debt",IF(AND(CQ$4&gt;=$D106,CQ$4&lt;$D106+'Incremental Repayments'!$I$31),-PMT('Interest Rate'!$J$16,'Incremental Repayments'!$I$31,(HLOOKUP($D106,$E$4:$CZ$32,28,FALSE)*'Incremental Repayments'!$I$22)),0),0)</f>
        <v>0</v>
      </c>
      <c r="CR106" s="477">
        <f>IF('Incremental Repayments'!$R$22="Debt",IF(AND(CR$4&gt;=$D106,CR$4&lt;$D106+'Incremental Repayments'!$I$31),-PMT('Interest Rate'!$J$16,'Incremental Repayments'!$I$31,(HLOOKUP($D106,$E$4:$CZ$32,28,FALSE)*'Incremental Repayments'!$I$22)),0),0)</f>
        <v>0</v>
      </c>
      <c r="CS106" s="477">
        <f>IF('Incremental Repayments'!$R$22="Debt",IF(AND(CS$4&gt;=$D106,CS$4&lt;$D106+'Incremental Repayments'!$I$31),-PMT('Interest Rate'!$J$16,'Incremental Repayments'!$I$31,(HLOOKUP($D106,$E$4:$CZ$32,28,FALSE)*'Incremental Repayments'!$I$22)),0),0)</f>
        <v>0</v>
      </c>
      <c r="CT106" s="477">
        <f>IF('Incremental Repayments'!$R$22="Debt",IF(AND(CT$4&gt;=$D106,CT$4&lt;$D106+'Incremental Repayments'!$I$31),-PMT('Interest Rate'!$J$16,'Incremental Repayments'!$I$31,(HLOOKUP($D106,$E$4:$CZ$32,28,FALSE)*'Incremental Repayments'!$I$22)),0),0)</f>
        <v>0</v>
      </c>
      <c r="CU106" s="477">
        <f>IF('Incremental Repayments'!$R$22="Debt",IF(AND(CU$4&gt;=$D106,CU$4&lt;$D106+'Incremental Repayments'!$I$31),-PMT('Interest Rate'!$J$16,'Incremental Repayments'!$I$31,(HLOOKUP($D106,$E$4:$CZ$32,28,FALSE)*'Incremental Repayments'!$I$22)),0),0)</f>
        <v>0</v>
      </c>
      <c r="CV106" s="477">
        <f>IF('Incremental Repayments'!$R$22="Debt",IF(AND(CV$4&gt;=$D106,CV$4&lt;$D106+'Incremental Repayments'!$I$31),-PMT('Interest Rate'!$J$16,'Incremental Repayments'!$I$31,(HLOOKUP($D106,$E$4:$CZ$32,28,FALSE)*'Incremental Repayments'!$I$22)),0),0)</f>
        <v>0</v>
      </c>
      <c r="CW106" s="477">
        <f>IF('Incremental Repayments'!$R$22="Debt",IF(AND(CW$4&gt;=$D106,CW$4&lt;$D106+'Incremental Repayments'!$I$31),-PMT('Interest Rate'!$J$16,'Incremental Repayments'!$I$31,(HLOOKUP($D106,$E$4:$CZ$32,28,FALSE)*'Incremental Repayments'!$I$22)),0),0)</f>
        <v>0</v>
      </c>
      <c r="CX106" s="477">
        <f>IF('Incremental Repayments'!$R$22="Debt",IF(AND(CX$4&gt;=$D106,CX$4&lt;$D106+'Incremental Repayments'!$I$31),-PMT('Interest Rate'!$J$16,'Incremental Repayments'!$I$31,(HLOOKUP($D106,$E$4:$CZ$32,28,FALSE)*'Incremental Repayments'!$I$22)),0),0)</f>
        <v>0</v>
      </c>
      <c r="CY106" s="477">
        <f>IF('Incremental Repayments'!$R$22="Debt",IF(AND(CY$4&gt;=$D106,CY$4&lt;$D106+'Incremental Repayments'!$I$31),-PMT('Interest Rate'!$J$16,'Incremental Repayments'!$I$31,(HLOOKUP($D106,$E$4:$CZ$32,28,FALSE)*'Incremental Repayments'!$I$22)),0),0)</f>
        <v>0</v>
      </c>
      <c r="CZ106" s="477">
        <f>IF('Incremental Repayments'!$R$22="Debt",IF(AND(CZ$4&gt;=$D106,CZ$4&lt;$D106+'Incremental Repayments'!$I$31),-PMT('Interest Rate'!$J$16,'Incremental Repayments'!$I$31,(HLOOKUP($D106,$E$4:$CZ$32,28,FALSE)*'Incremental Repayments'!$I$22)),0),0)</f>
        <v>0</v>
      </c>
    </row>
    <row r="107" spans="2:104" x14ac:dyDescent="0.25">
      <c r="B107" s="480" t="str">
        <f>CONCATENATE("Series ",D107,"A Bonds (at ",'Interest Rate'!$J$16*100,"% Interest)")</f>
        <v>Series 2085A Bonds (at 4.5% Interest)</v>
      </c>
      <c r="C107" s="480"/>
      <c r="D107" s="492">
        <f t="shared" si="495"/>
        <v>2085</v>
      </c>
      <c r="E107" s="477">
        <f>IF('Incremental Repayments'!$R$22="Debt",IF(AND(E$4&gt;=$D107,E$4&lt;$D107+'Incremental Repayments'!$I$31),-PMT('Interest Rate'!$J$16,'Incremental Repayments'!$I$31,(HLOOKUP($D107,$E$4:$CZ$32,28,FALSE)*'Incremental Repayments'!$I$22)),0),0)</f>
        <v>0</v>
      </c>
      <c r="F107" s="477">
        <f>IF('Incremental Repayments'!$R$22="Debt",IF(AND(F$4&gt;=$D107,F$4&lt;$D107+'Incremental Repayments'!$I$31),-PMT('Interest Rate'!$J$16,'Incremental Repayments'!$I$31,(HLOOKUP($D107,$E$4:$CZ$32,28,FALSE)*'Incremental Repayments'!$I$22)),0),0)</f>
        <v>0</v>
      </c>
      <c r="G107" s="477">
        <f>IF('Incremental Repayments'!$R$22="Debt",IF(AND(G$4&gt;=$D107,G$4&lt;$D107+'Incremental Repayments'!$I$31),-PMT('Interest Rate'!$J$16,'Incremental Repayments'!$I$31,(HLOOKUP($D107,$E$4:$CZ$32,28,FALSE)*'Incremental Repayments'!$I$22)),0),0)</f>
        <v>0</v>
      </c>
      <c r="H107" s="477">
        <f>IF('Incremental Repayments'!$R$22="Debt",IF(AND(H$4&gt;=$D107,H$4&lt;$D107+'Incremental Repayments'!$I$31),-PMT('Interest Rate'!$J$16,'Incremental Repayments'!$I$31,(HLOOKUP($D107,$E$4:$CZ$32,28,FALSE)*'Incremental Repayments'!$I$22)),0),0)</f>
        <v>0</v>
      </c>
      <c r="I107" s="477">
        <f>IF('Incremental Repayments'!$R$22="Debt",IF(AND(I$4&gt;=$D107,I$4&lt;$D107+'Incremental Repayments'!$I$31),-PMT('Interest Rate'!$J$16,'Incremental Repayments'!$I$31,(HLOOKUP($D107,$E$4:$CZ$32,28,FALSE)*'Incremental Repayments'!$I$22)),0),0)</f>
        <v>0</v>
      </c>
      <c r="J107" s="477">
        <f>IF('Incremental Repayments'!$R$22="Debt",IF(AND(J$4&gt;=$D107,J$4&lt;$D107+'Incremental Repayments'!$I$31),-PMT('Interest Rate'!$J$16,'Incremental Repayments'!$I$31,(HLOOKUP($D107,$E$4:$CZ$32,28,FALSE)*'Incremental Repayments'!$I$22)),0),0)</f>
        <v>0</v>
      </c>
      <c r="K107" s="477">
        <f>IF('Incremental Repayments'!$R$22="Debt",IF(AND(K$4&gt;=$D107,K$4&lt;$D107+'Incremental Repayments'!$I$31),-PMT('Interest Rate'!$J$16,'Incremental Repayments'!$I$31,(HLOOKUP($D107,$E$4:$CZ$32,28,FALSE)*'Incremental Repayments'!$I$22)),0),0)</f>
        <v>0</v>
      </c>
      <c r="L107" s="477">
        <f>IF('Incremental Repayments'!$R$22="Debt",IF(AND(L$4&gt;=$D107,L$4&lt;$D107+'Incremental Repayments'!$I$31),-PMT('Interest Rate'!$J$16,'Incremental Repayments'!$I$31,(HLOOKUP($D107,$E$4:$CZ$32,28,FALSE)*'Incremental Repayments'!$I$22)),0),0)</f>
        <v>0</v>
      </c>
      <c r="M107" s="477">
        <f>IF('Incremental Repayments'!$R$22="Debt",IF(AND(M$4&gt;=$D107,M$4&lt;$D107+'Incremental Repayments'!$I$31),-PMT('Interest Rate'!$J$16,'Incremental Repayments'!$I$31,(HLOOKUP($D107,$E$4:$CZ$32,28,FALSE)*'Incremental Repayments'!$I$22)),0),0)</f>
        <v>0</v>
      </c>
      <c r="N107" s="477">
        <f>IF('Incremental Repayments'!$R$22="Debt",IF(AND(N$4&gt;=$D107,N$4&lt;$D107+'Incremental Repayments'!$I$31),-PMT('Interest Rate'!$J$16,'Incremental Repayments'!$I$31,(HLOOKUP($D107,$E$4:$CZ$32,28,FALSE)*'Incremental Repayments'!$I$22)),0),0)</f>
        <v>0</v>
      </c>
      <c r="O107" s="477">
        <f>IF('Incremental Repayments'!$R$22="Debt",IF(AND(O$4&gt;=$D107,O$4&lt;$D107+'Incremental Repayments'!$I$31),-PMT('Interest Rate'!$J$16,'Incremental Repayments'!$I$31,(HLOOKUP($D107,$E$4:$CZ$32,28,FALSE)*'Incremental Repayments'!$I$22)),0),0)</f>
        <v>0</v>
      </c>
      <c r="P107" s="477">
        <f>IF('Incremental Repayments'!$R$22="Debt",IF(AND(P$4&gt;=$D107,P$4&lt;$D107+'Incremental Repayments'!$I$31),-PMT('Interest Rate'!$J$16,'Incremental Repayments'!$I$31,(HLOOKUP($D107,$E$4:$CZ$32,28,FALSE)*'Incremental Repayments'!$I$22)),0),0)</f>
        <v>0</v>
      </c>
      <c r="Q107" s="477">
        <f>IF('Incremental Repayments'!$R$22="Debt",IF(AND(Q$4&gt;=$D107,Q$4&lt;$D107+'Incremental Repayments'!$I$31),-PMT('Interest Rate'!$J$16,'Incremental Repayments'!$I$31,(HLOOKUP($D107,$E$4:$CZ$32,28,FALSE)*'Incremental Repayments'!$I$22)),0),0)</f>
        <v>0</v>
      </c>
      <c r="R107" s="477">
        <f>IF('Incremental Repayments'!$R$22="Debt",IF(AND(R$4&gt;=$D107,R$4&lt;$D107+'Incremental Repayments'!$I$31),-PMT('Interest Rate'!$J$16,'Incremental Repayments'!$I$31,(HLOOKUP($D107,$E$4:$CZ$32,28,FALSE)*'Incremental Repayments'!$I$22)),0),0)</f>
        <v>0</v>
      </c>
      <c r="S107" s="477">
        <f>IF('Incremental Repayments'!$R$22="Debt",IF(AND(S$4&gt;=$D107,S$4&lt;$D107+'Incremental Repayments'!$I$31),-PMT('Interest Rate'!$J$16,'Incremental Repayments'!$I$31,(HLOOKUP($D107,$E$4:$CZ$32,28,FALSE)*'Incremental Repayments'!$I$22)),0),0)</f>
        <v>0</v>
      </c>
      <c r="T107" s="477">
        <f>IF('Incremental Repayments'!$R$22="Debt",IF(AND(T$4&gt;=$D107,T$4&lt;$D107+'Incremental Repayments'!$I$31),-PMT('Interest Rate'!$J$16,'Incremental Repayments'!$I$31,(HLOOKUP($D107,$E$4:$CZ$32,28,FALSE)*'Incremental Repayments'!$I$22)),0),0)</f>
        <v>0</v>
      </c>
      <c r="U107" s="477">
        <f>IF('Incremental Repayments'!$R$22="Debt",IF(AND(U$4&gt;=$D107,U$4&lt;$D107+'Incremental Repayments'!$I$31),-PMT('Interest Rate'!$J$16,'Incremental Repayments'!$I$31,(HLOOKUP($D107,$E$4:$CZ$32,28,FALSE)*'Incremental Repayments'!$I$22)),0),0)</f>
        <v>0</v>
      </c>
      <c r="V107" s="477">
        <f>IF('Incremental Repayments'!$R$22="Debt",IF(AND(V$4&gt;=$D107,V$4&lt;$D107+'Incremental Repayments'!$I$31),-PMT('Interest Rate'!$J$16,'Incremental Repayments'!$I$31,(HLOOKUP($D107,$E$4:$CZ$32,28,FALSE)*'Incremental Repayments'!$I$22)),0),0)</f>
        <v>0</v>
      </c>
      <c r="W107" s="477">
        <f>IF('Incremental Repayments'!$R$22="Debt",IF(AND(W$4&gt;=$D107,W$4&lt;$D107+'Incremental Repayments'!$I$31),-PMT('Interest Rate'!$J$16,'Incremental Repayments'!$I$31,(HLOOKUP($D107,$E$4:$CZ$32,28,FALSE)*'Incremental Repayments'!$I$22)),0),0)</f>
        <v>0</v>
      </c>
      <c r="X107" s="477">
        <f>IF('Incremental Repayments'!$R$22="Debt",IF(AND(X$4&gt;=$D107,X$4&lt;$D107+'Incremental Repayments'!$I$31),-PMT('Interest Rate'!$J$16,'Incremental Repayments'!$I$31,(HLOOKUP($D107,$E$4:$CZ$32,28,FALSE)*'Incremental Repayments'!$I$22)),0),0)</f>
        <v>0</v>
      </c>
      <c r="Y107" s="477">
        <f>IF('Incremental Repayments'!$R$22="Debt",IF(AND(Y$4&gt;=$D107,Y$4&lt;$D107+'Incremental Repayments'!$I$31),-PMT('Interest Rate'!$J$16,'Incremental Repayments'!$I$31,(HLOOKUP($D107,$E$4:$CZ$32,28,FALSE)*'Incremental Repayments'!$I$22)),0),0)</f>
        <v>0</v>
      </c>
      <c r="Z107" s="477">
        <f>IF('Incremental Repayments'!$R$22="Debt",IF(AND(Z$4&gt;=$D107,Z$4&lt;$D107+'Incremental Repayments'!$I$31),-PMT('Interest Rate'!$J$16,'Incremental Repayments'!$I$31,(HLOOKUP($D107,$E$4:$CZ$32,28,FALSE)*'Incremental Repayments'!$I$22)),0),0)</f>
        <v>0</v>
      </c>
      <c r="AA107" s="477">
        <f>IF('Incremental Repayments'!$R$22="Debt",IF(AND(AA$4&gt;=$D107,AA$4&lt;$D107+'Incremental Repayments'!$I$31),-PMT('Interest Rate'!$J$16,'Incremental Repayments'!$I$31,(HLOOKUP($D107,$E$4:$CZ$32,28,FALSE)*'Incremental Repayments'!$I$22)),0),0)</f>
        <v>0</v>
      </c>
      <c r="AB107" s="477">
        <f>IF('Incremental Repayments'!$R$22="Debt",IF(AND(AB$4&gt;=$D107,AB$4&lt;$D107+'Incremental Repayments'!$I$31),-PMT('Interest Rate'!$J$16,'Incremental Repayments'!$I$31,(HLOOKUP($D107,$E$4:$CZ$32,28,FALSE)*'Incremental Repayments'!$I$22)),0),0)</f>
        <v>0</v>
      </c>
      <c r="AC107" s="477">
        <f>IF('Incremental Repayments'!$R$22="Debt",IF(AND(AC$4&gt;=$D107,AC$4&lt;$D107+'Incremental Repayments'!$I$31),-PMT('Interest Rate'!$J$16,'Incremental Repayments'!$I$31,(HLOOKUP($D107,$E$4:$CZ$32,28,FALSE)*'Incremental Repayments'!$I$22)),0),0)</f>
        <v>0</v>
      </c>
      <c r="AD107" s="477">
        <f>IF('Incremental Repayments'!$R$22="Debt",IF(AND(AD$4&gt;=$D107,AD$4&lt;$D107+'Incremental Repayments'!$I$31),-PMT('Interest Rate'!$J$16,'Incremental Repayments'!$I$31,(HLOOKUP($D107,$E$4:$CZ$32,28,FALSE)*'Incremental Repayments'!$I$22)),0),0)</f>
        <v>0</v>
      </c>
      <c r="AE107" s="477">
        <f>IF('Incremental Repayments'!$R$22="Debt",IF(AND(AE$4&gt;=$D107,AE$4&lt;$D107+'Incremental Repayments'!$I$31),-PMT('Interest Rate'!$J$16,'Incremental Repayments'!$I$31,(HLOOKUP($D107,$E$4:$CZ$32,28,FALSE)*'Incremental Repayments'!$I$22)),0),0)</f>
        <v>0</v>
      </c>
      <c r="AF107" s="477">
        <f>IF('Incremental Repayments'!$R$22="Debt",IF(AND(AF$4&gt;=$D107,AF$4&lt;$D107+'Incremental Repayments'!$I$31),-PMT('Interest Rate'!$J$16,'Incremental Repayments'!$I$31,(HLOOKUP($D107,$E$4:$CZ$32,28,FALSE)*'Incremental Repayments'!$I$22)),0),0)</f>
        <v>0</v>
      </c>
      <c r="AG107" s="477">
        <f>IF('Incremental Repayments'!$R$22="Debt",IF(AND(AG$4&gt;=$D107,AG$4&lt;$D107+'Incremental Repayments'!$I$31),-PMT('Interest Rate'!$J$16,'Incremental Repayments'!$I$31,(HLOOKUP($D107,$E$4:$CZ$32,28,FALSE)*'Incremental Repayments'!$I$22)),0),0)</f>
        <v>0</v>
      </c>
      <c r="AH107" s="477">
        <f>IF('Incremental Repayments'!$R$22="Debt",IF(AND(AH$4&gt;=$D107,AH$4&lt;$D107+'Incremental Repayments'!$I$31),-PMT('Interest Rate'!$J$16,'Incremental Repayments'!$I$31,(HLOOKUP($D107,$E$4:$CZ$32,28,FALSE)*'Incremental Repayments'!$I$22)),0),0)</f>
        <v>0</v>
      </c>
      <c r="AI107" s="477">
        <f>IF('Incremental Repayments'!$R$22="Debt",IF(AND(AI$4&gt;=$D107,AI$4&lt;$D107+'Incremental Repayments'!$I$31),-PMT('Interest Rate'!$J$16,'Incremental Repayments'!$I$31,(HLOOKUP($D107,$E$4:$CZ$32,28,FALSE)*'Incremental Repayments'!$I$22)),0),0)</f>
        <v>0</v>
      </c>
      <c r="AJ107" s="477">
        <f>IF('Incremental Repayments'!$R$22="Debt",IF(AND(AJ$4&gt;=$D107,AJ$4&lt;$D107+'Incremental Repayments'!$I$31),-PMT('Interest Rate'!$J$16,'Incremental Repayments'!$I$31,(HLOOKUP($D107,$E$4:$CZ$32,28,FALSE)*'Incremental Repayments'!$I$22)),0),0)</f>
        <v>0</v>
      </c>
      <c r="AK107" s="477">
        <f>IF('Incremental Repayments'!$R$22="Debt",IF(AND(AK$4&gt;=$D107,AK$4&lt;$D107+'Incremental Repayments'!$I$31),-PMT('Interest Rate'!$J$16,'Incremental Repayments'!$I$31,(HLOOKUP($D107,$E$4:$CZ$32,28,FALSE)*'Incremental Repayments'!$I$22)),0),0)</f>
        <v>0</v>
      </c>
      <c r="AL107" s="477">
        <f>IF('Incremental Repayments'!$R$22="Debt",IF(AND(AL$4&gt;=$D107,AL$4&lt;$D107+'Incremental Repayments'!$I$31),-PMT('Interest Rate'!$J$16,'Incremental Repayments'!$I$31,(HLOOKUP($D107,$E$4:$CZ$32,28,FALSE)*'Incremental Repayments'!$I$22)),0),0)</f>
        <v>0</v>
      </c>
      <c r="AM107" s="477">
        <f>IF('Incremental Repayments'!$R$22="Debt",IF(AND(AM$4&gt;=$D107,AM$4&lt;$D107+'Incremental Repayments'!$I$31),-PMT('Interest Rate'!$J$16,'Incremental Repayments'!$I$31,(HLOOKUP($D107,$E$4:$CZ$32,28,FALSE)*'Incremental Repayments'!$I$22)),0),0)</f>
        <v>0</v>
      </c>
      <c r="AN107" s="477">
        <f>IF('Incremental Repayments'!$R$22="Debt",IF(AND(AN$4&gt;=$D107,AN$4&lt;$D107+'Incremental Repayments'!$I$31),-PMT('Interest Rate'!$J$16,'Incremental Repayments'!$I$31,(HLOOKUP($D107,$E$4:$CZ$32,28,FALSE)*'Incremental Repayments'!$I$22)),0),0)</f>
        <v>0</v>
      </c>
      <c r="AO107" s="477">
        <f>IF('Incremental Repayments'!$R$22="Debt",IF(AND(AO$4&gt;=$D107,AO$4&lt;$D107+'Incremental Repayments'!$I$31),-PMT('Interest Rate'!$J$16,'Incremental Repayments'!$I$31,(HLOOKUP($D107,$E$4:$CZ$32,28,FALSE)*'Incremental Repayments'!$I$22)),0),0)</f>
        <v>0</v>
      </c>
      <c r="AP107" s="477">
        <f>IF('Incremental Repayments'!$R$22="Debt",IF(AND(AP$4&gt;=$D107,AP$4&lt;$D107+'Incremental Repayments'!$I$31),-PMT('Interest Rate'!$J$16,'Incremental Repayments'!$I$31,(HLOOKUP($D107,$E$4:$CZ$32,28,FALSE)*'Incremental Repayments'!$I$22)),0),0)</f>
        <v>0</v>
      </c>
      <c r="AQ107" s="477">
        <f>IF('Incremental Repayments'!$R$22="Debt",IF(AND(AQ$4&gt;=$D107,AQ$4&lt;$D107+'Incremental Repayments'!$I$31),-PMT('Interest Rate'!$J$16,'Incremental Repayments'!$I$31,(HLOOKUP($D107,$E$4:$CZ$32,28,FALSE)*'Incremental Repayments'!$I$22)),0),0)</f>
        <v>0</v>
      </c>
      <c r="AR107" s="477">
        <f>IF('Incremental Repayments'!$R$22="Debt",IF(AND(AR$4&gt;=$D107,AR$4&lt;$D107+'Incremental Repayments'!$I$31),-PMT('Interest Rate'!$J$16,'Incremental Repayments'!$I$31,(HLOOKUP($D107,$E$4:$CZ$32,28,FALSE)*'Incremental Repayments'!$I$22)),0),0)</f>
        <v>0</v>
      </c>
      <c r="AS107" s="477">
        <f>IF('Incremental Repayments'!$R$22="Debt",IF(AND(AS$4&gt;=$D107,AS$4&lt;$D107+'Incremental Repayments'!$I$31),-PMT('Interest Rate'!$J$16,'Incremental Repayments'!$I$31,(HLOOKUP($D107,$E$4:$CZ$32,28,FALSE)*'Incremental Repayments'!$I$22)),0),0)</f>
        <v>0</v>
      </c>
      <c r="AT107" s="477">
        <f>IF('Incremental Repayments'!$R$22="Debt",IF(AND(AT$4&gt;=$D107,AT$4&lt;$D107+'Incremental Repayments'!$I$31),-PMT('Interest Rate'!$J$16,'Incremental Repayments'!$I$31,(HLOOKUP($D107,$E$4:$CZ$32,28,FALSE)*'Incremental Repayments'!$I$22)),0),0)</f>
        <v>0</v>
      </c>
      <c r="AU107" s="477">
        <f>IF('Incremental Repayments'!$R$22="Debt",IF(AND(AU$4&gt;=$D107,AU$4&lt;$D107+'Incremental Repayments'!$I$31),-PMT('Interest Rate'!$J$16,'Incremental Repayments'!$I$31,(HLOOKUP($D107,$E$4:$CZ$32,28,FALSE)*'Incremental Repayments'!$I$22)),0),0)</f>
        <v>0</v>
      </c>
      <c r="AV107" s="477">
        <f>IF('Incremental Repayments'!$R$22="Debt",IF(AND(AV$4&gt;=$D107,AV$4&lt;$D107+'Incremental Repayments'!$I$31),-PMT('Interest Rate'!$J$16,'Incremental Repayments'!$I$31,(HLOOKUP($D107,$E$4:$CZ$32,28,FALSE)*'Incremental Repayments'!$I$22)),0),0)</f>
        <v>0</v>
      </c>
      <c r="AW107" s="477">
        <f>IF('Incremental Repayments'!$R$22="Debt",IF(AND(AW$4&gt;=$D107,AW$4&lt;$D107+'Incremental Repayments'!$I$31),-PMT('Interest Rate'!$J$16,'Incremental Repayments'!$I$31,(HLOOKUP($D107,$E$4:$CZ$32,28,FALSE)*'Incremental Repayments'!$I$22)),0),0)</f>
        <v>0</v>
      </c>
      <c r="AX107" s="477">
        <f>IF('Incremental Repayments'!$R$22="Debt",IF(AND(AX$4&gt;=$D107,AX$4&lt;$D107+'Incremental Repayments'!$I$31),-PMT('Interest Rate'!$J$16,'Incremental Repayments'!$I$31,(HLOOKUP($D107,$E$4:$CZ$32,28,FALSE)*'Incremental Repayments'!$I$22)),0),0)</f>
        <v>0</v>
      </c>
      <c r="AY107" s="477">
        <f>IF('Incremental Repayments'!$R$22="Debt",IF(AND(AY$4&gt;=$D107,AY$4&lt;$D107+'Incremental Repayments'!$I$31),-PMT('Interest Rate'!$J$16,'Incremental Repayments'!$I$31,(HLOOKUP($D107,$E$4:$CZ$32,28,FALSE)*'Incremental Repayments'!$I$22)),0),0)</f>
        <v>0</v>
      </c>
      <c r="AZ107" s="477">
        <f>IF('Incremental Repayments'!$R$22="Debt",IF(AND(AZ$4&gt;=$D107,AZ$4&lt;$D107+'Incremental Repayments'!$I$31),-PMT('Interest Rate'!$J$16,'Incremental Repayments'!$I$31,(HLOOKUP($D107,$E$4:$CZ$32,28,FALSE)*'Incremental Repayments'!$I$22)),0),0)</f>
        <v>0</v>
      </c>
      <c r="BA107" s="477">
        <f>IF('Incremental Repayments'!$R$22="Debt",IF(AND(BA$4&gt;=$D107,BA$4&lt;$D107+'Incremental Repayments'!$I$31),-PMT('Interest Rate'!$J$16,'Incremental Repayments'!$I$31,(HLOOKUP($D107,$E$4:$CZ$32,28,FALSE)*'Incremental Repayments'!$I$22)),0),0)</f>
        <v>0</v>
      </c>
      <c r="BB107" s="477">
        <f>IF('Incremental Repayments'!$R$22="Debt",IF(AND(BB$4&gt;=$D107,BB$4&lt;$D107+'Incremental Repayments'!$I$31),-PMT('Interest Rate'!$J$16,'Incremental Repayments'!$I$31,(HLOOKUP($D107,$E$4:$CZ$32,28,FALSE)*'Incremental Repayments'!$I$22)),0),0)</f>
        <v>0</v>
      </c>
      <c r="BC107" s="477">
        <f>IF('Incremental Repayments'!$R$22="Debt",IF(AND(BC$4&gt;=$D107,BC$4&lt;$D107+'Incremental Repayments'!$I$31),-PMT('Interest Rate'!$J$16,'Incremental Repayments'!$I$31,(HLOOKUP($D107,$E$4:$CZ$32,28,FALSE)*'Incremental Repayments'!$I$22)),0),0)</f>
        <v>0</v>
      </c>
      <c r="BD107" s="477">
        <f>IF('Incremental Repayments'!$R$22="Debt",IF(AND(BD$4&gt;=$D107,BD$4&lt;$D107+'Incremental Repayments'!$I$31),-PMT('Interest Rate'!$J$16,'Incremental Repayments'!$I$31,(HLOOKUP($D107,$E$4:$CZ$32,28,FALSE)*'Incremental Repayments'!$I$22)),0),0)</f>
        <v>0</v>
      </c>
      <c r="BE107" s="477">
        <f>IF('Incremental Repayments'!$R$22="Debt",IF(AND(BE$4&gt;=$D107,BE$4&lt;$D107+'Incremental Repayments'!$I$31),-PMT('Interest Rate'!$J$16,'Incremental Repayments'!$I$31,(HLOOKUP($D107,$E$4:$CZ$32,28,FALSE)*'Incremental Repayments'!$I$22)),0),0)</f>
        <v>0</v>
      </c>
      <c r="BF107" s="477">
        <f>IF('Incremental Repayments'!$R$22="Debt",IF(AND(BF$4&gt;=$D107,BF$4&lt;$D107+'Incremental Repayments'!$I$31),-PMT('Interest Rate'!$J$16,'Incremental Repayments'!$I$31,(HLOOKUP($D107,$E$4:$CZ$32,28,FALSE)*'Incremental Repayments'!$I$22)),0),0)</f>
        <v>0</v>
      </c>
      <c r="BG107" s="477">
        <f>IF('Incremental Repayments'!$R$22="Debt",IF(AND(BG$4&gt;=$D107,BG$4&lt;$D107+'Incremental Repayments'!$I$31),-PMT('Interest Rate'!$J$16,'Incremental Repayments'!$I$31,(HLOOKUP($D107,$E$4:$CZ$32,28,FALSE)*'Incremental Repayments'!$I$22)),0),0)</f>
        <v>0</v>
      </c>
      <c r="BH107" s="477">
        <f>IF('Incremental Repayments'!$R$22="Debt",IF(AND(BH$4&gt;=$D107,BH$4&lt;$D107+'Incremental Repayments'!$I$31),-PMT('Interest Rate'!$J$16,'Incremental Repayments'!$I$31,(HLOOKUP($D107,$E$4:$CZ$32,28,FALSE)*'Incremental Repayments'!$I$22)),0),0)</f>
        <v>0</v>
      </c>
      <c r="BI107" s="477">
        <f>IF('Incremental Repayments'!$R$22="Debt",IF(AND(BI$4&gt;=$D107,BI$4&lt;$D107+'Incremental Repayments'!$I$31),-PMT('Interest Rate'!$J$16,'Incremental Repayments'!$I$31,(HLOOKUP($D107,$E$4:$CZ$32,28,FALSE)*'Incremental Repayments'!$I$22)),0),0)</f>
        <v>0</v>
      </c>
      <c r="BJ107" s="477">
        <f>IF('Incremental Repayments'!$R$22="Debt",IF(AND(BJ$4&gt;=$D107,BJ$4&lt;$D107+'Incremental Repayments'!$I$31),-PMT('Interest Rate'!$J$16,'Incremental Repayments'!$I$31,(HLOOKUP($D107,$E$4:$CZ$32,28,FALSE)*'Incremental Repayments'!$I$22)),0),0)</f>
        <v>0</v>
      </c>
      <c r="BK107" s="477">
        <f>IF('Incremental Repayments'!$R$22="Debt",IF(AND(BK$4&gt;=$D107,BK$4&lt;$D107+'Incremental Repayments'!$I$31),-PMT('Interest Rate'!$J$16,'Incremental Repayments'!$I$31,(HLOOKUP($D107,$E$4:$CZ$32,28,FALSE)*'Incremental Repayments'!$I$22)),0),0)</f>
        <v>0</v>
      </c>
      <c r="BL107" s="477">
        <f>IF('Incremental Repayments'!$R$22="Debt",IF(AND(BL$4&gt;=$D107,BL$4&lt;$D107+'Incremental Repayments'!$I$31),-PMT('Interest Rate'!$J$16,'Incremental Repayments'!$I$31,(HLOOKUP($D107,$E$4:$CZ$32,28,FALSE)*'Incremental Repayments'!$I$22)),0),0)</f>
        <v>0</v>
      </c>
      <c r="BM107" s="477">
        <f>IF('Incremental Repayments'!$R$22="Debt",IF(AND(BM$4&gt;=$D107,BM$4&lt;$D107+'Incremental Repayments'!$I$31),-PMT('Interest Rate'!$J$16,'Incremental Repayments'!$I$31,(HLOOKUP($D107,$E$4:$CZ$32,28,FALSE)*'Incremental Repayments'!$I$22)),0),0)</f>
        <v>0</v>
      </c>
      <c r="BN107" s="477">
        <f>IF('Incremental Repayments'!$R$22="Debt",IF(AND(BN$4&gt;=$D107,BN$4&lt;$D107+'Incremental Repayments'!$I$31),-PMT('Interest Rate'!$J$16,'Incremental Repayments'!$I$31,(HLOOKUP($D107,$E$4:$CZ$32,28,FALSE)*'Incremental Repayments'!$I$22)),0),0)</f>
        <v>0</v>
      </c>
      <c r="BO107" s="477">
        <f>IF('Incremental Repayments'!$R$22="Debt",IF(AND(BO$4&gt;=$D107,BO$4&lt;$D107+'Incremental Repayments'!$I$31),-PMT('Interest Rate'!$J$16,'Incremental Repayments'!$I$31,(HLOOKUP($D107,$E$4:$CZ$32,28,FALSE)*'Incremental Repayments'!$I$22)),0),0)</f>
        <v>0</v>
      </c>
      <c r="BP107" s="477">
        <f>IF('Incremental Repayments'!$R$22="Debt",IF(AND(BP$4&gt;=$D107,BP$4&lt;$D107+'Incremental Repayments'!$I$31),-PMT('Interest Rate'!$J$16,'Incremental Repayments'!$I$31,(HLOOKUP($D107,$E$4:$CZ$32,28,FALSE)*'Incremental Repayments'!$I$22)),0),0)</f>
        <v>0</v>
      </c>
      <c r="BQ107" s="477">
        <f>IF('Incremental Repayments'!$R$22="Debt",IF(AND(BQ$4&gt;=$D107,BQ$4&lt;$D107+'Incremental Repayments'!$I$31),-PMT('Interest Rate'!$J$16,'Incremental Repayments'!$I$31,(HLOOKUP($D107,$E$4:$CZ$32,28,FALSE)*'Incremental Repayments'!$I$22)),0),0)</f>
        <v>0</v>
      </c>
      <c r="BR107" s="477">
        <f>IF('Incremental Repayments'!$R$22="Debt",IF(AND(BR$4&gt;=$D107,BR$4&lt;$D107+'Incremental Repayments'!$I$31),-PMT('Interest Rate'!$J$16,'Incremental Repayments'!$I$31,(HLOOKUP($D107,$E$4:$CZ$32,28,FALSE)*'Incremental Repayments'!$I$22)),0),0)</f>
        <v>0</v>
      </c>
      <c r="BS107" s="477">
        <f>IF('Incremental Repayments'!$R$22="Debt",IF(AND(BS$4&gt;=$D107,BS$4&lt;$D107+'Incremental Repayments'!$I$31),-PMT('Interest Rate'!$J$16,'Incremental Repayments'!$I$31,(HLOOKUP($D107,$E$4:$CZ$32,28,FALSE)*'Incremental Repayments'!$I$22)),0),0)</f>
        <v>0</v>
      </c>
      <c r="BT107" s="477">
        <f>IF('Incremental Repayments'!$R$22="Debt",IF(AND(BT$4&gt;=$D107,BT$4&lt;$D107+'Incremental Repayments'!$I$31),-PMT('Interest Rate'!$J$16,'Incremental Repayments'!$I$31,(HLOOKUP($D107,$E$4:$CZ$32,28,FALSE)*'Incremental Repayments'!$I$22)),0),0)</f>
        <v>0</v>
      </c>
      <c r="BU107" s="477">
        <f>IF('Incremental Repayments'!$R$22="Debt",IF(AND(BU$4&gt;=$D107,BU$4&lt;$D107+'Incremental Repayments'!$I$31),-PMT('Interest Rate'!$J$16,'Incremental Repayments'!$I$31,(HLOOKUP($D107,$E$4:$CZ$32,28,FALSE)*'Incremental Repayments'!$I$22)),0),0)</f>
        <v>0</v>
      </c>
      <c r="BV107" s="477">
        <f>IF('Incremental Repayments'!$R$22="Debt",IF(AND(BV$4&gt;=$D107,BV$4&lt;$D107+'Incremental Repayments'!$I$31),-PMT('Interest Rate'!$J$16,'Incremental Repayments'!$I$31,(HLOOKUP($D107,$E$4:$CZ$32,28,FALSE)*'Incremental Repayments'!$I$22)),0),0)</f>
        <v>0</v>
      </c>
      <c r="BW107" s="477">
        <f>IF('Incremental Repayments'!$R$22="Debt",IF(AND(BW$4&gt;=$D107,BW$4&lt;$D107+'Incremental Repayments'!$I$31),-PMT('Interest Rate'!$J$16,'Incremental Repayments'!$I$31,(HLOOKUP($D107,$E$4:$CZ$32,28,FALSE)*'Incremental Repayments'!$I$22)),0),0)</f>
        <v>0</v>
      </c>
      <c r="BX107" s="477">
        <f>IF('Incremental Repayments'!$R$22="Debt",IF(AND(BX$4&gt;=$D107,BX$4&lt;$D107+'Incremental Repayments'!$I$31),-PMT('Interest Rate'!$J$16,'Incremental Repayments'!$I$31,(HLOOKUP($D107,$E$4:$CZ$32,28,FALSE)*'Incremental Repayments'!$I$22)),0),0)</f>
        <v>0</v>
      </c>
      <c r="BY107" s="477">
        <f>IF('Incremental Repayments'!$R$22="Debt",IF(AND(BY$4&gt;=$D107,BY$4&lt;$D107+'Incremental Repayments'!$I$31),-PMT('Interest Rate'!$J$16,'Incremental Repayments'!$I$31,(HLOOKUP($D107,$E$4:$CZ$32,28,FALSE)*'Incremental Repayments'!$I$22)),0),0)</f>
        <v>0</v>
      </c>
      <c r="BZ107" s="477">
        <f>IF('Incremental Repayments'!$R$22="Debt",IF(AND(BZ$4&gt;=$D107,BZ$4&lt;$D107+'Incremental Repayments'!$I$31),-PMT('Interest Rate'!$J$16,'Incremental Repayments'!$I$31,(HLOOKUP($D107,$E$4:$CZ$32,28,FALSE)*'Incremental Repayments'!$I$22)),0),0)</f>
        <v>0</v>
      </c>
      <c r="CA107" s="477">
        <f>IF('Incremental Repayments'!$R$22="Debt",IF(AND(CA$4&gt;=$D107,CA$4&lt;$D107+'Incremental Repayments'!$I$31),-PMT('Interest Rate'!$J$16,'Incremental Repayments'!$I$31,(HLOOKUP($D107,$E$4:$CZ$32,28,FALSE)*'Incremental Repayments'!$I$22)),0),0)</f>
        <v>0</v>
      </c>
      <c r="CB107" s="477">
        <f>IF('Incremental Repayments'!$R$22="Debt",IF(AND(CB$4&gt;=$D107,CB$4&lt;$D107+'Incremental Repayments'!$I$31),-PMT('Interest Rate'!$J$16,'Incremental Repayments'!$I$31,(HLOOKUP($D107,$E$4:$CZ$32,28,FALSE)*'Incremental Repayments'!$I$22)),0),0)</f>
        <v>0</v>
      </c>
      <c r="CC107" s="477">
        <f>IF('Incremental Repayments'!$R$22="Debt",IF(AND(CC$4&gt;=$D107,CC$4&lt;$D107+'Incremental Repayments'!$I$31),-PMT('Interest Rate'!$J$16,'Incremental Repayments'!$I$31,(HLOOKUP($D107,$E$4:$CZ$32,28,FALSE)*'Incremental Repayments'!$I$22)),0),0)</f>
        <v>0</v>
      </c>
      <c r="CD107" s="477">
        <f>IF('Incremental Repayments'!$R$22="Debt",IF(AND(CD$4&gt;=$D107,CD$4&lt;$D107+'Incremental Repayments'!$I$31),-PMT('Interest Rate'!$J$16,'Incremental Repayments'!$I$31,(HLOOKUP($D107,$E$4:$CZ$32,28,FALSE)*'Incremental Repayments'!$I$22)),0),0)</f>
        <v>0</v>
      </c>
      <c r="CE107" s="477">
        <f>IF('Incremental Repayments'!$R$22="Debt",IF(AND(CE$4&gt;=$D107,CE$4&lt;$D107+'Incremental Repayments'!$I$31),-PMT('Interest Rate'!$J$16,'Incremental Repayments'!$I$31,(HLOOKUP($D107,$E$4:$CZ$32,28,FALSE)*'Incremental Repayments'!$I$22)),0),0)</f>
        <v>0</v>
      </c>
      <c r="CF107" s="477">
        <f>IF('Incremental Repayments'!$R$22="Debt",IF(AND(CF$4&gt;=$D107,CF$4&lt;$D107+'Incremental Repayments'!$I$31),-PMT('Interest Rate'!$J$16,'Incremental Repayments'!$I$31,(HLOOKUP($D107,$E$4:$CZ$32,28,FALSE)*'Incremental Repayments'!$I$22)),0),0)</f>
        <v>0</v>
      </c>
      <c r="CG107" s="477">
        <f>IF('Incremental Repayments'!$R$22="Debt",IF(AND(CG$4&gt;=$D107,CG$4&lt;$D107+'Incremental Repayments'!$I$31),-PMT('Interest Rate'!$J$16,'Incremental Repayments'!$I$31,(HLOOKUP($D107,$E$4:$CZ$32,28,FALSE)*'Incremental Repayments'!$I$22)),0),0)</f>
        <v>0</v>
      </c>
      <c r="CH107" s="477">
        <f>IF('Incremental Repayments'!$R$22="Debt",IF(AND(CH$4&gt;=$D107,CH$4&lt;$D107+'Incremental Repayments'!$I$31),-PMT('Interest Rate'!$J$16,'Incremental Repayments'!$I$31,(HLOOKUP($D107,$E$4:$CZ$32,28,FALSE)*'Incremental Repayments'!$I$22)),0),0)</f>
        <v>0</v>
      </c>
      <c r="CI107" s="477">
        <f>IF('Incremental Repayments'!$R$22="Debt",IF(AND(CI$4&gt;=$D107,CI$4&lt;$D107+'Incremental Repayments'!$I$31),-PMT('Interest Rate'!$J$16,'Incremental Repayments'!$I$31,(HLOOKUP($D107,$E$4:$CZ$32,28,FALSE)*'Incremental Repayments'!$I$22)),0),0)</f>
        <v>0</v>
      </c>
      <c r="CJ107" s="477">
        <f>IF('Incremental Repayments'!$R$22="Debt",IF(AND(CJ$4&gt;=$D107,CJ$4&lt;$D107+'Incremental Repayments'!$I$31),-PMT('Interest Rate'!$J$16,'Incremental Repayments'!$I$31,(HLOOKUP($D107,$E$4:$CZ$32,28,FALSE)*'Incremental Repayments'!$I$22)),0),0)</f>
        <v>0</v>
      </c>
      <c r="CK107" s="477">
        <f>IF('Incremental Repayments'!$R$22="Debt",IF(AND(CK$4&gt;=$D107,CK$4&lt;$D107+'Incremental Repayments'!$I$31),-PMT('Interest Rate'!$J$16,'Incremental Repayments'!$I$31,(HLOOKUP($D107,$E$4:$CZ$32,28,FALSE)*'Incremental Repayments'!$I$22)),0),0)</f>
        <v>0</v>
      </c>
      <c r="CL107" s="477">
        <f>IF('Incremental Repayments'!$R$22="Debt",IF(AND(CL$4&gt;=$D107,CL$4&lt;$D107+'Incremental Repayments'!$I$31),-PMT('Interest Rate'!$J$16,'Incremental Repayments'!$I$31,(HLOOKUP($D107,$E$4:$CZ$32,28,FALSE)*'Incremental Repayments'!$I$22)),0),0)</f>
        <v>0</v>
      </c>
      <c r="CM107" s="477">
        <f>IF('Incremental Repayments'!$R$22="Debt",IF(AND(CM$4&gt;=$D107,CM$4&lt;$D107+'Incremental Repayments'!$I$31),-PMT('Interest Rate'!$J$16,'Incremental Repayments'!$I$31,(HLOOKUP($D107,$E$4:$CZ$32,28,FALSE)*'Incremental Repayments'!$I$22)),0),0)</f>
        <v>0</v>
      </c>
      <c r="CN107" s="477">
        <f>IF('Incremental Repayments'!$R$22="Debt",IF(AND(CN$4&gt;=$D107,CN$4&lt;$D107+'Incremental Repayments'!$I$31),-PMT('Interest Rate'!$J$16,'Incremental Repayments'!$I$31,(HLOOKUP($D107,$E$4:$CZ$32,28,FALSE)*'Incremental Repayments'!$I$22)),0),0)</f>
        <v>0</v>
      </c>
      <c r="CO107" s="477">
        <f>IF('Incremental Repayments'!$R$22="Debt",IF(AND(CO$4&gt;=$D107,CO$4&lt;$D107+'Incremental Repayments'!$I$31),-PMT('Interest Rate'!$J$16,'Incremental Repayments'!$I$31,(HLOOKUP($D107,$E$4:$CZ$32,28,FALSE)*'Incremental Repayments'!$I$22)),0),0)</f>
        <v>0</v>
      </c>
      <c r="CP107" s="477">
        <f>IF('Incremental Repayments'!$R$22="Debt",IF(AND(CP$4&gt;=$D107,CP$4&lt;$D107+'Incremental Repayments'!$I$31),-PMT('Interest Rate'!$J$16,'Incremental Repayments'!$I$31,(HLOOKUP($D107,$E$4:$CZ$32,28,FALSE)*'Incremental Repayments'!$I$22)),0),0)</f>
        <v>0</v>
      </c>
      <c r="CQ107" s="477">
        <f>IF('Incremental Repayments'!$R$22="Debt",IF(AND(CQ$4&gt;=$D107,CQ$4&lt;$D107+'Incremental Repayments'!$I$31),-PMT('Interest Rate'!$J$16,'Incremental Repayments'!$I$31,(HLOOKUP($D107,$E$4:$CZ$32,28,FALSE)*'Incremental Repayments'!$I$22)),0),0)</f>
        <v>0</v>
      </c>
      <c r="CR107" s="477">
        <f>IF('Incremental Repayments'!$R$22="Debt",IF(AND(CR$4&gt;=$D107,CR$4&lt;$D107+'Incremental Repayments'!$I$31),-PMT('Interest Rate'!$J$16,'Incremental Repayments'!$I$31,(HLOOKUP($D107,$E$4:$CZ$32,28,FALSE)*'Incremental Repayments'!$I$22)),0),0)</f>
        <v>0</v>
      </c>
      <c r="CS107" s="477">
        <f>IF('Incremental Repayments'!$R$22="Debt",IF(AND(CS$4&gt;=$D107,CS$4&lt;$D107+'Incremental Repayments'!$I$31),-PMT('Interest Rate'!$J$16,'Incremental Repayments'!$I$31,(HLOOKUP($D107,$E$4:$CZ$32,28,FALSE)*'Incremental Repayments'!$I$22)),0),0)</f>
        <v>0</v>
      </c>
      <c r="CT107" s="477">
        <f>IF('Incremental Repayments'!$R$22="Debt",IF(AND(CT$4&gt;=$D107,CT$4&lt;$D107+'Incremental Repayments'!$I$31),-PMT('Interest Rate'!$J$16,'Incremental Repayments'!$I$31,(HLOOKUP($D107,$E$4:$CZ$32,28,FALSE)*'Incremental Repayments'!$I$22)),0),0)</f>
        <v>0</v>
      </c>
      <c r="CU107" s="477">
        <f>IF('Incremental Repayments'!$R$22="Debt",IF(AND(CU$4&gt;=$D107,CU$4&lt;$D107+'Incremental Repayments'!$I$31),-PMT('Interest Rate'!$J$16,'Incremental Repayments'!$I$31,(HLOOKUP($D107,$E$4:$CZ$32,28,FALSE)*'Incremental Repayments'!$I$22)),0),0)</f>
        <v>0</v>
      </c>
      <c r="CV107" s="477">
        <f>IF('Incremental Repayments'!$R$22="Debt",IF(AND(CV$4&gt;=$D107,CV$4&lt;$D107+'Incremental Repayments'!$I$31),-PMT('Interest Rate'!$J$16,'Incremental Repayments'!$I$31,(HLOOKUP($D107,$E$4:$CZ$32,28,FALSE)*'Incremental Repayments'!$I$22)),0),0)</f>
        <v>0</v>
      </c>
      <c r="CW107" s="477">
        <f>IF('Incremental Repayments'!$R$22="Debt",IF(AND(CW$4&gt;=$D107,CW$4&lt;$D107+'Incremental Repayments'!$I$31),-PMT('Interest Rate'!$J$16,'Incremental Repayments'!$I$31,(HLOOKUP($D107,$E$4:$CZ$32,28,FALSE)*'Incremental Repayments'!$I$22)),0),0)</f>
        <v>0</v>
      </c>
      <c r="CX107" s="477">
        <f>IF('Incremental Repayments'!$R$22="Debt",IF(AND(CX$4&gt;=$D107,CX$4&lt;$D107+'Incremental Repayments'!$I$31),-PMT('Interest Rate'!$J$16,'Incremental Repayments'!$I$31,(HLOOKUP($D107,$E$4:$CZ$32,28,FALSE)*'Incremental Repayments'!$I$22)),0),0)</f>
        <v>0</v>
      </c>
      <c r="CY107" s="477">
        <f>IF('Incremental Repayments'!$R$22="Debt",IF(AND(CY$4&gt;=$D107,CY$4&lt;$D107+'Incremental Repayments'!$I$31),-PMT('Interest Rate'!$J$16,'Incremental Repayments'!$I$31,(HLOOKUP($D107,$E$4:$CZ$32,28,FALSE)*'Incremental Repayments'!$I$22)),0),0)</f>
        <v>0</v>
      </c>
      <c r="CZ107" s="477">
        <f>IF('Incremental Repayments'!$R$22="Debt",IF(AND(CZ$4&gt;=$D107,CZ$4&lt;$D107+'Incremental Repayments'!$I$31),-PMT('Interest Rate'!$J$16,'Incremental Repayments'!$I$31,(HLOOKUP($D107,$E$4:$CZ$32,28,FALSE)*'Incremental Repayments'!$I$22)),0),0)</f>
        <v>0</v>
      </c>
    </row>
    <row r="108" spans="2:104" x14ac:dyDescent="0.25">
      <c r="B108" s="480" t="str">
        <f>CONCATENATE("Series ",D108,"A Bonds (at ",'Interest Rate'!$J$16*100,"% Interest)")</f>
        <v>Series 2086A Bonds (at 4.5% Interest)</v>
      </c>
      <c r="C108" s="480"/>
      <c r="D108" s="492">
        <f t="shared" si="495"/>
        <v>2086</v>
      </c>
      <c r="E108" s="477">
        <f>IF('Incremental Repayments'!$R$22="Debt",IF(AND(E$4&gt;=$D108,E$4&lt;$D108+'Incremental Repayments'!$I$31),-PMT('Interest Rate'!$J$16,'Incremental Repayments'!$I$31,(HLOOKUP($D108,$E$4:$CZ$32,28,FALSE)*'Incremental Repayments'!$I$22)),0),0)</f>
        <v>0</v>
      </c>
      <c r="F108" s="477">
        <f>IF('Incremental Repayments'!$R$22="Debt",IF(AND(F$4&gt;=$D108,F$4&lt;$D108+'Incremental Repayments'!$I$31),-PMT('Interest Rate'!$J$16,'Incremental Repayments'!$I$31,(HLOOKUP($D108,$E$4:$CZ$32,28,FALSE)*'Incremental Repayments'!$I$22)),0),0)</f>
        <v>0</v>
      </c>
      <c r="G108" s="477">
        <f>IF('Incremental Repayments'!$R$22="Debt",IF(AND(G$4&gt;=$D108,G$4&lt;$D108+'Incremental Repayments'!$I$31),-PMT('Interest Rate'!$J$16,'Incremental Repayments'!$I$31,(HLOOKUP($D108,$E$4:$CZ$32,28,FALSE)*'Incremental Repayments'!$I$22)),0),0)</f>
        <v>0</v>
      </c>
      <c r="H108" s="477">
        <f>IF('Incremental Repayments'!$R$22="Debt",IF(AND(H$4&gt;=$D108,H$4&lt;$D108+'Incremental Repayments'!$I$31),-PMT('Interest Rate'!$J$16,'Incremental Repayments'!$I$31,(HLOOKUP($D108,$E$4:$CZ$32,28,FALSE)*'Incremental Repayments'!$I$22)),0),0)</f>
        <v>0</v>
      </c>
      <c r="I108" s="477">
        <f>IF('Incremental Repayments'!$R$22="Debt",IF(AND(I$4&gt;=$D108,I$4&lt;$D108+'Incremental Repayments'!$I$31),-PMT('Interest Rate'!$J$16,'Incremental Repayments'!$I$31,(HLOOKUP($D108,$E$4:$CZ$32,28,FALSE)*'Incremental Repayments'!$I$22)),0),0)</f>
        <v>0</v>
      </c>
      <c r="J108" s="477">
        <f>IF('Incremental Repayments'!$R$22="Debt",IF(AND(J$4&gt;=$D108,J$4&lt;$D108+'Incremental Repayments'!$I$31),-PMT('Interest Rate'!$J$16,'Incremental Repayments'!$I$31,(HLOOKUP($D108,$E$4:$CZ$32,28,FALSE)*'Incremental Repayments'!$I$22)),0),0)</f>
        <v>0</v>
      </c>
      <c r="K108" s="477">
        <f>IF('Incremental Repayments'!$R$22="Debt",IF(AND(K$4&gt;=$D108,K$4&lt;$D108+'Incremental Repayments'!$I$31),-PMT('Interest Rate'!$J$16,'Incremental Repayments'!$I$31,(HLOOKUP($D108,$E$4:$CZ$32,28,FALSE)*'Incremental Repayments'!$I$22)),0),0)</f>
        <v>0</v>
      </c>
      <c r="L108" s="477">
        <f>IF('Incremental Repayments'!$R$22="Debt",IF(AND(L$4&gt;=$D108,L$4&lt;$D108+'Incremental Repayments'!$I$31),-PMT('Interest Rate'!$J$16,'Incremental Repayments'!$I$31,(HLOOKUP($D108,$E$4:$CZ$32,28,FALSE)*'Incremental Repayments'!$I$22)),0),0)</f>
        <v>0</v>
      </c>
      <c r="M108" s="477">
        <f>IF('Incremental Repayments'!$R$22="Debt",IF(AND(M$4&gt;=$D108,M$4&lt;$D108+'Incremental Repayments'!$I$31),-PMT('Interest Rate'!$J$16,'Incremental Repayments'!$I$31,(HLOOKUP($D108,$E$4:$CZ$32,28,FALSE)*'Incremental Repayments'!$I$22)),0),0)</f>
        <v>0</v>
      </c>
      <c r="N108" s="477">
        <f>IF('Incremental Repayments'!$R$22="Debt",IF(AND(N$4&gt;=$D108,N$4&lt;$D108+'Incremental Repayments'!$I$31),-PMT('Interest Rate'!$J$16,'Incremental Repayments'!$I$31,(HLOOKUP($D108,$E$4:$CZ$32,28,FALSE)*'Incremental Repayments'!$I$22)),0),0)</f>
        <v>0</v>
      </c>
      <c r="O108" s="477">
        <f>IF('Incremental Repayments'!$R$22="Debt",IF(AND(O$4&gt;=$D108,O$4&lt;$D108+'Incremental Repayments'!$I$31),-PMT('Interest Rate'!$J$16,'Incremental Repayments'!$I$31,(HLOOKUP($D108,$E$4:$CZ$32,28,FALSE)*'Incremental Repayments'!$I$22)),0),0)</f>
        <v>0</v>
      </c>
      <c r="P108" s="477">
        <f>IF('Incremental Repayments'!$R$22="Debt",IF(AND(P$4&gt;=$D108,P$4&lt;$D108+'Incremental Repayments'!$I$31),-PMT('Interest Rate'!$J$16,'Incremental Repayments'!$I$31,(HLOOKUP($D108,$E$4:$CZ$32,28,FALSE)*'Incremental Repayments'!$I$22)),0),0)</f>
        <v>0</v>
      </c>
      <c r="Q108" s="477">
        <f>IF('Incremental Repayments'!$R$22="Debt",IF(AND(Q$4&gt;=$D108,Q$4&lt;$D108+'Incremental Repayments'!$I$31),-PMT('Interest Rate'!$J$16,'Incremental Repayments'!$I$31,(HLOOKUP($D108,$E$4:$CZ$32,28,FALSE)*'Incremental Repayments'!$I$22)),0),0)</f>
        <v>0</v>
      </c>
      <c r="R108" s="477">
        <f>IF('Incremental Repayments'!$R$22="Debt",IF(AND(R$4&gt;=$D108,R$4&lt;$D108+'Incremental Repayments'!$I$31),-PMT('Interest Rate'!$J$16,'Incremental Repayments'!$I$31,(HLOOKUP($D108,$E$4:$CZ$32,28,FALSE)*'Incremental Repayments'!$I$22)),0),0)</f>
        <v>0</v>
      </c>
      <c r="S108" s="477">
        <f>IF('Incremental Repayments'!$R$22="Debt",IF(AND(S$4&gt;=$D108,S$4&lt;$D108+'Incremental Repayments'!$I$31),-PMT('Interest Rate'!$J$16,'Incremental Repayments'!$I$31,(HLOOKUP($D108,$E$4:$CZ$32,28,FALSE)*'Incremental Repayments'!$I$22)),0),0)</f>
        <v>0</v>
      </c>
      <c r="T108" s="477">
        <f>IF('Incremental Repayments'!$R$22="Debt",IF(AND(T$4&gt;=$D108,T$4&lt;$D108+'Incremental Repayments'!$I$31),-PMT('Interest Rate'!$J$16,'Incremental Repayments'!$I$31,(HLOOKUP($D108,$E$4:$CZ$32,28,FALSE)*'Incremental Repayments'!$I$22)),0),0)</f>
        <v>0</v>
      </c>
      <c r="U108" s="477">
        <f>IF('Incremental Repayments'!$R$22="Debt",IF(AND(U$4&gt;=$D108,U$4&lt;$D108+'Incremental Repayments'!$I$31),-PMT('Interest Rate'!$J$16,'Incremental Repayments'!$I$31,(HLOOKUP($D108,$E$4:$CZ$32,28,FALSE)*'Incremental Repayments'!$I$22)),0),0)</f>
        <v>0</v>
      </c>
      <c r="V108" s="477">
        <f>IF('Incremental Repayments'!$R$22="Debt",IF(AND(V$4&gt;=$D108,V$4&lt;$D108+'Incremental Repayments'!$I$31),-PMT('Interest Rate'!$J$16,'Incremental Repayments'!$I$31,(HLOOKUP($D108,$E$4:$CZ$32,28,FALSE)*'Incremental Repayments'!$I$22)),0),0)</f>
        <v>0</v>
      </c>
      <c r="W108" s="477">
        <f>IF('Incremental Repayments'!$R$22="Debt",IF(AND(W$4&gt;=$D108,W$4&lt;$D108+'Incremental Repayments'!$I$31),-PMT('Interest Rate'!$J$16,'Incremental Repayments'!$I$31,(HLOOKUP($D108,$E$4:$CZ$32,28,FALSE)*'Incremental Repayments'!$I$22)),0),0)</f>
        <v>0</v>
      </c>
      <c r="X108" s="477">
        <f>IF('Incremental Repayments'!$R$22="Debt",IF(AND(X$4&gt;=$D108,X$4&lt;$D108+'Incremental Repayments'!$I$31),-PMT('Interest Rate'!$J$16,'Incremental Repayments'!$I$31,(HLOOKUP($D108,$E$4:$CZ$32,28,FALSE)*'Incremental Repayments'!$I$22)),0),0)</f>
        <v>0</v>
      </c>
      <c r="Y108" s="477">
        <f>IF('Incremental Repayments'!$R$22="Debt",IF(AND(Y$4&gt;=$D108,Y$4&lt;$D108+'Incremental Repayments'!$I$31),-PMT('Interest Rate'!$J$16,'Incremental Repayments'!$I$31,(HLOOKUP($D108,$E$4:$CZ$32,28,FALSE)*'Incremental Repayments'!$I$22)),0),0)</f>
        <v>0</v>
      </c>
      <c r="Z108" s="477">
        <f>IF('Incremental Repayments'!$R$22="Debt",IF(AND(Z$4&gt;=$D108,Z$4&lt;$D108+'Incremental Repayments'!$I$31),-PMT('Interest Rate'!$J$16,'Incremental Repayments'!$I$31,(HLOOKUP($D108,$E$4:$CZ$32,28,FALSE)*'Incremental Repayments'!$I$22)),0),0)</f>
        <v>0</v>
      </c>
      <c r="AA108" s="477">
        <f>IF('Incremental Repayments'!$R$22="Debt",IF(AND(AA$4&gt;=$D108,AA$4&lt;$D108+'Incremental Repayments'!$I$31),-PMT('Interest Rate'!$J$16,'Incremental Repayments'!$I$31,(HLOOKUP($D108,$E$4:$CZ$32,28,FALSE)*'Incremental Repayments'!$I$22)),0),0)</f>
        <v>0</v>
      </c>
      <c r="AB108" s="477">
        <f>IF('Incremental Repayments'!$R$22="Debt",IF(AND(AB$4&gt;=$D108,AB$4&lt;$D108+'Incremental Repayments'!$I$31),-PMT('Interest Rate'!$J$16,'Incremental Repayments'!$I$31,(HLOOKUP($D108,$E$4:$CZ$32,28,FALSE)*'Incremental Repayments'!$I$22)),0),0)</f>
        <v>0</v>
      </c>
      <c r="AC108" s="477">
        <f>IF('Incremental Repayments'!$R$22="Debt",IF(AND(AC$4&gt;=$D108,AC$4&lt;$D108+'Incremental Repayments'!$I$31),-PMT('Interest Rate'!$J$16,'Incremental Repayments'!$I$31,(HLOOKUP($D108,$E$4:$CZ$32,28,FALSE)*'Incremental Repayments'!$I$22)),0),0)</f>
        <v>0</v>
      </c>
      <c r="AD108" s="477">
        <f>IF('Incremental Repayments'!$R$22="Debt",IF(AND(AD$4&gt;=$D108,AD$4&lt;$D108+'Incremental Repayments'!$I$31),-PMT('Interest Rate'!$J$16,'Incremental Repayments'!$I$31,(HLOOKUP($D108,$E$4:$CZ$32,28,FALSE)*'Incremental Repayments'!$I$22)),0),0)</f>
        <v>0</v>
      </c>
      <c r="AE108" s="477">
        <f>IF('Incremental Repayments'!$R$22="Debt",IF(AND(AE$4&gt;=$D108,AE$4&lt;$D108+'Incremental Repayments'!$I$31),-PMT('Interest Rate'!$J$16,'Incremental Repayments'!$I$31,(HLOOKUP($D108,$E$4:$CZ$32,28,FALSE)*'Incremental Repayments'!$I$22)),0),0)</f>
        <v>0</v>
      </c>
      <c r="AF108" s="477">
        <f>IF('Incremental Repayments'!$R$22="Debt",IF(AND(AF$4&gt;=$D108,AF$4&lt;$D108+'Incremental Repayments'!$I$31),-PMT('Interest Rate'!$J$16,'Incremental Repayments'!$I$31,(HLOOKUP($D108,$E$4:$CZ$32,28,FALSE)*'Incremental Repayments'!$I$22)),0),0)</f>
        <v>0</v>
      </c>
      <c r="AG108" s="477">
        <f>IF('Incremental Repayments'!$R$22="Debt",IF(AND(AG$4&gt;=$D108,AG$4&lt;$D108+'Incremental Repayments'!$I$31),-PMT('Interest Rate'!$J$16,'Incremental Repayments'!$I$31,(HLOOKUP($D108,$E$4:$CZ$32,28,FALSE)*'Incremental Repayments'!$I$22)),0),0)</f>
        <v>0</v>
      </c>
      <c r="AH108" s="477">
        <f>IF('Incremental Repayments'!$R$22="Debt",IF(AND(AH$4&gt;=$D108,AH$4&lt;$D108+'Incremental Repayments'!$I$31),-PMT('Interest Rate'!$J$16,'Incremental Repayments'!$I$31,(HLOOKUP($D108,$E$4:$CZ$32,28,FALSE)*'Incremental Repayments'!$I$22)),0),0)</f>
        <v>0</v>
      </c>
      <c r="AI108" s="477">
        <f>IF('Incremental Repayments'!$R$22="Debt",IF(AND(AI$4&gt;=$D108,AI$4&lt;$D108+'Incremental Repayments'!$I$31),-PMT('Interest Rate'!$J$16,'Incremental Repayments'!$I$31,(HLOOKUP($D108,$E$4:$CZ$32,28,FALSE)*'Incremental Repayments'!$I$22)),0),0)</f>
        <v>0</v>
      </c>
      <c r="AJ108" s="477">
        <f>IF('Incremental Repayments'!$R$22="Debt",IF(AND(AJ$4&gt;=$D108,AJ$4&lt;$D108+'Incremental Repayments'!$I$31),-PMT('Interest Rate'!$J$16,'Incremental Repayments'!$I$31,(HLOOKUP($D108,$E$4:$CZ$32,28,FALSE)*'Incremental Repayments'!$I$22)),0),0)</f>
        <v>0</v>
      </c>
      <c r="AK108" s="477">
        <f>IF('Incremental Repayments'!$R$22="Debt",IF(AND(AK$4&gt;=$D108,AK$4&lt;$D108+'Incremental Repayments'!$I$31),-PMT('Interest Rate'!$J$16,'Incremental Repayments'!$I$31,(HLOOKUP($D108,$E$4:$CZ$32,28,FALSE)*'Incremental Repayments'!$I$22)),0),0)</f>
        <v>0</v>
      </c>
      <c r="AL108" s="477">
        <f>IF('Incremental Repayments'!$R$22="Debt",IF(AND(AL$4&gt;=$D108,AL$4&lt;$D108+'Incremental Repayments'!$I$31),-PMT('Interest Rate'!$J$16,'Incremental Repayments'!$I$31,(HLOOKUP($D108,$E$4:$CZ$32,28,FALSE)*'Incremental Repayments'!$I$22)),0),0)</f>
        <v>0</v>
      </c>
      <c r="AM108" s="477">
        <f>IF('Incremental Repayments'!$R$22="Debt",IF(AND(AM$4&gt;=$D108,AM$4&lt;$D108+'Incremental Repayments'!$I$31),-PMT('Interest Rate'!$J$16,'Incremental Repayments'!$I$31,(HLOOKUP($D108,$E$4:$CZ$32,28,FALSE)*'Incremental Repayments'!$I$22)),0),0)</f>
        <v>0</v>
      </c>
      <c r="AN108" s="477">
        <f>IF('Incremental Repayments'!$R$22="Debt",IF(AND(AN$4&gt;=$D108,AN$4&lt;$D108+'Incremental Repayments'!$I$31),-PMT('Interest Rate'!$J$16,'Incremental Repayments'!$I$31,(HLOOKUP($D108,$E$4:$CZ$32,28,FALSE)*'Incremental Repayments'!$I$22)),0),0)</f>
        <v>0</v>
      </c>
      <c r="AO108" s="477">
        <f>IF('Incremental Repayments'!$R$22="Debt",IF(AND(AO$4&gt;=$D108,AO$4&lt;$D108+'Incremental Repayments'!$I$31),-PMT('Interest Rate'!$J$16,'Incremental Repayments'!$I$31,(HLOOKUP($D108,$E$4:$CZ$32,28,FALSE)*'Incremental Repayments'!$I$22)),0),0)</f>
        <v>0</v>
      </c>
      <c r="AP108" s="477">
        <f>IF('Incremental Repayments'!$R$22="Debt",IF(AND(AP$4&gt;=$D108,AP$4&lt;$D108+'Incremental Repayments'!$I$31),-PMT('Interest Rate'!$J$16,'Incremental Repayments'!$I$31,(HLOOKUP($D108,$E$4:$CZ$32,28,FALSE)*'Incremental Repayments'!$I$22)),0),0)</f>
        <v>0</v>
      </c>
      <c r="AQ108" s="477">
        <f>IF('Incremental Repayments'!$R$22="Debt",IF(AND(AQ$4&gt;=$D108,AQ$4&lt;$D108+'Incremental Repayments'!$I$31),-PMT('Interest Rate'!$J$16,'Incremental Repayments'!$I$31,(HLOOKUP($D108,$E$4:$CZ$32,28,FALSE)*'Incremental Repayments'!$I$22)),0),0)</f>
        <v>0</v>
      </c>
      <c r="AR108" s="477">
        <f>IF('Incremental Repayments'!$R$22="Debt",IF(AND(AR$4&gt;=$D108,AR$4&lt;$D108+'Incremental Repayments'!$I$31),-PMT('Interest Rate'!$J$16,'Incremental Repayments'!$I$31,(HLOOKUP($D108,$E$4:$CZ$32,28,FALSE)*'Incremental Repayments'!$I$22)),0),0)</f>
        <v>0</v>
      </c>
      <c r="AS108" s="477">
        <f>IF('Incremental Repayments'!$R$22="Debt",IF(AND(AS$4&gt;=$D108,AS$4&lt;$D108+'Incremental Repayments'!$I$31),-PMT('Interest Rate'!$J$16,'Incremental Repayments'!$I$31,(HLOOKUP($D108,$E$4:$CZ$32,28,FALSE)*'Incremental Repayments'!$I$22)),0),0)</f>
        <v>0</v>
      </c>
      <c r="AT108" s="477">
        <f>IF('Incremental Repayments'!$R$22="Debt",IF(AND(AT$4&gt;=$D108,AT$4&lt;$D108+'Incremental Repayments'!$I$31),-PMT('Interest Rate'!$J$16,'Incremental Repayments'!$I$31,(HLOOKUP($D108,$E$4:$CZ$32,28,FALSE)*'Incremental Repayments'!$I$22)),0),0)</f>
        <v>0</v>
      </c>
      <c r="AU108" s="477">
        <f>IF('Incremental Repayments'!$R$22="Debt",IF(AND(AU$4&gt;=$D108,AU$4&lt;$D108+'Incremental Repayments'!$I$31),-PMT('Interest Rate'!$J$16,'Incremental Repayments'!$I$31,(HLOOKUP($D108,$E$4:$CZ$32,28,FALSE)*'Incremental Repayments'!$I$22)),0),0)</f>
        <v>0</v>
      </c>
      <c r="AV108" s="477">
        <f>IF('Incremental Repayments'!$R$22="Debt",IF(AND(AV$4&gt;=$D108,AV$4&lt;$D108+'Incremental Repayments'!$I$31),-PMT('Interest Rate'!$J$16,'Incremental Repayments'!$I$31,(HLOOKUP($D108,$E$4:$CZ$32,28,FALSE)*'Incremental Repayments'!$I$22)),0),0)</f>
        <v>0</v>
      </c>
      <c r="AW108" s="477">
        <f>IF('Incremental Repayments'!$R$22="Debt",IF(AND(AW$4&gt;=$D108,AW$4&lt;$D108+'Incremental Repayments'!$I$31),-PMT('Interest Rate'!$J$16,'Incremental Repayments'!$I$31,(HLOOKUP($D108,$E$4:$CZ$32,28,FALSE)*'Incremental Repayments'!$I$22)),0),0)</f>
        <v>0</v>
      </c>
      <c r="AX108" s="477">
        <f>IF('Incremental Repayments'!$R$22="Debt",IF(AND(AX$4&gt;=$D108,AX$4&lt;$D108+'Incremental Repayments'!$I$31),-PMT('Interest Rate'!$J$16,'Incremental Repayments'!$I$31,(HLOOKUP($D108,$E$4:$CZ$32,28,FALSE)*'Incremental Repayments'!$I$22)),0),0)</f>
        <v>0</v>
      </c>
      <c r="AY108" s="477">
        <f>IF('Incremental Repayments'!$R$22="Debt",IF(AND(AY$4&gt;=$D108,AY$4&lt;$D108+'Incremental Repayments'!$I$31),-PMT('Interest Rate'!$J$16,'Incremental Repayments'!$I$31,(HLOOKUP($D108,$E$4:$CZ$32,28,FALSE)*'Incremental Repayments'!$I$22)),0),0)</f>
        <v>0</v>
      </c>
      <c r="AZ108" s="477">
        <f>IF('Incremental Repayments'!$R$22="Debt",IF(AND(AZ$4&gt;=$D108,AZ$4&lt;$D108+'Incremental Repayments'!$I$31),-PMT('Interest Rate'!$J$16,'Incremental Repayments'!$I$31,(HLOOKUP($D108,$E$4:$CZ$32,28,FALSE)*'Incremental Repayments'!$I$22)),0),0)</f>
        <v>0</v>
      </c>
      <c r="BA108" s="477">
        <f>IF('Incremental Repayments'!$R$22="Debt",IF(AND(BA$4&gt;=$D108,BA$4&lt;$D108+'Incremental Repayments'!$I$31),-PMT('Interest Rate'!$J$16,'Incremental Repayments'!$I$31,(HLOOKUP($D108,$E$4:$CZ$32,28,FALSE)*'Incremental Repayments'!$I$22)),0),0)</f>
        <v>0</v>
      </c>
      <c r="BB108" s="477">
        <f>IF('Incremental Repayments'!$R$22="Debt",IF(AND(BB$4&gt;=$D108,BB$4&lt;$D108+'Incremental Repayments'!$I$31),-PMT('Interest Rate'!$J$16,'Incremental Repayments'!$I$31,(HLOOKUP($D108,$E$4:$CZ$32,28,FALSE)*'Incremental Repayments'!$I$22)),0),0)</f>
        <v>0</v>
      </c>
      <c r="BC108" s="477">
        <f>IF('Incremental Repayments'!$R$22="Debt",IF(AND(BC$4&gt;=$D108,BC$4&lt;$D108+'Incremental Repayments'!$I$31),-PMT('Interest Rate'!$J$16,'Incremental Repayments'!$I$31,(HLOOKUP($D108,$E$4:$CZ$32,28,FALSE)*'Incremental Repayments'!$I$22)),0),0)</f>
        <v>0</v>
      </c>
      <c r="BD108" s="477">
        <f>IF('Incremental Repayments'!$R$22="Debt",IF(AND(BD$4&gt;=$D108,BD$4&lt;$D108+'Incremental Repayments'!$I$31),-PMT('Interest Rate'!$J$16,'Incremental Repayments'!$I$31,(HLOOKUP($D108,$E$4:$CZ$32,28,FALSE)*'Incremental Repayments'!$I$22)),0),0)</f>
        <v>0</v>
      </c>
      <c r="BE108" s="477">
        <f>IF('Incremental Repayments'!$R$22="Debt",IF(AND(BE$4&gt;=$D108,BE$4&lt;$D108+'Incremental Repayments'!$I$31),-PMT('Interest Rate'!$J$16,'Incremental Repayments'!$I$31,(HLOOKUP($D108,$E$4:$CZ$32,28,FALSE)*'Incremental Repayments'!$I$22)),0),0)</f>
        <v>0</v>
      </c>
      <c r="BF108" s="477">
        <f>IF('Incremental Repayments'!$R$22="Debt",IF(AND(BF$4&gt;=$D108,BF$4&lt;$D108+'Incremental Repayments'!$I$31),-PMT('Interest Rate'!$J$16,'Incremental Repayments'!$I$31,(HLOOKUP($D108,$E$4:$CZ$32,28,FALSE)*'Incremental Repayments'!$I$22)),0),0)</f>
        <v>0</v>
      </c>
      <c r="BG108" s="477">
        <f>IF('Incremental Repayments'!$R$22="Debt",IF(AND(BG$4&gt;=$D108,BG$4&lt;$D108+'Incremental Repayments'!$I$31),-PMT('Interest Rate'!$J$16,'Incremental Repayments'!$I$31,(HLOOKUP($D108,$E$4:$CZ$32,28,FALSE)*'Incremental Repayments'!$I$22)),0),0)</f>
        <v>0</v>
      </c>
      <c r="BH108" s="477">
        <f>IF('Incremental Repayments'!$R$22="Debt",IF(AND(BH$4&gt;=$D108,BH$4&lt;$D108+'Incremental Repayments'!$I$31),-PMT('Interest Rate'!$J$16,'Incremental Repayments'!$I$31,(HLOOKUP($D108,$E$4:$CZ$32,28,FALSE)*'Incremental Repayments'!$I$22)),0),0)</f>
        <v>0</v>
      </c>
      <c r="BI108" s="477">
        <f>IF('Incremental Repayments'!$R$22="Debt",IF(AND(BI$4&gt;=$D108,BI$4&lt;$D108+'Incremental Repayments'!$I$31),-PMT('Interest Rate'!$J$16,'Incremental Repayments'!$I$31,(HLOOKUP($D108,$E$4:$CZ$32,28,FALSE)*'Incremental Repayments'!$I$22)),0),0)</f>
        <v>0</v>
      </c>
      <c r="BJ108" s="477">
        <f>IF('Incremental Repayments'!$R$22="Debt",IF(AND(BJ$4&gt;=$D108,BJ$4&lt;$D108+'Incremental Repayments'!$I$31),-PMT('Interest Rate'!$J$16,'Incremental Repayments'!$I$31,(HLOOKUP($D108,$E$4:$CZ$32,28,FALSE)*'Incremental Repayments'!$I$22)),0),0)</f>
        <v>0</v>
      </c>
      <c r="BK108" s="477">
        <f>IF('Incremental Repayments'!$R$22="Debt",IF(AND(BK$4&gt;=$D108,BK$4&lt;$D108+'Incremental Repayments'!$I$31),-PMT('Interest Rate'!$J$16,'Incremental Repayments'!$I$31,(HLOOKUP($D108,$E$4:$CZ$32,28,FALSE)*'Incremental Repayments'!$I$22)),0),0)</f>
        <v>0</v>
      </c>
      <c r="BL108" s="477">
        <f>IF('Incremental Repayments'!$R$22="Debt",IF(AND(BL$4&gt;=$D108,BL$4&lt;$D108+'Incremental Repayments'!$I$31),-PMT('Interest Rate'!$J$16,'Incremental Repayments'!$I$31,(HLOOKUP($D108,$E$4:$CZ$32,28,FALSE)*'Incremental Repayments'!$I$22)),0),0)</f>
        <v>0</v>
      </c>
      <c r="BM108" s="477">
        <f>IF('Incremental Repayments'!$R$22="Debt",IF(AND(BM$4&gt;=$D108,BM$4&lt;$D108+'Incremental Repayments'!$I$31),-PMT('Interest Rate'!$J$16,'Incremental Repayments'!$I$31,(HLOOKUP($D108,$E$4:$CZ$32,28,FALSE)*'Incremental Repayments'!$I$22)),0),0)</f>
        <v>0</v>
      </c>
      <c r="BN108" s="477">
        <f>IF('Incremental Repayments'!$R$22="Debt",IF(AND(BN$4&gt;=$D108,BN$4&lt;$D108+'Incremental Repayments'!$I$31),-PMT('Interest Rate'!$J$16,'Incremental Repayments'!$I$31,(HLOOKUP($D108,$E$4:$CZ$32,28,FALSE)*'Incremental Repayments'!$I$22)),0),0)</f>
        <v>0</v>
      </c>
      <c r="BO108" s="477">
        <f>IF('Incremental Repayments'!$R$22="Debt",IF(AND(BO$4&gt;=$D108,BO$4&lt;$D108+'Incremental Repayments'!$I$31),-PMT('Interest Rate'!$J$16,'Incremental Repayments'!$I$31,(HLOOKUP($D108,$E$4:$CZ$32,28,FALSE)*'Incremental Repayments'!$I$22)),0),0)</f>
        <v>0</v>
      </c>
      <c r="BP108" s="477">
        <f>IF('Incremental Repayments'!$R$22="Debt",IF(AND(BP$4&gt;=$D108,BP$4&lt;$D108+'Incremental Repayments'!$I$31),-PMT('Interest Rate'!$J$16,'Incremental Repayments'!$I$31,(HLOOKUP($D108,$E$4:$CZ$32,28,FALSE)*'Incremental Repayments'!$I$22)),0),0)</f>
        <v>0</v>
      </c>
      <c r="BQ108" s="477">
        <f>IF('Incremental Repayments'!$R$22="Debt",IF(AND(BQ$4&gt;=$D108,BQ$4&lt;$D108+'Incremental Repayments'!$I$31),-PMT('Interest Rate'!$J$16,'Incremental Repayments'!$I$31,(HLOOKUP($D108,$E$4:$CZ$32,28,FALSE)*'Incremental Repayments'!$I$22)),0),0)</f>
        <v>0</v>
      </c>
      <c r="BR108" s="477">
        <f>IF('Incremental Repayments'!$R$22="Debt",IF(AND(BR$4&gt;=$D108,BR$4&lt;$D108+'Incremental Repayments'!$I$31),-PMT('Interest Rate'!$J$16,'Incremental Repayments'!$I$31,(HLOOKUP($D108,$E$4:$CZ$32,28,FALSE)*'Incremental Repayments'!$I$22)),0),0)</f>
        <v>0</v>
      </c>
      <c r="BS108" s="477">
        <f>IF('Incremental Repayments'!$R$22="Debt",IF(AND(BS$4&gt;=$D108,BS$4&lt;$D108+'Incremental Repayments'!$I$31),-PMT('Interest Rate'!$J$16,'Incremental Repayments'!$I$31,(HLOOKUP($D108,$E$4:$CZ$32,28,FALSE)*'Incremental Repayments'!$I$22)),0),0)</f>
        <v>0</v>
      </c>
      <c r="BT108" s="477">
        <f>IF('Incremental Repayments'!$R$22="Debt",IF(AND(BT$4&gt;=$D108,BT$4&lt;$D108+'Incremental Repayments'!$I$31),-PMT('Interest Rate'!$J$16,'Incremental Repayments'!$I$31,(HLOOKUP($D108,$E$4:$CZ$32,28,FALSE)*'Incremental Repayments'!$I$22)),0),0)</f>
        <v>0</v>
      </c>
      <c r="BU108" s="477">
        <f>IF('Incremental Repayments'!$R$22="Debt",IF(AND(BU$4&gt;=$D108,BU$4&lt;$D108+'Incremental Repayments'!$I$31),-PMT('Interest Rate'!$J$16,'Incremental Repayments'!$I$31,(HLOOKUP($D108,$E$4:$CZ$32,28,FALSE)*'Incremental Repayments'!$I$22)),0),0)</f>
        <v>0</v>
      </c>
      <c r="BV108" s="477">
        <f>IF('Incremental Repayments'!$R$22="Debt",IF(AND(BV$4&gt;=$D108,BV$4&lt;$D108+'Incremental Repayments'!$I$31),-PMT('Interest Rate'!$J$16,'Incremental Repayments'!$I$31,(HLOOKUP($D108,$E$4:$CZ$32,28,FALSE)*'Incremental Repayments'!$I$22)),0),0)</f>
        <v>0</v>
      </c>
      <c r="BW108" s="477">
        <f>IF('Incremental Repayments'!$R$22="Debt",IF(AND(BW$4&gt;=$D108,BW$4&lt;$D108+'Incremental Repayments'!$I$31),-PMT('Interest Rate'!$J$16,'Incremental Repayments'!$I$31,(HLOOKUP($D108,$E$4:$CZ$32,28,FALSE)*'Incremental Repayments'!$I$22)),0),0)</f>
        <v>0</v>
      </c>
      <c r="BX108" s="477">
        <f>IF('Incremental Repayments'!$R$22="Debt",IF(AND(BX$4&gt;=$D108,BX$4&lt;$D108+'Incremental Repayments'!$I$31),-PMT('Interest Rate'!$J$16,'Incremental Repayments'!$I$31,(HLOOKUP($D108,$E$4:$CZ$32,28,FALSE)*'Incremental Repayments'!$I$22)),0),0)</f>
        <v>0</v>
      </c>
      <c r="BY108" s="477">
        <f>IF('Incremental Repayments'!$R$22="Debt",IF(AND(BY$4&gt;=$D108,BY$4&lt;$D108+'Incremental Repayments'!$I$31),-PMT('Interest Rate'!$J$16,'Incremental Repayments'!$I$31,(HLOOKUP($D108,$E$4:$CZ$32,28,FALSE)*'Incremental Repayments'!$I$22)),0),0)</f>
        <v>0</v>
      </c>
      <c r="BZ108" s="477">
        <f>IF('Incremental Repayments'!$R$22="Debt",IF(AND(BZ$4&gt;=$D108,BZ$4&lt;$D108+'Incremental Repayments'!$I$31),-PMT('Interest Rate'!$J$16,'Incremental Repayments'!$I$31,(HLOOKUP($D108,$E$4:$CZ$32,28,FALSE)*'Incremental Repayments'!$I$22)),0),0)</f>
        <v>0</v>
      </c>
      <c r="CA108" s="477">
        <f>IF('Incremental Repayments'!$R$22="Debt",IF(AND(CA$4&gt;=$D108,CA$4&lt;$D108+'Incremental Repayments'!$I$31),-PMT('Interest Rate'!$J$16,'Incremental Repayments'!$I$31,(HLOOKUP($D108,$E$4:$CZ$32,28,FALSE)*'Incremental Repayments'!$I$22)),0),0)</f>
        <v>0</v>
      </c>
      <c r="CB108" s="477">
        <f>IF('Incremental Repayments'!$R$22="Debt",IF(AND(CB$4&gt;=$D108,CB$4&lt;$D108+'Incremental Repayments'!$I$31),-PMT('Interest Rate'!$J$16,'Incremental Repayments'!$I$31,(HLOOKUP($D108,$E$4:$CZ$32,28,FALSE)*'Incremental Repayments'!$I$22)),0),0)</f>
        <v>0</v>
      </c>
      <c r="CC108" s="477">
        <f>IF('Incremental Repayments'!$R$22="Debt",IF(AND(CC$4&gt;=$D108,CC$4&lt;$D108+'Incremental Repayments'!$I$31),-PMT('Interest Rate'!$J$16,'Incremental Repayments'!$I$31,(HLOOKUP($D108,$E$4:$CZ$32,28,FALSE)*'Incremental Repayments'!$I$22)),0),0)</f>
        <v>0</v>
      </c>
      <c r="CD108" s="477">
        <f>IF('Incremental Repayments'!$R$22="Debt",IF(AND(CD$4&gt;=$D108,CD$4&lt;$D108+'Incremental Repayments'!$I$31),-PMT('Interest Rate'!$J$16,'Incremental Repayments'!$I$31,(HLOOKUP($D108,$E$4:$CZ$32,28,FALSE)*'Incremental Repayments'!$I$22)),0),0)</f>
        <v>0</v>
      </c>
      <c r="CE108" s="477">
        <f>IF('Incremental Repayments'!$R$22="Debt",IF(AND(CE$4&gt;=$D108,CE$4&lt;$D108+'Incremental Repayments'!$I$31),-PMT('Interest Rate'!$J$16,'Incremental Repayments'!$I$31,(HLOOKUP($D108,$E$4:$CZ$32,28,FALSE)*'Incremental Repayments'!$I$22)),0),0)</f>
        <v>0</v>
      </c>
      <c r="CF108" s="477">
        <f>IF('Incremental Repayments'!$R$22="Debt",IF(AND(CF$4&gt;=$D108,CF$4&lt;$D108+'Incremental Repayments'!$I$31),-PMT('Interest Rate'!$J$16,'Incremental Repayments'!$I$31,(HLOOKUP($D108,$E$4:$CZ$32,28,FALSE)*'Incremental Repayments'!$I$22)),0),0)</f>
        <v>0</v>
      </c>
      <c r="CG108" s="477">
        <f>IF('Incremental Repayments'!$R$22="Debt",IF(AND(CG$4&gt;=$D108,CG$4&lt;$D108+'Incremental Repayments'!$I$31),-PMT('Interest Rate'!$J$16,'Incremental Repayments'!$I$31,(HLOOKUP($D108,$E$4:$CZ$32,28,FALSE)*'Incremental Repayments'!$I$22)),0),0)</f>
        <v>0</v>
      </c>
      <c r="CH108" s="477">
        <f>IF('Incremental Repayments'!$R$22="Debt",IF(AND(CH$4&gt;=$D108,CH$4&lt;$D108+'Incremental Repayments'!$I$31),-PMT('Interest Rate'!$J$16,'Incremental Repayments'!$I$31,(HLOOKUP($D108,$E$4:$CZ$32,28,FALSE)*'Incremental Repayments'!$I$22)),0),0)</f>
        <v>0</v>
      </c>
      <c r="CI108" s="477">
        <f>IF('Incremental Repayments'!$R$22="Debt",IF(AND(CI$4&gt;=$D108,CI$4&lt;$D108+'Incremental Repayments'!$I$31),-PMT('Interest Rate'!$J$16,'Incremental Repayments'!$I$31,(HLOOKUP($D108,$E$4:$CZ$32,28,FALSE)*'Incremental Repayments'!$I$22)),0),0)</f>
        <v>0</v>
      </c>
      <c r="CJ108" s="477">
        <f>IF('Incremental Repayments'!$R$22="Debt",IF(AND(CJ$4&gt;=$D108,CJ$4&lt;$D108+'Incremental Repayments'!$I$31),-PMT('Interest Rate'!$J$16,'Incremental Repayments'!$I$31,(HLOOKUP($D108,$E$4:$CZ$32,28,FALSE)*'Incremental Repayments'!$I$22)),0),0)</f>
        <v>0</v>
      </c>
      <c r="CK108" s="477">
        <f>IF('Incremental Repayments'!$R$22="Debt",IF(AND(CK$4&gt;=$D108,CK$4&lt;$D108+'Incremental Repayments'!$I$31),-PMT('Interest Rate'!$J$16,'Incremental Repayments'!$I$31,(HLOOKUP($D108,$E$4:$CZ$32,28,FALSE)*'Incremental Repayments'!$I$22)),0),0)</f>
        <v>0</v>
      </c>
      <c r="CL108" s="477">
        <f>IF('Incremental Repayments'!$R$22="Debt",IF(AND(CL$4&gt;=$D108,CL$4&lt;$D108+'Incremental Repayments'!$I$31),-PMT('Interest Rate'!$J$16,'Incremental Repayments'!$I$31,(HLOOKUP($D108,$E$4:$CZ$32,28,FALSE)*'Incremental Repayments'!$I$22)),0),0)</f>
        <v>0</v>
      </c>
      <c r="CM108" s="477">
        <f>IF('Incremental Repayments'!$R$22="Debt",IF(AND(CM$4&gt;=$D108,CM$4&lt;$D108+'Incremental Repayments'!$I$31),-PMT('Interest Rate'!$J$16,'Incremental Repayments'!$I$31,(HLOOKUP($D108,$E$4:$CZ$32,28,FALSE)*'Incremental Repayments'!$I$22)),0),0)</f>
        <v>0</v>
      </c>
      <c r="CN108" s="477">
        <f>IF('Incremental Repayments'!$R$22="Debt",IF(AND(CN$4&gt;=$D108,CN$4&lt;$D108+'Incremental Repayments'!$I$31),-PMT('Interest Rate'!$J$16,'Incremental Repayments'!$I$31,(HLOOKUP($D108,$E$4:$CZ$32,28,FALSE)*'Incremental Repayments'!$I$22)),0),0)</f>
        <v>0</v>
      </c>
      <c r="CO108" s="477">
        <f>IF('Incremental Repayments'!$R$22="Debt",IF(AND(CO$4&gt;=$D108,CO$4&lt;$D108+'Incremental Repayments'!$I$31),-PMT('Interest Rate'!$J$16,'Incremental Repayments'!$I$31,(HLOOKUP($D108,$E$4:$CZ$32,28,FALSE)*'Incremental Repayments'!$I$22)),0),0)</f>
        <v>0</v>
      </c>
      <c r="CP108" s="477">
        <f>IF('Incremental Repayments'!$R$22="Debt",IF(AND(CP$4&gt;=$D108,CP$4&lt;$D108+'Incremental Repayments'!$I$31),-PMT('Interest Rate'!$J$16,'Incremental Repayments'!$I$31,(HLOOKUP($D108,$E$4:$CZ$32,28,FALSE)*'Incremental Repayments'!$I$22)),0),0)</f>
        <v>0</v>
      </c>
      <c r="CQ108" s="477">
        <f>IF('Incremental Repayments'!$R$22="Debt",IF(AND(CQ$4&gt;=$D108,CQ$4&lt;$D108+'Incremental Repayments'!$I$31),-PMT('Interest Rate'!$J$16,'Incremental Repayments'!$I$31,(HLOOKUP($D108,$E$4:$CZ$32,28,FALSE)*'Incremental Repayments'!$I$22)),0),0)</f>
        <v>0</v>
      </c>
      <c r="CR108" s="477">
        <f>IF('Incremental Repayments'!$R$22="Debt",IF(AND(CR$4&gt;=$D108,CR$4&lt;$D108+'Incremental Repayments'!$I$31),-PMT('Interest Rate'!$J$16,'Incremental Repayments'!$I$31,(HLOOKUP($D108,$E$4:$CZ$32,28,FALSE)*'Incremental Repayments'!$I$22)),0),0)</f>
        <v>0</v>
      </c>
      <c r="CS108" s="477">
        <f>IF('Incremental Repayments'!$R$22="Debt",IF(AND(CS$4&gt;=$D108,CS$4&lt;$D108+'Incremental Repayments'!$I$31),-PMT('Interest Rate'!$J$16,'Incremental Repayments'!$I$31,(HLOOKUP($D108,$E$4:$CZ$32,28,FALSE)*'Incremental Repayments'!$I$22)),0),0)</f>
        <v>0</v>
      </c>
      <c r="CT108" s="477">
        <f>IF('Incremental Repayments'!$R$22="Debt",IF(AND(CT$4&gt;=$D108,CT$4&lt;$D108+'Incremental Repayments'!$I$31),-PMT('Interest Rate'!$J$16,'Incremental Repayments'!$I$31,(HLOOKUP($D108,$E$4:$CZ$32,28,FALSE)*'Incremental Repayments'!$I$22)),0),0)</f>
        <v>0</v>
      </c>
      <c r="CU108" s="477">
        <f>IF('Incremental Repayments'!$R$22="Debt",IF(AND(CU$4&gt;=$D108,CU$4&lt;$D108+'Incremental Repayments'!$I$31),-PMT('Interest Rate'!$J$16,'Incremental Repayments'!$I$31,(HLOOKUP($D108,$E$4:$CZ$32,28,FALSE)*'Incremental Repayments'!$I$22)),0),0)</f>
        <v>0</v>
      </c>
      <c r="CV108" s="477">
        <f>IF('Incremental Repayments'!$R$22="Debt",IF(AND(CV$4&gt;=$D108,CV$4&lt;$D108+'Incremental Repayments'!$I$31),-PMT('Interest Rate'!$J$16,'Incremental Repayments'!$I$31,(HLOOKUP($D108,$E$4:$CZ$32,28,FALSE)*'Incremental Repayments'!$I$22)),0),0)</f>
        <v>0</v>
      </c>
      <c r="CW108" s="477">
        <f>IF('Incremental Repayments'!$R$22="Debt",IF(AND(CW$4&gt;=$D108,CW$4&lt;$D108+'Incremental Repayments'!$I$31),-PMT('Interest Rate'!$J$16,'Incremental Repayments'!$I$31,(HLOOKUP($D108,$E$4:$CZ$32,28,FALSE)*'Incremental Repayments'!$I$22)),0),0)</f>
        <v>0</v>
      </c>
      <c r="CX108" s="477">
        <f>IF('Incremental Repayments'!$R$22="Debt",IF(AND(CX$4&gt;=$D108,CX$4&lt;$D108+'Incremental Repayments'!$I$31),-PMT('Interest Rate'!$J$16,'Incremental Repayments'!$I$31,(HLOOKUP($D108,$E$4:$CZ$32,28,FALSE)*'Incremental Repayments'!$I$22)),0),0)</f>
        <v>0</v>
      </c>
      <c r="CY108" s="477">
        <f>IF('Incremental Repayments'!$R$22="Debt",IF(AND(CY$4&gt;=$D108,CY$4&lt;$D108+'Incremental Repayments'!$I$31),-PMT('Interest Rate'!$J$16,'Incremental Repayments'!$I$31,(HLOOKUP($D108,$E$4:$CZ$32,28,FALSE)*'Incremental Repayments'!$I$22)),0),0)</f>
        <v>0</v>
      </c>
      <c r="CZ108" s="477">
        <f>IF('Incremental Repayments'!$R$22="Debt",IF(AND(CZ$4&gt;=$D108,CZ$4&lt;$D108+'Incremental Repayments'!$I$31),-PMT('Interest Rate'!$J$16,'Incremental Repayments'!$I$31,(HLOOKUP($D108,$E$4:$CZ$32,28,FALSE)*'Incremental Repayments'!$I$22)),0),0)</f>
        <v>0</v>
      </c>
    </row>
    <row r="109" spans="2:104" x14ac:dyDescent="0.25">
      <c r="B109" s="480" t="str">
        <f>CONCATENATE("Series ",D109,"A Bonds (at ",'Interest Rate'!$J$16*100,"% Interest)")</f>
        <v>Series 2087A Bonds (at 4.5% Interest)</v>
      </c>
      <c r="C109" s="480"/>
      <c r="D109" s="492">
        <f t="shared" si="495"/>
        <v>2087</v>
      </c>
      <c r="E109" s="477">
        <f>IF('Incremental Repayments'!$R$22="Debt",IF(AND(E$4&gt;=$D109,E$4&lt;$D109+'Incremental Repayments'!$I$31),-PMT('Interest Rate'!$J$16,'Incremental Repayments'!$I$31,(HLOOKUP($D109,$E$4:$CZ$32,28,FALSE)*'Incremental Repayments'!$I$22)),0),0)</f>
        <v>0</v>
      </c>
      <c r="F109" s="477">
        <f>IF('Incremental Repayments'!$R$22="Debt",IF(AND(F$4&gt;=$D109,F$4&lt;$D109+'Incremental Repayments'!$I$31),-PMT('Interest Rate'!$J$16,'Incremental Repayments'!$I$31,(HLOOKUP($D109,$E$4:$CZ$32,28,FALSE)*'Incremental Repayments'!$I$22)),0),0)</f>
        <v>0</v>
      </c>
      <c r="G109" s="477">
        <f>IF('Incremental Repayments'!$R$22="Debt",IF(AND(G$4&gt;=$D109,G$4&lt;$D109+'Incremental Repayments'!$I$31),-PMT('Interest Rate'!$J$16,'Incremental Repayments'!$I$31,(HLOOKUP($D109,$E$4:$CZ$32,28,FALSE)*'Incremental Repayments'!$I$22)),0),0)</f>
        <v>0</v>
      </c>
      <c r="H109" s="477">
        <f>IF('Incremental Repayments'!$R$22="Debt",IF(AND(H$4&gt;=$D109,H$4&lt;$D109+'Incremental Repayments'!$I$31),-PMT('Interest Rate'!$J$16,'Incremental Repayments'!$I$31,(HLOOKUP($D109,$E$4:$CZ$32,28,FALSE)*'Incremental Repayments'!$I$22)),0),0)</f>
        <v>0</v>
      </c>
      <c r="I109" s="477">
        <f>IF('Incremental Repayments'!$R$22="Debt",IF(AND(I$4&gt;=$D109,I$4&lt;$D109+'Incremental Repayments'!$I$31),-PMT('Interest Rate'!$J$16,'Incremental Repayments'!$I$31,(HLOOKUP($D109,$E$4:$CZ$32,28,FALSE)*'Incremental Repayments'!$I$22)),0),0)</f>
        <v>0</v>
      </c>
      <c r="J109" s="477">
        <f>IF('Incremental Repayments'!$R$22="Debt",IF(AND(J$4&gt;=$D109,J$4&lt;$D109+'Incremental Repayments'!$I$31),-PMT('Interest Rate'!$J$16,'Incremental Repayments'!$I$31,(HLOOKUP($D109,$E$4:$CZ$32,28,FALSE)*'Incremental Repayments'!$I$22)),0),0)</f>
        <v>0</v>
      </c>
      <c r="K109" s="477">
        <f>IF('Incremental Repayments'!$R$22="Debt",IF(AND(K$4&gt;=$D109,K$4&lt;$D109+'Incremental Repayments'!$I$31),-PMT('Interest Rate'!$J$16,'Incremental Repayments'!$I$31,(HLOOKUP($D109,$E$4:$CZ$32,28,FALSE)*'Incremental Repayments'!$I$22)),0),0)</f>
        <v>0</v>
      </c>
      <c r="L109" s="477">
        <f>IF('Incremental Repayments'!$R$22="Debt",IF(AND(L$4&gt;=$D109,L$4&lt;$D109+'Incremental Repayments'!$I$31),-PMT('Interest Rate'!$J$16,'Incremental Repayments'!$I$31,(HLOOKUP($D109,$E$4:$CZ$32,28,FALSE)*'Incremental Repayments'!$I$22)),0),0)</f>
        <v>0</v>
      </c>
      <c r="M109" s="477">
        <f>IF('Incremental Repayments'!$R$22="Debt",IF(AND(M$4&gt;=$D109,M$4&lt;$D109+'Incremental Repayments'!$I$31),-PMT('Interest Rate'!$J$16,'Incremental Repayments'!$I$31,(HLOOKUP($D109,$E$4:$CZ$32,28,FALSE)*'Incremental Repayments'!$I$22)),0),0)</f>
        <v>0</v>
      </c>
      <c r="N109" s="477">
        <f>IF('Incremental Repayments'!$R$22="Debt",IF(AND(N$4&gt;=$D109,N$4&lt;$D109+'Incremental Repayments'!$I$31),-PMT('Interest Rate'!$J$16,'Incremental Repayments'!$I$31,(HLOOKUP($D109,$E$4:$CZ$32,28,FALSE)*'Incremental Repayments'!$I$22)),0),0)</f>
        <v>0</v>
      </c>
      <c r="O109" s="477">
        <f>IF('Incremental Repayments'!$R$22="Debt",IF(AND(O$4&gt;=$D109,O$4&lt;$D109+'Incremental Repayments'!$I$31),-PMT('Interest Rate'!$J$16,'Incremental Repayments'!$I$31,(HLOOKUP($D109,$E$4:$CZ$32,28,FALSE)*'Incremental Repayments'!$I$22)),0),0)</f>
        <v>0</v>
      </c>
      <c r="P109" s="477">
        <f>IF('Incremental Repayments'!$R$22="Debt",IF(AND(P$4&gt;=$D109,P$4&lt;$D109+'Incremental Repayments'!$I$31),-PMT('Interest Rate'!$J$16,'Incremental Repayments'!$I$31,(HLOOKUP($D109,$E$4:$CZ$32,28,FALSE)*'Incremental Repayments'!$I$22)),0),0)</f>
        <v>0</v>
      </c>
      <c r="Q109" s="477">
        <f>IF('Incremental Repayments'!$R$22="Debt",IF(AND(Q$4&gt;=$D109,Q$4&lt;$D109+'Incremental Repayments'!$I$31),-PMT('Interest Rate'!$J$16,'Incremental Repayments'!$I$31,(HLOOKUP($D109,$E$4:$CZ$32,28,FALSE)*'Incremental Repayments'!$I$22)),0),0)</f>
        <v>0</v>
      </c>
      <c r="R109" s="477">
        <f>IF('Incremental Repayments'!$R$22="Debt",IF(AND(R$4&gt;=$D109,R$4&lt;$D109+'Incremental Repayments'!$I$31),-PMT('Interest Rate'!$J$16,'Incremental Repayments'!$I$31,(HLOOKUP($D109,$E$4:$CZ$32,28,FALSE)*'Incremental Repayments'!$I$22)),0),0)</f>
        <v>0</v>
      </c>
      <c r="S109" s="477">
        <f>IF('Incremental Repayments'!$R$22="Debt",IF(AND(S$4&gt;=$D109,S$4&lt;$D109+'Incremental Repayments'!$I$31),-PMT('Interest Rate'!$J$16,'Incremental Repayments'!$I$31,(HLOOKUP($D109,$E$4:$CZ$32,28,FALSE)*'Incremental Repayments'!$I$22)),0),0)</f>
        <v>0</v>
      </c>
      <c r="T109" s="477">
        <f>IF('Incremental Repayments'!$R$22="Debt",IF(AND(T$4&gt;=$D109,T$4&lt;$D109+'Incremental Repayments'!$I$31),-PMT('Interest Rate'!$J$16,'Incremental Repayments'!$I$31,(HLOOKUP($D109,$E$4:$CZ$32,28,FALSE)*'Incremental Repayments'!$I$22)),0),0)</f>
        <v>0</v>
      </c>
      <c r="U109" s="477">
        <f>IF('Incremental Repayments'!$R$22="Debt",IF(AND(U$4&gt;=$D109,U$4&lt;$D109+'Incremental Repayments'!$I$31),-PMT('Interest Rate'!$J$16,'Incremental Repayments'!$I$31,(HLOOKUP($D109,$E$4:$CZ$32,28,FALSE)*'Incremental Repayments'!$I$22)),0),0)</f>
        <v>0</v>
      </c>
      <c r="V109" s="477">
        <f>IF('Incremental Repayments'!$R$22="Debt",IF(AND(V$4&gt;=$D109,V$4&lt;$D109+'Incremental Repayments'!$I$31),-PMT('Interest Rate'!$J$16,'Incremental Repayments'!$I$31,(HLOOKUP($D109,$E$4:$CZ$32,28,FALSE)*'Incremental Repayments'!$I$22)),0),0)</f>
        <v>0</v>
      </c>
      <c r="W109" s="477">
        <f>IF('Incremental Repayments'!$R$22="Debt",IF(AND(W$4&gt;=$D109,W$4&lt;$D109+'Incremental Repayments'!$I$31),-PMT('Interest Rate'!$J$16,'Incremental Repayments'!$I$31,(HLOOKUP($D109,$E$4:$CZ$32,28,FALSE)*'Incremental Repayments'!$I$22)),0),0)</f>
        <v>0</v>
      </c>
      <c r="X109" s="477">
        <f>IF('Incremental Repayments'!$R$22="Debt",IF(AND(X$4&gt;=$D109,X$4&lt;$D109+'Incremental Repayments'!$I$31),-PMT('Interest Rate'!$J$16,'Incremental Repayments'!$I$31,(HLOOKUP($D109,$E$4:$CZ$32,28,FALSE)*'Incremental Repayments'!$I$22)),0),0)</f>
        <v>0</v>
      </c>
      <c r="Y109" s="477">
        <f>IF('Incremental Repayments'!$R$22="Debt",IF(AND(Y$4&gt;=$D109,Y$4&lt;$D109+'Incremental Repayments'!$I$31),-PMT('Interest Rate'!$J$16,'Incremental Repayments'!$I$31,(HLOOKUP($D109,$E$4:$CZ$32,28,FALSE)*'Incremental Repayments'!$I$22)),0),0)</f>
        <v>0</v>
      </c>
      <c r="Z109" s="477">
        <f>IF('Incremental Repayments'!$R$22="Debt",IF(AND(Z$4&gt;=$D109,Z$4&lt;$D109+'Incremental Repayments'!$I$31),-PMT('Interest Rate'!$J$16,'Incremental Repayments'!$I$31,(HLOOKUP($D109,$E$4:$CZ$32,28,FALSE)*'Incremental Repayments'!$I$22)),0),0)</f>
        <v>0</v>
      </c>
      <c r="AA109" s="477">
        <f>IF('Incremental Repayments'!$R$22="Debt",IF(AND(AA$4&gt;=$D109,AA$4&lt;$D109+'Incremental Repayments'!$I$31),-PMT('Interest Rate'!$J$16,'Incremental Repayments'!$I$31,(HLOOKUP($D109,$E$4:$CZ$32,28,FALSE)*'Incremental Repayments'!$I$22)),0),0)</f>
        <v>0</v>
      </c>
      <c r="AB109" s="477">
        <f>IF('Incremental Repayments'!$R$22="Debt",IF(AND(AB$4&gt;=$D109,AB$4&lt;$D109+'Incremental Repayments'!$I$31),-PMT('Interest Rate'!$J$16,'Incremental Repayments'!$I$31,(HLOOKUP($D109,$E$4:$CZ$32,28,FALSE)*'Incremental Repayments'!$I$22)),0),0)</f>
        <v>0</v>
      </c>
      <c r="AC109" s="477">
        <f>IF('Incremental Repayments'!$R$22="Debt",IF(AND(AC$4&gt;=$D109,AC$4&lt;$D109+'Incremental Repayments'!$I$31),-PMT('Interest Rate'!$J$16,'Incremental Repayments'!$I$31,(HLOOKUP($D109,$E$4:$CZ$32,28,FALSE)*'Incremental Repayments'!$I$22)),0),0)</f>
        <v>0</v>
      </c>
      <c r="AD109" s="477">
        <f>IF('Incremental Repayments'!$R$22="Debt",IF(AND(AD$4&gt;=$D109,AD$4&lt;$D109+'Incremental Repayments'!$I$31),-PMT('Interest Rate'!$J$16,'Incremental Repayments'!$I$31,(HLOOKUP($D109,$E$4:$CZ$32,28,FALSE)*'Incremental Repayments'!$I$22)),0),0)</f>
        <v>0</v>
      </c>
      <c r="AE109" s="477">
        <f>IF('Incremental Repayments'!$R$22="Debt",IF(AND(AE$4&gt;=$D109,AE$4&lt;$D109+'Incremental Repayments'!$I$31),-PMT('Interest Rate'!$J$16,'Incremental Repayments'!$I$31,(HLOOKUP($D109,$E$4:$CZ$32,28,FALSE)*'Incremental Repayments'!$I$22)),0),0)</f>
        <v>0</v>
      </c>
      <c r="AF109" s="477">
        <f>IF('Incremental Repayments'!$R$22="Debt",IF(AND(AF$4&gt;=$D109,AF$4&lt;$D109+'Incremental Repayments'!$I$31),-PMT('Interest Rate'!$J$16,'Incremental Repayments'!$I$31,(HLOOKUP($D109,$E$4:$CZ$32,28,FALSE)*'Incremental Repayments'!$I$22)),0),0)</f>
        <v>0</v>
      </c>
      <c r="AG109" s="477">
        <f>IF('Incremental Repayments'!$R$22="Debt",IF(AND(AG$4&gt;=$D109,AG$4&lt;$D109+'Incremental Repayments'!$I$31),-PMT('Interest Rate'!$J$16,'Incremental Repayments'!$I$31,(HLOOKUP($D109,$E$4:$CZ$32,28,FALSE)*'Incremental Repayments'!$I$22)),0),0)</f>
        <v>0</v>
      </c>
      <c r="AH109" s="477">
        <f>IF('Incremental Repayments'!$R$22="Debt",IF(AND(AH$4&gt;=$D109,AH$4&lt;$D109+'Incremental Repayments'!$I$31),-PMT('Interest Rate'!$J$16,'Incremental Repayments'!$I$31,(HLOOKUP($D109,$E$4:$CZ$32,28,FALSE)*'Incremental Repayments'!$I$22)),0),0)</f>
        <v>0</v>
      </c>
      <c r="AI109" s="477">
        <f>IF('Incremental Repayments'!$R$22="Debt",IF(AND(AI$4&gt;=$D109,AI$4&lt;$D109+'Incremental Repayments'!$I$31),-PMT('Interest Rate'!$J$16,'Incremental Repayments'!$I$31,(HLOOKUP($D109,$E$4:$CZ$32,28,FALSE)*'Incremental Repayments'!$I$22)),0),0)</f>
        <v>0</v>
      </c>
      <c r="AJ109" s="477">
        <f>IF('Incremental Repayments'!$R$22="Debt",IF(AND(AJ$4&gt;=$D109,AJ$4&lt;$D109+'Incremental Repayments'!$I$31),-PMT('Interest Rate'!$J$16,'Incremental Repayments'!$I$31,(HLOOKUP($D109,$E$4:$CZ$32,28,FALSE)*'Incremental Repayments'!$I$22)),0),0)</f>
        <v>0</v>
      </c>
      <c r="AK109" s="477">
        <f>IF('Incremental Repayments'!$R$22="Debt",IF(AND(AK$4&gt;=$D109,AK$4&lt;$D109+'Incremental Repayments'!$I$31),-PMT('Interest Rate'!$J$16,'Incremental Repayments'!$I$31,(HLOOKUP($D109,$E$4:$CZ$32,28,FALSE)*'Incremental Repayments'!$I$22)),0),0)</f>
        <v>0</v>
      </c>
      <c r="AL109" s="477">
        <f>IF('Incremental Repayments'!$R$22="Debt",IF(AND(AL$4&gt;=$D109,AL$4&lt;$D109+'Incremental Repayments'!$I$31),-PMT('Interest Rate'!$J$16,'Incremental Repayments'!$I$31,(HLOOKUP($D109,$E$4:$CZ$32,28,FALSE)*'Incremental Repayments'!$I$22)),0),0)</f>
        <v>0</v>
      </c>
      <c r="AM109" s="477">
        <f>IF('Incremental Repayments'!$R$22="Debt",IF(AND(AM$4&gt;=$D109,AM$4&lt;$D109+'Incremental Repayments'!$I$31),-PMT('Interest Rate'!$J$16,'Incremental Repayments'!$I$31,(HLOOKUP($D109,$E$4:$CZ$32,28,FALSE)*'Incremental Repayments'!$I$22)),0),0)</f>
        <v>0</v>
      </c>
      <c r="AN109" s="477">
        <f>IF('Incremental Repayments'!$R$22="Debt",IF(AND(AN$4&gt;=$D109,AN$4&lt;$D109+'Incremental Repayments'!$I$31),-PMT('Interest Rate'!$J$16,'Incremental Repayments'!$I$31,(HLOOKUP($D109,$E$4:$CZ$32,28,FALSE)*'Incremental Repayments'!$I$22)),0),0)</f>
        <v>0</v>
      </c>
      <c r="AO109" s="477">
        <f>IF('Incremental Repayments'!$R$22="Debt",IF(AND(AO$4&gt;=$D109,AO$4&lt;$D109+'Incremental Repayments'!$I$31),-PMT('Interest Rate'!$J$16,'Incremental Repayments'!$I$31,(HLOOKUP($D109,$E$4:$CZ$32,28,FALSE)*'Incremental Repayments'!$I$22)),0),0)</f>
        <v>0</v>
      </c>
      <c r="AP109" s="477">
        <f>IF('Incremental Repayments'!$R$22="Debt",IF(AND(AP$4&gt;=$D109,AP$4&lt;$D109+'Incremental Repayments'!$I$31),-PMT('Interest Rate'!$J$16,'Incremental Repayments'!$I$31,(HLOOKUP($D109,$E$4:$CZ$32,28,FALSE)*'Incremental Repayments'!$I$22)),0),0)</f>
        <v>0</v>
      </c>
      <c r="AQ109" s="477">
        <f>IF('Incremental Repayments'!$R$22="Debt",IF(AND(AQ$4&gt;=$D109,AQ$4&lt;$D109+'Incremental Repayments'!$I$31),-PMT('Interest Rate'!$J$16,'Incremental Repayments'!$I$31,(HLOOKUP($D109,$E$4:$CZ$32,28,FALSE)*'Incremental Repayments'!$I$22)),0),0)</f>
        <v>0</v>
      </c>
      <c r="AR109" s="477">
        <f>IF('Incremental Repayments'!$R$22="Debt",IF(AND(AR$4&gt;=$D109,AR$4&lt;$D109+'Incremental Repayments'!$I$31),-PMT('Interest Rate'!$J$16,'Incremental Repayments'!$I$31,(HLOOKUP($D109,$E$4:$CZ$32,28,FALSE)*'Incremental Repayments'!$I$22)),0),0)</f>
        <v>0</v>
      </c>
      <c r="AS109" s="477">
        <f>IF('Incremental Repayments'!$R$22="Debt",IF(AND(AS$4&gt;=$D109,AS$4&lt;$D109+'Incremental Repayments'!$I$31),-PMT('Interest Rate'!$J$16,'Incremental Repayments'!$I$31,(HLOOKUP($D109,$E$4:$CZ$32,28,FALSE)*'Incremental Repayments'!$I$22)),0),0)</f>
        <v>0</v>
      </c>
      <c r="AT109" s="477">
        <f>IF('Incremental Repayments'!$R$22="Debt",IF(AND(AT$4&gt;=$D109,AT$4&lt;$D109+'Incremental Repayments'!$I$31),-PMT('Interest Rate'!$J$16,'Incremental Repayments'!$I$31,(HLOOKUP($D109,$E$4:$CZ$32,28,FALSE)*'Incremental Repayments'!$I$22)),0),0)</f>
        <v>0</v>
      </c>
      <c r="AU109" s="477">
        <f>IF('Incremental Repayments'!$R$22="Debt",IF(AND(AU$4&gt;=$D109,AU$4&lt;$D109+'Incremental Repayments'!$I$31),-PMT('Interest Rate'!$J$16,'Incremental Repayments'!$I$31,(HLOOKUP($D109,$E$4:$CZ$32,28,FALSE)*'Incremental Repayments'!$I$22)),0),0)</f>
        <v>0</v>
      </c>
      <c r="AV109" s="477">
        <f>IF('Incremental Repayments'!$R$22="Debt",IF(AND(AV$4&gt;=$D109,AV$4&lt;$D109+'Incremental Repayments'!$I$31),-PMT('Interest Rate'!$J$16,'Incremental Repayments'!$I$31,(HLOOKUP($D109,$E$4:$CZ$32,28,FALSE)*'Incremental Repayments'!$I$22)),0),0)</f>
        <v>0</v>
      </c>
      <c r="AW109" s="477">
        <f>IF('Incremental Repayments'!$R$22="Debt",IF(AND(AW$4&gt;=$D109,AW$4&lt;$D109+'Incremental Repayments'!$I$31),-PMT('Interest Rate'!$J$16,'Incremental Repayments'!$I$31,(HLOOKUP($D109,$E$4:$CZ$32,28,FALSE)*'Incremental Repayments'!$I$22)),0),0)</f>
        <v>0</v>
      </c>
      <c r="AX109" s="477">
        <f>IF('Incremental Repayments'!$R$22="Debt",IF(AND(AX$4&gt;=$D109,AX$4&lt;$D109+'Incremental Repayments'!$I$31),-PMT('Interest Rate'!$J$16,'Incremental Repayments'!$I$31,(HLOOKUP($D109,$E$4:$CZ$32,28,FALSE)*'Incremental Repayments'!$I$22)),0),0)</f>
        <v>0</v>
      </c>
      <c r="AY109" s="477">
        <f>IF('Incremental Repayments'!$R$22="Debt",IF(AND(AY$4&gt;=$D109,AY$4&lt;$D109+'Incremental Repayments'!$I$31),-PMT('Interest Rate'!$J$16,'Incremental Repayments'!$I$31,(HLOOKUP($D109,$E$4:$CZ$32,28,FALSE)*'Incremental Repayments'!$I$22)),0),0)</f>
        <v>0</v>
      </c>
      <c r="AZ109" s="477">
        <f>IF('Incremental Repayments'!$R$22="Debt",IF(AND(AZ$4&gt;=$D109,AZ$4&lt;$D109+'Incremental Repayments'!$I$31),-PMT('Interest Rate'!$J$16,'Incremental Repayments'!$I$31,(HLOOKUP($D109,$E$4:$CZ$32,28,FALSE)*'Incremental Repayments'!$I$22)),0),0)</f>
        <v>0</v>
      </c>
      <c r="BA109" s="477">
        <f>IF('Incremental Repayments'!$R$22="Debt",IF(AND(BA$4&gt;=$D109,BA$4&lt;$D109+'Incremental Repayments'!$I$31),-PMT('Interest Rate'!$J$16,'Incremental Repayments'!$I$31,(HLOOKUP($D109,$E$4:$CZ$32,28,FALSE)*'Incremental Repayments'!$I$22)),0),0)</f>
        <v>0</v>
      </c>
      <c r="BB109" s="477">
        <f>IF('Incremental Repayments'!$R$22="Debt",IF(AND(BB$4&gt;=$D109,BB$4&lt;$D109+'Incremental Repayments'!$I$31),-PMT('Interest Rate'!$J$16,'Incremental Repayments'!$I$31,(HLOOKUP($D109,$E$4:$CZ$32,28,FALSE)*'Incremental Repayments'!$I$22)),0),0)</f>
        <v>0</v>
      </c>
      <c r="BC109" s="477">
        <f>IF('Incremental Repayments'!$R$22="Debt",IF(AND(BC$4&gt;=$D109,BC$4&lt;$D109+'Incremental Repayments'!$I$31),-PMT('Interest Rate'!$J$16,'Incremental Repayments'!$I$31,(HLOOKUP($D109,$E$4:$CZ$32,28,FALSE)*'Incremental Repayments'!$I$22)),0),0)</f>
        <v>0</v>
      </c>
      <c r="BD109" s="477">
        <f>IF('Incremental Repayments'!$R$22="Debt",IF(AND(BD$4&gt;=$D109,BD$4&lt;$D109+'Incremental Repayments'!$I$31),-PMT('Interest Rate'!$J$16,'Incremental Repayments'!$I$31,(HLOOKUP($D109,$E$4:$CZ$32,28,FALSE)*'Incremental Repayments'!$I$22)),0),0)</f>
        <v>0</v>
      </c>
      <c r="BE109" s="477">
        <f>IF('Incremental Repayments'!$R$22="Debt",IF(AND(BE$4&gt;=$D109,BE$4&lt;$D109+'Incremental Repayments'!$I$31),-PMT('Interest Rate'!$J$16,'Incremental Repayments'!$I$31,(HLOOKUP($D109,$E$4:$CZ$32,28,FALSE)*'Incremental Repayments'!$I$22)),0),0)</f>
        <v>0</v>
      </c>
      <c r="BF109" s="477">
        <f>IF('Incremental Repayments'!$R$22="Debt",IF(AND(BF$4&gt;=$D109,BF$4&lt;$D109+'Incremental Repayments'!$I$31),-PMT('Interest Rate'!$J$16,'Incremental Repayments'!$I$31,(HLOOKUP($D109,$E$4:$CZ$32,28,FALSE)*'Incremental Repayments'!$I$22)),0),0)</f>
        <v>0</v>
      </c>
      <c r="BG109" s="477">
        <f>IF('Incremental Repayments'!$R$22="Debt",IF(AND(BG$4&gt;=$D109,BG$4&lt;$D109+'Incremental Repayments'!$I$31),-PMT('Interest Rate'!$J$16,'Incremental Repayments'!$I$31,(HLOOKUP($D109,$E$4:$CZ$32,28,FALSE)*'Incremental Repayments'!$I$22)),0),0)</f>
        <v>0</v>
      </c>
      <c r="BH109" s="477">
        <f>IF('Incremental Repayments'!$R$22="Debt",IF(AND(BH$4&gt;=$D109,BH$4&lt;$D109+'Incremental Repayments'!$I$31),-PMT('Interest Rate'!$J$16,'Incremental Repayments'!$I$31,(HLOOKUP($D109,$E$4:$CZ$32,28,FALSE)*'Incremental Repayments'!$I$22)),0),0)</f>
        <v>0</v>
      </c>
      <c r="BI109" s="477">
        <f>IF('Incremental Repayments'!$R$22="Debt",IF(AND(BI$4&gt;=$D109,BI$4&lt;$D109+'Incremental Repayments'!$I$31),-PMT('Interest Rate'!$J$16,'Incremental Repayments'!$I$31,(HLOOKUP($D109,$E$4:$CZ$32,28,FALSE)*'Incremental Repayments'!$I$22)),0),0)</f>
        <v>0</v>
      </c>
      <c r="BJ109" s="477">
        <f>IF('Incremental Repayments'!$R$22="Debt",IF(AND(BJ$4&gt;=$D109,BJ$4&lt;$D109+'Incremental Repayments'!$I$31),-PMT('Interest Rate'!$J$16,'Incremental Repayments'!$I$31,(HLOOKUP($D109,$E$4:$CZ$32,28,FALSE)*'Incremental Repayments'!$I$22)),0),0)</f>
        <v>0</v>
      </c>
      <c r="BK109" s="477">
        <f>IF('Incremental Repayments'!$R$22="Debt",IF(AND(BK$4&gt;=$D109,BK$4&lt;$D109+'Incremental Repayments'!$I$31),-PMT('Interest Rate'!$J$16,'Incremental Repayments'!$I$31,(HLOOKUP($D109,$E$4:$CZ$32,28,FALSE)*'Incremental Repayments'!$I$22)),0),0)</f>
        <v>0</v>
      </c>
      <c r="BL109" s="477">
        <f>IF('Incremental Repayments'!$R$22="Debt",IF(AND(BL$4&gt;=$D109,BL$4&lt;$D109+'Incremental Repayments'!$I$31),-PMT('Interest Rate'!$J$16,'Incremental Repayments'!$I$31,(HLOOKUP($D109,$E$4:$CZ$32,28,FALSE)*'Incremental Repayments'!$I$22)),0),0)</f>
        <v>0</v>
      </c>
      <c r="BM109" s="477">
        <f>IF('Incremental Repayments'!$R$22="Debt",IF(AND(BM$4&gt;=$D109,BM$4&lt;$D109+'Incremental Repayments'!$I$31),-PMT('Interest Rate'!$J$16,'Incremental Repayments'!$I$31,(HLOOKUP($D109,$E$4:$CZ$32,28,FALSE)*'Incremental Repayments'!$I$22)),0),0)</f>
        <v>0</v>
      </c>
      <c r="BN109" s="477">
        <f>IF('Incremental Repayments'!$R$22="Debt",IF(AND(BN$4&gt;=$D109,BN$4&lt;$D109+'Incremental Repayments'!$I$31),-PMT('Interest Rate'!$J$16,'Incremental Repayments'!$I$31,(HLOOKUP($D109,$E$4:$CZ$32,28,FALSE)*'Incremental Repayments'!$I$22)),0),0)</f>
        <v>0</v>
      </c>
      <c r="BO109" s="477">
        <f>IF('Incremental Repayments'!$R$22="Debt",IF(AND(BO$4&gt;=$D109,BO$4&lt;$D109+'Incremental Repayments'!$I$31),-PMT('Interest Rate'!$J$16,'Incremental Repayments'!$I$31,(HLOOKUP($D109,$E$4:$CZ$32,28,FALSE)*'Incremental Repayments'!$I$22)),0),0)</f>
        <v>0</v>
      </c>
      <c r="BP109" s="477">
        <f>IF('Incremental Repayments'!$R$22="Debt",IF(AND(BP$4&gt;=$D109,BP$4&lt;$D109+'Incremental Repayments'!$I$31),-PMT('Interest Rate'!$J$16,'Incremental Repayments'!$I$31,(HLOOKUP($D109,$E$4:$CZ$32,28,FALSE)*'Incremental Repayments'!$I$22)),0),0)</f>
        <v>0</v>
      </c>
      <c r="BQ109" s="477">
        <f>IF('Incremental Repayments'!$R$22="Debt",IF(AND(BQ$4&gt;=$D109,BQ$4&lt;$D109+'Incremental Repayments'!$I$31),-PMT('Interest Rate'!$J$16,'Incremental Repayments'!$I$31,(HLOOKUP($D109,$E$4:$CZ$32,28,FALSE)*'Incremental Repayments'!$I$22)),0),0)</f>
        <v>0</v>
      </c>
      <c r="BR109" s="477">
        <f>IF('Incremental Repayments'!$R$22="Debt",IF(AND(BR$4&gt;=$D109,BR$4&lt;$D109+'Incremental Repayments'!$I$31),-PMT('Interest Rate'!$J$16,'Incremental Repayments'!$I$31,(HLOOKUP($D109,$E$4:$CZ$32,28,FALSE)*'Incremental Repayments'!$I$22)),0),0)</f>
        <v>0</v>
      </c>
      <c r="BS109" s="477">
        <f>IF('Incremental Repayments'!$R$22="Debt",IF(AND(BS$4&gt;=$D109,BS$4&lt;$D109+'Incremental Repayments'!$I$31),-PMT('Interest Rate'!$J$16,'Incremental Repayments'!$I$31,(HLOOKUP($D109,$E$4:$CZ$32,28,FALSE)*'Incremental Repayments'!$I$22)),0),0)</f>
        <v>0</v>
      </c>
      <c r="BT109" s="477">
        <f>IF('Incremental Repayments'!$R$22="Debt",IF(AND(BT$4&gt;=$D109,BT$4&lt;$D109+'Incremental Repayments'!$I$31),-PMT('Interest Rate'!$J$16,'Incremental Repayments'!$I$31,(HLOOKUP($D109,$E$4:$CZ$32,28,FALSE)*'Incremental Repayments'!$I$22)),0),0)</f>
        <v>0</v>
      </c>
      <c r="BU109" s="477">
        <f>IF('Incremental Repayments'!$R$22="Debt",IF(AND(BU$4&gt;=$D109,BU$4&lt;$D109+'Incremental Repayments'!$I$31),-PMT('Interest Rate'!$J$16,'Incremental Repayments'!$I$31,(HLOOKUP($D109,$E$4:$CZ$32,28,FALSE)*'Incremental Repayments'!$I$22)),0),0)</f>
        <v>0</v>
      </c>
      <c r="BV109" s="477">
        <f>IF('Incremental Repayments'!$R$22="Debt",IF(AND(BV$4&gt;=$D109,BV$4&lt;$D109+'Incremental Repayments'!$I$31),-PMT('Interest Rate'!$J$16,'Incremental Repayments'!$I$31,(HLOOKUP($D109,$E$4:$CZ$32,28,FALSE)*'Incremental Repayments'!$I$22)),0),0)</f>
        <v>0</v>
      </c>
      <c r="BW109" s="477">
        <f>IF('Incremental Repayments'!$R$22="Debt",IF(AND(BW$4&gt;=$D109,BW$4&lt;$D109+'Incremental Repayments'!$I$31),-PMT('Interest Rate'!$J$16,'Incremental Repayments'!$I$31,(HLOOKUP($D109,$E$4:$CZ$32,28,FALSE)*'Incremental Repayments'!$I$22)),0),0)</f>
        <v>0</v>
      </c>
      <c r="BX109" s="477">
        <f>IF('Incremental Repayments'!$R$22="Debt",IF(AND(BX$4&gt;=$D109,BX$4&lt;$D109+'Incremental Repayments'!$I$31),-PMT('Interest Rate'!$J$16,'Incremental Repayments'!$I$31,(HLOOKUP($D109,$E$4:$CZ$32,28,FALSE)*'Incremental Repayments'!$I$22)),0),0)</f>
        <v>0</v>
      </c>
      <c r="BY109" s="477">
        <f>IF('Incremental Repayments'!$R$22="Debt",IF(AND(BY$4&gt;=$D109,BY$4&lt;$D109+'Incremental Repayments'!$I$31),-PMT('Interest Rate'!$J$16,'Incremental Repayments'!$I$31,(HLOOKUP($D109,$E$4:$CZ$32,28,FALSE)*'Incremental Repayments'!$I$22)),0),0)</f>
        <v>0</v>
      </c>
      <c r="BZ109" s="477">
        <f>IF('Incremental Repayments'!$R$22="Debt",IF(AND(BZ$4&gt;=$D109,BZ$4&lt;$D109+'Incremental Repayments'!$I$31),-PMT('Interest Rate'!$J$16,'Incremental Repayments'!$I$31,(HLOOKUP($D109,$E$4:$CZ$32,28,FALSE)*'Incremental Repayments'!$I$22)),0),0)</f>
        <v>0</v>
      </c>
      <c r="CA109" s="477">
        <f>IF('Incremental Repayments'!$R$22="Debt",IF(AND(CA$4&gt;=$D109,CA$4&lt;$D109+'Incremental Repayments'!$I$31),-PMT('Interest Rate'!$J$16,'Incremental Repayments'!$I$31,(HLOOKUP($D109,$E$4:$CZ$32,28,FALSE)*'Incremental Repayments'!$I$22)),0),0)</f>
        <v>0</v>
      </c>
      <c r="CB109" s="477">
        <f>IF('Incremental Repayments'!$R$22="Debt",IF(AND(CB$4&gt;=$D109,CB$4&lt;$D109+'Incremental Repayments'!$I$31),-PMT('Interest Rate'!$J$16,'Incremental Repayments'!$I$31,(HLOOKUP($D109,$E$4:$CZ$32,28,FALSE)*'Incremental Repayments'!$I$22)),0),0)</f>
        <v>0</v>
      </c>
      <c r="CC109" s="477">
        <f>IF('Incremental Repayments'!$R$22="Debt",IF(AND(CC$4&gt;=$D109,CC$4&lt;$D109+'Incremental Repayments'!$I$31),-PMT('Interest Rate'!$J$16,'Incremental Repayments'!$I$31,(HLOOKUP($D109,$E$4:$CZ$32,28,FALSE)*'Incremental Repayments'!$I$22)),0),0)</f>
        <v>0</v>
      </c>
      <c r="CD109" s="477">
        <f>IF('Incremental Repayments'!$R$22="Debt",IF(AND(CD$4&gt;=$D109,CD$4&lt;$D109+'Incremental Repayments'!$I$31),-PMT('Interest Rate'!$J$16,'Incremental Repayments'!$I$31,(HLOOKUP($D109,$E$4:$CZ$32,28,FALSE)*'Incremental Repayments'!$I$22)),0),0)</f>
        <v>0</v>
      </c>
      <c r="CE109" s="477">
        <f>IF('Incremental Repayments'!$R$22="Debt",IF(AND(CE$4&gt;=$D109,CE$4&lt;$D109+'Incremental Repayments'!$I$31),-PMT('Interest Rate'!$J$16,'Incremental Repayments'!$I$31,(HLOOKUP($D109,$E$4:$CZ$32,28,FALSE)*'Incremental Repayments'!$I$22)),0),0)</f>
        <v>0</v>
      </c>
      <c r="CF109" s="477">
        <f>IF('Incremental Repayments'!$R$22="Debt",IF(AND(CF$4&gt;=$D109,CF$4&lt;$D109+'Incremental Repayments'!$I$31),-PMT('Interest Rate'!$J$16,'Incremental Repayments'!$I$31,(HLOOKUP($D109,$E$4:$CZ$32,28,FALSE)*'Incremental Repayments'!$I$22)),0),0)</f>
        <v>0</v>
      </c>
      <c r="CG109" s="477">
        <f>IF('Incremental Repayments'!$R$22="Debt",IF(AND(CG$4&gt;=$D109,CG$4&lt;$D109+'Incremental Repayments'!$I$31),-PMT('Interest Rate'!$J$16,'Incremental Repayments'!$I$31,(HLOOKUP($D109,$E$4:$CZ$32,28,FALSE)*'Incremental Repayments'!$I$22)),0),0)</f>
        <v>0</v>
      </c>
      <c r="CH109" s="477">
        <f>IF('Incremental Repayments'!$R$22="Debt",IF(AND(CH$4&gt;=$D109,CH$4&lt;$D109+'Incremental Repayments'!$I$31),-PMT('Interest Rate'!$J$16,'Incremental Repayments'!$I$31,(HLOOKUP($D109,$E$4:$CZ$32,28,FALSE)*'Incremental Repayments'!$I$22)),0),0)</f>
        <v>0</v>
      </c>
      <c r="CI109" s="477">
        <f>IF('Incremental Repayments'!$R$22="Debt",IF(AND(CI$4&gt;=$D109,CI$4&lt;$D109+'Incremental Repayments'!$I$31),-PMT('Interest Rate'!$J$16,'Incremental Repayments'!$I$31,(HLOOKUP($D109,$E$4:$CZ$32,28,FALSE)*'Incremental Repayments'!$I$22)),0),0)</f>
        <v>0</v>
      </c>
      <c r="CJ109" s="477">
        <f>IF('Incremental Repayments'!$R$22="Debt",IF(AND(CJ$4&gt;=$D109,CJ$4&lt;$D109+'Incremental Repayments'!$I$31),-PMT('Interest Rate'!$J$16,'Incremental Repayments'!$I$31,(HLOOKUP($D109,$E$4:$CZ$32,28,FALSE)*'Incremental Repayments'!$I$22)),0),0)</f>
        <v>0</v>
      </c>
      <c r="CK109" s="477">
        <f>IF('Incremental Repayments'!$R$22="Debt",IF(AND(CK$4&gt;=$D109,CK$4&lt;$D109+'Incremental Repayments'!$I$31),-PMT('Interest Rate'!$J$16,'Incremental Repayments'!$I$31,(HLOOKUP($D109,$E$4:$CZ$32,28,FALSE)*'Incremental Repayments'!$I$22)),0),0)</f>
        <v>0</v>
      </c>
      <c r="CL109" s="477">
        <f>IF('Incremental Repayments'!$R$22="Debt",IF(AND(CL$4&gt;=$D109,CL$4&lt;$D109+'Incremental Repayments'!$I$31),-PMT('Interest Rate'!$J$16,'Incremental Repayments'!$I$31,(HLOOKUP($D109,$E$4:$CZ$32,28,FALSE)*'Incremental Repayments'!$I$22)),0),0)</f>
        <v>0</v>
      </c>
      <c r="CM109" s="477">
        <f>IF('Incremental Repayments'!$R$22="Debt",IF(AND(CM$4&gt;=$D109,CM$4&lt;$D109+'Incremental Repayments'!$I$31),-PMT('Interest Rate'!$J$16,'Incremental Repayments'!$I$31,(HLOOKUP($D109,$E$4:$CZ$32,28,FALSE)*'Incremental Repayments'!$I$22)),0),0)</f>
        <v>0</v>
      </c>
      <c r="CN109" s="477">
        <f>IF('Incremental Repayments'!$R$22="Debt",IF(AND(CN$4&gt;=$D109,CN$4&lt;$D109+'Incremental Repayments'!$I$31),-PMT('Interest Rate'!$J$16,'Incremental Repayments'!$I$31,(HLOOKUP($D109,$E$4:$CZ$32,28,FALSE)*'Incremental Repayments'!$I$22)),0),0)</f>
        <v>0</v>
      </c>
      <c r="CO109" s="477">
        <f>IF('Incremental Repayments'!$R$22="Debt",IF(AND(CO$4&gt;=$D109,CO$4&lt;$D109+'Incremental Repayments'!$I$31),-PMT('Interest Rate'!$J$16,'Incremental Repayments'!$I$31,(HLOOKUP($D109,$E$4:$CZ$32,28,FALSE)*'Incremental Repayments'!$I$22)),0),0)</f>
        <v>0</v>
      </c>
      <c r="CP109" s="477">
        <f>IF('Incremental Repayments'!$R$22="Debt",IF(AND(CP$4&gt;=$D109,CP$4&lt;$D109+'Incremental Repayments'!$I$31),-PMT('Interest Rate'!$J$16,'Incremental Repayments'!$I$31,(HLOOKUP($D109,$E$4:$CZ$32,28,FALSE)*'Incremental Repayments'!$I$22)),0),0)</f>
        <v>0</v>
      </c>
      <c r="CQ109" s="477">
        <f>IF('Incremental Repayments'!$R$22="Debt",IF(AND(CQ$4&gt;=$D109,CQ$4&lt;$D109+'Incremental Repayments'!$I$31),-PMT('Interest Rate'!$J$16,'Incremental Repayments'!$I$31,(HLOOKUP($D109,$E$4:$CZ$32,28,FALSE)*'Incremental Repayments'!$I$22)),0),0)</f>
        <v>0</v>
      </c>
      <c r="CR109" s="477">
        <f>IF('Incremental Repayments'!$R$22="Debt",IF(AND(CR$4&gt;=$D109,CR$4&lt;$D109+'Incremental Repayments'!$I$31),-PMT('Interest Rate'!$J$16,'Incremental Repayments'!$I$31,(HLOOKUP($D109,$E$4:$CZ$32,28,FALSE)*'Incremental Repayments'!$I$22)),0),0)</f>
        <v>0</v>
      </c>
      <c r="CS109" s="477">
        <f>IF('Incremental Repayments'!$R$22="Debt",IF(AND(CS$4&gt;=$D109,CS$4&lt;$D109+'Incremental Repayments'!$I$31),-PMT('Interest Rate'!$J$16,'Incremental Repayments'!$I$31,(HLOOKUP($D109,$E$4:$CZ$32,28,FALSE)*'Incremental Repayments'!$I$22)),0),0)</f>
        <v>0</v>
      </c>
      <c r="CT109" s="477">
        <f>IF('Incremental Repayments'!$R$22="Debt",IF(AND(CT$4&gt;=$D109,CT$4&lt;$D109+'Incremental Repayments'!$I$31),-PMT('Interest Rate'!$J$16,'Incremental Repayments'!$I$31,(HLOOKUP($D109,$E$4:$CZ$32,28,FALSE)*'Incremental Repayments'!$I$22)),0),0)</f>
        <v>0</v>
      </c>
      <c r="CU109" s="477">
        <f>IF('Incremental Repayments'!$R$22="Debt",IF(AND(CU$4&gt;=$D109,CU$4&lt;$D109+'Incremental Repayments'!$I$31),-PMT('Interest Rate'!$J$16,'Incremental Repayments'!$I$31,(HLOOKUP($D109,$E$4:$CZ$32,28,FALSE)*'Incremental Repayments'!$I$22)),0),0)</f>
        <v>0</v>
      </c>
      <c r="CV109" s="477">
        <f>IF('Incremental Repayments'!$R$22="Debt",IF(AND(CV$4&gt;=$D109,CV$4&lt;$D109+'Incremental Repayments'!$I$31),-PMT('Interest Rate'!$J$16,'Incremental Repayments'!$I$31,(HLOOKUP($D109,$E$4:$CZ$32,28,FALSE)*'Incremental Repayments'!$I$22)),0),0)</f>
        <v>0</v>
      </c>
      <c r="CW109" s="477">
        <f>IF('Incremental Repayments'!$R$22="Debt",IF(AND(CW$4&gt;=$D109,CW$4&lt;$D109+'Incremental Repayments'!$I$31),-PMT('Interest Rate'!$J$16,'Incremental Repayments'!$I$31,(HLOOKUP($D109,$E$4:$CZ$32,28,FALSE)*'Incremental Repayments'!$I$22)),0),0)</f>
        <v>0</v>
      </c>
      <c r="CX109" s="477">
        <f>IF('Incremental Repayments'!$R$22="Debt",IF(AND(CX$4&gt;=$D109,CX$4&lt;$D109+'Incremental Repayments'!$I$31),-PMT('Interest Rate'!$J$16,'Incremental Repayments'!$I$31,(HLOOKUP($D109,$E$4:$CZ$32,28,FALSE)*'Incremental Repayments'!$I$22)),0),0)</f>
        <v>0</v>
      </c>
      <c r="CY109" s="477">
        <f>IF('Incremental Repayments'!$R$22="Debt",IF(AND(CY$4&gt;=$D109,CY$4&lt;$D109+'Incremental Repayments'!$I$31),-PMT('Interest Rate'!$J$16,'Incremental Repayments'!$I$31,(HLOOKUP($D109,$E$4:$CZ$32,28,FALSE)*'Incremental Repayments'!$I$22)),0),0)</f>
        <v>0</v>
      </c>
      <c r="CZ109" s="477">
        <f>IF('Incremental Repayments'!$R$22="Debt",IF(AND(CZ$4&gt;=$D109,CZ$4&lt;$D109+'Incremental Repayments'!$I$31),-PMT('Interest Rate'!$J$16,'Incremental Repayments'!$I$31,(HLOOKUP($D109,$E$4:$CZ$32,28,FALSE)*'Incremental Repayments'!$I$22)),0),0)</f>
        <v>0</v>
      </c>
    </row>
    <row r="110" spans="2:104" x14ac:dyDescent="0.25">
      <c r="B110" s="480" t="str">
        <f>CONCATENATE("Series ",D110,"A Bonds (at ",'Interest Rate'!$J$16*100,"% Interest)")</f>
        <v>Series 2088A Bonds (at 4.5% Interest)</v>
      </c>
      <c r="C110" s="480"/>
      <c r="D110" s="492">
        <f t="shared" si="495"/>
        <v>2088</v>
      </c>
      <c r="E110" s="477">
        <f>IF('Incremental Repayments'!$R$22="Debt",IF(AND(E$4&gt;=$D110,E$4&lt;$D110+'Incremental Repayments'!$I$31),-PMT('Interest Rate'!$J$16,'Incremental Repayments'!$I$31,(HLOOKUP($D110,$E$4:$CZ$32,28,FALSE)*'Incremental Repayments'!$I$22)),0),0)</f>
        <v>0</v>
      </c>
      <c r="F110" s="477">
        <f>IF('Incremental Repayments'!$R$22="Debt",IF(AND(F$4&gt;=$D110,F$4&lt;$D110+'Incremental Repayments'!$I$31),-PMT('Interest Rate'!$J$16,'Incremental Repayments'!$I$31,(HLOOKUP($D110,$E$4:$CZ$32,28,FALSE)*'Incremental Repayments'!$I$22)),0),0)</f>
        <v>0</v>
      </c>
      <c r="G110" s="477">
        <f>IF('Incremental Repayments'!$R$22="Debt",IF(AND(G$4&gt;=$D110,G$4&lt;$D110+'Incremental Repayments'!$I$31),-PMT('Interest Rate'!$J$16,'Incremental Repayments'!$I$31,(HLOOKUP($D110,$E$4:$CZ$32,28,FALSE)*'Incremental Repayments'!$I$22)),0),0)</f>
        <v>0</v>
      </c>
      <c r="H110" s="477">
        <f>IF('Incremental Repayments'!$R$22="Debt",IF(AND(H$4&gt;=$D110,H$4&lt;$D110+'Incremental Repayments'!$I$31),-PMT('Interest Rate'!$J$16,'Incremental Repayments'!$I$31,(HLOOKUP($D110,$E$4:$CZ$32,28,FALSE)*'Incremental Repayments'!$I$22)),0),0)</f>
        <v>0</v>
      </c>
      <c r="I110" s="477">
        <f>IF('Incremental Repayments'!$R$22="Debt",IF(AND(I$4&gt;=$D110,I$4&lt;$D110+'Incremental Repayments'!$I$31),-PMT('Interest Rate'!$J$16,'Incremental Repayments'!$I$31,(HLOOKUP($D110,$E$4:$CZ$32,28,FALSE)*'Incremental Repayments'!$I$22)),0),0)</f>
        <v>0</v>
      </c>
      <c r="J110" s="477">
        <f>IF('Incremental Repayments'!$R$22="Debt",IF(AND(J$4&gt;=$D110,J$4&lt;$D110+'Incremental Repayments'!$I$31),-PMT('Interest Rate'!$J$16,'Incremental Repayments'!$I$31,(HLOOKUP($D110,$E$4:$CZ$32,28,FALSE)*'Incremental Repayments'!$I$22)),0),0)</f>
        <v>0</v>
      </c>
      <c r="K110" s="477">
        <f>IF('Incremental Repayments'!$R$22="Debt",IF(AND(K$4&gt;=$D110,K$4&lt;$D110+'Incremental Repayments'!$I$31),-PMT('Interest Rate'!$J$16,'Incremental Repayments'!$I$31,(HLOOKUP($D110,$E$4:$CZ$32,28,FALSE)*'Incremental Repayments'!$I$22)),0),0)</f>
        <v>0</v>
      </c>
      <c r="L110" s="477">
        <f>IF('Incremental Repayments'!$R$22="Debt",IF(AND(L$4&gt;=$D110,L$4&lt;$D110+'Incremental Repayments'!$I$31),-PMT('Interest Rate'!$J$16,'Incremental Repayments'!$I$31,(HLOOKUP($D110,$E$4:$CZ$32,28,FALSE)*'Incremental Repayments'!$I$22)),0),0)</f>
        <v>0</v>
      </c>
      <c r="M110" s="477">
        <f>IF('Incremental Repayments'!$R$22="Debt",IF(AND(M$4&gt;=$D110,M$4&lt;$D110+'Incremental Repayments'!$I$31),-PMT('Interest Rate'!$J$16,'Incremental Repayments'!$I$31,(HLOOKUP($D110,$E$4:$CZ$32,28,FALSE)*'Incremental Repayments'!$I$22)),0),0)</f>
        <v>0</v>
      </c>
      <c r="N110" s="477">
        <f>IF('Incremental Repayments'!$R$22="Debt",IF(AND(N$4&gt;=$D110,N$4&lt;$D110+'Incremental Repayments'!$I$31),-PMT('Interest Rate'!$J$16,'Incremental Repayments'!$I$31,(HLOOKUP($D110,$E$4:$CZ$32,28,FALSE)*'Incremental Repayments'!$I$22)),0),0)</f>
        <v>0</v>
      </c>
      <c r="O110" s="477">
        <f>IF('Incremental Repayments'!$R$22="Debt",IF(AND(O$4&gt;=$D110,O$4&lt;$D110+'Incremental Repayments'!$I$31),-PMT('Interest Rate'!$J$16,'Incremental Repayments'!$I$31,(HLOOKUP($D110,$E$4:$CZ$32,28,FALSE)*'Incremental Repayments'!$I$22)),0),0)</f>
        <v>0</v>
      </c>
      <c r="P110" s="477">
        <f>IF('Incremental Repayments'!$R$22="Debt",IF(AND(P$4&gt;=$D110,P$4&lt;$D110+'Incremental Repayments'!$I$31),-PMT('Interest Rate'!$J$16,'Incremental Repayments'!$I$31,(HLOOKUP($D110,$E$4:$CZ$32,28,FALSE)*'Incremental Repayments'!$I$22)),0),0)</f>
        <v>0</v>
      </c>
      <c r="Q110" s="477">
        <f>IF('Incremental Repayments'!$R$22="Debt",IF(AND(Q$4&gt;=$D110,Q$4&lt;$D110+'Incremental Repayments'!$I$31),-PMT('Interest Rate'!$J$16,'Incremental Repayments'!$I$31,(HLOOKUP($D110,$E$4:$CZ$32,28,FALSE)*'Incremental Repayments'!$I$22)),0),0)</f>
        <v>0</v>
      </c>
      <c r="R110" s="477">
        <f>IF('Incremental Repayments'!$R$22="Debt",IF(AND(R$4&gt;=$D110,R$4&lt;$D110+'Incremental Repayments'!$I$31),-PMT('Interest Rate'!$J$16,'Incremental Repayments'!$I$31,(HLOOKUP($D110,$E$4:$CZ$32,28,FALSE)*'Incremental Repayments'!$I$22)),0),0)</f>
        <v>0</v>
      </c>
      <c r="S110" s="477">
        <f>IF('Incremental Repayments'!$R$22="Debt",IF(AND(S$4&gt;=$D110,S$4&lt;$D110+'Incremental Repayments'!$I$31),-PMT('Interest Rate'!$J$16,'Incremental Repayments'!$I$31,(HLOOKUP($D110,$E$4:$CZ$32,28,FALSE)*'Incremental Repayments'!$I$22)),0),0)</f>
        <v>0</v>
      </c>
      <c r="T110" s="477">
        <f>IF('Incremental Repayments'!$R$22="Debt",IF(AND(T$4&gt;=$D110,T$4&lt;$D110+'Incremental Repayments'!$I$31),-PMT('Interest Rate'!$J$16,'Incremental Repayments'!$I$31,(HLOOKUP($D110,$E$4:$CZ$32,28,FALSE)*'Incremental Repayments'!$I$22)),0),0)</f>
        <v>0</v>
      </c>
      <c r="U110" s="477">
        <f>IF('Incremental Repayments'!$R$22="Debt",IF(AND(U$4&gt;=$D110,U$4&lt;$D110+'Incremental Repayments'!$I$31),-PMT('Interest Rate'!$J$16,'Incremental Repayments'!$I$31,(HLOOKUP($D110,$E$4:$CZ$32,28,FALSE)*'Incremental Repayments'!$I$22)),0),0)</f>
        <v>0</v>
      </c>
      <c r="V110" s="477">
        <f>IF('Incremental Repayments'!$R$22="Debt",IF(AND(V$4&gt;=$D110,V$4&lt;$D110+'Incremental Repayments'!$I$31),-PMT('Interest Rate'!$J$16,'Incremental Repayments'!$I$31,(HLOOKUP($D110,$E$4:$CZ$32,28,FALSE)*'Incremental Repayments'!$I$22)),0),0)</f>
        <v>0</v>
      </c>
      <c r="W110" s="477">
        <f>IF('Incremental Repayments'!$R$22="Debt",IF(AND(W$4&gt;=$D110,W$4&lt;$D110+'Incremental Repayments'!$I$31),-PMT('Interest Rate'!$J$16,'Incremental Repayments'!$I$31,(HLOOKUP($D110,$E$4:$CZ$32,28,FALSE)*'Incremental Repayments'!$I$22)),0),0)</f>
        <v>0</v>
      </c>
      <c r="X110" s="477">
        <f>IF('Incremental Repayments'!$R$22="Debt",IF(AND(X$4&gt;=$D110,X$4&lt;$D110+'Incremental Repayments'!$I$31),-PMT('Interest Rate'!$J$16,'Incremental Repayments'!$I$31,(HLOOKUP($D110,$E$4:$CZ$32,28,FALSE)*'Incremental Repayments'!$I$22)),0),0)</f>
        <v>0</v>
      </c>
      <c r="Y110" s="477">
        <f>IF('Incremental Repayments'!$R$22="Debt",IF(AND(Y$4&gt;=$D110,Y$4&lt;$D110+'Incremental Repayments'!$I$31),-PMT('Interest Rate'!$J$16,'Incremental Repayments'!$I$31,(HLOOKUP($D110,$E$4:$CZ$32,28,FALSE)*'Incremental Repayments'!$I$22)),0),0)</f>
        <v>0</v>
      </c>
      <c r="Z110" s="477">
        <f>IF('Incremental Repayments'!$R$22="Debt",IF(AND(Z$4&gt;=$D110,Z$4&lt;$D110+'Incremental Repayments'!$I$31),-PMT('Interest Rate'!$J$16,'Incremental Repayments'!$I$31,(HLOOKUP($D110,$E$4:$CZ$32,28,FALSE)*'Incremental Repayments'!$I$22)),0),0)</f>
        <v>0</v>
      </c>
      <c r="AA110" s="477">
        <f>IF('Incremental Repayments'!$R$22="Debt",IF(AND(AA$4&gt;=$D110,AA$4&lt;$D110+'Incremental Repayments'!$I$31),-PMT('Interest Rate'!$J$16,'Incremental Repayments'!$I$31,(HLOOKUP($D110,$E$4:$CZ$32,28,FALSE)*'Incremental Repayments'!$I$22)),0),0)</f>
        <v>0</v>
      </c>
      <c r="AB110" s="477">
        <f>IF('Incremental Repayments'!$R$22="Debt",IF(AND(AB$4&gt;=$D110,AB$4&lt;$D110+'Incremental Repayments'!$I$31),-PMT('Interest Rate'!$J$16,'Incremental Repayments'!$I$31,(HLOOKUP($D110,$E$4:$CZ$32,28,FALSE)*'Incremental Repayments'!$I$22)),0),0)</f>
        <v>0</v>
      </c>
      <c r="AC110" s="477">
        <f>IF('Incremental Repayments'!$R$22="Debt",IF(AND(AC$4&gt;=$D110,AC$4&lt;$D110+'Incremental Repayments'!$I$31),-PMT('Interest Rate'!$J$16,'Incremental Repayments'!$I$31,(HLOOKUP($D110,$E$4:$CZ$32,28,FALSE)*'Incremental Repayments'!$I$22)),0),0)</f>
        <v>0</v>
      </c>
      <c r="AD110" s="477">
        <f>IF('Incremental Repayments'!$R$22="Debt",IF(AND(AD$4&gt;=$D110,AD$4&lt;$D110+'Incremental Repayments'!$I$31),-PMT('Interest Rate'!$J$16,'Incremental Repayments'!$I$31,(HLOOKUP($D110,$E$4:$CZ$32,28,FALSE)*'Incremental Repayments'!$I$22)),0),0)</f>
        <v>0</v>
      </c>
      <c r="AE110" s="477">
        <f>IF('Incremental Repayments'!$R$22="Debt",IF(AND(AE$4&gt;=$D110,AE$4&lt;$D110+'Incremental Repayments'!$I$31),-PMT('Interest Rate'!$J$16,'Incremental Repayments'!$I$31,(HLOOKUP($D110,$E$4:$CZ$32,28,FALSE)*'Incremental Repayments'!$I$22)),0),0)</f>
        <v>0</v>
      </c>
      <c r="AF110" s="477">
        <f>IF('Incremental Repayments'!$R$22="Debt",IF(AND(AF$4&gt;=$D110,AF$4&lt;$D110+'Incremental Repayments'!$I$31),-PMT('Interest Rate'!$J$16,'Incremental Repayments'!$I$31,(HLOOKUP($D110,$E$4:$CZ$32,28,FALSE)*'Incremental Repayments'!$I$22)),0),0)</f>
        <v>0</v>
      </c>
      <c r="AG110" s="477">
        <f>IF('Incremental Repayments'!$R$22="Debt",IF(AND(AG$4&gt;=$D110,AG$4&lt;$D110+'Incremental Repayments'!$I$31),-PMT('Interest Rate'!$J$16,'Incremental Repayments'!$I$31,(HLOOKUP($D110,$E$4:$CZ$32,28,FALSE)*'Incremental Repayments'!$I$22)),0),0)</f>
        <v>0</v>
      </c>
      <c r="AH110" s="477">
        <f>IF('Incremental Repayments'!$R$22="Debt",IF(AND(AH$4&gt;=$D110,AH$4&lt;$D110+'Incremental Repayments'!$I$31),-PMT('Interest Rate'!$J$16,'Incremental Repayments'!$I$31,(HLOOKUP($D110,$E$4:$CZ$32,28,FALSE)*'Incremental Repayments'!$I$22)),0),0)</f>
        <v>0</v>
      </c>
      <c r="AI110" s="477">
        <f>IF('Incremental Repayments'!$R$22="Debt",IF(AND(AI$4&gt;=$D110,AI$4&lt;$D110+'Incremental Repayments'!$I$31),-PMT('Interest Rate'!$J$16,'Incremental Repayments'!$I$31,(HLOOKUP($D110,$E$4:$CZ$32,28,FALSE)*'Incremental Repayments'!$I$22)),0),0)</f>
        <v>0</v>
      </c>
      <c r="AJ110" s="477">
        <f>IF('Incremental Repayments'!$R$22="Debt",IF(AND(AJ$4&gt;=$D110,AJ$4&lt;$D110+'Incremental Repayments'!$I$31),-PMT('Interest Rate'!$J$16,'Incremental Repayments'!$I$31,(HLOOKUP($D110,$E$4:$CZ$32,28,FALSE)*'Incremental Repayments'!$I$22)),0),0)</f>
        <v>0</v>
      </c>
      <c r="AK110" s="477">
        <f>IF('Incremental Repayments'!$R$22="Debt",IF(AND(AK$4&gt;=$D110,AK$4&lt;$D110+'Incremental Repayments'!$I$31),-PMT('Interest Rate'!$J$16,'Incremental Repayments'!$I$31,(HLOOKUP($D110,$E$4:$CZ$32,28,FALSE)*'Incremental Repayments'!$I$22)),0),0)</f>
        <v>0</v>
      </c>
      <c r="AL110" s="477">
        <f>IF('Incremental Repayments'!$R$22="Debt",IF(AND(AL$4&gt;=$D110,AL$4&lt;$D110+'Incremental Repayments'!$I$31),-PMT('Interest Rate'!$J$16,'Incremental Repayments'!$I$31,(HLOOKUP($D110,$E$4:$CZ$32,28,FALSE)*'Incremental Repayments'!$I$22)),0),0)</f>
        <v>0</v>
      </c>
      <c r="AM110" s="477">
        <f>IF('Incremental Repayments'!$R$22="Debt",IF(AND(AM$4&gt;=$D110,AM$4&lt;$D110+'Incremental Repayments'!$I$31),-PMT('Interest Rate'!$J$16,'Incremental Repayments'!$I$31,(HLOOKUP($D110,$E$4:$CZ$32,28,FALSE)*'Incremental Repayments'!$I$22)),0),0)</f>
        <v>0</v>
      </c>
      <c r="AN110" s="477">
        <f>IF('Incremental Repayments'!$R$22="Debt",IF(AND(AN$4&gt;=$D110,AN$4&lt;$D110+'Incremental Repayments'!$I$31),-PMT('Interest Rate'!$J$16,'Incremental Repayments'!$I$31,(HLOOKUP($D110,$E$4:$CZ$32,28,FALSE)*'Incremental Repayments'!$I$22)),0),0)</f>
        <v>0</v>
      </c>
      <c r="AO110" s="477">
        <f>IF('Incremental Repayments'!$R$22="Debt",IF(AND(AO$4&gt;=$D110,AO$4&lt;$D110+'Incremental Repayments'!$I$31),-PMT('Interest Rate'!$J$16,'Incremental Repayments'!$I$31,(HLOOKUP($D110,$E$4:$CZ$32,28,FALSE)*'Incremental Repayments'!$I$22)),0),0)</f>
        <v>0</v>
      </c>
      <c r="AP110" s="477">
        <f>IF('Incremental Repayments'!$R$22="Debt",IF(AND(AP$4&gt;=$D110,AP$4&lt;$D110+'Incremental Repayments'!$I$31),-PMT('Interest Rate'!$J$16,'Incremental Repayments'!$I$31,(HLOOKUP($D110,$E$4:$CZ$32,28,FALSE)*'Incremental Repayments'!$I$22)),0),0)</f>
        <v>0</v>
      </c>
      <c r="AQ110" s="477">
        <f>IF('Incremental Repayments'!$R$22="Debt",IF(AND(AQ$4&gt;=$D110,AQ$4&lt;$D110+'Incremental Repayments'!$I$31),-PMT('Interest Rate'!$J$16,'Incremental Repayments'!$I$31,(HLOOKUP($D110,$E$4:$CZ$32,28,FALSE)*'Incremental Repayments'!$I$22)),0),0)</f>
        <v>0</v>
      </c>
      <c r="AR110" s="477">
        <f>IF('Incremental Repayments'!$R$22="Debt",IF(AND(AR$4&gt;=$D110,AR$4&lt;$D110+'Incremental Repayments'!$I$31),-PMT('Interest Rate'!$J$16,'Incremental Repayments'!$I$31,(HLOOKUP($D110,$E$4:$CZ$32,28,FALSE)*'Incremental Repayments'!$I$22)),0),0)</f>
        <v>0</v>
      </c>
      <c r="AS110" s="477">
        <f>IF('Incremental Repayments'!$R$22="Debt",IF(AND(AS$4&gt;=$D110,AS$4&lt;$D110+'Incremental Repayments'!$I$31),-PMT('Interest Rate'!$J$16,'Incremental Repayments'!$I$31,(HLOOKUP($D110,$E$4:$CZ$32,28,FALSE)*'Incremental Repayments'!$I$22)),0),0)</f>
        <v>0</v>
      </c>
      <c r="AT110" s="477">
        <f>IF('Incremental Repayments'!$R$22="Debt",IF(AND(AT$4&gt;=$D110,AT$4&lt;$D110+'Incremental Repayments'!$I$31),-PMT('Interest Rate'!$J$16,'Incremental Repayments'!$I$31,(HLOOKUP($D110,$E$4:$CZ$32,28,FALSE)*'Incremental Repayments'!$I$22)),0),0)</f>
        <v>0</v>
      </c>
      <c r="AU110" s="477">
        <f>IF('Incremental Repayments'!$R$22="Debt",IF(AND(AU$4&gt;=$D110,AU$4&lt;$D110+'Incremental Repayments'!$I$31),-PMT('Interest Rate'!$J$16,'Incremental Repayments'!$I$31,(HLOOKUP($D110,$E$4:$CZ$32,28,FALSE)*'Incremental Repayments'!$I$22)),0),0)</f>
        <v>0</v>
      </c>
      <c r="AV110" s="477">
        <f>IF('Incremental Repayments'!$R$22="Debt",IF(AND(AV$4&gt;=$D110,AV$4&lt;$D110+'Incremental Repayments'!$I$31),-PMT('Interest Rate'!$J$16,'Incremental Repayments'!$I$31,(HLOOKUP($D110,$E$4:$CZ$32,28,FALSE)*'Incremental Repayments'!$I$22)),0),0)</f>
        <v>0</v>
      </c>
      <c r="AW110" s="477">
        <f>IF('Incremental Repayments'!$R$22="Debt",IF(AND(AW$4&gt;=$D110,AW$4&lt;$D110+'Incremental Repayments'!$I$31),-PMT('Interest Rate'!$J$16,'Incremental Repayments'!$I$31,(HLOOKUP($D110,$E$4:$CZ$32,28,FALSE)*'Incremental Repayments'!$I$22)),0),0)</f>
        <v>0</v>
      </c>
      <c r="AX110" s="477">
        <f>IF('Incremental Repayments'!$R$22="Debt",IF(AND(AX$4&gt;=$D110,AX$4&lt;$D110+'Incremental Repayments'!$I$31),-PMT('Interest Rate'!$J$16,'Incremental Repayments'!$I$31,(HLOOKUP($D110,$E$4:$CZ$32,28,FALSE)*'Incremental Repayments'!$I$22)),0),0)</f>
        <v>0</v>
      </c>
      <c r="AY110" s="477">
        <f>IF('Incremental Repayments'!$R$22="Debt",IF(AND(AY$4&gt;=$D110,AY$4&lt;$D110+'Incremental Repayments'!$I$31),-PMT('Interest Rate'!$J$16,'Incremental Repayments'!$I$31,(HLOOKUP($D110,$E$4:$CZ$32,28,FALSE)*'Incremental Repayments'!$I$22)),0),0)</f>
        <v>0</v>
      </c>
      <c r="AZ110" s="477">
        <f>IF('Incremental Repayments'!$R$22="Debt",IF(AND(AZ$4&gt;=$D110,AZ$4&lt;$D110+'Incremental Repayments'!$I$31),-PMT('Interest Rate'!$J$16,'Incremental Repayments'!$I$31,(HLOOKUP($D110,$E$4:$CZ$32,28,FALSE)*'Incremental Repayments'!$I$22)),0),0)</f>
        <v>0</v>
      </c>
      <c r="BA110" s="477">
        <f>IF('Incremental Repayments'!$R$22="Debt",IF(AND(BA$4&gt;=$D110,BA$4&lt;$D110+'Incremental Repayments'!$I$31),-PMT('Interest Rate'!$J$16,'Incremental Repayments'!$I$31,(HLOOKUP($D110,$E$4:$CZ$32,28,FALSE)*'Incremental Repayments'!$I$22)),0),0)</f>
        <v>0</v>
      </c>
      <c r="BB110" s="477">
        <f>IF('Incremental Repayments'!$R$22="Debt",IF(AND(BB$4&gt;=$D110,BB$4&lt;$D110+'Incremental Repayments'!$I$31),-PMT('Interest Rate'!$J$16,'Incremental Repayments'!$I$31,(HLOOKUP($D110,$E$4:$CZ$32,28,FALSE)*'Incremental Repayments'!$I$22)),0),0)</f>
        <v>0</v>
      </c>
      <c r="BC110" s="477">
        <f>IF('Incremental Repayments'!$R$22="Debt",IF(AND(BC$4&gt;=$D110,BC$4&lt;$D110+'Incremental Repayments'!$I$31),-PMT('Interest Rate'!$J$16,'Incremental Repayments'!$I$31,(HLOOKUP($D110,$E$4:$CZ$32,28,FALSE)*'Incremental Repayments'!$I$22)),0),0)</f>
        <v>0</v>
      </c>
      <c r="BD110" s="477">
        <f>IF('Incremental Repayments'!$R$22="Debt",IF(AND(BD$4&gt;=$D110,BD$4&lt;$D110+'Incremental Repayments'!$I$31),-PMT('Interest Rate'!$J$16,'Incremental Repayments'!$I$31,(HLOOKUP($D110,$E$4:$CZ$32,28,FALSE)*'Incremental Repayments'!$I$22)),0),0)</f>
        <v>0</v>
      </c>
      <c r="BE110" s="477">
        <f>IF('Incremental Repayments'!$R$22="Debt",IF(AND(BE$4&gt;=$D110,BE$4&lt;$D110+'Incremental Repayments'!$I$31),-PMT('Interest Rate'!$J$16,'Incremental Repayments'!$I$31,(HLOOKUP($D110,$E$4:$CZ$32,28,FALSE)*'Incremental Repayments'!$I$22)),0),0)</f>
        <v>0</v>
      </c>
      <c r="BF110" s="477">
        <f>IF('Incremental Repayments'!$R$22="Debt",IF(AND(BF$4&gt;=$D110,BF$4&lt;$D110+'Incremental Repayments'!$I$31),-PMT('Interest Rate'!$J$16,'Incremental Repayments'!$I$31,(HLOOKUP($D110,$E$4:$CZ$32,28,FALSE)*'Incremental Repayments'!$I$22)),0),0)</f>
        <v>0</v>
      </c>
      <c r="BG110" s="477">
        <f>IF('Incremental Repayments'!$R$22="Debt",IF(AND(BG$4&gt;=$D110,BG$4&lt;$D110+'Incremental Repayments'!$I$31),-PMT('Interest Rate'!$J$16,'Incremental Repayments'!$I$31,(HLOOKUP($D110,$E$4:$CZ$32,28,FALSE)*'Incremental Repayments'!$I$22)),0),0)</f>
        <v>0</v>
      </c>
      <c r="BH110" s="477">
        <f>IF('Incremental Repayments'!$R$22="Debt",IF(AND(BH$4&gt;=$D110,BH$4&lt;$D110+'Incremental Repayments'!$I$31),-PMT('Interest Rate'!$J$16,'Incremental Repayments'!$I$31,(HLOOKUP($D110,$E$4:$CZ$32,28,FALSE)*'Incremental Repayments'!$I$22)),0),0)</f>
        <v>0</v>
      </c>
      <c r="BI110" s="477">
        <f>IF('Incremental Repayments'!$R$22="Debt",IF(AND(BI$4&gt;=$D110,BI$4&lt;$D110+'Incremental Repayments'!$I$31),-PMT('Interest Rate'!$J$16,'Incremental Repayments'!$I$31,(HLOOKUP($D110,$E$4:$CZ$32,28,FALSE)*'Incremental Repayments'!$I$22)),0),0)</f>
        <v>0</v>
      </c>
      <c r="BJ110" s="477">
        <f>IF('Incremental Repayments'!$R$22="Debt",IF(AND(BJ$4&gt;=$D110,BJ$4&lt;$D110+'Incremental Repayments'!$I$31),-PMT('Interest Rate'!$J$16,'Incremental Repayments'!$I$31,(HLOOKUP($D110,$E$4:$CZ$32,28,FALSE)*'Incremental Repayments'!$I$22)),0),0)</f>
        <v>0</v>
      </c>
      <c r="BK110" s="477">
        <f>IF('Incremental Repayments'!$R$22="Debt",IF(AND(BK$4&gt;=$D110,BK$4&lt;$D110+'Incremental Repayments'!$I$31),-PMT('Interest Rate'!$J$16,'Incremental Repayments'!$I$31,(HLOOKUP($D110,$E$4:$CZ$32,28,FALSE)*'Incremental Repayments'!$I$22)),0),0)</f>
        <v>0</v>
      </c>
      <c r="BL110" s="477">
        <f>IF('Incremental Repayments'!$R$22="Debt",IF(AND(BL$4&gt;=$D110,BL$4&lt;$D110+'Incremental Repayments'!$I$31),-PMT('Interest Rate'!$J$16,'Incremental Repayments'!$I$31,(HLOOKUP($D110,$E$4:$CZ$32,28,FALSE)*'Incremental Repayments'!$I$22)),0),0)</f>
        <v>0</v>
      </c>
      <c r="BM110" s="477">
        <f>IF('Incremental Repayments'!$R$22="Debt",IF(AND(BM$4&gt;=$D110,BM$4&lt;$D110+'Incremental Repayments'!$I$31),-PMT('Interest Rate'!$J$16,'Incremental Repayments'!$I$31,(HLOOKUP($D110,$E$4:$CZ$32,28,FALSE)*'Incremental Repayments'!$I$22)),0),0)</f>
        <v>0</v>
      </c>
      <c r="BN110" s="477">
        <f>IF('Incremental Repayments'!$R$22="Debt",IF(AND(BN$4&gt;=$D110,BN$4&lt;$D110+'Incremental Repayments'!$I$31),-PMT('Interest Rate'!$J$16,'Incremental Repayments'!$I$31,(HLOOKUP($D110,$E$4:$CZ$32,28,FALSE)*'Incremental Repayments'!$I$22)),0),0)</f>
        <v>0</v>
      </c>
      <c r="BO110" s="477">
        <f>IF('Incremental Repayments'!$R$22="Debt",IF(AND(BO$4&gt;=$D110,BO$4&lt;$D110+'Incremental Repayments'!$I$31),-PMT('Interest Rate'!$J$16,'Incremental Repayments'!$I$31,(HLOOKUP($D110,$E$4:$CZ$32,28,FALSE)*'Incremental Repayments'!$I$22)),0),0)</f>
        <v>0</v>
      </c>
      <c r="BP110" s="477">
        <f>IF('Incremental Repayments'!$R$22="Debt",IF(AND(BP$4&gt;=$D110,BP$4&lt;$D110+'Incremental Repayments'!$I$31),-PMT('Interest Rate'!$J$16,'Incremental Repayments'!$I$31,(HLOOKUP($D110,$E$4:$CZ$32,28,FALSE)*'Incremental Repayments'!$I$22)),0),0)</f>
        <v>0</v>
      </c>
      <c r="BQ110" s="477">
        <f>IF('Incremental Repayments'!$R$22="Debt",IF(AND(BQ$4&gt;=$D110,BQ$4&lt;$D110+'Incremental Repayments'!$I$31),-PMT('Interest Rate'!$J$16,'Incremental Repayments'!$I$31,(HLOOKUP($D110,$E$4:$CZ$32,28,FALSE)*'Incremental Repayments'!$I$22)),0),0)</f>
        <v>0</v>
      </c>
      <c r="BR110" s="477">
        <f>IF('Incremental Repayments'!$R$22="Debt",IF(AND(BR$4&gt;=$D110,BR$4&lt;$D110+'Incremental Repayments'!$I$31),-PMT('Interest Rate'!$J$16,'Incremental Repayments'!$I$31,(HLOOKUP($D110,$E$4:$CZ$32,28,FALSE)*'Incremental Repayments'!$I$22)),0),0)</f>
        <v>0</v>
      </c>
      <c r="BS110" s="477">
        <f>IF('Incremental Repayments'!$R$22="Debt",IF(AND(BS$4&gt;=$D110,BS$4&lt;$D110+'Incremental Repayments'!$I$31),-PMT('Interest Rate'!$J$16,'Incremental Repayments'!$I$31,(HLOOKUP($D110,$E$4:$CZ$32,28,FALSE)*'Incremental Repayments'!$I$22)),0),0)</f>
        <v>0</v>
      </c>
      <c r="BT110" s="477">
        <f>IF('Incremental Repayments'!$R$22="Debt",IF(AND(BT$4&gt;=$D110,BT$4&lt;$D110+'Incremental Repayments'!$I$31),-PMT('Interest Rate'!$J$16,'Incremental Repayments'!$I$31,(HLOOKUP($D110,$E$4:$CZ$32,28,FALSE)*'Incremental Repayments'!$I$22)),0),0)</f>
        <v>0</v>
      </c>
      <c r="BU110" s="477">
        <f>IF('Incremental Repayments'!$R$22="Debt",IF(AND(BU$4&gt;=$D110,BU$4&lt;$D110+'Incremental Repayments'!$I$31),-PMT('Interest Rate'!$J$16,'Incremental Repayments'!$I$31,(HLOOKUP($D110,$E$4:$CZ$32,28,FALSE)*'Incremental Repayments'!$I$22)),0),0)</f>
        <v>0</v>
      </c>
      <c r="BV110" s="477">
        <f>IF('Incremental Repayments'!$R$22="Debt",IF(AND(BV$4&gt;=$D110,BV$4&lt;$D110+'Incremental Repayments'!$I$31),-PMT('Interest Rate'!$J$16,'Incremental Repayments'!$I$31,(HLOOKUP($D110,$E$4:$CZ$32,28,FALSE)*'Incremental Repayments'!$I$22)),0),0)</f>
        <v>0</v>
      </c>
      <c r="BW110" s="477">
        <f>IF('Incremental Repayments'!$R$22="Debt",IF(AND(BW$4&gt;=$D110,BW$4&lt;$D110+'Incremental Repayments'!$I$31),-PMT('Interest Rate'!$J$16,'Incremental Repayments'!$I$31,(HLOOKUP($D110,$E$4:$CZ$32,28,FALSE)*'Incremental Repayments'!$I$22)),0),0)</f>
        <v>0</v>
      </c>
      <c r="BX110" s="477">
        <f>IF('Incremental Repayments'!$R$22="Debt",IF(AND(BX$4&gt;=$D110,BX$4&lt;$D110+'Incremental Repayments'!$I$31),-PMT('Interest Rate'!$J$16,'Incremental Repayments'!$I$31,(HLOOKUP($D110,$E$4:$CZ$32,28,FALSE)*'Incremental Repayments'!$I$22)),0),0)</f>
        <v>0</v>
      </c>
      <c r="BY110" s="477">
        <f>IF('Incremental Repayments'!$R$22="Debt",IF(AND(BY$4&gt;=$D110,BY$4&lt;$D110+'Incremental Repayments'!$I$31),-PMT('Interest Rate'!$J$16,'Incremental Repayments'!$I$31,(HLOOKUP($D110,$E$4:$CZ$32,28,FALSE)*'Incremental Repayments'!$I$22)),0),0)</f>
        <v>0</v>
      </c>
      <c r="BZ110" s="477">
        <f>IF('Incremental Repayments'!$R$22="Debt",IF(AND(BZ$4&gt;=$D110,BZ$4&lt;$D110+'Incremental Repayments'!$I$31),-PMT('Interest Rate'!$J$16,'Incremental Repayments'!$I$31,(HLOOKUP($D110,$E$4:$CZ$32,28,FALSE)*'Incremental Repayments'!$I$22)),0),0)</f>
        <v>0</v>
      </c>
      <c r="CA110" s="477">
        <f>IF('Incremental Repayments'!$R$22="Debt",IF(AND(CA$4&gt;=$D110,CA$4&lt;$D110+'Incremental Repayments'!$I$31),-PMT('Interest Rate'!$J$16,'Incremental Repayments'!$I$31,(HLOOKUP($D110,$E$4:$CZ$32,28,FALSE)*'Incremental Repayments'!$I$22)),0),0)</f>
        <v>0</v>
      </c>
      <c r="CB110" s="477">
        <f>IF('Incremental Repayments'!$R$22="Debt",IF(AND(CB$4&gt;=$D110,CB$4&lt;$D110+'Incremental Repayments'!$I$31),-PMT('Interest Rate'!$J$16,'Incremental Repayments'!$I$31,(HLOOKUP($D110,$E$4:$CZ$32,28,FALSE)*'Incremental Repayments'!$I$22)),0),0)</f>
        <v>0</v>
      </c>
      <c r="CC110" s="477">
        <f>IF('Incremental Repayments'!$R$22="Debt",IF(AND(CC$4&gt;=$D110,CC$4&lt;$D110+'Incremental Repayments'!$I$31),-PMT('Interest Rate'!$J$16,'Incremental Repayments'!$I$31,(HLOOKUP($D110,$E$4:$CZ$32,28,FALSE)*'Incremental Repayments'!$I$22)),0),0)</f>
        <v>0</v>
      </c>
      <c r="CD110" s="477">
        <f>IF('Incremental Repayments'!$R$22="Debt",IF(AND(CD$4&gt;=$D110,CD$4&lt;$D110+'Incremental Repayments'!$I$31),-PMT('Interest Rate'!$J$16,'Incremental Repayments'!$I$31,(HLOOKUP($D110,$E$4:$CZ$32,28,FALSE)*'Incremental Repayments'!$I$22)),0),0)</f>
        <v>0</v>
      </c>
      <c r="CE110" s="477">
        <f>IF('Incremental Repayments'!$R$22="Debt",IF(AND(CE$4&gt;=$D110,CE$4&lt;$D110+'Incremental Repayments'!$I$31),-PMT('Interest Rate'!$J$16,'Incremental Repayments'!$I$31,(HLOOKUP($D110,$E$4:$CZ$32,28,FALSE)*'Incremental Repayments'!$I$22)),0),0)</f>
        <v>0</v>
      </c>
      <c r="CF110" s="477">
        <f>IF('Incremental Repayments'!$R$22="Debt",IF(AND(CF$4&gt;=$D110,CF$4&lt;$D110+'Incremental Repayments'!$I$31),-PMT('Interest Rate'!$J$16,'Incremental Repayments'!$I$31,(HLOOKUP($D110,$E$4:$CZ$32,28,FALSE)*'Incremental Repayments'!$I$22)),0),0)</f>
        <v>0</v>
      </c>
      <c r="CG110" s="477">
        <f>IF('Incremental Repayments'!$R$22="Debt",IF(AND(CG$4&gt;=$D110,CG$4&lt;$D110+'Incremental Repayments'!$I$31),-PMT('Interest Rate'!$J$16,'Incremental Repayments'!$I$31,(HLOOKUP($D110,$E$4:$CZ$32,28,FALSE)*'Incremental Repayments'!$I$22)),0),0)</f>
        <v>0</v>
      </c>
      <c r="CH110" s="477">
        <f>IF('Incremental Repayments'!$R$22="Debt",IF(AND(CH$4&gt;=$D110,CH$4&lt;$D110+'Incremental Repayments'!$I$31),-PMT('Interest Rate'!$J$16,'Incremental Repayments'!$I$31,(HLOOKUP($D110,$E$4:$CZ$32,28,FALSE)*'Incremental Repayments'!$I$22)),0),0)</f>
        <v>0</v>
      </c>
      <c r="CI110" s="477">
        <f>IF('Incremental Repayments'!$R$22="Debt",IF(AND(CI$4&gt;=$D110,CI$4&lt;$D110+'Incremental Repayments'!$I$31),-PMT('Interest Rate'!$J$16,'Incremental Repayments'!$I$31,(HLOOKUP($D110,$E$4:$CZ$32,28,FALSE)*'Incremental Repayments'!$I$22)),0),0)</f>
        <v>0</v>
      </c>
      <c r="CJ110" s="477">
        <f>IF('Incremental Repayments'!$R$22="Debt",IF(AND(CJ$4&gt;=$D110,CJ$4&lt;$D110+'Incremental Repayments'!$I$31),-PMT('Interest Rate'!$J$16,'Incremental Repayments'!$I$31,(HLOOKUP($D110,$E$4:$CZ$32,28,FALSE)*'Incremental Repayments'!$I$22)),0),0)</f>
        <v>0</v>
      </c>
      <c r="CK110" s="477">
        <f>IF('Incremental Repayments'!$R$22="Debt",IF(AND(CK$4&gt;=$D110,CK$4&lt;$D110+'Incremental Repayments'!$I$31),-PMT('Interest Rate'!$J$16,'Incremental Repayments'!$I$31,(HLOOKUP($D110,$E$4:$CZ$32,28,FALSE)*'Incremental Repayments'!$I$22)),0),0)</f>
        <v>0</v>
      </c>
      <c r="CL110" s="477">
        <f>IF('Incremental Repayments'!$R$22="Debt",IF(AND(CL$4&gt;=$D110,CL$4&lt;$D110+'Incremental Repayments'!$I$31),-PMT('Interest Rate'!$J$16,'Incremental Repayments'!$I$31,(HLOOKUP($D110,$E$4:$CZ$32,28,FALSE)*'Incremental Repayments'!$I$22)),0),0)</f>
        <v>0</v>
      </c>
      <c r="CM110" s="477">
        <f>IF('Incremental Repayments'!$R$22="Debt",IF(AND(CM$4&gt;=$D110,CM$4&lt;$D110+'Incremental Repayments'!$I$31),-PMT('Interest Rate'!$J$16,'Incremental Repayments'!$I$31,(HLOOKUP($D110,$E$4:$CZ$32,28,FALSE)*'Incremental Repayments'!$I$22)),0),0)</f>
        <v>0</v>
      </c>
      <c r="CN110" s="477">
        <f>IF('Incremental Repayments'!$R$22="Debt",IF(AND(CN$4&gt;=$D110,CN$4&lt;$D110+'Incremental Repayments'!$I$31),-PMT('Interest Rate'!$J$16,'Incremental Repayments'!$I$31,(HLOOKUP($D110,$E$4:$CZ$32,28,FALSE)*'Incremental Repayments'!$I$22)),0),0)</f>
        <v>0</v>
      </c>
      <c r="CO110" s="477">
        <f>IF('Incremental Repayments'!$R$22="Debt",IF(AND(CO$4&gt;=$D110,CO$4&lt;$D110+'Incremental Repayments'!$I$31),-PMT('Interest Rate'!$J$16,'Incremental Repayments'!$I$31,(HLOOKUP($D110,$E$4:$CZ$32,28,FALSE)*'Incremental Repayments'!$I$22)),0),0)</f>
        <v>0</v>
      </c>
      <c r="CP110" s="477">
        <f>IF('Incremental Repayments'!$R$22="Debt",IF(AND(CP$4&gt;=$D110,CP$4&lt;$D110+'Incremental Repayments'!$I$31),-PMT('Interest Rate'!$J$16,'Incremental Repayments'!$I$31,(HLOOKUP($D110,$E$4:$CZ$32,28,FALSE)*'Incremental Repayments'!$I$22)),0),0)</f>
        <v>0</v>
      </c>
      <c r="CQ110" s="477">
        <f>IF('Incremental Repayments'!$R$22="Debt",IF(AND(CQ$4&gt;=$D110,CQ$4&lt;$D110+'Incremental Repayments'!$I$31),-PMT('Interest Rate'!$J$16,'Incremental Repayments'!$I$31,(HLOOKUP($D110,$E$4:$CZ$32,28,FALSE)*'Incremental Repayments'!$I$22)),0),0)</f>
        <v>0</v>
      </c>
      <c r="CR110" s="477">
        <f>IF('Incremental Repayments'!$R$22="Debt",IF(AND(CR$4&gt;=$D110,CR$4&lt;$D110+'Incremental Repayments'!$I$31),-PMT('Interest Rate'!$J$16,'Incremental Repayments'!$I$31,(HLOOKUP($D110,$E$4:$CZ$32,28,FALSE)*'Incremental Repayments'!$I$22)),0),0)</f>
        <v>0</v>
      </c>
      <c r="CS110" s="477">
        <f>IF('Incremental Repayments'!$R$22="Debt",IF(AND(CS$4&gt;=$D110,CS$4&lt;$D110+'Incremental Repayments'!$I$31),-PMT('Interest Rate'!$J$16,'Incremental Repayments'!$I$31,(HLOOKUP($D110,$E$4:$CZ$32,28,FALSE)*'Incremental Repayments'!$I$22)),0),0)</f>
        <v>0</v>
      </c>
      <c r="CT110" s="477">
        <f>IF('Incremental Repayments'!$R$22="Debt",IF(AND(CT$4&gt;=$D110,CT$4&lt;$D110+'Incremental Repayments'!$I$31),-PMT('Interest Rate'!$J$16,'Incremental Repayments'!$I$31,(HLOOKUP($D110,$E$4:$CZ$32,28,FALSE)*'Incremental Repayments'!$I$22)),0),0)</f>
        <v>0</v>
      </c>
      <c r="CU110" s="477">
        <f>IF('Incremental Repayments'!$R$22="Debt",IF(AND(CU$4&gt;=$D110,CU$4&lt;$D110+'Incremental Repayments'!$I$31),-PMT('Interest Rate'!$J$16,'Incremental Repayments'!$I$31,(HLOOKUP($D110,$E$4:$CZ$32,28,FALSE)*'Incremental Repayments'!$I$22)),0),0)</f>
        <v>0</v>
      </c>
      <c r="CV110" s="477">
        <f>IF('Incremental Repayments'!$R$22="Debt",IF(AND(CV$4&gt;=$D110,CV$4&lt;$D110+'Incremental Repayments'!$I$31),-PMT('Interest Rate'!$J$16,'Incremental Repayments'!$I$31,(HLOOKUP($D110,$E$4:$CZ$32,28,FALSE)*'Incremental Repayments'!$I$22)),0),0)</f>
        <v>0</v>
      </c>
      <c r="CW110" s="477">
        <f>IF('Incremental Repayments'!$R$22="Debt",IF(AND(CW$4&gt;=$D110,CW$4&lt;$D110+'Incremental Repayments'!$I$31),-PMT('Interest Rate'!$J$16,'Incremental Repayments'!$I$31,(HLOOKUP($D110,$E$4:$CZ$32,28,FALSE)*'Incremental Repayments'!$I$22)),0),0)</f>
        <v>0</v>
      </c>
      <c r="CX110" s="477">
        <f>IF('Incremental Repayments'!$R$22="Debt",IF(AND(CX$4&gt;=$D110,CX$4&lt;$D110+'Incremental Repayments'!$I$31),-PMT('Interest Rate'!$J$16,'Incremental Repayments'!$I$31,(HLOOKUP($D110,$E$4:$CZ$32,28,FALSE)*'Incremental Repayments'!$I$22)),0),0)</f>
        <v>0</v>
      </c>
      <c r="CY110" s="477">
        <f>IF('Incremental Repayments'!$R$22="Debt",IF(AND(CY$4&gt;=$D110,CY$4&lt;$D110+'Incremental Repayments'!$I$31),-PMT('Interest Rate'!$J$16,'Incremental Repayments'!$I$31,(HLOOKUP($D110,$E$4:$CZ$32,28,FALSE)*'Incremental Repayments'!$I$22)),0),0)</f>
        <v>0</v>
      </c>
      <c r="CZ110" s="477">
        <f>IF('Incremental Repayments'!$R$22="Debt",IF(AND(CZ$4&gt;=$D110,CZ$4&lt;$D110+'Incremental Repayments'!$I$31),-PMT('Interest Rate'!$J$16,'Incremental Repayments'!$I$31,(HLOOKUP($D110,$E$4:$CZ$32,28,FALSE)*'Incremental Repayments'!$I$22)),0),0)</f>
        <v>0</v>
      </c>
    </row>
    <row r="111" spans="2:104" x14ac:dyDescent="0.25">
      <c r="B111" s="480" t="str">
        <f>CONCATENATE("Series ",D111,"A Bonds (at ",'Interest Rate'!$J$16*100,"% Interest)")</f>
        <v>Series 2089A Bonds (at 4.5% Interest)</v>
      </c>
      <c r="C111" s="480"/>
      <c r="D111" s="492">
        <f t="shared" ref="D111:D117" si="496">D110+1</f>
        <v>2089</v>
      </c>
      <c r="E111" s="477">
        <f>IF('Incremental Repayments'!$R$22="Debt",IF(AND(E$4&gt;=$D111,E$4&lt;$D111+'Incremental Repayments'!$I$31),-PMT('Interest Rate'!$J$16,'Incremental Repayments'!$I$31,(HLOOKUP($D111,$E$4:$CZ$32,28,FALSE)*'Incremental Repayments'!$I$22)),0),0)</f>
        <v>0</v>
      </c>
      <c r="F111" s="477">
        <f>IF('Incremental Repayments'!$R$22="Debt",IF(AND(F$4&gt;=$D111,F$4&lt;$D111+'Incremental Repayments'!$I$31),-PMT('Interest Rate'!$J$16,'Incremental Repayments'!$I$31,(HLOOKUP($D111,$E$4:$CZ$32,28,FALSE)*'Incremental Repayments'!$I$22)),0),0)</f>
        <v>0</v>
      </c>
      <c r="G111" s="477">
        <f>IF('Incremental Repayments'!$R$22="Debt",IF(AND(G$4&gt;=$D111,G$4&lt;$D111+'Incremental Repayments'!$I$31),-PMT('Interest Rate'!$J$16,'Incremental Repayments'!$I$31,(HLOOKUP($D111,$E$4:$CZ$32,28,FALSE)*'Incremental Repayments'!$I$22)),0),0)</f>
        <v>0</v>
      </c>
      <c r="H111" s="477">
        <f>IF('Incremental Repayments'!$R$22="Debt",IF(AND(H$4&gt;=$D111,H$4&lt;$D111+'Incremental Repayments'!$I$31),-PMT('Interest Rate'!$J$16,'Incremental Repayments'!$I$31,(HLOOKUP($D111,$E$4:$CZ$32,28,FALSE)*'Incremental Repayments'!$I$22)),0),0)</f>
        <v>0</v>
      </c>
      <c r="I111" s="477">
        <f>IF('Incremental Repayments'!$R$22="Debt",IF(AND(I$4&gt;=$D111,I$4&lt;$D111+'Incremental Repayments'!$I$31),-PMT('Interest Rate'!$J$16,'Incremental Repayments'!$I$31,(HLOOKUP($D111,$E$4:$CZ$32,28,FALSE)*'Incremental Repayments'!$I$22)),0),0)</f>
        <v>0</v>
      </c>
      <c r="J111" s="477">
        <f>IF('Incremental Repayments'!$R$22="Debt",IF(AND(J$4&gt;=$D111,J$4&lt;$D111+'Incremental Repayments'!$I$31),-PMT('Interest Rate'!$J$16,'Incremental Repayments'!$I$31,(HLOOKUP($D111,$E$4:$CZ$32,28,FALSE)*'Incremental Repayments'!$I$22)),0),0)</f>
        <v>0</v>
      </c>
      <c r="K111" s="477">
        <f>IF('Incremental Repayments'!$R$22="Debt",IF(AND(K$4&gt;=$D111,K$4&lt;$D111+'Incremental Repayments'!$I$31),-PMT('Interest Rate'!$J$16,'Incremental Repayments'!$I$31,(HLOOKUP($D111,$E$4:$CZ$32,28,FALSE)*'Incremental Repayments'!$I$22)),0),0)</f>
        <v>0</v>
      </c>
      <c r="L111" s="477">
        <f>IF('Incremental Repayments'!$R$22="Debt",IF(AND(L$4&gt;=$D111,L$4&lt;$D111+'Incremental Repayments'!$I$31),-PMT('Interest Rate'!$J$16,'Incremental Repayments'!$I$31,(HLOOKUP($D111,$E$4:$CZ$32,28,FALSE)*'Incremental Repayments'!$I$22)),0),0)</f>
        <v>0</v>
      </c>
      <c r="M111" s="477">
        <f>IF('Incremental Repayments'!$R$22="Debt",IF(AND(M$4&gt;=$D111,M$4&lt;$D111+'Incremental Repayments'!$I$31),-PMT('Interest Rate'!$J$16,'Incremental Repayments'!$I$31,(HLOOKUP($D111,$E$4:$CZ$32,28,FALSE)*'Incremental Repayments'!$I$22)),0),0)</f>
        <v>0</v>
      </c>
      <c r="N111" s="477">
        <f>IF('Incremental Repayments'!$R$22="Debt",IF(AND(N$4&gt;=$D111,N$4&lt;$D111+'Incremental Repayments'!$I$31),-PMT('Interest Rate'!$J$16,'Incremental Repayments'!$I$31,(HLOOKUP($D111,$E$4:$CZ$32,28,FALSE)*'Incremental Repayments'!$I$22)),0),0)</f>
        <v>0</v>
      </c>
      <c r="O111" s="477">
        <f>IF('Incremental Repayments'!$R$22="Debt",IF(AND(O$4&gt;=$D111,O$4&lt;$D111+'Incremental Repayments'!$I$31),-PMT('Interest Rate'!$J$16,'Incremental Repayments'!$I$31,(HLOOKUP($D111,$E$4:$CZ$32,28,FALSE)*'Incremental Repayments'!$I$22)),0),0)</f>
        <v>0</v>
      </c>
      <c r="P111" s="477">
        <f>IF('Incremental Repayments'!$R$22="Debt",IF(AND(P$4&gt;=$D111,P$4&lt;$D111+'Incremental Repayments'!$I$31),-PMT('Interest Rate'!$J$16,'Incremental Repayments'!$I$31,(HLOOKUP($D111,$E$4:$CZ$32,28,FALSE)*'Incremental Repayments'!$I$22)),0),0)</f>
        <v>0</v>
      </c>
      <c r="Q111" s="477">
        <f>IF('Incremental Repayments'!$R$22="Debt",IF(AND(Q$4&gt;=$D111,Q$4&lt;$D111+'Incremental Repayments'!$I$31),-PMT('Interest Rate'!$J$16,'Incremental Repayments'!$I$31,(HLOOKUP($D111,$E$4:$CZ$32,28,FALSE)*'Incremental Repayments'!$I$22)),0),0)</f>
        <v>0</v>
      </c>
      <c r="R111" s="477">
        <f>IF('Incremental Repayments'!$R$22="Debt",IF(AND(R$4&gt;=$D111,R$4&lt;$D111+'Incremental Repayments'!$I$31),-PMT('Interest Rate'!$J$16,'Incremental Repayments'!$I$31,(HLOOKUP($D111,$E$4:$CZ$32,28,FALSE)*'Incremental Repayments'!$I$22)),0),0)</f>
        <v>0</v>
      </c>
      <c r="S111" s="477">
        <f>IF('Incremental Repayments'!$R$22="Debt",IF(AND(S$4&gt;=$D111,S$4&lt;$D111+'Incremental Repayments'!$I$31),-PMT('Interest Rate'!$J$16,'Incremental Repayments'!$I$31,(HLOOKUP($D111,$E$4:$CZ$32,28,FALSE)*'Incremental Repayments'!$I$22)),0),0)</f>
        <v>0</v>
      </c>
      <c r="T111" s="477">
        <f>IF('Incremental Repayments'!$R$22="Debt",IF(AND(T$4&gt;=$D111,T$4&lt;$D111+'Incremental Repayments'!$I$31),-PMT('Interest Rate'!$J$16,'Incremental Repayments'!$I$31,(HLOOKUP($D111,$E$4:$CZ$32,28,FALSE)*'Incremental Repayments'!$I$22)),0),0)</f>
        <v>0</v>
      </c>
      <c r="U111" s="477">
        <f>IF('Incremental Repayments'!$R$22="Debt",IF(AND(U$4&gt;=$D111,U$4&lt;$D111+'Incremental Repayments'!$I$31),-PMT('Interest Rate'!$J$16,'Incremental Repayments'!$I$31,(HLOOKUP($D111,$E$4:$CZ$32,28,FALSE)*'Incremental Repayments'!$I$22)),0),0)</f>
        <v>0</v>
      </c>
      <c r="V111" s="477">
        <f>IF('Incremental Repayments'!$R$22="Debt",IF(AND(V$4&gt;=$D111,V$4&lt;$D111+'Incremental Repayments'!$I$31),-PMT('Interest Rate'!$J$16,'Incremental Repayments'!$I$31,(HLOOKUP($D111,$E$4:$CZ$32,28,FALSE)*'Incremental Repayments'!$I$22)),0),0)</f>
        <v>0</v>
      </c>
      <c r="W111" s="477">
        <f>IF('Incremental Repayments'!$R$22="Debt",IF(AND(W$4&gt;=$D111,W$4&lt;$D111+'Incremental Repayments'!$I$31),-PMT('Interest Rate'!$J$16,'Incremental Repayments'!$I$31,(HLOOKUP($D111,$E$4:$CZ$32,28,FALSE)*'Incremental Repayments'!$I$22)),0),0)</f>
        <v>0</v>
      </c>
      <c r="X111" s="477">
        <f>IF('Incremental Repayments'!$R$22="Debt",IF(AND(X$4&gt;=$D111,X$4&lt;$D111+'Incremental Repayments'!$I$31),-PMT('Interest Rate'!$J$16,'Incremental Repayments'!$I$31,(HLOOKUP($D111,$E$4:$CZ$32,28,FALSE)*'Incremental Repayments'!$I$22)),0),0)</f>
        <v>0</v>
      </c>
      <c r="Y111" s="477">
        <f>IF('Incremental Repayments'!$R$22="Debt",IF(AND(Y$4&gt;=$D111,Y$4&lt;$D111+'Incremental Repayments'!$I$31),-PMT('Interest Rate'!$J$16,'Incremental Repayments'!$I$31,(HLOOKUP($D111,$E$4:$CZ$32,28,FALSE)*'Incremental Repayments'!$I$22)),0),0)</f>
        <v>0</v>
      </c>
      <c r="Z111" s="477">
        <f>IF('Incremental Repayments'!$R$22="Debt",IF(AND(Z$4&gt;=$D111,Z$4&lt;$D111+'Incremental Repayments'!$I$31),-PMT('Interest Rate'!$J$16,'Incremental Repayments'!$I$31,(HLOOKUP($D111,$E$4:$CZ$32,28,FALSE)*'Incremental Repayments'!$I$22)),0),0)</f>
        <v>0</v>
      </c>
      <c r="AA111" s="477">
        <f>IF('Incremental Repayments'!$R$22="Debt",IF(AND(AA$4&gt;=$D111,AA$4&lt;$D111+'Incremental Repayments'!$I$31),-PMT('Interest Rate'!$J$16,'Incremental Repayments'!$I$31,(HLOOKUP($D111,$E$4:$CZ$32,28,FALSE)*'Incremental Repayments'!$I$22)),0),0)</f>
        <v>0</v>
      </c>
      <c r="AB111" s="477">
        <f>IF('Incremental Repayments'!$R$22="Debt",IF(AND(AB$4&gt;=$D111,AB$4&lt;$D111+'Incremental Repayments'!$I$31),-PMT('Interest Rate'!$J$16,'Incremental Repayments'!$I$31,(HLOOKUP($D111,$E$4:$CZ$32,28,FALSE)*'Incremental Repayments'!$I$22)),0),0)</f>
        <v>0</v>
      </c>
      <c r="AC111" s="477">
        <f>IF('Incremental Repayments'!$R$22="Debt",IF(AND(AC$4&gt;=$D111,AC$4&lt;$D111+'Incremental Repayments'!$I$31),-PMT('Interest Rate'!$J$16,'Incremental Repayments'!$I$31,(HLOOKUP($D111,$E$4:$CZ$32,28,FALSE)*'Incremental Repayments'!$I$22)),0),0)</f>
        <v>0</v>
      </c>
      <c r="AD111" s="477">
        <f>IF('Incremental Repayments'!$R$22="Debt",IF(AND(AD$4&gt;=$D111,AD$4&lt;$D111+'Incremental Repayments'!$I$31),-PMT('Interest Rate'!$J$16,'Incremental Repayments'!$I$31,(HLOOKUP($D111,$E$4:$CZ$32,28,FALSE)*'Incremental Repayments'!$I$22)),0),0)</f>
        <v>0</v>
      </c>
      <c r="AE111" s="477">
        <f>IF('Incremental Repayments'!$R$22="Debt",IF(AND(AE$4&gt;=$D111,AE$4&lt;$D111+'Incremental Repayments'!$I$31),-PMT('Interest Rate'!$J$16,'Incremental Repayments'!$I$31,(HLOOKUP($D111,$E$4:$CZ$32,28,FALSE)*'Incremental Repayments'!$I$22)),0),0)</f>
        <v>0</v>
      </c>
      <c r="AF111" s="477">
        <f>IF('Incremental Repayments'!$R$22="Debt",IF(AND(AF$4&gt;=$D111,AF$4&lt;$D111+'Incremental Repayments'!$I$31),-PMT('Interest Rate'!$J$16,'Incremental Repayments'!$I$31,(HLOOKUP($D111,$E$4:$CZ$32,28,FALSE)*'Incremental Repayments'!$I$22)),0),0)</f>
        <v>0</v>
      </c>
      <c r="AG111" s="477">
        <f>IF('Incremental Repayments'!$R$22="Debt",IF(AND(AG$4&gt;=$D111,AG$4&lt;$D111+'Incremental Repayments'!$I$31),-PMT('Interest Rate'!$J$16,'Incremental Repayments'!$I$31,(HLOOKUP($D111,$E$4:$CZ$32,28,FALSE)*'Incremental Repayments'!$I$22)),0),0)</f>
        <v>0</v>
      </c>
      <c r="AH111" s="477">
        <f>IF('Incremental Repayments'!$R$22="Debt",IF(AND(AH$4&gt;=$D111,AH$4&lt;$D111+'Incremental Repayments'!$I$31),-PMT('Interest Rate'!$J$16,'Incremental Repayments'!$I$31,(HLOOKUP($D111,$E$4:$CZ$32,28,FALSE)*'Incremental Repayments'!$I$22)),0),0)</f>
        <v>0</v>
      </c>
      <c r="AI111" s="477">
        <f>IF('Incremental Repayments'!$R$22="Debt",IF(AND(AI$4&gt;=$D111,AI$4&lt;$D111+'Incremental Repayments'!$I$31),-PMT('Interest Rate'!$J$16,'Incremental Repayments'!$I$31,(HLOOKUP($D111,$E$4:$CZ$32,28,FALSE)*'Incremental Repayments'!$I$22)),0),0)</f>
        <v>0</v>
      </c>
      <c r="AJ111" s="477">
        <f>IF('Incremental Repayments'!$R$22="Debt",IF(AND(AJ$4&gt;=$D111,AJ$4&lt;$D111+'Incremental Repayments'!$I$31),-PMT('Interest Rate'!$J$16,'Incremental Repayments'!$I$31,(HLOOKUP($D111,$E$4:$CZ$32,28,FALSE)*'Incremental Repayments'!$I$22)),0),0)</f>
        <v>0</v>
      </c>
      <c r="AK111" s="477">
        <f>IF('Incremental Repayments'!$R$22="Debt",IF(AND(AK$4&gt;=$D111,AK$4&lt;$D111+'Incremental Repayments'!$I$31),-PMT('Interest Rate'!$J$16,'Incremental Repayments'!$I$31,(HLOOKUP($D111,$E$4:$CZ$32,28,FALSE)*'Incremental Repayments'!$I$22)),0),0)</f>
        <v>0</v>
      </c>
      <c r="AL111" s="477">
        <f>IF('Incremental Repayments'!$R$22="Debt",IF(AND(AL$4&gt;=$D111,AL$4&lt;$D111+'Incremental Repayments'!$I$31),-PMT('Interest Rate'!$J$16,'Incremental Repayments'!$I$31,(HLOOKUP($D111,$E$4:$CZ$32,28,FALSE)*'Incremental Repayments'!$I$22)),0),0)</f>
        <v>0</v>
      </c>
      <c r="AM111" s="477">
        <f>IF('Incremental Repayments'!$R$22="Debt",IF(AND(AM$4&gt;=$D111,AM$4&lt;$D111+'Incremental Repayments'!$I$31),-PMT('Interest Rate'!$J$16,'Incremental Repayments'!$I$31,(HLOOKUP($D111,$E$4:$CZ$32,28,FALSE)*'Incremental Repayments'!$I$22)),0),0)</f>
        <v>0</v>
      </c>
      <c r="AN111" s="477">
        <f>IF('Incremental Repayments'!$R$22="Debt",IF(AND(AN$4&gt;=$D111,AN$4&lt;$D111+'Incremental Repayments'!$I$31),-PMT('Interest Rate'!$J$16,'Incremental Repayments'!$I$31,(HLOOKUP($D111,$E$4:$CZ$32,28,FALSE)*'Incremental Repayments'!$I$22)),0),0)</f>
        <v>0</v>
      </c>
      <c r="AO111" s="477">
        <f>IF('Incremental Repayments'!$R$22="Debt",IF(AND(AO$4&gt;=$D111,AO$4&lt;$D111+'Incremental Repayments'!$I$31),-PMT('Interest Rate'!$J$16,'Incremental Repayments'!$I$31,(HLOOKUP($D111,$E$4:$CZ$32,28,FALSE)*'Incremental Repayments'!$I$22)),0),0)</f>
        <v>0</v>
      </c>
      <c r="AP111" s="477">
        <f>IF('Incremental Repayments'!$R$22="Debt",IF(AND(AP$4&gt;=$D111,AP$4&lt;$D111+'Incremental Repayments'!$I$31),-PMT('Interest Rate'!$J$16,'Incremental Repayments'!$I$31,(HLOOKUP($D111,$E$4:$CZ$32,28,FALSE)*'Incremental Repayments'!$I$22)),0),0)</f>
        <v>0</v>
      </c>
      <c r="AQ111" s="477">
        <f>IF('Incremental Repayments'!$R$22="Debt",IF(AND(AQ$4&gt;=$D111,AQ$4&lt;$D111+'Incremental Repayments'!$I$31),-PMT('Interest Rate'!$J$16,'Incremental Repayments'!$I$31,(HLOOKUP($D111,$E$4:$CZ$32,28,FALSE)*'Incremental Repayments'!$I$22)),0),0)</f>
        <v>0</v>
      </c>
      <c r="AR111" s="477">
        <f>IF('Incremental Repayments'!$R$22="Debt",IF(AND(AR$4&gt;=$D111,AR$4&lt;$D111+'Incremental Repayments'!$I$31),-PMT('Interest Rate'!$J$16,'Incremental Repayments'!$I$31,(HLOOKUP($D111,$E$4:$CZ$32,28,FALSE)*'Incremental Repayments'!$I$22)),0),0)</f>
        <v>0</v>
      </c>
      <c r="AS111" s="477">
        <f>IF('Incremental Repayments'!$R$22="Debt",IF(AND(AS$4&gt;=$D111,AS$4&lt;$D111+'Incremental Repayments'!$I$31),-PMT('Interest Rate'!$J$16,'Incremental Repayments'!$I$31,(HLOOKUP($D111,$E$4:$CZ$32,28,FALSE)*'Incremental Repayments'!$I$22)),0),0)</f>
        <v>0</v>
      </c>
      <c r="AT111" s="477">
        <f>IF('Incremental Repayments'!$R$22="Debt",IF(AND(AT$4&gt;=$D111,AT$4&lt;$D111+'Incremental Repayments'!$I$31),-PMT('Interest Rate'!$J$16,'Incremental Repayments'!$I$31,(HLOOKUP($D111,$E$4:$CZ$32,28,FALSE)*'Incremental Repayments'!$I$22)),0),0)</f>
        <v>0</v>
      </c>
      <c r="AU111" s="477">
        <f>IF('Incremental Repayments'!$R$22="Debt",IF(AND(AU$4&gt;=$D111,AU$4&lt;$D111+'Incremental Repayments'!$I$31),-PMT('Interest Rate'!$J$16,'Incremental Repayments'!$I$31,(HLOOKUP($D111,$E$4:$CZ$32,28,FALSE)*'Incremental Repayments'!$I$22)),0),0)</f>
        <v>0</v>
      </c>
      <c r="AV111" s="477">
        <f>IF('Incremental Repayments'!$R$22="Debt",IF(AND(AV$4&gt;=$D111,AV$4&lt;$D111+'Incremental Repayments'!$I$31),-PMT('Interest Rate'!$J$16,'Incremental Repayments'!$I$31,(HLOOKUP($D111,$E$4:$CZ$32,28,FALSE)*'Incremental Repayments'!$I$22)),0),0)</f>
        <v>0</v>
      </c>
      <c r="AW111" s="477">
        <f>IF('Incremental Repayments'!$R$22="Debt",IF(AND(AW$4&gt;=$D111,AW$4&lt;$D111+'Incremental Repayments'!$I$31),-PMT('Interest Rate'!$J$16,'Incremental Repayments'!$I$31,(HLOOKUP($D111,$E$4:$CZ$32,28,FALSE)*'Incremental Repayments'!$I$22)),0),0)</f>
        <v>0</v>
      </c>
      <c r="AX111" s="477">
        <f>IF('Incremental Repayments'!$R$22="Debt",IF(AND(AX$4&gt;=$D111,AX$4&lt;$D111+'Incremental Repayments'!$I$31),-PMT('Interest Rate'!$J$16,'Incremental Repayments'!$I$31,(HLOOKUP($D111,$E$4:$CZ$32,28,FALSE)*'Incremental Repayments'!$I$22)),0),0)</f>
        <v>0</v>
      </c>
      <c r="AY111" s="477">
        <f>IF('Incremental Repayments'!$R$22="Debt",IF(AND(AY$4&gt;=$D111,AY$4&lt;$D111+'Incremental Repayments'!$I$31),-PMT('Interest Rate'!$J$16,'Incremental Repayments'!$I$31,(HLOOKUP($D111,$E$4:$CZ$32,28,FALSE)*'Incremental Repayments'!$I$22)),0),0)</f>
        <v>0</v>
      </c>
      <c r="AZ111" s="477">
        <f>IF('Incremental Repayments'!$R$22="Debt",IF(AND(AZ$4&gt;=$D111,AZ$4&lt;$D111+'Incremental Repayments'!$I$31),-PMT('Interest Rate'!$J$16,'Incremental Repayments'!$I$31,(HLOOKUP($D111,$E$4:$CZ$32,28,FALSE)*'Incremental Repayments'!$I$22)),0),0)</f>
        <v>0</v>
      </c>
      <c r="BA111" s="477">
        <f>IF('Incremental Repayments'!$R$22="Debt",IF(AND(BA$4&gt;=$D111,BA$4&lt;$D111+'Incremental Repayments'!$I$31),-PMT('Interest Rate'!$J$16,'Incremental Repayments'!$I$31,(HLOOKUP($D111,$E$4:$CZ$32,28,FALSE)*'Incremental Repayments'!$I$22)),0),0)</f>
        <v>0</v>
      </c>
      <c r="BB111" s="477">
        <f>IF('Incremental Repayments'!$R$22="Debt",IF(AND(BB$4&gt;=$D111,BB$4&lt;$D111+'Incremental Repayments'!$I$31),-PMT('Interest Rate'!$J$16,'Incremental Repayments'!$I$31,(HLOOKUP($D111,$E$4:$CZ$32,28,FALSE)*'Incremental Repayments'!$I$22)),0),0)</f>
        <v>0</v>
      </c>
      <c r="BC111" s="477">
        <f>IF('Incremental Repayments'!$R$22="Debt",IF(AND(BC$4&gt;=$D111,BC$4&lt;$D111+'Incremental Repayments'!$I$31),-PMT('Interest Rate'!$J$16,'Incremental Repayments'!$I$31,(HLOOKUP($D111,$E$4:$CZ$32,28,FALSE)*'Incremental Repayments'!$I$22)),0),0)</f>
        <v>0</v>
      </c>
      <c r="BD111" s="477">
        <f>IF('Incremental Repayments'!$R$22="Debt",IF(AND(BD$4&gt;=$D111,BD$4&lt;$D111+'Incremental Repayments'!$I$31),-PMT('Interest Rate'!$J$16,'Incremental Repayments'!$I$31,(HLOOKUP($D111,$E$4:$CZ$32,28,FALSE)*'Incremental Repayments'!$I$22)),0),0)</f>
        <v>0</v>
      </c>
      <c r="BE111" s="477">
        <f>IF('Incremental Repayments'!$R$22="Debt",IF(AND(BE$4&gt;=$D111,BE$4&lt;$D111+'Incremental Repayments'!$I$31),-PMT('Interest Rate'!$J$16,'Incremental Repayments'!$I$31,(HLOOKUP($D111,$E$4:$CZ$32,28,FALSE)*'Incremental Repayments'!$I$22)),0),0)</f>
        <v>0</v>
      </c>
      <c r="BF111" s="477">
        <f>IF('Incremental Repayments'!$R$22="Debt",IF(AND(BF$4&gt;=$D111,BF$4&lt;$D111+'Incremental Repayments'!$I$31),-PMT('Interest Rate'!$J$16,'Incremental Repayments'!$I$31,(HLOOKUP($D111,$E$4:$CZ$32,28,FALSE)*'Incremental Repayments'!$I$22)),0),0)</f>
        <v>0</v>
      </c>
      <c r="BG111" s="477">
        <f>IF('Incremental Repayments'!$R$22="Debt",IF(AND(BG$4&gt;=$D111,BG$4&lt;$D111+'Incremental Repayments'!$I$31),-PMT('Interest Rate'!$J$16,'Incremental Repayments'!$I$31,(HLOOKUP($D111,$E$4:$CZ$32,28,FALSE)*'Incremental Repayments'!$I$22)),0),0)</f>
        <v>0</v>
      </c>
      <c r="BH111" s="477">
        <f>IF('Incremental Repayments'!$R$22="Debt",IF(AND(BH$4&gt;=$D111,BH$4&lt;$D111+'Incremental Repayments'!$I$31),-PMT('Interest Rate'!$J$16,'Incremental Repayments'!$I$31,(HLOOKUP($D111,$E$4:$CZ$32,28,FALSE)*'Incremental Repayments'!$I$22)),0),0)</f>
        <v>0</v>
      </c>
      <c r="BI111" s="477">
        <f>IF('Incremental Repayments'!$R$22="Debt",IF(AND(BI$4&gt;=$D111,BI$4&lt;$D111+'Incremental Repayments'!$I$31),-PMT('Interest Rate'!$J$16,'Incremental Repayments'!$I$31,(HLOOKUP($D111,$E$4:$CZ$32,28,FALSE)*'Incremental Repayments'!$I$22)),0),0)</f>
        <v>0</v>
      </c>
      <c r="BJ111" s="477">
        <f>IF('Incremental Repayments'!$R$22="Debt",IF(AND(BJ$4&gt;=$D111,BJ$4&lt;$D111+'Incremental Repayments'!$I$31),-PMT('Interest Rate'!$J$16,'Incremental Repayments'!$I$31,(HLOOKUP($D111,$E$4:$CZ$32,28,FALSE)*'Incremental Repayments'!$I$22)),0),0)</f>
        <v>0</v>
      </c>
      <c r="BK111" s="477">
        <f>IF('Incremental Repayments'!$R$22="Debt",IF(AND(BK$4&gt;=$D111,BK$4&lt;$D111+'Incremental Repayments'!$I$31),-PMT('Interest Rate'!$J$16,'Incremental Repayments'!$I$31,(HLOOKUP($D111,$E$4:$CZ$32,28,FALSE)*'Incremental Repayments'!$I$22)),0),0)</f>
        <v>0</v>
      </c>
      <c r="BL111" s="477">
        <f>IF('Incremental Repayments'!$R$22="Debt",IF(AND(BL$4&gt;=$D111,BL$4&lt;$D111+'Incremental Repayments'!$I$31),-PMT('Interest Rate'!$J$16,'Incremental Repayments'!$I$31,(HLOOKUP($D111,$E$4:$CZ$32,28,FALSE)*'Incremental Repayments'!$I$22)),0),0)</f>
        <v>0</v>
      </c>
      <c r="BM111" s="477">
        <f>IF('Incremental Repayments'!$R$22="Debt",IF(AND(BM$4&gt;=$D111,BM$4&lt;$D111+'Incremental Repayments'!$I$31),-PMT('Interest Rate'!$J$16,'Incremental Repayments'!$I$31,(HLOOKUP($D111,$E$4:$CZ$32,28,FALSE)*'Incremental Repayments'!$I$22)),0),0)</f>
        <v>0</v>
      </c>
      <c r="BN111" s="477">
        <f>IF('Incremental Repayments'!$R$22="Debt",IF(AND(BN$4&gt;=$D111,BN$4&lt;$D111+'Incremental Repayments'!$I$31),-PMT('Interest Rate'!$J$16,'Incremental Repayments'!$I$31,(HLOOKUP($D111,$E$4:$CZ$32,28,FALSE)*'Incremental Repayments'!$I$22)),0),0)</f>
        <v>0</v>
      </c>
      <c r="BO111" s="477">
        <f>IF('Incremental Repayments'!$R$22="Debt",IF(AND(BO$4&gt;=$D111,BO$4&lt;$D111+'Incremental Repayments'!$I$31),-PMT('Interest Rate'!$J$16,'Incremental Repayments'!$I$31,(HLOOKUP($D111,$E$4:$CZ$32,28,FALSE)*'Incremental Repayments'!$I$22)),0),0)</f>
        <v>0</v>
      </c>
      <c r="BP111" s="477">
        <f>IF('Incremental Repayments'!$R$22="Debt",IF(AND(BP$4&gt;=$D111,BP$4&lt;$D111+'Incremental Repayments'!$I$31),-PMT('Interest Rate'!$J$16,'Incremental Repayments'!$I$31,(HLOOKUP($D111,$E$4:$CZ$32,28,FALSE)*'Incremental Repayments'!$I$22)),0),0)</f>
        <v>0</v>
      </c>
      <c r="BQ111" s="477">
        <f>IF('Incremental Repayments'!$R$22="Debt",IF(AND(BQ$4&gt;=$D111,BQ$4&lt;$D111+'Incremental Repayments'!$I$31),-PMT('Interest Rate'!$J$16,'Incremental Repayments'!$I$31,(HLOOKUP($D111,$E$4:$CZ$32,28,FALSE)*'Incremental Repayments'!$I$22)),0),0)</f>
        <v>0</v>
      </c>
      <c r="BR111" s="477">
        <f>IF('Incremental Repayments'!$R$22="Debt",IF(AND(BR$4&gt;=$D111,BR$4&lt;$D111+'Incremental Repayments'!$I$31),-PMT('Interest Rate'!$J$16,'Incremental Repayments'!$I$31,(HLOOKUP($D111,$E$4:$CZ$32,28,FALSE)*'Incremental Repayments'!$I$22)),0),0)</f>
        <v>0</v>
      </c>
      <c r="BS111" s="477">
        <f>IF('Incremental Repayments'!$R$22="Debt",IF(AND(BS$4&gt;=$D111,BS$4&lt;$D111+'Incremental Repayments'!$I$31),-PMT('Interest Rate'!$J$16,'Incremental Repayments'!$I$31,(HLOOKUP($D111,$E$4:$CZ$32,28,FALSE)*'Incremental Repayments'!$I$22)),0),0)</f>
        <v>0</v>
      </c>
      <c r="BT111" s="477">
        <f>IF('Incremental Repayments'!$R$22="Debt",IF(AND(BT$4&gt;=$D111,BT$4&lt;$D111+'Incremental Repayments'!$I$31),-PMT('Interest Rate'!$J$16,'Incremental Repayments'!$I$31,(HLOOKUP($D111,$E$4:$CZ$32,28,FALSE)*'Incremental Repayments'!$I$22)),0),0)</f>
        <v>0</v>
      </c>
      <c r="BU111" s="477">
        <f>IF('Incremental Repayments'!$R$22="Debt",IF(AND(BU$4&gt;=$D111,BU$4&lt;$D111+'Incremental Repayments'!$I$31),-PMT('Interest Rate'!$J$16,'Incremental Repayments'!$I$31,(HLOOKUP($D111,$E$4:$CZ$32,28,FALSE)*'Incremental Repayments'!$I$22)),0),0)</f>
        <v>0</v>
      </c>
      <c r="BV111" s="477">
        <f>IF('Incremental Repayments'!$R$22="Debt",IF(AND(BV$4&gt;=$D111,BV$4&lt;$D111+'Incremental Repayments'!$I$31),-PMT('Interest Rate'!$J$16,'Incremental Repayments'!$I$31,(HLOOKUP($D111,$E$4:$CZ$32,28,FALSE)*'Incremental Repayments'!$I$22)),0),0)</f>
        <v>0</v>
      </c>
      <c r="BW111" s="477">
        <f>IF('Incremental Repayments'!$R$22="Debt",IF(AND(BW$4&gt;=$D111,BW$4&lt;$D111+'Incremental Repayments'!$I$31),-PMT('Interest Rate'!$J$16,'Incremental Repayments'!$I$31,(HLOOKUP($D111,$E$4:$CZ$32,28,FALSE)*'Incremental Repayments'!$I$22)),0),0)</f>
        <v>0</v>
      </c>
      <c r="BX111" s="477">
        <f>IF('Incremental Repayments'!$R$22="Debt",IF(AND(BX$4&gt;=$D111,BX$4&lt;$D111+'Incremental Repayments'!$I$31),-PMT('Interest Rate'!$J$16,'Incremental Repayments'!$I$31,(HLOOKUP($D111,$E$4:$CZ$32,28,FALSE)*'Incremental Repayments'!$I$22)),0),0)</f>
        <v>0</v>
      </c>
      <c r="BY111" s="477">
        <f>IF('Incremental Repayments'!$R$22="Debt",IF(AND(BY$4&gt;=$D111,BY$4&lt;$D111+'Incremental Repayments'!$I$31),-PMT('Interest Rate'!$J$16,'Incremental Repayments'!$I$31,(HLOOKUP($D111,$E$4:$CZ$32,28,FALSE)*'Incremental Repayments'!$I$22)),0),0)</f>
        <v>0</v>
      </c>
      <c r="BZ111" s="477">
        <f>IF('Incremental Repayments'!$R$22="Debt",IF(AND(BZ$4&gt;=$D111,BZ$4&lt;$D111+'Incremental Repayments'!$I$31),-PMT('Interest Rate'!$J$16,'Incremental Repayments'!$I$31,(HLOOKUP($D111,$E$4:$CZ$32,28,FALSE)*'Incremental Repayments'!$I$22)),0),0)</f>
        <v>0</v>
      </c>
      <c r="CA111" s="477">
        <f>IF('Incremental Repayments'!$R$22="Debt",IF(AND(CA$4&gt;=$D111,CA$4&lt;$D111+'Incremental Repayments'!$I$31),-PMT('Interest Rate'!$J$16,'Incremental Repayments'!$I$31,(HLOOKUP($D111,$E$4:$CZ$32,28,FALSE)*'Incremental Repayments'!$I$22)),0),0)</f>
        <v>0</v>
      </c>
      <c r="CB111" s="477">
        <f>IF('Incremental Repayments'!$R$22="Debt",IF(AND(CB$4&gt;=$D111,CB$4&lt;$D111+'Incremental Repayments'!$I$31),-PMT('Interest Rate'!$J$16,'Incremental Repayments'!$I$31,(HLOOKUP($D111,$E$4:$CZ$32,28,FALSE)*'Incremental Repayments'!$I$22)),0),0)</f>
        <v>0</v>
      </c>
      <c r="CC111" s="477">
        <f>IF('Incremental Repayments'!$R$22="Debt",IF(AND(CC$4&gt;=$D111,CC$4&lt;$D111+'Incremental Repayments'!$I$31),-PMT('Interest Rate'!$J$16,'Incremental Repayments'!$I$31,(HLOOKUP($D111,$E$4:$CZ$32,28,FALSE)*'Incremental Repayments'!$I$22)),0),0)</f>
        <v>0</v>
      </c>
      <c r="CD111" s="477">
        <f>IF('Incremental Repayments'!$R$22="Debt",IF(AND(CD$4&gt;=$D111,CD$4&lt;$D111+'Incremental Repayments'!$I$31),-PMT('Interest Rate'!$J$16,'Incremental Repayments'!$I$31,(HLOOKUP($D111,$E$4:$CZ$32,28,FALSE)*'Incremental Repayments'!$I$22)),0),0)</f>
        <v>0</v>
      </c>
      <c r="CE111" s="477">
        <f>IF('Incremental Repayments'!$R$22="Debt",IF(AND(CE$4&gt;=$D111,CE$4&lt;$D111+'Incremental Repayments'!$I$31),-PMT('Interest Rate'!$J$16,'Incremental Repayments'!$I$31,(HLOOKUP($D111,$E$4:$CZ$32,28,FALSE)*'Incremental Repayments'!$I$22)),0),0)</f>
        <v>0</v>
      </c>
      <c r="CF111" s="477">
        <f>IF('Incremental Repayments'!$R$22="Debt",IF(AND(CF$4&gt;=$D111,CF$4&lt;$D111+'Incremental Repayments'!$I$31),-PMT('Interest Rate'!$J$16,'Incremental Repayments'!$I$31,(HLOOKUP($D111,$E$4:$CZ$32,28,FALSE)*'Incremental Repayments'!$I$22)),0),0)</f>
        <v>0</v>
      </c>
      <c r="CG111" s="477">
        <f>IF('Incremental Repayments'!$R$22="Debt",IF(AND(CG$4&gt;=$D111,CG$4&lt;$D111+'Incremental Repayments'!$I$31),-PMT('Interest Rate'!$J$16,'Incremental Repayments'!$I$31,(HLOOKUP($D111,$E$4:$CZ$32,28,FALSE)*'Incremental Repayments'!$I$22)),0),0)</f>
        <v>0</v>
      </c>
      <c r="CH111" s="477">
        <f>IF('Incremental Repayments'!$R$22="Debt",IF(AND(CH$4&gt;=$D111,CH$4&lt;$D111+'Incremental Repayments'!$I$31),-PMT('Interest Rate'!$J$16,'Incremental Repayments'!$I$31,(HLOOKUP($D111,$E$4:$CZ$32,28,FALSE)*'Incremental Repayments'!$I$22)),0),0)</f>
        <v>0</v>
      </c>
      <c r="CI111" s="477">
        <f>IF('Incremental Repayments'!$R$22="Debt",IF(AND(CI$4&gt;=$D111,CI$4&lt;$D111+'Incremental Repayments'!$I$31),-PMT('Interest Rate'!$J$16,'Incremental Repayments'!$I$31,(HLOOKUP($D111,$E$4:$CZ$32,28,FALSE)*'Incremental Repayments'!$I$22)),0),0)</f>
        <v>0</v>
      </c>
      <c r="CJ111" s="477">
        <f>IF('Incremental Repayments'!$R$22="Debt",IF(AND(CJ$4&gt;=$D111,CJ$4&lt;$D111+'Incremental Repayments'!$I$31),-PMT('Interest Rate'!$J$16,'Incremental Repayments'!$I$31,(HLOOKUP($D111,$E$4:$CZ$32,28,FALSE)*'Incremental Repayments'!$I$22)),0),0)</f>
        <v>0</v>
      </c>
      <c r="CK111" s="477">
        <f>IF('Incremental Repayments'!$R$22="Debt",IF(AND(CK$4&gt;=$D111,CK$4&lt;$D111+'Incremental Repayments'!$I$31),-PMT('Interest Rate'!$J$16,'Incremental Repayments'!$I$31,(HLOOKUP($D111,$E$4:$CZ$32,28,FALSE)*'Incremental Repayments'!$I$22)),0),0)</f>
        <v>0</v>
      </c>
      <c r="CL111" s="477">
        <f>IF('Incremental Repayments'!$R$22="Debt",IF(AND(CL$4&gt;=$D111,CL$4&lt;$D111+'Incremental Repayments'!$I$31),-PMT('Interest Rate'!$J$16,'Incremental Repayments'!$I$31,(HLOOKUP($D111,$E$4:$CZ$32,28,FALSE)*'Incremental Repayments'!$I$22)),0),0)</f>
        <v>0</v>
      </c>
      <c r="CM111" s="477">
        <f>IF('Incremental Repayments'!$R$22="Debt",IF(AND(CM$4&gt;=$D111,CM$4&lt;$D111+'Incremental Repayments'!$I$31),-PMT('Interest Rate'!$J$16,'Incremental Repayments'!$I$31,(HLOOKUP($D111,$E$4:$CZ$32,28,FALSE)*'Incremental Repayments'!$I$22)),0),0)</f>
        <v>0</v>
      </c>
      <c r="CN111" s="477">
        <f>IF('Incremental Repayments'!$R$22="Debt",IF(AND(CN$4&gt;=$D111,CN$4&lt;$D111+'Incremental Repayments'!$I$31),-PMT('Interest Rate'!$J$16,'Incremental Repayments'!$I$31,(HLOOKUP($D111,$E$4:$CZ$32,28,FALSE)*'Incremental Repayments'!$I$22)),0),0)</f>
        <v>0</v>
      </c>
      <c r="CO111" s="477">
        <f>IF('Incremental Repayments'!$R$22="Debt",IF(AND(CO$4&gt;=$D111,CO$4&lt;$D111+'Incremental Repayments'!$I$31),-PMT('Interest Rate'!$J$16,'Incremental Repayments'!$I$31,(HLOOKUP($D111,$E$4:$CZ$32,28,FALSE)*'Incremental Repayments'!$I$22)),0),0)</f>
        <v>0</v>
      </c>
      <c r="CP111" s="477">
        <f>IF('Incremental Repayments'!$R$22="Debt",IF(AND(CP$4&gt;=$D111,CP$4&lt;$D111+'Incremental Repayments'!$I$31),-PMT('Interest Rate'!$J$16,'Incremental Repayments'!$I$31,(HLOOKUP($D111,$E$4:$CZ$32,28,FALSE)*'Incremental Repayments'!$I$22)),0),0)</f>
        <v>0</v>
      </c>
      <c r="CQ111" s="477">
        <f>IF('Incremental Repayments'!$R$22="Debt",IF(AND(CQ$4&gt;=$D111,CQ$4&lt;$D111+'Incremental Repayments'!$I$31),-PMT('Interest Rate'!$J$16,'Incremental Repayments'!$I$31,(HLOOKUP($D111,$E$4:$CZ$32,28,FALSE)*'Incremental Repayments'!$I$22)),0),0)</f>
        <v>0</v>
      </c>
      <c r="CR111" s="477">
        <f>IF('Incremental Repayments'!$R$22="Debt",IF(AND(CR$4&gt;=$D111,CR$4&lt;$D111+'Incremental Repayments'!$I$31),-PMT('Interest Rate'!$J$16,'Incremental Repayments'!$I$31,(HLOOKUP($D111,$E$4:$CZ$32,28,FALSE)*'Incremental Repayments'!$I$22)),0),0)</f>
        <v>0</v>
      </c>
      <c r="CS111" s="477">
        <f>IF('Incremental Repayments'!$R$22="Debt",IF(AND(CS$4&gt;=$D111,CS$4&lt;$D111+'Incremental Repayments'!$I$31),-PMT('Interest Rate'!$J$16,'Incremental Repayments'!$I$31,(HLOOKUP($D111,$E$4:$CZ$32,28,FALSE)*'Incremental Repayments'!$I$22)),0),0)</f>
        <v>0</v>
      </c>
      <c r="CT111" s="477">
        <f>IF('Incremental Repayments'!$R$22="Debt",IF(AND(CT$4&gt;=$D111,CT$4&lt;$D111+'Incremental Repayments'!$I$31),-PMT('Interest Rate'!$J$16,'Incremental Repayments'!$I$31,(HLOOKUP($D111,$E$4:$CZ$32,28,FALSE)*'Incremental Repayments'!$I$22)),0),0)</f>
        <v>0</v>
      </c>
      <c r="CU111" s="477">
        <f>IF('Incremental Repayments'!$R$22="Debt",IF(AND(CU$4&gt;=$D111,CU$4&lt;$D111+'Incremental Repayments'!$I$31),-PMT('Interest Rate'!$J$16,'Incremental Repayments'!$I$31,(HLOOKUP($D111,$E$4:$CZ$32,28,FALSE)*'Incremental Repayments'!$I$22)),0),0)</f>
        <v>0</v>
      </c>
      <c r="CV111" s="477">
        <f>IF('Incremental Repayments'!$R$22="Debt",IF(AND(CV$4&gt;=$D111,CV$4&lt;$D111+'Incremental Repayments'!$I$31),-PMT('Interest Rate'!$J$16,'Incremental Repayments'!$I$31,(HLOOKUP($D111,$E$4:$CZ$32,28,FALSE)*'Incremental Repayments'!$I$22)),0),0)</f>
        <v>0</v>
      </c>
      <c r="CW111" s="477">
        <f>IF('Incremental Repayments'!$R$22="Debt",IF(AND(CW$4&gt;=$D111,CW$4&lt;$D111+'Incremental Repayments'!$I$31),-PMT('Interest Rate'!$J$16,'Incremental Repayments'!$I$31,(HLOOKUP($D111,$E$4:$CZ$32,28,FALSE)*'Incremental Repayments'!$I$22)),0),0)</f>
        <v>0</v>
      </c>
      <c r="CX111" s="477">
        <f>IF('Incremental Repayments'!$R$22="Debt",IF(AND(CX$4&gt;=$D111,CX$4&lt;$D111+'Incremental Repayments'!$I$31),-PMT('Interest Rate'!$J$16,'Incremental Repayments'!$I$31,(HLOOKUP($D111,$E$4:$CZ$32,28,FALSE)*'Incremental Repayments'!$I$22)),0),0)</f>
        <v>0</v>
      </c>
      <c r="CY111" s="477">
        <f>IF('Incremental Repayments'!$R$22="Debt",IF(AND(CY$4&gt;=$D111,CY$4&lt;$D111+'Incremental Repayments'!$I$31),-PMT('Interest Rate'!$J$16,'Incremental Repayments'!$I$31,(HLOOKUP($D111,$E$4:$CZ$32,28,FALSE)*'Incremental Repayments'!$I$22)),0),0)</f>
        <v>0</v>
      </c>
      <c r="CZ111" s="477">
        <f>IF('Incremental Repayments'!$R$22="Debt",IF(AND(CZ$4&gt;=$D111,CZ$4&lt;$D111+'Incremental Repayments'!$I$31),-PMT('Interest Rate'!$J$16,'Incremental Repayments'!$I$31,(HLOOKUP($D111,$E$4:$CZ$32,28,FALSE)*'Incremental Repayments'!$I$22)),0),0)</f>
        <v>0</v>
      </c>
    </row>
    <row r="112" spans="2:104" x14ac:dyDescent="0.25">
      <c r="B112" s="480" t="str">
        <f>CONCATENATE("Series ",D112,"A Bonds (at ",'Interest Rate'!$J$16*100,"% Interest)")</f>
        <v>Series 2090A Bonds (at 4.5% Interest)</v>
      </c>
      <c r="C112" s="480"/>
      <c r="D112" s="492">
        <f t="shared" si="496"/>
        <v>2090</v>
      </c>
      <c r="E112" s="477">
        <f>IF('Incremental Repayments'!$R$22="Debt",IF(AND(E$4&gt;=$D112,E$4&lt;$D112+'Incremental Repayments'!$I$31),-PMT('Interest Rate'!$J$16,'Incremental Repayments'!$I$31,(HLOOKUP($D112,$E$4:$CZ$32,28,FALSE)*'Incremental Repayments'!$I$22)),0),0)</f>
        <v>0</v>
      </c>
      <c r="F112" s="477">
        <f>IF('Incremental Repayments'!$R$22="Debt",IF(AND(F$4&gt;=$D112,F$4&lt;$D112+'Incremental Repayments'!$I$31),-PMT('Interest Rate'!$J$16,'Incremental Repayments'!$I$31,(HLOOKUP($D112,$E$4:$CZ$32,28,FALSE)*'Incremental Repayments'!$I$22)),0),0)</f>
        <v>0</v>
      </c>
      <c r="G112" s="477">
        <f>IF('Incremental Repayments'!$R$22="Debt",IF(AND(G$4&gt;=$D112,G$4&lt;$D112+'Incremental Repayments'!$I$31),-PMT('Interest Rate'!$J$16,'Incremental Repayments'!$I$31,(HLOOKUP($D112,$E$4:$CZ$32,28,FALSE)*'Incremental Repayments'!$I$22)),0),0)</f>
        <v>0</v>
      </c>
      <c r="H112" s="477">
        <f>IF('Incremental Repayments'!$R$22="Debt",IF(AND(H$4&gt;=$D112,H$4&lt;$D112+'Incremental Repayments'!$I$31),-PMT('Interest Rate'!$J$16,'Incremental Repayments'!$I$31,(HLOOKUP($D112,$E$4:$CZ$32,28,FALSE)*'Incremental Repayments'!$I$22)),0),0)</f>
        <v>0</v>
      </c>
      <c r="I112" s="477">
        <f>IF('Incremental Repayments'!$R$22="Debt",IF(AND(I$4&gt;=$D112,I$4&lt;$D112+'Incremental Repayments'!$I$31),-PMT('Interest Rate'!$J$16,'Incremental Repayments'!$I$31,(HLOOKUP($D112,$E$4:$CZ$32,28,FALSE)*'Incremental Repayments'!$I$22)),0),0)</f>
        <v>0</v>
      </c>
      <c r="J112" s="477">
        <f>IF('Incremental Repayments'!$R$22="Debt",IF(AND(J$4&gt;=$D112,J$4&lt;$D112+'Incremental Repayments'!$I$31),-PMT('Interest Rate'!$J$16,'Incremental Repayments'!$I$31,(HLOOKUP($D112,$E$4:$CZ$32,28,FALSE)*'Incremental Repayments'!$I$22)),0),0)</f>
        <v>0</v>
      </c>
      <c r="K112" s="477">
        <f>IF('Incremental Repayments'!$R$22="Debt",IF(AND(K$4&gt;=$D112,K$4&lt;$D112+'Incremental Repayments'!$I$31),-PMT('Interest Rate'!$J$16,'Incremental Repayments'!$I$31,(HLOOKUP($D112,$E$4:$CZ$32,28,FALSE)*'Incremental Repayments'!$I$22)),0),0)</f>
        <v>0</v>
      </c>
      <c r="L112" s="477">
        <f>IF('Incremental Repayments'!$R$22="Debt",IF(AND(L$4&gt;=$D112,L$4&lt;$D112+'Incremental Repayments'!$I$31),-PMT('Interest Rate'!$J$16,'Incremental Repayments'!$I$31,(HLOOKUP($D112,$E$4:$CZ$32,28,FALSE)*'Incremental Repayments'!$I$22)),0),0)</f>
        <v>0</v>
      </c>
      <c r="M112" s="477">
        <f>IF('Incremental Repayments'!$R$22="Debt",IF(AND(M$4&gt;=$D112,M$4&lt;$D112+'Incremental Repayments'!$I$31),-PMT('Interest Rate'!$J$16,'Incremental Repayments'!$I$31,(HLOOKUP($D112,$E$4:$CZ$32,28,FALSE)*'Incremental Repayments'!$I$22)),0),0)</f>
        <v>0</v>
      </c>
      <c r="N112" s="477">
        <f>IF('Incremental Repayments'!$R$22="Debt",IF(AND(N$4&gt;=$D112,N$4&lt;$D112+'Incremental Repayments'!$I$31),-PMT('Interest Rate'!$J$16,'Incremental Repayments'!$I$31,(HLOOKUP($D112,$E$4:$CZ$32,28,FALSE)*'Incremental Repayments'!$I$22)),0),0)</f>
        <v>0</v>
      </c>
      <c r="O112" s="477">
        <f>IF('Incremental Repayments'!$R$22="Debt",IF(AND(O$4&gt;=$D112,O$4&lt;$D112+'Incremental Repayments'!$I$31),-PMT('Interest Rate'!$J$16,'Incremental Repayments'!$I$31,(HLOOKUP($D112,$E$4:$CZ$32,28,FALSE)*'Incremental Repayments'!$I$22)),0),0)</f>
        <v>0</v>
      </c>
      <c r="P112" s="477">
        <f>IF('Incremental Repayments'!$R$22="Debt",IF(AND(P$4&gt;=$D112,P$4&lt;$D112+'Incremental Repayments'!$I$31),-PMT('Interest Rate'!$J$16,'Incremental Repayments'!$I$31,(HLOOKUP($D112,$E$4:$CZ$32,28,FALSE)*'Incremental Repayments'!$I$22)),0),0)</f>
        <v>0</v>
      </c>
      <c r="Q112" s="477">
        <f>IF('Incremental Repayments'!$R$22="Debt",IF(AND(Q$4&gt;=$D112,Q$4&lt;$D112+'Incremental Repayments'!$I$31),-PMT('Interest Rate'!$J$16,'Incremental Repayments'!$I$31,(HLOOKUP($D112,$E$4:$CZ$32,28,FALSE)*'Incremental Repayments'!$I$22)),0),0)</f>
        <v>0</v>
      </c>
      <c r="R112" s="477">
        <f>IF('Incremental Repayments'!$R$22="Debt",IF(AND(R$4&gt;=$D112,R$4&lt;$D112+'Incremental Repayments'!$I$31),-PMT('Interest Rate'!$J$16,'Incremental Repayments'!$I$31,(HLOOKUP($D112,$E$4:$CZ$32,28,FALSE)*'Incremental Repayments'!$I$22)),0),0)</f>
        <v>0</v>
      </c>
      <c r="S112" s="477">
        <f>IF('Incremental Repayments'!$R$22="Debt",IF(AND(S$4&gt;=$D112,S$4&lt;$D112+'Incremental Repayments'!$I$31),-PMT('Interest Rate'!$J$16,'Incremental Repayments'!$I$31,(HLOOKUP($D112,$E$4:$CZ$32,28,FALSE)*'Incremental Repayments'!$I$22)),0),0)</f>
        <v>0</v>
      </c>
      <c r="T112" s="477">
        <f>IF('Incremental Repayments'!$R$22="Debt",IF(AND(T$4&gt;=$D112,T$4&lt;$D112+'Incremental Repayments'!$I$31),-PMT('Interest Rate'!$J$16,'Incremental Repayments'!$I$31,(HLOOKUP($D112,$E$4:$CZ$32,28,FALSE)*'Incremental Repayments'!$I$22)),0),0)</f>
        <v>0</v>
      </c>
      <c r="U112" s="477">
        <f>IF('Incremental Repayments'!$R$22="Debt",IF(AND(U$4&gt;=$D112,U$4&lt;$D112+'Incremental Repayments'!$I$31),-PMT('Interest Rate'!$J$16,'Incremental Repayments'!$I$31,(HLOOKUP($D112,$E$4:$CZ$32,28,FALSE)*'Incremental Repayments'!$I$22)),0),0)</f>
        <v>0</v>
      </c>
      <c r="V112" s="477">
        <f>IF('Incremental Repayments'!$R$22="Debt",IF(AND(V$4&gt;=$D112,V$4&lt;$D112+'Incremental Repayments'!$I$31),-PMT('Interest Rate'!$J$16,'Incremental Repayments'!$I$31,(HLOOKUP($D112,$E$4:$CZ$32,28,FALSE)*'Incremental Repayments'!$I$22)),0),0)</f>
        <v>0</v>
      </c>
      <c r="W112" s="477">
        <f>IF('Incremental Repayments'!$R$22="Debt",IF(AND(W$4&gt;=$D112,W$4&lt;$D112+'Incremental Repayments'!$I$31),-PMT('Interest Rate'!$J$16,'Incremental Repayments'!$I$31,(HLOOKUP($D112,$E$4:$CZ$32,28,FALSE)*'Incremental Repayments'!$I$22)),0),0)</f>
        <v>0</v>
      </c>
      <c r="X112" s="477">
        <f>IF('Incremental Repayments'!$R$22="Debt",IF(AND(X$4&gt;=$D112,X$4&lt;$D112+'Incremental Repayments'!$I$31),-PMT('Interest Rate'!$J$16,'Incremental Repayments'!$I$31,(HLOOKUP($D112,$E$4:$CZ$32,28,FALSE)*'Incremental Repayments'!$I$22)),0),0)</f>
        <v>0</v>
      </c>
      <c r="Y112" s="477">
        <f>IF('Incremental Repayments'!$R$22="Debt",IF(AND(Y$4&gt;=$D112,Y$4&lt;$D112+'Incremental Repayments'!$I$31),-PMT('Interest Rate'!$J$16,'Incremental Repayments'!$I$31,(HLOOKUP($D112,$E$4:$CZ$32,28,FALSE)*'Incremental Repayments'!$I$22)),0),0)</f>
        <v>0</v>
      </c>
      <c r="Z112" s="477">
        <f>IF('Incremental Repayments'!$R$22="Debt",IF(AND(Z$4&gt;=$D112,Z$4&lt;$D112+'Incremental Repayments'!$I$31),-PMT('Interest Rate'!$J$16,'Incremental Repayments'!$I$31,(HLOOKUP($D112,$E$4:$CZ$32,28,FALSE)*'Incremental Repayments'!$I$22)),0),0)</f>
        <v>0</v>
      </c>
      <c r="AA112" s="477">
        <f>IF('Incremental Repayments'!$R$22="Debt",IF(AND(AA$4&gt;=$D112,AA$4&lt;$D112+'Incremental Repayments'!$I$31),-PMT('Interest Rate'!$J$16,'Incremental Repayments'!$I$31,(HLOOKUP($D112,$E$4:$CZ$32,28,FALSE)*'Incremental Repayments'!$I$22)),0),0)</f>
        <v>0</v>
      </c>
      <c r="AB112" s="477">
        <f>IF('Incremental Repayments'!$R$22="Debt",IF(AND(AB$4&gt;=$D112,AB$4&lt;$D112+'Incremental Repayments'!$I$31),-PMT('Interest Rate'!$J$16,'Incremental Repayments'!$I$31,(HLOOKUP($D112,$E$4:$CZ$32,28,FALSE)*'Incremental Repayments'!$I$22)),0),0)</f>
        <v>0</v>
      </c>
      <c r="AC112" s="477">
        <f>IF('Incremental Repayments'!$R$22="Debt",IF(AND(AC$4&gt;=$D112,AC$4&lt;$D112+'Incremental Repayments'!$I$31),-PMT('Interest Rate'!$J$16,'Incremental Repayments'!$I$31,(HLOOKUP($D112,$E$4:$CZ$32,28,FALSE)*'Incremental Repayments'!$I$22)),0),0)</f>
        <v>0</v>
      </c>
      <c r="AD112" s="477">
        <f>IF('Incremental Repayments'!$R$22="Debt",IF(AND(AD$4&gt;=$D112,AD$4&lt;$D112+'Incremental Repayments'!$I$31),-PMT('Interest Rate'!$J$16,'Incremental Repayments'!$I$31,(HLOOKUP($D112,$E$4:$CZ$32,28,FALSE)*'Incremental Repayments'!$I$22)),0),0)</f>
        <v>0</v>
      </c>
      <c r="AE112" s="477">
        <f>IF('Incremental Repayments'!$R$22="Debt",IF(AND(AE$4&gt;=$D112,AE$4&lt;$D112+'Incremental Repayments'!$I$31),-PMT('Interest Rate'!$J$16,'Incremental Repayments'!$I$31,(HLOOKUP($D112,$E$4:$CZ$32,28,FALSE)*'Incremental Repayments'!$I$22)),0),0)</f>
        <v>0</v>
      </c>
      <c r="AF112" s="477">
        <f>IF('Incremental Repayments'!$R$22="Debt",IF(AND(AF$4&gt;=$D112,AF$4&lt;$D112+'Incremental Repayments'!$I$31),-PMT('Interest Rate'!$J$16,'Incremental Repayments'!$I$31,(HLOOKUP($D112,$E$4:$CZ$32,28,FALSE)*'Incremental Repayments'!$I$22)),0),0)</f>
        <v>0</v>
      </c>
      <c r="AG112" s="477">
        <f>IF('Incremental Repayments'!$R$22="Debt",IF(AND(AG$4&gt;=$D112,AG$4&lt;$D112+'Incremental Repayments'!$I$31),-PMT('Interest Rate'!$J$16,'Incremental Repayments'!$I$31,(HLOOKUP($D112,$E$4:$CZ$32,28,FALSE)*'Incremental Repayments'!$I$22)),0),0)</f>
        <v>0</v>
      </c>
      <c r="AH112" s="477">
        <f>IF('Incremental Repayments'!$R$22="Debt",IF(AND(AH$4&gt;=$D112,AH$4&lt;$D112+'Incremental Repayments'!$I$31),-PMT('Interest Rate'!$J$16,'Incremental Repayments'!$I$31,(HLOOKUP($D112,$E$4:$CZ$32,28,FALSE)*'Incremental Repayments'!$I$22)),0),0)</f>
        <v>0</v>
      </c>
      <c r="AI112" s="477">
        <f>IF('Incremental Repayments'!$R$22="Debt",IF(AND(AI$4&gt;=$D112,AI$4&lt;$D112+'Incremental Repayments'!$I$31),-PMT('Interest Rate'!$J$16,'Incremental Repayments'!$I$31,(HLOOKUP($D112,$E$4:$CZ$32,28,FALSE)*'Incremental Repayments'!$I$22)),0),0)</f>
        <v>0</v>
      </c>
      <c r="AJ112" s="477">
        <f>IF('Incremental Repayments'!$R$22="Debt",IF(AND(AJ$4&gt;=$D112,AJ$4&lt;$D112+'Incremental Repayments'!$I$31),-PMT('Interest Rate'!$J$16,'Incremental Repayments'!$I$31,(HLOOKUP($D112,$E$4:$CZ$32,28,FALSE)*'Incremental Repayments'!$I$22)),0),0)</f>
        <v>0</v>
      </c>
      <c r="AK112" s="477">
        <f>IF('Incremental Repayments'!$R$22="Debt",IF(AND(AK$4&gt;=$D112,AK$4&lt;$D112+'Incremental Repayments'!$I$31),-PMT('Interest Rate'!$J$16,'Incremental Repayments'!$I$31,(HLOOKUP($D112,$E$4:$CZ$32,28,FALSE)*'Incremental Repayments'!$I$22)),0),0)</f>
        <v>0</v>
      </c>
      <c r="AL112" s="477">
        <f>IF('Incremental Repayments'!$R$22="Debt",IF(AND(AL$4&gt;=$D112,AL$4&lt;$D112+'Incremental Repayments'!$I$31),-PMT('Interest Rate'!$J$16,'Incremental Repayments'!$I$31,(HLOOKUP($D112,$E$4:$CZ$32,28,FALSE)*'Incremental Repayments'!$I$22)),0),0)</f>
        <v>0</v>
      </c>
      <c r="AM112" s="477">
        <f>IF('Incremental Repayments'!$R$22="Debt",IF(AND(AM$4&gt;=$D112,AM$4&lt;$D112+'Incremental Repayments'!$I$31),-PMT('Interest Rate'!$J$16,'Incremental Repayments'!$I$31,(HLOOKUP($D112,$E$4:$CZ$32,28,FALSE)*'Incremental Repayments'!$I$22)),0),0)</f>
        <v>0</v>
      </c>
      <c r="AN112" s="477">
        <f>IF('Incremental Repayments'!$R$22="Debt",IF(AND(AN$4&gt;=$D112,AN$4&lt;$D112+'Incremental Repayments'!$I$31),-PMT('Interest Rate'!$J$16,'Incremental Repayments'!$I$31,(HLOOKUP($D112,$E$4:$CZ$32,28,FALSE)*'Incremental Repayments'!$I$22)),0),0)</f>
        <v>0</v>
      </c>
      <c r="AO112" s="477">
        <f>IF('Incremental Repayments'!$R$22="Debt",IF(AND(AO$4&gt;=$D112,AO$4&lt;$D112+'Incremental Repayments'!$I$31),-PMT('Interest Rate'!$J$16,'Incremental Repayments'!$I$31,(HLOOKUP($D112,$E$4:$CZ$32,28,FALSE)*'Incremental Repayments'!$I$22)),0),0)</f>
        <v>0</v>
      </c>
      <c r="AP112" s="477">
        <f>IF('Incremental Repayments'!$R$22="Debt",IF(AND(AP$4&gt;=$D112,AP$4&lt;$D112+'Incremental Repayments'!$I$31),-PMT('Interest Rate'!$J$16,'Incremental Repayments'!$I$31,(HLOOKUP($D112,$E$4:$CZ$32,28,FALSE)*'Incremental Repayments'!$I$22)),0),0)</f>
        <v>0</v>
      </c>
      <c r="AQ112" s="477">
        <f>IF('Incremental Repayments'!$R$22="Debt",IF(AND(AQ$4&gt;=$D112,AQ$4&lt;$D112+'Incremental Repayments'!$I$31),-PMT('Interest Rate'!$J$16,'Incremental Repayments'!$I$31,(HLOOKUP($D112,$E$4:$CZ$32,28,FALSE)*'Incremental Repayments'!$I$22)),0),0)</f>
        <v>0</v>
      </c>
      <c r="AR112" s="477">
        <f>IF('Incremental Repayments'!$R$22="Debt",IF(AND(AR$4&gt;=$D112,AR$4&lt;$D112+'Incremental Repayments'!$I$31),-PMT('Interest Rate'!$J$16,'Incremental Repayments'!$I$31,(HLOOKUP($D112,$E$4:$CZ$32,28,FALSE)*'Incremental Repayments'!$I$22)),0),0)</f>
        <v>0</v>
      </c>
      <c r="AS112" s="477">
        <f>IF('Incremental Repayments'!$R$22="Debt",IF(AND(AS$4&gt;=$D112,AS$4&lt;$D112+'Incremental Repayments'!$I$31),-PMT('Interest Rate'!$J$16,'Incremental Repayments'!$I$31,(HLOOKUP($D112,$E$4:$CZ$32,28,FALSE)*'Incremental Repayments'!$I$22)),0),0)</f>
        <v>0</v>
      </c>
      <c r="AT112" s="477">
        <f>IF('Incremental Repayments'!$R$22="Debt",IF(AND(AT$4&gt;=$D112,AT$4&lt;$D112+'Incremental Repayments'!$I$31),-PMT('Interest Rate'!$J$16,'Incremental Repayments'!$I$31,(HLOOKUP($D112,$E$4:$CZ$32,28,FALSE)*'Incremental Repayments'!$I$22)),0),0)</f>
        <v>0</v>
      </c>
      <c r="AU112" s="477">
        <f>IF('Incremental Repayments'!$R$22="Debt",IF(AND(AU$4&gt;=$D112,AU$4&lt;$D112+'Incremental Repayments'!$I$31),-PMT('Interest Rate'!$J$16,'Incremental Repayments'!$I$31,(HLOOKUP($D112,$E$4:$CZ$32,28,FALSE)*'Incremental Repayments'!$I$22)),0),0)</f>
        <v>0</v>
      </c>
      <c r="AV112" s="477">
        <f>IF('Incremental Repayments'!$R$22="Debt",IF(AND(AV$4&gt;=$D112,AV$4&lt;$D112+'Incremental Repayments'!$I$31),-PMT('Interest Rate'!$J$16,'Incremental Repayments'!$I$31,(HLOOKUP($D112,$E$4:$CZ$32,28,FALSE)*'Incremental Repayments'!$I$22)),0),0)</f>
        <v>0</v>
      </c>
      <c r="AW112" s="477">
        <f>IF('Incremental Repayments'!$R$22="Debt",IF(AND(AW$4&gt;=$D112,AW$4&lt;$D112+'Incremental Repayments'!$I$31),-PMT('Interest Rate'!$J$16,'Incremental Repayments'!$I$31,(HLOOKUP($D112,$E$4:$CZ$32,28,FALSE)*'Incremental Repayments'!$I$22)),0),0)</f>
        <v>0</v>
      </c>
      <c r="AX112" s="477">
        <f>IF('Incremental Repayments'!$R$22="Debt",IF(AND(AX$4&gt;=$D112,AX$4&lt;$D112+'Incremental Repayments'!$I$31),-PMT('Interest Rate'!$J$16,'Incremental Repayments'!$I$31,(HLOOKUP($D112,$E$4:$CZ$32,28,FALSE)*'Incremental Repayments'!$I$22)),0),0)</f>
        <v>0</v>
      </c>
      <c r="AY112" s="477">
        <f>IF('Incremental Repayments'!$R$22="Debt",IF(AND(AY$4&gt;=$D112,AY$4&lt;$D112+'Incremental Repayments'!$I$31),-PMT('Interest Rate'!$J$16,'Incremental Repayments'!$I$31,(HLOOKUP($D112,$E$4:$CZ$32,28,FALSE)*'Incremental Repayments'!$I$22)),0),0)</f>
        <v>0</v>
      </c>
      <c r="AZ112" s="477">
        <f>IF('Incremental Repayments'!$R$22="Debt",IF(AND(AZ$4&gt;=$D112,AZ$4&lt;$D112+'Incremental Repayments'!$I$31),-PMT('Interest Rate'!$J$16,'Incremental Repayments'!$I$31,(HLOOKUP($D112,$E$4:$CZ$32,28,FALSE)*'Incremental Repayments'!$I$22)),0),0)</f>
        <v>0</v>
      </c>
      <c r="BA112" s="477">
        <f>IF('Incremental Repayments'!$R$22="Debt",IF(AND(BA$4&gt;=$D112,BA$4&lt;$D112+'Incremental Repayments'!$I$31),-PMT('Interest Rate'!$J$16,'Incremental Repayments'!$I$31,(HLOOKUP($D112,$E$4:$CZ$32,28,FALSE)*'Incremental Repayments'!$I$22)),0),0)</f>
        <v>0</v>
      </c>
      <c r="BB112" s="477">
        <f>IF('Incremental Repayments'!$R$22="Debt",IF(AND(BB$4&gt;=$D112,BB$4&lt;$D112+'Incremental Repayments'!$I$31),-PMT('Interest Rate'!$J$16,'Incremental Repayments'!$I$31,(HLOOKUP($D112,$E$4:$CZ$32,28,FALSE)*'Incremental Repayments'!$I$22)),0),0)</f>
        <v>0</v>
      </c>
      <c r="BC112" s="477">
        <f>IF('Incremental Repayments'!$R$22="Debt",IF(AND(BC$4&gt;=$D112,BC$4&lt;$D112+'Incremental Repayments'!$I$31),-PMT('Interest Rate'!$J$16,'Incremental Repayments'!$I$31,(HLOOKUP($D112,$E$4:$CZ$32,28,FALSE)*'Incremental Repayments'!$I$22)),0),0)</f>
        <v>0</v>
      </c>
      <c r="BD112" s="477">
        <f>IF('Incremental Repayments'!$R$22="Debt",IF(AND(BD$4&gt;=$D112,BD$4&lt;$D112+'Incremental Repayments'!$I$31),-PMT('Interest Rate'!$J$16,'Incremental Repayments'!$I$31,(HLOOKUP($D112,$E$4:$CZ$32,28,FALSE)*'Incremental Repayments'!$I$22)),0),0)</f>
        <v>0</v>
      </c>
      <c r="BE112" s="477">
        <f>IF('Incremental Repayments'!$R$22="Debt",IF(AND(BE$4&gt;=$D112,BE$4&lt;$D112+'Incremental Repayments'!$I$31),-PMT('Interest Rate'!$J$16,'Incremental Repayments'!$I$31,(HLOOKUP($D112,$E$4:$CZ$32,28,FALSE)*'Incremental Repayments'!$I$22)),0),0)</f>
        <v>0</v>
      </c>
      <c r="BF112" s="477">
        <f>IF('Incremental Repayments'!$R$22="Debt",IF(AND(BF$4&gt;=$D112,BF$4&lt;$D112+'Incremental Repayments'!$I$31),-PMT('Interest Rate'!$J$16,'Incremental Repayments'!$I$31,(HLOOKUP($D112,$E$4:$CZ$32,28,FALSE)*'Incremental Repayments'!$I$22)),0),0)</f>
        <v>0</v>
      </c>
      <c r="BG112" s="477">
        <f>IF('Incremental Repayments'!$R$22="Debt",IF(AND(BG$4&gt;=$D112,BG$4&lt;$D112+'Incremental Repayments'!$I$31),-PMT('Interest Rate'!$J$16,'Incremental Repayments'!$I$31,(HLOOKUP($D112,$E$4:$CZ$32,28,FALSE)*'Incremental Repayments'!$I$22)),0),0)</f>
        <v>0</v>
      </c>
      <c r="BH112" s="477">
        <f>IF('Incremental Repayments'!$R$22="Debt",IF(AND(BH$4&gt;=$D112,BH$4&lt;$D112+'Incremental Repayments'!$I$31),-PMT('Interest Rate'!$J$16,'Incremental Repayments'!$I$31,(HLOOKUP($D112,$E$4:$CZ$32,28,FALSE)*'Incremental Repayments'!$I$22)),0),0)</f>
        <v>0</v>
      </c>
      <c r="BI112" s="477">
        <f>IF('Incremental Repayments'!$R$22="Debt",IF(AND(BI$4&gt;=$D112,BI$4&lt;$D112+'Incremental Repayments'!$I$31),-PMT('Interest Rate'!$J$16,'Incremental Repayments'!$I$31,(HLOOKUP($D112,$E$4:$CZ$32,28,FALSE)*'Incremental Repayments'!$I$22)),0),0)</f>
        <v>0</v>
      </c>
      <c r="BJ112" s="477">
        <f>IF('Incremental Repayments'!$R$22="Debt",IF(AND(BJ$4&gt;=$D112,BJ$4&lt;$D112+'Incremental Repayments'!$I$31),-PMT('Interest Rate'!$J$16,'Incremental Repayments'!$I$31,(HLOOKUP($D112,$E$4:$CZ$32,28,FALSE)*'Incremental Repayments'!$I$22)),0),0)</f>
        <v>0</v>
      </c>
      <c r="BK112" s="477">
        <f>IF('Incremental Repayments'!$R$22="Debt",IF(AND(BK$4&gt;=$D112,BK$4&lt;$D112+'Incremental Repayments'!$I$31),-PMT('Interest Rate'!$J$16,'Incremental Repayments'!$I$31,(HLOOKUP($D112,$E$4:$CZ$32,28,FALSE)*'Incremental Repayments'!$I$22)),0),0)</f>
        <v>0</v>
      </c>
      <c r="BL112" s="477">
        <f>IF('Incremental Repayments'!$R$22="Debt",IF(AND(BL$4&gt;=$D112,BL$4&lt;$D112+'Incremental Repayments'!$I$31),-PMT('Interest Rate'!$J$16,'Incremental Repayments'!$I$31,(HLOOKUP($D112,$E$4:$CZ$32,28,FALSE)*'Incremental Repayments'!$I$22)),0),0)</f>
        <v>0</v>
      </c>
      <c r="BM112" s="477">
        <f>IF('Incremental Repayments'!$R$22="Debt",IF(AND(BM$4&gt;=$D112,BM$4&lt;$D112+'Incremental Repayments'!$I$31),-PMT('Interest Rate'!$J$16,'Incremental Repayments'!$I$31,(HLOOKUP($D112,$E$4:$CZ$32,28,FALSE)*'Incremental Repayments'!$I$22)),0),0)</f>
        <v>0</v>
      </c>
      <c r="BN112" s="477">
        <f>IF('Incremental Repayments'!$R$22="Debt",IF(AND(BN$4&gt;=$D112,BN$4&lt;$D112+'Incremental Repayments'!$I$31),-PMT('Interest Rate'!$J$16,'Incremental Repayments'!$I$31,(HLOOKUP($D112,$E$4:$CZ$32,28,FALSE)*'Incremental Repayments'!$I$22)),0),0)</f>
        <v>0</v>
      </c>
      <c r="BO112" s="477">
        <f>IF('Incremental Repayments'!$R$22="Debt",IF(AND(BO$4&gt;=$D112,BO$4&lt;$D112+'Incremental Repayments'!$I$31),-PMT('Interest Rate'!$J$16,'Incremental Repayments'!$I$31,(HLOOKUP($D112,$E$4:$CZ$32,28,FALSE)*'Incremental Repayments'!$I$22)),0),0)</f>
        <v>0</v>
      </c>
      <c r="BP112" s="477">
        <f>IF('Incremental Repayments'!$R$22="Debt",IF(AND(BP$4&gt;=$D112,BP$4&lt;$D112+'Incremental Repayments'!$I$31),-PMT('Interest Rate'!$J$16,'Incremental Repayments'!$I$31,(HLOOKUP($D112,$E$4:$CZ$32,28,FALSE)*'Incremental Repayments'!$I$22)),0),0)</f>
        <v>0</v>
      </c>
      <c r="BQ112" s="477">
        <f>IF('Incremental Repayments'!$R$22="Debt",IF(AND(BQ$4&gt;=$D112,BQ$4&lt;$D112+'Incremental Repayments'!$I$31),-PMT('Interest Rate'!$J$16,'Incremental Repayments'!$I$31,(HLOOKUP($D112,$E$4:$CZ$32,28,FALSE)*'Incremental Repayments'!$I$22)),0),0)</f>
        <v>0</v>
      </c>
      <c r="BR112" s="477">
        <f>IF('Incremental Repayments'!$R$22="Debt",IF(AND(BR$4&gt;=$D112,BR$4&lt;$D112+'Incremental Repayments'!$I$31),-PMT('Interest Rate'!$J$16,'Incremental Repayments'!$I$31,(HLOOKUP($D112,$E$4:$CZ$32,28,FALSE)*'Incremental Repayments'!$I$22)),0),0)</f>
        <v>0</v>
      </c>
      <c r="BS112" s="477">
        <f>IF('Incremental Repayments'!$R$22="Debt",IF(AND(BS$4&gt;=$D112,BS$4&lt;$D112+'Incremental Repayments'!$I$31),-PMT('Interest Rate'!$J$16,'Incremental Repayments'!$I$31,(HLOOKUP($D112,$E$4:$CZ$32,28,FALSE)*'Incremental Repayments'!$I$22)),0),0)</f>
        <v>0</v>
      </c>
      <c r="BT112" s="477">
        <f>IF('Incremental Repayments'!$R$22="Debt",IF(AND(BT$4&gt;=$D112,BT$4&lt;$D112+'Incremental Repayments'!$I$31),-PMT('Interest Rate'!$J$16,'Incremental Repayments'!$I$31,(HLOOKUP($D112,$E$4:$CZ$32,28,FALSE)*'Incremental Repayments'!$I$22)),0),0)</f>
        <v>0</v>
      </c>
      <c r="BU112" s="477">
        <f>IF('Incremental Repayments'!$R$22="Debt",IF(AND(BU$4&gt;=$D112,BU$4&lt;$D112+'Incremental Repayments'!$I$31),-PMT('Interest Rate'!$J$16,'Incremental Repayments'!$I$31,(HLOOKUP($D112,$E$4:$CZ$32,28,FALSE)*'Incremental Repayments'!$I$22)),0),0)</f>
        <v>0</v>
      </c>
      <c r="BV112" s="477">
        <f>IF('Incremental Repayments'!$R$22="Debt",IF(AND(BV$4&gt;=$D112,BV$4&lt;$D112+'Incremental Repayments'!$I$31),-PMT('Interest Rate'!$J$16,'Incremental Repayments'!$I$31,(HLOOKUP($D112,$E$4:$CZ$32,28,FALSE)*'Incremental Repayments'!$I$22)),0),0)</f>
        <v>0</v>
      </c>
      <c r="BW112" s="477">
        <f>IF('Incremental Repayments'!$R$22="Debt",IF(AND(BW$4&gt;=$D112,BW$4&lt;$D112+'Incremental Repayments'!$I$31),-PMT('Interest Rate'!$J$16,'Incremental Repayments'!$I$31,(HLOOKUP($D112,$E$4:$CZ$32,28,FALSE)*'Incremental Repayments'!$I$22)),0),0)</f>
        <v>0</v>
      </c>
      <c r="BX112" s="477">
        <f>IF('Incremental Repayments'!$R$22="Debt",IF(AND(BX$4&gt;=$D112,BX$4&lt;$D112+'Incremental Repayments'!$I$31),-PMT('Interest Rate'!$J$16,'Incremental Repayments'!$I$31,(HLOOKUP($D112,$E$4:$CZ$32,28,FALSE)*'Incremental Repayments'!$I$22)),0),0)</f>
        <v>0</v>
      </c>
      <c r="BY112" s="477">
        <f>IF('Incremental Repayments'!$R$22="Debt",IF(AND(BY$4&gt;=$D112,BY$4&lt;$D112+'Incremental Repayments'!$I$31),-PMT('Interest Rate'!$J$16,'Incremental Repayments'!$I$31,(HLOOKUP($D112,$E$4:$CZ$32,28,FALSE)*'Incremental Repayments'!$I$22)),0),0)</f>
        <v>0</v>
      </c>
      <c r="BZ112" s="477">
        <f>IF('Incremental Repayments'!$R$22="Debt",IF(AND(BZ$4&gt;=$D112,BZ$4&lt;$D112+'Incremental Repayments'!$I$31),-PMT('Interest Rate'!$J$16,'Incremental Repayments'!$I$31,(HLOOKUP($D112,$E$4:$CZ$32,28,FALSE)*'Incremental Repayments'!$I$22)),0),0)</f>
        <v>0</v>
      </c>
      <c r="CA112" s="477">
        <f>IF('Incremental Repayments'!$R$22="Debt",IF(AND(CA$4&gt;=$D112,CA$4&lt;$D112+'Incremental Repayments'!$I$31),-PMT('Interest Rate'!$J$16,'Incremental Repayments'!$I$31,(HLOOKUP($D112,$E$4:$CZ$32,28,FALSE)*'Incremental Repayments'!$I$22)),0),0)</f>
        <v>0</v>
      </c>
      <c r="CB112" s="477">
        <f>IF('Incremental Repayments'!$R$22="Debt",IF(AND(CB$4&gt;=$D112,CB$4&lt;$D112+'Incremental Repayments'!$I$31),-PMT('Interest Rate'!$J$16,'Incremental Repayments'!$I$31,(HLOOKUP($D112,$E$4:$CZ$32,28,FALSE)*'Incremental Repayments'!$I$22)),0),0)</f>
        <v>0</v>
      </c>
      <c r="CC112" s="477">
        <f>IF('Incremental Repayments'!$R$22="Debt",IF(AND(CC$4&gt;=$D112,CC$4&lt;$D112+'Incremental Repayments'!$I$31),-PMT('Interest Rate'!$J$16,'Incremental Repayments'!$I$31,(HLOOKUP($D112,$E$4:$CZ$32,28,FALSE)*'Incremental Repayments'!$I$22)),0),0)</f>
        <v>0</v>
      </c>
      <c r="CD112" s="477">
        <f>IF('Incremental Repayments'!$R$22="Debt",IF(AND(CD$4&gt;=$D112,CD$4&lt;$D112+'Incremental Repayments'!$I$31),-PMT('Interest Rate'!$J$16,'Incremental Repayments'!$I$31,(HLOOKUP($D112,$E$4:$CZ$32,28,FALSE)*'Incremental Repayments'!$I$22)),0),0)</f>
        <v>0</v>
      </c>
      <c r="CE112" s="477">
        <f>IF('Incremental Repayments'!$R$22="Debt",IF(AND(CE$4&gt;=$D112,CE$4&lt;$D112+'Incremental Repayments'!$I$31),-PMT('Interest Rate'!$J$16,'Incremental Repayments'!$I$31,(HLOOKUP($D112,$E$4:$CZ$32,28,FALSE)*'Incremental Repayments'!$I$22)),0),0)</f>
        <v>0</v>
      </c>
      <c r="CF112" s="477">
        <f>IF('Incremental Repayments'!$R$22="Debt",IF(AND(CF$4&gt;=$D112,CF$4&lt;$D112+'Incremental Repayments'!$I$31),-PMT('Interest Rate'!$J$16,'Incremental Repayments'!$I$31,(HLOOKUP($D112,$E$4:$CZ$32,28,FALSE)*'Incremental Repayments'!$I$22)),0),0)</f>
        <v>0</v>
      </c>
      <c r="CG112" s="477">
        <f>IF('Incremental Repayments'!$R$22="Debt",IF(AND(CG$4&gt;=$D112,CG$4&lt;$D112+'Incremental Repayments'!$I$31),-PMT('Interest Rate'!$J$16,'Incremental Repayments'!$I$31,(HLOOKUP($D112,$E$4:$CZ$32,28,FALSE)*'Incremental Repayments'!$I$22)),0),0)</f>
        <v>0</v>
      </c>
      <c r="CH112" s="477">
        <f>IF('Incremental Repayments'!$R$22="Debt",IF(AND(CH$4&gt;=$D112,CH$4&lt;$D112+'Incremental Repayments'!$I$31),-PMT('Interest Rate'!$J$16,'Incremental Repayments'!$I$31,(HLOOKUP($D112,$E$4:$CZ$32,28,FALSE)*'Incremental Repayments'!$I$22)),0),0)</f>
        <v>0</v>
      </c>
      <c r="CI112" s="477">
        <f>IF('Incremental Repayments'!$R$22="Debt",IF(AND(CI$4&gt;=$D112,CI$4&lt;$D112+'Incremental Repayments'!$I$31),-PMT('Interest Rate'!$J$16,'Incremental Repayments'!$I$31,(HLOOKUP($D112,$E$4:$CZ$32,28,FALSE)*'Incremental Repayments'!$I$22)),0),0)</f>
        <v>0</v>
      </c>
      <c r="CJ112" s="477">
        <f>IF('Incremental Repayments'!$R$22="Debt",IF(AND(CJ$4&gt;=$D112,CJ$4&lt;$D112+'Incremental Repayments'!$I$31),-PMT('Interest Rate'!$J$16,'Incremental Repayments'!$I$31,(HLOOKUP($D112,$E$4:$CZ$32,28,FALSE)*'Incremental Repayments'!$I$22)),0),0)</f>
        <v>0</v>
      </c>
      <c r="CK112" s="477">
        <f>IF('Incremental Repayments'!$R$22="Debt",IF(AND(CK$4&gt;=$D112,CK$4&lt;$D112+'Incremental Repayments'!$I$31),-PMT('Interest Rate'!$J$16,'Incremental Repayments'!$I$31,(HLOOKUP($D112,$E$4:$CZ$32,28,FALSE)*'Incremental Repayments'!$I$22)),0),0)</f>
        <v>0</v>
      </c>
      <c r="CL112" s="477">
        <f>IF('Incremental Repayments'!$R$22="Debt",IF(AND(CL$4&gt;=$D112,CL$4&lt;$D112+'Incremental Repayments'!$I$31),-PMT('Interest Rate'!$J$16,'Incremental Repayments'!$I$31,(HLOOKUP($D112,$E$4:$CZ$32,28,FALSE)*'Incremental Repayments'!$I$22)),0),0)</f>
        <v>0</v>
      </c>
      <c r="CM112" s="477">
        <f>IF('Incremental Repayments'!$R$22="Debt",IF(AND(CM$4&gt;=$D112,CM$4&lt;$D112+'Incremental Repayments'!$I$31),-PMT('Interest Rate'!$J$16,'Incremental Repayments'!$I$31,(HLOOKUP($D112,$E$4:$CZ$32,28,FALSE)*'Incremental Repayments'!$I$22)),0),0)</f>
        <v>0</v>
      </c>
      <c r="CN112" s="477">
        <f>IF('Incremental Repayments'!$R$22="Debt",IF(AND(CN$4&gt;=$D112,CN$4&lt;$D112+'Incremental Repayments'!$I$31),-PMT('Interest Rate'!$J$16,'Incremental Repayments'!$I$31,(HLOOKUP($D112,$E$4:$CZ$32,28,FALSE)*'Incremental Repayments'!$I$22)),0),0)</f>
        <v>0</v>
      </c>
      <c r="CO112" s="477">
        <f>IF('Incremental Repayments'!$R$22="Debt",IF(AND(CO$4&gt;=$D112,CO$4&lt;$D112+'Incremental Repayments'!$I$31),-PMT('Interest Rate'!$J$16,'Incremental Repayments'!$I$31,(HLOOKUP($D112,$E$4:$CZ$32,28,FALSE)*'Incremental Repayments'!$I$22)),0),0)</f>
        <v>0</v>
      </c>
      <c r="CP112" s="477">
        <f>IF('Incremental Repayments'!$R$22="Debt",IF(AND(CP$4&gt;=$D112,CP$4&lt;$D112+'Incremental Repayments'!$I$31),-PMT('Interest Rate'!$J$16,'Incremental Repayments'!$I$31,(HLOOKUP($D112,$E$4:$CZ$32,28,FALSE)*'Incremental Repayments'!$I$22)),0),0)</f>
        <v>0</v>
      </c>
      <c r="CQ112" s="477">
        <f>IF('Incremental Repayments'!$R$22="Debt",IF(AND(CQ$4&gt;=$D112,CQ$4&lt;$D112+'Incremental Repayments'!$I$31),-PMT('Interest Rate'!$J$16,'Incremental Repayments'!$I$31,(HLOOKUP($D112,$E$4:$CZ$32,28,FALSE)*'Incremental Repayments'!$I$22)),0),0)</f>
        <v>0</v>
      </c>
      <c r="CR112" s="477">
        <f>IF('Incremental Repayments'!$R$22="Debt",IF(AND(CR$4&gt;=$D112,CR$4&lt;$D112+'Incremental Repayments'!$I$31),-PMT('Interest Rate'!$J$16,'Incremental Repayments'!$I$31,(HLOOKUP($D112,$E$4:$CZ$32,28,FALSE)*'Incremental Repayments'!$I$22)),0),0)</f>
        <v>0</v>
      </c>
      <c r="CS112" s="477">
        <f>IF('Incremental Repayments'!$R$22="Debt",IF(AND(CS$4&gt;=$D112,CS$4&lt;$D112+'Incremental Repayments'!$I$31),-PMT('Interest Rate'!$J$16,'Incremental Repayments'!$I$31,(HLOOKUP($D112,$E$4:$CZ$32,28,FALSE)*'Incremental Repayments'!$I$22)),0),0)</f>
        <v>0</v>
      </c>
      <c r="CT112" s="477">
        <f>IF('Incremental Repayments'!$R$22="Debt",IF(AND(CT$4&gt;=$D112,CT$4&lt;$D112+'Incremental Repayments'!$I$31),-PMT('Interest Rate'!$J$16,'Incremental Repayments'!$I$31,(HLOOKUP($D112,$E$4:$CZ$32,28,FALSE)*'Incremental Repayments'!$I$22)),0),0)</f>
        <v>0</v>
      </c>
      <c r="CU112" s="477">
        <f>IF('Incremental Repayments'!$R$22="Debt",IF(AND(CU$4&gt;=$D112,CU$4&lt;$D112+'Incremental Repayments'!$I$31),-PMT('Interest Rate'!$J$16,'Incremental Repayments'!$I$31,(HLOOKUP($D112,$E$4:$CZ$32,28,FALSE)*'Incremental Repayments'!$I$22)),0),0)</f>
        <v>0</v>
      </c>
      <c r="CV112" s="477">
        <f>IF('Incremental Repayments'!$R$22="Debt",IF(AND(CV$4&gt;=$D112,CV$4&lt;$D112+'Incremental Repayments'!$I$31),-PMT('Interest Rate'!$J$16,'Incremental Repayments'!$I$31,(HLOOKUP($D112,$E$4:$CZ$32,28,FALSE)*'Incremental Repayments'!$I$22)),0),0)</f>
        <v>0</v>
      </c>
      <c r="CW112" s="477">
        <f>IF('Incremental Repayments'!$R$22="Debt",IF(AND(CW$4&gt;=$D112,CW$4&lt;$D112+'Incremental Repayments'!$I$31),-PMT('Interest Rate'!$J$16,'Incremental Repayments'!$I$31,(HLOOKUP($D112,$E$4:$CZ$32,28,FALSE)*'Incremental Repayments'!$I$22)),0),0)</f>
        <v>0</v>
      </c>
      <c r="CX112" s="477">
        <f>IF('Incremental Repayments'!$R$22="Debt",IF(AND(CX$4&gt;=$D112,CX$4&lt;$D112+'Incremental Repayments'!$I$31),-PMT('Interest Rate'!$J$16,'Incremental Repayments'!$I$31,(HLOOKUP($D112,$E$4:$CZ$32,28,FALSE)*'Incremental Repayments'!$I$22)),0),0)</f>
        <v>0</v>
      </c>
      <c r="CY112" s="477">
        <f>IF('Incremental Repayments'!$R$22="Debt",IF(AND(CY$4&gt;=$D112,CY$4&lt;$D112+'Incremental Repayments'!$I$31),-PMT('Interest Rate'!$J$16,'Incremental Repayments'!$I$31,(HLOOKUP($D112,$E$4:$CZ$32,28,FALSE)*'Incremental Repayments'!$I$22)),0),0)</f>
        <v>0</v>
      </c>
      <c r="CZ112" s="477">
        <f>IF('Incremental Repayments'!$R$22="Debt",IF(AND(CZ$4&gt;=$D112,CZ$4&lt;$D112+'Incremental Repayments'!$I$31),-PMT('Interest Rate'!$J$16,'Incremental Repayments'!$I$31,(HLOOKUP($D112,$E$4:$CZ$32,28,FALSE)*'Incremental Repayments'!$I$22)),0),0)</f>
        <v>0</v>
      </c>
    </row>
    <row r="113" spans="1:104" x14ac:dyDescent="0.25">
      <c r="B113" s="480" t="str">
        <f>CONCATENATE("Series ",D113,"A Bonds (at ",'Interest Rate'!$J$16*100,"% Interest)")</f>
        <v>Series 2091A Bonds (at 4.5% Interest)</v>
      </c>
      <c r="C113" s="480"/>
      <c r="D113" s="492">
        <f t="shared" si="496"/>
        <v>2091</v>
      </c>
      <c r="E113" s="477">
        <f>IF('Incremental Repayments'!$R$22="Debt",IF(AND(E$4&gt;=$D113,E$4&lt;$D113+'Incremental Repayments'!$I$31),-PMT('Interest Rate'!$J$16,'Incremental Repayments'!$I$31,(HLOOKUP($D113,$E$4:$CZ$32,28,FALSE)*'Incremental Repayments'!$I$22)),0),0)</f>
        <v>0</v>
      </c>
      <c r="F113" s="477">
        <f>IF('Incremental Repayments'!$R$22="Debt",IF(AND(F$4&gt;=$D113,F$4&lt;$D113+'Incremental Repayments'!$I$31),-PMT('Interest Rate'!$J$16,'Incremental Repayments'!$I$31,(HLOOKUP($D113,$E$4:$CZ$32,28,FALSE)*'Incremental Repayments'!$I$22)),0),0)</f>
        <v>0</v>
      </c>
      <c r="G113" s="477">
        <f>IF('Incremental Repayments'!$R$22="Debt",IF(AND(G$4&gt;=$D113,G$4&lt;$D113+'Incremental Repayments'!$I$31),-PMT('Interest Rate'!$J$16,'Incremental Repayments'!$I$31,(HLOOKUP($D113,$E$4:$CZ$32,28,FALSE)*'Incremental Repayments'!$I$22)),0),0)</f>
        <v>0</v>
      </c>
      <c r="H113" s="477">
        <f>IF('Incremental Repayments'!$R$22="Debt",IF(AND(H$4&gt;=$D113,H$4&lt;$D113+'Incremental Repayments'!$I$31),-PMT('Interest Rate'!$J$16,'Incremental Repayments'!$I$31,(HLOOKUP($D113,$E$4:$CZ$32,28,FALSE)*'Incremental Repayments'!$I$22)),0),0)</f>
        <v>0</v>
      </c>
      <c r="I113" s="477">
        <f>IF('Incremental Repayments'!$R$22="Debt",IF(AND(I$4&gt;=$D113,I$4&lt;$D113+'Incremental Repayments'!$I$31),-PMT('Interest Rate'!$J$16,'Incremental Repayments'!$I$31,(HLOOKUP($D113,$E$4:$CZ$32,28,FALSE)*'Incremental Repayments'!$I$22)),0),0)</f>
        <v>0</v>
      </c>
      <c r="J113" s="477">
        <f>IF('Incremental Repayments'!$R$22="Debt",IF(AND(J$4&gt;=$D113,J$4&lt;$D113+'Incremental Repayments'!$I$31),-PMT('Interest Rate'!$J$16,'Incremental Repayments'!$I$31,(HLOOKUP($D113,$E$4:$CZ$32,28,FALSE)*'Incremental Repayments'!$I$22)),0),0)</f>
        <v>0</v>
      </c>
      <c r="K113" s="477">
        <f>IF('Incremental Repayments'!$R$22="Debt",IF(AND(K$4&gt;=$D113,K$4&lt;$D113+'Incremental Repayments'!$I$31),-PMT('Interest Rate'!$J$16,'Incremental Repayments'!$I$31,(HLOOKUP($D113,$E$4:$CZ$32,28,FALSE)*'Incremental Repayments'!$I$22)),0),0)</f>
        <v>0</v>
      </c>
      <c r="L113" s="477">
        <f>IF('Incremental Repayments'!$R$22="Debt",IF(AND(L$4&gt;=$D113,L$4&lt;$D113+'Incremental Repayments'!$I$31),-PMT('Interest Rate'!$J$16,'Incremental Repayments'!$I$31,(HLOOKUP($D113,$E$4:$CZ$32,28,FALSE)*'Incremental Repayments'!$I$22)),0),0)</f>
        <v>0</v>
      </c>
      <c r="M113" s="477">
        <f>IF('Incremental Repayments'!$R$22="Debt",IF(AND(M$4&gt;=$D113,M$4&lt;$D113+'Incremental Repayments'!$I$31),-PMT('Interest Rate'!$J$16,'Incremental Repayments'!$I$31,(HLOOKUP($D113,$E$4:$CZ$32,28,FALSE)*'Incremental Repayments'!$I$22)),0),0)</f>
        <v>0</v>
      </c>
      <c r="N113" s="477">
        <f>IF('Incremental Repayments'!$R$22="Debt",IF(AND(N$4&gt;=$D113,N$4&lt;$D113+'Incremental Repayments'!$I$31),-PMT('Interest Rate'!$J$16,'Incremental Repayments'!$I$31,(HLOOKUP($D113,$E$4:$CZ$32,28,FALSE)*'Incremental Repayments'!$I$22)),0),0)</f>
        <v>0</v>
      </c>
      <c r="O113" s="477">
        <f>IF('Incremental Repayments'!$R$22="Debt",IF(AND(O$4&gt;=$D113,O$4&lt;$D113+'Incremental Repayments'!$I$31),-PMT('Interest Rate'!$J$16,'Incremental Repayments'!$I$31,(HLOOKUP($D113,$E$4:$CZ$32,28,FALSE)*'Incremental Repayments'!$I$22)),0),0)</f>
        <v>0</v>
      </c>
      <c r="P113" s="477">
        <f>IF('Incremental Repayments'!$R$22="Debt",IF(AND(P$4&gt;=$D113,P$4&lt;$D113+'Incremental Repayments'!$I$31),-PMT('Interest Rate'!$J$16,'Incremental Repayments'!$I$31,(HLOOKUP($D113,$E$4:$CZ$32,28,FALSE)*'Incremental Repayments'!$I$22)),0),0)</f>
        <v>0</v>
      </c>
      <c r="Q113" s="477">
        <f>IF('Incremental Repayments'!$R$22="Debt",IF(AND(Q$4&gt;=$D113,Q$4&lt;$D113+'Incremental Repayments'!$I$31),-PMT('Interest Rate'!$J$16,'Incremental Repayments'!$I$31,(HLOOKUP($D113,$E$4:$CZ$32,28,FALSE)*'Incremental Repayments'!$I$22)),0),0)</f>
        <v>0</v>
      </c>
      <c r="R113" s="477">
        <f>IF('Incremental Repayments'!$R$22="Debt",IF(AND(R$4&gt;=$D113,R$4&lt;$D113+'Incremental Repayments'!$I$31),-PMT('Interest Rate'!$J$16,'Incremental Repayments'!$I$31,(HLOOKUP($D113,$E$4:$CZ$32,28,FALSE)*'Incremental Repayments'!$I$22)),0),0)</f>
        <v>0</v>
      </c>
      <c r="S113" s="477">
        <f>IF('Incremental Repayments'!$R$22="Debt",IF(AND(S$4&gt;=$D113,S$4&lt;$D113+'Incremental Repayments'!$I$31),-PMT('Interest Rate'!$J$16,'Incremental Repayments'!$I$31,(HLOOKUP($D113,$E$4:$CZ$32,28,FALSE)*'Incremental Repayments'!$I$22)),0),0)</f>
        <v>0</v>
      </c>
      <c r="T113" s="477">
        <f>IF('Incremental Repayments'!$R$22="Debt",IF(AND(T$4&gt;=$D113,T$4&lt;$D113+'Incremental Repayments'!$I$31),-PMT('Interest Rate'!$J$16,'Incremental Repayments'!$I$31,(HLOOKUP($D113,$E$4:$CZ$32,28,FALSE)*'Incremental Repayments'!$I$22)),0),0)</f>
        <v>0</v>
      </c>
      <c r="U113" s="477">
        <f>IF('Incremental Repayments'!$R$22="Debt",IF(AND(U$4&gt;=$D113,U$4&lt;$D113+'Incremental Repayments'!$I$31),-PMT('Interest Rate'!$J$16,'Incremental Repayments'!$I$31,(HLOOKUP($D113,$E$4:$CZ$32,28,FALSE)*'Incremental Repayments'!$I$22)),0),0)</f>
        <v>0</v>
      </c>
      <c r="V113" s="477">
        <f>IF('Incremental Repayments'!$R$22="Debt",IF(AND(V$4&gt;=$D113,V$4&lt;$D113+'Incremental Repayments'!$I$31),-PMT('Interest Rate'!$J$16,'Incremental Repayments'!$I$31,(HLOOKUP($D113,$E$4:$CZ$32,28,FALSE)*'Incremental Repayments'!$I$22)),0),0)</f>
        <v>0</v>
      </c>
      <c r="W113" s="477">
        <f>IF('Incremental Repayments'!$R$22="Debt",IF(AND(W$4&gt;=$D113,W$4&lt;$D113+'Incremental Repayments'!$I$31),-PMT('Interest Rate'!$J$16,'Incremental Repayments'!$I$31,(HLOOKUP($D113,$E$4:$CZ$32,28,FALSE)*'Incremental Repayments'!$I$22)),0),0)</f>
        <v>0</v>
      </c>
      <c r="X113" s="477">
        <f>IF('Incremental Repayments'!$R$22="Debt",IF(AND(X$4&gt;=$D113,X$4&lt;$D113+'Incremental Repayments'!$I$31),-PMT('Interest Rate'!$J$16,'Incremental Repayments'!$I$31,(HLOOKUP($D113,$E$4:$CZ$32,28,FALSE)*'Incremental Repayments'!$I$22)),0),0)</f>
        <v>0</v>
      </c>
      <c r="Y113" s="477">
        <f>IF('Incremental Repayments'!$R$22="Debt",IF(AND(Y$4&gt;=$D113,Y$4&lt;$D113+'Incremental Repayments'!$I$31),-PMT('Interest Rate'!$J$16,'Incremental Repayments'!$I$31,(HLOOKUP($D113,$E$4:$CZ$32,28,FALSE)*'Incremental Repayments'!$I$22)),0),0)</f>
        <v>0</v>
      </c>
      <c r="Z113" s="477">
        <f>IF('Incremental Repayments'!$R$22="Debt",IF(AND(Z$4&gt;=$D113,Z$4&lt;$D113+'Incremental Repayments'!$I$31),-PMT('Interest Rate'!$J$16,'Incremental Repayments'!$I$31,(HLOOKUP($D113,$E$4:$CZ$32,28,FALSE)*'Incremental Repayments'!$I$22)),0),0)</f>
        <v>0</v>
      </c>
      <c r="AA113" s="477">
        <f>IF('Incremental Repayments'!$R$22="Debt",IF(AND(AA$4&gt;=$D113,AA$4&lt;$D113+'Incremental Repayments'!$I$31),-PMT('Interest Rate'!$J$16,'Incremental Repayments'!$I$31,(HLOOKUP($D113,$E$4:$CZ$32,28,FALSE)*'Incremental Repayments'!$I$22)),0),0)</f>
        <v>0</v>
      </c>
      <c r="AB113" s="477">
        <f>IF('Incremental Repayments'!$R$22="Debt",IF(AND(AB$4&gt;=$D113,AB$4&lt;$D113+'Incremental Repayments'!$I$31),-PMT('Interest Rate'!$J$16,'Incremental Repayments'!$I$31,(HLOOKUP($D113,$E$4:$CZ$32,28,FALSE)*'Incremental Repayments'!$I$22)),0),0)</f>
        <v>0</v>
      </c>
      <c r="AC113" s="477">
        <f>IF('Incremental Repayments'!$R$22="Debt",IF(AND(AC$4&gt;=$D113,AC$4&lt;$D113+'Incremental Repayments'!$I$31),-PMT('Interest Rate'!$J$16,'Incremental Repayments'!$I$31,(HLOOKUP($D113,$E$4:$CZ$32,28,FALSE)*'Incremental Repayments'!$I$22)),0),0)</f>
        <v>0</v>
      </c>
      <c r="AD113" s="477">
        <f>IF('Incremental Repayments'!$R$22="Debt",IF(AND(AD$4&gt;=$D113,AD$4&lt;$D113+'Incremental Repayments'!$I$31),-PMT('Interest Rate'!$J$16,'Incremental Repayments'!$I$31,(HLOOKUP($D113,$E$4:$CZ$32,28,FALSE)*'Incremental Repayments'!$I$22)),0),0)</f>
        <v>0</v>
      </c>
      <c r="AE113" s="477">
        <f>IF('Incremental Repayments'!$R$22="Debt",IF(AND(AE$4&gt;=$D113,AE$4&lt;$D113+'Incremental Repayments'!$I$31),-PMT('Interest Rate'!$J$16,'Incremental Repayments'!$I$31,(HLOOKUP($D113,$E$4:$CZ$32,28,FALSE)*'Incremental Repayments'!$I$22)),0),0)</f>
        <v>0</v>
      </c>
      <c r="AF113" s="477">
        <f>IF('Incremental Repayments'!$R$22="Debt",IF(AND(AF$4&gt;=$D113,AF$4&lt;$D113+'Incremental Repayments'!$I$31),-PMT('Interest Rate'!$J$16,'Incremental Repayments'!$I$31,(HLOOKUP($D113,$E$4:$CZ$32,28,FALSE)*'Incremental Repayments'!$I$22)),0),0)</f>
        <v>0</v>
      </c>
      <c r="AG113" s="477">
        <f>IF('Incremental Repayments'!$R$22="Debt",IF(AND(AG$4&gt;=$D113,AG$4&lt;$D113+'Incremental Repayments'!$I$31),-PMT('Interest Rate'!$J$16,'Incremental Repayments'!$I$31,(HLOOKUP($D113,$E$4:$CZ$32,28,FALSE)*'Incremental Repayments'!$I$22)),0),0)</f>
        <v>0</v>
      </c>
      <c r="AH113" s="477">
        <f>IF('Incremental Repayments'!$R$22="Debt",IF(AND(AH$4&gt;=$D113,AH$4&lt;$D113+'Incremental Repayments'!$I$31),-PMT('Interest Rate'!$J$16,'Incremental Repayments'!$I$31,(HLOOKUP($D113,$E$4:$CZ$32,28,FALSE)*'Incremental Repayments'!$I$22)),0),0)</f>
        <v>0</v>
      </c>
      <c r="AI113" s="477">
        <f>IF('Incremental Repayments'!$R$22="Debt",IF(AND(AI$4&gt;=$D113,AI$4&lt;$D113+'Incremental Repayments'!$I$31),-PMT('Interest Rate'!$J$16,'Incremental Repayments'!$I$31,(HLOOKUP($D113,$E$4:$CZ$32,28,FALSE)*'Incremental Repayments'!$I$22)),0),0)</f>
        <v>0</v>
      </c>
      <c r="AJ113" s="477">
        <f>IF('Incremental Repayments'!$R$22="Debt",IF(AND(AJ$4&gt;=$D113,AJ$4&lt;$D113+'Incremental Repayments'!$I$31),-PMT('Interest Rate'!$J$16,'Incremental Repayments'!$I$31,(HLOOKUP($D113,$E$4:$CZ$32,28,FALSE)*'Incremental Repayments'!$I$22)),0),0)</f>
        <v>0</v>
      </c>
      <c r="AK113" s="477">
        <f>IF('Incremental Repayments'!$R$22="Debt",IF(AND(AK$4&gt;=$D113,AK$4&lt;$D113+'Incremental Repayments'!$I$31),-PMT('Interest Rate'!$J$16,'Incremental Repayments'!$I$31,(HLOOKUP($D113,$E$4:$CZ$32,28,FALSE)*'Incremental Repayments'!$I$22)),0),0)</f>
        <v>0</v>
      </c>
      <c r="AL113" s="477">
        <f>IF('Incremental Repayments'!$R$22="Debt",IF(AND(AL$4&gt;=$D113,AL$4&lt;$D113+'Incremental Repayments'!$I$31),-PMT('Interest Rate'!$J$16,'Incremental Repayments'!$I$31,(HLOOKUP($D113,$E$4:$CZ$32,28,FALSE)*'Incremental Repayments'!$I$22)),0),0)</f>
        <v>0</v>
      </c>
      <c r="AM113" s="477">
        <f>IF('Incremental Repayments'!$R$22="Debt",IF(AND(AM$4&gt;=$D113,AM$4&lt;$D113+'Incremental Repayments'!$I$31),-PMT('Interest Rate'!$J$16,'Incremental Repayments'!$I$31,(HLOOKUP($D113,$E$4:$CZ$32,28,FALSE)*'Incremental Repayments'!$I$22)),0),0)</f>
        <v>0</v>
      </c>
      <c r="AN113" s="477">
        <f>IF('Incremental Repayments'!$R$22="Debt",IF(AND(AN$4&gt;=$D113,AN$4&lt;$D113+'Incremental Repayments'!$I$31),-PMT('Interest Rate'!$J$16,'Incremental Repayments'!$I$31,(HLOOKUP($D113,$E$4:$CZ$32,28,FALSE)*'Incremental Repayments'!$I$22)),0),0)</f>
        <v>0</v>
      </c>
      <c r="AO113" s="477">
        <f>IF('Incremental Repayments'!$R$22="Debt",IF(AND(AO$4&gt;=$D113,AO$4&lt;$D113+'Incremental Repayments'!$I$31),-PMT('Interest Rate'!$J$16,'Incremental Repayments'!$I$31,(HLOOKUP($D113,$E$4:$CZ$32,28,FALSE)*'Incremental Repayments'!$I$22)),0),0)</f>
        <v>0</v>
      </c>
      <c r="AP113" s="477">
        <f>IF('Incremental Repayments'!$R$22="Debt",IF(AND(AP$4&gt;=$D113,AP$4&lt;$D113+'Incremental Repayments'!$I$31),-PMT('Interest Rate'!$J$16,'Incremental Repayments'!$I$31,(HLOOKUP($D113,$E$4:$CZ$32,28,FALSE)*'Incremental Repayments'!$I$22)),0),0)</f>
        <v>0</v>
      </c>
      <c r="AQ113" s="477">
        <f>IF('Incremental Repayments'!$R$22="Debt",IF(AND(AQ$4&gt;=$D113,AQ$4&lt;$D113+'Incremental Repayments'!$I$31),-PMT('Interest Rate'!$J$16,'Incremental Repayments'!$I$31,(HLOOKUP($D113,$E$4:$CZ$32,28,FALSE)*'Incremental Repayments'!$I$22)),0),0)</f>
        <v>0</v>
      </c>
      <c r="AR113" s="477">
        <f>IF('Incremental Repayments'!$R$22="Debt",IF(AND(AR$4&gt;=$D113,AR$4&lt;$D113+'Incremental Repayments'!$I$31),-PMT('Interest Rate'!$J$16,'Incremental Repayments'!$I$31,(HLOOKUP($D113,$E$4:$CZ$32,28,FALSE)*'Incremental Repayments'!$I$22)),0),0)</f>
        <v>0</v>
      </c>
      <c r="AS113" s="477">
        <f>IF('Incremental Repayments'!$R$22="Debt",IF(AND(AS$4&gt;=$D113,AS$4&lt;$D113+'Incremental Repayments'!$I$31),-PMT('Interest Rate'!$J$16,'Incremental Repayments'!$I$31,(HLOOKUP($D113,$E$4:$CZ$32,28,FALSE)*'Incremental Repayments'!$I$22)),0),0)</f>
        <v>0</v>
      </c>
      <c r="AT113" s="477">
        <f>IF('Incremental Repayments'!$R$22="Debt",IF(AND(AT$4&gt;=$D113,AT$4&lt;$D113+'Incremental Repayments'!$I$31),-PMT('Interest Rate'!$J$16,'Incremental Repayments'!$I$31,(HLOOKUP($D113,$E$4:$CZ$32,28,FALSE)*'Incremental Repayments'!$I$22)),0),0)</f>
        <v>0</v>
      </c>
      <c r="AU113" s="477">
        <f>IF('Incremental Repayments'!$R$22="Debt",IF(AND(AU$4&gt;=$D113,AU$4&lt;$D113+'Incremental Repayments'!$I$31),-PMT('Interest Rate'!$J$16,'Incremental Repayments'!$I$31,(HLOOKUP($D113,$E$4:$CZ$32,28,FALSE)*'Incremental Repayments'!$I$22)),0),0)</f>
        <v>0</v>
      </c>
      <c r="AV113" s="477">
        <f>IF('Incremental Repayments'!$R$22="Debt",IF(AND(AV$4&gt;=$D113,AV$4&lt;$D113+'Incremental Repayments'!$I$31),-PMT('Interest Rate'!$J$16,'Incremental Repayments'!$I$31,(HLOOKUP($D113,$E$4:$CZ$32,28,FALSE)*'Incremental Repayments'!$I$22)),0),0)</f>
        <v>0</v>
      </c>
      <c r="AW113" s="477">
        <f>IF('Incremental Repayments'!$R$22="Debt",IF(AND(AW$4&gt;=$D113,AW$4&lt;$D113+'Incremental Repayments'!$I$31),-PMT('Interest Rate'!$J$16,'Incremental Repayments'!$I$31,(HLOOKUP($D113,$E$4:$CZ$32,28,FALSE)*'Incremental Repayments'!$I$22)),0),0)</f>
        <v>0</v>
      </c>
      <c r="AX113" s="477">
        <f>IF('Incremental Repayments'!$R$22="Debt",IF(AND(AX$4&gt;=$D113,AX$4&lt;$D113+'Incremental Repayments'!$I$31),-PMT('Interest Rate'!$J$16,'Incremental Repayments'!$I$31,(HLOOKUP($D113,$E$4:$CZ$32,28,FALSE)*'Incremental Repayments'!$I$22)),0),0)</f>
        <v>0</v>
      </c>
      <c r="AY113" s="477">
        <f>IF('Incremental Repayments'!$R$22="Debt",IF(AND(AY$4&gt;=$D113,AY$4&lt;$D113+'Incremental Repayments'!$I$31),-PMT('Interest Rate'!$J$16,'Incremental Repayments'!$I$31,(HLOOKUP($D113,$E$4:$CZ$32,28,FALSE)*'Incremental Repayments'!$I$22)),0),0)</f>
        <v>0</v>
      </c>
      <c r="AZ113" s="477">
        <f>IF('Incremental Repayments'!$R$22="Debt",IF(AND(AZ$4&gt;=$D113,AZ$4&lt;$D113+'Incremental Repayments'!$I$31),-PMT('Interest Rate'!$J$16,'Incremental Repayments'!$I$31,(HLOOKUP($D113,$E$4:$CZ$32,28,FALSE)*'Incremental Repayments'!$I$22)),0),0)</f>
        <v>0</v>
      </c>
      <c r="BA113" s="477">
        <f>IF('Incremental Repayments'!$R$22="Debt",IF(AND(BA$4&gt;=$D113,BA$4&lt;$D113+'Incremental Repayments'!$I$31),-PMT('Interest Rate'!$J$16,'Incremental Repayments'!$I$31,(HLOOKUP($D113,$E$4:$CZ$32,28,FALSE)*'Incremental Repayments'!$I$22)),0),0)</f>
        <v>0</v>
      </c>
      <c r="BB113" s="477">
        <f>IF('Incremental Repayments'!$R$22="Debt",IF(AND(BB$4&gt;=$D113,BB$4&lt;$D113+'Incremental Repayments'!$I$31),-PMT('Interest Rate'!$J$16,'Incremental Repayments'!$I$31,(HLOOKUP($D113,$E$4:$CZ$32,28,FALSE)*'Incremental Repayments'!$I$22)),0),0)</f>
        <v>0</v>
      </c>
      <c r="BC113" s="477">
        <f>IF('Incremental Repayments'!$R$22="Debt",IF(AND(BC$4&gt;=$D113,BC$4&lt;$D113+'Incremental Repayments'!$I$31),-PMT('Interest Rate'!$J$16,'Incremental Repayments'!$I$31,(HLOOKUP($D113,$E$4:$CZ$32,28,FALSE)*'Incremental Repayments'!$I$22)),0),0)</f>
        <v>0</v>
      </c>
      <c r="BD113" s="477">
        <f>IF('Incremental Repayments'!$R$22="Debt",IF(AND(BD$4&gt;=$D113,BD$4&lt;$D113+'Incremental Repayments'!$I$31),-PMT('Interest Rate'!$J$16,'Incremental Repayments'!$I$31,(HLOOKUP($D113,$E$4:$CZ$32,28,FALSE)*'Incremental Repayments'!$I$22)),0),0)</f>
        <v>0</v>
      </c>
      <c r="BE113" s="477">
        <f>IF('Incremental Repayments'!$R$22="Debt",IF(AND(BE$4&gt;=$D113,BE$4&lt;$D113+'Incremental Repayments'!$I$31),-PMT('Interest Rate'!$J$16,'Incremental Repayments'!$I$31,(HLOOKUP($D113,$E$4:$CZ$32,28,FALSE)*'Incremental Repayments'!$I$22)),0),0)</f>
        <v>0</v>
      </c>
      <c r="BF113" s="477">
        <f>IF('Incremental Repayments'!$R$22="Debt",IF(AND(BF$4&gt;=$D113,BF$4&lt;$D113+'Incremental Repayments'!$I$31),-PMT('Interest Rate'!$J$16,'Incremental Repayments'!$I$31,(HLOOKUP($D113,$E$4:$CZ$32,28,FALSE)*'Incremental Repayments'!$I$22)),0),0)</f>
        <v>0</v>
      </c>
      <c r="BG113" s="477">
        <f>IF('Incremental Repayments'!$R$22="Debt",IF(AND(BG$4&gt;=$D113,BG$4&lt;$D113+'Incremental Repayments'!$I$31),-PMT('Interest Rate'!$J$16,'Incremental Repayments'!$I$31,(HLOOKUP($D113,$E$4:$CZ$32,28,FALSE)*'Incremental Repayments'!$I$22)),0),0)</f>
        <v>0</v>
      </c>
      <c r="BH113" s="477">
        <f>IF('Incremental Repayments'!$R$22="Debt",IF(AND(BH$4&gt;=$D113,BH$4&lt;$D113+'Incremental Repayments'!$I$31),-PMT('Interest Rate'!$J$16,'Incremental Repayments'!$I$31,(HLOOKUP($D113,$E$4:$CZ$32,28,FALSE)*'Incremental Repayments'!$I$22)),0),0)</f>
        <v>0</v>
      </c>
      <c r="BI113" s="477">
        <f>IF('Incremental Repayments'!$R$22="Debt",IF(AND(BI$4&gt;=$D113,BI$4&lt;$D113+'Incremental Repayments'!$I$31),-PMT('Interest Rate'!$J$16,'Incremental Repayments'!$I$31,(HLOOKUP($D113,$E$4:$CZ$32,28,FALSE)*'Incremental Repayments'!$I$22)),0),0)</f>
        <v>0</v>
      </c>
      <c r="BJ113" s="477">
        <f>IF('Incremental Repayments'!$R$22="Debt",IF(AND(BJ$4&gt;=$D113,BJ$4&lt;$D113+'Incremental Repayments'!$I$31),-PMT('Interest Rate'!$J$16,'Incremental Repayments'!$I$31,(HLOOKUP($D113,$E$4:$CZ$32,28,FALSE)*'Incremental Repayments'!$I$22)),0),0)</f>
        <v>0</v>
      </c>
      <c r="BK113" s="477">
        <f>IF('Incremental Repayments'!$R$22="Debt",IF(AND(BK$4&gt;=$D113,BK$4&lt;$D113+'Incremental Repayments'!$I$31),-PMT('Interest Rate'!$J$16,'Incremental Repayments'!$I$31,(HLOOKUP($D113,$E$4:$CZ$32,28,FALSE)*'Incremental Repayments'!$I$22)),0),0)</f>
        <v>0</v>
      </c>
      <c r="BL113" s="477">
        <f>IF('Incremental Repayments'!$R$22="Debt",IF(AND(BL$4&gt;=$D113,BL$4&lt;$D113+'Incremental Repayments'!$I$31),-PMT('Interest Rate'!$J$16,'Incremental Repayments'!$I$31,(HLOOKUP($D113,$E$4:$CZ$32,28,FALSE)*'Incremental Repayments'!$I$22)),0),0)</f>
        <v>0</v>
      </c>
      <c r="BM113" s="477">
        <f>IF('Incremental Repayments'!$R$22="Debt",IF(AND(BM$4&gt;=$D113,BM$4&lt;$D113+'Incremental Repayments'!$I$31),-PMT('Interest Rate'!$J$16,'Incremental Repayments'!$I$31,(HLOOKUP($D113,$E$4:$CZ$32,28,FALSE)*'Incremental Repayments'!$I$22)),0),0)</f>
        <v>0</v>
      </c>
      <c r="BN113" s="477">
        <f>IF('Incremental Repayments'!$R$22="Debt",IF(AND(BN$4&gt;=$D113,BN$4&lt;$D113+'Incremental Repayments'!$I$31),-PMT('Interest Rate'!$J$16,'Incremental Repayments'!$I$31,(HLOOKUP($D113,$E$4:$CZ$32,28,FALSE)*'Incremental Repayments'!$I$22)),0),0)</f>
        <v>0</v>
      </c>
      <c r="BO113" s="477">
        <f>IF('Incremental Repayments'!$R$22="Debt",IF(AND(BO$4&gt;=$D113,BO$4&lt;$D113+'Incremental Repayments'!$I$31),-PMT('Interest Rate'!$J$16,'Incremental Repayments'!$I$31,(HLOOKUP($D113,$E$4:$CZ$32,28,FALSE)*'Incremental Repayments'!$I$22)),0),0)</f>
        <v>0</v>
      </c>
      <c r="BP113" s="477">
        <f>IF('Incremental Repayments'!$R$22="Debt",IF(AND(BP$4&gt;=$D113,BP$4&lt;$D113+'Incremental Repayments'!$I$31),-PMT('Interest Rate'!$J$16,'Incremental Repayments'!$I$31,(HLOOKUP($D113,$E$4:$CZ$32,28,FALSE)*'Incremental Repayments'!$I$22)),0),0)</f>
        <v>0</v>
      </c>
      <c r="BQ113" s="477">
        <f>IF('Incremental Repayments'!$R$22="Debt",IF(AND(BQ$4&gt;=$D113,BQ$4&lt;$D113+'Incremental Repayments'!$I$31),-PMT('Interest Rate'!$J$16,'Incremental Repayments'!$I$31,(HLOOKUP($D113,$E$4:$CZ$32,28,FALSE)*'Incremental Repayments'!$I$22)),0),0)</f>
        <v>0</v>
      </c>
      <c r="BR113" s="477">
        <f>IF('Incremental Repayments'!$R$22="Debt",IF(AND(BR$4&gt;=$D113,BR$4&lt;$D113+'Incremental Repayments'!$I$31),-PMT('Interest Rate'!$J$16,'Incremental Repayments'!$I$31,(HLOOKUP($D113,$E$4:$CZ$32,28,FALSE)*'Incremental Repayments'!$I$22)),0),0)</f>
        <v>0</v>
      </c>
      <c r="BS113" s="477">
        <f>IF('Incremental Repayments'!$R$22="Debt",IF(AND(BS$4&gt;=$D113,BS$4&lt;$D113+'Incremental Repayments'!$I$31),-PMT('Interest Rate'!$J$16,'Incremental Repayments'!$I$31,(HLOOKUP($D113,$E$4:$CZ$32,28,FALSE)*'Incremental Repayments'!$I$22)),0),0)</f>
        <v>0</v>
      </c>
      <c r="BT113" s="477">
        <f>IF('Incremental Repayments'!$R$22="Debt",IF(AND(BT$4&gt;=$D113,BT$4&lt;$D113+'Incremental Repayments'!$I$31),-PMT('Interest Rate'!$J$16,'Incremental Repayments'!$I$31,(HLOOKUP($D113,$E$4:$CZ$32,28,FALSE)*'Incremental Repayments'!$I$22)),0),0)</f>
        <v>0</v>
      </c>
      <c r="BU113" s="477">
        <f>IF('Incremental Repayments'!$R$22="Debt",IF(AND(BU$4&gt;=$D113,BU$4&lt;$D113+'Incremental Repayments'!$I$31),-PMT('Interest Rate'!$J$16,'Incremental Repayments'!$I$31,(HLOOKUP($D113,$E$4:$CZ$32,28,FALSE)*'Incremental Repayments'!$I$22)),0),0)</f>
        <v>0</v>
      </c>
      <c r="BV113" s="477">
        <f>IF('Incremental Repayments'!$R$22="Debt",IF(AND(BV$4&gt;=$D113,BV$4&lt;$D113+'Incremental Repayments'!$I$31),-PMT('Interest Rate'!$J$16,'Incremental Repayments'!$I$31,(HLOOKUP($D113,$E$4:$CZ$32,28,FALSE)*'Incremental Repayments'!$I$22)),0),0)</f>
        <v>0</v>
      </c>
      <c r="BW113" s="477">
        <f>IF('Incremental Repayments'!$R$22="Debt",IF(AND(BW$4&gt;=$D113,BW$4&lt;$D113+'Incremental Repayments'!$I$31),-PMT('Interest Rate'!$J$16,'Incremental Repayments'!$I$31,(HLOOKUP($D113,$E$4:$CZ$32,28,FALSE)*'Incremental Repayments'!$I$22)),0),0)</f>
        <v>0</v>
      </c>
      <c r="BX113" s="477">
        <f>IF('Incremental Repayments'!$R$22="Debt",IF(AND(BX$4&gt;=$D113,BX$4&lt;$D113+'Incremental Repayments'!$I$31),-PMT('Interest Rate'!$J$16,'Incremental Repayments'!$I$31,(HLOOKUP($D113,$E$4:$CZ$32,28,FALSE)*'Incremental Repayments'!$I$22)),0),0)</f>
        <v>0</v>
      </c>
      <c r="BY113" s="477">
        <f>IF('Incremental Repayments'!$R$22="Debt",IF(AND(BY$4&gt;=$D113,BY$4&lt;$D113+'Incremental Repayments'!$I$31),-PMT('Interest Rate'!$J$16,'Incremental Repayments'!$I$31,(HLOOKUP($D113,$E$4:$CZ$32,28,FALSE)*'Incremental Repayments'!$I$22)),0),0)</f>
        <v>0</v>
      </c>
      <c r="BZ113" s="477">
        <f>IF('Incremental Repayments'!$R$22="Debt",IF(AND(BZ$4&gt;=$D113,BZ$4&lt;$D113+'Incremental Repayments'!$I$31),-PMT('Interest Rate'!$J$16,'Incremental Repayments'!$I$31,(HLOOKUP($D113,$E$4:$CZ$32,28,FALSE)*'Incremental Repayments'!$I$22)),0),0)</f>
        <v>0</v>
      </c>
      <c r="CA113" s="477">
        <f>IF('Incremental Repayments'!$R$22="Debt",IF(AND(CA$4&gt;=$D113,CA$4&lt;$D113+'Incremental Repayments'!$I$31),-PMT('Interest Rate'!$J$16,'Incremental Repayments'!$I$31,(HLOOKUP($D113,$E$4:$CZ$32,28,FALSE)*'Incremental Repayments'!$I$22)),0),0)</f>
        <v>0</v>
      </c>
      <c r="CB113" s="477">
        <f>IF('Incremental Repayments'!$R$22="Debt",IF(AND(CB$4&gt;=$D113,CB$4&lt;$D113+'Incremental Repayments'!$I$31),-PMT('Interest Rate'!$J$16,'Incremental Repayments'!$I$31,(HLOOKUP($D113,$E$4:$CZ$32,28,FALSE)*'Incremental Repayments'!$I$22)),0),0)</f>
        <v>0</v>
      </c>
      <c r="CC113" s="477">
        <f>IF('Incremental Repayments'!$R$22="Debt",IF(AND(CC$4&gt;=$D113,CC$4&lt;$D113+'Incremental Repayments'!$I$31),-PMT('Interest Rate'!$J$16,'Incremental Repayments'!$I$31,(HLOOKUP($D113,$E$4:$CZ$32,28,FALSE)*'Incremental Repayments'!$I$22)),0),0)</f>
        <v>0</v>
      </c>
      <c r="CD113" s="477">
        <f>IF('Incremental Repayments'!$R$22="Debt",IF(AND(CD$4&gt;=$D113,CD$4&lt;$D113+'Incremental Repayments'!$I$31),-PMT('Interest Rate'!$J$16,'Incremental Repayments'!$I$31,(HLOOKUP($D113,$E$4:$CZ$32,28,FALSE)*'Incremental Repayments'!$I$22)),0),0)</f>
        <v>0</v>
      </c>
      <c r="CE113" s="477">
        <f>IF('Incremental Repayments'!$R$22="Debt",IF(AND(CE$4&gt;=$D113,CE$4&lt;$D113+'Incremental Repayments'!$I$31),-PMT('Interest Rate'!$J$16,'Incremental Repayments'!$I$31,(HLOOKUP($D113,$E$4:$CZ$32,28,FALSE)*'Incremental Repayments'!$I$22)),0),0)</f>
        <v>0</v>
      </c>
      <c r="CF113" s="477">
        <f>IF('Incremental Repayments'!$R$22="Debt",IF(AND(CF$4&gt;=$D113,CF$4&lt;$D113+'Incremental Repayments'!$I$31),-PMT('Interest Rate'!$J$16,'Incremental Repayments'!$I$31,(HLOOKUP($D113,$E$4:$CZ$32,28,FALSE)*'Incremental Repayments'!$I$22)),0),0)</f>
        <v>0</v>
      </c>
      <c r="CG113" s="477">
        <f>IF('Incremental Repayments'!$R$22="Debt",IF(AND(CG$4&gt;=$D113,CG$4&lt;$D113+'Incremental Repayments'!$I$31),-PMT('Interest Rate'!$J$16,'Incremental Repayments'!$I$31,(HLOOKUP($D113,$E$4:$CZ$32,28,FALSE)*'Incremental Repayments'!$I$22)),0),0)</f>
        <v>0</v>
      </c>
      <c r="CH113" s="477">
        <f>IF('Incremental Repayments'!$R$22="Debt",IF(AND(CH$4&gt;=$D113,CH$4&lt;$D113+'Incremental Repayments'!$I$31),-PMT('Interest Rate'!$J$16,'Incremental Repayments'!$I$31,(HLOOKUP($D113,$E$4:$CZ$32,28,FALSE)*'Incremental Repayments'!$I$22)),0),0)</f>
        <v>0</v>
      </c>
      <c r="CI113" s="477">
        <f>IF('Incremental Repayments'!$R$22="Debt",IF(AND(CI$4&gt;=$D113,CI$4&lt;$D113+'Incremental Repayments'!$I$31),-PMT('Interest Rate'!$J$16,'Incremental Repayments'!$I$31,(HLOOKUP($D113,$E$4:$CZ$32,28,FALSE)*'Incremental Repayments'!$I$22)),0),0)</f>
        <v>0</v>
      </c>
      <c r="CJ113" s="477">
        <f>IF('Incremental Repayments'!$R$22="Debt",IF(AND(CJ$4&gt;=$D113,CJ$4&lt;$D113+'Incremental Repayments'!$I$31),-PMT('Interest Rate'!$J$16,'Incremental Repayments'!$I$31,(HLOOKUP($D113,$E$4:$CZ$32,28,FALSE)*'Incremental Repayments'!$I$22)),0),0)</f>
        <v>0</v>
      </c>
      <c r="CK113" s="477">
        <f>IF('Incremental Repayments'!$R$22="Debt",IF(AND(CK$4&gt;=$D113,CK$4&lt;$D113+'Incremental Repayments'!$I$31),-PMT('Interest Rate'!$J$16,'Incremental Repayments'!$I$31,(HLOOKUP($D113,$E$4:$CZ$32,28,FALSE)*'Incremental Repayments'!$I$22)),0),0)</f>
        <v>0</v>
      </c>
      <c r="CL113" s="477">
        <f>IF('Incremental Repayments'!$R$22="Debt",IF(AND(CL$4&gt;=$D113,CL$4&lt;$D113+'Incremental Repayments'!$I$31),-PMT('Interest Rate'!$J$16,'Incremental Repayments'!$I$31,(HLOOKUP($D113,$E$4:$CZ$32,28,FALSE)*'Incremental Repayments'!$I$22)),0),0)</f>
        <v>0</v>
      </c>
      <c r="CM113" s="477">
        <f>IF('Incremental Repayments'!$R$22="Debt",IF(AND(CM$4&gt;=$D113,CM$4&lt;$D113+'Incremental Repayments'!$I$31),-PMT('Interest Rate'!$J$16,'Incremental Repayments'!$I$31,(HLOOKUP($D113,$E$4:$CZ$32,28,FALSE)*'Incremental Repayments'!$I$22)),0),0)</f>
        <v>0</v>
      </c>
      <c r="CN113" s="477">
        <f>IF('Incremental Repayments'!$R$22="Debt",IF(AND(CN$4&gt;=$D113,CN$4&lt;$D113+'Incremental Repayments'!$I$31),-PMT('Interest Rate'!$J$16,'Incremental Repayments'!$I$31,(HLOOKUP($D113,$E$4:$CZ$32,28,FALSE)*'Incremental Repayments'!$I$22)),0),0)</f>
        <v>0</v>
      </c>
      <c r="CO113" s="477">
        <f>IF('Incremental Repayments'!$R$22="Debt",IF(AND(CO$4&gt;=$D113,CO$4&lt;$D113+'Incremental Repayments'!$I$31),-PMT('Interest Rate'!$J$16,'Incremental Repayments'!$I$31,(HLOOKUP($D113,$E$4:$CZ$32,28,FALSE)*'Incremental Repayments'!$I$22)),0),0)</f>
        <v>0</v>
      </c>
      <c r="CP113" s="477">
        <f>IF('Incremental Repayments'!$R$22="Debt",IF(AND(CP$4&gt;=$D113,CP$4&lt;$D113+'Incremental Repayments'!$I$31),-PMT('Interest Rate'!$J$16,'Incremental Repayments'!$I$31,(HLOOKUP($D113,$E$4:$CZ$32,28,FALSE)*'Incremental Repayments'!$I$22)),0),0)</f>
        <v>0</v>
      </c>
      <c r="CQ113" s="477">
        <f>IF('Incremental Repayments'!$R$22="Debt",IF(AND(CQ$4&gt;=$D113,CQ$4&lt;$D113+'Incremental Repayments'!$I$31),-PMT('Interest Rate'!$J$16,'Incremental Repayments'!$I$31,(HLOOKUP($D113,$E$4:$CZ$32,28,FALSE)*'Incremental Repayments'!$I$22)),0),0)</f>
        <v>0</v>
      </c>
      <c r="CR113" s="477">
        <f>IF('Incremental Repayments'!$R$22="Debt",IF(AND(CR$4&gt;=$D113,CR$4&lt;$D113+'Incremental Repayments'!$I$31),-PMT('Interest Rate'!$J$16,'Incremental Repayments'!$I$31,(HLOOKUP($D113,$E$4:$CZ$32,28,FALSE)*'Incremental Repayments'!$I$22)),0),0)</f>
        <v>0</v>
      </c>
      <c r="CS113" s="477">
        <f>IF('Incremental Repayments'!$R$22="Debt",IF(AND(CS$4&gt;=$D113,CS$4&lt;$D113+'Incremental Repayments'!$I$31),-PMT('Interest Rate'!$J$16,'Incremental Repayments'!$I$31,(HLOOKUP($D113,$E$4:$CZ$32,28,FALSE)*'Incremental Repayments'!$I$22)),0),0)</f>
        <v>0</v>
      </c>
      <c r="CT113" s="477">
        <f>IF('Incremental Repayments'!$R$22="Debt",IF(AND(CT$4&gt;=$D113,CT$4&lt;$D113+'Incremental Repayments'!$I$31),-PMT('Interest Rate'!$J$16,'Incremental Repayments'!$I$31,(HLOOKUP($D113,$E$4:$CZ$32,28,FALSE)*'Incremental Repayments'!$I$22)),0),0)</f>
        <v>0</v>
      </c>
      <c r="CU113" s="477">
        <f>IF('Incremental Repayments'!$R$22="Debt",IF(AND(CU$4&gt;=$D113,CU$4&lt;$D113+'Incremental Repayments'!$I$31),-PMT('Interest Rate'!$J$16,'Incremental Repayments'!$I$31,(HLOOKUP($D113,$E$4:$CZ$32,28,FALSE)*'Incremental Repayments'!$I$22)),0),0)</f>
        <v>0</v>
      </c>
      <c r="CV113" s="477">
        <f>IF('Incremental Repayments'!$R$22="Debt",IF(AND(CV$4&gt;=$D113,CV$4&lt;$D113+'Incremental Repayments'!$I$31),-PMT('Interest Rate'!$J$16,'Incremental Repayments'!$I$31,(HLOOKUP($D113,$E$4:$CZ$32,28,FALSE)*'Incremental Repayments'!$I$22)),0),0)</f>
        <v>0</v>
      </c>
      <c r="CW113" s="477">
        <f>IF('Incremental Repayments'!$R$22="Debt",IF(AND(CW$4&gt;=$D113,CW$4&lt;$D113+'Incremental Repayments'!$I$31),-PMT('Interest Rate'!$J$16,'Incremental Repayments'!$I$31,(HLOOKUP($D113,$E$4:$CZ$32,28,FALSE)*'Incremental Repayments'!$I$22)),0),0)</f>
        <v>0</v>
      </c>
      <c r="CX113" s="477">
        <f>IF('Incremental Repayments'!$R$22="Debt",IF(AND(CX$4&gt;=$D113,CX$4&lt;$D113+'Incremental Repayments'!$I$31),-PMT('Interest Rate'!$J$16,'Incremental Repayments'!$I$31,(HLOOKUP($D113,$E$4:$CZ$32,28,FALSE)*'Incremental Repayments'!$I$22)),0),0)</f>
        <v>0</v>
      </c>
      <c r="CY113" s="477">
        <f>IF('Incremental Repayments'!$R$22="Debt",IF(AND(CY$4&gt;=$D113,CY$4&lt;$D113+'Incremental Repayments'!$I$31),-PMT('Interest Rate'!$J$16,'Incremental Repayments'!$I$31,(HLOOKUP($D113,$E$4:$CZ$32,28,FALSE)*'Incremental Repayments'!$I$22)),0),0)</f>
        <v>0</v>
      </c>
      <c r="CZ113" s="477">
        <f>IF('Incremental Repayments'!$R$22="Debt",IF(AND(CZ$4&gt;=$D113,CZ$4&lt;$D113+'Incremental Repayments'!$I$31),-PMT('Interest Rate'!$J$16,'Incremental Repayments'!$I$31,(HLOOKUP($D113,$E$4:$CZ$32,28,FALSE)*'Incremental Repayments'!$I$22)),0),0)</f>
        <v>0</v>
      </c>
    </row>
    <row r="114" spans="1:104" x14ac:dyDescent="0.25">
      <c r="B114" s="480" t="str">
        <f>CONCATENATE("Series ",D114,"A Bonds (at ",'Interest Rate'!$J$16*100,"% Interest)")</f>
        <v>Series 2092A Bonds (at 4.5% Interest)</v>
      </c>
      <c r="C114" s="480"/>
      <c r="D114" s="492">
        <f t="shared" si="496"/>
        <v>2092</v>
      </c>
      <c r="E114" s="477">
        <f>IF('Incremental Repayments'!$R$22="Debt",IF(AND(E$4&gt;=$D114,E$4&lt;$D114+'Incremental Repayments'!$I$31),-PMT('Interest Rate'!$J$16,'Incremental Repayments'!$I$31,(HLOOKUP($D114,$E$4:$CZ$32,28,FALSE)*'Incremental Repayments'!$I$22)),0),0)</f>
        <v>0</v>
      </c>
      <c r="F114" s="477">
        <f>IF('Incremental Repayments'!$R$22="Debt",IF(AND(F$4&gt;=$D114,F$4&lt;$D114+'Incremental Repayments'!$I$31),-PMT('Interest Rate'!$J$16,'Incremental Repayments'!$I$31,(HLOOKUP($D114,$E$4:$CZ$32,28,FALSE)*'Incremental Repayments'!$I$22)),0),0)</f>
        <v>0</v>
      </c>
      <c r="G114" s="477">
        <f>IF('Incremental Repayments'!$R$22="Debt",IF(AND(G$4&gt;=$D114,G$4&lt;$D114+'Incremental Repayments'!$I$31),-PMT('Interest Rate'!$J$16,'Incremental Repayments'!$I$31,(HLOOKUP($D114,$E$4:$CZ$32,28,FALSE)*'Incremental Repayments'!$I$22)),0),0)</f>
        <v>0</v>
      </c>
      <c r="H114" s="477">
        <f>IF('Incremental Repayments'!$R$22="Debt",IF(AND(H$4&gt;=$D114,H$4&lt;$D114+'Incremental Repayments'!$I$31),-PMT('Interest Rate'!$J$16,'Incremental Repayments'!$I$31,(HLOOKUP($D114,$E$4:$CZ$32,28,FALSE)*'Incremental Repayments'!$I$22)),0),0)</f>
        <v>0</v>
      </c>
      <c r="I114" s="477">
        <f>IF('Incremental Repayments'!$R$22="Debt",IF(AND(I$4&gt;=$D114,I$4&lt;$D114+'Incremental Repayments'!$I$31),-PMT('Interest Rate'!$J$16,'Incremental Repayments'!$I$31,(HLOOKUP($D114,$E$4:$CZ$32,28,FALSE)*'Incremental Repayments'!$I$22)),0),0)</f>
        <v>0</v>
      </c>
      <c r="J114" s="477">
        <f>IF('Incremental Repayments'!$R$22="Debt",IF(AND(J$4&gt;=$D114,J$4&lt;$D114+'Incremental Repayments'!$I$31),-PMT('Interest Rate'!$J$16,'Incremental Repayments'!$I$31,(HLOOKUP($D114,$E$4:$CZ$32,28,FALSE)*'Incremental Repayments'!$I$22)),0),0)</f>
        <v>0</v>
      </c>
      <c r="K114" s="477">
        <f>IF('Incremental Repayments'!$R$22="Debt",IF(AND(K$4&gt;=$D114,K$4&lt;$D114+'Incremental Repayments'!$I$31),-PMT('Interest Rate'!$J$16,'Incremental Repayments'!$I$31,(HLOOKUP($D114,$E$4:$CZ$32,28,FALSE)*'Incremental Repayments'!$I$22)),0),0)</f>
        <v>0</v>
      </c>
      <c r="L114" s="477">
        <f>IF('Incremental Repayments'!$R$22="Debt",IF(AND(L$4&gt;=$D114,L$4&lt;$D114+'Incremental Repayments'!$I$31),-PMT('Interest Rate'!$J$16,'Incremental Repayments'!$I$31,(HLOOKUP($D114,$E$4:$CZ$32,28,FALSE)*'Incremental Repayments'!$I$22)),0),0)</f>
        <v>0</v>
      </c>
      <c r="M114" s="477">
        <f>IF('Incremental Repayments'!$R$22="Debt",IF(AND(M$4&gt;=$D114,M$4&lt;$D114+'Incremental Repayments'!$I$31),-PMT('Interest Rate'!$J$16,'Incremental Repayments'!$I$31,(HLOOKUP($D114,$E$4:$CZ$32,28,FALSE)*'Incremental Repayments'!$I$22)),0),0)</f>
        <v>0</v>
      </c>
      <c r="N114" s="477">
        <f>IF('Incremental Repayments'!$R$22="Debt",IF(AND(N$4&gt;=$D114,N$4&lt;$D114+'Incremental Repayments'!$I$31),-PMT('Interest Rate'!$J$16,'Incremental Repayments'!$I$31,(HLOOKUP($D114,$E$4:$CZ$32,28,FALSE)*'Incremental Repayments'!$I$22)),0),0)</f>
        <v>0</v>
      </c>
      <c r="O114" s="477">
        <f>IF('Incremental Repayments'!$R$22="Debt",IF(AND(O$4&gt;=$D114,O$4&lt;$D114+'Incremental Repayments'!$I$31),-PMT('Interest Rate'!$J$16,'Incremental Repayments'!$I$31,(HLOOKUP($D114,$E$4:$CZ$32,28,FALSE)*'Incremental Repayments'!$I$22)),0),0)</f>
        <v>0</v>
      </c>
      <c r="P114" s="477">
        <f>IF('Incremental Repayments'!$R$22="Debt",IF(AND(P$4&gt;=$D114,P$4&lt;$D114+'Incremental Repayments'!$I$31),-PMT('Interest Rate'!$J$16,'Incremental Repayments'!$I$31,(HLOOKUP($D114,$E$4:$CZ$32,28,FALSE)*'Incremental Repayments'!$I$22)),0),0)</f>
        <v>0</v>
      </c>
      <c r="Q114" s="477">
        <f>IF('Incremental Repayments'!$R$22="Debt",IF(AND(Q$4&gt;=$D114,Q$4&lt;$D114+'Incremental Repayments'!$I$31),-PMT('Interest Rate'!$J$16,'Incremental Repayments'!$I$31,(HLOOKUP($D114,$E$4:$CZ$32,28,FALSE)*'Incremental Repayments'!$I$22)),0),0)</f>
        <v>0</v>
      </c>
      <c r="R114" s="477">
        <f>IF('Incremental Repayments'!$R$22="Debt",IF(AND(R$4&gt;=$D114,R$4&lt;$D114+'Incremental Repayments'!$I$31),-PMT('Interest Rate'!$J$16,'Incremental Repayments'!$I$31,(HLOOKUP($D114,$E$4:$CZ$32,28,FALSE)*'Incremental Repayments'!$I$22)),0),0)</f>
        <v>0</v>
      </c>
      <c r="S114" s="477">
        <f>IF('Incremental Repayments'!$R$22="Debt",IF(AND(S$4&gt;=$D114,S$4&lt;$D114+'Incremental Repayments'!$I$31),-PMT('Interest Rate'!$J$16,'Incremental Repayments'!$I$31,(HLOOKUP($D114,$E$4:$CZ$32,28,FALSE)*'Incremental Repayments'!$I$22)),0),0)</f>
        <v>0</v>
      </c>
      <c r="T114" s="477">
        <f>IF('Incremental Repayments'!$R$22="Debt",IF(AND(T$4&gt;=$D114,T$4&lt;$D114+'Incremental Repayments'!$I$31),-PMT('Interest Rate'!$J$16,'Incremental Repayments'!$I$31,(HLOOKUP($D114,$E$4:$CZ$32,28,FALSE)*'Incremental Repayments'!$I$22)),0),0)</f>
        <v>0</v>
      </c>
      <c r="U114" s="477">
        <f>IF('Incremental Repayments'!$R$22="Debt",IF(AND(U$4&gt;=$D114,U$4&lt;$D114+'Incremental Repayments'!$I$31),-PMT('Interest Rate'!$J$16,'Incremental Repayments'!$I$31,(HLOOKUP($D114,$E$4:$CZ$32,28,FALSE)*'Incremental Repayments'!$I$22)),0),0)</f>
        <v>0</v>
      </c>
      <c r="V114" s="477">
        <f>IF('Incremental Repayments'!$R$22="Debt",IF(AND(V$4&gt;=$D114,V$4&lt;$D114+'Incremental Repayments'!$I$31),-PMT('Interest Rate'!$J$16,'Incremental Repayments'!$I$31,(HLOOKUP($D114,$E$4:$CZ$32,28,FALSE)*'Incremental Repayments'!$I$22)),0),0)</f>
        <v>0</v>
      </c>
      <c r="W114" s="477">
        <f>IF('Incremental Repayments'!$R$22="Debt",IF(AND(W$4&gt;=$D114,W$4&lt;$D114+'Incremental Repayments'!$I$31),-PMT('Interest Rate'!$J$16,'Incremental Repayments'!$I$31,(HLOOKUP($D114,$E$4:$CZ$32,28,FALSE)*'Incremental Repayments'!$I$22)),0),0)</f>
        <v>0</v>
      </c>
      <c r="X114" s="477">
        <f>IF('Incremental Repayments'!$R$22="Debt",IF(AND(X$4&gt;=$D114,X$4&lt;$D114+'Incremental Repayments'!$I$31),-PMT('Interest Rate'!$J$16,'Incremental Repayments'!$I$31,(HLOOKUP($D114,$E$4:$CZ$32,28,FALSE)*'Incremental Repayments'!$I$22)),0),0)</f>
        <v>0</v>
      </c>
      <c r="Y114" s="477">
        <f>IF('Incremental Repayments'!$R$22="Debt",IF(AND(Y$4&gt;=$D114,Y$4&lt;$D114+'Incremental Repayments'!$I$31),-PMT('Interest Rate'!$J$16,'Incremental Repayments'!$I$31,(HLOOKUP($D114,$E$4:$CZ$32,28,FALSE)*'Incremental Repayments'!$I$22)),0),0)</f>
        <v>0</v>
      </c>
      <c r="Z114" s="477">
        <f>IF('Incremental Repayments'!$R$22="Debt",IF(AND(Z$4&gt;=$D114,Z$4&lt;$D114+'Incremental Repayments'!$I$31),-PMT('Interest Rate'!$J$16,'Incremental Repayments'!$I$31,(HLOOKUP($D114,$E$4:$CZ$32,28,FALSE)*'Incremental Repayments'!$I$22)),0),0)</f>
        <v>0</v>
      </c>
      <c r="AA114" s="477">
        <f>IF('Incremental Repayments'!$R$22="Debt",IF(AND(AA$4&gt;=$D114,AA$4&lt;$D114+'Incremental Repayments'!$I$31),-PMT('Interest Rate'!$J$16,'Incremental Repayments'!$I$31,(HLOOKUP($D114,$E$4:$CZ$32,28,FALSE)*'Incremental Repayments'!$I$22)),0),0)</f>
        <v>0</v>
      </c>
      <c r="AB114" s="477">
        <f>IF('Incremental Repayments'!$R$22="Debt",IF(AND(AB$4&gt;=$D114,AB$4&lt;$D114+'Incremental Repayments'!$I$31),-PMT('Interest Rate'!$J$16,'Incremental Repayments'!$I$31,(HLOOKUP($D114,$E$4:$CZ$32,28,FALSE)*'Incremental Repayments'!$I$22)),0),0)</f>
        <v>0</v>
      </c>
      <c r="AC114" s="477">
        <f>IF('Incremental Repayments'!$R$22="Debt",IF(AND(AC$4&gt;=$D114,AC$4&lt;$D114+'Incremental Repayments'!$I$31),-PMT('Interest Rate'!$J$16,'Incremental Repayments'!$I$31,(HLOOKUP($D114,$E$4:$CZ$32,28,FALSE)*'Incremental Repayments'!$I$22)),0),0)</f>
        <v>0</v>
      </c>
      <c r="AD114" s="477">
        <f>IF('Incremental Repayments'!$R$22="Debt",IF(AND(AD$4&gt;=$D114,AD$4&lt;$D114+'Incremental Repayments'!$I$31),-PMT('Interest Rate'!$J$16,'Incremental Repayments'!$I$31,(HLOOKUP($D114,$E$4:$CZ$32,28,FALSE)*'Incremental Repayments'!$I$22)),0),0)</f>
        <v>0</v>
      </c>
      <c r="AE114" s="477">
        <f>IF('Incremental Repayments'!$R$22="Debt",IF(AND(AE$4&gt;=$D114,AE$4&lt;$D114+'Incremental Repayments'!$I$31),-PMT('Interest Rate'!$J$16,'Incremental Repayments'!$I$31,(HLOOKUP($D114,$E$4:$CZ$32,28,FALSE)*'Incremental Repayments'!$I$22)),0),0)</f>
        <v>0</v>
      </c>
      <c r="AF114" s="477">
        <f>IF('Incremental Repayments'!$R$22="Debt",IF(AND(AF$4&gt;=$D114,AF$4&lt;$D114+'Incremental Repayments'!$I$31),-PMT('Interest Rate'!$J$16,'Incremental Repayments'!$I$31,(HLOOKUP($D114,$E$4:$CZ$32,28,FALSE)*'Incremental Repayments'!$I$22)),0),0)</f>
        <v>0</v>
      </c>
      <c r="AG114" s="477">
        <f>IF('Incremental Repayments'!$R$22="Debt",IF(AND(AG$4&gt;=$D114,AG$4&lt;$D114+'Incremental Repayments'!$I$31),-PMT('Interest Rate'!$J$16,'Incremental Repayments'!$I$31,(HLOOKUP($D114,$E$4:$CZ$32,28,FALSE)*'Incremental Repayments'!$I$22)),0),0)</f>
        <v>0</v>
      </c>
      <c r="AH114" s="477">
        <f>IF('Incremental Repayments'!$R$22="Debt",IF(AND(AH$4&gt;=$D114,AH$4&lt;$D114+'Incremental Repayments'!$I$31),-PMT('Interest Rate'!$J$16,'Incremental Repayments'!$I$31,(HLOOKUP($D114,$E$4:$CZ$32,28,FALSE)*'Incremental Repayments'!$I$22)),0),0)</f>
        <v>0</v>
      </c>
      <c r="AI114" s="477">
        <f>IF('Incremental Repayments'!$R$22="Debt",IF(AND(AI$4&gt;=$D114,AI$4&lt;$D114+'Incremental Repayments'!$I$31),-PMT('Interest Rate'!$J$16,'Incremental Repayments'!$I$31,(HLOOKUP($D114,$E$4:$CZ$32,28,FALSE)*'Incremental Repayments'!$I$22)),0),0)</f>
        <v>0</v>
      </c>
      <c r="AJ114" s="477">
        <f>IF('Incremental Repayments'!$R$22="Debt",IF(AND(AJ$4&gt;=$D114,AJ$4&lt;$D114+'Incremental Repayments'!$I$31),-PMT('Interest Rate'!$J$16,'Incremental Repayments'!$I$31,(HLOOKUP($D114,$E$4:$CZ$32,28,FALSE)*'Incremental Repayments'!$I$22)),0),0)</f>
        <v>0</v>
      </c>
      <c r="AK114" s="477">
        <f>IF('Incremental Repayments'!$R$22="Debt",IF(AND(AK$4&gt;=$D114,AK$4&lt;$D114+'Incremental Repayments'!$I$31),-PMT('Interest Rate'!$J$16,'Incremental Repayments'!$I$31,(HLOOKUP($D114,$E$4:$CZ$32,28,FALSE)*'Incremental Repayments'!$I$22)),0),0)</f>
        <v>0</v>
      </c>
      <c r="AL114" s="477">
        <f>IF('Incremental Repayments'!$R$22="Debt",IF(AND(AL$4&gt;=$D114,AL$4&lt;$D114+'Incremental Repayments'!$I$31),-PMT('Interest Rate'!$J$16,'Incremental Repayments'!$I$31,(HLOOKUP($D114,$E$4:$CZ$32,28,FALSE)*'Incremental Repayments'!$I$22)),0),0)</f>
        <v>0</v>
      </c>
      <c r="AM114" s="477">
        <f>IF('Incremental Repayments'!$R$22="Debt",IF(AND(AM$4&gt;=$D114,AM$4&lt;$D114+'Incremental Repayments'!$I$31),-PMT('Interest Rate'!$J$16,'Incremental Repayments'!$I$31,(HLOOKUP($D114,$E$4:$CZ$32,28,FALSE)*'Incremental Repayments'!$I$22)),0),0)</f>
        <v>0</v>
      </c>
      <c r="AN114" s="477">
        <f>IF('Incremental Repayments'!$R$22="Debt",IF(AND(AN$4&gt;=$D114,AN$4&lt;$D114+'Incremental Repayments'!$I$31),-PMT('Interest Rate'!$J$16,'Incremental Repayments'!$I$31,(HLOOKUP($D114,$E$4:$CZ$32,28,FALSE)*'Incremental Repayments'!$I$22)),0),0)</f>
        <v>0</v>
      </c>
      <c r="AO114" s="477">
        <f>IF('Incremental Repayments'!$R$22="Debt",IF(AND(AO$4&gt;=$D114,AO$4&lt;$D114+'Incremental Repayments'!$I$31),-PMT('Interest Rate'!$J$16,'Incremental Repayments'!$I$31,(HLOOKUP($D114,$E$4:$CZ$32,28,FALSE)*'Incremental Repayments'!$I$22)),0),0)</f>
        <v>0</v>
      </c>
      <c r="AP114" s="477">
        <f>IF('Incremental Repayments'!$R$22="Debt",IF(AND(AP$4&gt;=$D114,AP$4&lt;$D114+'Incremental Repayments'!$I$31),-PMT('Interest Rate'!$J$16,'Incremental Repayments'!$I$31,(HLOOKUP($D114,$E$4:$CZ$32,28,FALSE)*'Incremental Repayments'!$I$22)),0),0)</f>
        <v>0</v>
      </c>
      <c r="AQ114" s="477">
        <f>IF('Incremental Repayments'!$R$22="Debt",IF(AND(AQ$4&gt;=$D114,AQ$4&lt;$D114+'Incremental Repayments'!$I$31),-PMT('Interest Rate'!$J$16,'Incremental Repayments'!$I$31,(HLOOKUP($D114,$E$4:$CZ$32,28,FALSE)*'Incremental Repayments'!$I$22)),0),0)</f>
        <v>0</v>
      </c>
      <c r="AR114" s="477">
        <f>IF('Incremental Repayments'!$R$22="Debt",IF(AND(AR$4&gt;=$D114,AR$4&lt;$D114+'Incremental Repayments'!$I$31),-PMT('Interest Rate'!$J$16,'Incremental Repayments'!$I$31,(HLOOKUP($D114,$E$4:$CZ$32,28,FALSE)*'Incremental Repayments'!$I$22)),0),0)</f>
        <v>0</v>
      </c>
      <c r="AS114" s="477">
        <f>IF('Incremental Repayments'!$R$22="Debt",IF(AND(AS$4&gt;=$D114,AS$4&lt;$D114+'Incremental Repayments'!$I$31),-PMT('Interest Rate'!$J$16,'Incremental Repayments'!$I$31,(HLOOKUP($D114,$E$4:$CZ$32,28,FALSE)*'Incremental Repayments'!$I$22)),0),0)</f>
        <v>0</v>
      </c>
      <c r="AT114" s="477">
        <f>IF('Incremental Repayments'!$R$22="Debt",IF(AND(AT$4&gt;=$D114,AT$4&lt;$D114+'Incremental Repayments'!$I$31),-PMT('Interest Rate'!$J$16,'Incremental Repayments'!$I$31,(HLOOKUP($D114,$E$4:$CZ$32,28,FALSE)*'Incremental Repayments'!$I$22)),0),0)</f>
        <v>0</v>
      </c>
      <c r="AU114" s="477">
        <f>IF('Incremental Repayments'!$R$22="Debt",IF(AND(AU$4&gt;=$D114,AU$4&lt;$D114+'Incremental Repayments'!$I$31),-PMT('Interest Rate'!$J$16,'Incremental Repayments'!$I$31,(HLOOKUP($D114,$E$4:$CZ$32,28,FALSE)*'Incremental Repayments'!$I$22)),0),0)</f>
        <v>0</v>
      </c>
      <c r="AV114" s="477">
        <f>IF('Incremental Repayments'!$R$22="Debt",IF(AND(AV$4&gt;=$D114,AV$4&lt;$D114+'Incremental Repayments'!$I$31),-PMT('Interest Rate'!$J$16,'Incremental Repayments'!$I$31,(HLOOKUP($D114,$E$4:$CZ$32,28,FALSE)*'Incremental Repayments'!$I$22)),0),0)</f>
        <v>0</v>
      </c>
      <c r="AW114" s="477">
        <f>IF('Incremental Repayments'!$R$22="Debt",IF(AND(AW$4&gt;=$D114,AW$4&lt;$D114+'Incremental Repayments'!$I$31),-PMT('Interest Rate'!$J$16,'Incremental Repayments'!$I$31,(HLOOKUP($D114,$E$4:$CZ$32,28,FALSE)*'Incremental Repayments'!$I$22)),0),0)</f>
        <v>0</v>
      </c>
      <c r="AX114" s="477">
        <f>IF('Incremental Repayments'!$R$22="Debt",IF(AND(AX$4&gt;=$D114,AX$4&lt;$D114+'Incremental Repayments'!$I$31),-PMT('Interest Rate'!$J$16,'Incremental Repayments'!$I$31,(HLOOKUP($D114,$E$4:$CZ$32,28,FALSE)*'Incremental Repayments'!$I$22)),0),0)</f>
        <v>0</v>
      </c>
      <c r="AY114" s="477">
        <f>IF('Incremental Repayments'!$R$22="Debt",IF(AND(AY$4&gt;=$D114,AY$4&lt;$D114+'Incremental Repayments'!$I$31),-PMT('Interest Rate'!$J$16,'Incremental Repayments'!$I$31,(HLOOKUP($D114,$E$4:$CZ$32,28,FALSE)*'Incremental Repayments'!$I$22)),0),0)</f>
        <v>0</v>
      </c>
      <c r="AZ114" s="477">
        <f>IF('Incremental Repayments'!$R$22="Debt",IF(AND(AZ$4&gt;=$D114,AZ$4&lt;$D114+'Incremental Repayments'!$I$31),-PMT('Interest Rate'!$J$16,'Incremental Repayments'!$I$31,(HLOOKUP($D114,$E$4:$CZ$32,28,FALSE)*'Incremental Repayments'!$I$22)),0),0)</f>
        <v>0</v>
      </c>
      <c r="BA114" s="477">
        <f>IF('Incremental Repayments'!$R$22="Debt",IF(AND(BA$4&gt;=$D114,BA$4&lt;$D114+'Incremental Repayments'!$I$31),-PMT('Interest Rate'!$J$16,'Incremental Repayments'!$I$31,(HLOOKUP($D114,$E$4:$CZ$32,28,FALSE)*'Incremental Repayments'!$I$22)),0),0)</f>
        <v>0</v>
      </c>
      <c r="BB114" s="477">
        <f>IF('Incremental Repayments'!$R$22="Debt",IF(AND(BB$4&gt;=$D114,BB$4&lt;$D114+'Incremental Repayments'!$I$31),-PMT('Interest Rate'!$J$16,'Incremental Repayments'!$I$31,(HLOOKUP($D114,$E$4:$CZ$32,28,FALSE)*'Incremental Repayments'!$I$22)),0),0)</f>
        <v>0</v>
      </c>
      <c r="BC114" s="477">
        <f>IF('Incremental Repayments'!$R$22="Debt",IF(AND(BC$4&gt;=$D114,BC$4&lt;$D114+'Incremental Repayments'!$I$31),-PMT('Interest Rate'!$J$16,'Incremental Repayments'!$I$31,(HLOOKUP($D114,$E$4:$CZ$32,28,FALSE)*'Incremental Repayments'!$I$22)),0),0)</f>
        <v>0</v>
      </c>
      <c r="BD114" s="477">
        <f>IF('Incremental Repayments'!$R$22="Debt",IF(AND(BD$4&gt;=$D114,BD$4&lt;$D114+'Incremental Repayments'!$I$31),-PMT('Interest Rate'!$J$16,'Incremental Repayments'!$I$31,(HLOOKUP($D114,$E$4:$CZ$32,28,FALSE)*'Incremental Repayments'!$I$22)),0),0)</f>
        <v>0</v>
      </c>
      <c r="BE114" s="477">
        <f>IF('Incremental Repayments'!$R$22="Debt",IF(AND(BE$4&gt;=$D114,BE$4&lt;$D114+'Incremental Repayments'!$I$31),-PMT('Interest Rate'!$J$16,'Incremental Repayments'!$I$31,(HLOOKUP($D114,$E$4:$CZ$32,28,FALSE)*'Incremental Repayments'!$I$22)),0),0)</f>
        <v>0</v>
      </c>
      <c r="BF114" s="477">
        <f>IF('Incremental Repayments'!$R$22="Debt",IF(AND(BF$4&gt;=$D114,BF$4&lt;$D114+'Incremental Repayments'!$I$31),-PMT('Interest Rate'!$J$16,'Incremental Repayments'!$I$31,(HLOOKUP($D114,$E$4:$CZ$32,28,FALSE)*'Incremental Repayments'!$I$22)),0),0)</f>
        <v>0</v>
      </c>
      <c r="BG114" s="477">
        <f>IF('Incremental Repayments'!$R$22="Debt",IF(AND(BG$4&gt;=$D114,BG$4&lt;$D114+'Incremental Repayments'!$I$31),-PMT('Interest Rate'!$J$16,'Incremental Repayments'!$I$31,(HLOOKUP($D114,$E$4:$CZ$32,28,FALSE)*'Incremental Repayments'!$I$22)),0),0)</f>
        <v>0</v>
      </c>
      <c r="BH114" s="477">
        <f>IF('Incremental Repayments'!$R$22="Debt",IF(AND(BH$4&gt;=$D114,BH$4&lt;$D114+'Incremental Repayments'!$I$31),-PMT('Interest Rate'!$J$16,'Incremental Repayments'!$I$31,(HLOOKUP($D114,$E$4:$CZ$32,28,FALSE)*'Incremental Repayments'!$I$22)),0),0)</f>
        <v>0</v>
      </c>
      <c r="BI114" s="477">
        <f>IF('Incremental Repayments'!$R$22="Debt",IF(AND(BI$4&gt;=$D114,BI$4&lt;$D114+'Incremental Repayments'!$I$31),-PMT('Interest Rate'!$J$16,'Incremental Repayments'!$I$31,(HLOOKUP($D114,$E$4:$CZ$32,28,FALSE)*'Incremental Repayments'!$I$22)),0),0)</f>
        <v>0</v>
      </c>
      <c r="BJ114" s="477">
        <f>IF('Incremental Repayments'!$R$22="Debt",IF(AND(BJ$4&gt;=$D114,BJ$4&lt;$D114+'Incremental Repayments'!$I$31),-PMT('Interest Rate'!$J$16,'Incremental Repayments'!$I$31,(HLOOKUP($D114,$E$4:$CZ$32,28,FALSE)*'Incremental Repayments'!$I$22)),0),0)</f>
        <v>0</v>
      </c>
      <c r="BK114" s="477">
        <f>IF('Incremental Repayments'!$R$22="Debt",IF(AND(BK$4&gt;=$D114,BK$4&lt;$D114+'Incremental Repayments'!$I$31),-PMT('Interest Rate'!$J$16,'Incremental Repayments'!$I$31,(HLOOKUP($D114,$E$4:$CZ$32,28,FALSE)*'Incremental Repayments'!$I$22)),0),0)</f>
        <v>0</v>
      </c>
      <c r="BL114" s="477">
        <f>IF('Incremental Repayments'!$R$22="Debt",IF(AND(BL$4&gt;=$D114,BL$4&lt;$D114+'Incremental Repayments'!$I$31),-PMT('Interest Rate'!$J$16,'Incremental Repayments'!$I$31,(HLOOKUP($D114,$E$4:$CZ$32,28,FALSE)*'Incremental Repayments'!$I$22)),0),0)</f>
        <v>0</v>
      </c>
      <c r="BM114" s="477">
        <f>IF('Incremental Repayments'!$R$22="Debt",IF(AND(BM$4&gt;=$D114,BM$4&lt;$D114+'Incremental Repayments'!$I$31),-PMT('Interest Rate'!$J$16,'Incremental Repayments'!$I$31,(HLOOKUP($D114,$E$4:$CZ$32,28,FALSE)*'Incremental Repayments'!$I$22)),0),0)</f>
        <v>0</v>
      </c>
      <c r="BN114" s="477">
        <f>IF('Incremental Repayments'!$R$22="Debt",IF(AND(BN$4&gt;=$D114,BN$4&lt;$D114+'Incremental Repayments'!$I$31),-PMT('Interest Rate'!$J$16,'Incremental Repayments'!$I$31,(HLOOKUP($D114,$E$4:$CZ$32,28,FALSE)*'Incremental Repayments'!$I$22)),0),0)</f>
        <v>0</v>
      </c>
      <c r="BO114" s="477">
        <f>IF('Incremental Repayments'!$R$22="Debt",IF(AND(BO$4&gt;=$D114,BO$4&lt;$D114+'Incremental Repayments'!$I$31),-PMT('Interest Rate'!$J$16,'Incremental Repayments'!$I$31,(HLOOKUP($D114,$E$4:$CZ$32,28,FALSE)*'Incremental Repayments'!$I$22)),0),0)</f>
        <v>0</v>
      </c>
      <c r="BP114" s="477">
        <f>IF('Incremental Repayments'!$R$22="Debt",IF(AND(BP$4&gt;=$D114,BP$4&lt;$D114+'Incremental Repayments'!$I$31),-PMT('Interest Rate'!$J$16,'Incremental Repayments'!$I$31,(HLOOKUP($D114,$E$4:$CZ$32,28,FALSE)*'Incremental Repayments'!$I$22)),0),0)</f>
        <v>0</v>
      </c>
      <c r="BQ114" s="477">
        <f>IF('Incremental Repayments'!$R$22="Debt",IF(AND(BQ$4&gt;=$D114,BQ$4&lt;$D114+'Incremental Repayments'!$I$31),-PMT('Interest Rate'!$J$16,'Incremental Repayments'!$I$31,(HLOOKUP($D114,$E$4:$CZ$32,28,FALSE)*'Incremental Repayments'!$I$22)),0),0)</f>
        <v>0</v>
      </c>
      <c r="BR114" s="477">
        <f>IF('Incremental Repayments'!$R$22="Debt",IF(AND(BR$4&gt;=$D114,BR$4&lt;$D114+'Incremental Repayments'!$I$31),-PMT('Interest Rate'!$J$16,'Incremental Repayments'!$I$31,(HLOOKUP($D114,$E$4:$CZ$32,28,FALSE)*'Incremental Repayments'!$I$22)),0),0)</f>
        <v>0</v>
      </c>
      <c r="BS114" s="477">
        <f>IF('Incremental Repayments'!$R$22="Debt",IF(AND(BS$4&gt;=$D114,BS$4&lt;$D114+'Incremental Repayments'!$I$31),-PMT('Interest Rate'!$J$16,'Incremental Repayments'!$I$31,(HLOOKUP($D114,$E$4:$CZ$32,28,FALSE)*'Incremental Repayments'!$I$22)),0),0)</f>
        <v>0</v>
      </c>
      <c r="BT114" s="477">
        <f>IF('Incremental Repayments'!$R$22="Debt",IF(AND(BT$4&gt;=$D114,BT$4&lt;$D114+'Incremental Repayments'!$I$31),-PMT('Interest Rate'!$J$16,'Incremental Repayments'!$I$31,(HLOOKUP($D114,$E$4:$CZ$32,28,FALSE)*'Incremental Repayments'!$I$22)),0),0)</f>
        <v>0</v>
      </c>
      <c r="BU114" s="477">
        <f>IF('Incremental Repayments'!$R$22="Debt",IF(AND(BU$4&gt;=$D114,BU$4&lt;$D114+'Incremental Repayments'!$I$31),-PMT('Interest Rate'!$J$16,'Incremental Repayments'!$I$31,(HLOOKUP($D114,$E$4:$CZ$32,28,FALSE)*'Incremental Repayments'!$I$22)),0),0)</f>
        <v>0</v>
      </c>
      <c r="BV114" s="477">
        <f>IF('Incremental Repayments'!$R$22="Debt",IF(AND(BV$4&gt;=$D114,BV$4&lt;$D114+'Incremental Repayments'!$I$31),-PMT('Interest Rate'!$J$16,'Incremental Repayments'!$I$31,(HLOOKUP($D114,$E$4:$CZ$32,28,FALSE)*'Incremental Repayments'!$I$22)),0),0)</f>
        <v>0</v>
      </c>
      <c r="BW114" s="477">
        <f>IF('Incremental Repayments'!$R$22="Debt",IF(AND(BW$4&gt;=$D114,BW$4&lt;$D114+'Incremental Repayments'!$I$31),-PMT('Interest Rate'!$J$16,'Incremental Repayments'!$I$31,(HLOOKUP($D114,$E$4:$CZ$32,28,FALSE)*'Incremental Repayments'!$I$22)),0),0)</f>
        <v>0</v>
      </c>
      <c r="BX114" s="477">
        <f>IF('Incremental Repayments'!$R$22="Debt",IF(AND(BX$4&gt;=$D114,BX$4&lt;$D114+'Incremental Repayments'!$I$31),-PMT('Interest Rate'!$J$16,'Incremental Repayments'!$I$31,(HLOOKUP($D114,$E$4:$CZ$32,28,FALSE)*'Incremental Repayments'!$I$22)),0),0)</f>
        <v>0</v>
      </c>
      <c r="BY114" s="477">
        <f>IF('Incremental Repayments'!$R$22="Debt",IF(AND(BY$4&gt;=$D114,BY$4&lt;$D114+'Incremental Repayments'!$I$31),-PMT('Interest Rate'!$J$16,'Incremental Repayments'!$I$31,(HLOOKUP($D114,$E$4:$CZ$32,28,FALSE)*'Incremental Repayments'!$I$22)),0),0)</f>
        <v>0</v>
      </c>
      <c r="BZ114" s="477">
        <f>IF('Incremental Repayments'!$R$22="Debt",IF(AND(BZ$4&gt;=$D114,BZ$4&lt;$D114+'Incremental Repayments'!$I$31),-PMT('Interest Rate'!$J$16,'Incremental Repayments'!$I$31,(HLOOKUP($D114,$E$4:$CZ$32,28,FALSE)*'Incremental Repayments'!$I$22)),0),0)</f>
        <v>0</v>
      </c>
      <c r="CA114" s="477">
        <f>IF('Incremental Repayments'!$R$22="Debt",IF(AND(CA$4&gt;=$D114,CA$4&lt;$D114+'Incremental Repayments'!$I$31),-PMT('Interest Rate'!$J$16,'Incremental Repayments'!$I$31,(HLOOKUP($D114,$E$4:$CZ$32,28,FALSE)*'Incremental Repayments'!$I$22)),0),0)</f>
        <v>0</v>
      </c>
      <c r="CB114" s="477">
        <f>IF('Incremental Repayments'!$R$22="Debt",IF(AND(CB$4&gt;=$D114,CB$4&lt;$D114+'Incremental Repayments'!$I$31),-PMT('Interest Rate'!$J$16,'Incremental Repayments'!$I$31,(HLOOKUP($D114,$E$4:$CZ$32,28,FALSE)*'Incremental Repayments'!$I$22)),0),0)</f>
        <v>0</v>
      </c>
      <c r="CC114" s="477">
        <f>IF('Incremental Repayments'!$R$22="Debt",IF(AND(CC$4&gt;=$D114,CC$4&lt;$D114+'Incremental Repayments'!$I$31),-PMT('Interest Rate'!$J$16,'Incremental Repayments'!$I$31,(HLOOKUP($D114,$E$4:$CZ$32,28,FALSE)*'Incremental Repayments'!$I$22)),0),0)</f>
        <v>0</v>
      </c>
      <c r="CD114" s="477">
        <f>IF('Incremental Repayments'!$R$22="Debt",IF(AND(CD$4&gt;=$D114,CD$4&lt;$D114+'Incremental Repayments'!$I$31),-PMT('Interest Rate'!$J$16,'Incremental Repayments'!$I$31,(HLOOKUP($D114,$E$4:$CZ$32,28,FALSE)*'Incremental Repayments'!$I$22)),0),0)</f>
        <v>0</v>
      </c>
      <c r="CE114" s="477">
        <f>IF('Incremental Repayments'!$R$22="Debt",IF(AND(CE$4&gt;=$D114,CE$4&lt;$D114+'Incremental Repayments'!$I$31),-PMT('Interest Rate'!$J$16,'Incremental Repayments'!$I$31,(HLOOKUP($D114,$E$4:$CZ$32,28,FALSE)*'Incremental Repayments'!$I$22)),0),0)</f>
        <v>0</v>
      </c>
      <c r="CF114" s="477">
        <f>IF('Incremental Repayments'!$R$22="Debt",IF(AND(CF$4&gt;=$D114,CF$4&lt;$D114+'Incremental Repayments'!$I$31),-PMT('Interest Rate'!$J$16,'Incremental Repayments'!$I$31,(HLOOKUP($D114,$E$4:$CZ$32,28,FALSE)*'Incremental Repayments'!$I$22)),0),0)</f>
        <v>0</v>
      </c>
      <c r="CG114" s="477">
        <f>IF('Incremental Repayments'!$R$22="Debt",IF(AND(CG$4&gt;=$D114,CG$4&lt;$D114+'Incremental Repayments'!$I$31),-PMT('Interest Rate'!$J$16,'Incremental Repayments'!$I$31,(HLOOKUP($D114,$E$4:$CZ$32,28,FALSE)*'Incremental Repayments'!$I$22)),0),0)</f>
        <v>0</v>
      </c>
      <c r="CH114" s="477">
        <f>IF('Incremental Repayments'!$R$22="Debt",IF(AND(CH$4&gt;=$D114,CH$4&lt;$D114+'Incremental Repayments'!$I$31),-PMT('Interest Rate'!$J$16,'Incremental Repayments'!$I$31,(HLOOKUP($D114,$E$4:$CZ$32,28,FALSE)*'Incremental Repayments'!$I$22)),0),0)</f>
        <v>0</v>
      </c>
      <c r="CI114" s="477">
        <f>IF('Incremental Repayments'!$R$22="Debt",IF(AND(CI$4&gt;=$D114,CI$4&lt;$D114+'Incremental Repayments'!$I$31),-PMT('Interest Rate'!$J$16,'Incremental Repayments'!$I$31,(HLOOKUP($D114,$E$4:$CZ$32,28,FALSE)*'Incremental Repayments'!$I$22)),0),0)</f>
        <v>0</v>
      </c>
      <c r="CJ114" s="477">
        <f>IF('Incremental Repayments'!$R$22="Debt",IF(AND(CJ$4&gt;=$D114,CJ$4&lt;$D114+'Incremental Repayments'!$I$31),-PMT('Interest Rate'!$J$16,'Incremental Repayments'!$I$31,(HLOOKUP($D114,$E$4:$CZ$32,28,FALSE)*'Incremental Repayments'!$I$22)),0),0)</f>
        <v>0</v>
      </c>
      <c r="CK114" s="477">
        <f>IF('Incremental Repayments'!$R$22="Debt",IF(AND(CK$4&gt;=$D114,CK$4&lt;$D114+'Incremental Repayments'!$I$31),-PMT('Interest Rate'!$J$16,'Incremental Repayments'!$I$31,(HLOOKUP($D114,$E$4:$CZ$32,28,FALSE)*'Incremental Repayments'!$I$22)),0),0)</f>
        <v>0</v>
      </c>
      <c r="CL114" s="477">
        <f>IF('Incremental Repayments'!$R$22="Debt",IF(AND(CL$4&gt;=$D114,CL$4&lt;$D114+'Incremental Repayments'!$I$31),-PMT('Interest Rate'!$J$16,'Incremental Repayments'!$I$31,(HLOOKUP($D114,$E$4:$CZ$32,28,FALSE)*'Incremental Repayments'!$I$22)),0),0)</f>
        <v>0</v>
      </c>
      <c r="CM114" s="477">
        <f>IF('Incremental Repayments'!$R$22="Debt",IF(AND(CM$4&gt;=$D114,CM$4&lt;$D114+'Incremental Repayments'!$I$31),-PMT('Interest Rate'!$J$16,'Incremental Repayments'!$I$31,(HLOOKUP($D114,$E$4:$CZ$32,28,FALSE)*'Incremental Repayments'!$I$22)),0),0)</f>
        <v>0</v>
      </c>
      <c r="CN114" s="477">
        <f>IF('Incremental Repayments'!$R$22="Debt",IF(AND(CN$4&gt;=$D114,CN$4&lt;$D114+'Incremental Repayments'!$I$31),-PMT('Interest Rate'!$J$16,'Incremental Repayments'!$I$31,(HLOOKUP($D114,$E$4:$CZ$32,28,FALSE)*'Incremental Repayments'!$I$22)),0),0)</f>
        <v>0</v>
      </c>
      <c r="CO114" s="477">
        <f>IF('Incremental Repayments'!$R$22="Debt",IF(AND(CO$4&gt;=$D114,CO$4&lt;$D114+'Incremental Repayments'!$I$31),-PMT('Interest Rate'!$J$16,'Incremental Repayments'!$I$31,(HLOOKUP($D114,$E$4:$CZ$32,28,FALSE)*'Incremental Repayments'!$I$22)),0),0)</f>
        <v>0</v>
      </c>
      <c r="CP114" s="477">
        <f>IF('Incremental Repayments'!$R$22="Debt",IF(AND(CP$4&gt;=$D114,CP$4&lt;$D114+'Incremental Repayments'!$I$31),-PMT('Interest Rate'!$J$16,'Incremental Repayments'!$I$31,(HLOOKUP($D114,$E$4:$CZ$32,28,FALSE)*'Incremental Repayments'!$I$22)),0),0)</f>
        <v>0</v>
      </c>
      <c r="CQ114" s="477">
        <f>IF('Incremental Repayments'!$R$22="Debt",IF(AND(CQ$4&gt;=$D114,CQ$4&lt;$D114+'Incremental Repayments'!$I$31),-PMT('Interest Rate'!$J$16,'Incremental Repayments'!$I$31,(HLOOKUP($D114,$E$4:$CZ$32,28,FALSE)*'Incremental Repayments'!$I$22)),0),0)</f>
        <v>0</v>
      </c>
      <c r="CR114" s="477">
        <f>IF('Incremental Repayments'!$R$22="Debt",IF(AND(CR$4&gt;=$D114,CR$4&lt;$D114+'Incremental Repayments'!$I$31),-PMT('Interest Rate'!$J$16,'Incremental Repayments'!$I$31,(HLOOKUP($D114,$E$4:$CZ$32,28,FALSE)*'Incremental Repayments'!$I$22)),0),0)</f>
        <v>0</v>
      </c>
      <c r="CS114" s="477">
        <f>IF('Incremental Repayments'!$R$22="Debt",IF(AND(CS$4&gt;=$D114,CS$4&lt;$D114+'Incremental Repayments'!$I$31),-PMT('Interest Rate'!$J$16,'Incremental Repayments'!$I$31,(HLOOKUP($D114,$E$4:$CZ$32,28,FALSE)*'Incremental Repayments'!$I$22)),0),0)</f>
        <v>0</v>
      </c>
      <c r="CT114" s="477">
        <f>IF('Incremental Repayments'!$R$22="Debt",IF(AND(CT$4&gt;=$D114,CT$4&lt;$D114+'Incremental Repayments'!$I$31),-PMT('Interest Rate'!$J$16,'Incremental Repayments'!$I$31,(HLOOKUP($D114,$E$4:$CZ$32,28,FALSE)*'Incremental Repayments'!$I$22)),0),0)</f>
        <v>0</v>
      </c>
      <c r="CU114" s="477">
        <f>IF('Incremental Repayments'!$R$22="Debt",IF(AND(CU$4&gt;=$D114,CU$4&lt;$D114+'Incremental Repayments'!$I$31),-PMT('Interest Rate'!$J$16,'Incremental Repayments'!$I$31,(HLOOKUP($D114,$E$4:$CZ$32,28,FALSE)*'Incremental Repayments'!$I$22)),0),0)</f>
        <v>0</v>
      </c>
      <c r="CV114" s="477">
        <f>IF('Incremental Repayments'!$R$22="Debt",IF(AND(CV$4&gt;=$D114,CV$4&lt;$D114+'Incremental Repayments'!$I$31),-PMT('Interest Rate'!$J$16,'Incremental Repayments'!$I$31,(HLOOKUP($D114,$E$4:$CZ$32,28,FALSE)*'Incremental Repayments'!$I$22)),0),0)</f>
        <v>0</v>
      </c>
      <c r="CW114" s="477">
        <f>IF('Incremental Repayments'!$R$22="Debt",IF(AND(CW$4&gt;=$D114,CW$4&lt;$D114+'Incremental Repayments'!$I$31),-PMT('Interest Rate'!$J$16,'Incremental Repayments'!$I$31,(HLOOKUP($D114,$E$4:$CZ$32,28,FALSE)*'Incremental Repayments'!$I$22)),0),0)</f>
        <v>0</v>
      </c>
      <c r="CX114" s="477">
        <f>IF('Incremental Repayments'!$R$22="Debt",IF(AND(CX$4&gt;=$D114,CX$4&lt;$D114+'Incremental Repayments'!$I$31),-PMT('Interest Rate'!$J$16,'Incremental Repayments'!$I$31,(HLOOKUP($D114,$E$4:$CZ$32,28,FALSE)*'Incremental Repayments'!$I$22)),0),0)</f>
        <v>0</v>
      </c>
      <c r="CY114" s="477">
        <f>IF('Incremental Repayments'!$R$22="Debt",IF(AND(CY$4&gt;=$D114,CY$4&lt;$D114+'Incremental Repayments'!$I$31),-PMT('Interest Rate'!$J$16,'Incremental Repayments'!$I$31,(HLOOKUP($D114,$E$4:$CZ$32,28,FALSE)*'Incremental Repayments'!$I$22)),0),0)</f>
        <v>0</v>
      </c>
      <c r="CZ114" s="477">
        <f>IF('Incremental Repayments'!$R$22="Debt",IF(AND(CZ$4&gt;=$D114,CZ$4&lt;$D114+'Incremental Repayments'!$I$31),-PMT('Interest Rate'!$J$16,'Incremental Repayments'!$I$31,(HLOOKUP($D114,$E$4:$CZ$32,28,FALSE)*'Incremental Repayments'!$I$22)),0),0)</f>
        <v>0</v>
      </c>
    </row>
    <row r="115" spans="1:104" x14ac:dyDescent="0.25">
      <c r="B115" s="480" t="str">
        <f>CONCATENATE("Series ",D115,"A Bonds (at ",'Interest Rate'!$J$16*100,"% Interest)")</f>
        <v>Series 2093A Bonds (at 4.5% Interest)</v>
      </c>
      <c r="C115" s="480"/>
      <c r="D115" s="492">
        <f t="shared" si="496"/>
        <v>2093</v>
      </c>
      <c r="E115" s="477">
        <f>IF('Incremental Repayments'!$R$22="Debt",IF(AND(E$4&gt;=$D115,E$4&lt;$D115+'Incremental Repayments'!$I$31),-PMT('Interest Rate'!$J$16,'Incremental Repayments'!$I$31,(HLOOKUP($D115,$E$4:$CZ$32,28,FALSE)*'Incremental Repayments'!$I$22)),0),0)</f>
        <v>0</v>
      </c>
      <c r="F115" s="477">
        <f>IF('Incremental Repayments'!$R$22="Debt",IF(AND(F$4&gt;=$D115,F$4&lt;$D115+'Incremental Repayments'!$I$31),-PMT('Interest Rate'!$J$16,'Incremental Repayments'!$I$31,(HLOOKUP($D115,$E$4:$CZ$32,28,FALSE)*'Incremental Repayments'!$I$22)),0),0)</f>
        <v>0</v>
      </c>
      <c r="G115" s="477">
        <f>IF('Incremental Repayments'!$R$22="Debt",IF(AND(G$4&gt;=$D115,G$4&lt;$D115+'Incremental Repayments'!$I$31),-PMT('Interest Rate'!$J$16,'Incremental Repayments'!$I$31,(HLOOKUP($D115,$E$4:$CZ$32,28,FALSE)*'Incremental Repayments'!$I$22)),0),0)</f>
        <v>0</v>
      </c>
      <c r="H115" s="477">
        <f>IF('Incremental Repayments'!$R$22="Debt",IF(AND(H$4&gt;=$D115,H$4&lt;$D115+'Incremental Repayments'!$I$31),-PMT('Interest Rate'!$J$16,'Incremental Repayments'!$I$31,(HLOOKUP($D115,$E$4:$CZ$32,28,FALSE)*'Incremental Repayments'!$I$22)),0),0)</f>
        <v>0</v>
      </c>
      <c r="I115" s="477">
        <f>IF('Incremental Repayments'!$R$22="Debt",IF(AND(I$4&gt;=$D115,I$4&lt;$D115+'Incremental Repayments'!$I$31),-PMT('Interest Rate'!$J$16,'Incremental Repayments'!$I$31,(HLOOKUP($D115,$E$4:$CZ$32,28,FALSE)*'Incremental Repayments'!$I$22)),0),0)</f>
        <v>0</v>
      </c>
      <c r="J115" s="477">
        <f>IF('Incremental Repayments'!$R$22="Debt",IF(AND(J$4&gt;=$D115,J$4&lt;$D115+'Incremental Repayments'!$I$31),-PMT('Interest Rate'!$J$16,'Incremental Repayments'!$I$31,(HLOOKUP($D115,$E$4:$CZ$32,28,FALSE)*'Incremental Repayments'!$I$22)),0),0)</f>
        <v>0</v>
      </c>
      <c r="K115" s="477">
        <f>IF('Incremental Repayments'!$R$22="Debt",IF(AND(K$4&gt;=$D115,K$4&lt;$D115+'Incremental Repayments'!$I$31),-PMT('Interest Rate'!$J$16,'Incremental Repayments'!$I$31,(HLOOKUP($D115,$E$4:$CZ$32,28,FALSE)*'Incremental Repayments'!$I$22)),0),0)</f>
        <v>0</v>
      </c>
      <c r="L115" s="477">
        <f>IF('Incremental Repayments'!$R$22="Debt",IF(AND(L$4&gt;=$D115,L$4&lt;$D115+'Incremental Repayments'!$I$31),-PMT('Interest Rate'!$J$16,'Incremental Repayments'!$I$31,(HLOOKUP($D115,$E$4:$CZ$32,28,FALSE)*'Incremental Repayments'!$I$22)),0),0)</f>
        <v>0</v>
      </c>
      <c r="M115" s="477">
        <f>IF('Incremental Repayments'!$R$22="Debt",IF(AND(M$4&gt;=$D115,M$4&lt;$D115+'Incremental Repayments'!$I$31),-PMT('Interest Rate'!$J$16,'Incremental Repayments'!$I$31,(HLOOKUP($D115,$E$4:$CZ$32,28,FALSE)*'Incremental Repayments'!$I$22)),0),0)</f>
        <v>0</v>
      </c>
      <c r="N115" s="477">
        <f>IF('Incremental Repayments'!$R$22="Debt",IF(AND(N$4&gt;=$D115,N$4&lt;$D115+'Incremental Repayments'!$I$31),-PMT('Interest Rate'!$J$16,'Incremental Repayments'!$I$31,(HLOOKUP($D115,$E$4:$CZ$32,28,FALSE)*'Incremental Repayments'!$I$22)),0),0)</f>
        <v>0</v>
      </c>
      <c r="O115" s="477">
        <f>IF('Incremental Repayments'!$R$22="Debt",IF(AND(O$4&gt;=$D115,O$4&lt;$D115+'Incremental Repayments'!$I$31),-PMT('Interest Rate'!$J$16,'Incremental Repayments'!$I$31,(HLOOKUP($D115,$E$4:$CZ$32,28,FALSE)*'Incremental Repayments'!$I$22)),0),0)</f>
        <v>0</v>
      </c>
      <c r="P115" s="477">
        <f>IF('Incremental Repayments'!$R$22="Debt",IF(AND(P$4&gt;=$D115,P$4&lt;$D115+'Incremental Repayments'!$I$31),-PMT('Interest Rate'!$J$16,'Incremental Repayments'!$I$31,(HLOOKUP($D115,$E$4:$CZ$32,28,FALSE)*'Incremental Repayments'!$I$22)),0),0)</f>
        <v>0</v>
      </c>
      <c r="Q115" s="477">
        <f>IF('Incremental Repayments'!$R$22="Debt",IF(AND(Q$4&gt;=$D115,Q$4&lt;$D115+'Incremental Repayments'!$I$31),-PMT('Interest Rate'!$J$16,'Incremental Repayments'!$I$31,(HLOOKUP($D115,$E$4:$CZ$32,28,FALSE)*'Incremental Repayments'!$I$22)),0),0)</f>
        <v>0</v>
      </c>
      <c r="R115" s="477">
        <f>IF('Incremental Repayments'!$R$22="Debt",IF(AND(R$4&gt;=$D115,R$4&lt;$D115+'Incremental Repayments'!$I$31),-PMT('Interest Rate'!$J$16,'Incremental Repayments'!$I$31,(HLOOKUP($D115,$E$4:$CZ$32,28,FALSE)*'Incremental Repayments'!$I$22)),0),0)</f>
        <v>0</v>
      </c>
      <c r="S115" s="477">
        <f>IF('Incremental Repayments'!$R$22="Debt",IF(AND(S$4&gt;=$D115,S$4&lt;$D115+'Incremental Repayments'!$I$31),-PMT('Interest Rate'!$J$16,'Incremental Repayments'!$I$31,(HLOOKUP($D115,$E$4:$CZ$32,28,FALSE)*'Incremental Repayments'!$I$22)),0),0)</f>
        <v>0</v>
      </c>
      <c r="T115" s="477">
        <f>IF('Incremental Repayments'!$R$22="Debt",IF(AND(T$4&gt;=$D115,T$4&lt;$D115+'Incremental Repayments'!$I$31),-PMT('Interest Rate'!$J$16,'Incremental Repayments'!$I$31,(HLOOKUP($D115,$E$4:$CZ$32,28,FALSE)*'Incremental Repayments'!$I$22)),0),0)</f>
        <v>0</v>
      </c>
      <c r="U115" s="477">
        <f>IF('Incremental Repayments'!$R$22="Debt",IF(AND(U$4&gt;=$D115,U$4&lt;$D115+'Incremental Repayments'!$I$31),-PMT('Interest Rate'!$J$16,'Incremental Repayments'!$I$31,(HLOOKUP($D115,$E$4:$CZ$32,28,FALSE)*'Incremental Repayments'!$I$22)),0),0)</f>
        <v>0</v>
      </c>
      <c r="V115" s="477">
        <f>IF('Incremental Repayments'!$R$22="Debt",IF(AND(V$4&gt;=$D115,V$4&lt;$D115+'Incremental Repayments'!$I$31),-PMT('Interest Rate'!$J$16,'Incremental Repayments'!$I$31,(HLOOKUP($D115,$E$4:$CZ$32,28,FALSE)*'Incremental Repayments'!$I$22)),0),0)</f>
        <v>0</v>
      </c>
      <c r="W115" s="477">
        <f>IF('Incremental Repayments'!$R$22="Debt",IF(AND(W$4&gt;=$D115,W$4&lt;$D115+'Incremental Repayments'!$I$31),-PMT('Interest Rate'!$J$16,'Incremental Repayments'!$I$31,(HLOOKUP($D115,$E$4:$CZ$32,28,FALSE)*'Incremental Repayments'!$I$22)),0),0)</f>
        <v>0</v>
      </c>
      <c r="X115" s="477">
        <f>IF('Incremental Repayments'!$R$22="Debt",IF(AND(X$4&gt;=$D115,X$4&lt;$D115+'Incremental Repayments'!$I$31),-PMT('Interest Rate'!$J$16,'Incremental Repayments'!$I$31,(HLOOKUP($D115,$E$4:$CZ$32,28,FALSE)*'Incremental Repayments'!$I$22)),0),0)</f>
        <v>0</v>
      </c>
      <c r="Y115" s="477">
        <f>IF('Incremental Repayments'!$R$22="Debt",IF(AND(Y$4&gt;=$D115,Y$4&lt;$D115+'Incremental Repayments'!$I$31),-PMT('Interest Rate'!$J$16,'Incremental Repayments'!$I$31,(HLOOKUP($D115,$E$4:$CZ$32,28,FALSE)*'Incremental Repayments'!$I$22)),0),0)</f>
        <v>0</v>
      </c>
      <c r="Z115" s="477">
        <f>IF('Incremental Repayments'!$R$22="Debt",IF(AND(Z$4&gt;=$D115,Z$4&lt;$D115+'Incremental Repayments'!$I$31),-PMT('Interest Rate'!$J$16,'Incremental Repayments'!$I$31,(HLOOKUP($D115,$E$4:$CZ$32,28,FALSE)*'Incremental Repayments'!$I$22)),0),0)</f>
        <v>0</v>
      </c>
      <c r="AA115" s="477">
        <f>IF('Incremental Repayments'!$R$22="Debt",IF(AND(AA$4&gt;=$D115,AA$4&lt;$D115+'Incremental Repayments'!$I$31),-PMT('Interest Rate'!$J$16,'Incremental Repayments'!$I$31,(HLOOKUP($D115,$E$4:$CZ$32,28,FALSE)*'Incremental Repayments'!$I$22)),0),0)</f>
        <v>0</v>
      </c>
      <c r="AB115" s="477">
        <f>IF('Incremental Repayments'!$R$22="Debt",IF(AND(AB$4&gt;=$D115,AB$4&lt;$D115+'Incremental Repayments'!$I$31),-PMT('Interest Rate'!$J$16,'Incremental Repayments'!$I$31,(HLOOKUP($D115,$E$4:$CZ$32,28,FALSE)*'Incremental Repayments'!$I$22)),0),0)</f>
        <v>0</v>
      </c>
      <c r="AC115" s="477">
        <f>IF('Incremental Repayments'!$R$22="Debt",IF(AND(AC$4&gt;=$D115,AC$4&lt;$D115+'Incremental Repayments'!$I$31),-PMT('Interest Rate'!$J$16,'Incremental Repayments'!$I$31,(HLOOKUP($D115,$E$4:$CZ$32,28,FALSE)*'Incremental Repayments'!$I$22)),0),0)</f>
        <v>0</v>
      </c>
      <c r="AD115" s="477">
        <f>IF('Incremental Repayments'!$R$22="Debt",IF(AND(AD$4&gt;=$D115,AD$4&lt;$D115+'Incremental Repayments'!$I$31),-PMT('Interest Rate'!$J$16,'Incremental Repayments'!$I$31,(HLOOKUP($D115,$E$4:$CZ$32,28,FALSE)*'Incremental Repayments'!$I$22)),0),0)</f>
        <v>0</v>
      </c>
      <c r="AE115" s="477">
        <f>IF('Incremental Repayments'!$R$22="Debt",IF(AND(AE$4&gt;=$D115,AE$4&lt;$D115+'Incremental Repayments'!$I$31),-PMT('Interest Rate'!$J$16,'Incremental Repayments'!$I$31,(HLOOKUP($D115,$E$4:$CZ$32,28,FALSE)*'Incremental Repayments'!$I$22)),0),0)</f>
        <v>0</v>
      </c>
      <c r="AF115" s="477">
        <f>IF('Incremental Repayments'!$R$22="Debt",IF(AND(AF$4&gt;=$D115,AF$4&lt;$D115+'Incremental Repayments'!$I$31),-PMT('Interest Rate'!$J$16,'Incremental Repayments'!$I$31,(HLOOKUP($D115,$E$4:$CZ$32,28,FALSE)*'Incremental Repayments'!$I$22)),0),0)</f>
        <v>0</v>
      </c>
      <c r="AG115" s="477">
        <f>IF('Incremental Repayments'!$R$22="Debt",IF(AND(AG$4&gt;=$D115,AG$4&lt;$D115+'Incremental Repayments'!$I$31),-PMT('Interest Rate'!$J$16,'Incremental Repayments'!$I$31,(HLOOKUP($D115,$E$4:$CZ$32,28,FALSE)*'Incremental Repayments'!$I$22)),0),0)</f>
        <v>0</v>
      </c>
      <c r="AH115" s="477">
        <f>IF('Incremental Repayments'!$R$22="Debt",IF(AND(AH$4&gt;=$D115,AH$4&lt;$D115+'Incremental Repayments'!$I$31),-PMT('Interest Rate'!$J$16,'Incremental Repayments'!$I$31,(HLOOKUP($D115,$E$4:$CZ$32,28,FALSE)*'Incremental Repayments'!$I$22)),0),0)</f>
        <v>0</v>
      </c>
      <c r="AI115" s="477">
        <f>IF('Incremental Repayments'!$R$22="Debt",IF(AND(AI$4&gt;=$D115,AI$4&lt;$D115+'Incremental Repayments'!$I$31),-PMT('Interest Rate'!$J$16,'Incremental Repayments'!$I$31,(HLOOKUP($D115,$E$4:$CZ$32,28,FALSE)*'Incremental Repayments'!$I$22)),0),0)</f>
        <v>0</v>
      </c>
      <c r="AJ115" s="477">
        <f>IF('Incremental Repayments'!$R$22="Debt",IF(AND(AJ$4&gt;=$D115,AJ$4&lt;$D115+'Incremental Repayments'!$I$31),-PMT('Interest Rate'!$J$16,'Incremental Repayments'!$I$31,(HLOOKUP($D115,$E$4:$CZ$32,28,FALSE)*'Incremental Repayments'!$I$22)),0),0)</f>
        <v>0</v>
      </c>
      <c r="AK115" s="477">
        <f>IF('Incremental Repayments'!$R$22="Debt",IF(AND(AK$4&gt;=$D115,AK$4&lt;$D115+'Incremental Repayments'!$I$31),-PMT('Interest Rate'!$J$16,'Incremental Repayments'!$I$31,(HLOOKUP($D115,$E$4:$CZ$32,28,FALSE)*'Incremental Repayments'!$I$22)),0),0)</f>
        <v>0</v>
      </c>
      <c r="AL115" s="477">
        <f>IF('Incremental Repayments'!$R$22="Debt",IF(AND(AL$4&gt;=$D115,AL$4&lt;$D115+'Incremental Repayments'!$I$31),-PMT('Interest Rate'!$J$16,'Incremental Repayments'!$I$31,(HLOOKUP($D115,$E$4:$CZ$32,28,FALSE)*'Incremental Repayments'!$I$22)),0),0)</f>
        <v>0</v>
      </c>
      <c r="AM115" s="477">
        <f>IF('Incremental Repayments'!$R$22="Debt",IF(AND(AM$4&gt;=$D115,AM$4&lt;$D115+'Incremental Repayments'!$I$31),-PMT('Interest Rate'!$J$16,'Incremental Repayments'!$I$31,(HLOOKUP($D115,$E$4:$CZ$32,28,FALSE)*'Incremental Repayments'!$I$22)),0),0)</f>
        <v>0</v>
      </c>
      <c r="AN115" s="477">
        <f>IF('Incremental Repayments'!$R$22="Debt",IF(AND(AN$4&gt;=$D115,AN$4&lt;$D115+'Incremental Repayments'!$I$31),-PMT('Interest Rate'!$J$16,'Incremental Repayments'!$I$31,(HLOOKUP($D115,$E$4:$CZ$32,28,FALSE)*'Incremental Repayments'!$I$22)),0),0)</f>
        <v>0</v>
      </c>
      <c r="AO115" s="477">
        <f>IF('Incremental Repayments'!$R$22="Debt",IF(AND(AO$4&gt;=$D115,AO$4&lt;$D115+'Incremental Repayments'!$I$31),-PMT('Interest Rate'!$J$16,'Incremental Repayments'!$I$31,(HLOOKUP($D115,$E$4:$CZ$32,28,FALSE)*'Incremental Repayments'!$I$22)),0),0)</f>
        <v>0</v>
      </c>
      <c r="AP115" s="477">
        <f>IF('Incremental Repayments'!$R$22="Debt",IF(AND(AP$4&gt;=$D115,AP$4&lt;$D115+'Incremental Repayments'!$I$31),-PMT('Interest Rate'!$J$16,'Incremental Repayments'!$I$31,(HLOOKUP($D115,$E$4:$CZ$32,28,FALSE)*'Incremental Repayments'!$I$22)),0),0)</f>
        <v>0</v>
      </c>
      <c r="AQ115" s="477">
        <f>IF('Incremental Repayments'!$R$22="Debt",IF(AND(AQ$4&gt;=$D115,AQ$4&lt;$D115+'Incremental Repayments'!$I$31),-PMT('Interest Rate'!$J$16,'Incremental Repayments'!$I$31,(HLOOKUP($D115,$E$4:$CZ$32,28,FALSE)*'Incremental Repayments'!$I$22)),0),0)</f>
        <v>0</v>
      </c>
      <c r="AR115" s="477">
        <f>IF('Incremental Repayments'!$R$22="Debt",IF(AND(AR$4&gt;=$D115,AR$4&lt;$D115+'Incremental Repayments'!$I$31),-PMT('Interest Rate'!$J$16,'Incremental Repayments'!$I$31,(HLOOKUP($D115,$E$4:$CZ$32,28,FALSE)*'Incremental Repayments'!$I$22)),0),0)</f>
        <v>0</v>
      </c>
      <c r="AS115" s="477">
        <f>IF('Incremental Repayments'!$R$22="Debt",IF(AND(AS$4&gt;=$D115,AS$4&lt;$D115+'Incremental Repayments'!$I$31),-PMT('Interest Rate'!$J$16,'Incremental Repayments'!$I$31,(HLOOKUP($D115,$E$4:$CZ$32,28,FALSE)*'Incremental Repayments'!$I$22)),0),0)</f>
        <v>0</v>
      </c>
      <c r="AT115" s="477">
        <f>IF('Incremental Repayments'!$R$22="Debt",IF(AND(AT$4&gt;=$D115,AT$4&lt;$D115+'Incremental Repayments'!$I$31),-PMT('Interest Rate'!$J$16,'Incremental Repayments'!$I$31,(HLOOKUP($D115,$E$4:$CZ$32,28,FALSE)*'Incremental Repayments'!$I$22)),0),0)</f>
        <v>0</v>
      </c>
      <c r="AU115" s="477">
        <f>IF('Incremental Repayments'!$R$22="Debt",IF(AND(AU$4&gt;=$D115,AU$4&lt;$D115+'Incremental Repayments'!$I$31),-PMT('Interest Rate'!$J$16,'Incremental Repayments'!$I$31,(HLOOKUP($D115,$E$4:$CZ$32,28,FALSE)*'Incremental Repayments'!$I$22)),0),0)</f>
        <v>0</v>
      </c>
      <c r="AV115" s="477">
        <f>IF('Incremental Repayments'!$R$22="Debt",IF(AND(AV$4&gt;=$D115,AV$4&lt;$D115+'Incremental Repayments'!$I$31),-PMT('Interest Rate'!$J$16,'Incremental Repayments'!$I$31,(HLOOKUP($D115,$E$4:$CZ$32,28,FALSE)*'Incremental Repayments'!$I$22)),0),0)</f>
        <v>0</v>
      </c>
      <c r="AW115" s="477">
        <f>IF('Incremental Repayments'!$R$22="Debt",IF(AND(AW$4&gt;=$D115,AW$4&lt;$D115+'Incremental Repayments'!$I$31),-PMT('Interest Rate'!$J$16,'Incremental Repayments'!$I$31,(HLOOKUP($D115,$E$4:$CZ$32,28,FALSE)*'Incremental Repayments'!$I$22)),0),0)</f>
        <v>0</v>
      </c>
      <c r="AX115" s="477">
        <f>IF('Incremental Repayments'!$R$22="Debt",IF(AND(AX$4&gt;=$D115,AX$4&lt;$D115+'Incremental Repayments'!$I$31),-PMT('Interest Rate'!$J$16,'Incremental Repayments'!$I$31,(HLOOKUP($D115,$E$4:$CZ$32,28,FALSE)*'Incremental Repayments'!$I$22)),0),0)</f>
        <v>0</v>
      </c>
      <c r="AY115" s="477">
        <f>IF('Incremental Repayments'!$R$22="Debt",IF(AND(AY$4&gt;=$D115,AY$4&lt;$D115+'Incremental Repayments'!$I$31),-PMT('Interest Rate'!$J$16,'Incremental Repayments'!$I$31,(HLOOKUP($D115,$E$4:$CZ$32,28,FALSE)*'Incremental Repayments'!$I$22)),0),0)</f>
        <v>0</v>
      </c>
      <c r="AZ115" s="477">
        <f>IF('Incremental Repayments'!$R$22="Debt",IF(AND(AZ$4&gt;=$D115,AZ$4&lt;$D115+'Incremental Repayments'!$I$31),-PMT('Interest Rate'!$J$16,'Incremental Repayments'!$I$31,(HLOOKUP($D115,$E$4:$CZ$32,28,FALSE)*'Incremental Repayments'!$I$22)),0),0)</f>
        <v>0</v>
      </c>
      <c r="BA115" s="477">
        <f>IF('Incremental Repayments'!$R$22="Debt",IF(AND(BA$4&gt;=$D115,BA$4&lt;$D115+'Incremental Repayments'!$I$31),-PMT('Interest Rate'!$J$16,'Incremental Repayments'!$I$31,(HLOOKUP($D115,$E$4:$CZ$32,28,FALSE)*'Incremental Repayments'!$I$22)),0),0)</f>
        <v>0</v>
      </c>
      <c r="BB115" s="477">
        <f>IF('Incremental Repayments'!$R$22="Debt",IF(AND(BB$4&gt;=$D115,BB$4&lt;$D115+'Incremental Repayments'!$I$31),-PMT('Interest Rate'!$J$16,'Incremental Repayments'!$I$31,(HLOOKUP($D115,$E$4:$CZ$32,28,FALSE)*'Incremental Repayments'!$I$22)),0),0)</f>
        <v>0</v>
      </c>
      <c r="BC115" s="477">
        <f>IF('Incremental Repayments'!$R$22="Debt",IF(AND(BC$4&gt;=$D115,BC$4&lt;$D115+'Incremental Repayments'!$I$31),-PMT('Interest Rate'!$J$16,'Incremental Repayments'!$I$31,(HLOOKUP($D115,$E$4:$CZ$32,28,FALSE)*'Incremental Repayments'!$I$22)),0),0)</f>
        <v>0</v>
      </c>
      <c r="BD115" s="477">
        <f>IF('Incremental Repayments'!$R$22="Debt",IF(AND(BD$4&gt;=$D115,BD$4&lt;$D115+'Incremental Repayments'!$I$31),-PMT('Interest Rate'!$J$16,'Incremental Repayments'!$I$31,(HLOOKUP($D115,$E$4:$CZ$32,28,FALSE)*'Incremental Repayments'!$I$22)),0),0)</f>
        <v>0</v>
      </c>
      <c r="BE115" s="477">
        <f>IF('Incremental Repayments'!$R$22="Debt",IF(AND(BE$4&gt;=$D115,BE$4&lt;$D115+'Incremental Repayments'!$I$31),-PMT('Interest Rate'!$J$16,'Incremental Repayments'!$I$31,(HLOOKUP($D115,$E$4:$CZ$32,28,FALSE)*'Incremental Repayments'!$I$22)),0),0)</f>
        <v>0</v>
      </c>
      <c r="BF115" s="477">
        <f>IF('Incremental Repayments'!$R$22="Debt",IF(AND(BF$4&gt;=$D115,BF$4&lt;$D115+'Incremental Repayments'!$I$31),-PMT('Interest Rate'!$J$16,'Incremental Repayments'!$I$31,(HLOOKUP($D115,$E$4:$CZ$32,28,FALSE)*'Incremental Repayments'!$I$22)),0),0)</f>
        <v>0</v>
      </c>
      <c r="BG115" s="477">
        <f>IF('Incremental Repayments'!$R$22="Debt",IF(AND(BG$4&gt;=$D115,BG$4&lt;$D115+'Incremental Repayments'!$I$31),-PMT('Interest Rate'!$J$16,'Incremental Repayments'!$I$31,(HLOOKUP($D115,$E$4:$CZ$32,28,FALSE)*'Incremental Repayments'!$I$22)),0),0)</f>
        <v>0</v>
      </c>
      <c r="BH115" s="477">
        <f>IF('Incremental Repayments'!$R$22="Debt",IF(AND(BH$4&gt;=$D115,BH$4&lt;$D115+'Incremental Repayments'!$I$31),-PMT('Interest Rate'!$J$16,'Incremental Repayments'!$I$31,(HLOOKUP($D115,$E$4:$CZ$32,28,FALSE)*'Incremental Repayments'!$I$22)),0),0)</f>
        <v>0</v>
      </c>
      <c r="BI115" s="477">
        <f>IF('Incremental Repayments'!$R$22="Debt",IF(AND(BI$4&gt;=$D115,BI$4&lt;$D115+'Incremental Repayments'!$I$31),-PMT('Interest Rate'!$J$16,'Incremental Repayments'!$I$31,(HLOOKUP($D115,$E$4:$CZ$32,28,FALSE)*'Incremental Repayments'!$I$22)),0),0)</f>
        <v>0</v>
      </c>
      <c r="BJ115" s="477">
        <f>IF('Incremental Repayments'!$R$22="Debt",IF(AND(BJ$4&gt;=$D115,BJ$4&lt;$D115+'Incremental Repayments'!$I$31),-PMT('Interest Rate'!$J$16,'Incremental Repayments'!$I$31,(HLOOKUP($D115,$E$4:$CZ$32,28,FALSE)*'Incremental Repayments'!$I$22)),0),0)</f>
        <v>0</v>
      </c>
      <c r="BK115" s="477">
        <f>IF('Incremental Repayments'!$R$22="Debt",IF(AND(BK$4&gt;=$D115,BK$4&lt;$D115+'Incremental Repayments'!$I$31),-PMT('Interest Rate'!$J$16,'Incremental Repayments'!$I$31,(HLOOKUP($D115,$E$4:$CZ$32,28,FALSE)*'Incremental Repayments'!$I$22)),0),0)</f>
        <v>0</v>
      </c>
      <c r="BL115" s="477">
        <f>IF('Incremental Repayments'!$R$22="Debt",IF(AND(BL$4&gt;=$D115,BL$4&lt;$D115+'Incremental Repayments'!$I$31),-PMT('Interest Rate'!$J$16,'Incremental Repayments'!$I$31,(HLOOKUP($D115,$E$4:$CZ$32,28,FALSE)*'Incremental Repayments'!$I$22)),0),0)</f>
        <v>0</v>
      </c>
      <c r="BM115" s="477">
        <f>IF('Incremental Repayments'!$R$22="Debt",IF(AND(BM$4&gt;=$D115,BM$4&lt;$D115+'Incremental Repayments'!$I$31),-PMT('Interest Rate'!$J$16,'Incremental Repayments'!$I$31,(HLOOKUP($D115,$E$4:$CZ$32,28,FALSE)*'Incremental Repayments'!$I$22)),0),0)</f>
        <v>0</v>
      </c>
      <c r="BN115" s="477">
        <f>IF('Incremental Repayments'!$R$22="Debt",IF(AND(BN$4&gt;=$D115,BN$4&lt;$D115+'Incremental Repayments'!$I$31),-PMT('Interest Rate'!$J$16,'Incremental Repayments'!$I$31,(HLOOKUP($D115,$E$4:$CZ$32,28,FALSE)*'Incremental Repayments'!$I$22)),0),0)</f>
        <v>0</v>
      </c>
      <c r="BO115" s="477">
        <f>IF('Incremental Repayments'!$R$22="Debt",IF(AND(BO$4&gt;=$D115,BO$4&lt;$D115+'Incremental Repayments'!$I$31),-PMT('Interest Rate'!$J$16,'Incremental Repayments'!$I$31,(HLOOKUP($D115,$E$4:$CZ$32,28,FALSE)*'Incremental Repayments'!$I$22)),0),0)</f>
        <v>0</v>
      </c>
      <c r="BP115" s="477">
        <f>IF('Incremental Repayments'!$R$22="Debt",IF(AND(BP$4&gt;=$D115,BP$4&lt;$D115+'Incremental Repayments'!$I$31),-PMT('Interest Rate'!$J$16,'Incremental Repayments'!$I$31,(HLOOKUP($D115,$E$4:$CZ$32,28,FALSE)*'Incremental Repayments'!$I$22)),0),0)</f>
        <v>0</v>
      </c>
      <c r="BQ115" s="477">
        <f>IF('Incremental Repayments'!$R$22="Debt",IF(AND(BQ$4&gt;=$D115,BQ$4&lt;$D115+'Incremental Repayments'!$I$31),-PMT('Interest Rate'!$J$16,'Incremental Repayments'!$I$31,(HLOOKUP($D115,$E$4:$CZ$32,28,FALSE)*'Incremental Repayments'!$I$22)),0),0)</f>
        <v>0</v>
      </c>
      <c r="BR115" s="477">
        <f>IF('Incremental Repayments'!$R$22="Debt",IF(AND(BR$4&gt;=$D115,BR$4&lt;$D115+'Incremental Repayments'!$I$31),-PMT('Interest Rate'!$J$16,'Incremental Repayments'!$I$31,(HLOOKUP($D115,$E$4:$CZ$32,28,FALSE)*'Incremental Repayments'!$I$22)),0),0)</f>
        <v>0</v>
      </c>
      <c r="BS115" s="477">
        <f>IF('Incremental Repayments'!$R$22="Debt",IF(AND(BS$4&gt;=$D115,BS$4&lt;$D115+'Incremental Repayments'!$I$31),-PMT('Interest Rate'!$J$16,'Incremental Repayments'!$I$31,(HLOOKUP($D115,$E$4:$CZ$32,28,FALSE)*'Incremental Repayments'!$I$22)),0),0)</f>
        <v>0</v>
      </c>
      <c r="BT115" s="477">
        <f>IF('Incremental Repayments'!$R$22="Debt",IF(AND(BT$4&gt;=$D115,BT$4&lt;$D115+'Incremental Repayments'!$I$31),-PMT('Interest Rate'!$J$16,'Incremental Repayments'!$I$31,(HLOOKUP($D115,$E$4:$CZ$32,28,FALSE)*'Incremental Repayments'!$I$22)),0),0)</f>
        <v>0</v>
      </c>
      <c r="BU115" s="477">
        <f>IF('Incremental Repayments'!$R$22="Debt",IF(AND(BU$4&gt;=$D115,BU$4&lt;$D115+'Incremental Repayments'!$I$31),-PMT('Interest Rate'!$J$16,'Incremental Repayments'!$I$31,(HLOOKUP($D115,$E$4:$CZ$32,28,FALSE)*'Incremental Repayments'!$I$22)),0),0)</f>
        <v>0</v>
      </c>
      <c r="BV115" s="477">
        <f>IF('Incremental Repayments'!$R$22="Debt",IF(AND(BV$4&gt;=$D115,BV$4&lt;$D115+'Incremental Repayments'!$I$31),-PMT('Interest Rate'!$J$16,'Incremental Repayments'!$I$31,(HLOOKUP($D115,$E$4:$CZ$32,28,FALSE)*'Incremental Repayments'!$I$22)),0),0)</f>
        <v>0</v>
      </c>
      <c r="BW115" s="477">
        <f>IF('Incremental Repayments'!$R$22="Debt",IF(AND(BW$4&gt;=$D115,BW$4&lt;$D115+'Incremental Repayments'!$I$31),-PMT('Interest Rate'!$J$16,'Incremental Repayments'!$I$31,(HLOOKUP($D115,$E$4:$CZ$32,28,FALSE)*'Incremental Repayments'!$I$22)),0),0)</f>
        <v>0</v>
      </c>
      <c r="BX115" s="477">
        <f>IF('Incremental Repayments'!$R$22="Debt",IF(AND(BX$4&gt;=$D115,BX$4&lt;$D115+'Incremental Repayments'!$I$31),-PMT('Interest Rate'!$J$16,'Incremental Repayments'!$I$31,(HLOOKUP($D115,$E$4:$CZ$32,28,FALSE)*'Incremental Repayments'!$I$22)),0),0)</f>
        <v>0</v>
      </c>
      <c r="BY115" s="477">
        <f>IF('Incremental Repayments'!$R$22="Debt",IF(AND(BY$4&gt;=$D115,BY$4&lt;$D115+'Incremental Repayments'!$I$31),-PMT('Interest Rate'!$J$16,'Incremental Repayments'!$I$31,(HLOOKUP($D115,$E$4:$CZ$32,28,FALSE)*'Incremental Repayments'!$I$22)),0),0)</f>
        <v>0</v>
      </c>
      <c r="BZ115" s="477">
        <f>IF('Incremental Repayments'!$R$22="Debt",IF(AND(BZ$4&gt;=$D115,BZ$4&lt;$D115+'Incremental Repayments'!$I$31),-PMT('Interest Rate'!$J$16,'Incremental Repayments'!$I$31,(HLOOKUP($D115,$E$4:$CZ$32,28,FALSE)*'Incremental Repayments'!$I$22)),0),0)</f>
        <v>0</v>
      </c>
      <c r="CA115" s="477">
        <f>IF('Incremental Repayments'!$R$22="Debt",IF(AND(CA$4&gt;=$D115,CA$4&lt;$D115+'Incremental Repayments'!$I$31),-PMT('Interest Rate'!$J$16,'Incremental Repayments'!$I$31,(HLOOKUP($D115,$E$4:$CZ$32,28,FALSE)*'Incremental Repayments'!$I$22)),0),0)</f>
        <v>0</v>
      </c>
      <c r="CB115" s="477">
        <f>IF('Incremental Repayments'!$R$22="Debt",IF(AND(CB$4&gt;=$D115,CB$4&lt;$D115+'Incremental Repayments'!$I$31),-PMT('Interest Rate'!$J$16,'Incremental Repayments'!$I$31,(HLOOKUP($D115,$E$4:$CZ$32,28,FALSE)*'Incremental Repayments'!$I$22)),0),0)</f>
        <v>0</v>
      </c>
      <c r="CC115" s="477">
        <f>IF('Incremental Repayments'!$R$22="Debt",IF(AND(CC$4&gt;=$D115,CC$4&lt;$D115+'Incremental Repayments'!$I$31),-PMT('Interest Rate'!$J$16,'Incremental Repayments'!$I$31,(HLOOKUP($D115,$E$4:$CZ$32,28,FALSE)*'Incremental Repayments'!$I$22)),0),0)</f>
        <v>0</v>
      </c>
      <c r="CD115" s="477">
        <f>IF('Incremental Repayments'!$R$22="Debt",IF(AND(CD$4&gt;=$D115,CD$4&lt;$D115+'Incremental Repayments'!$I$31),-PMT('Interest Rate'!$J$16,'Incremental Repayments'!$I$31,(HLOOKUP($D115,$E$4:$CZ$32,28,FALSE)*'Incremental Repayments'!$I$22)),0),0)</f>
        <v>0</v>
      </c>
      <c r="CE115" s="477">
        <f>IF('Incremental Repayments'!$R$22="Debt",IF(AND(CE$4&gt;=$D115,CE$4&lt;$D115+'Incremental Repayments'!$I$31),-PMT('Interest Rate'!$J$16,'Incremental Repayments'!$I$31,(HLOOKUP($D115,$E$4:$CZ$32,28,FALSE)*'Incremental Repayments'!$I$22)),0),0)</f>
        <v>0</v>
      </c>
      <c r="CF115" s="477">
        <f>IF('Incremental Repayments'!$R$22="Debt",IF(AND(CF$4&gt;=$D115,CF$4&lt;$D115+'Incremental Repayments'!$I$31),-PMT('Interest Rate'!$J$16,'Incremental Repayments'!$I$31,(HLOOKUP($D115,$E$4:$CZ$32,28,FALSE)*'Incremental Repayments'!$I$22)),0),0)</f>
        <v>0</v>
      </c>
      <c r="CG115" s="477">
        <f>IF('Incremental Repayments'!$R$22="Debt",IF(AND(CG$4&gt;=$D115,CG$4&lt;$D115+'Incremental Repayments'!$I$31),-PMT('Interest Rate'!$J$16,'Incremental Repayments'!$I$31,(HLOOKUP($D115,$E$4:$CZ$32,28,FALSE)*'Incremental Repayments'!$I$22)),0),0)</f>
        <v>0</v>
      </c>
      <c r="CH115" s="477">
        <f>IF('Incremental Repayments'!$R$22="Debt",IF(AND(CH$4&gt;=$D115,CH$4&lt;$D115+'Incremental Repayments'!$I$31),-PMT('Interest Rate'!$J$16,'Incremental Repayments'!$I$31,(HLOOKUP($D115,$E$4:$CZ$32,28,FALSE)*'Incremental Repayments'!$I$22)),0),0)</f>
        <v>0</v>
      </c>
      <c r="CI115" s="477">
        <f>IF('Incremental Repayments'!$R$22="Debt",IF(AND(CI$4&gt;=$D115,CI$4&lt;$D115+'Incremental Repayments'!$I$31),-PMT('Interest Rate'!$J$16,'Incremental Repayments'!$I$31,(HLOOKUP($D115,$E$4:$CZ$32,28,FALSE)*'Incremental Repayments'!$I$22)),0),0)</f>
        <v>0</v>
      </c>
      <c r="CJ115" s="477">
        <f>IF('Incremental Repayments'!$R$22="Debt",IF(AND(CJ$4&gt;=$D115,CJ$4&lt;$D115+'Incremental Repayments'!$I$31),-PMT('Interest Rate'!$J$16,'Incremental Repayments'!$I$31,(HLOOKUP($D115,$E$4:$CZ$32,28,FALSE)*'Incremental Repayments'!$I$22)),0),0)</f>
        <v>0</v>
      </c>
      <c r="CK115" s="477">
        <f>IF('Incremental Repayments'!$R$22="Debt",IF(AND(CK$4&gt;=$D115,CK$4&lt;$D115+'Incremental Repayments'!$I$31),-PMT('Interest Rate'!$J$16,'Incremental Repayments'!$I$31,(HLOOKUP($D115,$E$4:$CZ$32,28,FALSE)*'Incremental Repayments'!$I$22)),0),0)</f>
        <v>0</v>
      </c>
      <c r="CL115" s="477">
        <f>IF('Incremental Repayments'!$R$22="Debt",IF(AND(CL$4&gt;=$D115,CL$4&lt;$D115+'Incremental Repayments'!$I$31),-PMT('Interest Rate'!$J$16,'Incremental Repayments'!$I$31,(HLOOKUP($D115,$E$4:$CZ$32,28,FALSE)*'Incremental Repayments'!$I$22)),0),0)</f>
        <v>0</v>
      </c>
      <c r="CM115" s="477">
        <f>IF('Incremental Repayments'!$R$22="Debt",IF(AND(CM$4&gt;=$D115,CM$4&lt;$D115+'Incremental Repayments'!$I$31),-PMT('Interest Rate'!$J$16,'Incremental Repayments'!$I$31,(HLOOKUP($D115,$E$4:$CZ$32,28,FALSE)*'Incremental Repayments'!$I$22)),0),0)</f>
        <v>0</v>
      </c>
      <c r="CN115" s="477">
        <f>IF('Incremental Repayments'!$R$22="Debt",IF(AND(CN$4&gt;=$D115,CN$4&lt;$D115+'Incremental Repayments'!$I$31),-PMT('Interest Rate'!$J$16,'Incremental Repayments'!$I$31,(HLOOKUP($D115,$E$4:$CZ$32,28,FALSE)*'Incremental Repayments'!$I$22)),0),0)</f>
        <v>0</v>
      </c>
      <c r="CO115" s="477">
        <f>IF('Incremental Repayments'!$R$22="Debt",IF(AND(CO$4&gt;=$D115,CO$4&lt;$D115+'Incremental Repayments'!$I$31),-PMT('Interest Rate'!$J$16,'Incremental Repayments'!$I$31,(HLOOKUP($D115,$E$4:$CZ$32,28,FALSE)*'Incremental Repayments'!$I$22)),0),0)</f>
        <v>0</v>
      </c>
      <c r="CP115" s="477">
        <f>IF('Incremental Repayments'!$R$22="Debt",IF(AND(CP$4&gt;=$D115,CP$4&lt;$D115+'Incremental Repayments'!$I$31),-PMT('Interest Rate'!$J$16,'Incremental Repayments'!$I$31,(HLOOKUP($D115,$E$4:$CZ$32,28,FALSE)*'Incremental Repayments'!$I$22)),0),0)</f>
        <v>0</v>
      </c>
      <c r="CQ115" s="477">
        <f>IF('Incremental Repayments'!$R$22="Debt",IF(AND(CQ$4&gt;=$D115,CQ$4&lt;$D115+'Incremental Repayments'!$I$31),-PMT('Interest Rate'!$J$16,'Incremental Repayments'!$I$31,(HLOOKUP($D115,$E$4:$CZ$32,28,FALSE)*'Incremental Repayments'!$I$22)),0),0)</f>
        <v>0</v>
      </c>
      <c r="CR115" s="477">
        <f>IF('Incremental Repayments'!$R$22="Debt",IF(AND(CR$4&gt;=$D115,CR$4&lt;$D115+'Incremental Repayments'!$I$31),-PMT('Interest Rate'!$J$16,'Incremental Repayments'!$I$31,(HLOOKUP($D115,$E$4:$CZ$32,28,FALSE)*'Incremental Repayments'!$I$22)),0),0)</f>
        <v>0</v>
      </c>
      <c r="CS115" s="477">
        <f>IF('Incremental Repayments'!$R$22="Debt",IF(AND(CS$4&gt;=$D115,CS$4&lt;$D115+'Incremental Repayments'!$I$31),-PMT('Interest Rate'!$J$16,'Incremental Repayments'!$I$31,(HLOOKUP($D115,$E$4:$CZ$32,28,FALSE)*'Incremental Repayments'!$I$22)),0),0)</f>
        <v>0</v>
      </c>
      <c r="CT115" s="477">
        <f>IF('Incremental Repayments'!$R$22="Debt",IF(AND(CT$4&gt;=$D115,CT$4&lt;$D115+'Incremental Repayments'!$I$31),-PMT('Interest Rate'!$J$16,'Incremental Repayments'!$I$31,(HLOOKUP($D115,$E$4:$CZ$32,28,FALSE)*'Incremental Repayments'!$I$22)),0),0)</f>
        <v>0</v>
      </c>
      <c r="CU115" s="477">
        <f>IF('Incremental Repayments'!$R$22="Debt",IF(AND(CU$4&gt;=$D115,CU$4&lt;$D115+'Incremental Repayments'!$I$31),-PMT('Interest Rate'!$J$16,'Incremental Repayments'!$I$31,(HLOOKUP($D115,$E$4:$CZ$32,28,FALSE)*'Incremental Repayments'!$I$22)),0),0)</f>
        <v>0</v>
      </c>
      <c r="CV115" s="477">
        <f>IF('Incremental Repayments'!$R$22="Debt",IF(AND(CV$4&gt;=$D115,CV$4&lt;$D115+'Incremental Repayments'!$I$31),-PMT('Interest Rate'!$J$16,'Incremental Repayments'!$I$31,(HLOOKUP($D115,$E$4:$CZ$32,28,FALSE)*'Incremental Repayments'!$I$22)),0),0)</f>
        <v>0</v>
      </c>
      <c r="CW115" s="477">
        <f>IF('Incremental Repayments'!$R$22="Debt",IF(AND(CW$4&gt;=$D115,CW$4&lt;$D115+'Incremental Repayments'!$I$31),-PMT('Interest Rate'!$J$16,'Incremental Repayments'!$I$31,(HLOOKUP($D115,$E$4:$CZ$32,28,FALSE)*'Incremental Repayments'!$I$22)),0),0)</f>
        <v>0</v>
      </c>
      <c r="CX115" s="477">
        <f>IF('Incremental Repayments'!$R$22="Debt",IF(AND(CX$4&gt;=$D115,CX$4&lt;$D115+'Incremental Repayments'!$I$31),-PMT('Interest Rate'!$J$16,'Incremental Repayments'!$I$31,(HLOOKUP($D115,$E$4:$CZ$32,28,FALSE)*'Incremental Repayments'!$I$22)),0),0)</f>
        <v>0</v>
      </c>
      <c r="CY115" s="477">
        <f>IF('Incremental Repayments'!$R$22="Debt",IF(AND(CY$4&gt;=$D115,CY$4&lt;$D115+'Incremental Repayments'!$I$31),-PMT('Interest Rate'!$J$16,'Incremental Repayments'!$I$31,(HLOOKUP($D115,$E$4:$CZ$32,28,FALSE)*'Incremental Repayments'!$I$22)),0),0)</f>
        <v>0</v>
      </c>
      <c r="CZ115" s="477">
        <f>IF('Incremental Repayments'!$R$22="Debt",IF(AND(CZ$4&gt;=$D115,CZ$4&lt;$D115+'Incremental Repayments'!$I$31),-PMT('Interest Rate'!$J$16,'Incremental Repayments'!$I$31,(HLOOKUP($D115,$E$4:$CZ$32,28,FALSE)*'Incremental Repayments'!$I$22)),0),0)</f>
        <v>0</v>
      </c>
    </row>
    <row r="116" spans="1:104" x14ac:dyDescent="0.25">
      <c r="B116" s="480" t="str">
        <f>CONCATENATE("Series ",D116,"A Bonds (at ",'Interest Rate'!$J$16*100,"% Interest)")</f>
        <v>Series 2094A Bonds (at 4.5% Interest)</v>
      </c>
      <c r="C116" s="480"/>
      <c r="D116" s="492">
        <f t="shared" si="496"/>
        <v>2094</v>
      </c>
      <c r="E116" s="477">
        <f>IF('Incremental Repayments'!$R$22="Debt",IF(AND(E$4&gt;=$D116,E$4&lt;$D116+'Incremental Repayments'!$I$31),-PMT('Interest Rate'!$J$16,'Incremental Repayments'!$I$31,(HLOOKUP($D116,$E$4:$CZ$32,28,FALSE)*'Incremental Repayments'!$I$22)),0),0)</f>
        <v>0</v>
      </c>
      <c r="F116" s="477">
        <f>IF('Incremental Repayments'!$R$22="Debt",IF(AND(F$4&gt;=$D116,F$4&lt;$D116+'Incremental Repayments'!$I$31),-PMT('Interest Rate'!$J$16,'Incremental Repayments'!$I$31,(HLOOKUP($D116,$E$4:$CZ$32,28,FALSE)*'Incremental Repayments'!$I$22)),0),0)</f>
        <v>0</v>
      </c>
      <c r="G116" s="477">
        <f>IF('Incremental Repayments'!$R$22="Debt",IF(AND(G$4&gt;=$D116,G$4&lt;$D116+'Incremental Repayments'!$I$31),-PMT('Interest Rate'!$J$16,'Incremental Repayments'!$I$31,(HLOOKUP($D116,$E$4:$CZ$32,28,FALSE)*'Incremental Repayments'!$I$22)),0),0)</f>
        <v>0</v>
      </c>
      <c r="H116" s="477">
        <f>IF('Incremental Repayments'!$R$22="Debt",IF(AND(H$4&gt;=$D116,H$4&lt;$D116+'Incremental Repayments'!$I$31),-PMT('Interest Rate'!$J$16,'Incremental Repayments'!$I$31,(HLOOKUP($D116,$E$4:$CZ$32,28,FALSE)*'Incremental Repayments'!$I$22)),0),0)</f>
        <v>0</v>
      </c>
      <c r="I116" s="477">
        <f>IF('Incremental Repayments'!$R$22="Debt",IF(AND(I$4&gt;=$D116,I$4&lt;$D116+'Incremental Repayments'!$I$31),-PMT('Interest Rate'!$J$16,'Incremental Repayments'!$I$31,(HLOOKUP($D116,$E$4:$CZ$32,28,FALSE)*'Incremental Repayments'!$I$22)),0),0)</f>
        <v>0</v>
      </c>
      <c r="J116" s="477">
        <f>IF('Incremental Repayments'!$R$22="Debt",IF(AND(J$4&gt;=$D116,J$4&lt;$D116+'Incremental Repayments'!$I$31),-PMT('Interest Rate'!$J$16,'Incremental Repayments'!$I$31,(HLOOKUP($D116,$E$4:$CZ$32,28,FALSE)*'Incremental Repayments'!$I$22)),0),0)</f>
        <v>0</v>
      </c>
      <c r="K116" s="477">
        <f>IF('Incremental Repayments'!$R$22="Debt",IF(AND(K$4&gt;=$D116,K$4&lt;$D116+'Incremental Repayments'!$I$31),-PMT('Interest Rate'!$J$16,'Incremental Repayments'!$I$31,(HLOOKUP($D116,$E$4:$CZ$32,28,FALSE)*'Incremental Repayments'!$I$22)),0),0)</f>
        <v>0</v>
      </c>
      <c r="L116" s="477">
        <f>IF('Incremental Repayments'!$R$22="Debt",IF(AND(L$4&gt;=$D116,L$4&lt;$D116+'Incremental Repayments'!$I$31),-PMT('Interest Rate'!$J$16,'Incremental Repayments'!$I$31,(HLOOKUP($D116,$E$4:$CZ$32,28,FALSE)*'Incremental Repayments'!$I$22)),0),0)</f>
        <v>0</v>
      </c>
      <c r="M116" s="477">
        <f>IF('Incremental Repayments'!$R$22="Debt",IF(AND(M$4&gt;=$D116,M$4&lt;$D116+'Incremental Repayments'!$I$31),-PMT('Interest Rate'!$J$16,'Incremental Repayments'!$I$31,(HLOOKUP($D116,$E$4:$CZ$32,28,FALSE)*'Incremental Repayments'!$I$22)),0),0)</f>
        <v>0</v>
      </c>
      <c r="N116" s="477">
        <f>IF('Incremental Repayments'!$R$22="Debt",IF(AND(N$4&gt;=$D116,N$4&lt;$D116+'Incremental Repayments'!$I$31),-PMT('Interest Rate'!$J$16,'Incremental Repayments'!$I$31,(HLOOKUP($D116,$E$4:$CZ$32,28,FALSE)*'Incremental Repayments'!$I$22)),0),0)</f>
        <v>0</v>
      </c>
      <c r="O116" s="477">
        <f>IF('Incremental Repayments'!$R$22="Debt",IF(AND(O$4&gt;=$D116,O$4&lt;$D116+'Incremental Repayments'!$I$31),-PMT('Interest Rate'!$J$16,'Incremental Repayments'!$I$31,(HLOOKUP($D116,$E$4:$CZ$32,28,FALSE)*'Incremental Repayments'!$I$22)),0),0)</f>
        <v>0</v>
      </c>
      <c r="P116" s="477">
        <f>IF('Incremental Repayments'!$R$22="Debt",IF(AND(P$4&gt;=$D116,P$4&lt;$D116+'Incremental Repayments'!$I$31),-PMT('Interest Rate'!$J$16,'Incremental Repayments'!$I$31,(HLOOKUP($D116,$E$4:$CZ$32,28,FALSE)*'Incremental Repayments'!$I$22)),0),0)</f>
        <v>0</v>
      </c>
      <c r="Q116" s="477">
        <f>IF('Incremental Repayments'!$R$22="Debt",IF(AND(Q$4&gt;=$D116,Q$4&lt;$D116+'Incremental Repayments'!$I$31),-PMT('Interest Rate'!$J$16,'Incremental Repayments'!$I$31,(HLOOKUP($D116,$E$4:$CZ$32,28,FALSE)*'Incremental Repayments'!$I$22)),0),0)</f>
        <v>0</v>
      </c>
      <c r="R116" s="477">
        <f>IF('Incremental Repayments'!$R$22="Debt",IF(AND(R$4&gt;=$D116,R$4&lt;$D116+'Incremental Repayments'!$I$31),-PMT('Interest Rate'!$J$16,'Incremental Repayments'!$I$31,(HLOOKUP($D116,$E$4:$CZ$32,28,FALSE)*'Incremental Repayments'!$I$22)),0),0)</f>
        <v>0</v>
      </c>
      <c r="S116" s="477">
        <f>IF('Incremental Repayments'!$R$22="Debt",IF(AND(S$4&gt;=$D116,S$4&lt;$D116+'Incremental Repayments'!$I$31),-PMT('Interest Rate'!$J$16,'Incremental Repayments'!$I$31,(HLOOKUP($D116,$E$4:$CZ$32,28,FALSE)*'Incremental Repayments'!$I$22)),0),0)</f>
        <v>0</v>
      </c>
      <c r="T116" s="477">
        <f>IF('Incremental Repayments'!$R$22="Debt",IF(AND(T$4&gt;=$D116,T$4&lt;$D116+'Incremental Repayments'!$I$31),-PMT('Interest Rate'!$J$16,'Incremental Repayments'!$I$31,(HLOOKUP($D116,$E$4:$CZ$32,28,FALSE)*'Incremental Repayments'!$I$22)),0),0)</f>
        <v>0</v>
      </c>
      <c r="U116" s="477">
        <f>IF('Incremental Repayments'!$R$22="Debt",IF(AND(U$4&gt;=$D116,U$4&lt;$D116+'Incremental Repayments'!$I$31),-PMT('Interest Rate'!$J$16,'Incremental Repayments'!$I$31,(HLOOKUP($D116,$E$4:$CZ$32,28,FALSE)*'Incremental Repayments'!$I$22)),0),0)</f>
        <v>0</v>
      </c>
      <c r="V116" s="477">
        <f>IF('Incremental Repayments'!$R$22="Debt",IF(AND(V$4&gt;=$D116,V$4&lt;$D116+'Incremental Repayments'!$I$31),-PMT('Interest Rate'!$J$16,'Incremental Repayments'!$I$31,(HLOOKUP($D116,$E$4:$CZ$32,28,FALSE)*'Incremental Repayments'!$I$22)),0),0)</f>
        <v>0</v>
      </c>
      <c r="W116" s="477">
        <f>IF('Incremental Repayments'!$R$22="Debt",IF(AND(W$4&gt;=$D116,W$4&lt;$D116+'Incremental Repayments'!$I$31),-PMT('Interest Rate'!$J$16,'Incremental Repayments'!$I$31,(HLOOKUP($D116,$E$4:$CZ$32,28,FALSE)*'Incremental Repayments'!$I$22)),0),0)</f>
        <v>0</v>
      </c>
      <c r="X116" s="477">
        <f>IF('Incremental Repayments'!$R$22="Debt",IF(AND(X$4&gt;=$D116,X$4&lt;$D116+'Incremental Repayments'!$I$31),-PMT('Interest Rate'!$J$16,'Incremental Repayments'!$I$31,(HLOOKUP($D116,$E$4:$CZ$32,28,FALSE)*'Incremental Repayments'!$I$22)),0),0)</f>
        <v>0</v>
      </c>
      <c r="Y116" s="477">
        <f>IF('Incremental Repayments'!$R$22="Debt",IF(AND(Y$4&gt;=$D116,Y$4&lt;$D116+'Incremental Repayments'!$I$31),-PMT('Interest Rate'!$J$16,'Incremental Repayments'!$I$31,(HLOOKUP($D116,$E$4:$CZ$32,28,FALSE)*'Incremental Repayments'!$I$22)),0),0)</f>
        <v>0</v>
      </c>
      <c r="Z116" s="477">
        <f>IF('Incremental Repayments'!$R$22="Debt",IF(AND(Z$4&gt;=$D116,Z$4&lt;$D116+'Incremental Repayments'!$I$31),-PMT('Interest Rate'!$J$16,'Incremental Repayments'!$I$31,(HLOOKUP($D116,$E$4:$CZ$32,28,FALSE)*'Incremental Repayments'!$I$22)),0),0)</f>
        <v>0</v>
      </c>
      <c r="AA116" s="477">
        <f>IF('Incremental Repayments'!$R$22="Debt",IF(AND(AA$4&gt;=$D116,AA$4&lt;$D116+'Incremental Repayments'!$I$31),-PMT('Interest Rate'!$J$16,'Incremental Repayments'!$I$31,(HLOOKUP($D116,$E$4:$CZ$32,28,FALSE)*'Incremental Repayments'!$I$22)),0),0)</f>
        <v>0</v>
      </c>
      <c r="AB116" s="477">
        <f>IF('Incremental Repayments'!$R$22="Debt",IF(AND(AB$4&gt;=$D116,AB$4&lt;$D116+'Incremental Repayments'!$I$31),-PMT('Interest Rate'!$J$16,'Incremental Repayments'!$I$31,(HLOOKUP($D116,$E$4:$CZ$32,28,FALSE)*'Incremental Repayments'!$I$22)),0),0)</f>
        <v>0</v>
      </c>
      <c r="AC116" s="477">
        <f>IF('Incremental Repayments'!$R$22="Debt",IF(AND(AC$4&gt;=$D116,AC$4&lt;$D116+'Incremental Repayments'!$I$31),-PMT('Interest Rate'!$J$16,'Incremental Repayments'!$I$31,(HLOOKUP($D116,$E$4:$CZ$32,28,FALSE)*'Incremental Repayments'!$I$22)),0),0)</f>
        <v>0</v>
      </c>
      <c r="AD116" s="477">
        <f>IF('Incremental Repayments'!$R$22="Debt",IF(AND(AD$4&gt;=$D116,AD$4&lt;$D116+'Incremental Repayments'!$I$31),-PMT('Interest Rate'!$J$16,'Incremental Repayments'!$I$31,(HLOOKUP($D116,$E$4:$CZ$32,28,FALSE)*'Incremental Repayments'!$I$22)),0),0)</f>
        <v>0</v>
      </c>
      <c r="AE116" s="477">
        <f>IF('Incremental Repayments'!$R$22="Debt",IF(AND(AE$4&gt;=$D116,AE$4&lt;$D116+'Incremental Repayments'!$I$31),-PMT('Interest Rate'!$J$16,'Incremental Repayments'!$I$31,(HLOOKUP($D116,$E$4:$CZ$32,28,FALSE)*'Incremental Repayments'!$I$22)),0),0)</f>
        <v>0</v>
      </c>
      <c r="AF116" s="477">
        <f>IF('Incremental Repayments'!$R$22="Debt",IF(AND(AF$4&gt;=$D116,AF$4&lt;$D116+'Incremental Repayments'!$I$31),-PMT('Interest Rate'!$J$16,'Incremental Repayments'!$I$31,(HLOOKUP($D116,$E$4:$CZ$32,28,FALSE)*'Incremental Repayments'!$I$22)),0),0)</f>
        <v>0</v>
      </c>
      <c r="AG116" s="477">
        <f>IF('Incremental Repayments'!$R$22="Debt",IF(AND(AG$4&gt;=$D116,AG$4&lt;$D116+'Incremental Repayments'!$I$31),-PMT('Interest Rate'!$J$16,'Incremental Repayments'!$I$31,(HLOOKUP($D116,$E$4:$CZ$32,28,FALSE)*'Incremental Repayments'!$I$22)),0),0)</f>
        <v>0</v>
      </c>
      <c r="AH116" s="477">
        <f>IF('Incremental Repayments'!$R$22="Debt",IF(AND(AH$4&gt;=$D116,AH$4&lt;$D116+'Incremental Repayments'!$I$31),-PMT('Interest Rate'!$J$16,'Incremental Repayments'!$I$31,(HLOOKUP($D116,$E$4:$CZ$32,28,FALSE)*'Incremental Repayments'!$I$22)),0),0)</f>
        <v>0</v>
      </c>
      <c r="AI116" s="477">
        <f>IF('Incremental Repayments'!$R$22="Debt",IF(AND(AI$4&gt;=$D116,AI$4&lt;$D116+'Incremental Repayments'!$I$31),-PMT('Interest Rate'!$J$16,'Incremental Repayments'!$I$31,(HLOOKUP($D116,$E$4:$CZ$32,28,FALSE)*'Incremental Repayments'!$I$22)),0),0)</f>
        <v>0</v>
      </c>
      <c r="AJ116" s="477">
        <f>IF('Incremental Repayments'!$R$22="Debt",IF(AND(AJ$4&gt;=$D116,AJ$4&lt;$D116+'Incremental Repayments'!$I$31),-PMT('Interest Rate'!$J$16,'Incremental Repayments'!$I$31,(HLOOKUP($D116,$E$4:$CZ$32,28,FALSE)*'Incremental Repayments'!$I$22)),0),0)</f>
        <v>0</v>
      </c>
      <c r="AK116" s="477">
        <f>IF('Incremental Repayments'!$R$22="Debt",IF(AND(AK$4&gt;=$D116,AK$4&lt;$D116+'Incremental Repayments'!$I$31),-PMT('Interest Rate'!$J$16,'Incremental Repayments'!$I$31,(HLOOKUP($D116,$E$4:$CZ$32,28,FALSE)*'Incremental Repayments'!$I$22)),0),0)</f>
        <v>0</v>
      </c>
      <c r="AL116" s="477">
        <f>IF('Incremental Repayments'!$R$22="Debt",IF(AND(AL$4&gt;=$D116,AL$4&lt;$D116+'Incremental Repayments'!$I$31),-PMT('Interest Rate'!$J$16,'Incremental Repayments'!$I$31,(HLOOKUP($D116,$E$4:$CZ$32,28,FALSE)*'Incremental Repayments'!$I$22)),0),0)</f>
        <v>0</v>
      </c>
      <c r="AM116" s="477">
        <f>IF('Incremental Repayments'!$R$22="Debt",IF(AND(AM$4&gt;=$D116,AM$4&lt;$D116+'Incremental Repayments'!$I$31),-PMT('Interest Rate'!$J$16,'Incremental Repayments'!$I$31,(HLOOKUP($D116,$E$4:$CZ$32,28,FALSE)*'Incremental Repayments'!$I$22)),0),0)</f>
        <v>0</v>
      </c>
      <c r="AN116" s="477">
        <f>IF('Incremental Repayments'!$R$22="Debt",IF(AND(AN$4&gt;=$D116,AN$4&lt;$D116+'Incremental Repayments'!$I$31),-PMT('Interest Rate'!$J$16,'Incremental Repayments'!$I$31,(HLOOKUP($D116,$E$4:$CZ$32,28,FALSE)*'Incremental Repayments'!$I$22)),0),0)</f>
        <v>0</v>
      </c>
      <c r="AO116" s="477">
        <f>IF('Incremental Repayments'!$R$22="Debt",IF(AND(AO$4&gt;=$D116,AO$4&lt;$D116+'Incremental Repayments'!$I$31),-PMT('Interest Rate'!$J$16,'Incremental Repayments'!$I$31,(HLOOKUP($D116,$E$4:$CZ$32,28,FALSE)*'Incremental Repayments'!$I$22)),0),0)</f>
        <v>0</v>
      </c>
      <c r="AP116" s="477">
        <f>IF('Incremental Repayments'!$R$22="Debt",IF(AND(AP$4&gt;=$D116,AP$4&lt;$D116+'Incremental Repayments'!$I$31),-PMT('Interest Rate'!$J$16,'Incremental Repayments'!$I$31,(HLOOKUP($D116,$E$4:$CZ$32,28,FALSE)*'Incremental Repayments'!$I$22)),0),0)</f>
        <v>0</v>
      </c>
      <c r="AQ116" s="477">
        <f>IF('Incremental Repayments'!$R$22="Debt",IF(AND(AQ$4&gt;=$D116,AQ$4&lt;$D116+'Incremental Repayments'!$I$31),-PMT('Interest Rate'!$J$16,'Incremental Repayments'!$I$31,(HLOOKUP($D116,$E$4:$CZ$32,28,FALSE)*'Incremental Repayments'!$I$22)),0),0)</f>
        <v>0</v>
      </c>
      <c r="AR116" s="477">
        <f>IF('Incremental Repayments'!$R$22="Debt",IF(AND(AR$4&gt;=$D116,AR$4&lt;$D116+'Incremental Repayments'!$I$31),-PMT('Interest Rate'!$J$16,'Incremental Repayments'!$I$31,(HLOOKUP($D116,$E$4:$CZ$32,28,FALSE)*'Incremental Repayments'!$I$22)),0),0)</f>
        <v>0</v>
      </c>
      <c r="AS116" s="477">
        <f>IF('Incremental Repayments'!$R$22="Debt",IF(AND(AS$4&gt;=$D116,AS$4&lt;$D116+'Incremental Repayments'!$I$31),-PMT('Interest Rate'!$J$16,'Incremental Repayments'!$I$31,(HLOOKUP($D116,$E$4:$CZ$32,28,FALSE)*'Incremental Repayments'!$I$22)),0),0)</f>
        <v>0</v>
      </c>
      <c r="AT116" s="477">
        <f>IF('Incremental Repayments'!$R$22="Debt",IF(AND(AT$4&gt;=$D116,AT$4&lt;$D116+'Incremental Repayments'!$I$31),-PMT('Interest Rate'!$J$16,'Incremental Repayments'!$I$31,(HLOOKUP($D116,$E$4:$CZ$32,28,FALSE)*'Incremental Repayments'!$I$22)),0),0)</f>
        <v>0</v>
      </c>
      <c r="AU116" s="477">
        <f>IF('Incremental Repayments'!$R$22="Debt",IF(AND(AU$4&gt;=$D116,AU$4&lt;$D116+'Incremental Repayments'!$I$31),-PMT('Interest Rate'!$J$16,'Incremental Repayments'!$I$31,(HLOOKUP($D116,$E$4:$CZ$32,28,FALSE)*'Incremental Repayments'!$I$22)),0),0)</f>
        <v>0</v>
      </c>
      <c r="AV116" s="477">
        <f>IF('Incremental Repayments'!$R$22="Debt",IF(AND(AV$4&gt;=$D116,AV$4&lt;$D116+'Incremental Repayments'!$I$31),-PMT('Interest Rate'!$J$16,'Incremental Repayments'!$I$31,(HLOOKUP($D116,$E$4:$CZ$32,28,FALSE)*'Incremental Repayments'!$I$22)),0),0)</f>
        <v>0</v>
      </c>
      <c r="AW116" s="477">
        <f>IF('Incremental Repayments'!$R$22="Debt",IF(AND(AW$4&gt;=$D116,AW$4&lt;$D116+'Incremental Repayments'!$I$31),-PMT('Interest Rate'!$J$16,'Incremental Repayments'!$I$31,(HLOOKUP($D116,$E$4:$CZ$32,28,FALSE)*'Incremental Repayments'!$I$22)),0),0)</f>
        <v>0</v>
      </c>
      <c r="AX116" s="477">
        <f>IF('Incremental Repayments'!$R$22="Debt",IF(AND(AX$4&gt;=$D116,AX$4&lt;$D116+'Incremental Repayments'!$I$31),-PMT('Interest Rate'!$J$16,'Incremental Repayments'!$I$31,(HLOOKUP($D116,$E$4:$CZ$32,28,FALSE)*'Incremental Repayments'!$I$22)),0),0)</f>
        <v>0</v>
      </c>
      <c r="AY116" s="477">
        <f>IF('Incremental Repayments'!$R$22="Debt",IF(AND(AY$4&gt;=$D116,AY$4&lt;$D116+'Incremental Repayments'!$I$31),-PMT('Interest Rate'!$J$16,'Incremental Repayments'!$I$31,(HLOOKUP($D116,$E$4:$CZ$32,28,FALSE)*'Incremental Repayments'!$I$22)),0),0)</f>
        <v>0</v>
      </c>
      <c r="AZ116" s="477">
        <f>IF('Incremental Repayments'!$R$22="Debt",IF(AND(AZ$4&gt;=$D116,AZ$4&lt;$D116+'Incremental Repayments'!$I$31),-PMT('Interest Rate'!$J$16,'Incremental Repayments'!$I$31,(HLOOKUP($D116,$E$4:$CZ$32,28,FALSE)*'Incremental Repayments'!$I$22)),0),0)</f>
        <v>0</v>
      </c>
      <c r="BA116" s="477">
        <f>IF('Incremental Repayments'!$R$22="Debt",IF(AND(BA$4&gt;=$D116,BA$4&lt;$D116+'Incremental Repayments'!$I$31),-PMT('Interest Rate'!$J$16,'Incremental Repayments'!$I$31,(HLOOKUP($D116,$E$4:$CZ$32,28,FALSE)*'Incremental Repayments'!$I$22)),0),0)</f>
        <v>0</v>
      </c>
      <c r="BB116" s="477">
        <f>IF('Incremental Repayments'!$R$22="Debt",IF(AND(BB$4&gt;=$D116,BB$4&lt;$D116+'Incremental Repayments'!$I$31),-PMT('Interest Rate'!$J$16,'Incremental Repayments'!$I$31,(HLOOKUP($D116,$E$4:$CZ$32,28,FALSE)*'Incremental Repayments'!$I$22)),0),0)</f>
        <v>0</v>
      </c>
      <c r="BC116" s="477">
        <f>IF('Incremental Repayments'!$R$22="Debt",IF(AND(BC$4&gt;=$D116,BC$4&lt;$D116+'Incremental Repayments'!$I$31),-PMT('Interest Rate'!$J$16,'Incremental Repayments'!$I$31,(HLOOKUP($D116,$E$4:$CZ$32,28,FALSE)*'Incremental Repayments'!$I$22)),0),0)</f>
        <v>0</v>
      </c>
      <c r="BD116" s="477">
        <f>IF('Incremental Repayments'!$R$22="Debt",IF(AND(BD$4&gt;=$D116,BD$4&lt;$D116+'Incremental Repayments'!$I$31),-PMT('Interest Rate'!$J$16,'Incremental Repayments'!$I$31,(HLOOKUP($D116,$E$4:$CZ$32,28,FALSE)*'Incremental Repayments'!$I$22)),0),0)</f>
        <v>0</v>
      </c>
      <c r="BE116" s="477">
        <f>IF('Incremental Repayments'!$R$22="Debt",IF(AND(BE$4&gt;=$D116,BE$4&lt;$D116+'Incremental Repayments'!$I$31),-PMT('Interest Rate'!$J$16,'Incremental Repayments'!$I$31,(HLOOKUP($D116,$E$4:$CZ$32,28,FALSE)*'Incremental Repayments'!$I$22)),0),0)</f>
        <v>0</v>
      </c>
      <c r="BF116" s="477">
        <f>IF('Incremental Repayments'!$R$22="Debt",IF(AND(BF$4&gt;=$D116,BF$4&lt;$D116+'Incremental Repayments'!$I$31),-PMT('Interest Rate'!$J$16,'Incremental Repayments'!$I$31,(HLOOKUP($D116,$E$4:$CZ$32,28,FALSE)*'Incremental Repayments'!$I$22)),0),0)</f>
        <v>0</v>
      </c>
      <c r="BG116" s="477">
        <f>IF('Incremental Repayments'!$R$22="Debt",IF(AND(BG$4&gt;=$D116,BG$4&lt;$D116+'Incremental Repayments'!$I$31),-PMT('Interest Rate'!$J$16,'Incremental Repayments'!$I$31,(HLOOKUP($D116,$E$4:$CZ$32,28,FALSE)*'Incremental Repayments'!$I$22)),0),0)</f>
        <v>0</v>
      </c>
      <c r="BH116" s="477">
        <f>IF('Incremental Repayments'!$R$22="Debt",IF(AND(BH$4&gt;=$D116,BH$4&lt;$D116+'Incremental Repayments'!$I$31),-PMT('Interest Rate'!$J$16,'Incremental Repayments'!$I$31,(HLOOKUP($D116,$E$4:$CZ$32,28,FALSE)*'Incremental Repayments'!$I$22)),0),0)</f>
        <v>0</v>
      </c>
      <c r="BI116" s="477">
        <f>IF('Incremental Repayments'!$R$22="Debt",IF(AND(BI$4&gt;=$D116,BI$4&lt;$D116+'Incremental Repayments'!$I$31),-PMT('Interest Rate'!$J$16,'Incremental Repayments'!$I$31,(HLOOKUP($D116,$E$4:$CZ$32,28,FALSE)*'Incremental Repayments'!$I$22)),0),0)</f>
        <v>0</v>
      </c>
      <c r="BJ116" s="477">
        <f>IF('Incremental Repayments'!$R$22="Debt",IF(AND(BJ$4&gt;=$D116,BJ$4&lt;$D116+'Incremental Repayments'!$I$31),-PMT('Interest Rate'!$J$16,'Incremental Repayments'!$I$31,(HLOOKUP($D116,$E$4:$CZ$32,28,FALSE)*'Incremental Repayments'!$I$22)),0),0)</f>
        <v>0</v>
      </c>
      <c r="BK116" s="477">
        <f>IF('Incremental Repayments'!$R$22="Debt",IF(AND(BK$4&gt;=$D116,BK$4&lt;$D116+'Incremental Repayments'!$I$31),-PMT('Interest Rate'!$J$16,'Incremental Repayments'!$I$31,(HLOOKUP($D116,$E$4:$CZ$32,28,FALSE)*'Incremental Repayments'!$I$22)),0),0)</f>
        <v>0</v>
      </c>
      <c r="BL116" s="477">
        <f>IF('Incremental Repayments'!$R$22="Debt",IF(AND(BL$4&gt;=$D116,BL$4&lt;$D116+'Incremental Repayments'!$I$31),-PMT('Interest Rate'!$J$16,'Incremental Repayments'!$I$31,(HLOOKUP($D116,$E$4:$CZ$32,28,FALSE)*'Incremental Repayments'!$I$22)),0),0)</f>
        <v>0</v>
      </c>
      <c r="BM116" s="477">
        <f>IF('Incremental Repayments'!$R$22="Debt",IF(AND(BM$4&gt;=$D116,BM$4&lt;$D116+'Incremental Repayments'!$I$31),-PMT('Interest Rate'!$J$16,'Incremental Repayments'!$I$31,(HLOOKUP($D116,$E$4:$CZ$32,28,FALSE)*'Incremental Repayments'!$I$22)),0),0)</f>
        <v>0</v>
      </c>
      <c r="BN116" s="477">
        <f>IF('Incremental Repayments'!$R$22="Debt",IF(AND(BN$4&gt;=$D116,BN$4&lt;$D116+'Incremental Repayments'!$I$31),-PMT('Interest Rate'!$J$16,'Incremental Repayments'!$I$31,(HLOOKUP($D116,$E$4:$CZ$32,28,FALSE)*'Incremental Repayments'!$I$22)),0),0)</f>
        <v>0</v>
      </c>
      <c r="BO116" s="477">
        <f>IF('Incremental Repayments'!$R$22="Debt",IF(AND(BO$4&gt;=$D116,BO$4&lt;$D116+'Incremental Repayments'!$I$31),-PMT('Interest Rate'!$J$16,'Incremental Repayments'!$I$31,(HLOOKUP($D116,$E$4:$CZ$32,28,FALSE)*'Incremental Repayments'!$I$22)),0),0)</f>
        <v>0</v>
      </c>
      <c r="BP116" s="477">
        <f>IF('Incremental Repayments'!$R$22="Debt",IF(AND(BP$4&gt;=$D116,BP$4&lt;$D116+'Incremental Repayments'!$I$31),-PMT('Interest Rate'!$J$16,'Incremental Repayments'!$I$31,(HLOOKUP($D116,$E$4:$CZ$32,28,FALSE)*'Incremental Repayments'!$I$22)),0),0)</f>
        <v>0</v>
      </c>
      <c r="BQ116" s="477">
        <f>IF('Incremental Repayments'!$R$22="Debt",IF(AND(BQ$4&gt;=$D116,BQ$4&lt;$D116+'Incremental Repayments'!$I$31),-PMT('Interest Rate'!$J$16,'Incremental Repayments'!$I$31,(HLOOKUP($D116,$E$4:$CZ$32,28,FALSE)*'Incremental Repayments'!$I$22)),0),0)</f>
        <v>0</v>
      </c>
      <c r="BR116" s="477">
        <f>IF('Incremental Repayments'!$R$22="Debt",IF(AND(BR$4&gt;=$D116,BR$4&lt;$D116+'Incremental Repayments'!$I$31),-PMT('Interest Rate'!$J$16,'Incremental Repayments'!$I$31,(HLOOKUP($D116,$E$4:$CZ$32,28,FALSE)*'Incremental Repayments'!$I$22)),0),0)</f>
        <v>0</v>
      </c>
      <c r="BS116" s="477">
        <f>IF('Incremental Repayments'!$R$22="Debt",IF(AND(BS$4&gt;=$D116,BS$4&lt;$D116+'Incremental Repayments'!$I$31),-PMT('Interest Rate'!$J$16,'Incremental Repayments'!$I$31,(HLOOKUP($D116,$E$4:$CZ$32,28,FALSE)*'Incremental Repayments'!$I$22)),0),0)</f>
        <v>0</v>
      </c>
      <c r="BT116" s="477">
        <f>IF('Incremental Repayments'!$R$22="Debt",IF(AND(BT$4&gt;=$D116,BT$4&lt;$D116+'Incremental Repayments'!$I$31),-PMT('Interest Rate'!$J$16,'Incremental Repayments'!$I$31,(HLOOKUP($D116,$E$4:$CZ$32,28,FALSE)*'Incremental Repayments'!$I$22)),0),0)</f>
        <v>0</v>
      </c>
      <c r="BU116" s="477">
        <f>IF('Incremental Repayments'!$R$22="Debt",IF(AND(BU$4&gt;=$D116,BU$4&lt;$D116+'Incremental Repayments'!$I$31),-PMT('Interest Rate'!$J$16,'Incremental Repayments'!$I$31,(HLOOKUP($D116,$E$4:$CZ$32,28,FALSE)*'Incremental Repayments'!$I$22)),0),0)</f>
        <v>0</v>
      </c>
      <c r="BV116" s="477">
        <f>IF('Incremental Repayments'!$R$22="Debt",IF(AND(BV$4&gt;=$D116,BV$4&lt;$D116+'Incremental Repayments'!$I$31),-PMT('Interest Rate'!$J$16,'Incremental Repayments'!$I$31,(HLOOKUP($D116,$E$4:$CZ$32,28,FALSE)*'Incremental Repayments'!$I$22)),0),0)</f>
        <v>0</v>
      </c>
      <c r="BW116" s="477">
        <f>IF('Incremental Repayments'!$R$22="Debt",IF(AND(BW$4&gt;=$D116,BW$4&lt;$D116+'Incremental Repayments'!$I$31),-PMT('Interest Rate'!$J$16,'Incremental Repayments'!$I$31,(HLOOKUP($D116,$E$4:$CZ$32,28,FALSE)*'Incremental Repayments'!$I$22)),0),0)</f>
        <v>0</v>
      </c>
      <c r="BX116" s="477">
        <f>IF('Incremental Repayments'!$R$22="Debt",IF(AND(BX$4&gt;=$D116,BX$4&lt;$D116+'Incremental Repayments'!$I$31),-PMT('Interest Rate'!$J$16,'Incremental Repayments'!$I$31,(HLOOKUP($D116,$E$4:$CZ$32,28,FALSE)*'Incremental Repayments'!$I$22)),0),0)</f>
        <v>0</v>
      </c>
      <c r="BY116" s="477">
        <f>IF('Incremental Repayments'!$R$22="Debt",IF(AND(BY$4&gt;=$D116,BY$4&lt;$D116+'Incremental Repayments'!$I$31),-PMT('Interest Rate'!$J$16,'Incremental Repayments'!$I$31,(HLOOKUP($D116,$E$4:$CZ$32,28,FALSE)*'Incremental Repayments'!$I$22)),0),0)</f>
        <v>0</v>
      </c>
      <c r="BZ116" s="477">
        <f>IF('Incremental Repayments'!$R$22="Debt",IF(AND(BZ$4&gt;=$D116,BZ$4&lt;$D116+'Incremental Repayments'!$I$31),-PMT('Interest Rate'!$J$16,'Incremental Repayments'!$I$31,(HLOOKUP($D116,$E$4:$CZ$32,28,FALSE)*'Incremental Repayments'!$I$22)),0),0)</f>
        <v>0</v>
      </c>
      <c r="CA116" s="477">
        <f>IF('Incremental Repayments'!$R$22="Debt",IF(AND(CA$4&gt;=$D116,CA$4&lt;$D116+'Incremental Repayments'!$I$31),-PMT('Interest Rate'!$J$16,'Incremental Repayments'!$I$31,(HLOOKUP($D116,$E$4:$CZ$32,28,FALSE)*'Incremental Repayments'!$I$22)),0),0)</f>
        <v>0</v>
      </c>
      <c r="CB116" s="477">
        <f>IF('Incremental Repayments'!$R$22="Debt",IF(AND(CB$4&gt;=$D116,CB$4&lt;$D116+'Incremental Repayments'!$I$31),-PMT('Interest Rate'!$J$16,'Incremental Repayments'!$I$31,(HLOOKUP($D116,$E$4:$CZ$32,28,FALSE)*'Incremental Repayments'!$I$22)),0),0)</f>
        <v>0</v>
      </c>
      <c r="CC116" s="477">
        <f>IF('Incremental Repayments'!$R$22="Debt",IF(AND(CC$4&gt;=$D116,CC$4&lt;$D116+'Incremental Repayments'!$I$31),-PMT('Interest Rate'!$J$16,'Incremental Repayments'!$I$31,(HLOOKUP($D116,$E$4:$CZ$32,28,FALSE)*'Incremental Repayments'!$I$22)),0),0)</f>
        <v>0</v>
      </c>
      <c r="CD116" s="477">
        <f>IF('Incremental Repayments'!$R$22="Debt",IF(AND(CD$4&gt;=$D116,CD$4&lt;$D116+'Incremental Repayments'!$I$31),-PMT('Interest Rate'!$J$16,'Incremental Repayments'!$I$31,(HLOOKUP($D116,$E$4:$CZ$32,28,FALSE)*'Incremental Repayments'!$I$22)),0),0)</f>
        <v>0</v>
      </c>
      <c r="CE116" s="477">
        <f>IF('Incremental Repayments'!$R$22="Debt",IF(AND(CE$4&gt;=$D116,CE$4&lt;$D116+'Incremental Repayments'!$I$31),-PMT('Interest Rate'!$J$16,'Incremental Repayments'!$I$31,(HLOOKUP($D116,$E$4:$CZ$32,28,FALSE)*'Incremental Repayments'!$I$22)),0),0)</f>
        <v>0</v>
      </c>
      <c r="CF116" s="477">
        <f>IF('Incremental Repayments'!$R$22="Debt",IF(AND(CF$4&gt;=$D116,CF$4&lt;$D116+'Incremental Repayments'!$I$31),-PMT('Interest Rate'!$J$16,'Incremental Repayments'!$I$31,(HLOOKUP($D116,$E$4:$CZ$32,28,FALSE)*'Incremental Repayments'!$I$22)),0),0)</f>
        <v>0</v>
      </c>
      <c r="CG116" s="477">
        <f>IF('Incremental Repayments'!$R$22="Debt",IF(AND(CG$4&gt;=$D116,CG$4&lt;$D116+'Incremental Repayments'!$I$31),-PMT('Interest Rate'!$J$16,'Incremental Repayments'!$I$31,(HLOOKUP($D116,$E$4:$CZ$32,28,FALSE)*'Incremental Repayments'!$I$22)),0),0)</f>
        <v>0</v>
      </c>
      <c r="CH116" s="477">
        <f>IF('Incremental Repayments'!$R$22="Debt",IF(AND(CH$4&gt;=$D116,CH$4&lt;$D116+'Incremental Repayments'!$I$31),-PMT('Interest Rate'!$J$16,'Incremental Repayments'!$I$31,(HLOOKUP($D116,$E$4:$CZ$32,28,FALSE)*'Incremental Repayments'!$I$22)),0),0)</f>
        <v>0</v>
      </c>
      <c r="CI116" s="477">
        <f>IF('Incremental Repayments'!$R$22="Debt",IF(AND(CI$4&gt;=$D116,CI$4&lt;$D116+'Incremental Repayments'!$I$31),-PMT('Interest Rate'!$J$16,'Incremental Repayments'!$I$31,(HLOOKUP($D116,$E$4:$CZ$32,28,FALSE)*'Incremental Repayments'!$I$22)),0),0)</f>
        <v>0</v>
      </c>
      <c r="CJ116" s="477">
        <f>IF('Incremental Repayments'!$R$22="Debt",IF(AND(CJ$4&gt;=$D116,CJ$4&lt;$D116+'Incremental Repayments'!$I$31),-PMT('Interest Rate'!$J$16,'Incremental Repayments'!$I$31,(HLOOKUP($D116,$E$4:$CZ$32,28,FALSE)*'Incremental Repayments'!$I$22)),0),0)</f>
        <v>0</v>
      </c>
      <c r="CK116" s="477">
        <f>IF('Incremental Repayments'!$R$22="Debt",IF(AND(CK$4&gt;=$D116,CK$4&lt;$D116+'Incremental Repayments'!$I$31),-PMT('Interest Rate'!$J$16,'Incremental Repayments'!$I$31,(HLOOKUP($D116,$E$4:$CZ$32,28,FALSE)*'Incremental Repayments'!$I$22)),0),0)</f>
        <v>0</v>
      </c>
      <c r="CL116" s="477">
        <f>IF('Incremental Repayments'!$R$22="Debt",IF(AND(CL$4&gt;=$D116,CL$4&lt;$D116+'Incremental Repayments'!$I$31),-PMT('Interest Rate'!$J$16,'Incremental Repayments'!$I$31,(HLOOKUP($D116,$E$4:$CZ$32,28,FALSE)*'Incremental Repayments'!$I$22)),0),0)</f>
        <v>0</v>
      </c>
      <c r="CM116" s="477">
        <f>IF('Incremental Repayments'!$R$22="Debt",IF(AND(CM$4&gt;=$D116,CM$4&lt;$D116+'Incremental Repayments'!$I$31),-PMT('Interest Rate'!$J$16,'Incremental Repayments'!$I$31,(HLOOKUP($D116,$E$4:$CZ$32,28,FALSE)*'Incremental Repayments'!$I$22)),0),0)</f>
        <v>0</v>
      </c>
      <c r="CN116" s="477">
        <f>IF('Incremental Repayments'!$R$22="Debt",IF(AND(CN$4&gt;=$D116,CN$4&lt;$D116+'Incremental Repayments'!$I$31),-PMT('Interest Rate'!$J$16,'Incremental Repayments'!$I$31,(HLOOKUP($D116,$E$4:$CZ$32,28,FALSE)*'Incremental Repayments'!$I$22)),0),0)</f>
        <v>0</v>
      </c>
      <c r="CO116" s="477">
        <f>IF('Incremental Repayments'!$R$22="Debt",IF(AND(CO$4&gt;=$D116,CO$4&lt;$D116+'Incremental Repayments'!$I$31),-PMT('Interest Rate'!$J$16,'Incremental Repayments'!$I$31,(HLOOKUP($D116,$E$4:$CZ$32,28,FALSE)*'Incremental Repayments'!$I$22)),0),0)</f>
        <v>0</v>
      </c>
      <c r="CP116" s="477">
        <f>IF('Incremental Repayments'!$R$22="Debt",IF(AND(CP$4&gt;=$D116,CP$4&lt;$D116+'Incremental Repayments'!$I$31),-PMT('Interest Rate'!$J$16,'Incremental Repayments'!$I$31,(HLOOKUP($D116,$E$4:$CZ$32,28,FALSE)*'Incremental Repayments'!$I$22)),0),0)</f>
        <v>0</v>
      </c>
      <c r="CQ116" s="477">
        <f>IF('Incremental Repayments'!$R$22="Debt",IF(AND(CQ$4&gt;=$D116,CQ$4&lt;$D116+'Incremental Repayments'!$I$31),-PMT('Interest Rate'!$J$16,'Incremental Repayments'!$I$31,(HLOOKUP($D116,$E$4:$CZ$32,28,FALSE)*'Incremental Repayments'!$I$22)),0),0)</f>
        <v>0</v>
      </c>
      <c r="CR116" s="477">
        <f>IF('Incremental Repayments'!$R$22="Debt",IF(AND(CR$4&gt;=$D116,CR$4&lt;$D116+'Incremental Repayments'!$I$31),-PMT('Interest Rate'!$J$16,'Incremental Repayments'!$I$31,(HLOOKUP($D116,$E$4:$CZ$32,28,FALSE)*'Incremental Repayments'!$I$22)),0),0)</f>
        <v>0</v>
      </c>
      <c r="CS116" s="477">
        <f>IF('Incremental Repayments'!$R$22="Debt",IF(AND(CS$4&gt;=$D116,CS$4&lt;$D116+'Incremental Repayments'!$I$31),-PMT('Interest Rate'!$J$16,'Incremental Repayments'!$I$31,(HLOOKUP($D116,$E$4:$CZ$32,28,FALSE)*'Incremental Repayments'!$I$22)),0),0)</f>
        <v>0</v>
      </c>
      <c r="CT116" s="477">
        <f>IF('Incremental Repayments'!$R$22="Debt",IF(AND(CT$4&gt;=$D116,CT$4&lt;$D116+'Incremental Repayments'!$I$31),-PMT('Interest Rate'!$J$16,'Incremental Repayments'!$I$31,(HLOOKUP($D116,$E$4:$CZ$32,28,FALSE)*'Incremental Repayments'!$I$22)),0),0)</f>
        <v>0</v>
      </c>
      <c r="CU116" s="477">
        <f>IF('Incremental Repayments'!$R$22="Debt",IF(AND(CU$4&gt;=$D116,CU$4&lt;$D116+'Incremental Repayments'!$I$31),-PMT('Interest Rate'!$J$16,'Incremental Repayments'!$I$31,(HLOOKUP($D116,$E$4:$CZ$32,28,FALSE)*'Incremental Repayments'!$I$22)),0),0)</f>
        <v>0</v>
      </c>
      <c r="CV116" s="477">
        <f>IF('Incremental Repayments'!$R$22="Debt",IF(AND(CV$4&gt;=$D116,CV$4&lt;$D116+'Incremental Repayments'!$I$31),-PMT('Interest Rate'!$J$16,'Incremental Repayments'!$I$31,(HLOOKUP($D116,$E$4:$CZ$32,28,FALSE)*'Incremental Repayments'!$I$22)),0),0)</f>
        <v>0</v>
      </c>
      <c r="CW116" s="477">
        <f>IF('Incremental Repayments'!$R$22="Debt",IF(AND(CW$4&gt;=$D116,CW$4&lt;$D116+'Incremental Repayments'!$I$31),-PMT('Interest Rate'!$J$16,'Incremental Repayments'!$I$31,(HLOOKUP($D116,$E$4:$CZ$32,28,FALSE)*'Incremental Repayments'!$I$22)),0),0)</f>
        <v>0</v>
      </c>
      <c r="CX116" s="477">
        <f>IF('Incremental Repayments'!$R$22="Debt",IF(AND(CX$4&gt;=$D116,CX$4&lt;$D116+'Incremental Repayments'!$I$31),-PMT('Interest Rate'!$J$16,'Incremental Repayments'!$I$31,(HLOOKUP($D116,$E$4:$CZ$32,28,FALSE)*'Incremental Repayments'!$I$22)),0),0)</f>
        <v>0</v>
      </c>
      <c r="CY116" s="477">
        <f>IF('Incremental Repayments'!$R$22="Debt",IF(AND(CY$4&gt;=$D116,CY$4&lt;$D116+'Incremental Repayments'!$I$31),-PMT('Interest Rate'!$J$16,'Incremental Repayments'!$I$31,(HLOOKUP($D116,$E$4:$CZ$32,28,FALSE)*'Incremental Repayments'!$I$22)),0),0)</f>
        <v>0</v>
      </c>
      <c r="CZ116" s="477">
        <f>IF('Incremental Repayments'!$R$22="Debt",IF(AND(CZ$4&gt;=$D116,CZ$4&lt;$D116+'Incremental Repayments'!$I$31),-PMT('Interest Rate'!$J$16,'Incremental Repayments'!$I$31,(HLOOKUP($D116,$E$4:$CZ$32,28,FALSE)*'Incremental Repayments'!$I$22)),0),0)</f>
        <v>0</v>
      </c>
    </row>
    <row r="117" spans="1:104" x14ac:dyDescent="0.25">
      <c r="B117" s="480" t="str">
        <f>CONCATENATE("Series ",D117,"A Bonds (at ",'Interest Rate'!$J$16*100,"% Interest)")</f>
        <v>Series 2095A Bonds (at 4.5% Interest)</v>
      </c>
      <c r="C117" s="480"/>
      <c r="D117" s="492">
        <f t="shared" si="496"/>
        <v>2095</v>
      </c>
      <c r="E117" s="477">
        <f>IF('Incremental Repayments'!$R$22="Debt",IF(AND(E$4&gt;=$D117,E$4&lt;$D117+'Incremental Repayments'!$I$31),-PMT('Interest Rate'!$J$16,'Incremental Repayments'!$I$31,(HLOOKUP($D117,$E$4:$CZ$32,28,FALSE)*'Incremental Repayments'!$I$22)),0),0)</f>
        <v>0</v>
      </c>
      <c r="F117" s="477">
        <f>IF('Incremental Repayments'!$R$22="Debt",IF(AND(F$4&gt;=$D117,F$4&lt;$D117+'Incremental Repayments'!$I$31),-PMT('Interest Rate'!$J$16,'Incremental Repayments'!$I$31,(HLOOKUP($D117,$E$4:$CZ$32,28,FALSE)*'Incremental Repayments'!$I$22)),0),0)</f>
        <v>0</v>
      </c>
      <c r="G117" s="477">
        <f>IF('Incremental Repayments'!$R$22="Debt",IF(AND(G$4&gt;=$D117,G$4&lt;$D117+'Incremental Repayments'!$I$31),-PMT('Interest Rate'!$J$16,'Incremental Repayments'!$I$31,(HLOOKUP($D117,$E$4:$CZ$32,28,FALSE)*'Incremental Repayments'!$I$22)),0),0)</f>
        <v>0</v>
      </c>
      <c r="H117" s="477">
        <f>IF('Incremental Repayments'!$R$22="Debt",IF(AND(H$4&gt;=$D117,H$4&lt;$D117+'Incremental Repayments'!$I$31),-PMT('Interest Rate'!$J$16,'Incremental Repayments'!$I$31,(HLOOKUP($D117,$E$4:$CZ$32,28,FALSE)*'Incremental Repayments'!$I$22)),0),0)</f>
        <v>0</v>
      </c>
      <c r="I117" s="477">
        <f>IF('Incremental Repayments'!$R$22="Debt",IF(AND(I$4&gt;=$D117,I$4&lt;$D117+'Incremental Repayments'!$I$31),-PMT('Interest Rate'!$J$16,'Incremental Repayments'!$I$31,(HLOOKUP($D117,$E$4:$CZ$32,28,FALSE)*'Incremental Repayments'!$I$22)),0),0)</f>
        <v>0</v>
      </c>
      <c r="J117" s="477">
        <f>IF('Incremental Repayments'!$R$22="Debt",IF(AND(J$4&gt;=$D117,J$4&lt;$D117+'Incremental Repayments'!$I$31),-PMT('Interest Rate'!$J$16,'Incremental Repayments'!$I$31,(HLOOKUP($D117,$E$4:$CZ$32,28,FALSE)*'Incremental Repayments'!$I$22)),0),0)</f>
        <v>0</v>
      </c>
      <c r="K117" s="477">
        <f>IF('Incremental Repayments'!$R$22="Debt",IF(AND(K$4&gt;=$D117,K$4&lt;$D117+'Incremental Repayments'!$I$31),-PMT('Interest Rate'!$J$16,'Incremental Repayments'!$I$31,(HLOOKUP($D117,$E$4:$CZ$32,28,FALSE)*'Incremental Repayments'!$I$22)),0),0)</f>
        <v>0</v>
      </c>
      <c r="L117" s="477">
        <f>IF('Incremental Repayments'!$R$22="Debt",IF(AND(L$4&gt;=$D117,L$4&lt;$D117+'Incremental Repayments'!$I$31),-PMT('Interest Rate'!$J$16,'Incremental Repayments'!$I$31,(HLOOKUP($D117,$E$4:$CZ$32,28,FALSE)*'Incremental Repayments'!$I$22)),0),0)</f>
        <v>0</v>
      </c>
      <c r="M117" s="477">
        <f>IF('Incremental Repayments'!$R$22="Debt",IF(AND(M$4&gt;=$D117,M$4&lt;$D117+'Incremental Repayments'!$I$31),-PMT('Interest Rate'!$J$16,'Incremental Repayments'!$I$31,(HLOOKUP($D117,$E$4:$CZ$32,28,FALSE)*'Incremental Repayments'!$I$22)),0),0)</f>
        <v>0</v>
      </c>
      <c r="N117" s="477">
        <f>IF('Incremental Repayments'!$R$22="Debt",IF(AND(N$4&gt;=$D117,N$4&lt;$D117+'Incremental Repayments'!$I$31),-PMT('Interest Rate'!$J$16,'Incremental Repayments'!$I$31,(HLOOKUP($D117,$E$4:$CZ$32,28,FALSE)*'Incremental Repayments'!$I$22)),0),0)</f>
        <v>0</v>
      </c>
      <c r="O117" s="477">
        <f>IF('Incremental Repayments'!$R$22="Debt",IF(AND(O$4&gt;=$D117,O$4&lt;$D117+'Incremental Repayments'!$I$31),-PMT('Interest Rate'!$J$16,'Incremental Repayments'!$I$31,(HLOOKUP($D117,$E$4:$CZ$32,28,FALSE)*'Incremental Repayments'!$I$22)),0),0)</f>
        <v>0</v>
      </c>
      <c r="P117" s="477">
        <f>IF('Incremental Repayments'!$R$22="Debt",IF(AND(P$4&gt;=$D117,P$4&lt;$D117+'Incremental Repayments'!$I$31),-PMT('Interest Rate'!$J$16,'Incremental Repayments'!$I$31,(HLOOKUP($D117,$E$4:$CZ$32,28,FALSE)*'Incremental Repayments'!$I$22)),0),0)</f>
        <v>0</v>
      </c>
      <c r="Q117" s="477">
        <f>IF('Incremental Repayments'!$R$22="Debt",IF(AND(Q$4&gt;=$D117,Q$4&lt;$D117+'Incremental Repayments'!$I$31),-PMT('Interest Rate'!$J$16,'Incremental Repayments'!$I$31,(HLOOKUP($D117,$E$4:$CZ$32,28,FALSE)*'Incremental Repayments'!$I$22)),0),0)</f>
        <v>0</v>
      </c>
      <c r="R117" s="477">
        <f>IF('Incremental Repayments'!$R$22="Debt",IF(AND(R$4&gt;=$D117,R$4&lt;$D117+'Incremental Repayments'!$I$31),-PMT('Interest Rate'!$J$16,'Incremental Repayments'!$I$31,(HLOOKUP($D117,$E$4:$CZ$32,28,FALSE)*'Incremental Repayments'!$I$22)),0),0)</f>
        <v>0</v>
      </c>
      <c r="S117" s="477">
        <f>IF('Incremental Repayments'!$R$22="Debt",IF(AND(S$4&gt;=$D117,S$4&lt;$D117+'Incremental Repayments'!$I$31),-PMT('Interest Rate'!$J$16,'Incremental Repayments'!$I$31,(HLOOKUP($D117,$E$4:$CZ$32,28,FALSE)*'Incremental Repayments'!$I$22)),0),0)</f>
        <v>0</v>
      </c>
      <c r="T117" s="477">
        <f>IF('Incremental Repayments'!$R$22="Debt",IF(AND(T$4&gt;=$D117,T$4&lt;$D117+'Incremental Repayments'!$I$31),-PMT('Interest Rate'!$J$16,'Incremental Repayments'!$I$31,(HLOOKUP($D117,$E$4:$CZ$32,28,FALSE)*'Incremental Repayments'!$I$22)),0),0)</f>
        <v>0</v>
      </c>
      <c r="U117" s="477">
        <f>IF('Incremental Repayments'!$R$22="Debt",IF(AND(U$4&gt;=$D117,U$4&lt;$D117+'Incremental Repayments'!$I$31),-PMT('Interest Rate'!$J$16,'Incremental Repayments'!$I$31,(HLOOKUP($D117,$E$4:$CZ$32,28,FALSE)*'Incremental Repayments'!$I$22)),0),0)</f>
        <v>0</v>
      </c>
      <c r="V117" s="477">
        <f>IF('Incremental Repayments'!$R$22="Debt",IF(AND(V$4&gt;=$D117,V$4&lt;$D117+'Incremental Repayments'!$I$31),-PMT('Interest Rate'!$J$16,'Incremental Repayments'!$I$31,(HLOOKUP($D117,$E$4:$CZ$32,28,FALSE)*'Incremental Repayments'!$I$22)),0),0)</f>
        <v>0</v>
      </c>
      <c r="W117" s="477">
        <f>IF('Incremental Repayments'!$R$22="Debt",IF(AND(W$4&gt;=$D117,W$4&lt;$D117+'Incremental Repayments'!$I$31),-PMT('Interest Rate'!$J$16,'Incremental Repayments'!$I$31,(HLOOKUP($D117,$E$4:$CZ$32,28,FALSE)*'Incremental Repayments'!$I$22)),0),0)</f>
        <v>0</v>
      </c>
      <c r="X117" s="477">
        <f>IF('Incremental Repayments'!$R$22="Debt",IF(AND(X$4&gt;=$D117,X$4&lt;$D117+'Incremental Repayments'!$I$31),-PMT('Interest Rate'!$J$16,'Incremental Repayments'!$I$31,(HLOOKUP($D117,$E$4:$CZ$32,28,FALSE)*'Incremental Repayments'!$I$22)),0),0)</f>
        <v>0</v>
      </c>
      <c r="Y117" s="477">
        <f>IF('Incremental Repayments'!$R$22="Debt",IF(AND(Y$4&gt;=$D117,Y$4&lt;$D117+'Incremental Repayments'!$I$31),-PMT('Interest Rate'!$J$16,'Incremental Repayments'!$I$31,(HLOOKUP($D117,$E$4:$CZ$32,28,FALSE)*'Incremental Repayments'!$I$22)),0),0)</f>
        <v>0</v>
      </c>
      <c r="Z117" s="477">
        <f>IF('Incremental Repayments'!$R$22="Debt",IF(AND(Z$4&gt;=$D117,Z$4&lt;$D117+'Incremental Repayments'!$I$31),-PMT('Interest Rate'!$J$16,'Incremental Repayments'!$I$31,(HLOOKUP($D117,$E$4:$CZ$32,28,FALSE)*'Incremental Repayments'!$I$22)),0),0)</f>
        <v>0</v>
      </c>
      <c r="AA117" s="477">
        <f>IF('Incremental Repayments'!$R$22="Debt",IF(AND(AA$4&gt;=$D117,AA$4&lt;$D117+'Incremental Repayments'!$I$31),-PMT('Interest Rate'!$J$16,'Incremental Repayments'!$I$31,(HLOOKUP($D117,$E$4:$CZ$32,28,FALSE)*'Incremental Repayments'!$I$22)),0),0)</f>
        <v>0</v>
      </c>
      <c r="AB117" s="477">
        <f>IF('Incremental Repayments'!$R$22="Debt",IF(AND(AB$4&gt;=$D117,AB$4&lt;$D117+'Incremental Repayments'!$I$31),-PMT('Interest Rate'!$J$16,'Incremental Repayments'!$I$31,(HLOOKUP($D117,$E$4:$CZ$32,28,FALSE)*'Incremental Repayments'!$I$22)),0),0)</f>
        <v>0</v>
      </c>
      <c r="AC117" s="477">
        <f>IF('Incremental Repayments'!$R$22="Debt",IF(AND(AC$4&gt;=$D117,AC$4&lt;$D117+'Incremental Repayments'!$I$31),-PMT('Interest Rate'!$J$16,'Incremental Repayments'!$I$31,(HLOOKUP($D117,$E$4:$CZ$32,28,FALSE)*'Incremental Repayments'!$I$22)),0),0)</f>
        <v>0</v>
      </c>
      <c r="AD117" s="477">
        <f>IF('Incremental Repayments'!$R$22="Debt",IF(AND(AD$4&gt;=$D117,AD$4&lt;$D117+'Incremental Repayments'!$I$31),-PMT('Interest Rate'!$J$16,'Incremental Repayments'!$I$31,(HLOOKUP($D117,$E$4:$CZ$32,28,FALSE)*'Incremental Repayments'!$I$22)),0),0)</f>
        <v>0</v>
      </c>
      <c r="AE117" s="477">
        <f>IF('Incremental Repayments'!$R$22="Debt",IF(AND(AE$4&gt;=$D117,AE$4&lt;$D117+'Incremental Repayments'!$I$31),-PMT('Interest Rate'!$J$16,'Incremental Repayments'!$I$31,(HLOOKUP($D117,$E$4:$CZ$32,28,FALSE)*'Incremental Repayments'!$I$22)),0),0)</f>
        <v>0</v>
      </c>
      <c r="AF117" s="477">
        <f>IF('Incremental Repayments'!$R$22="Debt",IF(AND(AF$4&gt;=$D117,AF$4&lt;$D117+'Incremental Repayments'!$I$31),-PMT('Interest Rate'!$J$16,'Incremental Repayments'!$I$31,(HLOOKUP($D117,$E$4:$CZ$32,28,FALSE)*'Incremental Repayments'!$I$22)),0),0)</f>
        <v>0</v>
      </c>
      <c r="AG117" s="477">
        <f>IF('Incremental Repayments'!$R$22="Debt",IF(AND(AG$4&gt;=$D117,AG$4&lt;$D117+'Incremental Repayments'!$I$31),-PMT('Interest Rate'!$J$16,'Incremental Repayments'!$I$31,(HLOOKUP($D117,$E$4:$CZ$32,28,FALSE)*'Incremental Repayments'!$I$22)),0),0)</f>
        <v>0</v>
      </c>
      <c r="AH117" s="477">
        <f>IF('Incremental Repayments'!$R$22="Debt",IF(AND(AH$4&gt;=$D117,AH$4&lt;$D117+'Incremental Repayments'!$I$31),-PMT('Interest Rate'!$J$16,'Incremental Repayments'!$I$31,(HLOOKUP($D117,$E$4:$CZ$32,28,FALSE)*'Incremental Repayments'!$I$22)),0),0)</f>
        <v>0</v>
      </c>
      <c r="AI117" s="477">
        <f>IF('Incremental Repayments'!$R$22="Debt",IF(AND(AI$4&gt;=$D117,AI$4&lt;$D117+'Incremental Repayments'!$I$31),-PMT('Interest Rate'!$J$16,'Incremental Repayments'!$I$31,(HLOOKUP($D117,$E$4:$CZ$32,28,FALSE)*'Incremental Repayments'!$I$22)),0),0)</f>
        <v>0</v>
      </c>
      <c r="AJ117" s="477">
        <f>IF('Incremental Repayments'!$R$22="Debt",IF(AND(AJ$4&gt;=$D117,AJ$4&lt;$D117+'Incremental Repayments'!$I$31),-PMT('Interest Rate'!$J$16,'Incremental Repayments'!$I$31,(HLOOKUP($D117,$E$4:$CZ$32,28,FALSE)*'Incremental Repayments'!$I$22)),0),0)</f>
        <v>0</v>
      </c>
      <c r="AK117" s="477">
        <f>IF('Incremental Repayments'!$R$22="Debt",IF(AND(AK$4&gt;=$D117,AK$4&lt;$D117+'Incremental Repayments'!$I$31),-PMT('Interest Rate'!$J$16,'Incremental Repayments'!$I$31,(HLOOKUP($D117,$E$4:$CZ$32,28,FALSE)*'Incremental Repayments'!$I$22)),0),0)</f>
        <v>0</v>
      </c>
      <c r="AL117" s="477">
        <f>IF('Incremental Repayments'!$R$22="Debt",IF(AND(AL$4&gt;=$D117,AL$4&lt;$D117+'Incremental Repayments'!$I$31),-PMT('Interest Rate'!$J$16,'Incremental Repayments'!$I$31,(HLOOKUP($D117,$E$4:$CZ$32,28,FALSE)*'Incremental Repayments'!$I$22)),0),0)</f>
        <v>0</v>
      </c>
      <c r="AM117" s="477">
        <f>IF('Incremental Repayments'!$R$22="Debt",IF(AND(AM$4&gt;=$D117,AM$4&lt;$D117+'Incremental Repayments'!$I$31),-PMT('Interest Rate'!$J$16,'Incremental Repayments'!$I$31,(HLOOKUP($D117,$E$4:$CZ$32,28,FALSE)*'Incremental Repayments'!$I$22)),0),0)</f>
        <v>0</v>
      </c>
      <c r="AN117" s="477">
        <f>IF('Incremental Repayments'!$R$22="Debt",IF(AND(AN$4&gt;=$D117,AN$4&lt;$D117+'Incremental Repayments'!$I$31),-PMT('Interest Rate'!$J$16,'Incremental Repayments'!$I$31,(HLOOKUP($D117,$E$4:$CZ$32,28,FALSE)*'Incremental Repayments'!$I$22)),0),0)</f>
        <v>0</v>
      </c>
      <c r="AO117" s="477">
        <f>IF('Incremental Repayments'!$R$22="Debt",IF(AND(AO$4&gt;=$D117,AO$4&lt;$D117+'Incremental Repayments'!$I$31),-PMT('Interest Rate'!$J$16,'Incremental Repayments'!$I$31,(HLOOKUP($D117,$E$4:$CZ$32,28,FALSE)*'Incremental Repayments'!$I$22)),0),0)</f>
        <v>0</v>
      </c>
      <c r="AP117" s="477">
        <f>IF('Incremental Repayments'!$R$22="Debt",IF(AND(AP$4&gt;=$D117,AP$4&lt;$D117+'Incremental Repayments'!$I$31),-PMT('Interest Rate'!$J$16,'Incremental Repayments'!$I$31,(HLOOKUP($D117,$E$4:$CZ$32,28,FALSE)*'Incremental Repayments'!$I$22)),0),0)</f>
        <v>0</v>
      </c>
      <c r="AQ117" s="477">
        <f>IF('Incremental Repayments'!$R$22="Debt",IF(AND(AQ$4&gt;=$D117,AQ$4&lt;$D117+'Incremental Repayments'!$I$31),-PMT('Interest Rate'!$J$16,'Incremental Repayments'!$I$31,(HLOOKUP($D117,$E$4:$CZ$32,28,FALSE)*'Incremental Repayments'!$I$22)),0),0)</f>
        <v>0</v>
      </c>
      <c r="AR117" s="477">
        <f>IF('Incremental Repayments'!$R$22="Debt",IF(AND(AR$4&gt;=$D117,AR$4&lt;$D117+'Incremental Repayments'!$I$31),-PMT('Interest Rate'!$J$16,'Incremental Repayments'!$I$31,(HLOOKUP($D117,$E$4:$CZ$32,28,FALSE)*'Incremental Repayments'!$I$22)),0),0)</f>
        <v>0</v>
      </c>
      <c r="AS117" s="477">
        <f>IF('Incremental Repayments'!$R$22="Debt",IF(AND(AS$4&gt;=$D117,AS$4&lt;$D117+'Incremental Repayments'!$I$31),-PMT('Interest Rate'!$J$16,'Incremental Repayments'!$I$31,(HLOOKUP($D117,$E$4:$CZ$32,28,FALSE)*'Incremental Repayments'!$I$22)),0),0)</f>
        <v>0</v>
      </c>
      <c r="AT117" s="477">
        <f>IF('Incremental Repayments'!$R$22="Debt",IF(AND(AT$4&gt;=$D117,AT$4&lt;$D117+'Incremental Repayments'!$I$31),-PMT('Interest Rate'!$J$16,'Incremental Repayments'!$I$31,(HLOOKUP($D117,$E$4:$CZ$32,28,FALSE)*'Incremental Repayments'!$I$22)),0),0)</f>
        <v>0</v>
      </c>
      <c r="AU117" s="477">
        <f>IF('Incremental Repayments'!$R$22="Debt",IF(AND(AU$4&gt;=$D117,AU$4&lt;$D117+'Incremental Repayments'!$I$31),-PMT('Interest Rate'!$J$16,'Incremental Repayments'!$I$31,(HLOOKUP($D117,$E$4:$CZ$32,28,FALSE)*'Incremental Repayments'!$I$22)),0),0)</f>
        <v>0</v>
      </c>
      <c r="AV117" s="477">
        <f>IF('Incremental Repayments'!$R$22="Debt",IF(AND(AV$4&gt;=$D117,AV$4&lt;$D117+'Incremental Repayments'!$I$31),-PMT('Interest Rate'!$J$16,'Incremental Repayments'!$I$31,(HLOOKUP($D117,$E$4:$CZ$32,28,FALSE)*'Incremental Repayments'!$I$22)),0),0)</f>
        <v>0</v>
      </c>
      <c r="AW117" s="477">
        <f>IF('Incremental Repayments'!$R$22="Debt",IF(AND(AW$4&gt;=$D117,AW$4&lt;$D117+'Incremental Repayments'!$I$31),-PMT('Interest Rate'!$J$16,'Incremental Repayments'!$I$31,(HLOOKUP($D117,$E$4:$CZ$32,28,FALSE)*'Incremental Repayments'!$I$22)),0),0)</f>
        <v>0</v>
      </c>
      <c r="AX117" s="477">
        <f>IF('Incremental Repayments'!$R$22="Debt",IF(AND(AX$4&gt;=$D117,AX$4&lt;$D117+'Incremental Repayments'!$I$31),-PMT('Interest Rate'!$J$16,'Incremental Repayments'!$I$31,(HLOOKUP($D117,$E$4:$CZ$32,28,FALSE)*'Incremental Repayments'!$I$22)),0),0)</f>
        <v>0</v>
      </c>
      <c r="AY117" s="477">
        <f>IF('Incremental Repayments'!$R$22="Debt",IF(AND(AY$4&gt;=$D117,AY$4&lt;$D117+'Incremental Repayments'!$I$31),-PMT('Interest Rate'!$J$16,'Incremental Repayments'!$I$31,(HLOOKUP($D117,$E$4:$CZ$32,28,FALSE)*'Incremental Repayments'!$I$22)),0),0)</f>
        <v>0</v>
      </c>
      <c r="AZ117" s="477">
        <f>IF('Incremental Repayments'!$R$22="Debt",IF(AND(AZ$4&gt;=$D117,AZ$4&lt;$D117+'Incremental Repayments'!$I$31),-PMT('Interest Rate'!$J$16,'Incremental Repayments'!$I$31,(HLOOKUP($D117,$E$4:$CZ$32,28,FALSE)*'Incremental Repayments'!$I$22)),0),0)</f>
        <v>0</v>
      </c>
      <c r="BA117" s="477">
        <f>IF('Incremental Repayments'!$R$22="Debt",IF(AND(BA$4&gt;=$D117,BA$4&lt;$D117+'Incremental Repayments'!$I$31),-PMT('Interest Rate'!$J$16,'Incremental Repayments'!$I$31,(HLOOKUP($D117,$E$4:$CZ$32,28,FALSE)*'Incremental Repayments'!$I$22)),0),0)</f>
        <v>0</v>
      </c>
      <c r="BB117" s="477">
        <f>IF('Incremental Repayments'!$R$22="Debt",IF(AND(BB$4&gt;=$D117,BB$4&lt;$D117+'Incremental Repayments'!$I$31),-PMT('Interest Rate'!$J$16,'Incremental Repayments'!$I$31,(HLOOKUP($D117,$E$4:$CZ$32,28,FALSE)*'Incremental Repayments'!$I$22)),0),0)</f>
        <v>0</v>
      </c>
      <c r="BC117" s="477">
        <f>IF('Incremental Repayments'!$R$22="Debt",IF(AND(BC$4&gt;=$D117,BC$4&lt;$D117+'Incremental Repayments'!$I$31),-PMT('Interest Rate'!$J$16,'Incremental Repayments'!$I$31,(HLOOKUP($D117,$E$4:$CZ$32,28,FALSE)*'Incremental Repayments'!$I$22)),0),0)</f>
        <v>0</v>
      </c>
      <c r="BD117" s="477">
        <f>IF('Incremental Repayments'!$R$22="Debt",IF(AND(BD$4&gt;=$D117,BD$4&lt;$D117+'Incremental Repayments'!$I$31),-PMT('Interest Rate'!$J$16,'Incremental Repayments'!$I$31,(HLOOKUP($D117,$E$4:$CZ$32,28,FALSE)*'Incremental Repayments'!$I$22)),0),0)</f>
        <v>0</v>
      </c>
      <c r="BE117" s="477">
        <f>IF('Incremental Repayments'!$R$22="Debt",IF(AND(BE$4&gt;=$D117,BE$4&lt;$D117+'Incremental Repayments'!$I$31),-PMT('Interest Rate'!$J$16,'Incremental Repayments'!$I$31,(HLOOKUP($D117,$E$4:$CZ$32,28,FALSE)*'Incremental Repayments'!$I$22)),0),0)</f>
        <v>0</v>
      </c>
      <c r="BF117" s="477">
        <f>IF('Incremental Repayments'!$R$22="Debt",IF(AND(BF$4&gt;=$D117,BF$4&lt;$D117+'Incremental Repayments'!$I$31),-PMT('Interest Rate'!$J$16,'Incremental Repayments'!$I$31,(HLOOKUP($D117,$E$4:$CZ$32,28,FALSE)*'Incremental Repayments'!$I$22)),0),0)</f>
        <v>0</v>
      </c>
      <c r="BG117" s="477">
        <f>IF('Incremental Repayments'!$R$22="Debt",IF(AND(BG$4&gt;=$D117,BG$4&lt;$D117+'Incremental Repayments'!$I$31),-PMT('Interest Rate'!$J$16,'Incremental Repayments'!$I$31,(HLOOKUP($D117,$E$4:$CZ$32,28,FALSE)*'Incremental Repayments'!$I$22)),0),0)</f>
        <v>0</v>
      </c>
      <c r="BH117" s="477">
        <f>IF('Incremental Repayments'!$R$22="Debt",IF(AND(BH$4&gt;=$D117,BH$4&lt;$D117+'Incremental Repayments'!$I$31),-PMT('Interest Rate'!$J$16,'Incremental Repayments'!$I$31,(HLOOKUP($D117,$E$4:$CZ$32,28,FALSE)*'Incremental Repayments'!$I$22)),0),0)</f>
        <v>0</v>
      </c>
      <c r="BI117" s="477">
        <f>IF('Incremental Repayments'!$R$22="Debt",IF(AND(BI$4&gt;=$D117,BI$4&lt;$D117+'Incremental Repayments'!$I$31),-PMT('Interest Rate'!$J$16,'Incremental Repayments'!$I$31,(HLOOKUP($D117,$E$4:$CZ$32,28,FALSE)*'Incremental Repayments'!$I$22)),0),0)</f>
        <v>0</v>
      </c>
      <c r="BJ117" s="477">
        <f>IF('Incremental Repayments'!$R$22="Debt",IF(AND(BJ$4&gt;=$D117,BJ$4&lt;$D117+'Incremental Repayments'!$I$31),-PMT('Interest Rate'!$J$16,'Incremental Repayments'!$I$31,(HLOOKUP($D117,$E$4:$CZ$32,28,FALSE)*'Incremental Repayments'!$I$22)),0),0)</f>
        <v>0</v>
      </c>
      <c r="BK117" s="477">
        <f>IF('Incremental Repayments'!$R$22="Debt",IF(AND(BK$4&gt;=$D117,BK$4&lt;$D117+'Incremental Repayments'!$I$31),-PMT('Interest Rate'!$J$16,'Incremental Repayments'!$I$31,(HLOOKUP($D117,$E$4:$CZ$32,28,FALSE)*'Incremental Repayments'!$I$22)),0),0)</f>
        <v>0</v>
      </c>
      <c r="BL117" s="477">
        <f>IF('Incremental Repayments'!$R$22="Debt",IF(AND(BL$4&gt;=$D117,BL$4&lt;$D117+'Incremental Repayments'!$I$31),-PMT('Interest Rate'!$J$16,'Incremental Repayments'!$I$31,(HLOOKUP($D117,$E$4:$CZ$32,28,FALSE)*'Incremental Repayments'!$I$22)),0),0)</f>
        <v>0</v>
      </c>
      <c r="BM117" s="477">
        <f>IF('Incremental Repayments'!$R$22="Debt",IF(AND(BM$4&gt;=$D117,BM$4&lt;$D117+'Incremental Repayments'!$I$31),-PMT('Interest Rate'!$J$16,'Incremental Repayments'!$I$31,(HLOOKUP($D117,$E$4:$CZ$32,28,FALSE)*'Incremental Repayments'!$I$22)),0),0)</f>
        <v>0</v>
      </c>
      <c r="BN117" s="477">
        <f>IF('Incremental Repayments'!$R$22="Debt",IF(AND(BN$4&gt;=$D117,BN$4&lt;$D117+'Incremental Repayments'!$I$31),-PMT('Interest Rate'!$J$16,'Incremental Repayments'!$I$31,(HLOOKUP($D117,$E$4:$CZ$32,28,FALSE)*'Incremental Repayments'!$I$22)),0),0)</f>
        <v>0</v>
      </c>
      <c r="BO117" s="477">
        <f>IF('Incremental Repayments'!$R$22="Debt",IF(AND(BO$4&gt;=$D117,BO$4&lt;$D117+'Incremental Repayments'!$I$31),-PMT('Interest Rate'!$J$16,'Incremental Repayments'!$I$31,(HLOOKUP($D117,$E$4:$CZ$32,28,FALSE)*'Incremental Repayments'!$I$22)),0),0)</f>
        <v>0</v>
      </c>
      <c r="BP117" s="477">
        <f>IF('Incremental Repayments'!$R$22="Debt",IF(AND(BP$4&gt;=$D117,BP$4&lt;$D117+'Incremental Repayments'!$I$31),-PMT('Interest Rate'!$J$16,'Incremental Repayments'!$I$31,(HLOOKUP($D117,$E$4:$CZ$32,28,FALSE)*'Incremental Repayments'!$I$22)),0),0)</f>
        <v>0</v>
      </c>
      <c r="BQ117" s="477">
        <f>IF('Incremental Repayments'!$R$22="Debt",IF(AND(BQ$4&gt;=$D117,BQ$4&lt;$D117+'Incremental Repayments'!$I$31),-PMT('Interest Rate'!$J$16,'Incremental Repayments'!$I$31,(HLOOKUP($D117,$E$4:$CZ$32,28,FALSE)*'Incremental Repayments'!$I$22)),0),0)</f>
        <v>0</v>
      </c>
      <c r="BR117" s="477">
        <f>IF('Incremental Repayments'!$R$22="Debt",IF(AND(BR$4&gt;=$D117,BR$4&lt;$D117+'Incremental Repayments'!$I$31),-PMT('Interest Rate'!$J$16,'Incremental Repayments'!$I$31,(HLOOKUP($D117,$E$4:$CZ$32,28,FALSE)*'Incremental Repayments'!$I$22)),0),0)</f>
        <v>0</v>
      </c>
      <c r="BS117" s="477">
        <f>IF('Incremental Repayments'!$R$22="Debt",IF(AND(BS$4&gt;=$D117,BS$4&lt;$D117+'Incremental Repayments'!$I$31),-PMT('Interest Rate'!$J$16,'Incremental Repayments'!$I$31,(HLOOKUP($D117,$E$4:$CZ$32,28,FALSE)*'Incremental Repayments'!$I$22)),0),0)</f>
        <v>0</v>
      </c>
      <c r="BT117" s="477">
        <f>IF('Incremental Repayments'!$R$22="Debt",IF(AND(BT$4&gt;=$D117,BT$4&lt;$D117+'Incremental Repayments'!$I$31),-PMT('Interest Rate'!$J$16,'Incremental Repayments'!$I$31,(HLOOKUP($D117,$E$4:$CZ$32,28,FALSE)*'Incremental Repayments'!$I$22)),0),0)</f>
        <v>0</v>
      </c>
      <c r="BU117" s="477">
        <f>IF('Incremental Repayments'!$R$22="Debt",IF(AND(BU$4&gt;=$D117,BU$4&lt;$D117+'Incremental Repayments'!$I$31),-PMT('Interest Rate'!$J$16,'Incremental Repayments'!$I$31,(HLOOKUP($D117,$E$4:$CZ$32,28,FALSE)*'Incremental Repayments'!$I$22)),0),0)</f>
        <v>0</v>
      </c>
      <c r="BV117" s="477">
        <f>IF('Incremental Repayments'!$R$22="Debt",IF(AND(BV$4&gt;=$D117,BV$4&lt;$D117+'Incremental Repayments'!$I$31),-PMT('Interest Rate'!$J$16,'Incremental Repayments'!$I$31,(HLOOKUP($D117,$E$4:$CZ$32,28,FALSE)*'Incremental Repayments'!$I$22)),0),0)</f>
        <v>0</v>
      </c>
      <c r="BW117" s="477">
        <f>IF('Incremental Repayments'!$R$22="Debt",IF(AND(BW$4&gt;=$D117,BW$4&lt;$D117+'Incremental Repayments'!$I$31),-PMT('Interest Rate'!$J$16,'Incremental Repayments'!$I$31,(HLOOKUP($D117,$E$4:$CZ$32,28,FALSE)*'Incremental Repayments'!$I$22)),0),0)</f>
        <v>0</v>
      </c>
      <c r="BX117" s="477">
        <f>IF('Incremental Repayments'!$R$22="Debt",IF(AND(BX$4&gt;=$D117,BX$4&lt;$D117+'Incremental Repayments'!$I$31),-PMT('Interest Rate'!$J$16,'Incremental Repayments'!$I$31,(HLOOKUP($D117,$E$4:$CZ$32,28,FALSE)*'Incremental Repayments'!$I$22)),0),0)</f>
        <v>0</v>
      </c>
      <c r="BY117" s="477">
        <f>IF('Incremental Repayments'!$R$22="Debt",IF(AND(BY$4&gt;=$D117,BY$4&lt;$D117+'Incremental Repayments'!$I$31),-PMT('Interest Rate'!$J$16,'Incremental Repayments'!$I$31,(HLOOKUP($D117,$E$4:$CZ$32,28,FALSE)*'Incremental Repayments'!$I$22)),0),0)</f>
        <v>0</v>
      </c>
      <c r="BZ117" s="477">
        <f>IF('Incremental Repayments'!$R$22="Debt",IF(AND(BZ$4&gt;=$D117,BZ$4&lt;$D117+'Incremental Repayments'!$I$31),-PMT('Interest Rate'!$J$16,'Incremental Repayments'!$I$31,(HLOOKUP($D117,$E$4:$CZ$32,28,FALSE)*'Incremental Repayments'!$I$22)),0),0)</f>
        <v>0</v>
      </c>
      <c r="CA117" s="477">
        <f>IF('Incremental Repayments'!$R$22="Debt",IF(AND(CA$4&gt;=$D117,CA$4&lt;$D117+'Incremental Repayments'!$I$31),-PMT('Interest Rate'!$J$16,'Incremental Repayments'!$I$31,(HLOOKUP($D117,$E$4:$CZ$32,28,FALSE)*'Incremental Repayments'!$I$22)),0),0)</f>
        <v>0</v>
      </c>
      <c r="CB117" s="477">
        <f>IF('Incremental Repayments'!$R$22="Debt",IF(AND(CB$4&gt;=$D117,CB$4&lt;$D117+'Incremental Repayments'!$I$31),-PMT('Interest Rate'!$J$16,'Incremental Repayments'!$I$31,(HLOOKUP($D117,$E$4:$CZ$32,28,FALSE)*'Incremental Repayments'!$I$22)),0),0)</f>
        <v>0</v>
      </c>
      <c r="CC117" s="477">
        <f>IF('Incremental Repayments'!$R$22="Debt",IF(AND(CC$4&gt;=$D117,CC$4&lt;$D117+'Incremental Repayments'!$I$31),-PMT('Interest Rate'!$J$16,'Incremental Repayments'!$I$31,(HLOOKUP($D117,$E$4:$CZ$32,28,FALSE)*'Incremental Repayments'!$I$22)),0),0)</f>
        <v>0</v>
      </c>
      <c r="CD117" s="477">
        <f>IF('Incremental Repayments'!$R$22="Debt",IF(AND(CD$4&gt;=$D117,CD$4&lt;$D117+'Incremental Repayments'!$I$31),-PMT('Interest Rate'!$J$16,'Incremental Repayments'!$I$31,(HLOOKUP($D117,$E$4:$CZ$32,28,FALSE)*'Incremental Repayments'!$I$22)),0),0)</f>
        <v>0</v>
      </c>
      <c r="CE117" s="477">
        <f>IF('Incremental Repayments'!$R$22="Debt",IF(AND(CE$4&gt;=$D117,CE$4&lt;$D117+'Incremental Repayments'!$I$31),-PMT('Interest Rate'!$J$16,'Incremental Repayments'!$I$31,(HLOOKUP($D117,$E$4:$CZ$32,28,FALSE)*'Incremental Repayments'!$I$22)),0),0)</f>
        <v>0</v>
      </c>
      <c r="CF117" s="477">
        <f>IF('Incremental Repayments'!$R$22="Debt",IF(AND(CF$4&gt;=$D117,CF$4&lt;$D117+'Incremental Repayments'!$I$31),-PMT('Interest Rate'!$J$16,'Incremental Repayments'!$I$31,(HLOOKUP($D117,$E$4:$CZ$32,28,FALSE)*'Incremental Repayments'!$I$22)),0),0)</f>
        <v>0</v>
      </c>
      <c r="CG117" s="477">
        <f>IF('Incremental Repayments'!$R$22="Debt",IF(AND(CG$4&gt;=$D117,CG$4&lt;$D117+'Incremental Repayments'!$I$31),-PMT('Interest Rate'!$J$16,'Incremental Repayments'!$I$31,(HLOOKUP($D117,$E$4:$CZ$32,28,FALSE)*'Incremental Repayments'!$I$22)),0),0)</f>
        <v>0</v>
      </c>
      <c r="CH117" s="477">
        <f>IF('Incremental Repayments'!$R$22="Debt",IF(AND(CH$4&gt;=$D117,CH$4&lt;$D117+'Incremental Repayments'!$I$31),-PMT('Interest Rate'!$J$16,'Incremental Repayments'!$I$31,(HLOOKUP($D117,$E$4:$CZ$32,28,FALSE)*'Incremental Repayments'!$I$22)),0),0)</f>
        <v>0</v>
      </c>
      <c r="CI117" s="477">
        <f>IF('Incremental Repayments'!$R$22="Debt",IF(AND(CI$4&gt;=$D117,CI$4&lt;$D117+'Incremental Repayments'!$I$31),-PMT('Interest Rate'!$J$16,'Incremental Repayments'!$I$31,(HLOOKUP($D117,$E$4:$CZ$32,28,FALSE)*'Incremental Repayments'!$I$22)),0),0)</f>
        <v>0</v>
      </c>
      <c r="CJ117" s="477">
        <f>IF('Incremental Repayments'!$R$22="Debt",IF(AND(CJ$4&gt;=$D117,CJ$4&lt;$D117+'Incremental Repayments'!$I$31),-PMT('Interest Rate'!$J$16,'Incremental Repayments'!$I$31,(HLOOKUP($D117,$E$4:$CZ$32,28,FALSE)*'Incremental Repayments'!$I$22)),0),0)</f>
        <v>0</v>
      </c>
      <c r="CK117" s="477">
        <f>IF('Incremental Repayments'!$R$22="Debt",IF(AND(CK$4&gt;=$D117,CK$4&lt;$D117+'Incremental Repayments'!$I$31),-PMT('Interest Rate'!$J$16,'Incremental Repayments'!$I$31,(HLOOKUP($D117,$E$4:$CZ$32,28,FALSE)*'Incremental Repayments'!$I$22)),0),0)</f>
        <v>0</v>
      </c>
      <c r="CL117" s="477">
        <f>IF('Incremental Repayments'!$R$22="Debt",IF(AND(CL$4&gt;=$D117,CL$4&lt;$D117+'Incremental Repayments'!$I$31),-PMT('Interest Rate'!$J$16,'Incremental Repayments'!$I$31,(HLOOKUP($D117,$E$4:$CZ$32,28,FALSE)*'Incremental Repayments'!$I$22)),0),0)</f>
        <v>0</v>
      </c>
      <c r="CM117" s="477">
        <f>IF('Incremental Repayments'!$R$22="Debt",IF(AND(CM$4&gt;=$D117,CM$4&lt;$D117+'Incremental Repayments'!$I$31),-PMT('Interest Rate'!$J$16,'Incremental Repayments'!$I$31,(HLOOKUP($D117,$E$4:$CZ$32,28,FALSE)*'Incremental Repayments'!$I$22)),0),0)</f>
        <v>0</v>
      </c>
      <c r="CN117" s="477">
        <f>IF('Incremental Repayments'!$R$22="Debt",IF(AND(CN$4&gt;=$D117,CN$4&lt;$D117+'Incremental Repayments'!$I$31),-PMT('Interest Rate'!$J$16,'Incremental Repayments'!$I$31,(HLOOKUP($D117,$E$4:$CZ$32,28,FALSE)*'Incremental Repayments'!$I$22)),0),0)</f>
        <v>0</v>
      </c>
      <c r="CO117" s="477">
        <f>IF('Incremental Repayments'!$R$22="Debt",IF(AND(CO$4&gt;=$D117,CO$4&lt;$D117+'Incremental Repayments'!$I$31),-PMT('Interest Rate'!$J$16,'Incremental Repayments'!$I$31,(HLOOKUP($D117,$E$4:$CZ$32,28,FALSE)*'Incremental Repayments'!$I$22)),0),0)</f>
        <v>0</v>
      </c>
      <c r="CP117" s="477">
        <f>IF('Incremental Repayments'!$R$22="Debt",IF(AND(CP$4&gt;=$D117,CP$4&lt;$D117+'Incremental Repayments'!$I$31),-PMT('Interest Rate'!$J$16,'Incremental Repayments'!$I$31,(HLOOKUP($D117,$E$4:$CZ$32,28,FALSE)*'Incremental Repayments'!$I$22)),0),0)</f>
        <v>0</v>
      </c>
      <c r="CQ117" s="477">
        <f>IF('Incremental Repayments'!$R$22="Debt",IF(AND(CQ$4&gt;=$D117,CQ$4&lt;$D117+'Incremental Repayments'!$I$31),-PMT('Interest Rate'!$J$16,'Incremental Repayments'!$I$31,(HLOOKUP($D117,$E$4:$CZ$32,28,FALSE)*'Incremental Repayments'!$I$22)),0),0)</f>
        <v>0</v>
      </c>
      <c r="CR117" s="477">
        <f>IF('Incremental Repayments'!$R$22="Debt",IF(AND(CR$4&gt;=$D117,CR$4&lt;$D117+'Incremental Repayments'!$I$31),-PMT('Interest Rate'!$J$16,'Incremental Repayments'!$I$31,(HLOOKUP($D117,$E$4:$CZ$32,28,FALSE)*'Incremental Repayments'!$I$22)),0),0)</f>
        <v>0</v>
      </c>
      <c r="CS117" s="477">
        <f>IF('Incremental Repayments'!$R$22="Debt",IF(AND(CS$4&gt;=$D117,CS$4&lt;$D117+'Incremental Repayments'!$I$31),-PMT('Interest Rate'!$J$16,'Incremental Repayments'!$I$31,(HLOOKUP($D117,$E$4:$CZ$32,28,FALSE)*'Incremental Repayments'!$I$22)),0),0)</f>
        <v>0</v>
      </c>
      <c r="CT117" s="477">
        <f>IF('Incremental Repayments'!$R$22="Debt",IF(AND(CT$4&gt;=$D117,CT$4&lt;$D117+'Incremental Repayments'!$I$31),-PMT('Interest Rate'!$J$16,'Incremental Repayments'!$I$31,(HLOOKUP($D117,$E$4:$CZ$32,28,FALSE)*'Incremental Repayments'!$I$22)),0),0)</f>
        <v>0</v>
      </c>
      <c r="CU117" s="477">
        <f>IF('Incremental Repayments'!$R$22="Debt",IF(AND(CU$4&gt;=$D117,CU$4&lt;$D117+'Incremental Repayments'!$I$31),-PMT('Interest Rate'!$J$16,'Incremental Repayments'!$I$31,(HLOOKUP($D117,$E$4:$CZ$32,28,FALSE)*'Incremental Repayments'!$I$22)),0),0)</f>
        <v>0</v>
      </c>
      <c r="CV117" s="477">
        <f>IF('Incremental Repayments'!$R$22="Debt",IF(AND(CV$4&gt;=$D117,CV$4&lt;$D117+'Incremental Repayments'!$I$31),-PMT('Interest Rate'!$J$16,'Incremental Repayments'!$I$31,(HLOOKUP($D117,$E$4:$CZ$32,28,FALSE)*'Incremental Repayments'!$I$22)),0),0)</f>
        <v>0</v>
      </c>
      <c r="CW117" s="477">
        <f>IF('Incremental Repayments'!$R$22="Debt",IF(AND(CW$4&gt;=$D117,CW$4&lt;$D117+'Incremental Repayments'!$I$31),-PMT('Interest Rate'!$J$16,'Incremental Repayments'!$I$31,(HLOOKUP($D117,$E$4:$CZ$32,28,FALSE)*'Incremental Repayments'!$I$22)),0),0)</f>
        <v>0</v>
      </c>
      <c r="CX117" s="477">
        <f>IF('Incremental Repayments'!$R$22="Debt",IF(AND(CX$4&gt;=$D117,CX$4&lt;$D117+'Incremental Repayments'!$I$31),-PMT('Interest Rate'!$J$16,'Incremental Repayments'!$I$31,(HLOOKUP($D117,$E$4:$CZ$32,28,FALSE)*'Incremental Repayments'!$I$22)),0),0)</f>
        <v>0</v>
      </c>
      <c r="CY117" s="477">
        <f>IF('Incremental Repayments'!$R$22="Debt",IF(AND(CY$4&gt;=$D117,CY$4&lt;$D117+'Incremental Repayments'!$I$31),-PMT('Interest Rate'!$J$16,'Incremental Repayments'!$I$31,(HLOOKUP($D117,$E$4:$CZ$32,28,FALSE)*'Incremental Repayments'!$I$22)),0),0)</f>
        <v>0</v>
      </c>
      <c r="CZ117" s="477">
        <f>IF('Incremental Repayments'!$R$22="Debt",IF(AND(CZ$4&gt;=$D117,CZ$4&lt;$D117+'Incremental Repayments'!$I$31),-PMT('Interest Rate'!$J$16,'Incremental Repayments'!$I$31,(HLOOKUP($D117,$E$4:$CZ$32,28,FALSE)*'Incremental Repayments'!$I$22)),0),0)</f>
        <v>0</v>
      </c>
    </row>
    <row r="118" spans="1:104" x14ac:dyDescent="0.25">
      <c r="B118" s="480" t="str">
        <f>CONCATENATE("Series ",D118,"A Bonds (at ",'Interest Rate'!$J$16*100,"% Interest)")</f>
        <v>Series 2096A Bonds (at 4.5% Interest)</v>
      </c>
      <c r="C118" s="480"/>
      <c r="D118" s="492">
        <f t="shared" ref="D118:D122" si="497">D117+1</f>
        <v>2096</v>
      </c>
      <c r="E118" s="477">
        <f>IF('Incremental Repayments'!$R$22="Debt",IF(AND(E$4&gt;=$D118,E$4&lt;$D118+'Incremental Repayments'!$I$31),-PMT('Interest Rate'!$J$16,'Incremental Repayments'!$I$31,(HLOOKUP($D118,$E$4:$CZ$32,28,FALSE)*'Incremental Repayments'!$I$22)),0),0)</f>
        <v>0</v>
      </c>
      <c r="F118" s="477">
        <f>IF('Incremental Repayments'!$R$22="Debt",IF(AND(F$4&gt;=$D118,F$4&lt;$D118+'Incremental Repayments'!$I$31),-PMT('Interest Rate'!$J$16,'Incremental Repayments'!$I$31,(HLOOKUP($D118,$E$4:$CZ$32,28,FALSE)*'Incremental Repayments'!$I$22)),0),0)</f>
        <v>0</v>
      </c>
      <c r="G118" s="477">
        <f>IF('Incremental Repayments'!$R$22="Debt",IF(AND(G$4&gt;=$D118,G$4&lt;$D118+'Incremental Repayments'!$I$31),-PMT('Interest Rate'!$J$16,'Incremental Repayments'!$I$31,(HLOOKUP($D118,$E$4:$CZ$32,28,FALSE)*'Incremental Repayments'!$I$22)),0),0)</f>
        <v>0</v>
      </c>
      <c r="H118" s="477">
        <f>IF('Incremental Repayments'!$R$22="Debt",IF(AND(H$4&gt;=$D118,H$4&lt;$D118+'Incremental Repayments'!$I$31),-PMT('Interest Rate'!$J$16,'Incremental Repayments'!$I$31,(HLOOKUP($D118,$E$4:$CZ$32,28,FALSE)*'Incremental Repayments'!$I$22)),0),0)</f>
        <v>0</v>
      </c>
      <c r="I118" s="477">
        <f>IF('Incremental Repayments'!$R$22="Debt",IF(AND(I$4&gt;=$D118,I$4&lt;$D118+'Incremental Repayments'!$I$31),-PMT('Interest Rate'!$J$16,'Incremental Repayments'!$I$31,(HLOOKUP($D118,$E$4:$CZ$32,28,FALSE)*'Incremental Repayments'!$I$22)),0),0)</f>
        <v>0</v>
      </c>
      <c r="J118" s="477">
        <f>IF('Incremental Repayments'!$R$22="Debt",IF(AND(J$4&gt;=$D118,J$4&lt;$D118+'Incremental Repayments'!$I$31),-PMT('Interest Rate'!$J$16,'Incremental Repayments'!$I$31,(HLOOKUP($D118,$E$4:$CZ$32,28,FALSE)*'Incremental Repayments'!$I$22)),0),0)</f>
        <v>0</v>
      </c>
      <c r="K118" s="477">
        <f>IF('Incremental Repayments'!$R$22="Debt",IF(AND(K$4&gt;=$D118,K$4&lt;$D118+'Incremental Repayments'!$I$31),-PMT('Interest Rate'!$J$16,'Incremental Repayments'!$I$31,(HLOOKUP($D118,$E$4:$CZ$32,28,FALSE)*'Incremental Repayments'!$I$22)),0),0)</f>
        <v>0</v>
      </c>
      <c r="L118" s="477">
        <f>IF('Incremental Repayments'!$R$22="Debt",IF(AND(L$4&gt;=$D118,L$4&lt;$D118+'Incremental Repayments'!$I$31),-PMT('Interest Rate'!$J$16,'Incremental Repayments'!$I$31,(HLOOKUP($D118,$E$4:$CZ$32,28,FALSE)*'Incremental Repayments'!$I$22)),0),0)</f>
        <v>0</v>
      </c>
      <c r="M118" s="477">
        <f>IF('Incremental Repayments'!$R$22="Debt",IF(AND(M$4&gt;=$D118,M$4&lt;$D118+'Incremental Repayments'!$I$31),-PMT('Interest Rate'!$J$16,'Incremental Repayments'!$I$31,(HLOOKUP($D118,$E$4:$CZ$32,28,FALSE)*'Incremental Repayments'!$I$22)),0),0)</f>
        <v>0</v>
      </c>
      <c r="N118" s="477">
        <f>IF('Incremental Repayments'!$R$22="Debt",IF(AND(N$4&gt;=$D118,N$4&lt;$D118+'Incremental Repayments'!$I$31),-PMT('Interest Rate'!$J$16,'Incremental Repayments'!$I$31,(HLOOKUP($D118,$E$4:$CZ$32,28,FALSE)*'Incremental Repayments'!$I$22)),0),0)</f>
        <v>0</v>
      </c>
      <c r="O118" s="477">
        <f>IF('Incremental Repayments'!$R$22="Debt",IF(AND(O$4&gt;=$D118,O$4&lt;$D118+'Incremental Repayments'!$I$31),-PMT('Interest Rate'!$J$16,'Incremental Repayments'!$I$31,(HLOOKUP($D118,$E$4:$CZ$32,28,FALSE)*'Incremental Repayments'!$I$22)),0),0)</f>
        <v>0</v>
      </c>
      <c r="P118" s="477">
        <f>IF('Incremental Repayments'!$R$22="Debt",IF(AND(P$4&gt;=$D118,P$4&lt;$D118+'Incremental Repayments'!$I$31),-PMT('Interest Rate'!$J$16,'Incremental Repayments'!$I$31,(HLOOKUP($D118,$E$4:$CZ$32,28,FALSE)*'Incremental Repayments'!$I$22)),0),0)</f>
        <v>0</v>
      </c>
      <c r="Q118" s="477">
        <f>IF('Incremental Repayments'!$R$22="Debt",IF(AND(Q$4&gt;=$D118,Q$4&lt;$D118+'Incremental Repayments'!$I$31),-PMT('Interest Rate'!$J$16,'Incremental Repayments'!$I$31,(HLOOKUP($D118,$E$4:$CZ$32,28,FALSE)*'Incremental Repayments'!$I$22)),0),0)</f>
        <v>0</v>
      </c>
      <c r="R118" s="477">
        <f>IF('Incremental Repayments'!$R$22="Debt",IF(AND(R$4&gt;=$D118,R$4&lt;$D118+'Incremental Repayments'!$I$31),-PMT('Interest Rate'!$J$16,'Incremental Repayments'!$I$31,(HLOOKUP($D118,$E$4:$CZ$32,28,FALSE)*'Incremental Repayments'!$I$22)),0),0)</f>
        <v>0</v>
      </c>
      <c r="S118" s="477">
        <f>IF('Incremental Repayments'!$R$22="Debt",IF(AND(S$4&gt;=$D118,S$4&lt;$D118+'Incremental Repayments'!$I$31),-PMT('Interest Rate'!$J$16,'Incremental Repayments'!$I$31,(HLOOKUP($D118,$E$4:$CZ$32,28,FALSE)*'Incremental Repayments'!$I$22)),0),0)</f>
        <v>0</v>
      </c>
      <c r="T118" s="477">
        <f>IF('Incremental Repayments'!$R$22="Debt",IF(AND(T$4&gt;=$D118,T$4&lt;$D118+'Incremental Repayments'!$I$31),-PMT('Interest Rate'!$J$16,'Incremental Repayments'!$I$31,(HLOOKUP($D118,$E$4:$CZ$32,28,FALSE)*'Incremental Repayments'!$I$22)),0),0)</f>
        <v>0</v>
      </c>
      <c r="U118" s="477">
        <f>IF('Incremental Repayments'!$R$22="Debt",IF(AND(U$4&gt;=$D118,U$4&lt;$D118+'Incremental Repayments'!$I$31),-PMT('Interest Rate'!$J$16,'Incremental Repayments'!$I$31,(HLOOKUP($D118,$E$4:$CZ$32,28,FALSE)*'Incremental Repayments'!$I$22)),0),0)</f>
        <v>0</v>
      </c>
      <c r="V118" s="477">
        <f>IF('Incremental Repayments'!$R$22="Debt",IF(AND(V$4&gt;=$D118,V$4&lt;$D118+'Incremental Repayments'!$I$31),-PMT('Interest Rate'!$J$16,'Incremental Repayments'!$I$31,(HLOOKUP($D118,$E$4:$CZ$32,28,FALSE)*'Incremental Repayments'!$I$22)),0),0)</f>
        <v>0</v>
      </c>
      <c r="W118" s="477">
        <f>IF('Incremental Repayments'!$R$22="Debt",IF(AND(W$4&gt;=$D118,W$4&lt;$D118+'Incremental Repayments'!$I$31),-PMT('Interest Rate'!$J$16,'Incremental Repayments'!$I$31,(HLOOKUP($D118,$E$4:$CZ$32,28,FALSE)*'Incremental Repayments'!$I$22)),0),0)</f>
        <v>0</v>
      </c>
      <c r="X118" s="477">
        <f>IF('Incremental Repayments'!$R$22="Debt",IF(AND(X$4&gt;=$D118,X$4&lt;$D118+'Incremental Repayments'!$I$31),-PMT('Interest Rate'!$J$16,'Incremental Repayments'!$I$31,(HLOOKUP($D118,$E$4:$CZ$32,28,FALSE)*'Incremental Repayments'!$I$22)),0),0)</f>
        <v>0</v>
      </c>
      <c r="Y118" s="477">
        <f>IF('Incremental Repayments'!$R$22="Debt",IF(AND(Y$4&gt;=$D118,Y$4&lt;$D118+'Incremental Repayments'!$I$31),-PMT('Interest Rate'!$J$16,'Incremental Repayments'!$I$31,(HLOOKUP($D118,$E$4:$CZ$32,28,FALSE)*'Incremental Repayments'!$I$22)),0),0)</f>
        <v>0</v>
      </c>
      <c r="Z118" s="477">
        <f>IF('Incremental Repayments'!$R$22="Debt",IF(AND(Z$4&gt;=$D118,Z$4&lt;$D118+'Incremental Repayments'!$I$31),-PMT('Interest Rate'!$J$16,'Incremental Repayments'!$I$31,(HLOOKUP($D118,$E$4:$CZ$32,28,FALSE)*'Incremental Repayments'!$I$22)),0),0)</f>
        <v>0</v>
      </c>
      <c r="AA118" s="477">
        <f>IF('Incremental Repayments'!$R$22="Debt",IF(AND(AA$4&gt;=$D118,AA$4&lt;$D118+'Incremental Repayments'!$I$31),-PMT('Interest Rate'!$J$16,'Incremental Repayments'!$I$31,(HLOOKUP($D118,$E$4:$CZ$32,28,FALSE)*'Incremental Repayments'!$I$22)),0),0)</f>
        <v>0</v>
      </c>
      <c r="AB118" s="477">
        <f>IF('Incremental Repayments'!$R$22="Debt",IF(AND(AB$4&gt;=$D118,AB$4&lt;$D118+'Incremental Repayments'!$I$31),-PMT('Interest Rate'!$J$16,'Incremental Repayments'!$I$31,(HLOOKUP($D118,$E$4:$CZ$32,28,FALSE)*'Incremental Repayments'!$I$22)),0),0)</f>
        <v>0</v>
      </c>
      <c r="AC118" s="477">
        <f>IF('Incremental Repayments'!$R$22="Debt",IF(AND(AC$4&gt;=$D118,AC$4&lt;$D118+'Incremental Repayments'!$I$31),-PMT('Interest Rate'!$J$16,'Incremental Repayments'!$I$31,(HLOOKUP($D118,$E$4:$CZ$32,28,FALSE)*'Incremental Repayments'!$I$22)),0),0)</f>
        <v>0</v>
      </c>
      <c r="AD118" s="477">
        <f>IF('Incremental Repayments'!$R$22="Debt",IF(AND(AD$4&gt;=$D118,AD$4&lt;$D118+'Incremental Repayments'!$I$31),-PMT('Interest Rate'!$J$16,'Incremental Repayments'!$I$31,(HLOOKUP($D118,$E$4:$CZ$32,28,FALSE)*'Incremental Repayments'!$I$22)),0),0)</f>
        <v>0</v>
      </c>
      <c r="AE118" s="477">
        <f>IF('Incremental Repayments'!$R$22="Debt",IF(AND(AE$4&gt;=$D118,AE$4&lt;$D118+'Incremental Repayments'!$I$31),-PMT('Interest Rate'!$J$16,'Incremental Repayments'!$I$31,(HLOOKUP($D118,$E$4:$CZ$32,28,FALSE)*'Incremental Repayments'!$I$22)),0),0)</f>
        <v>0</v>
      </c>
      <c r="AF118" s="477">
        <f>IF('Incremental Repayments'!$R$22="Debt",IF(AND(AF$4&gt;=$D118,AF$4&lt;$D118+'Incremental Repayments'!$I$31),-PMT('Interest Rate'!$J$16,'Incremental Repayments'!$I$31,(HLOOKUP($D118,$E$4:$CZ$32,28,FALSE)*'Incremental Repayments'!$I$22)),0),0)</f>
        <v>0</v>
      </c>
      <c r="AG118" s="477">
        <f>IF('Incremental Repayments'!$R$22="Debt",IF(AND(AG$4&gt;=$D118,AG$4&lt;$D118+'Incremental Repayments'!$I$31),-PMT('Interest Rate'!$J$16,'Incremental Repayments'!$I$31,(HLOOKUP($D118,$E$4:$CZ$32,28,FALSE)*'Incremental Repayments'!$I$22)),0),0)</f>
        <v>0</v>
      </c>
      <c r="AH118" s="477">
        <f>IF('Incremental Repayments'!$R$22="Debt",IF(AND(AH$4&gt;=$D118,AH$4&lt;$D118+'Incremental Repayments'!$I$31),-PMT('Interest Rate'!$J$16,'Incremental Repayments'!$I$31,(HLOOKUP($D118,$E$4:$CZ$32,28,FALSE)*'Incremental Repayments'!$I$22)),0),0)</f>
        <v>0</v>
      </c>
      <c r="AI118" s="477">
        <f>IF('Incremental Repayments'!$R$22="Debt",IF(AND(AI$4&gt;=$D118,AI$4&lt;$D118+'Incremental Repayments'!$I$31),-PMT('Interest Rate'!$J$16,'Incremental Repayments'!$I$31,(HLOOKUP($D118,$E$4:$CZ$32,28,FALSE)*'Incremental Repayments'!$I$22)),0),0)</f>
        <v>0</v>
      </c>
      <c r="AJ118" s="477">
        <f>IF('Incremental Repayments'!$R$22="Debt",IF(AND(AJ$4&gt;=$D118,AJ$4&lt;$D118+'Incremental Repayments'!$I$31),-PMT('Interest Rate'!$J$16,'Incremental Repayments'!$I$31,(HLOOKUP($D118,$E$4:$CZ$32,28,FALSE)*'Incremental Repayments'!$I$22)),0),0)</f>
        <v>0</v>
      </c>
      <c r="AK118" s="477">
        <f>IF('Incremental Repayments'!$R$22="Debt",IF(AND(AK$4&gt;=$D118,AK$4&lt;$D118+'Incremental Repayments'!$I$31),-PMT('Interest Rate'!$J$16,'Incremental Repayments'!$I$31,(HLOOKUP($D118,$E$4:$CZ$32,28,FALSE)*'Incremental Repayments'!$I$22)),0),0)</f>
        <v>0</v>
      </c>
      <c r="AL118" s="477">
        <f>IF('Incremental Repayments'!$R$22="Debt",IF(AND(AL$4&gt;=$D118,AL$4&lt;$D118+'Incremental Repayments'!$I$31),-PMT('Interest Rate'!$J$16,'Incremental Repayments'!$I$31,(HLOOKUP($D118,$E$4:$CZ$32,28,FALSE)*'Incremental Repayments'!$I$22)),0),0)</f>
        <v>0</v>
      </c>
      <c r="AM118" s="477">
        <f>IF('Incremental Repayments'!$R$22="Debt",IF(AND(AM$4&gt;=$D118,AM$4&lt;$D118+'Incremental Repayments'!$I$31),-PMT('Interest Rate'!$J$16,'Incremental Repayments'!$I$31,(HLOOKUP($D118,$E$4:$CZ$32,28,FALSE)*'Incremental Repayments'!$I$22)),0),0)</f>
        <v>0</v>
      </c>
      <c r="AN118" s="477">
        <f>IF('Incremental Repayments'!$R$22="Debt",IF(AND(AN$4&gt;=$D118,AN$4&lt;$D118+'Incremental Repayments'!$I$31),-PMT('Interest Rate'!$J$16,'Incremental Repayments'!$I$31,(HLOOKUP($D118,$E$4:$CZ$32,28,FALSE)*'Incremental Repayments'!$I$22)),0),0)</f>
        <v>0</v>
      </c>
      <c r="AO118" s="477">
        <f>IF('Incremental Repayments'!$R$22="Debt",IF(AND(AO$4&gt;=$D118,AO$4&lt;$D118+'Incremental Repayments'!$I$31),-PMT('Interest Rate'!$J$16,'Incremental Repayments'!$I$31,(HLOOKUP($D118,$E$4:$CZ$32,28,FALSE)*'Incremental Repayments'!$I$22)),0),0)</f>
        <v>0</v>
      </c>
      <c r="AP118" s="477">
        <f>IF('Incremental Repayments'!$R$22="Debt",IF(AND(AP$4&gt;=$D118,AP$4&lt;$D118+'Incremental Repayments'!$I$31),-PMT('Interest Rate'!$J$16,'Incremental Repayments'!$I$31,(HLOOKUP($D118,$E$4:$CZ$32,28,FALSE)*'Incremental Repayments'!$I$22)),0),0)</f>
        <v>0</v>
      </c>
      <c r="AQ118" s="477">
        <f>IF('Incremental Repayments'!$R$22="Debt",IF(AND(AQ$4&gt;=$D118,AQ$4&lt;$D118+'Incremental Repayments'!$I$31),-PMT('Interest Rate'!$J$16,'Incremental Repayments'!$I$31,(HLOOKUP($D118,$E$4:$CZ$32,28,FALSE)*'Incremental Repayments'!$I$22)),0),0)</f>
        <v>0</v>
      </c>
      <c r="AR118" s="477">
        <f>IF('Incremental Repayments'!$R$22="Debt",IF(AND(AR$4&gt;=$D118,AR$4&lt;$D118+'Incremental Repayments'!$I$31),-PMT('Interest Rate'!$J$16,'Incremental Repayments'!$I$31,(HLOOKUP($D118,$E$4:$CZ$32,28,FALSE)*'Incremental Repayments'!$I$22)),0),0)</f>
        <v>0</v>
      </c>
      <c r="AS118" s="477">
        <f>IF('Incremental Repayments'!$R$22="Debt",IF(AND(AS$4&gt;=$D118,AS$4&lt;$D118+'Incremental Repayments'!$I$31),-PMT('Interest Rate'!$J$16,'Incremental Repayments'!$I$31,(HLOOKUP($D118,$E$4:$CZ$32,28,FALSE)*'Incremental Repayments'!$I$22)),0),0)</f>
        <v>0</v>
      </c>
      <c r="AT118" s="477">
        <f>IF('Incremental Repayments'!$R$22="Debt",IF(AND(AT$4&gt;=$D118,AT$4&lt;$D118+'Incremental Repayments'!$I$31),-PMT('Interest Rate'!$J$16,'Incremental Repayments'!$I$31,(HLOOKUP($D118,$E$4:$CZ$32,28,FALSE)*'Incremental Repayments'!$I$22)),0),0)</f>
        <v>0</v>
      </c>
      <c r="AU118" s="477">
        <f>IF('Incremental Repayments'!$R$22="Debt",IF(AND(AU$4&gt;=$D118,AU$4&lt;$D118+'Incremental Repayments'!$I$31),-PMT('Interest Rate'!$J$16,'Incremental Repayments'!$I$31,(HLOOKUP($D118,$E$4:$CZ$32,28,FALSE)*'Incremental Repayments'!$I$22)),0),0)</f>
        <v>0</v>
      </c>
      <c r="AV118" s="477">
        <f>IF('Incremental Repayments'!$R$22="Debt",IF(AND(AV$4&gt;=$D118,AV$4&lt;$D118+'Incremental Repayments'!$I$31),-PMT('Interest Rate'!$J$16,'Incremental Repayments'!$I$31,(HLOOKUP($D118,$E$4:$CZ$32,28,FALSE)*'Incremental Repayments'!$I$22)),0),0)</f>
        <v>0</v>
      </c>
      <c r="AW118" s="477">
        <f>IF('Incremental Repayments'!$R$22="Debt",IF(AND(AW$4&gt;=$D118,AW$4&lt;$D118+'Incremental Repayments'!$I$31),-PMT('Interest Rate'!$J$16,'Incremental Repayments'!$I$31,(HLOOKUP($D118,$E$4:$CZ$32,28,FALSE)*'Incremental Repayments'!$I$22)),0),0)</f>
        <v>0</v>
      </c>
      <c r="AX118" s="477">
        <f>IF('Incremental Repayments'!$R$22="Debt",IF(AND(AX$4&gt;=$D118,AX$4&lt;$D118+'Incremental Repayments'!$I$31),-PMT('Interest Rate'!$J$16,'Incremental Repayments'!$I$31,(HLOOKUP($D118,$E$4:$CZ$32,28,FALSE)*'Incremental Repayments'!$I$22)),0),0)</f>
        <v>0</v>
      </c>
      <c r="AY118" s="477">
        <f>IF('Incremental Repayments'!$R$22="Debt",IF(AND(AY$4&gt;=$D118,AY$4&lt;$D118+'Incremental Repayments'!$I$31),-PMT('Interest Rate'!$J$16,'Incremental Repayments'!$I$31,(HLOOKUP($D118,$E$4:$CZ$32,28,FALSE)*'Incremental Repayments'!$I$22)),0),0)</f>
        <v>0</v>
      </c>
      <c r="AZ118" s="477">
        <f>IF('Incremental Repayments'!$R$22="Debt",IF(AND(AZ$4&gt;=$D118,AZ$4&lt;$D118+'Incremental Repayments'!$I$31),-PMT('Interest Rate'!$J$16,'Incremental Repayments'!$I$31,(HLOOKUP($D118,$E$4:$CZ$32,28,FALSE)*'Incremental Repayments'!$I$22)),0),0)</f>
        <v>0</v>
      </c>
      <c r="BA118" s="477">
        <f>IF('Incremental Repayments'!$R$22="Debt",IF(AND(BA$4&gt;=$D118,BA$4&lt;$D118+'Incremental Repayments'!$I$31),-PMT('Interest Rate'!$J$16,'Incremental Repayments'!$I$31,(HLOOKUP($D118,$E$4:$CZ$32,28,FALSE)*'Incremental Repayments'!$I$22)),0),0)</f>
        <v>0</v>
      </c>
      <c r="BB118" s="477">
        <f>IF('Incremental Repayments'!$R$22="Debt",IF(AND(BB$4&gt;=$D118,BB$4&lt;$D118+'Incremental Repayments'!$I$31),-PMT('Interest Rate'!$J$16,'Incremental Repayments'!$I$31,(HLOOKUP($D118,$E$4:$CZ$32,28,FALSE)*'Incremental Repayments'!$I$22)),0),0)</f>
        <v>0</v>
      </c>
      <c r="BC118" s="477">
        <f>IF('Incremental Repayments'!$R$22="Debt",IF(AND(BC$4&gt;=$D118,BC$4&lt;$D118+'Incremental Repayments'!$I$31),-PMT('Interest Rate'!$J$16,'Incremental Repayments'!$I$31,(HLOOKUP($D118,$E$4:$CZ$32,28,FALSE)*'Incremental Repayments'!$I$22)),0),0)</f>
        <v>0</v>
      </c>
      <c r="BD118" s="477">
        <f>IF('Incremental Repayments'!$R$22="Debt",IF(AND(BD$4&gt;=$D118,BD$4&lt;$D118+'Incremental Repayments'!$I$31),-PMT('Interest Rate'!$J$16,'Incremental Repayments'!$I$31,(HLOOKUP($D118,$E$4:$CZ$32,28,FALSE)*'Incremental Repayments'!$I$22)),0),0)</f>
        <v>0</v>
      </c>
      <c r="BE118" s="477">
        <f>IF('Incremental Repayments'!$R$22="Debt",IF(AND(BE$4&gt;=$D118,BE$4&lt;$D118+'Incremental Repayments'!$I$31),-PMT('Interest Rate'!$J$16,'Incremental Repayments'!$I$31,(HLOOKUP($D118,$E$4:$CZ$32,28,FALSE)*'Incremental Repayments'!$I$22)),0),0)</f>
        <v>0</v>
      </c>
      <c r="BF118" s="477">
        <f>IF('Incremental Repayments'!$R$22="Debt",IF(AND(BF$4&gt;=$D118,BF$4&lt;$D118+'Incremental Repayments'!$I$31),-PMT('Interest Rate'!$J$16,'Incremental Repayments'!$I$31,(HLOOKUP($D118,$E$4:$CZ$32,28,FALSE)*'Incremental Repayments'!$I$22)),0),0)</f>
        <v>0</v>
      </c>
      <c r="BG118" s="477">
        <f>IF('Incremental Repayments'!$R$22="Debt",IF(AND(BG$4&gt;=$D118,BG$4&lt;$D118+'Incremental Repayments'!$I$31),-PMT('Interest Rate'!$J$16,'Incremental Repayments'!$I$31,(HLOOKUP($D118,$E$4:$CZ$32,28,FALSE)*'Incremental Repayments'!$I$22)),0),0)</f>
        <v>0</v>
      </c>
      <c r="BH118" s="477">
        <f>IF('Incremental Repayments'!$R$22="Debt",IF(AND(BH$4&gt;=$D118,BH$4&lt;$D118+'Incremental Repayments'!$I$31),-PMT('Interest Rate'!$J$16,'Incremental Repayments'!$I$31,(HLOOKUP($D118,$E$4:$CZ$32,28,FALSE)*'Incremental Repayments'!$I$22)),0),0)</f>
        <v>0</v>
      </c>
      <c r="BI118" s="477">
        <f>IF('Incremental Repayments'!$R$22="Debt",IF(AND(BI$4&gt;=$D118,BI$4&lt;$D118+'Incremental Repayments'!$I$31),-PMT('Interest Rate'!$J$16,'Incremental Repayments'!$I$31,(HLOOKUP($D118,$E$4:$CZ$32,28,FALSE)*'Incremental Repayments'!$I$22)),0),0)</f>
        <v>0</v>
      </c>
      <c r="BJ118" s="477">
        <f>IF('Incremental Repayments'!$R$22="Debt",IF(AND(BJ$4&gt;=$D118,BJ$4&lt;$D118+'Incremental Repayments'!$I$31),-PMT('Interest Rate'!$J$16,'Incremental Repayments'!$I$31,(HLOOKUP($D118,$E$4:$CZ$32,28,FALSE)*'Incremental Repayments'!$I$22)),0),0)</f>
        <v>0</v>
      </c>
      <c r="BK118" s="477">
        <f>IF('Incremental Repayments'!$R$22="Debt",IF(AND(BK$4&gt;=$D118,BK$4&lt;$D118+'Incremental Repayments'!$I$31),-PMT('Interest Rate'!$J$16,'Incremental Repayments'!$I$31,(HLOOKUP($D118,$E$4:$CZ$32,28,FALSE)*'Incremental Repayments'!$I$22)),0),0)</f>
        <v>0</v>
      </c>
      <c r="BL118" s="477">
        <f>IF('Incremental Repayments'!$R$22="Debt",IF(AND(BL$4&gt;=$D118,BL$4&lt;$D118+'Incremental Repayments'!$I$31),-PMT('Interest Rate'!$J$16,'Incremental Repayments'!$I$31,(HLOOKUP($D118,$E$4:$CZ$32,28,FALSE)*'Incremental Repayments'!$I$22)),0),0)</f>
        <v>0</v>
      </c>
      <c r="BM118" s="477">
        <f>IF('Incremental Repayments'!$R$22="Debt",IF(AND(BM$4&gt;=$D118,BM$4&lt;$D118+'Incremental Repayments'!$I$31),-PMT('Interest Rate'!$J$16,'Incremental Repayments'!$I$31,(HLOOKUP($D118,$E$4:$CZ$32,28,FALSE)*'Incremental Repayments'!$I$22)),0),0)</f>
        <v>0</v>
      </c>
      <c r="BN118" s="477">
        <f>IF('Incremental Repayments'!$R$22="Debt",IF(AND(BN$4&gt;=$D118,BN$4&lt;$D118+'Incremental Repayments'!$I$31),-PMT('Interest Rate'!$J$16,'Incremental Repayments'!$I$31,(HLOOKUP($D118,$E$4:$CZ$32,28,FALSE)*'Incremental Repayments'!$I$22)),0),0)</f>
        <v>0</v>
      </c>
      <c r="BO118" s="477">
        <f>IF('Incremental Repayments'!$R$22="Debt",IF(AND(BO$4&gt;=$D118,BO$4&lt;$D118+'Incremental Repayments'!$I$31),-PMT('Interest Rate'!$J$16,'Incremental Repayments'!$I$31,(HLOOKUP($D118,$E$4:$CZ$32,28,FALSE)*'Incremental Repayments'!$I$22)),0),0)</f>
        <v>0</v>
      </c>
      <c r="BP118" s="477">
        <f>IF('Incremental Repayments'!$R$22="Debt",IF(AND(BP$4&gt;=$D118,BP$4&lt;$D118+'Incremental Repayments'!$I$31),-PMT('Interest Rate'!$J$16,'Incremental Repayments'!$I$31,(HLOOKUP($D118,$E$4:$CZ$32,28,FALSE)*'Incremental Repayments'!$I$22)),0),0)</f>
        <v>0</v>
      </c>
      <c r="BQ118" s="477">
        <f>IF('Incremental Repayments'!$R$22="Debt",IF(AND(BQ$4&gt;=$D118,BQ$4&lt;$D118+'Incremental Repayments'!$I$31),-PMT('Interest Rate'!$J$16,'Incremental Repayments'!$I$31,(HLOOKUP($D118,$E$4:$CZ$32,28,FALSE)*'Incremental Repayments'!$I$22)),0),0)</f>
        <v>0</v>
      </c>
      <c r="BR118" s="477">
        <f>IF('Incremental Repayments'!$R$22="Debt",IF(AND(BR$4&gt;=$D118,BR$4&lt;$D118+'Incremental Repayments'!$I$31),-PMT('Interest Rate'!$J$16,'Incremental Repayments'!$I$31,(HLOOKUP($D118,$E$4:$CZ$32,28,FALSE)*'Incremental Repayments'!$I$22)),0),0)</f>
        <v>0</v>
      </c>
      <c r="BS118" s="477">
        <f>IF('Incremental Repayments'!$R$22="Debt",IF(AND(BS$4&gt;=$D118,BS$4&lt;$D118+'Incremental Repayments'!$I$31),-PMT('Interest Rate'!$J$16,'Incremental Repayments'!$I$31,(HLOOKUP($D118,$E$4:$CZ$32,28,FALSE)*'Incremental Repayments'!$I$22)),0),0)</f>
        <v>0</v>
      </c>
      <c r="BT118" s="477">
        <f>IF('Incremental Repayments'!$R$22="Debt",IF(AND(BT$4&gt;=$D118,BT$4&lt;$D118+'Incremental Repayments'!$I$31),-PMT('Interest Rate'!$J$16,'Incremental Repayments'!$I$31,(HLOOKUP($D118,$E$4:$CZ$32,28,FALSE)*'Incremental Repayments'!$I$22)),0),0)</f>
        <v>0</v>
      </c>
      <c r="BU118" s="477">
        <f>IF('Incremental Repayments'!$R$22="Debt",IF(AND(BU$4&gt;=$D118,BU$4&lt;$D118+'Incremental Repayments'!$I$31),-PMT('Interest Rate'!$J$16,'Incremental Repayments'!$I$31,(HLOOKUP($D118,$E$4:$CZ$32,28,FALSE)*'Incremental Repayments'!$I$22)),0),0)</f>
        <v>0</v>
      </c>
      <c r="BV118" s="477">
        <f>IF('Incremental Repayments'!$R$22="Debt",IF(AND(BV$4&gt;=$D118,BV$4&lt;$D118+'Incremental Repayments'!$I$31),-PMT('Interest Rate'!$J$16,'Incremental Repayments'!$I$31,(HLOOKUP($D118,$E$4:$CZ$32,28,FALSE)*'Incremental Repayments'!$I$22)),0),0)</f>
        <v>0</v>
      </c>
      <c r="BW118" s="477">
        <f>IF('Incremental Repayments'!$R$22="Debt",IF(AND(BW$4&gt;=$D118,BW$4&lt;$D118+'Incremental Repayments'!$I$31),-PMT('Interest Rate'!$J$16,'Incremental Repayments'!$I$31,(HLOOKUP($D118,$E$4:$CZ$32,28,FALSE)*'Incremental Repayments'!$I$22)),0),0)</f>
        <v>0</v>
      </c>
      <c r="BX118" s="477">
        <f>IF('Incremental Repayments'!$R$22="Debt",IF(AND(BX$4&gt;=$D118,BX$4&lt;$D118+'Incremental Repayments'!$I$31),-PMT('Interest Rate'!$J$16,'Incremental Repayments'!$I$31,(HLOOKUP($D118,$E$4:$CZ$32,28,FALSE)*'Incremental Repayments'!$I$22)),0),0)</f>
        <v>0</v>
      </c>
      <c r="BY118" s="477">
        <f>IF('Incremental Repayments'!$R$22="Debt",IF(AND(BY$4&gt;=$D118,BY$4&lt;$D118+'Incremental Repayments'!$I$31),-PMT('Interest Rate'!$J$16,'Incremental Repayments'!$I$31,(HLOOKUP($D118,$E$4:$CZ$32,28,FALSE)*'Incremental Repayments'!$I$22)),0),0)</f>
        <v>0</v>
      </c>
      <c r="BZ118" s="477">
        <f>IF('Incremental Repayments'!$R$22="Debt",IF(AND(BZ$4&gt;=$D118,BZ$4&lt;$D118+'Incremental Repayments'!$I$31),-PMT('Interest Rate'!$J$16,'Incremental Repayments'!$I$31,(HLOOKUP($D118,$E$4:$CZ$32,28,FALSE)*'Incremental Repayments'!$I$22)),0),0)</f>
        <v>0</v>
      </c>
      <c r="CA118" s="477">
        <f>IF('Incremental Repayments'!$R$22="Debt",IF(AND(CA$4&gt;=$D118,CA$4&lt;$D118+'Incremental Repayments'!$I$31),-PMT('Interest Rate'!$J$16,'Incremental Repayments'!$I$31,(HLOOKUP($D118,$E$4:$CZ$32,28,FALSE)*'Incremental Repayments'!$I$22)),0),0)</f>
        <v>0</v>
      </c>
      <c r="CB118" s="477">
        <f>IF('Incremental Repayments'!$R$22="Debt",IF(AND(CB$4&gt;=$D118,CB$4&lt;$D118+'Incremental Repayments'!$I$31),-PMT('Interest Rate'!$J$16,'Incremental Repayments'!$I$31,(HLOOKUP($D118,$E$4:$CZ$32,28,FALSE)*'Incremental Repayments'!$I$22)),0),0)</f>
        <v>0</v>
      </c>
      <c r="CC118" s="477">
        <f>IF('Incremental Repayments'!$R$22="Debt",IF(AND(CC$4&gt;=$D118,CC$4&lt;$D118+'Incremental Repayments'!$I$31),-PMT('Interest Rate'!$J$16,'Incremental Repayments'!$I$31,(HLOOKUP($D118,$E$4:$CZ$32,28,FALSE)*'Incremental Repayments'!$I$22)),0),0)</f>
        <v>0</v>
      </c>
      <c r="CD118" s="477">
        <f>IF('Incremental Repayments'!$R$22="Debt",IF(AND(CD$4&gt;=$D118,CD$4&lt;$D118+'Incremental Repayments'!$I$31),-PMT('Interest Rate'!$J$16,'Incremental Repayments'!$I$31,(HLOOKUP($D118,$E$4:$CZ$32,28,FALSE)*'Incremental Repayments'!$I$22)),0),0)</f>
        <v>0</v>
      </c>
      <c r="CE118" s="477">
        <f>IF('Incremental Repayments'!$R$22="Debt",IF(AND(CE$4&gt;=$D118,CE$4&lt;$D118+'Incremental Repayments'!$I$31),-PMT('Interest Rate'!$J$16,'Incremental Repayments'!$I$31,(HLOOKUP($D118,$E$4:$CZ$32,28,FALSE)*'Incremental Repayments'!$I$22)),0),0)</f>
        <v>0</v>
      </c>
      <c r="CF118" s="477">
        <f>IF('Incremental Repayments'!$R$22="Debt",IF(AND(CF$4&gt;=$D118,CF$4&lt;$D118+'Incremental Repayments'!$I$31),-PMT('Interest Rate'!$J$16,'Incremental Repayments'!$I$31,(HLOOKUP($D118,$E$4:$CZ$32,28,FALSE)*'Incremental Repayments'!$I$22)),0),0)</f>
        <v>0</v>
      </c>
      <c r="CG118" s="477">
        <f>IF('Incremental Repayments'!$R$22="Debt",IF(AND(CG$4&gt;=$D118,CG$4&lt;$D118+'Incremental Repayments'!$I$31),-PMT('Interest Rate'!$J$16,'Incremental Repayments'!$I$31,(HLOOKUP($D118,$E$4:$CZ$32,28,FALSE)*'Incremental Repayments'!$I$22)),0),0)</f>
        <v>0</v>
      </c>
      <c r="CH118" s="477">
        <f>IF('Incremental Repayments'!$R$22="Debt",IF(AND(CH$4&gt;=$D118,CH$4&lt;$D118+'Incremental Repayments'!$I$31),-PMT('Interest Rate'!$J$16,'Incremental Repayments'!$I$31,(HLOOKUP($D118,$E$4:$CZ$32,28,FALSE)*'Incremental Repayments'!$I$22)),0),0)</f>
        <v>0</v>
      </c>
      <c r="CI118" s="477">
        <f>IF('Incremental Repayments'!$R$22="Debt",IF(AND(CI$4&gt;=$D118,CI$4&lt;$D118+'Incremental Repayments'!$I$31),-PMT('Interest Rate'!$J$16,'Incremental Repayments'!$I$31,(HLOOKUP($D118,$E$4:$CZ$32,28,FALSE)*'Incremental Repayments'!$I$22)),0),0)</f>
        <v>0</v>
      </c>
      <c r="CJ118" s="477">
        <f>IF('Incremental Repayments'!$R$22="Debt",IF(AND(CJ$4&gt;=$D118,CJ$4&lt;$D118+'Incremental Repayments'!$I$31),-PMT('Interest Rate'!$J$16,'Incremental Repayments'!$I$31,(HLOOKUP($D118,$E$4:$CZ$32,28,FALSE)*'Incremental Repayments'!$I$22)),0),0)</f>
        <v>0</v>
      </c>
      <c r="CK118" s="477">
        <f>IF('Incremental Repayments'!$R$22="Debt",IF(AND(CK$4&gt;=$D118,CK$4&lt;$D118+'Incremental Repayments'!$I$31),-PMT('Interest Rate'!$J$16,'Incremental Repayments'!$I$31,(HLOOKUP($D118,$E$4:$CZ$32,28,FALSE)*'Incremental Repayments'!$I$22)),0),0)</f>
        <v>0</v>
      </c>
      <c r="CL118" s="477">
        <f>IF('Incremental Repayments'!$R$22="Debt",IF(AND(CL$4&gt;=$D118,CL$4&lt;$D118+'Incremental Repayments'!$I$31),-PMT('Interest Rate'!$J$16,'Incremental Repayments'!$I$31,(HLOOKUP($D118,$E$4:$CZ$32,28,FALSE)*'Incremental Repayments'!$I$22)),0),0)</f>
        <v>0</v>
      </c>
      <c r="CM118" s="477">
        <f>IF('Incremental Repayments'!$R$22="Debt",IF(AND(CM$4&gt;=$D118,CM$4&lt;$D118+'Incremental Repayments'!$I$31),-PMT('Interest Rate'!$J$16,'Incremental Repayments'!$I$31,(HLOOKUP($D118,$E$4:$CZ$32,28,FALSE)*'Incremental Repayments'!$I$22)),0),0)</f>
        <v>0</v>
      </c>
      <c r="CN118" s="477">
        <f>IF('Incremental Repayments'!$R$22="Debt",IF(AND(CN$4&gt;=$D118,CN$4&lt;$D118+'Incremental Repayments'!$I$31),-PMT('Interest Rate'!$J$16,'Incremental Repayments'!$I$31,(HLOOKUP($D118,$E$4:$CZ$32,28,FALSE)*'Incremental Repayments'!$I$22)),0),0)</f>
        <v>0</v>
      </c>
      <c r="CO118" s="477">
        <f>IF('Incremental Repayments'!$R$22="Debt",IF(AND(CO$4&gt;=$D118,CO$4&lt;$D118+'Incremental Repayments'!$I$31),-PMT('Interest Rate'!$J$16,'Incremental Repayments'!$I$31,(HLOOKUP($D118,$E$4:$CZ$32,28,FALSE)*'Incremental Repayments'!$I$22)),0),0)</f>
        <v>0</v>
      </c>
      <c r="CP118" s="477">
        <f>IF('Incremental Repayments'!$R$22="Debt",IF(AND(CP$4&gt;=$D118,CP$4&lt;$D118+'Incremental Repayments'!$I$31),-PMT('Interest Rate'!$J$16,'Incremental Repayments'!$I$31,(HLOOKUP($D118,$E$4:$CZ$32,28,FALSE)*'Incremental Repayments'!$I$22)),0),0)</f>
        <v>0</v>
      </c>
      <c r="CQ118" s="477">
        <f>IF('Incremental Repayments'!$R$22="Debt",IF(AND(CQ$4&gt;=$D118,CQ$4&lt;$D118+'Incremental Repayments'!$I$31),-PMT('Interest Rate'!$J$16,'Incremental Repayments'!$I$31,(HLOOKUP($D118,$E$4:$CZ$32,28,FALSE)*'Incremental Repayments'!$I$22)),0),0)</f>
        <v>0</v>
      </c>
      <c r="CR118" s="477">
        <f>IF('Incremental Repayments'!$R$22="Debt",IF(AND(CR$4&gt;=$D118,CR$4&lt;$D118+'Incremental Repayments'!$I$31),-PMT('Interest Rate'!$J$16,'Incremental Repayments'!$I$31,(HLOOKUP($D118,$E$4:$CZ$32,28,FALSE)*'Incremental Repayments'!$I$22)),0),0)</f>
        <v>0</v>
      </c>
      <c r="CS118" s="477">
        <f>IF('Incremental Repayments'!$R$22="Debt",IF(AND(CS$4&gt;=$D118,CS$4&lt;$D118+'Incremental Repayments'!$I$31),-PMT('Interest Rate'!$J$16,'Incremental Repayments'!$I$31,(HLOOKUP($D118,$E$4:$CZ$32,28,FALSE)*'Incremental Repayments'!$I$22)),0),0)</f>
        <v>0</v>
      </c>
      <c r="CT118" s="477">
        <f>IF('Incremental Repayments'!$R$22="Debt",IF(AND(CT$4&gt;=$D118,CT$4&lt;$D118+'Incremental Repayments'!$I$31),-PMT('Interest Rate'!$J$16,'Incremental Repayments'!$I$31,(HLOOKUP($D118,$E$4:$CZ$32,28,FALSE)*'Incremental Repayments'!$I$22)),0),0)</f>
        <v>0</v>
      </c>
      <c r="CU118" s="477">
        <f>IF('Incremental Repayments'!$R$22="Debt",IF(AND(CU$4&gt;=$D118,CU$4&lt;$D118+'Incremental Repayments'!$I$31),-PMT('Interest Rate'!$J$16,'Incremental Repayments'!$I$31,(HLOOKUP($D118,$E$4:$CZ$32,28,FALSE)*'Incremental Repayments'!$I$22)),0),0)</f>
        <v>0</v>
      </c>
      <c r="CV118" s="477">
        <f>IF('Incremental Repayments'!$R$22="Debt",IF(AND(CV$4&gt;=$D118,CV$4&lt;$D118+'Incremental Repayments'!$I$31),-PMT('Interest Rate'!$J$16,'Incremental Repayments'!$I$31,(HLOOKUP($D118,$E$4:$CZ$32,28,FALSE)*'Incremental Repayments'!$I$22)),0),0)</f>
        <v>0</v>
      </c>
      <c r="CW118" s="477">
        <f>IF('Incremental Repayments'!$R$22="Debt",IF(AND(CW$4&gt;=$D118,CW$4&lt;$D118+'Incremental Repayments'!$I$31),-PMT('Interest Rate'!$J$16,'Incremental Repayments'!$I$31,(HLOOKUP($D118,$E$4:$CZ$32,28,FALSE)*'Incremental Repayments'!$I$22)),0),0)</f>
        <v>0</v>
      </c>
      <c r="CX118" s="477">
        <f>IF('Incremental Repayments'!$R$22="Debt",IF(AND(CX$4&gt;=$D118,CX$4&lt;$D118+'Incremental Repayments'!$I$31),-PMT('Interest Rate'!$J$16,'Incremental Repayments'!$I$31,(HLOOKUP($D118,$E$4:$CZ$32,28,FALSE)*'Incremental Repayments'!$I$22)),0),0)</f>
        <v>0</v>
      </c>
      <c r="CY118" s="477">
        <f>IF('Incremental Repayments'!$R$22="Debt",IF(AND(CY$4&gt;=$D118,CY$4&lt;$D118+'Incremental Repayments'!$I$31),-PMT('Interest Rate'!$J$16,'Incremental Repayments'!$I$31,(HLOOKUP($D118,$E$4:$CZ$32,28,FALSE)*'Incremental Repayments'!$I$22)),0),0)</f>
        <v>0</v>
      </c>
      <c r="CZ118" s="477">
        <f>IF('Incremental Repayments'!$R$22="Debt",IF(AND(CZ$4&gt;=$D118,CZ$4&lt;$D118+'Incremental Repayments'!$I$31),-PMT('Interest Rate'!$J$16,'Incremental Repayments'!$I$31,(HLOOKUP($D118,$E$4:$CZ$32,28,FALSE)*'Incremental Repayments'!$I$22)),0),0)</f>
        <v>0</v>
      </c>
    </row>
    <row r="119" spans="1:104" x14ac:dyDescent="0.25">
      <c r="B119" s="480" t="str">
        <f>CONCATENATE("Series ",D119,"A Bonds (at ",'Interest Rate'!$J$16*100,"% Interest)")</f>
        <v>Series 2097A Bonds (at 4.5% Interest)</v>
      </c>
      <c r="C119" s="480"/>
      <c r="D119" s="492">
        <f t="shared" si="497"/>
        <v>2097</v>
      </c>
      <c r="E119" s="477">
        <f>IF('Incremental Repayments'!$R$22="Debt",IF(AND(E$4&gt;=$D119,E$4&lt;$D119+'Incremental Repayments'!$I$31),-PMT('Interest Rate'!$J$16,'Incremental Repayments'!$I$31,(HLOOKUP($D119,$E$4:$CZ$32,28,FALSE)*'Incremental Repayments'!$I$22)),0),0)</f>
        <v>0</v>
      </c>
      <c r="F119" s="477">
        <f>IF('Incremental Repayments'!$R$22="Debt",IF(AND(F$4&gt;=$D119,F$4&lt;$D119+'Incremental Repayments'!$I$31),-PMT('Interest Rate'!$J$16,'Incremental Repayments'!$I$31,(HLOOKUP($D119,$E$4:$CZ$32,28,FALSE)*'Incremental Repayments'!$I$22)),0),0)</f>
        <v>0</v>
      </c>
      <c r="G119" s="477">
        <f>IF('Incremental Repayments'!$R$22="Debt",IF(AND(G$4&gt;=$D119,G$4&lt;$D119+'Incremental Repayments'!$I$31),-PMT('Interest Rate'!$J$16,'Incremental Repayments'!$I$31,(HLOOKUP($D119,$E$4:$CZ$32,28,FALSE)*'Incremental Repayments'!$I$22)),0),0)</f>
        <v>0</v>
      </c>
      <c r="H119" s="477">
        <f>IF('Incremental Repayments'!$R$22="Debt",IF(AND(H$4&gt;=$D119,H$4&lt;$D119+'Incremental Repayments'!$I$31),-PMT('Interest Rate'!$J$16,'Incremental Repayments'!$I$31,(HLOOKUP($D119,$E$4:$CZ$32,28,FALSE)*'Incremental Repayments'!$I$22)),0),0)</f>
        <v>0</v>
      </c>
      <c r="I119" s="477">
        <f>IF('Incremental Repayments'!$R$22="Debt",IF(AND(I$4&gt;=$D119,I$4&lt;$D119+'Incremental Repayments'!$I$31),-PMT('Interest Rate'!$J$16,'Incremental Repayments'!$I$31,(HLOOKUP($D119,$E$4:$CZ$32,28,FALSE)*'Incremental Repayments'!$I$22)),0),0)</f>
        <v>0</v>
      </c>
      <c r="J119" s="477">
        <f>IF('Incremental Repayments'!$R$22="Debt",IF(AND(J$4&gt;=$D119,J$4&lt;$D119+'Incremental Repayments'!$I$31),-PMT('Interest Rate'!$J$16,'Incremental Repayments'!$I$31,(HLOOKUP($D119,$E$4:$CZ$32,28,FALSE)*'Incremental Repayments'!$I$22)),0),0)</f>
        <v>0</v>
      </c>
      <c r="K119" s="477">
        <f>IF('Incremental Repayments'!$R$22="Debt",IF(AND(K$4&gt;=$D119,K$4&lt;$D119+'Incremental Repayments'!$I$31),-PMT('Interest Rate'!$J$16,'Incremental Repayments'!$I$31,(HLOOKUP($D119,$E$4:$CZ$32,28,FALSE)*'Incremental Repayments'!$I$22)),0),0)</f>
        <v>0</v>
      </c>
      <c r="L119" s="477">
        <f>IF('Incremental Repayments'!$R$22="Debt",IF(AND(L$4&gt;=$D119,L$4&lt;$D119+'Incremental Repayments'!$I$31),-PMT('Interest Rate'!$J$16,'Incremental Repayments'!$I$31,(HLOOKUP($D119,$E$4:$CZ$32,28,FALSE)*'Incremental Repayments'!$I$22)),0),0)</f>
        <v>0</v>
      </c>
      <c r="M119" s="477">
        <f>IF('Incremental Repayments'!$R$22="Debt",IF(AND(M$4&gt;=$D119,M$4&lt;$D119+'Incremental Repayments'!$I$31),-PMT('Interest Rate'!$J$16,'Incremental Repayments'!$I$31,(HLOOKUP($D119,$E$4:$CZ$32,28,FALSE)*'Incremental Repayments'!$I$22)),0),0)</f>
        <v>0</v>
      </c>
      <c r="N119" s="477">
        <f>IF('Incremental Repayments'!$R$22="Debt",IF(AND(N$4&gt;=$D119,N$4&lt;$D119+'Incremental Repayments'!$I$31),-PMT('Interest Rate'!$J$16,'Incremental Repayments'!$I$31,(HLOOKUP($D119,$E$4:$CZ$32,28,FALSE)*'Incremental Repayments'!$I$22)),0),0)</f>
        <v>0</v>
      </c>
      <c r="O119" s="477">
        <f>IF('Incremental Repayments'!$R$22="Debt",IF(AND(O$4&gt;=$D119,O$4&lt;$D119+'Incremental Repayments'!$I$31),-PMT('Interest Rate'!$J$16,'Incremental Repayments'!$I$31,(HLOOKUP($D119,$E$4:$CZ$32,28,FALSE)*'Incremental Repayments'!$I$22)),0),0)</f>
        <v>0</v>
      </c>
      <c r="P119" s="477">
        <f>IF('Incremental Repayments'!$R$22="Debt",IF(AND(P$4&gt;=$D119,P$4&lt;$D119+'Incremental Repayments'!$I$31),-PMT('Interest Rate'!$J$16,'Incremental Repayments'!$I$31,(HLOOKUP($D119,$E$4:$CZ$32,28,FALSE)*'Incremental Repayments'!$I$22)),0),0)</f>
        <v>0</v>
      </c>
      <c r="Q119" s="477">
        <f>IF('Incremental Repayments'!$R$22="Debt",IF(AND(Q$4&gt;=$D119,Q$4&lt;$D119+'Incremental Repayments'!$I$31),-PMT('Interest Rate'!$J$16,'Incremental Repayments'!$I$31,(HLOOKUP($D119,$E$4:$CZ$32,28,FALSE)*'Incremental Repayments'!$I$22)),0),0)</f>
        <v>0</v>
      </c>
      <c r="R119" s="477">
        <f>IF('Incremental Repayments'!$R$22="Debt",IF(AND(R$4&gt;=$D119,R$4&lt;$D119+'Incremental Repayments'!$I$31),-PMT('Interest Rate'!$J$16,'Incremental Repayments'!$I$31,(HLOOKUP($D119,$E$4:$CZ$32,28,FALSE)*'Incremental Repayments'!$I$22)),0),0)</f>
        <v>0</v>
      </c>
      <c r="S119" s="477">
        <f>IF('Incremental Repayments'!$R$22="Debt",IF(AND(S$4&gt;=$D119,S$4&lt;$D119+'Incremental Repayments'!$I$31),-PMT('Interest Rate'!$J$16,'Incremental Repayments'!$I$31,(HLOOKUP($D119,$E$4:$CZ$32,28,FALSE)*'Incremental Repayments'!$I$22)),0),0)</f>
        <v>0</v>
      </c>
      <c r="T119" s="477">
        <f>IF('Incremental Repayments'!$R$22="Debt",IF(AND(T$4&gt;=$D119,T$4&lt;$D119+'Incremental Repayments'!$I$31),-PMT('Interest Rate'!$J$16,'Incremental Repayments'!$I$31,(HLOOKUP($D119,$E$4:$CZ$32,28,FALSE)*'Incremental Repayments'!$I$22)),0),0)</f>
        <v>0</v>
      </c>
      <c r="U119" s="477">
        <f>IF('Incremental Repayments'!$R$22="Debt",IF(AND(U$4&gt;=$D119,U$4&lt;$D119+'Incremental Repayments'!$I$31),-PMT('Interest Rate'!$J$16,'Incremental Repayments'!$I$31,(HLOOKUP($D119,$E$4:$CZ$32,28,FALSE)*'Incremental Repayments'!$I$22)),0),0)</f>
        <v>0</v>
      </c>
      <c r="V119" s="477">
        <f>IF('Incremental Repayments'!$R$22="Debt",IF(AND(V$4&gt;=$D119,V$4&lt;$D119+'Incremental Repayments'!$I$31),-PMT('Interest Rate'!$J$16,'Incremental Repayments'!$I$31,(HLOOKUP($D119,$E$4:$CZ$32,28,FALSE)*'Incremental Repayments'!$I$22)),0),0)</f>
        <v>0</v>
      </c>
      <c r="W119" s="477">
        <f>IF('Incremental Repayments'!$R$22="Debt",IF(AND(W$4&gt;=$D119,W$4&lt;$D119+'Incremental Repayments'!$I$31),-PMT('Interest Rate'!$J$16,'Incremental Repayments'!$I$31,(HLOOKUP($D119,$E$4:$CZ$32,28,FALSE)*'Incremental Repayments'!$I$22)),0),0)</f>
        <v>0</v>
      </c>
      <c r="X119" s="477">
        <f>IF('Incremental Repayments'!$R$22="Debt",IF(AND(X$4&gt;=$D119,X$4&lt;$D119+'Incremental Repayments'!$I$31),-PMT('Interest Rate'!$J$16,'Incremental Repayments'!$I$31,(HLOOKUP($D119,$E$4:$CZ$32,28,FALSE)*'Incremental Repayments'!$I$22)),0),0)</f>
        <v>0</v>
      </c>
      <c r="Y119" s="477">
        <f>IF('Incremental Repayments'!$R$22="Debt",IF(AND(Y$4&gt;=$D119,Y$4&lt;$D119+'Incremental Repayments'!$I$31),-PMT('Interest Rate'!$J$16,'Incremental Repayments'!$I$31,(HLOOKUP($D119,$E$4:$CZ$32,28,FALSE)*'Incremental Repayments'!$I$22)),0),0)</f>
        <v>0</v>
      </c>
      <c r="Z119" s="477">
        <f>IF('Incremental Repayments'!$R$22="Debt",IF(AND(Z$4&gt;=$D119,Z$4&lt;$D119+'Incremental Repayments'!$I$31),-PMT('Interest Rate'!$J$16,'Incremental Repayments'!$I$31,(HLOOKUP($D119,$E$4:$CZ$32,28,FALSE)*'Incremental Repayments'!$I$22)),0),0)</f>
        <v>0</v>
      </c>
      <c r="AA119" s="477">
        <f>IF('Incremental Repayments'!$R$22="Debt",IF(AND(AA$4&gt;=$D119,AA$4&lt;$D119+'Incremental Repayments'!$I$31),-PMT('Interest Rate'!$J$16,'Incremental Repayments'!$I$31,(HLOOKUP($D119,$E$4:$CZ$32,28,FALSE)*'Incremental Repayments'!$I$22)),0),0)</f>
        <v>0</v>
      </c>
      <c r="AB119" s="477">
        <f>IF('Incremental Repayments'!$R$22="Debt",IF(AND(AB$4&gt;=$D119,AB$4&lt;$D119+'Incremental Repayments'!$I$31),-PMT('Interest Rate'!$J$16,'Incremental Repayments'!$I$31,(HLOOKUP($D119,$E$4:$CZ$32,28,FALSE)*'Incremental Repayments'!$I$22)),0),0)</f>
        <v>0</v>
      </c>
      <c r="AC119" s="477">
        <f>IF('Incremental Repayments'!$R$22="Debt",IF(AND(AC$4&gt;=$D119,AC$4&lt;$D119+'Incremental Repayments'!$I$31),-PMT('Interest Rate'!$J$16,'Incremental Repayments'!$I$31,(HLOOKUP($D119,$E$4:$CZ$32,28,FALSE)*'Incremental Repayments'!$I$22)),0),0)</f>
        <v>0</v>
      </c>
      <c r="AD119" s="477">
        <f>IF('Incremental Repayments'!$R$22="Debt",IF(AND(AD$4&gt;=$D119,AD$4&lt;$D119+'Incremental Repayments'!$I$31),-PMT('Interest Rate'!$J$16,'Incremental Repayments'!$I$31,(HLOOKUP($D119,$E$4:$CZ$32,28,FALSE)*'Incremental Repayments'!$I$22)),0),0)</f>
        <v>0</v>
      </c>
      <c r="AE119" s="477">
        <f>IF('Incremental Repayments'!$R$22="Debt",IF(AND(AE$4&gt;=$D119,AE$4&lt;$D119+'Incremental Repayments'!$I$31),-PMT('Interest Rate'!$J$16,'Incremental Repayments'!$I$31,(HLOOKUP($D119,$E$4:$CZ$32,28,FALSE)*'Incremental Repayments'!$I$22)),0),0)</f>
        <v>0</v>
      </c>
      <c r="AF119" s="477">
        <f>IF('Incremental Repayments'!$R$22="Debt",IF(AND(AF$4&gt;=$D119,AF$4&lt;$D119+'Incremental Repayments'!$I$31),-PMT('Interest Rate'!$J$16,'Incremental Repayments'!$I$31,(HLOOKUP($D119,$E$4:$CZ$32,28,FALSE)*'Incremental Repayments'!$I$22)),0),0)</f>
        <v>0</v>
      </c>
      <c r="AG119" s="477">
        <f>IF('Incremental Repayments'!$R$22="Debt",IF(AND(AG$4&gt;=$D119,AG$4&lt;$D119+'Incremental Repayments'!$I$31),-PMT('Interest Rate'!$J$16,'Incremental Repayments'!$I$31,(HLOOKUP($D119,$E$4:$CZ$32,28,FALSE)*'Incremental Repayments'!$I$22)),0),0)</f>
        <v>0</v>
      </c>
      <c r="AH119" s="477">
        <f>IF('Incremental Repayments'!$R$22="Debt",IF(AND(AH$4&gt;=$D119,AH$4&lt;$D119+'Incremental Repayments'!$I$31),-PMT('Interest Rate'!$J$16,'Incremental Repayments'!$I$31,(HLOOKUP($D119,$E$4:$CZ$32,28,FALSE)*'Incremental Repayments'!$I$22)),0),0)</f>
        <v>0</v>
      </c>
      <c r="AI119" s="477">
        <f>IF('Incremental Repayments'!$R$22="Debt",IF(AND(AI$4&gt;=$D119,AI$4&lt;$D119+'Incremental Repayments'!$I$31),-PMT('Interest Rate'!$J$16,'Incremental Repayments'!$I$31,(HLOOKUP($D119,$E$4:$CZ$32,28,FALSE)*'Incremental Repayments'!$I$22)),0),0)</f>
        <v>0</v>
      </c>
      <c r="AJ119" s="477">
        <f>IF('Incremental Repayments'!$R$22="Debt",IF(AND(AJ$4&gt;=$D119,AJ$4&lt;$D119+'Incremental Repayments'!$I$31),-PMT('Interest Rate'!$J$16,'Incremental Repayments'!$I$31,(HLOOKUP($D119,$E$4:$CZ$32,28,FALSE)*'Incremental Repayments'!$I$22)),0),0)</f>
        <v>0</v>
      </c>
      <c r="AK119" s="477">
        <f>IF('Incremental Repayments'!$R$22="Debt",IF(AND(AK$4&gt;=$D119,AK$4&lt;$D119+'Incremental Repayments'!$I$31),-PMT('Interest Rate'!$J$16,'Incremental Repayments'!$I$31,(HLOOKUP($D119,$E$4:$CZ$32,28,FALSE)*'Incremental Repayments'!$I$22)),0),0)</f>
        <v>0</v>
      </c>
      <c r="AL119" s="477">
        <f>IF('Incremental Repayments'!$R$22="Debt",IF(AND(AL$4&gt;=$D119,AL$4&lt;$D119+'Incremental Repayments'!$I$31),-PMT('Interest Rate'!$J$16,'Incremental Repayments'!$I$31,(HLOOKUP($D119,$E$4:$CZ$32,28,FALSE)*'Incremental Repayments'!$I$22)),0),0)</f>
        <v>0</v>
      </c>
      <c r="AM119" s="477">
        <f>IF('Incremental Repayments'!$R$22="Debt",IF(AND(AM$4&gt;=$D119,AM$4&lt;$D119+'Incremental Repayments'!$I$31),-PMT('Interest Rate'!$J$16,'Incremental Repayments'!$I$31,(HLOOKUP($D119,$E$4:$CZ$32,28,FALSE)*'Incremental Repayments'!$I$22)),0),0)</f>
        <v>0</v>
      </c>
      <c r="AN119" s="477">
        <f>IF('Incremental Repayments'!$R$22="Debt",IF(AND(AN$4&gt;=$D119,AN$4&lt;$D119+'Incremental Repayments'!$I$31),-PMT('Interest Rate'!$J$16,'Incremental Repayments'!$I$31,(HLOOKUP($D119,$E$4:$CZ$32,28,FALSE)*'Incremental Repayments'!$I$22)),0),0)</f>
        <v>0</v>
      </c>
      <c r="AO119" s="477">
        <f>IF('Incremental Repayments'!$R$22="Debt",IF(AND(AO$4&gt;=$D119,AO$4&lt;$D119+'Incremental Repayments'!$I$31),-PMT('Interest Rate'!$J$16,'Incremental Repayments'!$I$31,(HLOOKUP($D119,$E$4:$CZ$32,28,FALSE)*'Incremental Repayments'!$I$22)),0),0)</f>
        <v>0</v>
      </c>
      <c r="AP119" s="477">
        <f>IF('Incremental Repayments'!$R$22="Debt",IF(AND(AP$4&gt;=$D119,AP$4&lt;$D119+'Incremental Repayments'!$I$31),-PMT('Interest Rate'!$J$16,'Incremental Repayments'!$I$31,(HLOOKUP($D119,$E$4:$CZ$32,28,FALSE)*'Incremental Repayments'!$I$22)),0),0)</f>
        <v>0</v>
      </c>
      <c r="AQ119" s="477">
        <f>IF('Incremental Repayments'!$R$22="Debt",IF(AND(AQ$4&gt;=$D119,AQ$4&lt;$D119+'Incremental Repayments'!$I$31),-PMT('Interest Rate'!$J$16,'Incremental Repayments'!$I$31,(HLOOKUP($D119,$E$4:$CZ$32,28,FALSE)*'Incremental Repayments'!$I$22)),0),0)</f>
        <v>0</v>
      </c>
      <c r="AR119" s="477">
        <f>IF('Incremental Repayments'!$R$22="Debt",IF(AND(AR$4&gt;=$D119,AR$4&lt;$D119+'Incremental Repayments'!$I$31),-PMT('Interest Rate'!$J$16,'Incremental Repayments'!$I$31,(HLOOKUP($D119,$E$4:$CZ$32,28,FALSE)*'Incremental Repayments'!$I$22)),0),0)</f>
        <v>0</v>
      </c>
      <c r="AS119" s="477">
        <f>IF('Incremental Repayments'!$R$22="Debt",IF(AND(AS$4&gt;=$D119,AS$4&lt;$D119+'Incremental Repayments'!$I$31),-PMT('Interest Rate'!$J$16,'Incremental Repayments'!$I$31,(HLOOKUP($D119,$E$4:$CZ$32,28,FALSE)*'Incremental Repayments'!$I$22)),0),0)</f>
        <v>0</v>
      </c>
      <c r="AT119" s="477">
        <f>IF('Incremental Repayments'!$R$22="Debt",IF(AND(AT$4&gt;=$D119,AT$4&lt;$D119+'Incremental Repayments'!$I$31),-PMT('Interest Rate'!$J$16,'Incremental Repayments'!$I$31,(HLOOKUP($D119,$E$4:$CZ$32,28,FALSE)*'Incremental Repayments'!$I$22)),0),0)</f>
        <v>0</v>
      </c>
      <c r="AU119" s="477">
        <f>IF('Incremental Repayments'!$R$22="Debt",IF(AND(AU$4&gt;=$D119,AU$4&lt;$D119+'Incremental Repayments'!$I$31),-PMT('Interest Rate'!$J$16,'Incremental Repayments'!$I$31,(HLOOKUP($D119,$E$4:$CZ$32,28,FALSE)*'Incremental Repayments'!$I$22)),0),0)</f>
        <v>0</v>
      </c>
      <c r="AV119" s="477">
        <f>IF('Incremental Repayments'!$R$22="Debt",IF(AND(AV$4&gt;=$D119,AV$4&lt;$D119+'Incremental Repayments'!$I$31),-PMT('Interest Rate'!$J$16,'Incremental Repayments'!$I$31,(HLOOKUP($D119,$E$4:$CZ$32,28,FALSE)*'Incremental Repayments'!$I$22)),0),0)</f>
        <v>0</v>
      </c>
      <c r="AW119" s="477">
        <f>IF('Incremental Repayments'!$R$22="Debt",IF(AND(AW$4&gt;=$D119,AW$4&lt;$D119+'Incremental Repayments'!$I$31),-PMT('Interest Rate'!$J$16,'Incremental Repayments'!$I$31,(HLOOKUP($D119,$E$4:$CZ$32,28,FALSE)*'Incremental Repayments'!$I$22)),0),0)</f>
        <v>0</v>
      </c>
      <c r="AX119" s="477">
        <f>IF('Incremental Repayments'!$R$22="Debt",IF(AND(AX$4&gt;=$D119,AX$4&lt;$D119+'Incremental Repayments'!$I$31),-PMT('Interest Rate'!$J$16,'Incremental Repayments'!$I$31,(HLOOKUP($D119,$E$4:$CZ$32,28,FALSE)*'Incremental Repayments'!$I$22)),0),0)</f>
        <v>0</v>
      </c>
      <c r="AY119" s="477">
        <f>IF('Incremental Repayments'!$R$22="Debt",IF(AND(AY$4&gt;=$D119,AY$4&lt;$D119+'Incremental Repayments'!$I$31),-PMT('Interest Rate'!$J$16,'Incremental Repayments'!$I$31,(HLOOKUP($D119,$E$4:$CZ$32,28,FALSE)*'Incremental Repayments'!$I$22)),0),0)</f>
        <v>0</v>
      </c>
      <c r="AZ119" s="477">
        <f>IF('Incremental Repayments'!$R$22="Debt",IF(AND(AZ$4&gt;=$D119,AZ$4&lt;$D119+'Incremental Repayments'!$I$31),-PMT('Interest Rate'!$J$16,'Incremental Repayments'!$I$31,(HLOOKUP($D119,$E$4:$CZ$32,28,FALSE)*'Incremental Repayments'!$I$22)),0),0)</f>
        <v>0</v>
      </c>
      <c r="BA119" s="477">
        <f>IF('Incremental Repayments'!$R$22="Debt",IF(AND(BA$4&gt;=$D119,BA$4&lt;$D119+'Incremental Repayments'!$I$31),-PMT('Interest Rate'!$J$16,'Incremental Repayments'!$I$31,(HLOOKUP($D119,$E$4:$CZ$32,28,FALSE)*'Incremental Repayments'!$I$22)),0),0)</f>
        <v>0</v>
      </c>
      <c r="BB119" s="477">
        <f>IF('Incremental Repayments'!$R$22="Debt",IF(AND(BB$4&gt;=$D119,BB$4&lt;$D119+'Incremental Repayments'!$I$31),-PMT('Interest Rate'!$J$16,'Incremental Repayments'!$I$31,(HLOOKUP($D119,$E$4:$CZ$32,28,FALSE)*'Incremental Repayments'!$I$22)),0),0)</f>
        <v>0</v>
      </c>
      <c r="BC119" s="477">
        <f>IF('Incremental Repayments'!$R$22="Debt",IF(AND(BC$4&gt;=$D119,BC$4&lt;$D119+'Incremental Repayments'!$I$31),-PMT('Interest Rate'!$J$16,'Incremental Repayments'!$I$31,(HLOOKUP($D119,$E$4:$CZ$32,28,FALSE)*'Incremental Repayments'!$I$22)),0),0)</f>
        <v>0</v>
      </c>
      <c r="BD119" s="477">
        <f>IF('Incremental Repayments'!$R$22="Debt",IF(AND(BD$4&gt;=$D119,BD$4&lt;$D119+'Incremental Repayments'!$I$31),-PMT('Interest Rate'!$J$16,'Incremental Repayments'!$I$31,(HLOOKUP($D119,$E$4:$CZ$32,28,FALSE)*'Incremental Repayments'!$I$22)),0),0)</f>
        <v>0</v>
      </c>
      <c r="BE119" s="477">
        <f>IF('Incremental Repayments'!$R$22="Debt",IF(AND(BE$4&gt;=$D119,BE$4&lt;$D119+'Incremental Repayments'!$I$31),-PMT('Interest Rate'!$J$16,'Incremental Repayments'!$I$31,(HLOOKUP($D119,$E$4:$CZ$32,28,FALSE)*'Incremental Repayments'!$I$22)),0),0)</f>
        <v>0</v>
      </c>
      <c r="BF119" s="477">
        <f>IF('Incremental Repayments'!$R$22="Debt",IF(AND(BF$4&gt;=$D119,BF$4&lt;$D119+'Incremental Repayments'!$I$31),-PMT('Interest Rate'!$J$16,'Incremental Repayments'!$I$31,(HLOOKUP($D119,$E$4:$CZ$32,28,FALSE)*'Incremental Repayments'!$I$22)),0),0)</f>
        <v>0</v>
      </c>
      <c r="BG119" s="477">
        <f>IF('Incremental Repayments'!$R$22="Debt",IF(AND(BG$4&gt;=$D119,BG$4&lt;$D119+'Incremental Repayments'!$I$31),-PMT('Interest Rate'!$J$16,'Incremental Repayments'!$I$31,(HLOOKUP($D119,$E$4:$CZ$32,28,FALSE)*'Incremental Repayments'!$I$22)),0),0)</f>
        <v>0</v>
      </c>
      <c r="BH119" s="477">
        <f>IF('Incremental Repayments'!$R$22="Debt",IF(AND(BH$4&gt;=$D119,BH$4&lt;$D119+'Incremental Repayments'!$I$31),-PMT('Interest Rate'!$J$16,'Incremental Repayments'!$I$31,(HLOOKUP($D119,$E$4:$CZ$32,28,FALSE)*'Incremental Repayments'!$I$22)),0),0)</f>
        <v>0</v>
      </c>
      <c r="BI119" s="477">
        <f>IF('Incremental Repayments'!$R$22="Debt",IF(AND(BI$4&gt;=$D119,BI$4&lt;$D119+'Incremental Repayments'!$I$31),-PMT('Interest Rate'!$J$16,'Incremental Repayments'!$I$31,(HLOOKUP($D119,$E$4:$CZ$32,28,FALSE)*'Incremental Repayments'!$I$22)),0),0)</f>
        <v>0</v>
      </c>
      <c r="BJ119" s="477">
        <f>IF('Incremental Repayments'!$R$22="Debt",IF(AND(BJ$4&gt;=$D119,BJ$4&lt;$D119+'Incremental Repayments'!$I$31),-PMT('Interest Rate'!$J$16,'Incremental Repayments'!$I$31,(HLOOKUP($D119,$E$4:$CZ$32,28,FALSE)*'Incremental Repayments'!$I$22)),0),0)</f>
        <v>0</v>
      </c>
      <c r="BK119" s="477">
        <f>IF('Incremental Repayments'!$R$22="Debt",IF(AND(BK$4&gt;=$D119,BK$4&lt;$D119+'Incremental Repayments'!$I$31),-PMT('Interest Rate'!$J$16,'Incremental Repayments'!$I$31,(HLOOKUP($D119,$E$4:$CZ$32,28,FALSE)*'Incremental Repayments'!$I$22)),0),0)</f>
        <v>0</v>
      </c>
      <c r="BL119" s="477">
        <f>IF('Incremental Repayments'!$R$22="Debt",IF(AND(BL$4&gt;=$D119,BL$4&lt;$D119+'Incremental Repayments'!$I$31),-PMT('Interest Rate'!$J$16,'Incremental Repayments'!$I$31,(HLOOKUP($D119,$E$4:$CZ$32,28,FALSE)*'Incremental Repayments'!$I$22)),0),0)</f>
        <v>0</v>
      </c>
      <c r="BM119" s="477">
        <f>IF('Incremental Repayments'!$R$22="Debt",IF(AND(BM$4&gt;=$D119,BM$4&lt;$D119+'Incremental Repayments'!$I$31),-PMT('Interest Rate'!$J$16,'Incremental Repayments'!$I$31,(HLOOKUP($D119,$E$4:$CZ$32,28,FALSE)*'Incremental Repayments'!$I$22)),0),0)</f>
        <v>0</v>
      </c>
      <c r="BN119" s="477">
        <f>IF('Incremental Repayments'!$R$22="Debt",IF(AND(BN$4&gt;=$D119,BN$4&lt;$D119+'Incremental Repayments'!$I$31),-PMT('Interest Rate'!$J$16,'Incremental Repayments'!$I$31,(HLOOKUP($D119,$E$4:$CZ$32,28,FALSE)*'Incremental Repayments'!$I$22)),0),0)</f>
        <v>0</v>
      </c>
      <c r="BO119" s="477">
        <f>IF('Incremental Repayments'!$R$22="Debt",IF(AND(BO$4&gt;=$D119,BO$4&lt;$D119+'Incremental Repayments'!$I$31),-PMT('Interest Rate'!$J$16,'Incremental Repayments'!$I$31,(HLOOKUP($D119,$E$4:$CZ$32,28,FALSE)*'Incremental Repayments'!$I$22)),0),0)</f>
        <v>0</v>
      </c>
      <c r="BP119" s="477">
        <f>IF('Incremental Repayments'!$R$22="Debt",IF(AND(BP$4&gt;=$D119,BP$4&lt;$D119+'Incremental Repayments'!$I$31),-PMT('Interest Rate'!$J$16,'Incremental Repayments'!$I$31,(HLOOKUP($D119,$E$4:$CZ$32,28,FALSE)*'Incremental Repayments'!$I$22)),0),0)</f>
        <v>0</v>
      </c>
      <c r="BQ119" s="477">
        <f>IF('Incremental Repayments'!$R$22="Debt",IF(AND(BQ$4&gt;=$D119,BQ$4&lt;$D119+'Incremental Repayments'!$I$31),-PMT('Interest Rate'!$J$16,'Incremental Repayments'!$I$31,(HLOOKUP($D119,$E$4:$CZ$32,28,FALSE)*'Incremental Repayments'!$I$22)),0),0)</f>
        <v>0</v>
      </c>
      <c r="BR119" s="477">
        <f>IF('Incremental Repayments'!$R$22="Debt",IF(AND(BR$4&gt;=$D119,BR$4&lt;$D119+'Incremental Repayments'!$I$31),-PMT('Interest Rate'!$J$16,'Incremental Repayments'!$I$31,(HLOOKUP($D119,$E$4:$CZ$32,28,FALSE)*'Incremental Repayments'!$I$22)),0),0)</f>
        <v>0</v>
      </c>
      <c r="BS119" s="477">
        <f>IF('Incremental Repayments'!$R$22="Debt",IF(AND(BS$4&gt;=$D119,BS$4&lt;$D119+'Incremental Repayments'!$I$31),-PMT('Interest Rate'!$J$16,'Incremental Repayments'!$I$31,(HLOOKUP($D119,$E$4:$CZ$32,28,FALSE)*'Incremental Repayments'!$I$22)),0),0)</f>
        <v>0</v>
      </c>
      <c r="BT119" s="477">
        <f>IF('Incremental Repayments'!$R$22="Debt",IF(AND(BT$4&gt;=$D119,BT$4&lt;$D119+'Incremental Repayments'!$I$31),-PMT('Interest Rate'!$J$16,'Incremental Repayments'!$I$31,(HLOOKUP($D119,$E$4:$CZ$32,28,FALSE)*'Incremental Repayments'!$I$22)),0),0)</f>
        <v>0</v>
      </c>
      <c r="BU119" s="477">
        <f>IF('Incremental Repayments'!$R$22="Debt",IF(AND(BU$4&gt;=$D119,BU$4&lt;$D119+'Incremental Repayments'!$I$31),-PMT('Interest Rate'!$J$16,'Incremental Repayments'!$I$31,(HLOOKUP($D119,$E$4:$CZ$32,28,FALSE)*'Incremental Repayments'!$I$22)),0),0)</f>
        <v>0</v>
      </c>
      <c r="BV119" s="477">
        <f>IF('Incremental Repayments'!$R$22="Debt",IF(AND(BV$4&gt;=$D119,BV$4&lt;$D119+'Incremental Repayments'!$I$31),-PMT('Interest Rate'!$J$16,'Incremental Repayments'!$I$31,(HLOOKUP($D119,$E$4:$CZ$32,28,FALSE)*'Incremental Repayments'!$I$22)),0),0)</f>
        <v>0</v>
      </c>
      <c r="BW119" s="477">
        <f>IF('Incremental Repayments'!$R$22="Debt",IF(AND(BW$4&gt;=$D119,BW$4&lt;$D119+'Incremental Repayments'!$I$31),-PMT('Interest Rate'!$J$16,'Incremental Repayments'!$I$31,(HLOOKUP($D119,$E$4:$CZ$32,28,FALSE)*'Incremental Repayments'!$I$22)),0),0)</f>
        <v>0</v>
      </c>
      <c r="BX119" s="477">
        <f>IF('Incremental Repayments'!$R$22="Debt",IF(AND(BX$4&gt;=$D119,BX$4&lt;$D119+'Incremental Repayments'!$I$31),-PMT('Interest Rate'!$J$16,'Incremental Repayments'!$I$31,(HLOOKUP($D119,$E$4:$CZ$32,28,FALSE)*'Incremental Repayments'!$I$22)),0),0)</f>
        <v>0</v>
      </c>
      <c r="BY119" s="477">
        <f>IF('Incremental Repayments'!$R$22="Debt",IF(AND(BY$4&gt;=$D119,BY$4&lt;$D119+'Incremental Repayments'!$I$31),-PMT('Interest Rate'!$J$16,'Incremental Repayments'!$I$31,(HLOOKUP($D119,$E$4:$CZ$32,28,FALSE)*'Incremental Repayments'!$I$22)),0),0)</f>
        <v>0</v>
      </c>
      <c r="BZ119" s="477">
        <f>IF('Incremental Repayments'!$R$22="Debt",IF(AND(BZ$4&gt;=$D119,BZ$4&lt;$D119+'Incremental Repayments'!$I$31),-PMT('Interest Rate'!$J$16,'Incremental Repayments'!$I$31,(HLOOKUP($D119,$E$4:$CZ$32,28,FALSE)*'Incremental Repayments'!$I$22)),0),0)</f>
        <v>0</v>
      </c>
      <c r="CA119" s="477">
        <f>IF('Incremental Repayments'!$R$22="Debt",IF(AND(CA$4&gt;=$D119,CA$4&lt;$D119+'Incremental Repayments'!$I$31),-PMT('Interest Rate'!$J$16,'Incremental Repayments'!$I$31,(HLOOKUP($D119,$E$4:$CZ$32,28,FALSE)*'Incremental Repayments'!$I$22)),0),0)</f>
        <v>0</v>
      </c>
      <c r="CB119" s="477">
        <f>IF('Incremental Repayments'!$R$22="Debt",IF(AND(CB$4&gt;=$D119,CB$4&lt;$D119+'Incremental Repayments'!$I$31),-PMT('Interest Rate'!$J$16,'Incremental Repayments'!$I$31,(HLOOKUP($D119,$E$4:$CZ$32,28,FALSE)*'Incremental Repayments'!$I$22)),0),0)</f>
        <v>0</v>
      </c>
      <c r="CC119" s="477">
        <f>IF('Incremental Repayments'!$R$22="Debt",IF(AND(CC$4&gt;=$D119,CC$4&lt;$D119+'Incremental Repayments'!$I$31),-PMT('Interest Rate'!$J$16,'Incremental Repayments'!$I$31,(HLOOKUP($D119,$E$4:$CZ$32,28,FALSE)*'Incremental Repayments'!$I$22)),0),0)</f>
        <v>0</v>
      </c>
      <c r="CD119" s="477">
        <f>IF('Incremental Repayments'!$R$22="Debt",IF(AND(CD$4&gt;=$D119,CD$4&lt;$D119+'Incremental Repayments'!$I$31),-PMT('Interest Rate'!$J$16,'Incremental Repayments'!$I$31,(HLOOKUP($D119,$E$4:$CZ$32,28,FALSE)*'Incremental Repayments'!$I$22)),0),0)</f>
        <v>0</v>
      </c>
      <c r="CE119" s="477">
        <f>IF('Incremental Repayments'!$R$22="Debt",IF(AND(CE$4&gt;=$D119,CE$4&lt;$D119+'Incremental Repayments'!$I$31),-PMT('Interest Rate'!$J$16,'Incremental Repayments'!$I$31,(HLOOKUP($D119,$E$4:$CZ$32,28,FALSE)*'Incremental Repayments'!$I$22)),0),0)</f>
        <v>0</v>
      </c>
      <c r="CF119" s="477">
        <f>IF('Incremental Repayments'!$R$22="Debt",IF(AND(CF$4&gt;=$D119,CF$4&lt;$D119+'Incremental Repayments'!$I$31),-PMT('Interest Rate'!$J$16,'Incremental Repayments'!$I$31,(HLOOKUP($D119,$E$4:$CZ$32,28,FALSE)*'Incremental Repayments'!$I$22)),0),0)</f>
        <v>0</v>
      </c>
      <c r="CG119" s="477">
        <f>IF('Incremental Repayments'!$R$22="Debt",IF(AND(CG$4&gt;=$D119,CG$4&lt;$D119+'Incremental Repayments'!$I$31),-PMT('Interest Rate'!$J$16,'Incremental Repayments'!$I$31,(HLOOKUP($D119,$E$4:$CZ$32,28,FALSE)*'Incremental Repayments'!$I$22)),0),0)</f>
        <v>0</v>
      </c>
      <c r="CH119" s="477">
        <f>IF('Incremental Repayments'!$R$22="Debt",IF(AND(CH$4&gt;=$D119,CH$4&lt;$D119+'Incremental Repayments'!$I$31),-PMT('Interest Rate'!$J$16,'Incremental Repayments'!$I$31,(HLOOKUP($D119,$E$4:$CZ$32,28,FALSE)*'Incremental Repayments'!$I$22)),0),0)</f>
        <v>0</v>
      </c>
      <c r="CI119" s="477">
        <f>IF('Incremental Repayments'!$R$22="Debt",IF(AND(CI$4&gt;=$D119,CI$4&lt;$D119+'Incremental Repayments'!$I$31),-PMT('Interest Rate'!$J$16,'Incremental Repayments'!$I$31,(HLOOKUP($D119,$E$4:$CZ$32,28,FALSE)*'Incremental Repayments'!$I$22)),0),0)</f>
        <v>0</v>
      </c>
      <c r="CJ119" s="477">
        <f>IF('Incremental Repayments'!$R$22="Debt",IF(AND(CJ$4&gt;=$D119,CJ$4&lt;$D119+'Incremental Repayments'!$I$31),-PMT('Interest Rate'!$J$16,'Incremental Repayments'!$I$31,(HLOOKUP($D119,$E$4:$CZ$32,28,FALSE)*'Incremental Repayments'!$I$22)),0),0)</f>
        <v>0</v>
      </c>
      <c r="CK119" s="477">
        <f>IF('Incremental Repayments'!$R$22="Debt",IF(AND(CK$4&gt;=$D119,CK$4&lt;$D119+'Incremental Repayments'!$I$31),-PMT('Interest Rate'!$J$16,'Incremental Repayments'!$I$31,(HLOOKUP($D119,$E$4:$CZ$32,28,FALSE)*'Incremental Repayments'!$I$22)),0),0)</f>
        <v>0</v>
      </c>
      <c r="CL119" s="477">
        <f>IF('Incremental Repayments'!$R$22="Debt",IF(AND(CL$4&gt;=$D119,CL$4&lt;$D119+'Incremental Repayments'!$I$31),-PMT('Interest Rate'!$J$16,'Incremental Repayments'!$I$31,(HLOOKUP($D119,$E$4:$CZ$32,28,FALSE)*'Incremental Repayments'!$I$22)),0),0)</f>
        <v>0</v>
      </c>
      <c r="CM119" s="477">
        <f>IF('Incremental Repayments'!$R$22="Debt",IF(AND(CM$4&gt;=$D119,CM$4&lt;$D119+'Incremental Repayments'!$I$31),-PMT('Interest Rate'!$J$16,'Incremental Repayments'!$I$31,(HLOOKUP($D119,$E$4:$CZ$32,28,FALSE)*'Incremental Repayments'!$I$22)),0),0)</f>
        <v>0</v>
      </c>
      <c r="CN119" s="477">
        <f>IF('Incremental Repayments'!$R$22="Debt",IF(AND(CN$4&gt;=$D119,CN$4&lt;$D119+'Incremental Repayments'!$I$31),-PMT('Interest Rate'!$J$16,'Incremental Repayments'!$I$31,(HLOOKUP($D119,$E$4:$CZ$32,28,FALSE)*'Incremental Repayments'!$I$22)),0),0)</f>
        <v>0</v>
      </c>
      <c r="CO119" s="477">
        <f>IF('Incremental Repayments'!$R$22="Debt",IF(AND(CO$4&gt;=$D119,CO$4&lt;$D119+'Incremental Repayments'!$I$31),-PMT('Interest Rate'!$J$16,'Incremental Repayments'!$I$31,(HLOOKUP($D119,$E$4:$CZ$32,28,FALSE)*'Incremental Repayments'!$I$22)),0),0)</f>
        <v>0</v>
      </c>
      <c r="CP119" s="477">
        <f>IF('Incremental Repayments'!$R$22="Debt",IF(AND(CP$4&gt;=$D119,CP$4&lt;$D119+'Incremental Repayments'!$I$31),-PMT('Interest Rate'!$J$16,'Incremental Repayments'!$I$31,(HLOOKUP($D119,$E$4:$CZ$32,28,FALSE)*'Incremental Repayments'!$I$22)),0),0)</f>
        <v>0</v>
      </c>
      <c r="CQ119" s="477">
        <f>IF('Incremental Repayments'!$R$22="Debt",IF(AND(CQ$4&gt;=$D119,CQ$4&lt;$D119+'Incremental Repayments'!$I$31),-PMT('Interest Rate'!$J$16,'Incremental Repayments'!$I$31,(HLOOKUP($D119,$E$4:$CZ$32,28,FALSE)*'Incremental Repayments'!$I$22)),0),0)</f>
        <v>0</v>
      </c>
      <c r="CR119" s="477">
        <f>IF('Incremental Repayments'!$R$22="Debt",IF(AND(CR$4&gt;=$D119,CR$4&lt;$D119+'Incremental Repayments'!$I$31),-PMT('Interest Rate'!$J$16,'Incremental Repayments'!$I$31,(HLOOKUP($D119,$E$4:$CZ$32,28,FALSE)*'Incremental Repayments'!$I$22)),0),0)</f>
        <v>0</v>
      </c>
      <c r="CS119" s="477">
        <f>IF('Incremental Repayments'!$R$22="Debt",IF(AND(CS$4&gt;=$D119,CS$4&lt;$D119+'Incremental Repayments'!$I$31),-PMT('Interest Rate'!$J$16,'Incremental Repayments'!$I$31,(HLOOKUP($D119,$E$4:$CZ$32,28,FALSE)*'Incremental Repayments'!$I$22)),0),0)</f>
        <v>0</v>
      </c>
      <c r="CT119" s="477">
        <f>IF('Incremental Repayments'!$R$22="Debt",IF(AND(CT$4&gt;=$D119,CT$4&lt;$D119+'Incremental Repayments'!$I$31),-PMT('Interest Rate'!$J$16,'Incremental Repayments'!$I$31,(HLOOKUP($D119,$E$4:$CZ$32,28,FALSE)*'Incremental Repayments'!$I$22)),0),0)</f>
        <v>0</v>
      </c>
      <c r="CU119" s="477">
        <f>IF('Incremental Repayments'!$R$22="Debt",IF(AND(CU$4&gt;=$D119,CU$4&lt;$D119+'Incremental Repayments'!$I$31),-PMT('Interest Rate'!$J$16,'Incremental Repayments'!$I$31,(HLOOKUP($D119,$E$4:$CZ$32,28,FALSE)*'Incremental Repayments'!$I$22)),0),0)</f>
        <v>0</v>
      </c>
      <c r="CV119" s="477">
        <f>IF('Incremental Repayments'!$R$22="Debt",IF(AND(CV$4&gt;=$D119,CV$4&lt;$D119+'Incremental Repayments'!$I$31),-PMT('Interest Rate'!$J$16,'Incremental Repayments'!$I$31,(HLOOKUP($D119,$E$4:$CZ$32,28,FALSE)*'Incremental Repayments'!$I$22)),0),0)</f>
        <v>0</v>
      </c>
      <c r="CW119" s="477">
        <f>IF('Incremental Repayments'!$R$22="Debt",IF(AND(CW$4&gt;=$D119,CW$4&lt;$D119+'Incremental Repayments'!$I$31),-PMT('Interest Rate'!$J$16,'Incremental Repayments'!$I$31,(HLOOKUP($D119,$E$4:$CZ$32,28,FALSE)*'Incremental Repayments'!$I$22)),0),0)</f>
        <v>0</v>
      </c>
      <c r="CX119" s="477">
        <f>IF('Incremental Repayments'!$R$22="Debt",IF(AND(CX$4&gt;=$D119,CX$4&lt;$D119+'Incremental Repayments'!$I$31),-PMT('Interest Rate'!$J$16,'Incremental Repayments'!$I$31,(HLOOKUP($D119,$E$4:$CZ$32,28,FALSE)*'Incremental Repayments'!$I$22)),0),0)</f>
        <v>0</v>
      </c>
      <c r="CY119" s="477">
        <f>IF('Incremental Repayments'!$R$22="Debt",IF(AND(CY$4&gt;=$D119,CY$4&lt;$D119+'Incremental Repayments'!$I$31),-PMT('Interest Rate'!$J$16,'Incremental Repayments'!$I$31,(HLOOKUP($D119,$E$4:$CZ$32,28,FALSE)*'Incremental Repayments'!$I$22)),0),0)</f>
        <v>0</v>
      </c>
      <c r="CZ119" s="477">
        <f>IF('Incremental Repayments'!$R$22="Debt",IF(AND(CZ$4&gt;=$D119,CZ$4&lt;$D119+'Incremental Repayments'!$I$31),-PMT('Interest Rate'!$J$16,'Incremental Repayments'!$I$31,(HLOOKUP($D119,$E$4:$CZ$32,28,FALSE)*'Incremental Repayments'!$I$22)),0),0)</f>
        <v>0</v>
      </c>
    </row>
    <row r="120" spans="1:104" x14ac:dyDescent="0.25">
      <c r="B120" s="480" t="str">
        <f>CONCATENATE("Series ",D120,"A Bonds (at ",'Interest Rate'!$J$16*100,"% Interest)")</f>
        <v>Series 2098A Bonds (at 4.5% Interest)</v>
      </c>
      <c r="C120" s="480"/>
      <c r="D120" s="492">
        <f t="shared" si="497"/>
        <v>2098</v>
      </c>
      <c r="E120" s="477">
        <f>IF('Incremental Repayments'!$R$22="Debt",IF(AND(E$4&gt;=$D120,E$4&lt;$D120+'Incremental Repayments'!$I$31),-PMT('Interest Rate'!$J$16,'Incremental Repayments'!$I$31,(HLOOKUP($D120,$E$4:$CZ$32,28,FALSE)*'Incremental Repayments'!$I$22)),0),0)</f>
        <v>0</v>
      </c>
      <c r="F120" s="477">
        <f>IF('Incremental Repayments'!$R$22="Debt",IF(AND(F$4&gt;=$D120,F$4&lt;$D120+'Incremental Repayments'!$I$31),-PMT('Interest Rate'!$J$16,'Incremental Repayments'!$I$31,(HLOOKUP($D120,$E$4:$CZ$32,28,FALSE)*'Incremental Repayments'!$I$22)),0),0)</f>
        <v>0</v>
      </c>
      <c r="G120" s="477">
        <f>IF('Incremental Repayments'!$R$22="Debt",IF(AND(G$4&gt;=$D120,G$4&lt;$D120+'Incremental Repayments'!$I$31),-PMT('Interest Rate'!$J$16,'Incremental Repayments'!$I$31,(HLOOKUP($D120,$E$4:$CZ$32,28,FALSE)*'Incremental Repayments'!$I$22)),0),0)</f>
        <v>0</v>
      </c>
      <c r="H120" s="477">
        <f>IF('Incremental Repayments'!$R$22="Debt",IF(AND(H$4&gt;=$D120,H$4&lt;$D120+'Incremental Repayments'!$I$31),-PMT('Interest Rate'!$J$16,'Incremental Repayments'!$I$31,(HLOOKUP($D120,$E$4:$CZ$32,28,FALSE)*'Incremental Repayments'!$I$22)),0),0)</f>
        <v>0</v>
      </c>
      <c r="I120" s="477">
        <f>IF('Incremental Repayments'!$R$22="Debt",IF(AND(I$4&gt;=$D120,I$4&lt;$D120+'Incremental Repayments'!$I$31),-PMT('Interest Rate'!$J$16,'Incremental Repayments'!$I$31,(HLOOKUP($D120,$E$4:$CZ$32,28,FALSE)*'Incremental Repayments'!$I$22)),0),0)</f>
        <v>0</v>
      </c>
      <c r="J120" s="477">
        <f>IF('Incremental Repayments'!$R$22="Debt",IF(AND(J$4&gt;=$D120,J$4&lt;$D120+'Incremental Repayments'!$I$31),-PMT('Interest Rate'!$J$16,'Incremental Repayments'!$I$31,(HLOOKUP($D120,$E$4:$CZ$32,28,FALSE)*'Incremental Repayments'!$I$22)),0),0)</f>
        <v>0</v>
      </c>
      <c r="K120" s="477">
        <f>IF('Incremental Repayments'!$R$22="Debt",IF(AND(K$4&gt;=$D120,K$4&lt;$D120+'Incremental Repayments'!$I$31),-PMT('Interest Rate'!$J$16,'Incremental Repayments'!$I$31,(HLOOKUP($D120,$E$4:$CZ$32,28,FALSE)*'Incremental Repayments'!$I$22)),0),0)</f>
        <v>0</v>
      </c>
      <c r="L120" s="477">
        <f>IF('Incremental Repayments'!$R$22="Debt",IF(AND(L$4&gt;=$D120,L$4&lt;$D120+'Incremental Repayments'!$I$31),-PMT('Interest Rate'!$J$16,'Incremental Repayments'!$I$31,(HLOOKUP($D120,$E$4:$CZ$32,28,FALSE)*'Incremental Repayments'!$I$22)),0),0)</f>
        <v>0</v>
      </c>
      <c r="M120" s="477">
        <f>IF('Incremental Repayments'!$R$22="Debt",IF(AND(M$4&gt;=$D120,M$4&lt;$D120+'Incremental Repayments'!$I$31),-PMT('Interest Rate'!$J$16,'Incremental Repayments'!$I$31,(HLOOKUP($D120,$E$4:$CZ$32,28,FALSE)*'Incremental Repayments'!$I$22)),0),0)</f>
        <v>0</v>
      </c>
      <c r="N120" s="477">
        <f>IF('Incremental Repayments'!$R$22="Debt",IF(AND(N$4&gt;=$D120,N$4&lt;$D120+'Incremental Repayments'!$I$31),-PMT('Interest Rate'!$J$16,'Incremental Repayments'!$I$31,(HLOOKUP($D120,$E$4:$CZ$32,28,FALSE)*'Incremental Repayments'!$I$22)),0),0)</f>
        <v>0</v>
      </c>
      <c r="O120" s="477">
        <f>IF('Incremental Repayments'!$R$22="Debt",IF(AND(O$4&gt;=$D120,O$4&lt;$D120+'Incremental Repayments'!$I$31),-PMT('Interest Rate'!$J$16,'Incremental Repayments'!$I$31,(HLOOKUP($D120,$E$4:$CZ$32,28,FALSE)*'Incremental Repayments'!$I$22)),0),0)</f>
        <v>0</v>
      </c>
      <c r="P120" s="477">
        <f>IF('Incremental Repayments'!$R$22="Debt",IF(AND(P$4&gt;=$D120,P$4&lt;$D120+'Incremental Repayments'!$I$31),-PMT('Interest Rate'!$J$16,'Incremental Repayments'!$I$31,(HLOOKUP($D120,$E$4:$CZ$32,28,FALSE)*'Incremental Repayments'!$I$22)),0),0)</f>
        <v>0</v>
      </c>
      <c r="Q120" s="477">
        <f>IF('Incremental Repayments'!$R$22="Debt",IF(AND(Q$4&gt;=$D120,Q$4&lt;$D120+'Incremental Repayments'!$I$31),-PMT('Interest Rate'!$J$16,'Incremental Repayments'!$I$31,(HLOOKUP($D120,$E$4:$CZ$32,28,FALSE)*'Incremental Repayments'!$I$22)),0),0)</f>
        <v>0</v>
      </c>
      <c r="R120" s="477">
        <f>IF('Incremental Repayments'!$R$22="Debt",IF(AND(R$4&gt;=$D120,R$4&lt;$D120+'Incremental Repayments'!$I$31),-PMT('Interest Rate'!$J$16,'Incremental Repayments'!$I$31,(HLOOKUP($D120,$E$4:$CZ$32,28,FALSE)*'Incremental Repayments'!$I$22)),0),0)</f>
        <v>0</v>
      </c>
      <c r="S120" s="477">
        <f>IF('Incremental Repayments'!$R$22="Debt",IF(AND(S$4&gt;=$D120,S$4&lt;$D120+'Incremental Repayments'!$I$31),-PMT('Interest Rate'!$J$16,'Incremental Repayments'!$I$31,(HLOOKUP($D120,$E$4:$CZ$32,28,FALSE)*'Incremental Repayments'!$I$22)),0),0)</f>
        <v>0</v>
      </c>
      <c r="T120" s="477">
        <f>IF('Incremental Repayments'!$R$22="Debt",IF(AND(T$4&gt;=$D120,T$4&lt;$D120+'Incremental Repayments'!$I$31),-PMT('Interest Rate'!$J$16,'Incremental Repayments'!$I$31,(HLOOKUP($D120,$E$4:$CZ$32,28,FALSE)*'Incremental Repayments'!$I$22)),0),0)</f>
        <v>0</v>
      </c>
      <c r="U120" s="477">
        <f>IF('Incremental Repayments'!$R$22="Debt",IF(AND(U$4&gt;=$D120,U$4&lt;$D120+'Incremental Repayments'!$I$31),-PMT('Interest Rate'!$J$16,'Incremental Repayments'!$I$31,(HLOOKUP($D120,$E$4:$CZ$32,28,FALSE)*'Incremental Repayments'!$I$22)),0),0)</f>
        <v>0</v>
      </c>
      <c r="V120" s="477">
        <f>IF('Incremental Repayments'!$R$22="Debt",IF(AND(V$4&gt;=$D120,V$4&lt;$D120+'Incremental Repayments'!$I$31),-PMT('Interest Rate'!$J$16,'Incremental Repayments'!$I$31,(HLOOKUP($D120,$E$4:$CZ$32,28,FALSE)*'Incremental Repayments'!$I$22)),0),0)</f>
        <v>0</v>
      </c>
      <c r="W120" s="477">
        <f>IF('Incremental Repayments'!$R$22="Debt",IF(AND(W$4&gt;=$D120,W$4&lt;$D120+'Incremental Repayments'!$I$31),-PMT('Interest Rate'!$J$16,'Incremental Repayments'!$I$31,(HLOOKUP($D120,$E$4:$CZ$32,28,FALSE)*'Incremental Repayments'!$I$22)),0),0)</f>
        <v>0</v>
      </c>
      <c r="X120" s="477">
        <f>IF('Incremental Repayments'!$R$22="Debt",IF(AND(X$4&gt;=$D120,X$4&lt;$D120+'Incremental Repayments'!$I$31),-PMT('Interest Rate'!$J$16,'Incremental Repayments'!$I$31,(HLOOKUP($D120,$E$4:$CZ$32,28,FALSE)*'Incremental Repayments'!$I$22)),0),0)</f>
        <v>0</v>
      </c>
      <c r="Y120" s="477">
        <f>IF('Incremental Repayments'!$R$22="Debt",IF(AND(Y$4&gt;=$D120,Y$4&lt;$D120+'Incremental Repayments'!$I$31),-PMT('Interest Rate'!$J$16,'Incremental Repayments'!$I$31,(HLOOKUP($D120,$E$4:$CZ$32,28,FALSE)*'Incremental Repayments'!$I$22)),0),0)</f>
        <v>0</v>
      </c>
      <c r="Z120" s="477">
        <f>IF('Incremental Repayments'!$R$22="Debt",IF(AND(Z$4&gt;=$D120,Z$4&lt;$D120+'Incremental Repayments'!$I$31),-PMT('Interest Rate'!$J$16,'Incremental Repayments'!$I$31,(HLOOKUP($D120,$E$4:$CZ$32,28,FALSE)*'Incremental Repayments'!$I$22)),0),0)</f>
        <v>0</v>
      </c>
      <c r="AA120" s="477">
        <f>IF('Incremental Repayments'!$R$22="Debt",IF(AND(AA$4&gt;=$D120,AA$4&lt;$D120+'Incremental Repayments'!$I$31),-PMT('Interest Rate'!$J$16,'Incremental Repayments'!$I$31,(HLOOKUP($D120,$E$4:$CZ$32,28,FALSE)*'Incremental Repayments'!$I$22)),0),0)</f>
        <v>0</v>
      </c>
      <c r="AB120" s="477">
        <f>IF('Incremental Repayments'!$R$22="Debt",IF(AND(AB$4&gt;=$D120,AB$4&lt;$D120+'Incremental Repayments'!$I$31),-PMT('Interest Rate'!$J$16,'Incremental Repayments'!$I$31,(HLOOKUP($D120,$E$4:$CZ$32,28,FALSE)*'Incremental Repayments'!$I$22)),0),0)</f>
        <v>0</v>
      </c>
      <c r="AC120" s="477">
        <f>IF('Incremental Repayments'!$R$22="Debt",IF(AND(AC$4&gt;=$D120,AC$4&lt;$D120+'Incremental Repayments'!$I$31),-PMT('Interest Rate'!$J$16,'Incremental Repayments'!$I$31,(HLOOKUP($D120,$E$4:$CZ$32,28,FALSE)*'Incremental Repayments'!$I$22)),0),0)</f>
        <v>0</v>
      </c>
      <c r="AD120" s="477">
        <f>IF('Incremental Repayments'!$R$22="Debt",IF(AND(AD$4&gt;=$D120,AD$4&lt;$D120+'Incremental Repayments'!$I$31),-PMT('Interest Rate'!$J$16,'Incremental Repayments'!$I$31,(HLOOKUP($D120,$E$4:$CZ$32,28,FALSE)*'Incremental Repayments'!$I$22)),0),0)</f>
        <v>0</v>
      </c>
      <c r="AE120" s="477">
        <f>IF('Incremental Repayments'!$R$22="Debt",IF(AND(AE$4&gt;=$D120,AE$4&lt;$D120+'Incremental Repayments'!$I$31),-PMT('Interest Rate'!$J$16,'Incremental Repayments'!$I$31,(HLOOKUP($D120,$E$4:$CZ$32,28,FALSE)*'Incremental Repayments'!$I$22)),0),0)</f>
        <v>0</v>
      </c>
      <c r="AF120" s="477">
        <f>IF('Incremental Repayments'!$R$22="Debt",IF(AND(AF$4&gt;=$D120,AF$4&lt;$D120+'Incremental Repayments'!$I$31),-PMT('Interest Rate'!$J$16,'Incremental Repayments'!$I$31,(HLOOKUP($D120,$E$4:$CZ$32,28,FALSE)*'Incremental Repayments'!$I$22)),0),0)</f>
        <v>0</v>
      </c>
      <c r="AG120" s="477">
        <f>IF('Incremental Repayments'!$R$22="Debt",IF(AND(AG$4&gt;=$D120,AG$4&lt;$D120+'Incremental Repayments'!$I$31),-PMT('Interest Rate'!$J$16,'Incremental Repayments'!$I$31,(HLOOKUP($D120,$E$4:$CZ$32,28,FALSE)*'Incremental Repayments'!$I$22)),0),0)</f>
        <v>0</v>
      </c>
      <c r="AH120" s="477">
        <f>IF('Incremental Repayments'!$R$22="Debt",IF(AND(AH$4&gt;=$D120,AH$4&lt;$D120+'Incremental Repayments'!$I$31),-PMT('Interest Rate'!$J$16,'Incremental Repayments'!$I$31,(HLOOKUP($D120,$E$4:$CZ$32,28,FALSE)*'Incremental Repayments'!$I$22)),0),0)</f>
        <v>0</v>
      </c>
      <c r="AI120" s="477">
        <f>IF('Incremental Repayments'!$R$22="Debt",IF(AND(AI$4&gt;=$D120,AI$4&lt;$D120+'Incremental Repayments'!$I$31),-PMT('Interest Rate'!$J$16,'Incremental Repayments'!$I$31,(HLOOKUP($D120,$E$4:$CZ$32,28,FALSE)*'Incremental Repayments'!$I$22)),0),0)</f>
        <v>0</v>
      </c>
      <c r="AJ120" s="477">
        <f>IF('Incremental Repayments'!$R$22="Debt",IF(AND(AJ$4&gt;=$D120,AJ$4&lt;$D120+'Incremental Repayments'!$I$31),-PMT('Interest Rate'!$J$16,'Incremental Repayments'!$I$31,(HLOOKUP($D120,$E$4:$CZ$32,28,FALSE)*'Incremental Repayments'!$I$22)),0),0)</f>
        <v>0</v>
      </c>
      <c r="AK120" s="477">
        <f>IF('Incremental Repayments'!$R$22="Debt",IF(AND(AK$4&gt;=$D120,AK$4&lt;$D120+'Incremental Repayments'!$I$31),-PMT('Interest Rate'!$J$16,'Incremental Repayments'!$I$31,(HLOOKUP($D120,$E$4:$CZ$32,28,FALSE)*'Incremental Repayments'!$I$22)),0),0)</f>
        <v>0</v>
      </c>
      <c r="AL120" s="477">
        <f>IF('Incremental Repayments'!$R$22="Debt",IF(AND(AL$4&gt;=$D120,AL$4&lt;$D120+'Incremental Repayments'!$I$31),-PMT('Interest Rate'!$J$16,'Incremental Repayments'!$I$31,(HLOOKUP($D120,$E$4:$CZ$32,28,FALSE)*'Incremental Repayments'!$I$22)),0),0)</f>
        <v>0</v>
      </c>
      <c r="AM120" s="477">
        <f>IF('Incremental Repayments'!$R$22="Debt",IF(AND(AM$4&gt;=$D120,AM$4&lt;$D120+'Incremental Repayments'!$I$31),-PMT('Interest Rate'!$J$16,'Incremental Repayments'!$I$31,(HLOOKUP($D120,$E$4:$CZ$32,28,FALSE)*'Incremental Repayments'!$I$22)),0),0)</f>
        <v>0</v>
      </c>
      <c r="AN120" s="477">
        <f>IF('Incremental Repayments'!$R$22="Debt",IF(AND(AN$4&gt;=$D120,AN$4&lt;$D120+'Incremental Repayments'!$I$31),-PMT('Interest Rate'!$J$16,'Incremental Repayments'!$I$31,(HLOOKUP($D120,$E$4:$CZ$32,28,FALSE)*'Incremental Repayments'!$I$22)),0),0)</f>
        <v>0</v>
      </c>
      <c r="AO120" s="477">
        <f>IF('Incremental Repayments'!$R$22="Debt",IF(AND(AO$4&gt;=$D120,AO$4&lt;$D120+'Incremental Repayments'!$I$31),-PMT('Interest Rate'!$J$16,'Incremental Repayments'!$I$31,(HLOOKUP($D120,$E$4:$CZ$32,28,FALSE)*'Incremental Repayments'!$I$22)),0),0)</f>
        <v>0</v>
      </c>
      <c r="AP120" s="477">
        <f>IF('Incremental Repayments'!$R$22="Debt",IF(AND(AP$4&gt;=$D120,AP$4&lt;$D120+'Incremental Repayments'!$I$31),-PMT('Interest Rate'!$J$16,'Incremental Repayments'!$I$31,(HLOOKUP($D120,$E$4:$CZ$32,28,FALSE)*'Incremental Repayments'!$I$22)),0),0)</f>
        <v>0</v>
      </c>
      <c r="AQ120" s="477">
        <f>IF('Incremental Repayments'!$R$22="Debt",IF(AND(AQ$4&gt;=$D120,AQ$4&lt;$D120+'Incremental Repayments'!$I$31),-PMT('Interest Rate'!$J$16,'Incremental Repayments'!$I$31,(HLOOKUP($D120,$E$4:$CZ$32,28,FALSE)*'Incremental Repayments'!$I$22)),0),0)</f>
        <v>0</v>
      </c>
      <c r="AR120" s="477">
        <f>IF('Incremental Repayments'!$R$22="Debt",IF(AND(AR$4&gt;=$D120,AR$4&lt;$D120+'Incremental Repayments'!$I$31),-PMT('Interest Rate'!$J$16,'Incremental Repayments'!$I$31,(HLOOKUP($D120,$E$4:$CZ$32,28,FALSE)*'Incremental Repayments'!$I$22)),0),0)</f>
        <v>0</v>
      </c>
      <c r="AS120" s="477">
        <f>IF('Incremental Repayments'!$R$22="Debt",IF(AND(AS$4&gt;=$D120,AS$4&lt;$D120+'Incremental Repayments'!$I$31),-PMT('Interest Rate'!$J$16,'Incremental Repayments'!$I$31,(HLOOKUP($D120,$E$4:$CZ$32,28,FALSE)*'Incremental Repayments'!$I$22)),0),0)</f>
        <v>0</v>
      </c>
      <c r="AT120" s="477">
        <f>IF('Incremental Repayments'!$R$22="Debt",IF(AND(AT$4&gt;=$D120,AT$4&lt;$D120+'Incremental Repayments'!$I$31),-PMT('Interest Rate'!$J$16,'Incremental Repayments'!$I$31,(HLOOKUP($D120,$E$4:$CZ$32,28,FALSE)*'Incremental Repayments'!$I$22)),0),0)</f>
        <v>0</v>
      </c>
      <c r="AU120" s="477">
        <f>IF('Incremental Repayments'!$R$22="Debt",IF(AND(AU$4&gt;=$D120,AU$4&lt;$D120+'Incremental Repayments'!$I$31),-PMT('Interest Rate'!$J$16,'Incremental Repayments'!$I$31,(HLOOKUP($D120,$E$4:$CZ$32,28,FALSE)*'Incremental Repayments'!$I$22)),0),0)</f>
        <v>0</v>
      </c>
      <c r="AV120" s="477">
        <f>IF('Incremental Repayments'!$R$22="Debt",IF(AND(AV$4&gt;=$D120,AV$4&lt;$D120+'Incremental Repayments'!$I$31),-PMT('Interest Rate'!$J$16,'Incremental Repayments'!$I$31,(HLOOKUP($D120,$E$4:$CZ$32,28,FALSE)*'Incremental Repayments'!$I$22)),0),0)</f>
        <v>0</v>
      </c>
      <c r="AW120" s="477">
        <f>IF('Incremental Repayments'!$R$22="Debt",IF(AND(AW$4&gt;=$D120,AW$4&lt;$D120+'Incremental Repayments'!$I$31),-PMT('Interest Rate'!$J$16,'Incremental Repayments'!$I$31,(HLOOKUP($D120,$E$4:$CZ$32,28,FALSE)*'Incremental Repayments'!$I$22)),0),0)</f>
        <v>0</v>
      </c>
      <c r="AX120" s="477">
        <f>IF('Incremental Repayments'!$R$22="Debt",IF(AND(AX$4&gt;=$D120,AX$4&lt;$D120+'Incremental Repayments'!$I$31),-PMT('Interest Rate'!$J$16,'Incremental Repayments'!$I$31,(HLOOKUP($D120,$E$4:$CZ$32,28,FALSE)*'Incremental Repayments'!$I$22)),0),0)</f>
        <v>0</v>
      </c>
      <c r="AY120" s="477">
        <f>IF('Incremental Repayments'!$R$22="Debt",IF(AND(AY$4&gt;=$D120,AY$4&lt;$D120+'Incremental Repayments'!$I$31),-PMT('Interest Rate'!$J$16,'Incremental Repayments'!$I$31,(HLOOKUP($D120,$E$4:$CZ$32,28,FALSE)*'Incremental Repayments'!$I$22)),0),0)</f>
        <v>0</v>
      </c>
      <c r="AZ120" s="477">
        <f>IF('Incremental Repayments'!$R$22="Debt",IF(AND(AZ$4&gt;=$D120,AZ$4&lt;$D120+'Incremental Repayments'!$I$31),-PMT('Interest Rate'!$J$16,'Incremental Repayments'!$I$31,(HLOOKUP($D120,$E$4:$CZ$32,28,FALSE)*'Incremental Repayments'!$I$22)),0),0)</f>
        <v>0</v>
      </c>
      <c r="BA120" s="477">
        <f>IF('Incremental Repayments'!$R$22="Debt",IF(AND(BA$4&gt;=$D120,BA$4&lt;$D120+'Incremental Repayments'!$I$31),-PMT('Interest Rate'!$J$16,'Incremental Repayments'!$I$31,(HLOOKUP($D120,$E$4:$CZ$32,28,FALSE)*'Incremental Repayments'!$I$22)),0),0)</f>
        <v>0</v>
      </c>
      <c r="BB120" s="477">
        <f>IF('Incremental Repayments'!$R$22="Debt",IF(AND(BB$4&gt;=$D120,BB$4&lt;$D120+'Incremental Repayments'!$I$31),-PMT('Interest Rate'!$J$16,'Incremental Repayments'!$I$31,(HLOOKUP($D120,$E$4:$CZ$32,28,FALSE)*'Incremental Repayments'!$I$22)),0),0)</f>
        <v>0</v>
      </c>
      <c r="BC120" s="477">
        <f>IF('Incremental Repayments'!$R$22="Debt",IF(AND(BC$4&gt;=$D120,BC$4&lt;$D120+'Incremental Repayments'!$I$31),-PMT('Interest Rate'!$J$16,'Incremental Repayments'!$I$31,(HLOOKUP($D120,$E$4:$CZ$32,28,FALSE)*'Incremental Repayments'!$I$22)),0),0)</f>
        <v>0</v>
      </c>
      <c r="BD120" s="477">
        <f>IF('Incremental Repayments'!$R$22="Debt",IF(AND(BD$4&gt;=$D120,BD$4&lt;$D120+'Incremental Repayments'!$I$31),-PMT('Interest Rate'!$J$16,'Incremental Repayments'!$I$31,(HLOOKUP($D120,$E$4:$CZ$32,28,FALSE)*'Incremental Repayments'!$I$22)),0),0)</f>
        <v>0</v>
      </c>
      <c r="BE120" s="477">
        <f>IF('Incremental Repayments'!$R$22="Debt",IF(AND(BE$4&gt;=$D120,BE$4&lt;$D120+'Incremental Repayments'!$I$31),-PMT('Interest Rate'!$J$16,'Incremental Repayments'!$I$31,(HLOOKUP($D120,$E$4:$CZ$32,28,FALSE)*'Incremental Repayments'!$I$22)),0),0)</f>
        <v>0</v>
      </c>
      <c r="BF120" s="477">
        <f>IF('Incremental Repayments'!$R$22="Debt",IF(AND(BF$4&gt;=$D120,BF$4&lt;$D120+'Incremental Repayments'!$I$31),-PMT('Interest Rate'!$J$16,'Incremental Repayments'!$I$31,(HLOOKUP($D120,$E$4:$CZ$32,28,FALSE)*'Incremental Repayments'!$I$22)),0),0)</f>
        <v>0</v>
      </c>
      <c r="BG120" s="477">
        <f>IF('Incremental Repayments'!$R$22="Debt",IF(AND(BG$4&gt;=$D120,BG$4&lt;$D120+'Incremental Repayments'!$I$31),-PMT('Interest Rate'!$J$16,'Incremental Repayments'!$I$31,(HLOOKUP($D120,$E$4:$CZ$32,28,FALSE)*'Incremental Repayments'!$I$22)),0),0)</f>
        <v>0</v>
      </c>
      <c r="BH120" s="477">
        <f>IF('Incremental Repayments'!$R$22="Debt",IF(AND(BH$4&gt;=$D120,BH$4&lt;$D120+'Incremental Repayments'!$I$31),-PMT('Interest Rate'!$J$16,'Incremental Repayments'!$I$31,(HLOOKUP($D120,$E$4:$CZ$32,28,FALSE)*'Incremental Repayments'!$I$22)),0),0)</f>
        <v>0</v>
      </c>
      <c r="BI120" s="477">
        <f>IF('Incremental Repayments'!$R$22="Debt",IF(AND(BI$4&gt;=$D120,BI$4&lt;$D120+'Incremental Repayments'!$I$31),-PMT('Interest Rate'!$J$16,'Incremental Repayments'!$I$31,(HLOOKUP($D120,$E$4:$CZ$32,28,FALSE)*'Incremental Repayments'!$I$22)),0),0)</f>
        <v>0</v>
      </c>
      <c r="BJ120" s="477">
        <f>IF('Incremental Repayments'!$R$22="Debt",IF(AND(BJ$4&gt;=$D120,BJ$4&lt;$D120+'Incremental Repayments'!$I$31),-PMT('Interest Rate'!$J$16,'Incremental Repayments'!$I$31,(HLOOKUP($D120,$E$4:$CZ$32,28,FALSE)*'Incremental Repayments'!$I$22)),0),0)</f>
        <v>0</v>
      </c>
      <c r="BK120" s="477">
        <f>IF('Incremental Repayments'!$R$22="Debt",IF(AND(BK$4&gt;=$D120,BK$4&lt;$D120+'Incremental Repayments'!$I$31),-PMT('Interest Rate'!$J$16,'Incremental Repayments'!$I$31,(HLOOKUP($D120,$E$4:$CZ$32,28,FALSE)*'Incremental Repayments'!$I$22)),0),0)</f>
        <v>0</v>
      </c>
      <c r="BL120" s="477">
        <f>IF('Incremental Repayments'!$R$22="Debt",IF(AND(BL$4&gt;=$D120,BL$4&lt;$D120+'Incremental Repayments'!$I$31),-PMT('Interest Rate'!$J$16,'Incremental Repayments'!$I$31,(HLOOKUP($D120,$E$4:$CZ$32,28,FALSE)*'Incremental Repayments'!$I$22)),0),0)</f>
        <v>0</v>
      </c>
      <c r="BM120" s="477">
        <f>IF('Incremental Repayments'!$R$22="Debt",IF(AND(BM$4&gt;=$D120,BM$4&lt;$D120+'Incremental Repayments'!$I$31),-PMT('Interest Rate'!$J$16,'Incremental Repayments'!$I$31,(HLOOKUP($D120,$E$4:$CZ$32,28,FALSE)*'Incremental Repayments'!$I$22)),0),0)</f>
        <v>0</v>
      </c>
      <c r="BN120" s="477">
        <f>IF('Incremental Repayments'!$R$22="Debt",IF(AND(BN$4&gt;=$D120,BN$4&lt;$D120+'Incremental Repayments'!$I$31),-PMT('Interest Rate'!$J$16,'Incremental Repayments'!$I$31,(HLOOKUP($D120,$E$4:$CZ$32,28,FALSE)*'Incremental Repayments'!$I$22)),0),0)</f>
        <v>0</v>
      </c>
      <c r="BO120" s="477">
        <f>IF('Incremental Repayments'!$R$22="Debt",IF(AND(BO$4&gt;=$D120,BO$4&lt;$D120+'Incremental Repayments'!$I$31),-PMT('Interest Rate'!$J$16,'Incremental Repayments'!$I$31,(HLOOKUP($D120,$E$4:$CZ$32,28,FALSE)*'Incremental Repayments'!$I$22)),0),0)</f>
        <v>0</v>
      </c>
      <c r="BP120" s="477">
        <f>IF('Incremental Repayments'!$R$22="Debt",IF(AND(BP$4&gt;=$D120,BP$4&lt;$D120+'Incremental Repayments'!$I$31),-PMT('Interest Rate'!$J$16,'Incremental Repayments'!$I$31,(HLOOKUP($D120,$E$4:$CZ$32,28,FALSE)*'Incremental Repayments'!$I$22)),0),0)</f>
        <v>0</v>
      </c>
      <c r="BQ120" s="477">
        <f>IF('Incremental Repayments'!$R$22="Debt",IF(AND(BQ$4&gt;=$D120,BQ$4&lt;$D120+'Incremental Repayments'!$I$31),-PMT('Interest Rate'!$J$16,'Incremental Repayments'!$I$31,(HLOOKUP($D120,$E$4:$CZ$32,28,FALSE)*'Incremental Repayments'!$I$22)),0),0)</f>
        <v>0</v>
      </c>
      <c r="BR120" s="477">
        <f>IF('Incremental Repayments'!$R$22="Debt",IF(AND(BR$4&gt;=$D120,BR$4&lt;$D120+'Incremental Repayments'!$I$31),-PMT('Interest Rate'!$J$16,'Incremental Repayments'!$I$31,(HLOOKUP($D120,$E$4:$CZ$32,28,FALSE)*'Incremental Repayments'!$I$22)),0),0)</f>
        <v>0</v>
      </c>
      <c r="BS120" s="477">
        <f>IF('Incremental Repayments'!$R$22="Debt",IF(AND(BS$4&gt;=$D120,BS$4&lt;$D120+'Incremental Repayments'!$I$31),-PMT('Interest Rate'!$J$16,'Incremental Repayments'!$I$31,(HLOOKUP($D120,$E$4:$CZ$32,28,FALSE)*'Incremental Repayments'!$I$22)),0),0)</f>
        <v>0</v>
      </c>
      <c r="BT120" s="477">
        <f>IF('Incremental Repayments'!$R$22="Debt",IF(AND(BT$4&gt;=$D120,BT$4&lt;$D120+'Incremental Repayments'!$I$31),-PMT('Interest Rate'!$J$16,'Incremental Repayments'!$I$31,(HLOOKUP($D120,$E$4:$CZ$32,28,FALSE)*'Incremental Repayments'!$I$22)),0),0)</f>
        <v>0</v>
      </c>
      <c r="BU120" s="477">
        <f>IF('Incremental Repayments'!$R$22="Debt",IF(AND(BU$4&gt;=$D120,BU$4&lt;$D120+'Incremental Repayments'!$I$31),-PMT('Interest Rate'!$J$16,'Incremental Repayments'!$I$31,(HLOOKUP($D120,$E$4:$CZ$32,28,FALSE)*'Incremental Repayments'!$I$22)),0),0)</f>
        <v>0</v>
      </c>
      <c r="BV120" s="477">
        <f>IF('Incremental Repayments'!$R$22="Debt",IF(AND(BV$4&gt;=$D120,BV$4&lt;$D120+'Incremental Repayments'!$I$31),-PMT('Interest Rate'!$J$16,'Incremental Repayments'!$I$31,(HLOOKUP($D120,$E$4:$CZ$32,28,FALSE)*'Incremental Repayments'!$I$22)),0),0)</f>
        <v>0</v>
      </c>
      <c r="BW120" s="477">
        <f>IF('Incremental Repayments'!$R$22="Debt",IF(AND(BW$4&gt;=$D120,BW$4&lt;$D120+'Incremental Repayments'!$I$31),-PMT('Interest Rate'!$J$16,'Incremental Repayments'!$I$31,(HLOOKUP($D120,$E$4:$CZ$32,28,FALSE)*'Incremental Repayments'!$I$22)),0),0)</f>
        <v>0</v>
      </c>
      <c r="BX120" s="477">
        <f>IF('Incremental Repayments'!$R$22="Debt",IF(AND(BX$4&gt;=$D120,BX$4&lt;$D120+'Incremental Repayments'!$I$31),-PMT('Interest Rate'!$J$16,'Incremental Repayments'!$I$31,(HLOOKUP($D120,$E$4:$CZ$32,28,FALSE)*'Incremental Repayments'!$I$22)),0),0)</f>
        <v>0</v>
      </c>
      <c r="BY120" s="477">
        <f>IF('Incremental Repayments'!$R$22="Debt",IF(AND(BY$4&gt;=$D120,BY$4&lt;$D120+'Incremental Repayments'!$I$31),-PMT('Interest Rate'!$J$16,'Incremental Repayments'!$I$31,(HLOOKUP($D120,$E$4:$CZ$32,28,FALSE)*'Incremental Repayments'!$I$22)),0),0)</f>
        <v>0</v>
      </c>
      <c r="BZ120" s="477">
        <f>IF('Incremental Repayments'!$R$22="Debt",IF(AND(BZ$4&gt;=$D120,BZ$4&lt;$D120+'Incremental Repayments'!$I$31),-PMT('Interest Rate'!$J$16,'Incremental Repayments'!$I$31,(HLOOKUP($D120,$E$4:$CZ$32,28,FALSE)*'Incremental Repayments'!$I$22)),0),0)</f>
        <v>0</v>
      </c>
      <c r="CA120" s="477">
        <f>IF('Incremental Repayments'!$R$22="Debt",IF(AND(CA$4&gt;=$D120,CA$4&lt;$D120+'Incremental Repayments'!$I$31),-PMT('Interest Rate'!$J$16,'Incremental Repayments'!$I$31,(HLOOKUP($D120,$E$4:$CZ$32,28,FALSE)*'Incremental Repayments'!$I$22)),0),0)</f>
        <v>0</v>
      </c>
      <c r="CB120" s="477">
        <f>IF('Incremental Repayments'!$R$22="Debt",IF(AND(CB$4&gt;=$D120,CB$4&lt;$D120+'Incremental Repayments'!$I$31),-PMT('Interest Rate'!$J$16,'Incremental Repayments'!$I$31,(HLOOKUP($D120,$E$4:$CZ$32,28,FALSE)*'Incremental Repayments'!$I$22)),0),0)</f>
        <v>0</v>
      </c>
      <c r="CC120" s="477">
        <f>IF('Incremental Repayments'!$R$22="Debt",IF(AND(CC$4&gt;=$D120,CC$4&lt;$D120+'Incremental Repayments'!$I$31),-PMT('Interest Rate'!$J$16,'Incremental Repayments'!$I$31,(HLOOKUP($D120,$E$4:$CZ$32,28,FALSE)*'Incremental Repayments'!$I$22)),0),0)</f>
        <v>0</v>
      </c>
      <c r="CD120" s="477">
        <f>IF('Incremental Repayments'!$R$22="Debt",IF(AND(CD$4&gt;=$D120,CD$4&lt;$D120+'Incremental Repayments'!$I$31),-PMT('Interest Rate'!$J$16,'Incremental Repayments'!$I$31,(HLOOKUP($D120,$E$4:$CZ$32,28,FALSE)*'Incremental Repayments'!$I$22)),0),0)</f>
        <v>0</v>
      </c>
      <c r="CE120" s="477">
        <f>IF('Incremental Repayments'!$R$22="Debt",IF(AND(CE$4&gt;=$D120,CE$4&lt;$D120+'Incremental Repayments'!$I$31),-PMT('Interest Rate'!$J$16,'Incremental Repayments'!$I$31,(HLOOKUP($D120,$E$4:$CZ$32,28,FALSE)*'Incremental Repayments'!$I$22)),0),0)</f>
        <v>0</v>
      </c>
      <c r="CF120" s="477">
        <f>IF('Incremental Repayments'!$R$22="Debt",IF(AND(CF$4&gt;=$D120,CF$4&lt;$D120+'Incremental Repayments'!$I$31),-PMT('Interest Rate'!$J$16,'Incremental Repayments'!$I$31,(HLOOKUP($D120,$E$4:$CZ$32,28,FALSE)*'Incremental Repayments'!$I$22)),0),0)</f>
        <v>0</v>
      </c>
      <c r="CG120" s="477">
        <f>IF('Incremental Repayments'!$R$22="Debt",IF(AND(CG$4&gt;=$D120,CG$4&lt;$D120+'Incremental Repayments'!$I$31),-PMT('Interest Rate'!$J$16,'Incremental Repayments'!$I$31,(HLOOKUP($D120,$E$4:$CZ$32,28,FALSE)*'Incremental Repayments'!$I$22)),0),0)</f>
        <v>0</v>
      </c>
      <c r="CH120" s="477">
        <f>IF('Incremental Repayments'!$R$22="Debt",IF(AND(CH$4&gt;=$D120,CH$4&lt;$D120+'Incremental Repayments'!$I$31),-PMT('Interest Rate'!$J$16,'Incremental Repayments'!$I$31,(HLOOKUP($D120,$E$4:$CZ$32,28,FALSE)*'Incremental Repayments'!$I$22)),0),0)</f>
        <v>0</v>
      </c>
      <c r="CI120" s="477">
        <f>IF('Incremental Repayments'!$R$22="Debt",IF(AND(CI$4&gt;=$D120,CI$4&lt;$D120+'Incremental Repayments'!$I$31),-PMT('Interest Rate'!$J$16,'Incremental Repayments'!$I$31,(HLOOKUP($D120,$E$4:$CZ$32,28,FALSE)*'Incremental Repayments'!$I$22)),0),0)</f>
        <v>0</v>
      </c>
      <c r="CJ120" s="477">
        <f>IF('Incremental Repayments'!$R$22="Debt",IF(AND(CJ$4&gt;=$D120,CJ$4&lt;$D120+'Incremental Repayments'!$I$31),-PMT('Interest Rate'!$J$16,'Incremental Repayments'!$I$31,(HLOOKUP($D120,$E$4:$CZ$32,28,FALSE)*'Incremental Repayments'!$I$22)),0),0)</f>
        <v>0</v>
      </c>
      <c r="CK120" s="477">
        <f>IF('Incremental Repayments'!$R$22="Debt",IF(AND(CK$4&gt;=$D120,CK$4&lt;$D120+'Incremental Repayments'!$I$31),-PMT('Interest Rate'!$J$16,'Incremental Repayments'!$I$31,(HLOOKUP($D120,$E$4:$CZ$32,28,FALSE)*'Incremental Repayments'!$I$22)),0),0)</f>
        <v>0</v>
      </c>
      <c r="CL120" s="477">
        <f>IF('Incremental Repayments'!$R$22="Debt",IF(AND(CL$4&gt;=$D120,CL$4&lt;$D120+'Incremental Repayments'!$I$31),-PMT('Interest Rate'!$J$16,'Incremental Repayments'!$I$31,(HLOOKUP($D120,$E$4:$CZ$32,28,FALSE)*'Incremental Repayments'!$I$22)),0),0)</f>
        <v>0</v>
      </c>
      <c r="CM120" s="477">
        <f>IF('Incremental Repayments'!$R$22="Debt",IF(AND(CM$4&gt;=$D120,CM$4&lt;$D120+'Incremental Repayments'!$I$31),-PMT('Interest Rate'!$J$16,'Incremental Repayments'!$I$31,(HLOOKUP($D120,$E$4:$CZ$32,28,FALSE)*'Incremental Repayments'!$I$22)),0),0)</f>
        <v>0</v>
      </c>
      <c r="CN120" s="477">
        <f>IF('Incremental Repayments'!$R$22="Debt",IF(AND(CN$4&gt;=$D120,CN$4&lt;$D120+'Incremental Repayments'!$I$31),-PMT('Interest Rate'!$J$16,'Incremental Repayments'!$I$31,(HLOOKUP($D120,$E$4:$CZ$32,28,FALSE)*'Incremental Repayments'!$I$22)),0),0)</f>
        <v>0</v>
      </c>
      <c r="CO120" s="477">
        <f>IF('Incremental Repayments'!$R$22="Debt",IF(AND(CO$4&gt;=$D120,CO$4&lt;$D120+'Incremental Repayments'!$I$31),-PMT('Interest Rate'!$J$16,'Incremental Repayments'!$I$31,(HLOOKUP($D120,$E$4:$CZ$32,28,FALSE)*'Incremental Repayments'!$I$22)),0),0)</f>
        <v>0</v>
      </c>
      <c r="CP120" s="477">
        <f>IF('Incremental Repayments'!$R$22="Debt",IF(AND(CP$4&gt;=$D120,CP$4&lt;$D120+'Incremental Repayments'!$I$31),-PMT('Interest Rate'!$J$16,'Incremental Repayments'!$I$31,(HLOOKUP($D120,$E$4:$CZ$32,28,FALSE)*'Incremental Repayments'!$I$22)),0),0)</f>
        <v>0</v>
      </c>
      <c r="CQ120" s="477">
        <f>IF('Incremental Repayments'!$R$22="Debt",IF(AND(CQ$4&gt;=$D120,CQ$4&lt;$D120+'Incremental Repayments'!$I$31),-PMT('Interest Rate'!$J$16,'Incremental Repayments'!$I$31,(HLOOKUP($D120,$E$4:$CZ$32,28,FALSE)*'Incremental Repayments'!$I$22)),0),0)</f>
        <v>0</v>
      </c>
      <c r="CR120" s="477">
        <f>IF('Incremental Repayments'!$R$22="Debt",IF(AND(CR$4&gt;=$D120,CR$4&lt;$D120+'Incremental Repayments'!$I$31),-PMT('Interest Rate'!$J$16,'Incremental Repayments'!$I$31,(HLOOKUP($D120,$E$4:$CZ$32,28,FALSE)*'Incremental Repayments'!$I$22)),0),0)</f>
        <v>0</v>
      </c>
      <c r="CS120" s="477">
        <f>IF('Incremental Repayments'!$R$22="Debt",IF(AND(CS$4&gt;=$D120,CS$4&lt;$D120+'Incremental Repayments'!$I$31),-PMT('Interest Rate'!$J$16,'Incremental Repayments'!$I$31,(HLOOKUP($D120,$E$4:$CZ$32,28,FALSE)*'Incremental Repayments'!$I$22)),0),0)</f>
        <v>0</v>
      </c>
      <c r="CT120" s="477">
        <f>IF('Incremental Repayments'!$R$22="Debt",IF(AND(CT$4&gt;=$D120,CT$4&lt;$D120+'Incremental Repayments'!$I$31),-PMT('Interest Rate'!$J$16,'Incremental Repayments'!$I$31,(HLOOKUP($D120,$E$4:$CZ$32,28,FALSE)*'Incremental Repayments'!$I$22)),0),0)</f>
        <v>0</v>
      </c>
      <c r="CU120" s="477">
        <f>IF('Incremental Repayments'!$R$22="Debt",IF(AND(CU$4&gt;=$D120,CU$4&lt;$D120+'Incremental Repayments'!$I$31),-PMT('Interest Rate'!$J$16,'Incremental Repayments'!$I$31,(HLOOKUP($D120,$E$4:$CZ$32,28,FALSE)*'Incremental Repayments'!$I$22)),0),0)</f>
        <v>0</v>
      </c>
      <c r="CV120" s="477">
        <f>IF('Incremental Repayments'!$R$22="Debt",IF(AND(CV$4&gt;=$D120,CV$4&lt;$D120+'Incremental Repayments'!$I$31),-PMT('Interest Rate'!$J$16,'Incremental Repayments'!$I$31,(HLOOKUP($D120,$E$4:$CZ$32,28,FALSE)*'Incremental Repayments'!$I$22)),0),0)</f>
        <v>0</v>
      </c>
      <c r="CW120" s="477">
        <f>IF('Incremental Repayments'!$R$22="Debt",IF(AND(CW$4&gt;=$D120,CW$4&lt;$D120+'Incremental Repayments'!$I$31),-PMT('Interest Rate'!$J$16,'Incremental Repayments'!$I$31,(HLOOKUP($D120,$E$4:$CZ$32,28,FALSE)*'Incremental Repayments'!$I$22)),0),0)</f>
        <v>0</v>
      </c>
      <c r="CX120" s="477">
        <f>IF('Incremental Repayments'!$R$22="Debt",IF(AND(CX$4&gt;=$D120,CX$4&lt;$D120+'Incremental Repayments'!$I$31),-PMT('Interest Rate'!$J$16,'Incremental Repayments'!$I$31,(HLOOKUP($D120,$E$4:$CZ$32,28,FALSE)*'Incremental Repayments'!$I$22)),0),0)</f>
        <v>0</v>
      </c>
      <c r="CY120" s="477">
        <f>IF('Incremental Repayments'!$R$22="Debt",IF(AND(CY$4&gt;=$D120,CY$4&lt;$D120+'Incremental Repayments'!$I$31),-PMT('Interest Rate'!$J$16,'Incremental Repayments'!$I$31,(HLOOKUP($D120,$E$4:$CZ$32,28,FALSE)*'Incremental Repayments'!$I$22)),0),0)</f>
        <v>0</v>
      </c>
      <c r="CZ120" s="477">
        <f>IF('Incremental Repayments'!$R$22="Debt",IF(AND(CZ$4&gt;=$D120,CZ$4&lt;$D120+'Incremental Repayments'!$I$31),-PMT('Interest Rate'!$J$16,'Incremental Repayments'!$I$31,(HLOOKUP($D120,$E$4:$CZ$32,28,FALSE)*'Incremental Repayments'!$I$22)),0),0)</f>
        <v>0</v>
      </c>
    </row>
    <row r="121" spans="1:104" x14ac:dyDescent="0.25">
      <c r="B121" s="480" t="str">
        <f>CONCATENATE("Series ",D121,"A Bonds (at ",'Interest Rate'!$J$16*100,"% Interest)")</f>
        <v>Series 2099A Bonds (at 4.5% Interest)</v>
      </c>
      <c r="C121" s="480"/>
      <c r="D121" s="492">
        <f t="shared" si="497"/>
        <v>2099</v>
      </c>
      <c r="E121" s="477">
        <f>IF('Incremental Repayments'!$R$22="Debt",IF(AND(E$4&gt;=$D121,E$4&lt;$D121+'Incremental Repayments'!$I$31),-PMT('Interest Rate'!$J$16,'Incremental Repayments'!$I$31,(HLOOKUP($D121,$E$4:$CZ$32,28,FALSE)*'Incremental Repayments'!$I$22)),0),0)</f>
        <v>0</v>
      </c>
      <c r="F121" s="477">
        <f>IF('Incremental Repayments'!$R$22="Debt",IF(AND(F$4&gt;=$D121,F$4&lt;$D121+'Incremental Repayments'!$I$31),-PMT('Interest Rate'!$J$16,'Incremental Repayments'!$I$31,(HLOOKUP($D121,$E$4:$CZ$32,28,FALSE)*'Incremental Repayments'!$I$22)),0),0)</f>
        <v>0</v>
      </c>
      <c r="G121" s="477">
        <f>IF('Incremental Repayments'!$R$22="Debt",IF(AND(G$4&gt;=$D121,G$4&lt;$D121+'Incremental Repayments'!$I$31),-PMT('Interest Rate'!$J$16,'Incremental Repayments'!$I$31,(HLOOKUP($D121,$E$4:$CZ$32,28,FALSE)*'Incremental Repayments'!$I$22)),0),0)</f>
        <v>0</v>
      </c>
      <c r="H121" s="477">
        <f>IF('Incremental Repayments'!$R$22="Debt",IF(AND(H$4&gt;=$D121,H$4&lt;$D121+'Incremental Repayments'!$I$31),-PMT('Interest Rate'!$J$16,'Incremental Repayments'!$I$31,(HLOOKUP($D121,$E$4:$CZ$32,28,FALSE)*'Incremental Repayments'!$I$22)),0),0)</f>
        <v>0</v>
      </c>
      <c r="I121" s="477">
        <f>IF('Incremental Repayments'!$R$22="Debt",IF(AND(I$4&gt;=$D121,I$4&lt;$D121+'Incremental Repayments'!$I$31),-PMT('Interest Rate'!$J$16,'Incremental Repayments'!$I$31,(HLOOKUP($D121,$E$4:$CZ$32,28,FALSE)*'Incremental Repayments'!$I$22)),0),0)</f>
        <v>0</v>
      </c>
      <c r="J121" s="477">
        <f>IF('Incremental Repayments'!$R$22="Debt",IF(AND(J$4&gt;=$D121,J$4&lt;$D121+'Incremental Repayments'!$I$31),-PMT('Interest Rate'!$J$16,'Incremental Repayments'!$I$31,(HLOOKUP($D121,$E$4:$CZ$32,28,FALSE)*'Incremental Repayments'!$I$22)),0),0)</f>
        <v>0</v>
      </c>
      <c r="K121" s="477">
        <f>IF('Incremental Repayments'!$R$22="Debt",IF(AND(K$4&gt;=$D121,K$4&lt;$D121+'Incremental Repayments'!$I$31),-PMT('Interest Rate'!$J$16,'Incremental Repayments'!$I$31,(HLOOKUP($D121,$E$4:$CZ$32,28,FALSE)*'Incremental Repayments'!$I$22)),0),0)</f>
        <v>0</v>
      </c>
      <c r="L121" s="477">
        <f>IF('Incremental Repayments'!$R$22="Debt",IF(AND(L$4&gt;=$D121,L$4&lt;$D121+'Incremental Repayments'!$I$31),-PMT('Interest Rate'!$J$16,'Incremental Repayments'!$I$31,(HLOOKUP($D121,$E$4:$CZ$32,28,FALSE)*'Incremental Repayments'!$I$22)),0),0)</f>
        <v>0</v>
      </c>
      <c r="M121" s="477">
        <f>IF('Incremental Repayments'!$R$22="Debt",IF(AND(M$4&gt;=$D121,M$4&lt;$D121+'Incremental Repayments'!$I$31),-PMT('Interest Rate'!$J$16,'Incremental Repayments'!$I$31,(HLOOKUP($D121,$E$4:$CZ$32,28,FALSE)*'Incremental Repayments'!$I$22)),0),0)</f>
        <v>0</v>
      </c>
      <c r="N121" s="477">
        <f>IF('Incremental Repayments'!$R$22="Debt",IF(AND(N$4&gt;=$D121,N$4&lt;$D121+'Incremental Repayments'!$I$31),-PMT('Interest Rate'!$J$16,'Incremental Repayments'!$I$31,(HLOOKUP($D121,$E$4:$CZ$32,28,FALSE)*'Incremental Repayments'!$I$22)),0),0)</f>
        <v>0</v>
      </c>
      <c r="O121" s="477">
        <f>IF('Incremental Repayments'!$R$22="Debt",IF(AND(O$4&gt;=$D121,O$4&lt;$D121+'Incremental Repayments'!$I$31),-PMT('Interest Rate'!$J$16,'Incremental Repayments'!$I$31,(HLOOKUP($D121,$E$4:$CZ$32,28,FALSE)*'Incremental Repayments'!$I$22)),0),0)</f>
        <v>0</v>
      </c>
      <c r="P121" s="477">
        <f>IF('Incremental Repayments'!$R$22="Debt",IF(AND(P$4&gt;=$D121,P$4&lt;$D121+'Incremental Repayments'!$I$31),-PMT('Interest Rate'!$J$16,'Incremental Repayments'!$I$31,(HLOOKUP($D121,$E$4:$CZ$32,28,FALSE)*'Incremental Repayments'!$I$22)),0),0)</f>
        <v>0</v>
      </c>
      <c r="Q121" s="477">
        <f>IF('Incremental Repayments'!$R$22="Debt",IF(AND(Q$4&gt;=$D121,Q$4&lt;$D121+'Incremental Repayments'!$I$31),-PMT('Interest Rate'!$J$16,'Incremental Repayments'!$I$31,(HLOOKUP($D121,$E$4:$CZ$32,28,FALSE)*'Incremental Repayments'!$I$22)),0),0)</f>
        <v>0</v>
      </c>
      <c r="R121" s="477">
        <f>IF('Incremental Repayments'!$R$22="Debt",IF(AND(R$4&gt;=$D121,R$4&lt;$D121+'Incremental Repayments'!$I$31),-PMT('Interest Rate'!$J$16,'Incremental Repayments'!$I$31,(HLOOKUP($D121,$E$4:$CZ$32,28,FALSE)*'Incremental Repayments'!$I$22)),0),0)</f>
        <v>0</v>
      </c>
      <c r="S121" s="477">
        <f>IF('Incremental Repayments'!$R$22="Debt",IF(AND(S$4&gt;=$D121,S$4&lt;$D121+'Incremental Repayments'!$I$31),-PMT('Interest Rate'!$J$16,'Incremental Repayments'!$I$31,(HLOOKUP($D121,$E$4:$CZ$32,28,FALSE)*'Incremental Repayments'!$I$22)),0),0)</f>
        <v>0</v>
      </c>
      <c r="T121" s="477">
        <f>IF('Incremental Repayments'!$R$22="Debt",IF(AND(T$4&gt;=$D121,T$4&lt;$D121+'Incremental Repayments'!$I$31),-PMT('Interest Rate'!$J$16,'Incremental Repayments'!$I$31,(HLOOKUP($D121,$E$4:$CZ$32,28,FALSE)*'Incremental Repayments'!$I$22)),0),0)</f>
        <v>0</v>
      </c>
      <c r="U121" s="477">
        <f>IF('Incremental Repayments'!$R$22="Debt",IF(AND(U$4&gt;=$D121,U$4&lt;$D121+'Incremental Repayments'!$I$31),-PMT('Interest Rate'!$J$16,'Incremental Repayments'!$I$31,(HLOOKUP($D121,$E$4:$CZ$32,28,FALSE)*'Incremental Repayments'!$I$22)),0),0)</f>
        <v>0</v>
      </c>
      <c r="V121" s="477">
        <f>IF('Incremental Repayments'!$R$22="Debt",IF(AND(V$4&gt;=$D121,V$4&lt;$D121+'Incremental Repayments'!$I$31),-PMT('Interest Rate'!$J$16,'Incremental Repayments'!$I$31,(HLOOKUP($D121,$E$4:$CZ$32,28,FALSE)*'Incremental Repayments'!$I$22)),0),0)</f>
        <v>0</v>
      </c>
      <c r="W121" s="477">
        <f>IF('Incremental Repayments'!$R$22="Debt",IF(AND(W$4&gt;=$D121,W$4&lt;$D121+'Incremental Repayments'!$I$31),-PMT('Interest Rate'!$J$16,'Incremental Repayments'!$I$31,(HLOOKUP($D121,$E$4:$CZ$32,28,FALSE)*'Incremental Repayments'!$I$22)),0),0)</f>
        <v>0</v>
      </c>
      <c r="X121" s="477">
        <f>IF('Incremental Repayments'!$R$22="Debt",IF(AND(X$4&gt;=$D121,X$4&lt;$D121+'Incremental Repayments'!$I$31),-PMT('Interest Rate'!$J$16,'Incremental Repayments'!$I$31,(HLOOKUP($D121,$E$4:$CZ$32,28,FALSE)*'Incremental Repayments'!$I$22)),0),0)</f>
        <v>0</v>
      </c>
      <c r="Y121" s="477">
        <f>IF('Incremental Repayments'!$R$22="Debt",IF(AND(Y$4&gt;=$D121,Y$4&lt;$D121+'Incremental Repayments'!$I$31),-PMT('Interest Rate'!$J$16,'Incremental Repayments'!$I$31,(HLOOKUP($D121,$E$4:$CZ$32,28,FALSE)*'Incremental Repayments'!$I$22)),0),0)</f>
        <v>0</v>
      </c>
      <c r="Z121" s="477">
        <f>IF('Incremental Repayments'!$R$22="Debt",IF(AND(Z$4&gt;=$D121,Z$4&lt;$D121+'Incremental Repayments'!$I$31),-PMT('Interest Rate'!$J$16,'Incremental Repayments'!$I$31,(HLOOKUP($D121,$E$4:$CZ$32,28,FALSE)*'Incremental Repayments'!$I$22)),0),0)</f>
        <v>0</v>
      </c>
      <c r="AA121" s="477">
        <f>IF('Incremental Repayments'!$R$22="Debt",IF(AND(AA$4&gt;=$D121,AA$4&lt;$D121+'Incremental Repayments'!$I$31),-PMT('Interest Rate'!$J$16,'Incremental Repayments'!$I$31,(HLOOKUP($D121,$E$4:$CZ$32,28,FALSE)*'Incremental Repayments'!$I$22)),0),0)</f>
        <v>0</v>
      </c>
      <c r="AB121" s="477">
        <f>IF('Incremental Repayments'!$R$22="Debt",IF(AND(AB$4&gt;=$D121,AB$4&lt;$D121+'Incremental Repayments'!$I$31),-PMT('Interest Rate'!$J$16,'Incremental Repayments'!$I$31,(HLOOKUP($D121,$E$4:$CZ$32,28,FALSE)*'Incremental Repayments'!$I$22)),0),0)</f>
        <v>0</v>
      </c>
      <c r="AC121" s="477">
        <f>IF('Incremental Repayments'!$R$22="Debt",IF(AND(AC$4&gt;=$D121,AC$4&lt;$D121+'Incremental Repayments'!$I$31),-PMT('Interest Rate'!$J$16,'Incremental Repayments'!$I$31,(HLOOKUP($D121,$E$4:$CZ$32,28,FALSE)*'Incremental Repayments'!$I$22)),0),0)</f>
        <v>0</v>
      </c>
      <c r="AD121" s="477">
        <f>IF('Incremental Repayments'!$R$22="Debt",IF(AND(AD$4&gt;=$D121,AD$4&lt;$D121+'Incremental Repayments'!$I$31),-PMT('Interest Rate'!$J$16,'Incremental Repayments'!$I$31,(HLOOKUP($D121,$E$4:$CZ$32,28,FALSE)*'Incremental Repayments'!$I$22)),0),0)</f>
        <v>0</v>
      </c>
      <c r="AE121" s="477">
        <f>IF('Incremental Repayments'!$R$22="Debt",IF(AND(AE$4&gt;=$D121,AE$4&lt;$D121+'Incremental Repayments'!$I$31),-PMT('Interest Rate'!$J$16,'Incremental Repayments'!$I$31,(HLOOKUP($D121,$E$4:$CZ$32,28,FALSE)*'Incremental Repayments'!$I$22)),0),0)</f>
        <v>0</v>
      </c>
      <c r="AF121" s="477">
        <f>IF('Incremental Repayments'!$R$22="Debt",IF(AND(AF$4&gt;=$D121,AF$4&lt;$D121+'Incremental Repayments'!$I$31),-PMT('Interest Rate'!$J$16,'Incremental Repayments'!$I$31,(HLOOKUP($D121,$E$4:$CZ$32,28,FALSE)*'Incremental Repayments'!$I$22)),0),0)</f>
        <v>0</v>
      </c>
      <c r="AG121" s="477">
        <f>IF('Incremental Repayments'!$R$22="Debt",IF(AND(AG$4&gt;=$D121,AG$4&lt;$D121+'Incremental Repayments'!$I$31),-PMT('Interest Rate'!$J$16,'Incremental Repayments'!$I$31,(HLOOKUP($D121,$E$4:$CZ$32,28,FALSE)*'Incremental Repayments'!$I$22)),0),0)</f>
        <v>0</v>
      </c>
      <c r="AH121" s="477">
        <f>IF('Incremental Repayments'!$R$22="Debt",IF(AND(AH$4&gt;=$D121,AH$4&lt;$D121+'Incremental Repayments'!$I$31),-PMT('Interest Rate'!$J$16,'Incremental Repayments'!$I$31,(HLOOKUP($D121,$E$4:$CZ$32,28,FALSE)*'Incremental Repayments'!$I$22)),0),0)</f>
        <v>0</v>
      </c>
      <c r="AI121" s="477">
        <f>IF('Incremental Repayments'!$R$22="Debt",IF(AND(AI$4&gt;=$D121,AI$4&lt;$D121+'Incremental Repayments'!$I$31),-PMT('Interest Rate'!$J$16,'Incremental Repayments'!$I$31,(HLOOKUP($D121,$E$4:$CZ$32,28,FALSE)*'Incremental Repayments'!$I$22)),0),0)</f>
        <v>0</v>
      </c>
      <c r="AJ121" s="477">
        <f>IF('Incremental Repayments'!$R$22="Debt",IF(AND(AJ$4&gt;=$D121,AJ$4&lt;$D121+'Incremental Repayments'!$I$31),-PMT('Interest Rate'!$J$16,'Incremental Repayments'!$I$31,(HLOOKUP($D121,$E$4:$CZ$32,28,FALSE)*'Incremental Repayments'!$I$22)),0),0)</f>
        <v>0</v>
      </c>
      <c r="AK121" s="477">
        <f>IF('Incremental Repayments'!$R$22="Debt",IF(AND(AK$4&gt;=$D121,AK$4&lt;$D121+'Incremental Repayments'!$I$31),-PMT('Interest Rate'!$J$16,'Incremental Repayments'!$I$31,(HLOOKUP($D121,$E$4:$CZ$32,28,FALSE)*'Incremental Repayments'!$I$22)),0),0)</f>
        <v>0</v>
      </c>
      <c r="AL121" s="477">
        <f>IF('Incremental Repayments'!$R$22="Debt",IF(AND(AL$4&gt;=$D121,AL$4&lt;$D121+'Incremental Repayments'!$I$31),-PMT('Interest Rate'!$J$16,'Incremental Repayments'!$I$31,(HLOOKUP($D121,$E$4:$CZ$32,28,FALSE)*'Incremental Repayments'!$I$22)),0),0)</f>
        <v>0</v>
      </c>
      <c r="AM121" s="477">
        <f>IF('Incremental Repayments'!$R$22="Debt",IF(AND(AM$4&gt;=$D121,AM$4&lt;$D121+'Incremental Repayments'!$I$31),-PMT('Interest Rate'!$J$16,'Incremental Repayments'!$I$31,(HLOOKUP($D121,$E$4:$CZ$32,28,FALSE)*'Incremental Repayments'!$I$22)),0),0)</f>
        <v>0</v>
      </c>
      <c r="AN121" s="477">
        <f>IF('Incremental Repayments'!$R$22="Debt",IF(AND(AN$4&gt;=$D121,AN$4&lt;$D121+'Incremental Repayments'!$I$31),-PMT('Interest Rate'!$J$16,'Incremental Repayments'!$I$31,(HLOOKUP($D121,$E$4:$CZ$32,28,FALSE)*'Incremental Repayments'!$I$22)),0),0)</f>
        <v>0</v>
      </c>
      <c r="AO121" s="477">
        <f>IF('Incremental Repayments'!$R$22="Debt",IF(AND(AO$4&gt;=$D121,AO$4&lt;$D121+'Incremental Repayments'!$I$31),-PMT('Interest Rate'!$J$16,'Incremental Repayments'!$I$31,(HLOOKUP($D121,$E$4:$CZ$32,28,FALSE)*'Incremental Repayments'!$I$22)),0),0)</f>
        <v>0</v>
      </c>
      <c r="AP121" s="477">
        <f>IF('Incremental Repayments'!$R$22="Debt",IF(AND(AP$4&gt;=$D121,AP$4&lt;$D121+'Incremental Repayments'!$I$31),-PMT('Interest Rate'!$J$16,'Incremental Repayments'!$I$31,(HLOOKUP($D121,$E$4:$CZ$32,28,FALSE)*'Incremental Repayments'!$I$22)),0),0)</f>
        <v>0</v>
      </c>
      <c r="AQ121" s="477">
        <f>IF('Incremental Repayments'!$R$22="Debt",IF(AND(AQ$4&gt;=$D121,AQ$4&lt;$D121+'Incremental Repayments'!$I$31),-PMT('Interest Rate'!$J$16,'Incremental Repayments'!$I$31,(HLOOKUP($D121,$E$4:$CZ$32,28,FALSE)*'Incremental Repayments'!$I$22)),0),0)</f>
        <v>0</v>
      </c>
      <c r="AR121" s="477">
        <f>IF('Incremental Repayments'!$R$22="Debt",IF(AND(AR$4&gt;=$D121,AR$4&lt;$D121+'Incremental Repayments'!$I$31),-PMT('Interest Rate'!$J$16,'Incremental Repayments'!$I$31,(HLOOKUP($D121,$E$4:$CZ$32,28,FALSE)*'Incremental Repayments'!$I$22)),0),0)</f>
        <v>0</v>
      </c>
      <c r="AS121" s="477">
        <f>IF('Incremental Repayments'!$R$22="Debt",IF(AND(AS$4&gt;=$D121,AS$4&lt;$D121+'Incremental Repayments'!$I$31),-PMT('Interest Rate'!$J$16,'Incremental Repayments'!$I$31,(HLOOKUP($D121,$E$4:$CZ$32,28,FALSE)*'Incremental Repayments'!$I$22)),0),0)</f>
        <v>0</v>
      </c>
      <c r="AT121" s="477">
        <f>IF('Incremental Repayments'!$R$22="Debt",IF(AND(AT$4&gt;=$D121,AT$4&lt;$D121+'Incremental Repayments'!$I$31),-PMT('Interest Rate'!$J$16,'Incremental Repayments'!$I$31,(HLOOKUP($D121,$E$4:$CZ$32,28,FALSE)*'Incremental Repayments'!$I$22)),0),0)</f>
        <v>0</v>
      </c>
      <c r="AU121" s="477">
        <f>IF('Incremental Repayments'!$R$22="Debt",IF(AND(AU$4&gt;=$D121,AU$4&lt;$D121+'Incremental Repayments'!$I$31),-PMT('Interest Rate'!$J$16,'Incremental Repayments'!$I$31,(HLOOKUP($D121,$E$4:$CZ$32,28,FALSE)*'Incremental Repayments'!$I$22)),0),0)</f>
        <v>0</v>
      </c>
      <c r="AV121" s="477">
        <f>IF('Incremental Repayments'!$R$22="Debt",IF(AND(AV$4&gt;=$D121,AV$4&lt;$D121+'Incremental Repayments'!$I$31),-PMT('Interest Rate'!$J$16,'Incremental Repayments'!$I$31,(HLOOKUP($D121,$E$4:$CZ$32,28,FALSE)*'Incremental Repayments'!$I$22)),0),0)</f>
        <v>0</v>
      </c>
      <c r="AW121" s="477">
        <f>IF('Incremental Repayments'!$R$22="Debt",IF(AND(AW$4&gt;=$D121,AW$4&lt;$D121+'Incremental Repayments'!$I$31),-PMT('Interest Rate'!$J$16,'Incremental Repayments'!$I$31,(HLOOKUP($D121,$E$4:$CZ$32,28,FALSE)*'Incremental Repayments'!$I$22)),0),0)</f>
        <v>0</v>
      </c>
      <c r="AX121" s="477">
        <f>IF('Incremental Repayments'!$R$22="Debt",IF(AND(AX$4&gt;=$D121,AX$4&lt;$D121+'Incremental Repayments'!$I$31),-PMT('Interest Rate'!$J$16,'Incremental Repayments'!$I$31,(HLOOKUP($D121,$E$4:$CZ$32,28,FALSE)*'Incremental Repayments'!$I$22)),0),0)</f>
        <v>0</v>
      </c>
      <c r="AY121" s="477">
        <f>IF('Incremental Repayments'!$R$22="Debt",IF(AND(AY$4&gt;=$D121,AY$4&lt;$D121+'Incremental Repayments'!$I$31),-PMT('Interest Rate'!$J$16,'Incremental Repayments'!$I$31,(HLOOKUP($D121,$E$4:$CZ$32,28,FALSE)*'Incremental Repayments'!$I$22)),0),0)</f>
        <v>0</v>
      </c>
      <c r="AZ121" s="477">
        <f>IF('Incremental Repayments'!$R$22="Debt",IF(AND(AZ$4&gt;=$D121,AZ$4&lt;$D121+'Incremental Repayments'!$I$31),-PMT('Interest Rate'!$J$16,'Incremental Repayments'!$I$31,(HLOOKUP($D121,$E$4:$CZ$32,28,FALSE)*'Incremental Repayments'!$I$22)),0),0)</f>
        <v>0</v>
      </c>
      <c r="BA121" s="477">
        <f>IF('Incremental Repayments'!$R$22="Debt",IF(AND(BA$4&gt;=$D121,BA$4&lt;$D121+'Incremental Repayments'!$I$31),-PMT('Interest Rate'!$J$16,'Incremental Repayments'!$I$31,(HLOOKUP($D121,$E$4:$CZ$32,28,FALSE)*'Incremental Repayments'!$I$22)),0),0)</f>
        <v>0</v>
      </c>
      <c r="BB121" s="477">
        <f>IF('Incremental Repayments'!$R$22="Debt",IF(AND(BB$4&gt;=$D121,BB$4&lt;$D121+'Incremental Repayments'!$I$31),-PMT('Interest Rate'!$J$16,'Incremental Repayments'!$I$31,(HLOOKUP($D121,$E$4:$CZ$32,28,FALSE)*'Incremental Repayments'!$I$22)),0),0)</f>
        <v>0</v>
      </c>
      <c r="BC121" s="477">
        <f>IF('Incremental Repayments'!$R$22="Debt",IF(AND(BC$4&gt;=$D121,BC$4&lt;$D121+'Incremental Repayments'!$I$31),-PMT('Interest Rate'!$J$16,'Incremental Repayments'!$I$31,(HLOOKUP($D121,$E$4:$CZ$32,28,FALSE)*'Incremental Repayments'!$I$22)),0),0)</f>
        <v>0</v>
      </c>
      <c r="BD121" s="477">
        <f>IF('Incremental Repayments'!$R$22="Debt",IF(AND(BD$4&gt;=$D121,BD$4&lt;$D121+'Incremental Repayments'!$I$31),-PMT('Interest Rate'!$J$16,'Incremental Repayments'!$I$31,(HLOOKUP($D121,$E$4:$CZ$32,28,FALSE)*'Incremental Repayments'!$I$22)),0),0)</f>
        <v>0</v>
      </c>
      <c r="BE121" s="477">
        <f>IF('Incremental Repayments'!$R$22="Debt",IF(AND(BE$4&gt;=$D121,BE$4&lt;$D121+'Incremental Repayments'!$I$31),-PMT('Interest Rate'!$J$16,'Incremental Repayments'!$I$31,(HLOOKUP($D121,$E$4:$CZ$32,28,FALSE)*'Incremental Repayments'!$I$22)),0),0)</f>
        <v>0</v>
      </c>
      <c r="BF121" s="477">
        <f>IF('Incremental Repayments'!$R$22="Debt",IF(AND(BF$4&gt;=$D121,BF$4&lt;$D121+'Incremental Repayments'!$I$31),-PMT('Interest Rate'!$J$16,'Incremental Repayments'!$I$31,(HLOOKUP($D121,$E$4:$CZ$32,28,FALSE)*'Incremental Repayments'!$I$22)),0),0)</f>
        <v>0</v>
      </c>
      <c r="BG121" s="477">
        <f>IF('Incremental Repayments'!$R$22="Debt",IF(AND(BG$4&gt;=$D121,BG$4&lt;$D121+'Incremental Repayments'!$I$31),-PMT('Interest Rate'!$J$16,'Incremental Repayments'!$I$31,(HLOOKUP($D121,$E$4:$CZ$32,28,FALSE)*'Incremental Repayments'!$I$22)),0),0)</f>
        <v>0</v>
      </c>
      <c r="BH121" s="477">
        <f>IF('Incremental Repayments'!$R$22="Debt",IF(AND(BH$4&gt;=$D121,BH$4&lt;$D121+'Incremental Repayments'!$I$31),-PMT('Interest Rate'!$J$16,'Incremental Repayments'!$I$31,(HLOOKUP($D121,$E$4:$CZ$32,28,FALSE)*'Incremental Repayments'!$I$22)),0),0)</f>
        <v>0</v>
      </c>
      <c r="BI121" s="477">
        <f>IF('Incremental Repayments'!$R$22="Debt",IF(AND(BI$4&gt;=$D121,BI$4&lt;$D121+'Incremental Repayments'!$I$31),-PMT('Interest Rate'!$J$16,'Incremental Repayments'!$I$31,(HLOOKUP($D121,$E$4:$CZ$32,28,FALSE)*'Incremental Repayments'!$I$22)),0),0)</f>
        <v>0</v>
      </c>
      <c r="BJ121" s="477">
        <f>IF('Incremental Repayments'!$R$22="Debt",IF(AND(BJ$4&gt;=$D121,BJ$4&lt;$D121+'Incremental Repayments'!$I$31),-PMT('Interest Rate'!$J$16,'Incremental Repayments'!$I$31,(HLOOKUP($D121,$E$4:$CZ$32,28,FALSE)*'Incremental Repayments'!$I$22)),0),0)</f>
        <v>0</v>
      </c>
      <c r="BK121" s="477">
        <f>IF('Incremental Repayments'!$R$22="Debt",IF(AND(BK$4&gt;=$D121,BK$4&lt;$D121+'Incremental Repayments'!$I$31),-PMT('Interest Rate'!$J$16,'Incremental Repayments'!$I$31,(HLOOKUP($D121,$E$4:$CZ$32,28,FALSE)*'Incremental Repayments'!$I$22)),0),0)</f>
        <v>0</v>
      </c>
      <c r="BL121" s="477">
        <f>IF('Incremental Repayments'!$R$22="Debt",IF(AND(BL$4&gt;=$D121,BL$4&lt;$D121+'Incremental Repayments'!$I$31),-PMT('Interest Rate'!$J$16,'Incremental Repayments'!$I$31,(HLOOKUP($D121,$E$4:$CZ$32,28,FALSE)*'Incremental Repayments'!$I$22)),0),0)</f>
        <v>0</v>
      </c>
      <c r="BM121" s="477">
        <f>IF('Incremental Repayments'!$R$22="Debt",IF(AND(BM$4&gt;=$D121,BM$4&lt;$D121+'Incremental Repayments'!$I$31),-PMT('Interest Rate'!$J$16,'Incremental Repayments'!$I$31,(HLOOKUP($D121,$E$4:$CZ$32,28,FALSE)*'Incremental Repayments'!$I$22)),0),0)</f>
        <v>0</v>
      </c>
      <c r="BN121" s="477">
        <f>IF('Incremental Repayments'!$R$22="Debt",IF(AND(BN$4&gt;=$D121,BN$4&lt;$D121+'Incremental Repayments'!$I$31),-PMT('Interest Rate'!$J$16,'Incremental Repayments'!$I$31,(HLOOKUP($D121,$E$4:$CZ$32,28,FALSE)*'Incremental Repayments'!$I$22)),0),0)</f>
        <v>0</v>
      </c>
      <c r="BO121" s="477">
        <f>IF('Incremental Repayments'!$R$22="Debt",IF(AND(BO$4&gt;=$D121,BO$4&lt;$D121+'Incremental Repayments'!$I$31),-PMT('Interest Rate'!$J$16,'Incremental Repayments'!$I$31,(HLOOKUP($D121,$E$4:$CZ$32,28,FALSE)*'Incremental Repayments'!$I$22)),0),0)</f>
        <v>0</v>
      </c>
      <c r="BP121" s="477">
        <f>IF('Incremental Repayments'!$R$22="Debt",IF(AND(BP$4&gt;=$D121,BP$4&lt;$D121+'Incremental Repayments'!$I$31),-PMT('Interest Rate'!$J$16,'Incremental Repayments'!$I$31,(HLOOKUP($D121,$E$4:$CZ$32,28,FALSE)*'Incremental Repayments'!$I$22)),0),0)</f>
        <v>0</v>
      </c>
      <c r="BQ121" s="477">
        <f>IF('Incremental Repayments'!$R$22="Debt",IF(AND(BQ$4&gt;=$D121,BQ$4&lt;$D121+'Incremental Repayments'!$I$31),-PMT('Interest Rate'!$J$16,'Incremental Repayments'!$I$31,(HLOOKUP($D121,$E$4:$CZ$32,28,FALSE)*'Incremental Repayments'!$I$22)),0),0)</f>
        <v>0</v>
      </c>
      <c r="BR121" s="477">
        <f>IF('Incremental Repayments'!$R$22="Debt",IF(AND(BR$4&gt;=$D121,BR$4&lt;$D121+'Incremental Repayments'!$I$31),-PMT('Interest Rate'!$J$16,'Incremental Repayments'!$I$31,(HLOOKUP($D121,$E$4:$CZ$32,28,FALSE)*'Incremental Repayments'!$I$22)),0),0)</f>
        <v>0</v>
      </c>
      <c r="BS121" s="477">
        <f>IF('Incremental Repayments'!$R$22="Debt",IF(AND(BS$4&gt;=$D121,BS$4&lt;$D121+'Incremental Repayments'!$I$31),-PMT('Interest Rate'!$J$16,'Incremental Repayments'!$I$31,(HLOOKUP($D121,$E$4:$CZ$32,28,FALSE)*'Incremental Repayments'!$I$22)),0),0)</f>
        <v>0</v>
      </c>
      <c r="BT121" s="477">
        <f>IF('Incremental Repayments'!$R$22="Debt",IF(AND(BT$4&gt;=$D121,BT$4&lt;$D121+'Incremental Repayments'!$I$31),-PMT('Interest Rate'!$J$16,'Incremental Repayments'!$I$31,(HLOOKUP($D121,$E$4:$CZ$32,28,FALSE)*'Incremental Repayments'!$I$22)),0),0)</f>
        <v>0</v>
      </c>
      <c r="BU121" s="477">
        <f>IF('Incremental Repayments'!$R$22="Debt",IF(AND(BU$4&gt;=$D121,BU$4&lt;$D121+'Incremental Repayments'!$I$31),-PMT('Interest Rate'!$J$16,'Incremental Repayments'!$I$31,(HLOOKUP($D121,$E$4:$CZ$32,28,FALSE)*'Incremental Repayments'!$I$22)),0),0)</f>
        <v>0</v>
      </c>
      <c r="BV121" s="477">
        <f>IF('Incremental Repayments'!$R$22="Debt",IF(AND(BV$4&gt;=$D121,BV$4&lt;$D121+'Incremental Repayments'!$I$31),-PMT('Interest Rate'!$J$16,'Incremental Repayments'!$I$31,(HLOOKUP($D121,$E$4:$CZ$32,28,FALSE)*'Incremental Repayments'!$I$22)),0),0)</f>
        <v>0</v>
      </c>
      <c r="BW121" s="477">
        <f>IF('Incremental Repayments'!$R$22="Debt",IF(AND(BW$4&gt;=$D121,BW$4&lt;$D121+'Incremental Repayments'!$I$31),-PMT('Interest Rate'!$J$16,'Incremental Repayments'!$I$31,(HLOOKUP($D121,$E$4:$CZ$32,28,FALSE)*'Incremental Repayments'!$I$22)),0),0)</f>
        <v>0</v>
      </c>
      <c r="BX121" s="477">
        <f>IF('Incremental Repayments'!$R$22="Debt",IF(AND(BX$4&gt;=$D121,BX$4&lt;$D121+'Incremental Repayments'!$I$31),-PMT('Interest Rate'!$J$16,'Incremental Repayments'!$I$31,(HLOOKUP($D121,$E$4:$CZ$32,28,FALSE)*'Incremental Repayments'!$I$22)),0),0)</f>
        <v>0</v>
      </c>
      <c r="BY121" s="477">
        <f>IF('Incremental Repayments'!$R$22="Debt",IF(AND(BY$4&gt;=$D121,BY$4&lt;$D121+'Incremental Repayments'!$I$31),-PMT('Interest Rate'!$J$16,'Incremental Repayments'!$I$31,(HLOOKUP($D121,$E$4:$CZ$32,28,FALSE)*'Incremental Repayments'!$I$22)),0),0)</f>
        <v>0</v>
      </c>
      <c r="BZ121" s="477">
        <f>IF('Incremental Repayments'!$R$22="Debt",IF(AND(BZ$4&gt;=$D121,BZ$4&lt;$D121+'Incremental Repayments'!$I$31),-PMT('Interest Rate'!$J$16,'Incremental Repayments'!$I$31,(HLOOKUP($D121,$E$4:$CZ$32,28,FALSE)*'Incremental Repayments'!$I$22)),0),0)</f>
        <v>0</v>
      </c>
      <c r="CA121" s="477">
        <f>IF('Incremental Repayments'!$R$22="Debt",IF(AND(CA$4&gt;=$D121,CA$4&lt;$D121+'Incremental Repayments'!$I$31),-PMT('Interest Rate'!$J$16,'Incremental Repayments'!$I$31,(HLOOKUP($D121,$E$4:$CZ$32,28,FALSE)*'Incremental Repayments'!$I$22)),0),0)</f>
        <v>0</v>
      </c>
      <c r="CB121" s="477">
        <f>IF('Incremental Repayments'!$R$22="Debt",IF(AND(CB$4&gt;=$D121,CB$4&lt;$D121+'Incremental Repayments'!$I$31),-PMT('Interest Rate'!$J$16,'Incremental Repayments'!$I$31,(HLOOKUP($D121,$E$4:$CZ$32,28,FALSE)*'Incremental Repayments'!$I$22)),0),0)</f>
        <v>0</v>
      </c>
      <c r="CC121" s="477">
        <f>IF('Incremental Repayments'!$R$22="Debt",IF(AND(CC$4&gt;=$D121,CC$4&lt;$D121+'Incremental Repayments'!$I$31),-PMT('Interest Rate'!$J$16,'Incremental Repayments'!$I$31,(HLOOKUP($D121,$E$4:$CZ$32,28,FALSE)*'Incremental Repayments'!$I$22)),0),0)</f>
        <v>0</v>
      </c>
      <c r="CD121" s="477">
        <f>IF('Incremental Repayments'!$R$22="Debt",IF(AND(CD$4&gt;=$D121,CD$4&lt;$D121+'Incremental Repayments'!$I$31),-PMT('Interest Rate'!$J$16,'Incremental Repayments'!$I$31,(HLOOKUP($D121,$E$4:$CZ$32,28,FALSE)*'Incremental Repayments'!$I$22)),0),0)</f>
        <v>0</v>
      </c>
      <c r="CE121" s="477">
        <f>IF('Incremental Repayments'!$R$22="Debt",IF(AND(CE$4&gt;=$D121,CE$4&lt;$D121+'Incremental Repayments'!$I$31),-PMT('Interest Rate'!$J$16,'Incremental Repayments'!$I$31,(HLOOKUP($D121,$E$4:$CZ$32,28,FALSE)*'Incremental Repayments'!$I$22)),0),0)</f>
        <v>0</v>
      </c>
      <c r="CF121" s="477">
        <f>IF('Incremental Repayments'!$R$22="Debt",IF(AND(CF$4&gt;=$D121,CF$4&lt;$D121+'Incremental Repayments'!$I$31),-PMT('Interest Rate'!$J$16,'Incremental Repayments'!$I$31,(HLOOKUP($D121,$E$4:$CZ$32,28,FALSE)*'Incremental Repayments'!$I$22)),0),0)</f>
        <v>0</v>
      </c>
      <c r="CG121" s="477">
        <f>IF('Incremental Repayments'!$R$22="Debt",IF(AND(CG$4&gt;=$D121,CG$4&lt;$D121+'Incremental Repayments'!$I$31),-PMT('Interest Rate'!$J$16,'Incremental Repayments'!$I$31,(HLOOKUP($D121,$E$4:$CZ$32,28,FALSE)*'Incremental Repayments'!$I$22)),0),0)</f>
        <v>0</v>
      </c>
      <c r="CH121" s="477">
        <f>IF('Incremental Repayments'!$R$22="Debt",IF(AND(CH$4&gt;=$D121,CH$4&lt;$D121+'Incremental Repayments'!$I$31),-PMT('Interest Rate'!$J$16,'Incremental Repayments'!$I$31,(HLOOKUP($D121,$E$4:$CZ$32,28,FALSE)*'Incremental Repayments'!$I$22)),0),0)</f>
        <v>0</v>
      </c>
      <c r="CI121" s="477">
        <f>IF('Incremental Repayments'!$R$22="Debt",IF(AND(CI$4&gt;=$D121,CI$4&lt;$D121+'Incremental Repayments'!$I$31),-PMT('Interest Rate'!$J$16,'Incremental Repayments'!$I$31,(HLOOKUP($D121,$E$4:$CZ$32,28,FALSE)*'Incremental Repayments'!$I$22)),0),0)</f>
        <v>0</v>
      </c>
      <c r="CJ121" s="477">
        <f>IF('Incremental Repayments'!$R$22="Debt",IF(AND(CJ$4&gt;=$D121,CJ$4&lt;$D121+'Incremental Repayments'!$I$31),-PMT('Interest Rate'!$J$16,'Incremental Repayments'!$I$31,(HLOOKUP($D121,$E$4:$CZ$32,28,FALSE)*'Incremental Repayments'!$I$22)),0),0)</f>
        <v>0</v>
      </c>
      <c r="CK121" s="477">
        <f>IF('Incremental Repayments'!$R$22="Debt",IF(AND(CK$4&gt;=$D121,CK$4&lt;$D121+'Incremental Repayments'!$I$31),-PMT('Interest Rate'!$J$16,'Incremental Repayments'!$I$31,(HLOOKUP($D121,$E$4:$CZ$32,28,FALSE)*'Incremental Repayments'!$I$22)),0),0)</f>
        <v>0</v>
      </c>
      <c r="CL121" s="477">
        <f>IF('Incremental Repayments'!$R$22="Debt",IF(AND(CL$4&gt;=$D121,CL$4&lt;$D121+'Incremental Repayments'!$I$31),-PMT('Interest Rate'!$J$16,'Incremental Repayments'!$I$31,(HLOOKUP($D121,$E$4:$CZ$32,28,FALSE)*'Incremental Repayments'!$I$22)),0),0)</f>
        <v>0</v>
      </c>
      <c r="CM121" s="477">
        <f>IF('Incremental Repayments'!$R$22="Debt",IF(AND(CM$4&gt;=$D121,CM$4&lt;$D121+'Incremental Repayments'!$I$31),-PMT('Interest Rate'!$J$16,'Incremental Repayments'!$I$31,(HLOOKUP($D121,$E$4:$CZ$32,28,FALSE)*'Incremental Repayments'!$I$22)),0),0)</f>
        <v>0</v>
      </c>
      <c r="CN121" s="477">
        <f>IF('Incremental Repayments'!$R$22="Debt",IF(AND(CN$4&gt;=$D121,CN$4&lt;$D121+'Incremental Repayments'!$I$31),-PMT('Interest Rate'!$J$16,'Incremental Repayments'!$I$31,(HLOOKUP($D121,$E$4:$CZ$32,28,FALSE)*'Incremental Repayments'!$I$22)),0),0)</f>
        <v>0</v>
      </c>
      <c r="CO121" s="477">
        <f>IF('Incremental Repayments'!$R$22="Debt",IF(AND(CO$4&gt;=$D121,CO$4&lt;$D121+'Incremental Repayments'!$I$31),-PMT('Interest Rate'!$J$16,'Incremental Repayments'!$I$31,(HLOOKUP($D121,$E$4:$CZ$32,28,FALSE)*'Incremental Repayments'!$I$22)),0),0)</f>
        <v>0</v>
      </c>
      <c r="CP121" s="477">
        <f>IF('Incremental Repayments'!$R$22="Debt",IF(AND(CP$4&gt;=$D121,CP$4&lt;$D121+'Incremental Repayments'!$I$31),-PMT('Interest Rate'!$J$16,'Incremental Repayments'!$I$31,(HLOOKUP($D121,$E$4:$CZ$32,28,FALSE)*'Incremental Repayments'!$I$22)),0),0)</f>
        <v>0</v>
      </c>
      <c r="CQ121" s="477">
        <f>IF('Incremental Repayments'!$R$22="Debt",IF(AND(CQ$4&gt;=$D121,CQ$4&lt;$D121+'Incremental Repayments'!$I$31),-PMT('Interest Rate'!$J$16,'Incremental Repayments'!$I$31,(HLOOKUP($D121,$E$4:$CZ$32,28,FALSE)*'Incremental Repayments'!$I$22)),0),0)</f>
        <v>0</v>
      </c>
      <c r="CR121" s="477">
        <f>IF('Incremental Repayments'!$R$22="Debt",IF(AND(CR$4&gt;=$D121,CR$4&lt;$D121+'Incremental Repayments'!$I$31),-PMT('Interest Rate'!$J$16,'Incremental Repayments'!$I$31,(HLOOKUP($D121,$E$4:$CZ$32,28,FALSE)*'Incremental Repayments'!$I$22)),0),0)</f>
        <v>0</v>
      </c>
      <c r="CS121" s="477">
        <f>IF('Incremental Repayments'!$R$22="Debt",IF(AND(CS$4&gt;=$D121,CS$4&lt;$D121+'Incremental Repayments'!$I$31),-PMT('Interest Rate'!$J$16,'Incremental Repayments'!$I$31,(HLOOKUP($D121,$E$4:$CZ$32,28,FALSE)*'Incremental Repayments'!$I$22)),0),0)</f>
        <v>0</v>
      </c>
      <c r="CT121" s="477">
        <f>IF('Incremental Repayments'!$R$22="Debt",IF(AND(CT$4&gt;=$D121,CT$4&lt;$D121+'Incremental Repayments'!$I$31),-PMT('Interest Rate'!$J$16,'Incremental Repayments'!$I$31,(HLOOKUP($D121,$E$4:$CZ$32,28,FALSE)*'Incremental Repayments'!$I$22)),0),0)</f>
        <v>0</v>
      </c>
      <c r="CU121" s="477">
        <f>IF('Incremental Repayments'!$R$22="Debt",IF(AND(CU$4&gt;=$D121,CU$4&lt;$D121+'Incremental Repayments'!$I$31),-PMT('Interest Rate'!$J$16,'Incremental Repayments'!$I$31,(HLOOKUP($D121,$E$4:$CZ$32,28,FALSE)*'Incremental Repayments'!$I$22)),0),0)</f>
        <v>0</v>
      </c>
      <c r="CV121" s="477">
        <f>IF('Incremental Repayments'!$R$22="Debt",IF(AND(CV$4&gt;=$D121,CV$4&lt;$D121+'Incremental Repayments'!$I$31),-PMT('Interest Rate'!$J$16,'Incremental Repayments'!$I$31,(HLOOKUP($D121,$E$4:$CZ$32,28,FALSE)*'Incremental Repayments'!$I$22)),0),0)</f>
        <v>0</v>
      </c>
      <c r="CW121" s="477">
        <f>IF('Incremental Repayments'!$R$22="Debt",IF(AND(CW$4&gt;=$D121,CW$4&lt;$D121+'Incremental Repayments'!$I$31),-PMT('Interest Rate'!$J$16,'Incremental Repayments'!$I$31,(HLOOKUP($D121,$E$4:$CZ$32,28,FALSE)*'Incremental Repayments'!$I$22)),0),0)</f>
        <v>0</v>
      </c>
      <c r="CX121" s="477">
        <f>IF('Incremental Repayments'!$R$22="Debt",IF(AND(CX$4&gt;=$D121,CX$4&lt;$D121+'Incremental Repayments'!$I$31),-PMT('Interest Rate'!$J$16,'Incremental Repayments'!$I$31,(HLOOKUP($D121,$E$4:$CZ$32,28,FALSE)*'Incremental Repayments'!$I$22)),0),0)</f>
        <v>0</v>
      </c>
      <c r="CY121" s="477">
        <f>IF('Incremental Repayments'!$R$22="Debt",IF(AND(CY$4&gt;=$D121,CY$4&lt;$D121+'Incremental Repayments'!$I$31),-PMT('Interest Rate'!$J$16,'Incremental Repayments'!$I$31,(HLOOKUP($D121,$E$4:$CZ$32,28,FALSE)*'Incremental Repayments'!$I$22)),0),0)</f>
        <v>0</v>
      </c>
      <c r="CZ121" s="477">
        <f>IF('Incremental Repayments'!$R$22="Debt",IF(AND(CZ$4&gt;=$D121,CZ$4&lt;$D121+'Incremental Repayments'!$I$31),-PMT('Interest Rate'!$J$16,'Incremental Repayments'!$I$31,(HLOOKUP($D121,$E$4:$CZ$32,28,FALSE)*'Incremental Repayments'!$I$22)),0),0)</f>
        <v>0</v>
      </c>
    </row>
    <row r="122" spans="1:104" x14ac:dyDescent="0.25">
      <c r="B122" s="480" t="str">
        <f>CONCATENATE("Series ",D122,"A Bonds (at ",'Interest Rate'!$J$16*100,"% Interest)")</f>
        <v>Series 2100A Bonds (at 4.5% Interest)</v>
      </c>
      <c r="C122" s="480"/>
      <c r="D122" s="492">
        <f t="shared" si="497"/>
        <v>2100</v>
      </c>
      <c r="E122" s="477">
        <f>IF('Incremental Repayments'!$R$22="Debt",IF(AND(E$4&gt;=$D122,E$4&lt;$D122+'Incremental Repayments'!$I$31),-PMT('Interest Rate'!$J$16,'Incremental Repayments'!$I$31,(HLOOKUP($D122,$E$4:$CZ$32,28,FALSE)*'Incremental Repayments'!$I$22)),0),0)</f>
        <v>0</v>
      </c>
      <c r="F122" s="477">
        <f>IF('Incremental Repayments'!$R$22="Debt",IF(AND(F$4&gt;=$D122,F$4&lt;$D122+'Incremental Repayments'!$I$31),-PMT('Interest Rate'!$J$16,'Incremental Repayments'!$I$31,(HLOOKUP($D122,$E$4:$CZ$32,28,FALSE)*'Incremental Repayments'!$I$22)),0),0)</f>
        <v>0</v>
      </c>
      <c r="G122" s="477">
        <f>IF('Incremental Repayments'!$R$22="Debt",IF(AND(G$4&gt;=$D122,G$4&lt;$D122+'Incremental Repayments'!$I$31),-PMT('Interest Rate'!$J$16,'Incremental Repayments'!$I$31,(HLOOKUP($D122,$E$4:$CZ$32,28,FALSE)*'Incremental Repayments'!$I$22)),0),0)</f>
        <v>0</v>
      </c>
      <c r="H122" s="477">
        <f>IF('Incremental Repayments'!$R$22="Debt",IF(AND(H$4&gt;=$D122,H$4&lt;$D122+'Incremental Repayments'!$I$31),-PMT('Interest Rate'!$J$16,'Incremental Repayments'!$I$31,(HLOOKUP($D122,$E$4:$CZ$32,28,FALSE)*'Incremental Repayments'!$I$22)),0),0)</f>
        <v>0</v>
      </c>
      <c r="I122" s="477">
        <f>IF('Incremental Repayments'!$R$22="Debt",IF(AND(I$4&gt;=$D122,I$4&lt;$D122+'Incremental Repayments'!$I$31),-PMT('Interest Rate'!$J$16,'Incremental Repayments'!$I$31,(HLOOKUP($D122,$E$4:$CZ$32,28,FALSE)*'Incremental Repayments'!$I$22)),0),0)</f>
        <v>0</v>
      </c>
      <c r="J122" s="477">
        <f>IF('Incremental Repayments'!$R$22="Debt",IF(AND(J$4&gt;=$D122,J$4&lt;$D122+'Incremental Repayments'!$I$31),-PMT('Interest Rate'!$J$16,'Incremental Repayments'!$I$31,(HLOOKUP($D122,$E$4:$CZ$32,28,FALSE)*'Incremental Repayments'!$I$22)),0),0)</f>
        <v>0</v>
      </c>
      <c r="K122" s="477">
        <f>IF('Incremental Repayments'!$R$22="Debt",IF(AND(K$4&gt;=$D122,K$4&lt;$D122+'Incremental Repayments'!$I$31),-PMT('Interest Rate'!$J$16,'Incremental Repayments'!$I$31,(HLOOKUP($D122,$E$4:$CZ$32,28,FALSE)*'Incremental Repayments'!$I$22)),0),0)</f>
        <v>0</v>
      </c>
      <c r="L122" s="477">
        <f>IF('Incremental Repayments'!$R$22="Debt",IF(AND(L$4&gt;=$D122,L$4&lt;$D122+'Incremental Repayments'!$I$31),-PMT('Interest Rate'!$J$16,'Incremental Repayments'!$I$31,(HLOOKUP($D122,$E$4:$CZ$32,28,FALSE)*'Incremental Repayments'!$I$22)),0),0)</f>
        <v>0</v>
      </c>
      <c r="M122" s="477">
        <f>IF('Incremental Repayments'!$R$22="Debt",IF(AND(M$4&gt;=$D122,M$4&lt;$D122+'Incremental Repayments'!$I$31),-PMT('Interest Rate'!$J$16,'Incremental Repayments'!$I$31,(HLOOKUP($D122,$E$4:$CZ$32,28,FALSE)*'Incremental Repayments'!$I$22)),0),0)</f>
        <v>0</v>
      </c>
      <c r="N122" s="477">
        <f>IF('Incremental Repayments'!$R$22="Debt",IF(AND(N$4&gt;=$D122,N$4&lt;$D122+'Incremental Repayments'!$I$31),-PMT('Interest Rate'!$J$16,'Incremental Repayments'!$I$31,(HLOOKUP($D122,$E$4:$CZ$32,28,FALSE)*'Incremental Repayments'!$I$22)),0),0)</f>
        <v>0</v>
      </c>
      <c r="O122" s="477">
        <f>IF('Incremental Repayments'!$R$22="Debt",IF(AND(O$4&gt;=$D122,O$4&lt;$D122+'Incremental Repayments'!$I$31),-PMT('Interest Rate'!$J$16,'Incremental Repayments'!$I$31,(HLOOKUP($D122,$E$4:$CZ$32,28,FALSE)*'Incremental Repayments'!$I$22)),0),0)</f>
        <v>0</v>
      </c>
      <c r="P122" s="477">
        <f>IF('Incremental Repayments'!$R$22="Debt",IF(AND(P$4&gt;=$D122,P$4&lt;$D122+'Incremental Repayments'!$I$31),-PMT('Interest Rate'!$J$16,'Incremental Repayments'!$I$31,(HLOOKUP($D122,$E$4:$CZ$32,28,FALSE)*'Incremental Repayments'!$I$22)),0),0)</f>
        <v>0</v>
      </c>
      <c r="Q122" s="477">
        <f>IF('Incremental Repayments'!$R$22="Debt",IF(AND(Q$4&gt;=$D122,Q$4&lt;$D122+'Incremental Repayments'!$I$31),-PMT('Interest Rate'!$J$16,'Incremental Repayments'!$I$31,(HLOOKUP($D122,$E$4:$CZ$32,28,FALSE)*'Incremental Repayments'!$I$22)),0),0)</f>
        <v>0</v>
      </c>
      <c r="R122" s="477">
        <f>IF('Incremental Repayments'!$R$22="Debt",IF(AND(R$4&gt;=$D122,R$4&lt;$D122+'Incremental Repayments'!$I$31),-PMT('Interest Rate'!$J$16,'Incremental Repayments'!$I$31,(HLOOKUP($D122,$E$4:$CZ$32,28,FALSE)*'Incremental Repayments'!$I$22)),0),0)</f>
        <v>0</v>
      </c>
      <c r="S122" s="477">
        <f>IF('Incremental Repayments'!$R$22="Debt",IF(AND(S$4&gt;=$D122,S$4&lt;$D122+'Incremental Repayments'!$I$31),-PMT('Interest Rate'!$J$16,'Incremental Repayments'!$I$31,(HLOOKUP($D122,$E$4:$CZ$32,28,FALSE)*'Incremental Repayments'!$I$22)),0),0)</f>
        <v>0</v>
      </c>
      <c r="T122" s="477">
        <f>IF('Incremental Repayments'!$R$22="Debt",IF(AND(T$4&gt;=$D122,T$4&lt;$D122+'Incremental Repayments'!$I$31),-PMT('Interest Rate'!$J$16,'Incremental Repayments'!$I$31,(HLOOKUP($D122,$E$4:$CZ$32,28,FALSE)*'Incremental Repayments'!$I$22)),0),0)</f>
        <v>0</v>
      </c>
      <c r="U122" s="477">
        <f>IF('Incremental Repayments'!$R$22="Debt",IF(AND(U$4&gt;=$D122,U$4&lt;$D122+'Incremental Repayments'!$I$31),-PMT('Interest Rate'!$J$16,'Incremental Repayments'!$I$31,(HLOOKUP($D122,$E$4:$CZ$32,28,FALSE)*'Incremental Repayments'!$I$22)),0),0)</f>
        <v>0</v>
      </c>
      <c r="V122" s="477">
        <f>IF('Incremental Repayments'!$R$22="Debt",IF(AND(V$4&gt;=$D122,V$4&lt;$D122+'Incremental Repayments'!$I$31),-PMT('Interest Rate'!$J$16,'Incremental Repayments'!$I$31,(HLOOKUP($D122,$E$4:$CZ$32,28,FALSE)*'Incremental Repayments'!$I$22)),0),0)</f>
        <v>0</v>
      </c>
      <c r="W122" s="477">
        <f>IF('Incremental Repayments'!$R$22="Debt",IF(AND(W$4&gt;=$D122,W$4&lt;$D122+'Incremental Repayments'!$I$31),-PMT('Interest Rate'!$J$16,'Incremental Repayments'!$I$31,(HLOOKUP($D122,$E$4:$CZ$32,28,FALSE)*'Incremental Repayments'!$I$22)),0),0)</f>
        <v>0</v>
      </c>
      <c r="X122" s="477">
        <f>IF('Incremental Repayments'!$R$22="Debt",IF(AND(X$4&gt;=$D122,X$4&lt;$D122+'Incremental Repayments'!$I$31),-PMT('Interest Rate'!$J$16,'Incremental Repayments'!$I$31,(HLOOKUP($D122,$E$4:$CZ$32,28,FALSE)*'Incremental Repayments'!$I$22)),0),0)</f>
        <v>0</v>
      </c>
      <c r="Y122" s="477">
        <f>IF('Incremental Repayments'!$R$22="Debt",IF(AND(Y$4&gt;=$D122,Y$4&lt;$D122+'Incremental Repayments'!$I$31),-PMT('Interest Rate'!$J$16,'Incremental Repayments'!$I$31,(HLOOKUP($D122,$E$4:$CZ$32,28,FALSE)*'Incremental Repayments'!$I$22)),0),0)</f>
        <v>0</v>
      </c>
      <c r="Z122" s="477">
        <f>IF('Incremental Repayments'!$R$22="Debt",IF(AND(Z$4&gt;=$D122,Z$4&lt;$D122+'Incremental Repayments'!$I$31),-PMT('Interest Rate'!$J$16,'Incremental Repayments'!$I$31,(HLOOKUP($D122,$E$4:$CZ$32,28,FALSE)*'Incremental Repayments'!$I$22)),0),0)</f>
        <v>0</v>
      </c>
      <c r="AA122" s="477">
        <f>IF('Incremental Repayments'!$R$22="Debt",IF(AND(AA$4&gt;=$D122,AA$4&lt;$D122+'Incremental Repayments'!$I$31),-PMT('Interest Rate'!$J$16,'Incremental Repayments'!$I$31,(HLOOKUP($D122,$E$4:$CZ$32,28,FALSE)*'Incremental Repayments'!$I$22)),0),0)</f>
        <v>0</v>
      </c>
      <c r="AB122" s="477">
        <f>IF('Incremental Repayments'!$R$22="Debt",IF(AND(AB$4&gt;=$D122,AB$4&lt;$D122+'Incremental Repayments'!$I$31),-PMT('Interest Rate'!$J$16,'Incremental Repayments'!$I$31,(HLOOKUP($D122,$E$4:$CZ$32,28,FALSE)*'Incremental Repayments'!$I$22)),0),0)</f>
        <v>0</v>
      </c>
      <c r="AC122" s="477">
        <f>IF('Incremental Repayments'!$R$22="Debt",IF(AND(AC$4&gt;=$D122,AC$4&lt;$D122+'Incremental Repayments'!$I$31),-PMT('Interest Rate'!$J$16,'Incremental Repayments'!$I$31,(HLOOKUP($D122,$E$4:$CZ$32,28,FALSE)*'Incremental Repayments'!$I$22)),0),0)</f>
        <v>0</v>
      </c>
      <c r="AD122" s="477">
        <f>IF('Incremental Repayments'!$R$22="Debt",IF(AND(AD$4&gt;=$D122,AD$4&lt;$D122+'Incremental Repayments'!$I$31),-PMT('Interest Rate'!$J$16,'Incremental Repayments'!$I$31,(HLOOKUP($D122,$E$4:$CZ$32,28,FALSE)*'Incremental Repayments'!$I$22)),0),0)</f>
        <v>0</v>
      </c>
      <c r="AE122" s="477">
        <f>IF('Incremental Repayments'!$R$22="Debt",IF(AND(AE$4&gt;=$D122,AE$4&lt;$D122+'Incremental Repayments'!$I$31),-PMT('Interest Rate'!$J$16,'Incremental Repayments'!$I$31,(HLOOKUP($D122,$E$4:$CZ$32,28,FALSE)*'Incremental Repayments'!$I$22)),0),0)</f>
        <v>0</v>
      </c>
      <c r="AF122" s="477">
        <f>IF('Incremental Repayments'!$R$22="Debt",IF(AND(AF$4&gt;=$D122,AF$4&lt;$D122+'Incremental Repayments'!$I$31),-PMT('Interest Rate'!$J$16,'Incremental Repayments'!$I$31,(HLOOKUP($D122,$E$4:$CZ$32,28,FALSE)*'Incremental Repayments'!$I$22)),0),0)</f>
        <v>0</v>
      </c>
      <c r="AG122" s="477">
        <f>IF('Incremental Repayments'!$R$22="Debt",IF(AND(AG$4&gt;=$D122,AG$4&lt;$D122+'Incremental Repayments'!$I$31),-PMT('Interest Rate'!$J$16,'Incremental Repayments'!$I$31,(HLOOKUP($D122,$E$4:$CZ$32,28,FALSE)*'Incremental Repayments'!$I$22)),0),0)</f>
        <v>0</v>
      </c>
      <c r="AH122" s="477">
        <f>IF('Incremental Repayments'!$R$22="Debt",IF(AND(AH$4&gt;=$D122,AH$4&lt;$D122+'Incremental Repayments'!$I$31),-PMT('Interest Rate'!$J$16,'Incremental Repayments'!$I$31,(HLOOKUP($D122,$E$4:$CZ$32,28,FALSE)*'Incremental Repayments'!$I$22)),0),0)</f>
        <v>0</v>
      </c>
      <c r="AI122" s="477">
        <f>IF('Incremental Repayments'!$R$22="Debt",IF(AND(AI$4&gt;=$D122,AI$4&lt;$D122+'Incremental Repayments'!$I$31),-PMT('Interest Rate'!$J$16,'Incremental Repayments'!$I$31,(HLOOKUP($D122,$E$4:$CZ$32,28,FALSE)*'Incremental Repayments'!$I$22)),0),0)</f>
        <v>0</v>
      </c>
      <c r="AJ122" s="477">
        <f>IF('Incremental Repayments'!$R$22="Debt",IF(AND(AJ$4&gt;=$D122,AJ$4&lt;$D122+'Incremental Repayments'!$I$31),-PMT('Interest Rate'!$J$16,'Incremental Repayments'!$I$31,(HLOOKUP($D122,$E$4:$CZ$32,28,FALSE)*'Incremental Repayments'!$I$22)),0),0)</f>
        <v>0</v>
      </c>
      <c r="AK122" s="477">
        <f>IF('Incremental Repayments'!$R$22="Debt",IF(AND(AK$4&gt;=$D122,AK$4&lt;$D122+'Incremental Repayments'!$I$31),-PMT('Interest Rate'!$J$16,'Incremental Repayments'!$I$31,(HLOOKUP($D122,$E$4:$CZ$32,28,FALSE)*'Incremental Repayments'!$I$22)),0),0)</f>
        <v>0</v>
      </c>
      <c r="AL122" s="477">
        <f>IF('Incremental Repayments'!$R$22="Debt",IF(AND(AL$4&gt;=$D122,AL$4&lt;$D122+'Incremental Repayments'!$I$31),-PMT('Interest Rate'!$J$16,'Incremental Repayments'!$I$31,(HLOOKUP($D122,$E$4:$CZ$32,28,FALSE)*'Incremental Repayments'!$I$22)),0),0)</f>
        <v>0</v>
      </c>
      <c r="AM122" s="477">
        <f>IF('Incremental Repayments'!$R$22="Debt",IF(AND(AM$4&gt;=$D122,AM$4&lt;$D122+'Incremental Repayments'!$I$31),-PMT('Interest Rate'!$J$16,'Incremental Repayments'!$I$31,(HLOOKUP($D122,$E$4:$CZ$32,28,FALSE)*'Incremental Repayments'!$I$22)),0),0)</f>
        <v>0</v>
      </c>
      <c r="AN122" s="477">
        <f>IF('Incremental Repayments'!$R$22="Debt",IF(AND(AN$4&gt;=$D122,AN$4&lt;$D122+'Incremental Repayments'!$I$31),-PMT('Interest Rate'!$J$16,'Incremental Repayments'!$I$31,(HLOOKUP($D122,$E$4:$CZ$32,28,FALSE)*'Incremental Repayments'!$I$22)),0),0)</f>
        <v>0</v>
      </c>
      <c r="AO122" s="477">
        <f>IF('Incremental Repayments'!$R$22="Debt",IF(AND(AO$4&gt;=$D122,AO$4&lt;$D122+'Incremental Repayments'!$I$31),-PMT('Interest Rate'!$J$16,'Incremental Repayments'!$I$31,(HLOOKUP($D122,$E$4:$CZ$32,28,FALSE)*'Incremental Repayments'!$I$22)),0),0)</f>
        <v>0</v>
      </c>
      <c r="AP122" s="477">
        <f>IF('Incremental Repayments'!$R$22="Debt",IF(AND(AP$4&gt;=$D122,AP$4&lt;$D122+'Incremental Repayments'!$I$31),-PMT('Interest Rate'!$J$16,'Incremental Repayments'!$I$31,(HLOOKUP($D122,$E$4:$CZ$32,28,FALSE)*'Incremental Repayments'!$I$22)),0),0)</f>
        <v>0</v>
      </c>
      <c r="AQ122" s="477">
        <f>IF('Incremental Repayments'!$R$22="Debt",IF(AND(AQ$4&gt;=$D122,AQ$4&lt;$D122+'Incremental Repayments'!$I$31),-PMT('Interest Rate'!$J$16,'Incremental Repayments'!$I$31,(HLOOKUP($D122,$E$4:$CZ$32,28,FALSE)*'Incremental Repayments'!$I$22)),0),0)</f>
        <v>0</v>
      </c>
      <c r="AR122" s="477">
        <f>IF('Incremental Repayments'!$R$22="Debt",IF(AND(AR$4&gt;=$D122,AR$4&lt;$D122+'Incremental Repayments'!$I$31),-PMT('Interest Rate'!$J$16,'Incremental Repayments'!$I$31,(HLOOKUP($D122,$E$4:$CZ$32,28,FALSE)*'Incremental Repayments'!$I$22)),0),0)</f>
        <v>0</v>
      </c>
      <c r="AS122" s="477">
        <f>IF('Incremental Repayments'!$R$22="Debt",IF(AND(AS$4&gt;=$D122,AS$4&lt;$D122+'Incremental Repayments'!$I$31),-PMT('Interest Rate'!$J$16,'Incremental Repayments'!$I$31,(HLOOKUP($D122,$E$4:$CZ$32,28,FALSE)*'Incremental Repayments'!$I$22)),0),0)</f>
        <v>0</v>
      </c>
      <c r="AT122" s="477">
        <f>IF('Incremental Repayments'!$R$22="Debt",IF(AND(AT$4&gt;=$D122,AT$4&lt;$D122+'Incremental Repayments'!$I$31),-PMT('Interest Rate'!$J$16,'Incremental Repayments'!$I$31,(HLOOKUP($D122,$E$4:$CZ$32,28,FALSE)*'Incremental Repayments'!$I$22)),0),0)</f>
        <v>0</v>
      </c>
      <c r="AU122" s="477">
        <f>IF('Incremental Repayments'!$R$22="Debt",IF(AND(AU$4&gt;=$D122,AU$4&lt;$D122+'Incremental Repayments'!$I$31),-PMT('Interest Rate'!$J$16,'Incremental Repayments'!$I$31,(HLOOKUP($D122,$E$4:$CZ$32,28,FALSE)*'Incremental Repayments'!$I$22)),0),0)</f>
        <v>0</v>
      </c>
      <c r="AV122" s="477">
        <f>IF('Incremental Repayments'!$R$22="Debt",IF(AND(AV$4&gt;=$D122,AV$4&lt;$D122+'Incremental Repayments'!$I$31),-PMT('Interest Rate'!$J$16,'Incremental Repayments'!$I$31,(HLOOKUP($D122,$E$4:$CZ$32,28,FALSE)*'Incremental Repayments'!$I$22)),0),0)</f>
        <v>0</v>
      </c>
      <c r="AW122" s="477">
        <f>IF('Incremental Repayments'!$R$22="Debt",IF(AND(AW$4&gt;=$D122,AW$4&lt;$D122+'Incremental Repayments'!$I$31),-PMT('Interest Rate'!$J$16,'Incremental Repayments'!$I$31,(HLOOKUP($D122,$E$4:$CZ$32,28,FALSE)*'Incremental Repayments'!$I$22)),0),0)</f>
        <v>0</v>
      </c>
      <c r="AX122" s="477">
        <f>IF('Incremental Repayments'!$R$22="Debt",IF(AND(AX$4&gt;=$D122,AX$4&lt;$D122+'Incremental Repayments'!$I$31),-PMT('Interest Rate'!$J$16,'Incremental Repayments'!$I$31,(HLOOKUP($D122,$E$4:$CZ$32,28,FALSE)*'Incremental Repayments'!$I$22)),0),0)</f>
        <v>0</v>
      </c>
      <c r="AY122" s="477">
        <f>IF('Incremental Repayments'!$R$22="Debt",IF(AND(AY$4&gt;=$D122,AY$4&lt;$D122+'Incremental Repayments'!$I$31),-PMT('Interest Rate'!$J$16,'Incremental Repayments'!$I$31,(HLOOKUP($D122,$E$4:$CZ$32,28,FALSE)*'Incremental Repayments'!$I$22)),0),0)</f>
        <v>0</v>
      </c>
      <c r="AZ122" s="477">
        <f>IF('Incremental Repayments'!$R$22="Debt",IF(AND(AZ$4&gt;=$D122,AZ$4&lt;$D122+'Incremental Repayments'!$I$31),-PMT('Interest Rate'!$J$16,'Incremental Repayments'!$I$31,(HLOOKUP($D122,$E$4:$CZ$32,28,FALSE)*'Incremental Repayments'!$I$22)),0),0)</f>
        <v>0</v>
      </c>
      <c r="BA122" s="477">
        <f>IF('Incremental Repayments'!$R$22="Debt",IF(AND(BA$4&gt;=$D122,BA$4&lt;$D122+'Incremental Repayments'!$I$31),-PMT('Interest Rate'!$J$16,'Incremental Repayments'!$I$31,(HLOOKUP($D122,$E$4:$CZ$32,28,FALSE)*'Incremental Repayments'!$I$22)),0),0)</f>
        <v>0</v>
      </c>
      <c r="BB122" s="477">
        <f>IF('Incremental Repayments'!$R$22="Debt",IF(AND(BB$4&gt;=$D122,BB$4&lt;$D122+'Incremental Repayments'!$I$31),-PMT('Interest Rate'!$J$16,'Incremental Repayments'!$I$31,(HLOOKUP($D122,$E$4:$CZ$32,28,FALSE)*'Incremental Repayments'!$I$22)),0),0)</f>
        <v>0</v>
      </c>
      <c r="BC122" s="477">
        <f>IF('Incremental Repayments'!$R$22="Debt",IF(AND(BC$4&gt;=$D122,BC$4&lt;$D122+'Incremental Repayments'!$I$31),-PMT('Interest Rate'!$J$16,'Incremental Repayments'!$I$31,(HLOOKUP($D122,$E$4:$CZ$32,28,FALSE)*'Incremental Repayments'!$I$22)),0),0)</f>
        <v>0</v>
      </c>
      <c r="BD122" s="477">
        <f>IF('Incremental Repayments'!$R$22="Debt",IF(AND(BD$4&gt;=$D122,BD$4&lt;$D122+'Incremental Repayments'!$I$31),-PMT('Interest Rate'!$J$16,'Incremental Repayments'!$I$31,(HLOOKUP($D122,$E$4:$CZ$32,28,FALSE)*'Incremental Repayments'!$I$22)),0),0)</f>
        <v>0</v>
      </c>
      <c r="BE122" s="477">
        <f>IF('Incremental Repayments'!$R$22="Debt",IF(AND(BE$4&gt;=$D122,BE$4&lt;$D122+'Incremental Repayments'!$I$31),-PMT('Interest Rate'!$J$16,'Incremental Repayments'!$I$31,(HLOOKUP($D122,$E$4:$CZ$32,28,FALSE)*'Incremental Repayments'!$I$22)),0),0)</f>
        <v>0</v>
      </c>
      <c r="BF122" s="477">
        <f>IF('Incremental Repayments'!$R$22="Debt",IF(AND(BF$4&gt;=$D122,BF$4&lt;$D122+'Incremental Repayments'!$I$31),-PMT('Interest Rate'!$J$16,'Incremental Repayments'!$I$31,(HLOOKUP($D122,$E$4:$CZ$32,28,FALSE)*'Incremental Repayments'!$I$22)),0),0)</f>
        <v>0</v>
      </c>
      <c r="BG122" s="477">
        <f>IF('Incremental Repayments'!$R$22="Debt",IF(AND(BG$4&gt;=$D122,BG$4&lt;$D122+'Incremental Repayments'!$I$31),-PMT('Interest Rate'!$J$16,'Incremental Repayments'!$I$31,(HLOOKUP($D122,$E$4:$CZ$32,28,FALSE)*'Incremental Repayments'!$I$22)),0),0)</f>
        <v>0</v>
      </c>
      <c r="BH122" s="477">
        <f>IF('Incremental Repayments'!$R$22="Debt",IF(AND(BH$4&gt;=$D122,BH$4&lt;$D122+'Incremental Repayments'!$I$31),-PMT('Interest Rate'!$J$16,'Incremental Repayments'!$I$31,(HLOOKUP($D122,$E$4:$CZ$32,28,FALSE)*'Incremental Repayments'!$I$22)),0),0)</f>
        <v>0</v>
      </c>
      <c r="BI122" s="477">
        <f>IF('Incremental Repayments'!$R$22="Debt",IF(AND(BI$4&gt;=$D122,BI$4&lt;$D122+'Incremental Repayments'!$I$31),-PMT('Interest Rate'!$J$16,'Incremental Repayments'!$I$31,(HLOOKUP($D122,$E$4:$CZ$32,28,FALSE)*'Incremental Repayments'!$I$22)),0),0)</f>
        <v>0</v>
      </c>
      <c r="BJ122" s="477">
        <f>IF('Incremental Repayments'!$R$22="Debt",IF(AND(BJ$4&gt;=$D122,BJ$4&lt;$D122+'Incremental Repayments'!$I$31),-PMT('Interest Rate'!$J$16,'Incremental Repayments'!$I$31,(HLOOKUP($D122,$E$4:$CZ$32,28,FALSE)*'Incremental Repayments'!$I$22)),0),0)</f>
        <v>0</v>
      </c>
      <c r="BK122" s="477">
        <f>IF('Incremental Repayments'!$R$22="Debt",IF(AND(BK$4&gt;=$D122,BK$4&lt;$D122+'Incremental Repayments'!$I$31),-PMT('Interest Rate'!$J$16,'Incremental Repayments'!$I$31,(HLOOKUP($D122,$E$4:$CZ$32,28,FALSE)*'Incremental Repayments'!$I$22)),0),0)</f>
        <v>0</v>
      </c>
      <c r="BL122" s="477">
        <f>IF('Incremental Repayments'!$R$22="Debt",IF(AND(BL$4&gt;=$D122,BL$4&lt;$D122+'Incremental Repayments'!$I$31),-PMT('Interest Rate'!$J$16,'Incremental Repayments'!$I$31,(HLOOKUP($D122,$E$4:$CZ$32,28,FALSE)*'Incremental Repayments'!$I$22)),0),0)</f>
        <v>0</v>
      </c>
      <c r="BM122" s="477">
        <f>IF('Incremental Repayments'!$R$22="Debt",IF(AND(BM$4&gt;=$D122,BM$4&lt;$D122+'Incremental Repayments'!$I$31),-PMT('Interest Rate'!$J$16,'Incremental Repayments'!$I$31,(HLOOKUP($D122,$E$4:$CZ$32,28,FALSE)*'Incremental Repayments'!$I$22)),0),0)</f>
        <v>0</v>
      </c>
      <c r="BN122" s="477">
        <f>IF('Incremental Repayments'!$R$22="Debt",IF(AND(BN$4&gt;=$D122,BN$4&lt;$D122+'Incremental Repayments'!$I$31),-PMT('Interest Rate'!$J$16,'Incremental Repayments'!$I$31,(HLOOKUP($D122,$E$4:$CZ$32,28,FALSE)*'Incremental Repayments'!$I$22)),0),0)</f>
        <v>0</v>
      </c>
      <c r="BO122" s="477">
        <f>IF('Incremental Repayments'!$R$22="Debt",IF(AND(BO$4&gt;=$D122,BO$4&lt;$D122+'Incremental Repayments'!$I$31),-PMT('Interest Rate'!$J$16,'Incremental Repayments'!$I$31,(HLOOKUP($D122,$E$4:$CZ$32,28,FALSE)*'Incremental Repayments'!$I$22)),0),0)</f>
        <v>0</v>
      </c>
      <c r="BP122" s="477">
        <f>IF('Incremental Repayments'!$R$22="Debt",IF(AND(BP$4&gt;=$D122,BP$4&lt;$D122+'Incremental Repayments'!$I$31),-PMT('Interest Rate'!$J$16,'Incremental Repayments'!$I$31,(HLOOKUP($D122,$E$4:$CZ$32,28,FALSE)*'Incremental Repayments'!$I$22)),0),0)</f>
        <v>0</v>
      </c>
      <c r="BQ122" s="477">
        <f>IF('Incremental Repayments'!$R$22="Debt",IF(AND(BQ$4&gt;=$D122,BQ$4&lt;$D122+'Incremental Repayments'!$I$31),-PMT('Interest Rate'!$J$16,'Incremental Repayments'!$I$31,(HLOOKUP($D122,$E$4:$CZ$32,28,FALSE)*'Incremental Repayments'!$I$22)),0),0)</f>
        <v>0</v>
      </c>
      <c r="BR122" s="477">
        <f>IF('Incremental Repayments'!$R$22="Debt",IF(AND(BR$4&gt;=$D122,BR$4&lt;$D122+'Incremental Repayments'!$I$31),-PMT('Interest Rate'!$J$16,'Incremental Repayments'!$I$31,(HLOOKUP($D122,$E$4:$CZ$32,28,FALSE)*'Incremental Repayments'!$I$22)),0),0)</f>
        <v>0</v>
      </c>
      <c r="BS122" s="477">
        <f>IF('Incremental Repayments'!$R$22="Debt",IF(AND(BS$4&gt;=$D122,BS$4&lt;$D122+'Incremental Repayments'!$I$31),-PMT('Interest Rate'!$J$16,'Incremental Repayments'!$I$31,(HLOOKUP($D122,$E$4:$CZ$32,28,FALSE)*'Incremental Repayments'!$I$22)),0),0)</f>
        <v>0</v>
      </c>
      <c r="BT122" s="477">
        <f>IF('Incremental Repayments'!$R$22="Debt",IF(AND(BT$4&gt;=$D122,BT$4&lt;$D122+'Incremental Repayments'!$I$31),-PMT('Interest Rate'!$J$16,'Incremental Repayments'!$I$31,(HLOOKUP($D122,$E$4:$CZ$32,28,FALSE)*'Incremental Repayments'!$I$22)),0),0)</f>
        <v>0</v>
      </c>
      <c r="BU122" s="477">
        <f>IF('Incremental Repayments'!$R$22="Debt",IF(AND(BU$4&gt;=$D122,BU$4&lt;$D122+'Incremental Repayments'!$I$31),-PMT('Interest Rate'!$J$16,'Incremental Repayments'!$I$31,(HLOOKUP($D122,$E$4:$CZ$32,28,FALSE)*'Incremental Repayments'!$I$22)),0),0)</f>
        <v>0</v>
      </c>
      <c r="BV122" s="477">
        <f>IF('Incremental Repayments'!$R$22="Debt",IF(AND(BV$4&gt;=$D122,BV$4&lt;$D122+'Incremental Repayments'!$I$31),-PMT('Interest Rate'!$J$16,'Incremental Repayments'!$I$31,(HLOOKUP($D122,$E$4:$CZ$32,28,FALSE)*'Incremental Repayments'!$I$22)),0),0)</f>
        <v>0</v>
      </c>
      <c r="BW122" s="477">
        <f>IF('Incremental Repayments'!$R$22="Debt",IF(AND(BW$4&gt;=$D122,BW$4&lt;$D122+'Incremental Repayments'!$I$31),-PMT('Interest Rate'!$J$16,'Incremental Repayments'!$I$31,(HLOOKUP($D122,$E$4:$CZ$32,28,FALSE)*'Incremental Repayments'!$I$22)),0),0)</f>
        <v>0</v>
      </c>
      <c r="BX122" s="477">
        <f>IF('Incremental Repayments'!$R$22="Debt",IF(AND(BX$4&gt;=$D122,BX$4&lt;$D122+'Incremental Repayments'!$I$31),-PMT('Interest Rate'!$J$16,'Incremental Repayments'!$I$31,(HLOOKUP($D122,$E$4:$CZ$32,28,FALSE)*'Incremental Repayments'!$I$22)),0),0)</f>
        <v>0</v>
      </c>
      <c r="BY122" s="477">
        <f>IF('Incremental Repayments'!$R$22="Debt",IF(AND(BY$4&gt;=$D122,BY$4&lt;$D122+'Incremental Repayments'!$I$31),-PMT('Interest Rate'!$J$16,'Incremental Repayments'!$I$31,(HLOOKUP($D122,$E$4:$CZ$32,28,FALSE)*'Incremental Repayments'!$I$22)),0),0)</f>
        <v>0</v>
      </c>
      <c r="BZ122" s="477">
        <f>IF('Incremental Repayments'!$R$22="Debt",IF(AND(BZ$4&gt;=$D122,BZ$4&lt;$D122+'Incremental Repayments'!$I$31),-PMT('Interest Rate'!$J$16,'Incremental Repayments'!$I$31,(HLOOKUP($D122,$E$4:$CZ$32,28,FALSE)*'Incremental Repayments'!$I$22)),0),0)</f>
        <v>0</v>
      </c>
      <c r="CA122" s="477">
        <f>IF('Incremental Repayments'!$R$22="Debt",IF(AND(CA$4&gt;=$D122,CA$4&lt;$D122+'Incremental Repayments'!$I$31),-PMT('Interest Rate'!$J$16,'Incremental Repayments'!$I$31,(HLOOKUP($D122,$E$4:$CZ$32,28,FALSE)*'Incremental Repayments'!$I$22)),0),0)</f>
        <v>0</v>
      </c>
      <c r="CB122" s="477">
        <f>IF('Incremental Repayments'!$R$22="Debt",IF(AND(CB$4&gt;=$D122,CB$4&lt;$D122+'Incremental Repayments'!$I$31),-PMT('Interest Rate'!$J$16,'Incremental Repayments'!$I$31,(HLOOKUP($D122,$E$4:$CZ$32,28,FALSE)*'Incremental Repayments'!$I$22)),0),0)</f>
        <v>0</v>
      </c>
      <c r="CC122" s="477">
        <f>IF('Incremental Repayments'!$R$22="Debt",IF(AND(CC$4&gt;=$D122,CC$4&lt;$D122+'Incremental Repayments'!$I$31),-PMT('Interest Rate'!$J$16,'Incremental Repayments'!$I$31,(HLOOKUP($D122,$E$4:$CZ$32,28,FALSE)*'Incremental Repayments'!$I$22)),0),0)</f>
        <v>0</v>
      </c>
      <c r="CD122" s="477">
        <f>IF('Incremental Repayments'!$R$22="Debt",IF(AND(CD$4&gt;=$D122,CD$4&lt;$D122+'Incremental Repayments'!$I$31),-PMT('Interest Rate'!$J$16,'Incremental Repayments'!$I$31,(HLOOKUP($D122,$E$4:$CZ$32,28,FALSE)*'Incremental Repayments'!$I$22)),0),0)</f>
        <v>0</v>
      </c>
      <c r="CE122" s="477">
        <f>IF('Incremental Repayments'!$R$22="Debt",IF(AND(CE$4&gt;=$D122,CE$4&lt;$D122+'Incremental Repayments'!$I$31),-PMT('Interest Rate'!$J$16,'Incremental Repayments'!$I$31,(HLOOKUP($D122,$E$4:$CZ$32,28,FALSE)*'Incremental Repayments'!$I$22)),0),0)</f>
        <v>0</v>
      </c>
      <c r="CF122" s="477">
        <f>IF('Incremental Repayments'!$R$22="Debt",IF(AND(CF$4&gt;=$D122,CF$4&lt;$D122+'Incremental Repayments'!$I$31),-PMT('Interest Rate'!$J$16,'Incremental Repayments'!$I$31,(HLOOKUP($D122,$E$4:$CZ$32,28,FALSE)*'Incremental Repayments'!$I$22)),0),0)</f>
        <v>0</v>
      </c>
      <c r="CG122" s="477">
        <f>IF('Incremental Repayments'!$R$22="Debt",IF(AND(CG$4&gt;=$D122,CG$4&lt;$D122+'Incremental Repayments'!$I$31),-PMT('Interest Rate'!$J$16,'Incremental Repayments'!$I$31,(HLOOKUP($D122,$E$4:$CZ$32,28,FALSE)*'Incremental Repayments'!$I$22)),0),0)</f>
        <v>0</v>
      </c>
      <c r="CH122" s="477">
        <f>IF('Incremental Repayments'!$R$22="Debt",IF(AND(CH$4&gt;=$D122,CH$4&lt;$D122+'Incremental Repayments'!$I$31),-PMT('Interest Rate'!$J$16,'Incremental Repayments'!$I$31,(HLOOKUP($D122,$E$4:$CZ$32,28,FALSE)*'Incremental Repayments'!$I$22)),0),0)</f>
        <v>0</v>
      </c>
      <c r="CI122" s="477">
        <f>IF('Incremental Repayments'!$R$22="Debt",IF(AND(CI$4&gt;=$D122,CI$4&lt;$D122+'Incremental Repayments'!$I$31),-PMT('Interest Rate'!$J$16,'Incremental Repayments'!$I$31,(HLOOKUP($D122,$E$4:$CZ$32,28,FALSE)*'Incremental Repayments'!$I$22)),0),0)</f>
        <v>0</v>
      </c>
      <c r="CJ122" s="477">
        <f>IF('Incremental Repayments'!$R$22="Debt",IF(AND(CJ$4&gt;=$D122,CJ$4&lt;$D122+'Incremental Repayments'!$I$31),-PMT('Interest Rate'!$J$16,'Incremental Repayments'!$I$31,(HLOOKUP($D122,$E$4:$CZ$32,28,FALSE)*'Incremental Repayments'!$I$22)),0),0)</f>
        <v>0</v>
      </c>
      <c r="CK122" s="477">
        <f>IF('Incremental Repayments'!$R$22="Debt",IF(AND(CK$4&gt;=$D122,CK$4&lt;$D122+'Incremental Repayments'!$I$31),-PMT('Interest Rate'!$J$16,'Incremental Repayments'!$I$31,(HLOOKUP($D122,$E$4:$CZ$32,28,FALSE)*'Incremental Repayments'!$I$22)),0),0)</f>
        <v>0</v>
      </c>
      <c r="CL122" s="477">
        <f>IF('Incremental Repayments'!$R$22="Debt",IF(AND(CL$4&gt;=$D122,CL$4&lt;$D122+'Incremental Repayments'!$I$31),-PMT('Interest Rate'!$J$16,'Incremental Repayments'!$I$31,(HLOOKUP($D122,$E$4:$CZ$32,28,FALSE)*'Incremental Repayments'!$I$22)),0),0)</f>
        <v>0</v>
      </c>
      <c r="CM122" s="477">
        <f>IF('Incremental Repayments'!$R$22="Debt",IF(AND(CM$4&gt;=$D122,CM$4&lt;$D122+'Incremental Repayments'!$I$31),-PMT('Interest Rate'!$J$16,'Incremental Repayments'!$I$31,(HLOOKUP($D122,$E$4:$CZ$32,28,FALSE)*'Incremental Repayments'!$I$22)),0),0)</f>
        <v>0</v>
      </c>
      <c r="CN122" s="477">
        <f>IF('Incremental Repayments'!$R$22="Debt",IF(AND(CN$4&gt;=$D122,CN$4&lt;$D122+'Incremental Repayments'!$I$31),-PMT('Interest Rate'!$J$16,'Incremental Repayments'!$I$31,(HLOOKUP($D122,$E$4:$CZ$32,28,FALSE)*'Incremental Repayments'!$I$22)),0),0)</f>
        <v>0</v>
      </c>
      <c r="CO122" s="477">
        <f>IF('Incremental Repayments'!$R$22="Debt",IF(AND(CO$4&gt;=$D122,CO$4&lt;$D122+'Incremental Repayments'!$I$31),-PMT('Interest Rate'!$J$16,'Incremental Repayments'!$I$31,(HLOOKUP($D122,$E$4:$CZ$32,28,FALSE)*'Incremental Repayments'!$I$22)),0),0)</f>
        <v>0</v>
      </c>
      <c r="CP122" s="477">
        <f>IF('Incremental Repayments'!$R$22="Debt",IF(AND(CP$4&gt;=$D122,CP$4&lt;$D122+'Incremental Repayments'!$I$31),-PMT('Interest Rate'!$J$16,'Incremental Repayments'!$I$31,(HLOOKUP($D122,$E$4:$CZ$32,28,FALSE)*'Incremental Repayments'!$I$22)),0),0)</f>
        <v>0</v>
      </c>
      <c r="CQ122" s="477">
        <f>IF('Incremental Repayments'!$R$22="Debt",IF(AND(CQ$4&gt;=$D122,CQ$4&lt;$D122+'Incremental Repayments'!$I$31),-PMT('Interest Rate'!$J$16,'Incremental Repayments'!$I$31,(HLOOKUP($D122,$E$4:$CZ$32,28,FALSE)*'Incremental Repayments'!$I$22)),0),0)</f>
        <v>0</v>
      </c>
      <c r="CR122" s="477">
        <f>IF('Incremental Repayments'!$R$22="Debt",IF(AND(CR$4&gt;=$D122,CR$4&lt;$D122+'Incremental Repayments'!$I$31),-PMT('Interest Rate'!$J$16,'Incremental Repayments'!$I$31,(HLOOKUP($D122,$E$4:$CZ$32,28,FALSE)*'Incremental Repayments'!$I$22)),0),0)</f>
        <v>0</v>
      </c>
      <c r="CS122" s="477">
        <f>IF('Incremental Repayments'!$R$22="Debt",IF(AND(CS$4&gt;=$D122,CS$4&lt;$D122+'Incremental Repayments'!$I$31),-PMT('Interest Rate'!$J$16,'Incremental Repayments'!$I$31,(HLOOKUP($D122,$E$4:$CZ$32,28,FALSE)*'Incremental Repayments'!$I$22)),0),0)</f>
        <v>0</v>
      </c>
      <c r="CT122" s="477">
        <f>IF('Incremental Repayments'!$R$22="Debt",IF(AND(CT$4&gt;=$D122,CT$4&lt;$D122+'Incremental Repayments'!$I$31),-PMT('Interest Rate'!$J$16,'Incremental Repayments'!$I$31,(HLOOKUP($D122,$E$4:$CZ$32,28,FALSE)*'Incremental Repayments'!$I$22)),0),0)</f>
        <v>0</v>
      </c>
      <c r="CU122" s="477">
        <f>IF('Incremental Repayments'!$R$22="Debt",IF(AND(CU$4&gt;=$D122,CU$4&lt;$D122+'Incremental Repayments'!$I$31),-PMT('Interest Rate'!$J$16,'Incremental Repayments'!$I$31,(HLOOKUP($D122,$E$4:$CZ$32,28,FALSE)*'Incremental Repayments'!$I$22)),0),0)</f>
        <v>0</v>
      </c>
      <c r="CV122" s="477">
        <f>IF('Incremental Repayments'!$R$22="Debt",IF(AND(CV$4&gt;=$D122,CV$4&lt;$D122+'Incremental Repayments'!$I$31),-PMT('Interest Rate'!$J$16,'Incremental Repayments'!$I$31,(HLOOKUP($D122,$E$4:$CZ$32,28,FALSE)*'Incremental Repayments'!$I$22)),0),0)</f>
        <v>0</v>
      </c>
      <c r="CW122" s="477">
        <f>IF('Incremental Repayments'!$R$22="Debt",IF(AND(CW$4&gt;=$D122,CW$4&lt;$D122+'Incremental Repayments'!$I$31),-PMT('Interest Rate'!$J$16,'Incremental Repayments'!$I$31,(HLOOKUP($D122,$E$4:$CZ$32,28,FALSE)*'Incremental Repayments'!$I$22)),0),0)</f>
        <v>0</v>
      </c>
      <c r="CX122" s="477">
        <f>IF('Incremental Repayments'!$R$22="Debt",IF(AND(CX$4&gt;=$D122,CX$4&lt;$D122+'Incremental Repayments'!$I$31),-PMT('Interest Rate'!$J$16,'Incremental Repayments'!$I$31,(HLOOKUP($D122,$E$4:$CZ$32,28,FALSE)*'Incremental Repayments'!$I$22)),0),0)</f>
        <v>0</v>
      </c>
      <c r="CY122" s="477">
        <f>IF('Incremental Repayments'!$R$22="Debt",IF(AND(CY$4&gt;=$D122,CY$4&lt;$D122+'Incremental Repayments'!$I$31),-PMT('Interest Rate'!$J$16,'Incremental Repayments'!$I$31,(HLOOKUP($D122,$E$4:$CZ$32,28,FALSE)*'Incremental Repayments'!$I$22)),0),0)</f>
        <v>0</v>
      </c>
      <c r="CZ122" s="477">
        <f>IF('Incremental Repayments'!$R$22="Debt",IF(AND(CZ$4&gt;=$D122,CZ$4&lt;$D122+'Incremental Repayments'!$I$31),-PMT('Interest Rate'!$J$16,'Incremental Repayments'!$I$31,(HLOOKUP($D122,$E$4:$CZ$32,28,FALSE)*'Incremental Repayments'!$I$22)),0),0)</f>
        <v>0</v>
      </c>
    </row>
    <row r="123" spans="1:104" x14ac:dyDescent="0.25">
      <c r="B123" s="480" t="str">
        <f>CONCATENATE("Series ",D123,"A Bonds (at ",'Interest Rate'!$J$16*100,"% Interest)")</f>
        <v>Series 2101A Bonds (at 4.5% Interest)</v>
      </c>
      <c r="C123" s="480"/>
      <c r="D123" s="492">
        <f t="shared" ref="D123" si="498">D122+1</f>
        <v>2101</v>
      </c>
      <c r="E123" s="477">
        <f>IF('Incremental Repayments'!$R$22="Debt",IF(AND(E$4&gt;=$D123,E$4&lt;$D123+'Incremental Repayments'!$I$31),-PMT('Interest Rate'!$J$16,'Incremental Repayments'!$I$31,(HLOOKUP($D123,$E$4:$CZ$32,28,FALSE)*'Incremental Repayments'!$I$22)),0),0)</f>
        <v>0</v>
      </c>
      <c r="F123" s="477">
        <f>IF('Incremental Repayments'!$R$22="Debt",IF(AND(F$4&gt;=$D123,F$4&lt;$D123+'Incremental Repayments'!$I$31),-PMT('Interest Rate'!$J$16,'Incremental Repayments'!$I$31,(HLOOKUP($D123,$E$4:$CZ$32,28,FALSE)*'Incremental Repayments'!$I$22)),0),0)</f>
        <v>0</v>
      </c>
      <c r="G123" s="477">
        <f>IF('Incremental Repayments'!$R$22="Debt",IF(AND(G$4&gt;=$D123,G$4&lt;$D123+'Incremental Repayments'!$I$31),-PMT('Interest Rate'!$J$16,'Incremental Repayments'!$I$31,(HLOOKUP($D123,$E$4:$CZ$32,28,FALSE)*'Incremental Repayments'!$I$22)),0),0)</f>
        <v>0</v>
      </c>
      <c r="H123" s="477">
        <f>IF('Incremental Repayments'!$R$22="Debt",IF(AND(H$4&gt;=$D123,H$4&lt;$D123+'Incremental Repayments'!$I$31),-PMT('Interest Rate'!$J$16,'Incremental Repayments'!$I$31,(HLOOKUP($D123,$E$4:$CZ$32,28,FALSE)*'Incremental Repayments'!$I$22)),0),0)</f>
        <v>0</v>
      </c>
      <c r="I123" s="477">
        <f>IF('Incremental Repayments'!$R$22="Debt",IF(AND(I$4&gt;=$D123,I$4&lt;$D123+'Incremental Repayments'!$I$31),-PMT('Interest Rate'!$J$16,'Incremental Repayments'!$I$31,(HLOOKUP($D123,$E$4:$CZ$32,28,FALSE)*'Incremental Repayments'!$I$22)),0),0)</f>
        <v>0</v>
      </c>
      <c r="J123" s="477">
        <f>IF('Incremental Repayments'!$R$22="Debt",IF(AND(J$4&gt;=$D123,J$4&lt;$D123+'Incremental Repayments'!$I$31),-PMT('Interest Rate'!$J$16,'Incremental Repayments'!$I$31,(HLOOKUP($D123,$E$4:$CZ$32,28,FALSE)*'Incremental Repayments'!$I$22)),0),0)</f>
        <v>0</v>
      </c>
      <c r="K123" s="477">
        <f>IF('Incremental Repayments'!$R$22="Debt",IF(AND(K$4&gt;=$D123,K$4&lt;$D123+'Incremental Repayments'!$I$31),-PMT('Interest Rate'!$J$16,'Incremental Repayments'!$I$31,(HLOOKUP($D123,$E$4:$CZ$32,28,FALSE)*'Incremental Repayments'!$I$22)),0),0)</f>
        <v>0</v>
      </c>
      <c r="L123" s="477">
        <f>IF('Incremental Repayments'!$R$22="Debt",IF(AND(L$4&gt;=$D123,L$4&lt;$D123+'Incremental Repayments'!$I$31),-PMT('Interest Rate'!$J$16,'Incremental Repayments'!$I$31,(HLOOKUP($D123,$E$4:$CZ$32,28,FALSE)*'Incremental Repayments'!$I$22)),0),0)</f>
        <v>0</v>
      </c>
      <c r="M123" s="477">
        <f>IF('Incremental Repayments'!$R$22="Debt",IF(AND(M$4&gt;=$D123,M$4&lt;$D123+'Incremental Repayments'!$I$31),-PMT('Interest Rate'!$J$16,'Incremental Repayments'!$I$31,(HLOOKUP($D123,$E$4:$CZ$32,28,FALSE)*'Incremental Repayments'!$I$22)),0),0)</f>
        <v>0</v>
      </c>
      <c r="N123" s="477">
        <f>IF('Incremental Repayments'!$R$22="Debt",IF(AND(N$4&gt;=$D123,N$4&lt;$D123+'Incremental Repayments'!$I$31),-PMT('Interest Rate'!$J$16,'Incremental Repayments'!$I$31,(HLOOKUP($D123,$E$4:$CZ$32,28,FALSE)*'Incremental Repayments'!$I$22)),0),0)</f>
        <v>0</v>
      </c>
      <c r="O123" s="477">
        <f>IF('Incremental Repayments'!$R$22="Debt",IF(AND(O$4&gt;=$D123,O$4&lt;$D123+'Incremental Repayments'!$I$31),-PMT('Interest Rate'!$J$16,'Incremental Repayments'!$I$31,(HLOOKUP($D123,$E$4:$CZ$32,28,FALSE)*'Incremental Repayments'!$I$22)),0),0)</f>
        <v>0</v>
      </c>
      <c r="P123" s="477">
        <f>IF('Incremental Repayments'!$R$22="Debt",IF(AND(P$4&gt;=$D123,P$4&lt;$D123+'Incremental Repayments'!$I$31),-PMT('Interest Rate'!$J$16,'Incremental Repayments'!$I$31,(HLOOKUP($D123,$E$4:$CZ$32,28,FALSE)*'Incremental Repayments'!$I$22)),0),0)</f>
        <v>0</v>
      </c>
      <c r="Q123" s="477">
        <f>IF('Incremental Repayments'!$R$22="Debt",IF(AND(Q$4&gt;=$D123,Q$4&lt;$D123+'Incremental Repayments'!$I$31),-PMT('Interest Rate'!$J$16,'Incremental Repayments'!$I$31,(HLOOKUP($D123,$E$4:$CZ$32,28,FALSE)*'Incremental Repayments'!$I$22)),0),0)</f>
        <v>0</v>
      </c>
      <c r="R123" s="477">
        <f>IF('Incremental Repayments'!$R$22="Debt",IF(AND(R$4&gt;=$D123,R$4&lt;$D123+'Incremental Repayments'!$I$31),-PMT('Interest Rate'!$J$16,'Incremental Repayments'!$I$31,(HLOOKUP($D123,$E$4:$CZ$32,28,FALSE)*'Incremental Repayments'!$I$22)),0),0)</f>
        <v>0</v>
      </c>
      <c r="S123" s="477">
        <f>IF('Incremental Repayments'!$R$22="Debt",IF(AND(S$4&gt;=$D123,S$4&lt;$D123+'Incremental Repayments'!$I$31),-PMT('Interest Rate'!$J$16,'Incremental Repayments'!$I$31,(HLOOKUP($D123,$E$4:$CZ$32,28,FALSE)*'Incremental Repayments'!$I$22)),0),0)</f>
        <v>0</v>
      </c>
      <c r="T123" s="477">
        <f>IF('Incremental Repayments'!$R$22="Debt",IF(AND(T$4&gt;=$D123,T$4&lt;$D123+'Incremental Repayments'!$I$31),-PMT('Interest Rate'!$J$16,'Incremental Repayments'!$I$31,(HLOOKUP($D123,$E$4:$CZ$32,28,FALSE)*'Incremental Repayments'!$I$22)),0),0)</f>
        <v>0</v>
      </c>
      <c r="U123" s="477">
        <f>IF('Incremental Repayments'!$R$22="Debt",IF(AND(U$4&gt;=$D123,U$4&lt;$D123+'Incremental Repayments'!$I$31),-PMT('Interest Rate'!$J$16,'Incremental Repayments'!$I$31,(HLOOKUP($D123,$E$4:$CZ$32,28,FALSE)*'Incremental Repayments'!$I$22)),0),0)</f>
        <v>0</v>
      </c>
      <c r="V123" s="477">
        <f>IF('Incremental Repayments'!$R$22="Debt",IF(AND(V$4&gt;=$D123,V$4&lt;$D123+'Incremental Repayments'!$I$31),-PMT('Interest Rate'!$J$16,'Incremental Repayments'!$I$31,(HLOOKUP($D123,$E$4:$CZ$32,28,FALSE)*'Incremental Repayments'!$I$22)),0),0)</f>
        <v>0</v>
      </c>
      <c r="W123" s="477">
        <f>IF('Incremental Repayments'!$R$22="Debt",IF(AND(W$4&gt;=$D123,W$4&lt;$D123+'Incremental Repayments'!$I$31),-PMT('Interest Rate'!$J$16,'Incremental Repayments'!$I$31,(HLOOKUP($D123,$E$4:$CZ$32,28,FALSE)*'Incremental Repayments'!$I$22)),0),0)</f>
        <v>0</v>
      </c>
      <c r="X123" s="477">
        <f>IF('Incremental Repayments'!$R$22="Debt",IF(AND(X$4&gt;=$D123,X$4&lt;$D123+'Incremental Repayments'!$I$31),-PMT('Interest Rate'!$J$16,'Incremental Repayments'!$I$31,(HLOOKUP($D123,$E$4:$CZ$32,28,FALSE)*'Incremental Repayments'!$I$22)),0),0)</f>
        <v>0</v>
      </c>
      <c r="Y123" s="477">
        <f>IF('Incremental Repayments'!$R$22="Debt",IF(AND(Y$4&gt;=$D123,Y$4&lt;$D123+'Incremental Repayments'!$I$31),-PMT('Interest Rate'!$J$16,'Incremental Repayments'!$I$31,(HLOOKUP($D123,$E$4:$CZ$32,28,FALSE)*'Incremental Repayments'!$I$22)),0),0)</f>
        <v>0</v>
      </c>
      <c r="Z123" s="477">
        <f>IF('Incremental Repayments'!$R$22="Debt",IF(AND(Z$4&gt;=$D123,Z$4&lt;$D123+'Incremental Repayments'!$I$31),-PMT('Interest Rate'!$J$16,'Incremental Repayments'!$I$31,(HLOOKUP($D123,$E$4:$CZ$32,28,FALSE)*'Incremental Repayments'!$I$22)),0),0)</f>
        <v>0</v>
      </c>
      <c r="AA123" s="477">
        <f>IF('Incremental Repayments'!$R$22="Debt",IF(AND(AA$4&gt;=$D123,AA$4&lt;$D123+'Incremental Repayments'!$I$31),-PMT('Interest Rate'!$J$16,'Incremental Repayments'!$I$31,(HLOOKUP($D123,$E$4:$CZ$32,28,FALSE)*'Incremental Repayments'!$I$22)),0),0)</f>
        <v>0</v>
      </c>
      <c r="AB123" s="477">
        <f>IF('Incremental Repayments'!$R$22="Debt",IF(AND(AB$4&gt;=$D123,AB$4&lt;$D123+'Incremental Repayments'!$I$31),-PMT('Interest Rate'!$J$16,'Incremental Repayments'!$I$31,(HLOOKUP($D123,$E$4:$CZ$32,28,FALSE)*'Incremental Repayments'!$I$22)),0),0)</f>
        <v>0</v>
      </c>
      <c r="AC123" s="477">
        <f>IF('Incremental Repayments'!$R$22="Debt",IF(AND(AC$4&gt;=$D123,AC$4&lt;$D123+'Incremental Repayments'!$I$31),-PMT('Interest Rate'!$J$16,'Incremental Repayments'!$I$31,(HLOOKUP($D123,$E$4:$CZ$32,28,FALSE)*'Incremental Repayments'!$I$22)),0),0)</f>
        <v>0</v>
      </c>
      <c r="AD123" s="477">
        <f>IF('Incremental Repayments'!$R$22="Debt",IF(AND(AD$4&gt;=$D123,AD$4&lt;$D123+'Incremental Repayments'!$I$31),-PMT('Interest Rate'!$J$16,'Incremental Repayments'!$I$31,(HLOOKUP($D123,$E$4:$CZ$32,28,FALSE)*'Incremental Repayments'!$I$22)),0),0)</f>
        <v>0</v>
      </c>
      <c r="AE123" s="477">
        <f>IF('Incremental Repayments'!$R$22="Debt",IF(AND(AE$4&gt;=$D123,AE$4&lt;$D123+'Incremental Repayments'!$I$31),-PMT('Interest Rate'!$J$16,'Incremental Repayments'!$I$31,(HLOOKUP($D123,$E$4:$CZ$32,28,FALSE)*'Incremental Repayments'!$I$22)),0),0)</f>
        <v>0</v>
      </c>
      <c r="AF123" s="477">
        <f>IF('Incremental Repayments'!$R$22="Debt",IF(AND(AF$4&gt;=$D123,AF$4&lt;$D123+'Incremental Repayments'!$I$31),-PMT('Interest Rate'!$J$16,'Incremental Repayments'!$I$31,(HLOOKUP($D123,$E$4:$CZ$32,28,FALSE)*'Incremental Repayments'!$I$22)),0),0)</f>
        <v>0</v>
      </c>
      <c r="AG123" s="477">
        <f>IF('Incremental Repayments'!$R$22="Debt",IF(AND(AG$4&gt;=$D123,AG$4&lt;$D123+'Incremental Repayments'!$I$31),-PMT('Interest Rate'!$J$16,'Incremental Repayments'!$I$31,(HLOOKUP($D123,$E$4:$CZ$32,28,FALSE)*'Incremental Repayments'!$I$22)),0),0)</f>
        <v>0</v>
      </c>
      <c r="AH123" s="477">
        <f>IF('Incremental Repayments'!$R$22="Debt",IF(AND(AH$4&gt;=$D123,AH$4&lt;$D123+'Incremental Repayments'!$I$31),-PMT('Interest Rate'!$J$16,'Incremental Repayments'!$I$31,(HLOOKUP($D123,$E$4:$CZ$32,28,FALSE)*'Incremental Repayments'!$I$22)),0),0)</f>
        <v>0</v>
      </c>
      <c r="AI123" s="477">
        <f>IF('Incremental Repayments'!$R$22="Debt",IF(AND(AI$4&gt;=$D123,AI$4&lt;$D123+'Incremental Repayments'!$I$31),-PMT('Interest Rate'!$J$16,'Incremental Repayments'!$I$31,(HLOOKUP($D123,$E$4:$CZ$32,28,FALSE)*'Incremental Repayments'!$I$22)),0),0)</f>
        <v>0</v>
      </c>
      <c r="AJ123" s="477">
        <f>IF('Incremental Repayments'!$R$22="Debt",IF(AND(AJ$4&gt;=$D123,AJ$4&lt;$D123+'Incremental Repayments'!$I$31),-PMT('Interest Rate'!$J$16,'Incremental Repayments'!$I$31,(HLOOKUP($D123,$E$4:$CZ$32,28,FALSE)*'Incremental Repayments'!$I$22)),0),0)</f>
        <v>0</v>
      </c>
      <c r="AK123" s="477">
        <f>IF('Incremental Repayments'!$R$22="Debt",IF(AND(AK$4&gt;=$D123,AK$4&lt;$D123+'Incremental Repayments'!$I$31),-PMT('Interest Rate'!$J$16,'Incremental Repayments'!$I$31,(HLOOKUP($D123,$E$4:$CZ$32,28,FALSE)*'Incremental Repayments'!$I$22)),0),0)</f>
        <v>0</v>
      </c>
      <c r="AL123" s="477">
        <f>IF('Incremental Repayments'!$R$22="Debt",IF(AND(AL$4&gt;=$D123,AL$4&lt;$D123+'Incremental Repayments'!$I$31),-PMT('Interest Rate'!$J$16,'Incremental Repayments'!$I$31,(HLOOKUP($D123,$E$4:$CZ$32,28,FALSE)*'Incremental Repayments'!$I$22)),0),0)</f>
        <v>0</v>
      </c>
      <c r="AM123" s="477">
        <f>IF('Incremental Repayments'!$R$22="Debt",IF(AND(AM$4&gt;=$D123,AM$4&lt;$D123+'Incremental Repayments'!$I$31),-PMT('Interest Rate'!$J$16,'Incremental Repayments'!$I$31,(HLOOKUP($D123,$E$4:$CZ$32,28,FALSE)*'Incremental Repayments'!$I$22)),0),0)</f>
        <v>0</v>
      </c>
      <c r="AN123" s="477">
        <f>IF('Incremental Repayments'!$R$22="Debt",IF(AND(AN$4&gt;=$D123,AN$4&lt;$D123+'Incremental Repayments'!$I$31),-PMT('Interest Rate'!$J$16,'Incremental Repayments'!$I$31,(HLOOKUP($D123,$E$4:$CZ$32,28,FALSE)*'Incremental Repayments'!$I$22)),0),0)</f>
        <v>0</v>
      </c>
      <c r="AO123" s="477">
        <f>IF('Incremental Repayments'!$R$22="Debt",IF(AND(AO$4&gt;=$D123,AO$4&lt;$D123+'Incremental Repayments'!$I$31),-PMT('Interest Rate'!$J$16,'Incremental Repayments'!$I$31,(HLOOKUP($D123,$E$4:$CZ$32,28,FALSE)*'Incremental Repayments'!$I$22)),0),0)</f>
        <v>0</v>
      </c>
      <c r="AP123" s="477">
        <f>IF('Incremental Repayments'!$R$22="Debt",IF(AND(AP$4&gt;=$D123,AP$4&lt;$D123+'Incremental Repayments'!$I$31),-PMT('Interest Rate'!$J$16,'Incremental Repayments'!$I$31,(HLOOKUP($D123,$E$4:$CZ$32,28,FALSE)*'Incremental Repayments'!$I$22)),0),0)</f>
        <v>0</v>
      </c>
      <c r="AQ123" s="477">
        <f>IF('Incremental Repayments'!$R$22="Debt",IF(AND(AQ$4&gt;=$D123,AQ$4&lt;$D123+'Incremental Repayments'!$I$31),-PMT('Interest Rate'!$J$16,'Incremental Repayments'!$I$31,(HLOOKUP($D123,$E$4:$CZ$32,28,FALSE)*'Incremental Repayments'!$I$22)),0),0)</f>
        <v>0</v>
      </c>
      <c r="AR123" s="477">
        <f>IF('Incremental Repayments'!$R$22="Debt",IF(AND(AR$4&gt;=$D123,AR$4&lt;$D123+'Incremental Repayments'!$I$31),-PMT('Interest Rate'!$J$16,'Incremental Repayments'!$I$31,(HLOOKUP($D123,$E$4:$CZ$32,28,FALSE)*'Incremental Repayments'!$I$22)),0),0)</f>
        <v>0</v>
      </c>
      <c r="AS123" s="477">
        <f>IF('Incremental Repayments'!$R$22="Debt",IF(AND(AS$4&gt;=$D123,AS$4&lt;$D123+'Incremental Repayments'!$I$31),-PMT('Interest Rate'!$J$16,'Incremental Repayments'!$I$31,(HLOOKUP($D123,$E$4:$CZ$32,28,FALSE)*'Incremental Repayments'!$I$22)),0),0)</f>
        <v>0</v>
      </c>
      <c r="AT123" s="477">
        <f>IF('Incremental Repayments'!$R$22="Debt",IF(AND(AT$4&gt;=$D123,AT$4&lt;$D123+'Incremental Repayments'!$I$31),-PMT('Interest Rate'!$J$16,'Incremental Repayments'!$I$31,(HLOOKUP($D123,$E$4:$CZ$32,28,FALSE)*'Incremental Repayments'!$I$22)),0),0)</f>
        <v>0</v>
      </c>
      <c r="AU123" s="477">
        <f>IF('Incremental Repayments'!$R$22="Debt",IF(AND(AU$4&gt;=$D123,AU$4&lt;$D123+'Incremental Repayments'!$I$31),-PMT('Interest Rate'!$J$16,'Incremental Repayments'!$I$31,(HLOOKUP($D123,$E$4:$CZ$32,28,FALSE)*'Incremental Repayments'!$I$22)),0),0)</f>
        <v>0</v>
      </c>
      <c r="AV123" s="477">
        <f>IF('Incremental Repayments'!$R$22="Debt",IF(AND(AV$4&gt;=$D123,AV$4&lt;$D123+'Incremental Repayments'!$I$31),-PMT('Interest Rate'!$J$16,'Incremental Repayments'!$I$31,(HLOOKUP($D123,$E$4:$CZ$32,28,FALSE)*'Incremental Repayments'!$I$22)),0),0)</f>
        <v>0</v>
      </c>
      <c r="AW123" s="477">
        <f>IF('Incremental Repayments'!$R$22="Debt",IF(AND(AW$4&gt;=$D123,AW$4&lt;$D123+'Incremental Repayments'!$I$31),-PMT('Interest Rate'!$J$16,'Incremental Repayments'!$I$31,(HLOOKUP($D123,$E$4:$CZ$32,28,FALSE)*'Incremental Repayments'!$I$22)),0),0)</f>
        <v>0</v>
      </c>
      <c r="AX123" s="477">
        <f>IF('Incremental Repayments'!$R$22="Debt",IF(AND(AX$4&gt;=$D123,AX$4&lt;$D123+'Incremental Repayments'!$I$31),-PMT('Interest Rate'!$J$16,'Incremental Repayments'!$I$31,(HLOOKUP($D123,$E$4:$CZ$32,28,FALSE)*'Incremental Repayments'!$I$22)),0),0)</f>
        <v>0</v>
      </c>
      <c r="AY123" s="477">
        <f>IF('Incremental Repayments'!$R$22="Debt",IF(AND(AY$4&gt;=$D123,AY$4&lt;$D123+'Incremental Repayments'!$I$31),-PMT('Interest Rate'!$J$16,'Incremental Repayments'!$I$31,(HLOOKUP($D123,$E$4:$CZ$32,28,FALSE)*'Incremental Repayments'!$I$22)),0),0)</f>
        <v>0</v>
      </c>
      <c r="AZ123" s="477">
        <f>IF('Incremental Repayments'!$R$22="Debt",IF(AND(AZ$4&gt;=$D123,AZ$4&lt;$D123+'Incremental Repayments'!$I$31),-PMT('Interest Rate'!$J$16,'Incremental Repayments'!$I$31,(HLOOKUP($D123,$E$4:$CZ$32,28,FALSE)*'Incremental Repayments'!$I$22)),0),0)</f>
        <v>0</v>
      </c>
      <c r="BA123" s="477">
        <f>IF('Incremental Repayments'!$R$22="Debt",IF(AND(BA$4&gt;=$D123,BA$4&lt;$D123+'Incremental Repayments'!$I$31),-PMT('Interest Rate'!$J$16,'Incremental Repayments'!$I$31,(HLOOKUP($D123,$E$4:$CZ$32,28,FALSE)*'Incremental Repayments'!$I$22)),0),0)</f>
        <v>0</v>
      </c>
      <c r="BB123" s="477">
        <f>IF('Incremental Repayments'!$R$22="Debt",IF(AND(BB$4&gt;=$D123,BB$4&lt;$D123+'Incremental Repayments'!$I$31),-PMT('Interest Rate'!$J$16,'Incremental Repayments'!$I$31,(HLOOKUP($D123,$E$4:$CZ$32,28,FALSE)*'Incremental Repayments'!$I$22)),0),0)</f>
        <v>0</v>
      </c>
      <c r="BC123" s="477">
        <f>IF('Incremental Repayments'!$R$22="Debt",IF(AND(BC$4&gt;=$D123,BC$4&lt;$D123+'Incremental Repayments'!$I$31),-PMT('Interest Rate'!$J$16,'Incremental Repayments'!$I$31,(HLOOKUP($D123,$E$4:$CZ$32,28,FALSE)*'Incremental Repayments'!$I$22)),0),0)</f>
        <v>0</v>
      </c>
      <c r="BD123" s="477">
        <f>IF('Incremental Repayments'!$R$22="Debt",IF(AND(BD$4&gt;=$D123,BD$4&lt;$D123+'Incremental Repayments'!$I$31),-PMT('Interest Rate'!$J$16,'Incremental Repayments'!$I$31,(HLOOKUP($D123,$E$4:$CZ$32,28,FALSE)*'Incremental Repayments'!$I$22)),0),0)</f>
        <v>0</v>
      </c>
      <c r="BE123" s="477">
        <f>IF('Incremental Repayments'!$R$22="Debt",IF(AND(BE$4&gt;=$D123,BE$4&lt;$D123+'Incremental Repayments'!$I$31),-PMT('Interest Rate'!$J$16,'Incremental Repayments'!$I$31,(HLOOKUP($D123,$E$4:$CZ$32,28,FALSE)*'Incremental Repayments'!$I$22)),0),0)</f>
        <v>0</v>
      </c>
      <c r="BF123" s="477">
        <f>IF('Incremental Repayments'!$R$22="Debt",IF(AND(BF$4&gt;=$D123,BF$4&lt;$D123+'Incremental Repayments'!$I$31),-PMT('Interest Rate'!$J$16,'Incremental Repayments'!$I$31,(HLOOKUP($D123,$E$4:$CZ$32,28,FALSE)*'Incremental Repayments'!$I$22)),0),0)</f>
        <v>0</v>
      </c>
      <c r="BG123" s="477">
        <f>IF('Incremental Repayments'!$R$22="Debt",IF(AND(BG$4&gt;=$D123,BG$4&lt;$D123+'Incremental Repayments'!$I$31),-PMT('Interest Rate'!$J$16,'Incremental Repayments'!$I$31,(HLOOKUP($D123,$E$4:$CZ$32,28,FALSE)*'Incremental Repayments'!$I$22)),0),0)</f>
        <v>0</v>
      </c>
      <c r="BH123" s="477">
        <f>IF('Incremental Repayments'!$R$22="Debt",IF(AND(BH$4&gt;=$D123,BH$4&lt;$D123+'Incremental Repayments'!$I$31),-PMT('Interest Rate'!$J$16,'Incremental Repayments'!$I$31,(HLOOKUP($D123,$E$4:$CZ$32,28,FALSE)*'Incremental Repayments'!$I$22)),0),0)</f>
        <v>0</v>
      </c>
      <c r="BI123" s="477">
        <f>IF('Incremental Repayments'!$R$22="Debt",IF(AND(BI$4&gt;=$D123,BI$4&lt;$D123+'Incremental Repayments'!$I$31),-PMT('Interest Rate'!$J$16,'Incremental Repayments'!$I$31,(HLOOKUP($D123,$E$4:$CZ$32,28,FALSE)*'Incremental Repayments'!$I$22)),0),0)</f>
        <v>0</v>
      </c>
      <c r="BJ123" s="477">
        <f>IF('Incremental Repayments'!$R$22="Debt",IF(AND(BJ$4&gt;=$D123,BJ$4&lt;$D123+'Incremental Repayments'!$I$31),-PMT('Interest Rate'!$J$16,'Incremental Repayments'!$I$31,(HLOOKUP($D123,$E$4:$CZ$32,28,FALSE)*'Incremental Repayments'!$I$22)),0),0)</f>
        <v>0</v>
      </c>
      <c r="BK123" s="477">
        <f>IF('Incremental Repayments'!$R$22="Debt",IF(AND(BK$4&gt;=$D123,BK$4&lt;$D123+'Incremental Repayments'!$I$31),-PMT('Interest Rate'!$J$16,'Incremental Repayments'!$I$31,(HLOOKUP($D123,$E$4:$CZ$32,28,FALSE)*'Incremental Repayments'!$I$22)),0),0)</f>
        <v>0</v>
      </c>
      <c r="BL123" s="477">
        <f>IF('Incremental Repayments'!$R$22="Debt",IF(AND(BL$4&gt;=$D123,BL$4&lt;$D123+'Incremental Repayments'!$I$31),-PMT('Interest Rate'!$J$16,'Incremental Repayments'!$I$31,(HLOOKUP($D123,$E$4:$CZ$32,28,FALSE)*'Incremental Repayments'!$I$22)),0),0)</f>
        <v>0</v>
      </c>
      <c r="BM123" s="477">
        <f>IF('Incremental Repayments'!$R$22="Debt",IF(AND(BM$4&gt;=$D123,BM$4&lt;$D123+'Incremental Repayments'!$I$31),-PMT('Interest Rate'!$J$16,'Incremental Repayments'!$I$31,(HLOOKUP($D123,$E$4:$CZ$32,28,FALSE)*'Incremental Repayments'!$I$22)),0),0)</f>
        <v>0</v>
      </c>
      <c r="BN123" s="477">
        <f>IF('Incremental Repayments'!$R$22="Debt",IF(AND(BN$4&gt;=$D123,BN$4&lt;$D123+'Incremental Repayments'!$I$31),-PMT('Interest Rate'!$J$16,'Incremental Repayments'!$I$31,(HLOOKUP($D123,$E$4:$CZ$32,28,FALSE)*'Incremental Repayments'!$I$22)),0),0)</f>
        <v>0</v>
      </c>
      <c r="BO123" s="477">
        <f>IF('Incremental Repayments'!$R$22="Debt",IF(AND(BO$4&gt;=$D123,BO$4&lt;$D123+'Incremental Repayments'!$I$31),-PMT('Interest Rate'!$J$16,'Incremental Repayments'!$I$31,(HLOOKUP($D123,$E$4:$CZ$32,28,FALSE)*'Incremental Repayments'!$I$22)),0),0)</f>
        <v>0</v>
      </c>
      <c r="BP123" s="477">
        <f>IF('Incremental Repayments'!$R$22="Debt",IF(AND(BP$4&gt;=$D123,BP$4&lt;$D123+'Incremental Repayments'!$I$31),-PMT('Interest Rate'!$J$16,'Incremental Repayments'!$I$31,(HLOOKUP($D123,$E$4:$CZ$32,28,FALSE)*'Incremental Repayments'!$I$22)),0),0)</f>
        <v>0</v>
      </c>
      <c r="BQ123" s="477">
        <f>IF('Incremental Repayments'!$R$22="Debt",IF(AND(BQ$4&gt;=$D123,BQ$4&lt;$D123+'Incremental Repayments'!$I$31),-PMT('Interest Rate'!$J$16,'Incremental Repayments'!$I$31,(HLOOKUP($D123,$E$4:$CZ$32,28,FALSE)*'Incremental Repayments'!$I$22)),0),0)</f>
        <v>0</v>
      </c>
      <c r="BR123" s="477">
        <f>IF('Incremental Repayments'!$R$22="Debt",IF(AND(BR$4&gt;=$D123,BR$4&lt;$D123+'Incremental Repayments'!$I$31),-PMT('Interest Rate'!$J$16,'Incremental Repayments'!$I$31,(HLOOKUP($D123,$E$4:$CZ$32,28,FALSE)*'Incremental Repayments'!$I$22)),0),0)</f>
        <v>0</v>
      </c>
      <c r="BS123" s="477">
        <f>IF('Incremental Repayments'!$R$22="Debt",IF(AND(BS$4&gt;=$D123,BS$4&lt;$D123+'Incremental Repayments'!$I$31),-PMT('Interest Rate'!$J$16,'Incremental Repayments'!$I$31,(HLOOKUP($D123,$E$4:$CZ$32,28,FALSE)*'Incremental Repayments'!$I$22)),0),0)</f>
        <v>0</v>
      </c>
      <c r="BT123" s="477">
        <f>IF('Incremental Repayments'!$R$22="Debt",IF(AND(BT$4&gt;=$D123,BT$4&lt;$D123+'Incremental Repayments'!$I$31),-PMT('Interest Rate'!$J$16,'Incremental Repayments'!$I$31,(HLOOKUP($D123,$E$4:$CZ$32,28,FALSE)*'Incremental Repayments'!$I$22)),0),0)</f>
        <v>0</v>
      </c>
      <c r="BU123" s="477">
        <f>IF('Incremental Repayments'!$R$22="Debt",IF(AND(BU$4&gt;=$D123,BU$4&lt;$D123+'Incremental Repayments'!$I$31),-PMT('Interest Rate'!$J$16,'Incremental Repayments'!$I$31,(HLOOKUP($D123,$E$4:$CZ$32,28,FALSE)*'Incremental Repayments'!$I$22)),0),0)</f>
        <v>0</v>
      </c>
      <c r="BV123" s="477">
        <f>IF('Incremental Repayments'!$R$22="Debt",IF(AND(BV$4&gt;=$D123,BV$4&lt;$D123+'Incremental Repayments'!$I$31),-PMT('Interest Rate'!$J$16,'Incremental Repayments'!$I$31,(HLOOKUP($D123,$E$4:$CZ$32,28,FALSE)*'Incremental Repayments'!$I$22)),0),0)</f>
        <v>0</v>
      </c>
      <c r="BW123" s="477">
        <f>IF('Incremental Repayments'!$R$22="Debt",IF(AND(BW$4&gt;=$D123,BW$4&lt;$D123+'Incremental Repayments'!$I$31),-PMT('Interest Rate'!$J$16,'Incremental Repayments'!$I$31,(HLOOKUP($D123,$E$4:$CZ$32,28,FALSE)*'Incremental Repayments'!$I$22)),0),0)</f>
        <v>0</v>
      </c>
      <c r="BX123" s="477">
        <f>IF('Incremental Repayments'!$R$22="Debt",IF(AND(BX$4&gt;=$D123,BX$4&lt;$D123+'Incremental Repayments'!$I$31),-PMT('Interest Rate'!$J$16,'Incremental Repayments'!$I$31,(HLOOKUP($D123,$E$4:$CZ$32,28,FALSE)*'Incremental Repayments'!$I$22)),0),0)</f>
        <v>0</v>
      </c>
      <c r="BY123" s="477">
        <f>IF('Incremental Repayments'!$R$22="Debt",IF(AND(BY$4&gt;=$D123,BY$4&lt;$D123+'Incremental Repayments'!$I$31),-PMT('Interest Rate'!$J$16,'Incremental Repayments'!$I$31,(HLOOKUP($D123,$E$4:$CZ$32,28,FALSE)*'Incremental Repayments'!$I$22)),0),0)</f>
        <v>0</v>
      </c>
      <c r="BZ123" s="477">
        <f>IF('Incremental Repayments'!$R$22="Debt",IF(AND(BZ$4&gt;=$D123,BZ$4&lt;$D123+'Incremental Repayments'!$I$31),-PMT('Interest Rate'!$J$16,'Incremental Repayments'!$I$31,(HLOOKUP($D123,$E$4:$CZ$32,28,FALSE)*'Incremental Repayments'!$I$22)),0),0)</f>
        <v>0</v>
      </c>
      <c r="CA123" s="477">
        <f>IF('Incremental Repayments'!$R$22="Debt",IF(AND(CA$4&gt;=$D123,CA$4&lt;$D123+'Incremental Repayments'!$I$31),-PMT('Interest Rate'!$J$16,'Incremental Repayments'!$I$31,(HLOOKUP($D123,$E$4:$CZ$32,28,FALSE)*'Incremental Repayments'!$I$22)),0),0)</f>
        <v>0</v>
      </c>
      <c r="CB123" s="477">
        <f>IF('Incremental Repayments'!$R$22="Debt",IF(AND(CB$4&gt;=$D123,CB$4&lt;$D123+'Incremental Repayments'!$I$31),-PMT('Interest Rate'!$J$16,'Incremental Repayments'!$I$31,(HLOOKUP($D123,$E$4:$CZ$32,28,FALSE)*'Incremental Repayments'!$I$22)),0),0)</f>
        <v>0</v>
      </c>
      <c r="CC123" s="477">
        <f>IF('Incremental Repayments'!$R$22="Debt",IF(AND(CC$4&gt;=$D123,CC$4&lt;$D123+'Incremental Repayments'!$I$31),-PMT('Interest Rate'!$J$16,'Incremental Repayments'!$I$31,(HLOOKUP($D123,$E$4:$CZ$32,28,FALSE)*'Incremental Repayments'!$I$22)),0),0)</f>
        <v>0</v>
      </c>
      <c r="CD123" s="477">
        <f>IF('Incremental Repayments'!$R$22="Debt",IF(AND(CD$4&gt;=$D123,CD$4&lt;$D123+'Incremental Repayments'!$I$31),-PMT('Interest Rate'!$J$16,'Incremental Repayments'!$I$31,(HLOOKUP($D123,$E$4:$CZ$32,28,FALSE)*'Incremental Repayments'!$I$22)),0),0)</f>
        <v>0</v>
      </c>
      <c r="CE123" s="477">
        <f>IF('Incremental Repayments'!$R$22="Debt",IF(AND(CE$4&gt;=$D123,CE$4&lt;$D123+'Incremental Repayments'!$I$31),-PMT('Interest Rate'!$J$16,'Incremental Repayments'!$I$31,(HLOOKUP($D123,$E$4:$CZ$32,28,FALSE)*'Incremental Repayments'!$I$22)),0),0)</f>
        <v>0</v>
      </c>
      <c r="CF123" s="477">
        <f>IF('Incremental Repayments'!$R$22="Debt",IF(AND(CF$4&gt;=$D123,CF$4&lt;$D123+'Incremental Repayments'!$I$31),-PMT('Interest Rate'!$J$16,'Incremental Repayments'!$I$31,(HLOOKUP($D123,$E$4:$CZ$32,28,FALSE)*'Incremental Repayments'!$I$22)),0),0)</f>
        <v>0</v>
      </c>
      <c r="CG123" s="477">
        <f>IF('Incremental Repayments'!$R$22="Debt",IF(AND(CG$4&gt;=$D123,CG$4&lt;$D123+'Incremental Repayments'!$I$31),-PMT('Interest Rate'!$J$16,'Incremental Repayments'!$I$31,(HLOOKUP($D123,$E$4:$CZ$32,28,FALSE)*'Incremental Repayments'!$I$22)),0),0)</f>
        <v>0</v>
      </c>
      <c r="CH123" s="477">
        <f>IF('Incremental Repayments'!$R$22="Debt",IF(AND(CH$4&gt;=$D123,CH$4&lt;$D123+'Incremental Repayments'!$I$31),-PMT('Interest Rate'!$J$16,'Incremental Repayments'!$I$31,(HLOOKUP($D123,$E$4:$CZ$32,28,FALSE)*'Incremental Repayments'!$I$22)),0),0)</f>
        <v>0</v>
      </c>
      <c r="CI123" s="477">
        <f>IF('Incremental Repayments'!$R$22="Debt",IF(AND(CI$4&gt;=$D123,CI$4&lt;$D123+'Incremental Repayments'!$I$31),-PMT('Interest Rate'!$J$16,'Incremental Repayments'!$I$31,(HLOOKUP($D123,$E$4:$CZ$32,28,FALSE)*'Incremental Repayments'!$I$22)),0),0)</f>
        <v>0</v>
      </c>
      <c r="CJ123" s="477">
        <f>IF('Incremental Repayments'!$R$22="Debt",IF(AND(CJ$4&gt;=$D123,CJ$4&lt;$D123+'Incremental Repayments'!$I$31),-PMT('Interest Rate'!$J$16,'Incremental Repayments'!$I$31,(HLOOKUP($D123,$E$4:$CZ$32,28,FALSE)*'Incremental Repayments'!$I$22)),0),0)</f>
        <v>0</v>
      </c>
      <c r="CK123" s="477">
        <f>IF('Incremental Repayments'!$R$22="Debt",IF(AND(CK$4&gt;=$D123,CK$4&lt;$D123+'Incremental Repayments'!$I$31),-PMT('Interest Rate'!$J$16,'Incremental Repayments'!$I$31,(HLOOKUP($D123,$E$4:$CZ$32,28,FALSE)*'Incremental Repayments'!$I$22)),0),0)</f>
        <v>0</v>
      </c>
      <c r="CL123" s="477">
        <f>IF('Incremental Repayments'!$R$22="Debt",IF(AND(CL$4&gt;=$D123,CL$4&lt;$D123+'Incremental Repayments'!$I$31),-PMT('Interest Rate'!$J$16,'Incremental Repayments'!$I$31,(HLOOKUP($D123,$E$4:$CZ$32,28,FALSE)*'Incremental Repayments'!$I$22)),0),0)</f>
        <v>0</v>
      </c>
      <c r="CM123" s="477">
        <f>IF('Incremental Repayments'!$R$22="Debt",IF(AND(CM$4&gt;=$D123,CM$4&lt;$D123+'Incremental Repayments'!$I$31),-PMT('Interest Rate'!$J$16,'Incremental Repayments'!$I$31,(HLOOKUP($D123,$E$4:$CZ$32,28,FALSE)*'Incremental Repayments'!$I$22)),0),0)</f>
        <v>0</v>
      </c>
      <c r="CN123" s="477">
        <f>IF('Incremental Repayments'!$R$22="Debt",IF(AND(CN$4&gt;=$D123,CN$4&lt;$D123+'Incremental Repayments'!$I$31),-PMT('Interest Rate'!$J$16,'Incremental Repayments'!$I$31,(HLOOKUP($D123,$E$4:$CZ$32,28,FALSE)*'Incremental Repayments'!$I$22)),0),0)</f>
        <v>0</v>
      </c>
      <c r="CO123" s="477">
        <f>IF('Incremental Repayments'!$R$22="Debt",IF(AND(CO$4&gt;=$D123,CO$4&lt;$D123+'Incremental Repayments'!$I$31),-PMT('Interest Rate'!$J$16,'Incremental Repayments'!$I$31,(HLOOKUP($D123,$E$4:$CZ$32,28,FALSE)*'Incremental Repayments'!$I$22)),0),0)</f>
        <v>0</v>
      </c>
      <c r="CP123" s="477">
        <f>IF('Incremental Repayments'!$R$22="Debt",IF(AND(CP$4&gt;=$D123,CP$4&lt;$D123+'Incremental Repayments'!$I$31),-PMT('Interest Rate'!$J$16,'Incremental Repayments'!$I$31,(HLOOKUP($D123,$E$4:$CZ$32,28,FALSE)*'Incremental Repayments'!$I$22)),0),0)</f>
        <v>0</v>
      </c>
      <c r="CQ123" s="477">
        <f>IF('Incremental Repayments'!$R$22="Debt",IF(AND(CQ$4&gt;=$D123,CQ$4&lt;$D123+'Incremental Repayments'!$I$31),-PMT('Interest Rate'!$J$16,'Incremental Repayments'!$I$31,(HLOOKUP($D123,$E$4:$CZ$32,28,FALSE)*'Incremental Repayments'!$I$22)),0),0)</f>
        <v>0</v>
      </c>
      <c r="CR123" s="477">
        <f>IF('Incremental Repayments'!$R$22="Debt",IF(AND(CR$4&gt;=$D123,CR$4&lt;$D123+'Incremental Repayments'!$I$31),-PMT('Interest Rate'!$J$16,'Incremental Repayments'!$I$31,(HLOOKUP($D123,$E$4:$CZ$32,28,FALSE)*'Incremental Repayments'!$I$22)),0),0)</f>
        <v>0</v>
      </c>
      <c r="CS123" s="477">
        <f>IF('Incremental Repayments'!$R$22="Debt",IF(AND(CS$4&gt;=$D123,CS$4&lt;$D123+'Incremental Repayments'!$I$31),-PMT('Interest Rate'!$J$16,'Incremental Repayments'!$I$31,(HLOOKUP($D123,$E$4:$CZ$32,28,FALSE)*'Incremental Repayments'!$I$22)),0),0)</f>
        <v>0</v>
      </c>
      <c r="CT123" s="477">
        <f>IF('Incremental Repayments'!$R$22="Debt",IF(AND(CT$4&gt;=$D123,CT$4&lt;$D123+'Incremental Repayments'!$I$31),-PMT('Interest Rate'!$J$16,'Incremental Repayments'!$I$31,(HLOOKUP($D123,$E$4:$CZ$32,28,FALSE)*'Incremental Repayments'!$I$22)),0),0)</f>
        <v>0</v>
      </c>
      <c r="CU123" s="477">
        <f>IF('Incremental Repayments'!$R$22="Debt",IF(AND(CU$4&gt;=$D123,CU$4&lt;$D123+'Incremental Repayments'!$I$31),-PMT('Interest Rate'!$J$16,'Incremental Repayments'!$I$31,(HLOOKUP($D123,$E$4:$CZ$32,28,FALSE)*'Incremental Repayments'!$I$22)),0),0)</f>
        <v>0</v>
      </c>
      <c r="CV123" s="477">
        <f>IF('Incremental Repayments'!$R$22="Debt",IF(AND(CV$4&gt;=$D123,CV$4&lt;$D123+'Incremental Repayments'!$I$31),-PMT('Interest Rate'!$J$16,'Incremental Repayments'!$I$31,(HLOOKUP($D123,$E$4:$CZ$32,28,FALSE)*'Incremental Repayments'!$I$22)),0),0)</f>
        <v>0</v>
      </c>
      <c r="CW123" s="477">
        <f>IF('Incremental Repayments'!$R$22="Debt",IF(AND(CW$4&gt;=$D123,CW$4&lt;$D123+'Incremental Repayments'!$I$31),-PMT('Interest Rate'!$J$16,'Incremental Repayments'!$I$31,(HLOOKUP($D123,$E$4:$CZ$32,28,FALSE)*'Incremental Repayments'!$I$22)),0),0)</f>
        <v>0</v>
      </c>
      <c r="CX123" s="477">
        <f>IF('Incremental Repayments'!$R$22="Debt",IF(AND(CX$4&gt;=$D123,CX$4&lt;$D123+'Incremental Repayments'!$I$31),-PMT('Interest Rate'!$J$16,'Incremental Repayments'!$I$31,(HLOOKUP($D123,$E$4:$CZ$32,28,FALSE)*'Incremental Repayments'!$I$22)),0),0)</f>
        <v>0</v>
      </c>
      <c r="CY123" s="477">
        <f>IF('Incremental Repayments'!$R$22="Debt",IF(AND(CY$4&gt;=$D123,CY$4&lt;$D123+'Incremental Repayments'!$I$31),-PMT('Interest Rate'!$J$16,'Incremental Repayments'!$I$31,(HLOOKUP($D123,$E$4:$CZ$32,28,FALSE)*'Incremental Repayments'!$I$22)),0),0)</f>
        <v>0</v>
      </c>
      <c r="CZ123" s="477">
        <f>IF('Incremental Repayments'!$R$22="Debt",IF(AND(CZ$4&gt;=$D123,CZ$4&lt;$D123+'Incremental Repayments'!$I$31),-PMT('Interest Rate'!$J$16,'Incremental Repayments'!$I$31,(HLOOKUP($D123,$E$4:$CZ$32,28,FALSE)*'Incremental Repayments'!$I$22)),0),0)</f>
        <v>0</v>
      </c>
    </row>
    <row r="124" spans="1:104" s="762" customFormat="1" x14ac:dyDescent="0.25">
      <c r="B124" s="765" t="s">
        <v>532</v>
      </c>
      <c r="C124" s="765"/>
      <c r="D124" s="766"/>
      <c r="E124" s="767">
        <f>SUM(E53:E123)</f>
        <v>3069577.1454296578</v>
      </c>
      <c r="F124" s="767">
        <f t="shared" ref="F124:T124" si="499">SUM(F53:F123)</f>
        <v>3069577.1454296578</v>
      </c>
      <c r="G124" s="767">
        <f t="shared" si="499"/>
        <v>3069577.1454296578</v>
      </c>
      <c r="H124" s="767">
        <f t="shared" si="499"/>
        <v>3069577.1454296578</v>
      </c>
      <c r="I124" s="767">
        <f t="shared" si="499"/>
        <v>3069577.1454296578</v>
      </c>
      <c r="J124" s="767">
        <f t="shared" si="499"/>
        <v>3069577.1454296578</v>
      </c>
      <c r="K124" s="767">
        <f t="shared" si="499"/>
        <v>3069577.1454296578</v>
      </c>
      <c r="L124" s="767">
        <f t="shared" si="499"/>
        <v>3069577.1454296578</v>
      </c>
      <c r="M124" s="767">
        <f t="shared" si="499"/>
        <v>3069577.1454296578</v>
      </c>
      <c r="N124" s="767">
        <f t="shared" si="499"/>
        <v>3069577.1454296578</v>
      </c>
      <c r="O124" s="767">
        <f t="shared" si="499"/>
        <v>3069577.1454296578</v>
      </c>
      <c r="P124" s="767">
        <f t="shared" si="499"/>
        <v>3069577.1454296578</v>
      </c>
      <c r="Q124" s="767">
        <f t="shared" si="499"/>
        <v>3069577.1454296578</v>
      </c>
      <c r="R124" s="767">
        <f t="shared" si="499"/>
        <v>3069577.1454296578</v>
      </c>
      <c r="S124" s="767">
        <f t="shared" si="499"/>
        <v>3069577.1454296578</v>
      </c>
      <c r="T124" s="767">
        <f t="shared" si="499"/>
        <v>3069577.1454296578</v>
      </c>
      <c r="U124" s="767">
        <f>SUM(U53:U123)</f>
        <v>3069577.1454296578</v>
      </c>
      <c r="V124" s="767">
        <f t="shared" ref="V124" si="500">SUM(V53:V123)</f>
        <v>3069577.1454296578</v>
      </c>
      <c r="W124" s="767">
        <f t="shared" ref="W124" si="501">SUM(W53:W123)</f>
        <v>3399823.2959355912</v>
      </c>
      <c r="X124" s="767">
        <f t="shared" ref="X124" si="502">SUM(X53:X123)</f>
        <v>4036314.631526886</v>
      </c>
      <c r="Y124" s="767">
        <f t="shared" ref="Y124" si="503">SUM(Y53:Y123)</f>
        <v>4689101.4824759997</v>
      </c>
      <c r="Z124" s="767">
        <f t="shared" ref="Z124" si="504">SUM(Z53:Z123)</f>
        <v>5358595.7030709824</v>
      </c>
      <c r="AA124" s="767">
        <f t="shared" ref="AA124" si="505">SUM(AA53:AA123)</f>
        <v>6045219.3872619625</v>
      </c>
      <c r="AB124" s="767">
        <f t="shared" ref="AB124" si="506">SUM(AB53:AB123)</f>
        <v>6749405.1177932359</v>
      </c>
      <c r="AC124" s="767">
        <f t="shared" ref="AC124" si="507">SUM(AC53:AC123)</f>
        <v>7471596.2212187191</v>
      </c>
      <c r="AD124" s="767">
        <f t="shared" ref="AD124" si="508">SUM(AD53:AD123)</f>
        <v>8212247.0289337467</v>
      </c>
      <c r="AE124" s="767">
        <f t="shared" ref="AE124" si="509">SUM(AE53:AE123)</f>
        <v>8971823.1443590857</v>
      </c>
      <c r="AF124" s="767">
        <f t="shared" ref="AF124" si="510">SUM(AF53:AF123)</f>
        <v>9750801.7164156362</v>
      </c>
      <c r="AG124" s="767">
        <f t="shared" ref="AG124" si="511">SUM(AG53:AG123)</f>
        <v>10549671.719431646</v>
      </c>
      <c r="AH124" s="767">
        <f t="shared" ref="AH124" si="512">SUM(AH53:AH123)</f>
        <v>11368934.239626627</v>
      </c>
      <c r="AI124" s="767">
        <f t="shared" ref="AI124" si="513">SUM(AI53:AI123)</f>
        <v>9139525.6228901874</v>
      </c>
      <c r="AJ124" s="767">
        <f t="shared" ref="AJ124" si="514">SUM(AJ53:AJ123)</f>
        <v>10001126.356584003</v>
      </c>
      <c r="AK124" s="767">
        <f t="shared" ref="AK124" si="515">SUM(AK53:AK123)</f>
        <v>10884698.504076043</v>
      </c>
      <c r="AL124" s="767">
        <f t="shared" ref="AL124" si="516">SUM(AL53:AL123)</f>
        <v>11790794.600756835</v>
      </c>
      <c r="AM124" s="767">
        <f t="shared" ref="AM124" si="517">SUM(AM53:AM123)</f>
        <v>12719980.830253359</v>
      </c>
      <c r="AN124" s="767">
        <f t="shared" ref="AN124" si="518">SUM(AN53:AN123)</f>
        <v>13774298.471113708</v>
      </c>
      <c r="AO124" s="767">
        <f t="shared" ref="AO124" si="519">SUM(AO53:AO123)</f>
        <v>14858664.16473859</v>
      </c>
      <c r="AP124" s="767">
        <f t="shared" ref="AP124" si="520">SUM(AP53:AP123)</f>
        <v>15973934.280631782</v>
      </c>
      <c r="AQ124" s="767">
        <f t="shared" ref="AQ124" si="521">SUM(AQ53:AQ123)</f>
        <v>17120989.594827924</v>
      </c>
      <c r="AR124" s="767">
        <f t="shared" ref="AR124" si="522">SUM(AR53:AR123)</f>
        <v>18300735.985478662</v>
      </c>
      <c r="AS124" s="767">
        <f t="shared" ref="AS124" si="523">SUM(AS53:AS123)</f>
        <v>19514105.148262948</v>
      </c>
      <c r="AT124" s="767">
        <f t="shared" ref="AT124" si="524">SUM(AT53:AT123)</f>
        <v>20762055.332186569</v>
      </c>
      <c r="AU124" s="767">
        <f t="shared" ref="AU124" si="525">SUM(AU53:AU123)</f>
        <v>22045572.09635203</v>
      </c>
      <c r="AV124" s="767">
        <f t="shared" ref="AV124" si="526">SUM(AV53:AV123)</f>
        <v>23365669.088296197</v>
      </c>
      <c r="AW124" s="767">
        <f t="shared" ref="AW124" si="527">SUM(AW53:AW123)</f>
        <v>24723388.844510783</v>
      </c>
      <c r="AX124" s="767">
        <f t="shared" ref="AX124" si="528">SUM(AX53:AX123)</f>
        <v>26119803.613777474</v>
      </c>
      <c r="AY124" s="767">
        <f t="shared" ref="AY124" si="529">SUM(AY53:AY123)</f>
        <v>27556016.203968279</v>
      </c>
      <c r="AZ124" s="767">
        <f t="shared" ref="AZ124" si="530">SUM(AZ53:AZ123)</f>
        <v>28209450.209152125</v>
      </c>
      <c r="BA124" s="767">
        <f t="shared" ref="BA124" si="531">SUM(BA53:BA123)</f>
        <v>27879204.058646195</v>
      </c>
      <c r="BB124" s="767">
        <f t="shared" ref="BB124" si="532">SUM(BB53:BB123)</f>
        <v>27242712.723054901</v>
      </c>
      <c r="BC124" s="767">
        <f t="shared" ref="BC124" si="533">SUM(BC53:BC123)</f>
        <v>26589925.872105792</v>
      </c>
      <c r="BD124" s="767">
        <f t="shared" ref="BD124" si="534">SUM(BD53:BD123)</f>
        <v>25920431.651510805</v>
      </c>
      <c r="BE124" s="767">
        <f t="shared" ref="BE124" si="535">SUM(BE53:BE123)</f>
        <v>25233807.967319824</v>
      </c>
      <c r="BF124" s="767">
        <f t="shared" ref="BF124" si="536">SUM(BF53:BF123)</f>
        <v>24529622.236788549</v>
      </c>
      <c r="BG124" s="767">
        <f t="shared" ref="BG124" si="537">SUM(BG53:BG123)</f>
        <v>23807431.133363068</v>
      </c>
      <c r="BH124" s="767">
        <f t="shared" ref="BH124" si="538">SUM(BH53:BH123)</f>
        <v>23066780.32564804</v>
      </c>
      <c r="BI124" s="767">
        <f t="shared" ref="BI124" si="539">SUM(BI53:BI123)</f>
        <v>22307204.210222706</v>
      </c>
      <c r="BJ124" s="767">
        <f t="shared" ref="BJ124" si="540">SUM(BJ53:BJ123)</f>
        <v>21528225.638166152</v>
      </c>
      <c r="BK124" s="767">
        <f t="shared" ref="BK124" si="541">SUM(BK53:BK123)</f>
        <v>20729355.635150142</v>
      </c>
      <c r="BL124" s="767">
        <f t="shared" ref="BL124" si="542">SUM(BL53:BL123)</f>
        <v>19910093.114955157</v>
      </c>
      <c r="BM124" s="767">
        <f t="shared" ref="BM124" si="543">SUM(BM53:BM123)</f>
        <v>19069924.586261943</v>
      </c>
      <c r="BN124" s="767">
        <f t="shared" ref="BN124" si="544">SUM(BN53:BN123)</f>
        <v>18208323.852568127</v>
      </c>
      <c r="BO124" s="767">
        <f t="shared" ref="BO124" si="545">SUM(BO53:BO123)</f>
        <v>17324751.705076091</v>
      </c>
      <c r="BP124" s="767">
        <f t="shared" ref="BP124" si="546">SUM(BP53:BP123)</f>
        <v>16418655.608395297</v>
      </c>
      <c r="BQ124" s="767">
        <f t="shared" ref="BQ124" si="547">SUM(BQ53:BQ123)</f>
        <v>15489469.378898775</v>
      </c>
      <c r="BR124" s="767">
        <f t="shared" ref="BR124" si="548">SUM(BR53:BR123)</f>
        <v>14435151.738038424</v>
      </c>
      <c r="BS124" s="767">
        <f t="shared" ref="BS124" si="549">SUM(BS53:BS123)</f>
        <v>13350786.044413542</v>
      </c>
      <c r="BT124" s="767">
        <f t="shared" ref="BT124" si="550">SUM(BT53:BT123)</f>
        <v>12235515.92852035</v>
      </c>
      <c r="BU124" s="767">
        <f t="shared" ref="BU124" si="551">SUM(BU53:BU123)</f>
        <v>11088460.614324206</v>
      </c>
      <c r="BV124" s="767">
        <f t="shared" ref="BV124" si="552">SUM(BV53:BV123)</f>
        <v>9908714.2236734666</v>
      </c>
      <c r="BW124" s="767">
        <f t="shared" ref="BW124" si="553">SUM(BW53:BW123)</f>
        <v>8695345.0608891789</v>
      </c>
      <c r="BX124" s="767">
        <f t="shared" ref="BX124" si="554">SUM(BX53:BX123)</f>
        <v>7447394.8769655582</v>
      </c>
      <c r="BY124" s="767">
        <f t="shared" ref="BY124" si="555">SUM(BY53:BY123)</f>
        <v>6163878.1128000962</v>
      </c>
      <c r="BZ124" s="767">
        <f t="shared" ref="BZ124" si="556">SUM(BZ53:BZ123)</f>
        <v>4843781.1208559275</v>
      </c>
      <c r="CA124" s="767">
        <f t="shared" ref="CA124" si="557">SUM(CA53:CA123)</f>
        <v>3486061.3646413437</v>
      </c>
      <c r="CB124" s="767">
        <f t="shared" ref="CB124" si="558">SUM(CB53:CB123)</f>
        <v>2089646.5953746533</v>
      </c>
      <c r="CC124" s="767">
        <f t="shared" ref="CC124" si="559">SUM(CC53:CC123)</f>
        <v>653434.00518384762</v>
      </c>
      <c r="CD124" s="767">
        <f t="shared" ref="CD124" si="560">SUM(CD53:CD123)</f>
        <v>0</v>
      </c>
      <c r="CE124" s="767">
        <f t="shared" ref="CE124" si="561">SUM(CE53:CE123)</f>
        <v>0</v>
      </c>
      <c r="CF124" s="767">
        <f t="shared" ref="CF124" si="562">SUM(CF53:CF123)</f>
        <v>0</v>
      </c>
      <c r="CG124" s="767">
        <f t="shared" ref="CG124" si="563">SUM(CG53:CG123)</f>
        <v>0</v>
      </c>
      <c r="CH124" s="767">
        <f t="shared" ref="CH124" si="564">SUM(CH53:CH123)</f>
        <v>0</v>
      </c>
      <c r="CI124" s="767">
        <f t="shared" ref="CI124" si="565">SUM(CI53:CI123)</f>
        <v>0</v>
      </c>
      <c r="CJ124" s="767">
        <f t="shared" ref="CJ124" si="566">SUM(CJ53:CJ123)</f>
        <v>0</v>
      </c>
      <c r="CK124" s="767">
        <f t="shared" ref="CK124" si="567">SUM(CK53:CK123)</f>
        <v>0</v>
      </c>
      <c r="CL124" s="767">
        <f t="shared" ref="CL124" si="568">SUM(CL53:CL123)</f>
        <v>0</v>
      </c>
      <c r="CM124" s="767">
        <f t="shared" ref="CM124" si="569">SUM(CM53:CM123)</f>
        <v>0</v>
      </c>
      <c r="CN124" s="767">
        <f t="shared" ref="CN124" si="570">SUM(CN53:CN123)</f>
        <v>0</v>
      </c>
      <c r="CO124" s="767">
        <f t="shared" ref="CO124" si="571">SUM(CO53:CO123)</f>
        <v>0</v>
      </c>
      <c r="CP124" s="767">
        <f t="shared" ref="CP124" si="572">SUM(CP53:CP123)</f>
        <v>0</v>
      </c>
      <c r="CQ124" s="767">
        <f t="shared" ref="CQ124" si="573">SUM(CQ53:CQ123)</f>
        <v>0</v>
      </c>
      <c r="CR124" s="767">
        <f t="shared" ref="CR124" si="574">SUM(CR53:CR123)</f>
        <v>0</v>
      </c>
      <c r="CS124" s="767">
        <f t="shared" ref="CS124" si="575">SUM(CS53:CS123)</f>
        <v>0</v>
      </c>
      <c r="CT124" s="767">
        <f t="shared" ref="CT124" si="576">SUM(CT53:CT123)</f>
        <v>0</v>
      </c>
      <c r="CU124" s="767">
        <f t="shared" ref="CU124" si="577">SUM(CU53:CU123)</f>
        <v>0</v>
      </c>
      <c r="CV124" s="767">
        <f t="shared" ref="CV124" si="578">SUM(CV53:CV123)</f>
        <v>0</v>
      </c>
      <c r="CW124" s="767">
        <f t="shared" ref="CW124" si="579">SUM(CW53:CW123)</f>
        <v>0</v>
      </c>
      <c r="CX124" s="767">
        <f t="shared" ref="CX124" si="580">SUM(CX53:CX123)</f>
        <v>0</v>
      </c>
      <c r="CY124" s="767">
        <f t="shared" ref="CY124" si="581">SUM(CY53:CY123)</f>
        <v>0</v>
      </c>
      <c r="CZ124" s="767">
        <f t="shared" ref="CZ124" si="582">SUM(CZ53:CZ123)</f>
        <v>0</v>
      </c>
    </row>
    <row r="125" spans="1:104" x14ac:dyDescent="0.25">
      <c r="B125" s="480"/>
      <c r="C125" s="782" t="s">
        <v>596</v>
      </c>
      <c r="D125" s="492"/>
      <c r="E125" s="790">
        <f>E52*(E124+E129)</f>
        <v>3069577.1454296578</v>
      </c>
      <c r="F125" s="790">
        <f t="shared" ref="F125:BQ125" si="583">F52*(F124+F129)</f>
        <v>2937394.3975403425</v>
      </c>
      <c r="G125" s="790">
        <f t="shared" si="583"/>
        <v>2810903.7297036774</v>
      </c>
      <c r="H125" s="790">
        <f t="shared" si="583"/>
        <v>2689860.0284245713</v>
      </c>
      <c r="I125" s="790">
        <f t="shared" si="583"/>
        <v>2574028.7353345188</v>
      </c>
      <c r="J125" s="790">
        <f t="shared" si="583"/>
        <v>2463185.3926646113</v>
      </c>
      <c r="K125" s="790">
        <f t="shared" si="583"/>
        <v>2357115.2082914948</v>
      </c>
      <c r="L125" s="790">
        <f t="shared" si="583"/>
        <v>2255612.639513392</v>
      </c>
      <c r="M125" s="790">
        <f t="shared" si="583"/>
        <v>2158480.9947496583</v>
      </c>
      <c r="N125" s="790">
        <f t="shared" si="583"/>
        <v>2065532.0523920176</v>
      </c>
      <c r="O125" s="790">
        <f t="shared" si="583"/>
        <v>1976585.6960689165</v>
      </c>
      <c r="P125" s="790">
        <f t="shared" si="583"/>
        <v>1891469.5656161881</v>
      </c>
      <c r="Q125" s="790">
        <f t="shared" si="583"/>
        <v>1810018.7230776923</v>
      </c>
      <c r="R125" s="790">
        <f t="shared" si="583"/>
        <v>1732075.3330887007</v>
      </c>
      <c r="S125" s="790">
        <f t="shared" si="583"/>
        <v>1657488.3570226806</v>
      </c>
      <c r="T125" s="790">
        <f t="shared" si="583"/>
        <v>1586113.2603087851</v>
      </c>
      <c r="U125" s="790">
        <f t="shared" si="583"/>
        <v>1517811.732352905</v>
      </c>
      <c r="V125" s="790">
        <f t="shared" si="583"/>
        <v>1452451.4185195263</v>
      </c>
      <c r="W125" s="790">
        <f t="shared" si="583"/>
        <v>3975209.6182321757</v>
      </c>
      <c r="X125" s="790">
        <f t="shared" si="583"/>
        <v>6241301.0825074511</v>
      </c>
      <c r="Y125" s="790">
        <f t="shared" si="583"/>
        <v>6353271.4007401587</v>
      </c>
      <c r="Z125" s="790">
        <f t="shared" si="583"/>
        <v>6453315.9475465808</v>
      </c>
      <c r="AA125" s="790">
        <f t="shared" si="583"/>
        <v>6542077.6924048457</v>
      </c>
      <c r="AB125" s="790">
        <f t="shared" si="583"/>
        <v>6620169.6012812546</v>
      </c>
      <c r="AC125" s="790">
        <f t="shared" si="583"/>
        <v>6688175.9695137851</v>
      </c>
      <c r="AD125" s="790">
        <f t="shared" si="583"/>
        <v>6746653.6965854811</v>
      </c>
      <c r="AE125" s="790">
        <f t="shared" si="583"/>
        <v>6796133.5053028781</v>
      </c>
      <c r="AF125" s="790">
        <f t="shared" si="583"/>
        <v>6837121.1077842088</v>
      </c>
      <c r="AG125" s="790">
        <f t="shared" si="583"/>
        <v>6870098.3205622882</v>
      </c>
      <c r="AH125" s="790">
        <f t="shared" si="583"/>
        <v>6895524.1310018338</v>
      </c>
      <c r="AI125" s="790">
        <f t="shared" si="583"/>
        <v>6094258.5717129428</v>
      </c>
      <c r="AJ125" s="790">
        <f t="shared" si="583"/>
        <v>6141165.0732886409</v>
      </c>
      <c r="AK125" s="790">
        <f t="shared" si="583"/>
        <v>6180250.3517109323</v>
      </c>
      <c r="AL125" s="790">
        <f t="shared" si="583"/>
        <v>6211957.285381061</v>
      </c>
      <c r="AM125" s="790">
        <f t="shared" si="583"/>
        <v>6236707.7778226966</v>
      </c>
      <c r="AN125" s="790">
        <f t="shared" si="583"/>
        <v>6630738.1136017973</v>
      </c>
      <c r="AO125" s="790">
        <f t="shared" si="583"/>
        <v>6667880.367767374</v>
      </c>
      <c r="AP125" s="790">
        <f t="shared" si="583"/>
        <v>6698328.3036994115</v>
      </c>
      <c r="AQ125" s="790">
        <f t="shared" si="583"/>
        <v>6722450.6391226696</v>
      </c>
      <c r="AR125" s="790">
        <f t="shared" si="583"/>
        <v>6740598.9437707392</v>
      </c>
      <c r="AS125" s="790">
        <f t="shared" si="583"/>
        <v>6753108.3978718594</v>
      </c>
      <c r="AT125" s="790">
        <f t="shared" si="583"/>
        <v>6760298.5176562285</v>
      </c>
      <c r="AU125" s="790">
        <f t="shared" si="583"/>
        <v>6762473.8493097769</v>
      </c>
      <c r="AV125" s="790">
        <f t="shared" si="583"/>
        <v>6759924.6327373413</v>
      </c>
      <c r="AW125" s="790">
        <f t="shared" si="583"/>
        <v>6752927.4364419132</v>
      </c>
      <c r="AX125" s="790">
        <f t="shared" si="583"/>
        <v>6741745.7647664053</v>
      </c>
      <c r="AY125" s="790">
        <f t="shared" si="583"/>
        <v>6726630.6386946216</v>
      </c>
      <c r="AZ125" s="790">
        <f t="shared" si="583"/>
        <v>4908634.9924064605</v>
      </c>
      <c r="BA125" s="790">
        <f t="shared" si="583"/>
        <v>3370531.8019609158</v>
      </c>
      <c r="BB125" s="790">
        <f t="shared" si="583"/>
        <v>3151752.593220016</v>
      </c>
      <c r="BC125" s="790">
        <f t="shared" si="583"/>
        <v>2943761.3859134703</v>
      </c>
      <c r="BD125" s="790">
        <f t="shared" si="583"/>
        <v>2746068.8182749972</v>
      </c>
      <c r="BE125" s="790">
        <f t="shared" si="583"/>
        <v>2558207.0441267029</v>
      </c>
      <c r="BF125" s="790">
        <f t="shared" si="583"/>
        <v>2379728.7985783294</v>
      </c>
      <c r="BG125" s="790">
        <f t="shared" si="583"/>
        <v>2210206.5040952964</v>
      </c>
      <c r="BH125" s="790">
        <f t="shared" si="583"/>
        <v>2049231.4151947808</v>
      </c>
      <c r="BI125" s="790">
        <f t="shared" si="583"/>
        <v>1896412.8001041671</v>
      </c>
      <c r="BJ125" s="790">
        <f t="shared" si="583"/>
        <v>1751377.1577878846</v>
      </c>
      <c r="BK125" s="790">
        <f t="shared" si="583"/>
        <v>1613767.4688173907</v>
      </c>
      <c r="BL125" s="790">
        <f t="shared" si="583"/>
        <v>1483242.4786247448</v>
      </c>
      <c r="BM125" s="790">
        <f t="shared" si="583"/>
        <v>1359476.011743112</v>
      </c>
      <c r="BN125" s="790">
        <f t="shared" si="583"/>
        <v>1242156.3156977245</v>
      </c>
      <c r="BO125" s="790">
        <f t="shared" si="583"/>
        <v>1130985.4332684064</v>
      </c>
      <c r="BP125" s="790">
        <f t="shared" si="583"/>
        <v>1025678.6018998839</v>
      </c>
      <c r="BQ125" s="790">
        <f t="shared" si="583"/>
        <v>925963.67908882478</v>
      </c>
      <c r="BR125" s="790">
        <f t="shared" ref="BR125:CZ125" si="584">BR52*(BR124+BR129)</f>
        <v>825776.41409628524</v>
      </c>
      <c r="BS125" s="790">
        <f t="shared" si="584"/>
        <v>730855.74741530837</v>
      </c>
      <c r="BT125" s="790">
        <f t="shared" si="584"/>
        <v>640959.85119146656</v>
      </c>
      <c r="BU125" s="790">
        <f t="shared" si="584"/>
        <v>555857.54862904304</v>
      </c>
      <c r="BV125" s="790">
        <f t="shared" si="584"/>
        <v>475327.85158427747</v>
      </c>
      <c r="BW125" s="790">
        <f t="shared" si="584"/>
        <v>399159.51813005918</v>
      </c>
      <c r="BX125" s="790">
        <f t="shared" si="584"/>
        <v>327150.62923111062</v>
      </c>
      <c r="BY125" s="790">
        <f t="shared" si="584"/>
        <v>259108.18370580359</v>
      </c>
      <c r="BZ125" s="790">
        <f t="shared" si="584"/>
        <v>194847.71068624861</v>
      </c>
      <c r="CA125" s="790">
        <f t="shared" si="584"/>
        <v>134192.89882223716</v>
      </c>
      <c r="CB125" s="790">
        <f t="shared" si="584"/>
        <v>76975.241507147352</v>
      </c>
      <c r="CC125" s="790">
        <f t="shared" si="584"/>
        <v>23033.697434997444</v>
      </c>
      <c r="CD125" s="790">
        <f t="shared" si="584"/>
        <v>0</v>
      </c>
      <c r="CE125" s="790">
        <f t="shared" si="584"/>
        <v>0</v>
      </c>
      <c r="CF125" s="790">
        <f t="shared" si="584"/>
        <v>0</v>
      </c>
      <c r="CG125" s="790">
        <f t="shared" si="584"/>
        <v>0</v>
      </c>
      <c r="CH125" s="790">
        <f t="shared" si="584"/>
        <v>0</v>
      </c>
      <c r="CI125" s="790">
        <f t="shared" si="584"/>
        <v>0</v>
      </c>
      <c r="CJ125" s="790">
        <f t="shared" si="584"/>
        <v>0</v>
      </c>
      <c r="CK125" s="790">
        <f t="shared" si="584"/>
        <v>0</v>
      </c>
      <c r="CL125" s="790">
        <f t="shared" si="584"/>
        <v>0</v>
      </c>
      <c r="CM125" s="790">
        <f t="shared" si="584"/>
        <v>0</v>
      </c>
      <c r="CN125" s="790">
        <f t="shared" si="584"/>
        <v>0</v>
      </c>
      <c r="CO125" s="790">
        <f t="shared" si="584"/>
        <v>0</v>
      </c>
      <c r="CP125" s="790">
        <f t="shared" si="584"/>
        <v>0</v>
      </c>
      <c r="CQ125" s="790">
        <f t="shared" si="584"/>
        <v>0</v>
      </c>
      <c r="CR125" s="790">
        <f t="shared" si="584"/>
        <v>0</v>
      </c>
      <c r="CS125" s="790">
        <f t="shared" si="584"/>
        <v>0</v>
      </c>
      <c r="CT125" s="790">
        <f t="shared" si="584"/>
        <v>0</v>
      </c>
      <c r="CU125" s="790">
        <f t="shared" si="584"/>
        <v>0</v>
      </c>
      <c r="CV125" s="790">
        <f t="shared" si="584"/>
        <v>0</v>
      </c>
      <c r="CW125" s="790">
        <f t="shared" si="584"/>
        <v>0</v>
      </c>
      <c r="CX125" s="790">
        <f t="shared" si="584"/>
        <v>0</v>
      </c>
      <c r="CY125" s="790">
        <f t="shared" si="584"/>
        <v>0</v>
      </c>
      <c r="CZ125" s="790">
        <f t="shared" si="584"/>
        <v>0</v>
      </c>
    </row>
    <row r="126" spans="1:104" s="410" customFormat="1" x14ac:dyDescent="0.25">
      <c r="A126" s="762" t="s">
        <v>533</v>
      </c>
      <c r="B126" s="768"/>
      <c r="C126" s="768"/>
      <c r="D126" s="769"/>
      <c r="E126" s="770"/>
      <c r="F126" s="770"/>
      <c r="G126" s="770"/>
      <c r="H126" s="770"/>
      <c r="I126" s="770"/>
      <c r="J126" s="770"/>
      <c r="K126" s="770"/>
      <c r="L126" s="770"/>
      <c r="M126" s="770"/>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c r="AN126" s="770"/>
      <c r="AO126" s="770"/>
      <c r="AP126" s="770"/>
      <c r="AQ126" s="770"/>
      <c r="AR126" s="770"/>
      <c r="AS126" s="770"/>
      <c r="AT126" s="770"/>
      <c r="AU126" s="770"/>
      <c r="AV126" s="770"/>
      <c r="AW126" s="770"/>
      <c r="AX126" s="770"/>
      <c r="AY126" s="770"/>
      <c r="AZ126" s="770"/>
      <c r="BA126" s="770"/>
      <c r="BB126" s="770"/>
      <c r="BC126" s="770"/>
      <c r="BD126" s="770"/>
      <c r="BE126" s="770"/>
      <c r="BF126" s="770"/>
      <c r="BG126" s="770"/>
      <c r="BH126" s="770"/>
      <c r="BI126" s="770"/>
      <c r="BJ126" s="770"/>
      <c r="BK126" s="770"/>
      <c r="BL126" s="770"/>
      <c r="BM126" s="770"/>
      <c r="BN126" s="770"/>
      <c r="BO126" s="770"/>
      <c r="BP126" s="770"/>
      <c r="BQ126" s="770"/>
      <c r="BR126" s="770"/>
      <c r="BS126" s="770"/>
      <c r="BT126" s="770"/>
      <c r="BU126" s="770"/>
      <c r="BV126" s="770"/>
      <c r="BW126" s="770"/>
      <c r="BX126" s="770"/>
      <c r="BY126" s="770"/>
      <c r="BZ126" s="770"/>
      <c r="CA126" s="770"/>
      <c r="CB126" s="770"/>
      <c r="CC126" s="770"/>
      <c r="CD126" s="770"/>
      <c r="CE126" s="770"/>
      <c r="CF126" s="770"/>
      <c r="CG126" s="770"/>
      <c r="CH126" s="770"/>
      <c r="CI126" s="770"/>
      <c r="CJ126" s="770"/>
      <c r="CK126" s="770"/>
      <c r="CL126" s="770"/>
      <c r="CM126" s="770"/>
      <c r="CN126" s="770"/>
      <c r="CO126" s="770"/>
      <c r="CP126" s="770"/>
      <c r="CQ126" s="770"/>
      <c r="CR126" s="770"/>
      <c r="CS126" s="770"/>
      <c r="CT126" s="770"/>
      <c r="CU126" s="770"/>
      <c r="CV126" s="770"/>
      <c r="CW126" s="770"/>
      <c r="CX126" s="770"/>
      <c r="CY126" s="770"/>
      <c r="CZ126" s="770"/>
    </row>
    <row r="127" spans="1:104" s="410" customFormat="1" x14ac:dyDescent="0.25">
      <c r="B127" s="768" t="s">
        <v>534</v>
      </c>
      <c r="C127" s="768"/>
      <c r="D127" s="769"/>
      <c r="E127" s="763">
        <f>E124+E37+E40+E48</f>
        <v>3069577.1454296578</v>
      </c>
      <c r="F127" s="763">
        <f t="shared" ref="F127:Y127" si="585">F124+F37+F40+F48</f>
        <v>3069577.1454296578</v>
      </c>
      <c r="G127" s="763">
        <f t="shared" si="585"/>
        <v>3069577.1454296578</v>
      </c>
      <c r="H127" s="763">
        <f t="shared" si="585"/>
        <v>3069577.1454296578</v>
      </c>
      <c r="I127" s="763">
        <f t="shared" si="585"/>
        <v>3069577.1454296578</v>
      </c>
      <c r="J127" s="763">
        <f t="shared" si="585"/>
        <v>3069577.1454296578</v>
      </c>
      <c r="K127" s="763">
        <f t="shared" si="585"/>
        <v>3069577.1454296578</v>
      </c>
      <c r="L127" s="763">
        <f t="shared" si="585"/>
        <v>3069577.1454296578</v>
      </c>
      <c r="M127" s="763">
        <f t="shared" si="585"/>
        <v>3069577.1454296578</v>
      </c>
      <c r="N127" s="763">
        <f t="shared" si="585"/>
        <v>3069577.1454296578</v>
      </c>
      <c r="O127" s="763">
        <f t="shared" si="585"/>
        <v>3069577.1454296578</v>
      </c>
      <c r="P127" s="763">
        <f t="shared" si="585"/>
        <v>3069577.1454296578</v>
      </c>
      <c r="Q127" s="763">
        <f t="shared" si="585"/>
        <v>3069577.1454296578</v>
      </c>
      <c r="R127" s="763">
        <f t="shared" si="585"/>
        <v>3069577.1454296578</v>
      </c>
      <c r="S127" s="763">
        <f t="shared" si="585"/>
        <v>3069577.1454296578</v>
      </c>
      <c r="T127" s="763">
        <f t="shared" si="585"/>
        <v>3069577.1454296578</v>
      </c>
      <c r="U127" s="763">
        <f t="shared" si="585"/>
        <v>3069577.1454296578</v>
      </c>
      <c r="V127" s="763">
        <f t="shared" si="585"/>
        <v>3069577.1454296578</v>
      </c>
      <c r="W127" s="763">
        <f t="shared" si="585"/>
        <v>8779166.0337071773</v>
      </c>
      <c r="X127" s="763">
        <f t="shared" si="585"/>
        <v>14404051.056379033</v>
      </c>
      <c r="Y127" s="763">
        <f t="shared" si="585"/>
        <v>15322273.740763415</v>
      </c>
      <c r="Z127" s="763">
        <f>Z124+Z37+Z40+Z48</f>
        <v>16263912.44338819</v>
      </c>
      <c r="AA127" s="763">
        <f>AA124+AA37+AA40+AA48</f>
        <v>17229556.050917815</v>
      </c>
      <c r="AB127" s="763">
        <f t="shared" ref="AB127:CN127" si="586">AB124+AB37+AB40+AB48</f>
        <v>18219807.996895768</v>
      </c>
      <c r="AC127" s="763">
        <f t="shared" si="586"/>
        <v>19235286.61259339</v>
      </c>
      <c r="AD127" s="763">
        <f t="shared" si="586"/>
        <v>20276625.486041337</v>
      </c>
      <c r="AE127" s="763">
        <f t="shared" si="586"/>
        <v>21344473.829426318</v>
      </c>
      <c r="AF127" s="763">
        <f t="shared" si="586"/>
        <v>22439496.855034076</v>
      </c>
      <c r="AG127" s="763">
        <f t="shared" si="586"/>
        <v>23562376.159935109</v>
      </c>
      <c r="AH127" s="763">
        <f t="shared" si="586"/>
        <v>24713810.119595855</v>
      </c>
      <c r="AI127" s="763">
        <f t="shared" si="586"/>
        <v>22824937.14519316</v>
      </c>
      <c r="AJ127" s="763">
        <f t="shared" si="586"/>
        <v>24035644.67740006</v>
      </c>
      <c r="AK127" s="763">
        <f t="shared" si="586"/>
        <v>25277106.73541183</v>
      </c>
      <c r="AL127" s="763">
        <f t="shared" si="586"/>
        <v>26550092.930005431</v>
      </c>
      <c r="AM127" s="763">
        <f t="shared" si="586"/>
        <v>27855391.759410217</v>
      </c>
      <c r="AN127" s="763">
        <f t="shared" si="586"/>
        <v>30947961.013365485</v>
      </c>
      <c r="AO127" s="763">
        <f t="shared" si="586"/>
        <v>32521776.089444764</v>
      </c>
      <c r="AP127" s="763">
        <f t="shared" si="586"/>
        <v>34140444.895192094</v>
      </c>
      <c r="AQ127" s="763">
        <f t="shared" si="586"/>
        <v>35805245.761903122</v>
      </c>
      <c r="AR127" s="763">
        <f t="shared" si="586"/>
        <v>37517493.453315601</v>
      </c>
      <c r="AS127" s="763">
        <f t="shared" si="586"/>
        <v>39278540.203933254</v>
      </c>
      <c r="AT127" s="763">
        <f t="shared" si="586"/>
        <v>41089776.786943197</v>
      </c>
      <c r="AU127" s="763">
        <f t="shared" si="586"/>
        <v>42952633.612569511</v>
      </c>
      <c r="AV127" s="763">
        <f t="shared" si="586"/>
        <v>44868581.857725732</v>
      </c>
      <c r="AW127" s="763">
        <f t="shared" si="586"/>
        <v>46839134.627869159</v>
      </c>
      <c r="AX127" s="763">
        <f t="shared" si="586"/>
        <v>48865848.151961416</v>
      </c>
      <c r="AY127" s="763">
        <f t="shared" si="586"/>
        <v>50950323.011490703</v>
      </c>
      <c r="AZ127" s="763">
        <f t="shared" si="586"/>
        <v>38853163.89064008</v>
      </c>
      <c r="BA127" s="763">
        <f t="shared" si="586"/>
        <v>27879204.058646195</v>
      </c>
      <c r="BB127" s="763">
        <f t="shared" si="586"/>
        <v>27242712.723054901</v>
      </c>
      <c r="BC127" s="763">
        <f t="shared" si="586"/>
        <v>26589925.872105792</v>
      </c>
      <c r="BD127" s="763">
        <f t="shared" si="586"/>
        <v>25920431.651510805</v>
      </c>
      <c r="BE127" s="763">
        <f t="shared" si="586"/>
        <v>25233807.967319824</v>
      </c>
      <c r="BF127" s="763">
        <f t="shared" si="586"/>
        <v>24529622.236788549</v>
      </c>
      <c r="BG127" s="763">
        <f t="shared" si="586"/>
        <v>23807431.133363068</v>
      </c>
      <c r="BH127" s="763">
        <f t="shared" si="586"/>
        <v>23066780.32564804</v>
      </c>
      <c r="BI127" s="763">
        <f t="shared" si="586"/>
        <v>22307204.210222706</v>
      </c>
      <c r="BJ127" s="763">
        <f t="shared" si="586"/>
        <v>21528225.638166152</v>
      </c>
      <c r="BK127" s="763">
        <f t="shared" si="586"/>
        <v>20729355.635150142</v>
      </c>
      <c r="BL127" s="763">
        <f t="shared" si="586"/>
        <v>19910093.114955157</v>
      </c>
      <c r="BM127" s="763">
        <f t="shared" si="586"/>
        <v>19069924.586261943</v>
      </c>
      <c r="BN127" s="763">
        <f t="shared" si="586"/>
        <v>18208323.852568127</v>
      </c>
      <c r="BO127" s="763">
        <f t="shared" si="586"/>
        <v>17324751.705076091</v>
      </c>
      <c r="BP127" s="763">
        <f t="shared" si="586"/>
        <v>16418655.608395297</v>
      </c>
      <c r="BQ127" s="763">
        <f t="shared" si="586"/>
        <v>15489469.378898775</v>
      </c>
      <c r="BR127" s="763">
        <f t="shared" si="586"/>
        <v>14435151.738038424</v>
      </c>
      <c r="BS127" s="763">
        <f t="shared" si="586"/>
        <v>13350786.044413542</v>
      </c>
      <c r="BT127" s="763">
        <f t="shared" si="586"/>
        <v>12235515.92852035</v>
      </c>
      <c r="BU127" s="763">
        <f t="shared" si="586"/>
        <v>11088460.614324206</v>
      </c>
      <c r="BV127" s="763">
        <f t="shared" si="586"/>
        <v>9908714.2236734666</v>
      </c>
      <c r="BW127" s="763">
        <f t="shared" si="586"/>
        <v>8695345.0608891789</v>
      </c>
      <c r="BX127" s="763">
        <f t="shared" si="586"/>
        <v>7447394.8769655582</v>
      </c>
      <c r="BY127" s="763">
        <f t="shared" si="586"/>
        <v>6163878.1128000962</v>
      </c>
      <c r="BZ127" s="763">
        <f t="shared" si="586"/>
        <v>4843781.1208559275</v>
      </c>
      <c r="CA127" s="763">
        <f t="shared" si="586"/>
        <v>3486061.3646413437</v>
      </c>
      <c r="CB127" s="763">
        <f t="shared" si="586"/>
        <v>2089646.5953746533</v>
      </c>
      <c r="CC127" s="763">
        <f t="shared" si="586"/>
        <v>653434.00518384762</v>
      </c>
      <c r="CD127" s="763">
        <f t="shared" si="586"/>
        <v>0</v>
      </c>
      <c r="CE127" s="763">
        <f t="shared" si="586"/>
        <v>0</v>
      </c>
      <c r="CF127" s="763">
        <f t="shared" si="586"/>
        <v>0</v>
      </c>
      <c r="CG127" s="763">
        <f t="shared" si="586"/>
        <v>0</v>
      </c>
      <c r="CH127" s="763">
        <f t="shared" si="586"/>
        <v>0</v>
      </c>
      <c r="CI127" s="763">
        <f t="shared" si="586"/>
        <v>0</v>
      </c>
      <c r="CJ127" s="763">
        <f t="shared" si="586"/>
        <v>0</v>
      </c>
      <c r="CK127" s="763">
        <f t="shared" si="586"/>
        <v>0</v>
      </c>
      <c r="CL127" s="763">
        <f t="shared" si="586"/>
        <v>0</v>
      </c>
      <c r="CM127" s="763">
        <f>CM124+CM37+CM40+CM48</f>
        <v>0</v>
      </c>
      <c r="CN127" s="763">
        <f t="shared" si="586"/>
        <v>0</v>
      </c>
      <c r="CO127" s="763">
        <f t="shared" ref="CO127:CP127" si="587">CO124+CO37+CO40+CO48</f>
        <v>0</v>
      </c>
      <c r="CP127" s="763">
        <f t="shared" si="587"/>
        <v>0</v>
      </c>
      <c r="CQ127" s="763">
        <f t="shared" ref="CQ127:CZ127" si="588">CQ124+CQ37+CQ40+CQ48+CQ124</f>
        <v>0</v>
      </c>
      <c r="CR127" s="763">
        <f t="shared" si="588"/>
        <v>0</v>
      </c>
      <c r="CS127" s="763">
        <f t="shared" si="588"/>
        <v>0</v>
      </c>
      <c r="CT127" s="763">
        <f t="shared" si="588"/>
        <v>0</v>
      </c>
      <c r="CU127" s="763">
        <f t="shared" si="588"/>
        <v>0</v>
      </c>
      <c r="CV127" s="763">
        <f t="shared" si="588"/>
        <v>0</v>
      </c>
      <c r="CW127" s="763">
        <f t="shared" si="588"/>
        <v>0</v>
      </c>
      <c r="CX127" s="763">
        <f t="shared" si="588"/>
        <v>0</v>
      </c>
      <c r="CY127" s="763">
        <f t="shared" si="588"/>
        <v>0</v>
      </c>
      <c r="CZ127" s="763">
        <f t="shared" si="588"/>
        <v>0</v>
      </c>
    </row>
    <row r="128" spans="1:104" s="410" customFormat="1" x14ac:dyDescent="0.25">
      <c r="B128" s="768"/>
      <c r="C128" s="768" t="s">
        <v>378</v>
      </c>
      <c r="D128" s="769"/>
      <c r="E128" s="763">
        <f>E37+E45+E124</f>
        <v>3069577.1454296578</v>
      </c>
      <c r="F128" s="763">
        <f t="shared" ref="F128:BQ128" si="589">F37+F45+F124</f>
        <v>3069577.1454296578</v>
      </c>
      <c r="G128" s="763">
        <f t="shared" si="589"/>
        <v>3069577.1454296578</v>
      </c>
      <c r="H128" s="763">
        <f t="shared" si="589"/>
        <v>3069577.1454296578</v>
      </c>
      <c r="I128" s="763">
        <f t="shared" si="589"/>
        <v>3069577.1454296578</v>
      </c>
      <c r="J128" s="763">
        <f t="shared" si="589"/>
        <v>3069577.1454296578</v>
      </c>
      <c r="K128" s="763">
        <f t="shared" si="589"/>
        <v>3069577.1454296578</v>
      </c>
      <c r="L128" s="763">
        <f t="shared" si="589"/>
        <v>3069577.1454296578</v>
      </c>
      <c r="M128" s="763">
        <f t="shared" si="589"/>
        <v>3069577.1454296578</v>
      </c>
      <c r="N128" s="763">
        <f t="shared" si="589"/>
        <v>3069577.1454296578</v>
      </c>
      <c r="O128" s="763">
        <f t="shared" si="589"/>
        <v>3069577.1454296578</v>
      </c>
      <c r="P128" s="763">
        <f t="shared" si="589"/>
        <v>3069577.1454296578</v>
      </c>
      <c r="Q128" s="763">
        <f t="shared" si="589"/>
        <v>3069577.1454296578</v>
      </c>
      <c r="R128" s="763">
        <f t="shared" si="589"/>
        <v>3069577.1454296578</v>
      </c>
      <c r="S128" s="763">
        <f t="shared" si="589"/>
        <v>3069577.1454296578</v>
      </c>
      <c r="T128" s="763">
        <f t="shared" si="589"/>
        <v>3069577.1454296578</v>
      </c>
      <c r="U128" s="763">
        <f t="shared" si="589"/>
        <v>3069577.1454296578</v>
      </c>
      <c r="V128" s="763">
        <f t="shared" si="589"/>
        <v>3069577.1454296578</v>
      </c>
      <c r="W128" s="763">
        <f t="shared" si="589"/>
        <v>3399823.2959355912</v>
      </c>
      <c r="X128" s="763">
        <f t="shared" si="589"/>
        <v>4036314.631526886</v>
      </c>
      <c r="Y128" s="763">
        <f t="shared" si="589"/>
        <v>4689101.4824759997</v>
      </c>
      <c r="Z128" s="763">
        <f t="shared" si="589"/>
        <v>5358595.7030709824</v>
      </c>
      <c r="AA128" s="763">
        <f t="shared" si="589"/>
        <v>6045219.3872619625</v>
      </c>
      <c r="AB128" s="763">
        <f t="shared" si="589"/>
        <v>6749405.1177932359</v>
      </c>
      <c r="AC128" s="763">
        <f t="shared" si="589"/>
        <v>7471596.2212187191</v>
      </c>
      <c r="AD128" s="763">
        <f t="shared" si="589"/>
        <v>8212247.0289337467</v>
      </c>
      <c r="AE128" s="763">
        <f t="shared" si="589"/>
        <v>8971823.1443590857</v>
      </c>
      <c r="AF128" s="763">
        <f t="shared" si="589"/>
        <v>9750801.7164156362</v>
      </c>
      <c r="AG128" s="763">
        <f t="shared" si="589"/>
        <v>10549671.719431646</v>
      </c>
      <c r="AH128" s="763">
        <f t="shared" si="589"/>
        <v>11368934.239626627</v>
      </c>
      <c r="AI128" s="763">
        <f t="shared" si="589"/>
        <v>9139525.6228901874</v>
      </c>
      <c r="AJ128" s="763">
        <f t="shared" si="589"/>
        <v>10001126.356584003</v>
      </c>
      <c r="AK128" s="763">
        <f t="shared" si="589"/>
        <v>10884698.504076043</v>
      </c>
      <c r="AL128" s="763">
        <f t="shared" si="589"/>
        <v>11790794.600756835</v>
      </c>
      <c r="AM128" s="763">
        <f t="shared" si="589"/>
        <v>12719980.830253359</v>
      </c>
      <c r="AN128" s="763">
        <f t="shared" si="589"/>
        <v>13774298.471113708</v>
      </c>
      <c r="AO128" s="763">
        <f t="shared" si="589"/>
        <v>14858664.16473859</v>
      </c>
      <c r="AP128" s="763">
        <f t="shared" si="589"/>
        <v>15973934.280631782</v>
      </c>
      <c r="AQ128" s="763">
        <f t="shared" si="589"/>
        <v>17120989.594827924</v>
      </c>
      <c r="AR128" s="763">
        <f t="shared" si="589"/>
        <v>18300735.985478662</v>
      </c>
      <c r="AS128" s="763">
        <f t="shared" si="589"/>
        <v>19514105.148262948</v>
      </c>
      <c r="AT128" s="763">
        <f t="shared" si="589"/>
        <v>20762055.332186569</v>
      </c>
      <c r="AU128" s="763">
        <f t="shared" si="589"/>
        <v>22045572.09635203</v>
      </c>
      <c r="AV128" s="763">
        <f t="shared" si="589"/>
        <v>23365669.088296197</v>
      </c>
      <c r="AW128" s="763">
        <f t="shared" si="589"/>
        <v>24723388.844510783</v>
      </c>
      <c r="AX128" s="763">
        <f t="shared" si="589"/>
        <v>26119803.613777474</v>
      </c>
      <c r="AY128" s="763">
        <f t="shared" si="589"/>
        <v>27556016.203968279</v>
      </c>
      <c r="AZ128" s="763">
        <f t="shared" si="589"/>
        <v>28209450.209152125</v>
      </c>
      <c r="BA128" s="763">
        <f t="shared" si="589"/>
        <v>27879204.058646195</v>
      </c>
      <c r="BB128" s="763">
        <f t="shared" si="589"/>
        <v>27242712.723054901</v>
      </c>
      <c r="BC128" s="763">
        <f t="shared" si="589"/>
        <v>26589925.872105792</v>
      </c>
      <c r="BD128" s="763">
        <f t="shared" si="589"/>
        <v>25920431.651510805</v>
      </c>
      <c r="BE128" s="763">
        <f t="shared" si="589"/>
        <v>25233807.967319824</v>
      </c>
      <c r="BF128" s="763">
        <f t="shared" si="589"/>
        <v>24529622.236788549</v>
      </c>
      <c r="BG128" s="763">
        <f t="shared" si="589"/>
        <v>23807431.133363068</v>
      </c>
      <c r="BH128" s="763">
        <f t="shared" si="589"/>
        <v>23066780.32564804</v>
      </c>
      <c r="BI128" s="763">
        <f t="shared" si="589"/>
        <v>22307204.210222706</v>
      </c>
      <c r="BJ128" s="763">
        <f t="shared" si="589"/>
        <v>21528225.638166152</v>
      </c>
      <c r="BK128" s="763">
        <f t="shared" si="589"/>
        <v>20729355.635150142</v>
      </c>
      <c r="BL128" s="763">
        <f t="shared" si="589"/>
        <v>19910093.114955157</v>
      </c>
      <c r="BM128" s="763">
        <f t="shared" si="589"/>
        <v>19069924.586261943</v>
      </c>
      <c r="BN128" s="763">
        <f t="shared" si="589"/>
        <v>18208323.852568127</v>
      </c>
      <c r="BO128" s="763">
        <f t="shared" si="589"/>
        <v>17324751.705076091</v>
      </c>
      <c r="BP128" s="763">
        <f t="shared" si="589"/>
        <v>16418655.608395297</v>
      </c>
      <c r="BQ128" s="763">
        <f t="shared" si="589"/>
        <v>15489469.378898775</v>
      </c>
      <c r="BR128" s="763">
        <f t="shared" ref="BR128:CZ128" si="590">BR37+BR45+BR124</f>
        <v>14435151.738038424</v>
      </c>
      <c r="BS128" s="763">
        <f t="shared" si="590"/>
        <v>13350786.044413542</v>
      </c>
      <c r="BT128" s="763">
        <f t="shared" si="590"/>
        <v>12235515.92852035</v>
      </c>
      <c r="BU128" s="763">
        <f t="shared" si="590"/>
        <v>11088460.614324206</v>
      </c>
      <c r="BV128" s="763">
        <f t="shared" si="590"/>
        <v>9908714.2236734666</v>
      </c>
      <c r="BW128" s="763">
        <f t="shared" si="590"/>
        <v>8695345.0608891789</v>
      </c>
      <c r="BX128" s="763">
        <f t="shared" si="590"/>
        <v>7447394.8769655582</v>
      </c>
      <c r="BY128" s="763">
        <f t="shared" si="590"/>
        <v>6163878.1128000962</v>
      </c>
      <c r="BZ128" s="763">
        <f t="shared" si="590"/>
        <v>4843781.1208559275</v>
      </c>
      <c r="CA128" s="763">
        <f t="shared" si="590"/>
        <v>3486061.3646413437</v>
      </c>
      <c r="CB128" s="763">
        <f t="shared" si="590"/>
        <v>2089646.5953746533</v>
      </c>
      <c r="CC128" s="763">
        <f t="shared" si="590"/>
        <v>653434.00518384762</v>
      </c>
      <c r="CD128" s="763">
        <f t="shared" si="590"/>
        <v>0</v>
      </c>
      <c r="CE128" s="763">
        <f t="shared" si="590"/>
        <v>0</v>
      </c>
      <c r="CF128" s="763">
        <f t="shared" si="590"/>
        <v>0</v>
      </c>
      <c r="CG128" s="763">
        <f t="shared" si="590"/>
        <v>0</v>
      </c>
      <c r="CH128" s="763">
        <f t="shared" si="590"/>
        <v>0</v>
      </c>
      <c r="CI128" s="763">
        <f t="shared" si="590"/>
        <v>0</v>
      </c>
      <c r="CJ128" s="763">
        <f t="shared" si="590"/>
        <v>0</v>
      </c>
      <c r="CK128" s="763">
        <f t="shared" si="590"/>
        <v>0</v>
      </c>
      <c r="CL128" s="763">
        <f t="shared" si="590"/>
        <v>0</v>
      </c>
      <c r="CM128" s="763">
        <f t="shared" si="590"/>
        <v>0</v>
      </c>
      <c r="CN128" s="763">
        <f t="shared" si="590"/>
        <v>0</v>
      </c>
      <c r="CO128" s="763">
        <f t="shared" si="590"/>
        <v>0</v>
      </c>
      <c r="CP128" s="763">
        <f t="shared" si="590"/>
        <v>0</v>
      </c>
      <c r="CQ128" s="763">
        <f t="shared" si="590"/>
        <v>0</v>
      </c>
      <c r="CR128" s="763">
        <f t="shared" si="590"/>
        <v>0</v>
      </c>
      <c r="CS128" s="763">
        <f t="shared" si="590"/>
        <v>0</v>
      </c>
      <c r="CT128" s="763">
        <f t="shared" si="590"/>
        <v>0</v>
      </c>
      <c r="CU128" s="763">
        <f t="shared" si="590"/>
        <v>0</v>
      </c>
      <c r="CV128" s="763">
        <f t="shared" si="590"/>
        <v>0</v>
      </c>
      <c r="CW128" s="763">
        <f t="shared" si="590"/>
        <v>0</v>
      </c>
      <c r="CX128" s="763">
        <f t="shared" si="590"/>
        <v>0</v>
      </c>
      <c r="CY128" s="763">
        <f t="shared" si="590"/>
        <v>0</v>
      </c>
      <c r="CZ128" s="763">
        <f t="shared" si="590"/>
        <v>0</v>
      </c>
    </row>
    <row r="129" spans="1:104" s="410" customFormat="1" x14ac:dyDescent="0.25">
      <c r="B129" s="768"/>
      <c r="C129" s="768" t="s">
        <v>379</v>
      </c>
      <c r="D129" s="769"/>
      <c r="E129" s="763">
        <f>E40+E48</f>
        <v>0</v>
      </c>
      <c r="F129" s="763">
        <f t="shared" ref="F129:BQ129" si="591">F40+F48</f>
        <v>0</v>
      </c>
      <c r="G129" s="763">
        <f t="shared" si="591"/>
        <v>0</v>
      </c>
      <c r="H129" s="763">
        <f t="shared" si="591"/>
        <v>0</v>
      </c>
      <c r="I129" s="763">
        <f t="shared" si="591"/>
        <v>0</v>
      </c>
      <c r="J129" s="763">
        <f t="shared" si="591"/>
        <v>0</v>
      </c>
      <c r="K129" s="763">
        <f t="shared" si="591"/>
        <v>0</v>
      </c>
      <c r="L129" s="763">
        <f t="shared" si="591"/>
        <v>0</v>
      </c>
      <c r="M129" s="763">
        <f t="shared" si="591"/>
        <v>0</v>
      </c>
      <c r="N129" s="763">
        <f t="shared" si="591"/>
        <v>0</v>
      </c>
      <c r="O129" s="763">
        <f t="shared" si="591"/>
        <v>0</v>
      </c>
      <c r="P129" s="763">
        <f t="shared" si="591"/>
        <v>0</v>
      </c>
      <c r="Q129" s="763">
        <f t="shared" si="591"/>
        <v>0</v>
      </c>
      <c r="R129" s="763">
        <f t="shared" si="591"/>
        <v>0</v>
      </c>
      <c r="S129" s="763">
        <f t="shared" si="591"/>
        <v>0</v>
      </c>
      <c r="T129" s="763">
        <f t="shared" si="591"/>
        <v>0</v>
      </c>
      <c r="U129" s="763">
        <f t="shared" si="591"/>
        <v>0</v>
      </c>
      <c r="V129" s="763">
        <f t="shared" si="591"/>
        <v>0</v>
      </c>
      <c r="W129" s="763">
        <f t="shared" si="591"/>
        <v>5379342.7377715856</v>
      </c>
      <c r="X129" s="763">
        <f t="shared" si="591"/>
        <v>10367736.424852148</v>
      </c>
      <c r="Y129" s="763">
        <f t="shared" si="591"/>
        <v>10633172.258287415</v>
      </c>
      <c r="Z129" s="763">
        <f t="shared" si="591"/>
        <v>10905316.740317207</v>
      </c>
      <c r="AA129" s="763">
        <f t="shared" si="591"/>
        <v>11184336.663655853</v>
      </c>
      <c r="AB129" s="763">
        <f t="shared" si="591"/>
        <v>11470402.879102532</v>
      </c>
      <c r="AC129" s="763">
        <f t="shared" si="591"/>
        <v>11763690.391374672</v>
      </c>
      <c r="AD129" s="763">
        <f t="shared" si="591"/>
        <v>12064378.457107591</v>
      </c>
      <c r="AE129" s="763">
        <f t="shared" si="591"/>
        <v>12372650.685067231</v>
      </c>
      <c r="AF129" s="763">
        <f t="shared" si="591"/>
        <v>12688695.138618439</v>
      </c>
      <c r="AG129" s="763">
        <f t="shared" si="591"/>
        <v>13012704.440503463</v>
      </c>
      <c r="AH129" s="763">
        <f t="shared" si="591"/>
        <v>13344875.879969228</v>
      </c>
      <c r="AI129" s="763">
        <f t="shared" si="591"/>
        <v>13685411.522302974</v>
      </c>
      <c r="AJ129" s="763">
        <f t="shared" si="591"/>
        <v>14034518.320816055</v>
      </c>
      <c r="AK129" s="763">
        <f t="shared" si="591"/>
        <v>14392408.231335787</v>
      </c>
      <c r="AL129" s="763">
        <f t="shared" si="591"/>
        <v>14759298.329248594</v>
      </c>
      <c r="AM129" s="763">
        <f t="shared" si="591"/>
        <v>15135410.929156858</v>
      </c>
      <c r="AN129" s="763">
        <f t="shared" si="591"/>
        <v>17173662.542251777</v>
      </c>
      <c r="AO129" s="763">
        <f t="shared" si="591"/>
        <v>17663111.924706172</v>
      </c>
      <c r="AP129" s="763">
        <f t="shared" si="591"/>
        <v>18166510.614560314</v>
      </c>
      <c r="AQ129" s="763">
        <f t="shared" si="591"/>
        <v>18684256.167075194</v>
      </c>
      <c r="AR129" s="763">
        <f t="shared" si="591"/>
        <v>19216757.467836943</v>
      </c>
      <c r="AS129" s="763">
        <f t="shared" si="591"/>
        <v>19764435.05567031</v>
      </c>
      <c r="AT129" s="763">
        <f t="shared" si="591"/>
        <v>20327721.454756632</v>
      </c>
      <c r="AU129" s="763">
        <f t="shared" si="591"/>
        <v>20907061.516217485</v>
      </c>
      <c r="AV129" s="763">
        <f t="shared" si="591"/>
        <v>21502912.769429535</v>
      </c>
      <c r="AW129" s="763">
        <f t="shared" si="591"/>
        <v>22115745.783358373</v>
      </c>
      <c r="AX129" s="763">
        <f t="shared" si="591"/>
        <v>22746044.538183942</v>
      </c>
      <c r="AY129" s="763">
        <f t="shared" si="591"/>
        <v>23394306.80752242</v>
      </c>
      <c r="AZ129" s="763">
        <f t="shared" si="591"/>
        <v>10643713.681487953</v>
      </c>
      <c r="BA129" s="763">
        <f t="shared" si="591"/>
        <v>0</v>
      </c>
      <c r="BB129" s="763">
        <f t="shared" si="591"/>
        <v>0</v>
      </c>
      <c r="BC129" s="763">
        <f t="shared" si="591"/>
        <v>0</v>
      </c>
      <c r="BD129" s="763">
        <f t="shared" si="591"/>
        <v>0</v>
      </c>
      <c r="BE129" s="763">
        <f t="shared" si="591"/>
        <v>0</v>
      </c>
      <c r="BF129" s="763">
        <f t="shared" si="591"/>
        <v>0</v>
      </c>
      <c r="BG129" s="763">
        <f t="shared" si="591"/>
        <v>0</v>
      </c>
      <c r="BH129" s="763">
        <f t="shared" si="591"/>
        <v>0</v>
      </c>
      <c r="BI129" s="763">
        <f t="shared" si="591"/>
        <v>0</v>
      </c>
      <c r="BJ129" s="763">
        <f t="shared" si="591"/>
        <v>0</v>
      </c>
      <c r="BK129" s="763">
        <f t="shared" si="591"/>
        <v>0</v>
      </c>
      <c r="BL129" s="763">
        <f t="shared" si="591"/>
        <v>0</v>
      </c>
      <c r="BM129" s="763">
        <f t="shared" si="591"/>
        <v>0</v>
      </c>
      <c r="BN129" s="763">
        <f t="shared" si="591"/>
        <v>0</v>
      </c>
      <c r="BO129" s="763">
        <f t="shared" si="591"/>
        <v>0</v>
      </c>
      <c r="BP129" s="763">
        <f t="shared" si="591"/>
        <v>0</v>
      </c>
      <c r="BQ129" s="763">
        <f t="shared" si="591"/>
        <v>0</v>
      </c>
      <c r="BR129" s="763">
        <f t="shared" ref="BR129:CZ129" si="592">BR40+BR48</f>
        <v>0</v>
      </c>
      <c r="BS129" s="763">
        <f t="shared" si="592"/>
        <v>0</v>
      </c>
      <c r="BT129" s="763">
        <f t="shared" si="592"/>
        <v>0</v>
      </c>
      <c r="BU129" s="763">
        <f t="shared" si="592"/>
        <v>0</v>
      </c>
      <c r="BV129" s="763">
        <f t="shared" si="592"/>
        <v>0</v>
      </c>
      <c r="BW129" s="763">
        <f t="shared" si="592"/>
        <v>0</v>
      </c>
      <c r="BX129" s="763">
        <f t="shared" si="592"/>
        <v>0</v>
      </c>
      <c r="BY129" s="763">
        <f t="shared" si="592"/>
        <v>0</v>
      </c>
      <c r="BZ129" s="763">
        <f t="shared" si="592"/>
        <v>0</v>
      </c>
      <c r="CA129" s="763">
        <f t="shared" si="592"/>
        <v>0</v>
      </c>
      <c r="CB129" s="763">
        <f t="shared" si="592"/>
        <v>0</v>
      </c>
      <c r="CC129" s="763">
        <f t="shared" si="592"/>
        <v>0</v>
      </c>
      <c r="CD129" s="763">
        <f t="shared" si="592"/>
        <v>0</v>
      </c>
      <c r="CE129" s="763">
        <f t="shared" si="592"/>
        <v>0</v>
      </c>
      <c r="CF129" s="763">
        <f t="shared" si="592"/>
        <v>0</v>
      </c>
      <c r="CG129" s="763">
        <f t="shared" si="592"/>
        <v>0</v>
      </c>
      <c r="CH129" s="763">
        <f t="shared" si="592"/>
        <v>0</v>
      </c>
      <c r="CI129" s="763">
        <f t="shared" si="592"/>
        <v>0</v>
      </c>
      <c r="CJ129" s="763">
        <f t="shared" si="592"/>
        <v>0</v>
      </c>
      <c r="CK129" s="763">
        <f t="shared" si="592"/>
        <v>0</v>
      </c>
      <c r="CL129" s="763">
        <f t="shared" si="592"/>
        <v>0</v>
      </c>
      <c r="CM129" s="763">
        <f t="shared" si="592"/>
        <v>0</v>
      </c>
      <c r="CN129" s="763">
        <f t="shared" si="592"/>
        <v>0</v>
      </c>
      <c r="CO129" s="763">
        <f t="shared" si="592"/>
        <v>0</v>
      </c>
      <c r="CP129" s="763">
        <f t="shared" si="592"/>
        <v>0</v>
      </c>
      <c r="CQ129" s="763">
        <f t="shared" si="592"/>
        <v>0</v>
      </c>
      <c r="CR129" s="763">
        <f t="shared" si="592"/>
        <v>0</v>
      </c>
      <c r="CS129" s="763">
        <f t="shared" si="592"/>
        <v>0</v>
      </c>
      <c r="CT129" s="763">
        <f t="shared" si="592"/>
        <v>0</v>
      </c>
      <c r="CU129" s="763">
        <f t="shared" si="592"/>
        <v>0</v>
      </c>
      <c r="CV129" s="763">
        <f t="shared" si="592"/>
        <v>0</v>
      </c>
      <c r="CW129" s="763">
        <f t="shared" si="592"/>
        <v>0</v>
      </c>
      <c r="CX129" s="763">
        <f t="shared" si="592"/>
        <v>0</v>
      </c>
      <c r="CY129" s="763">
        <f t="shared" si="592"/>
        <v>0</v>
      </c>
      <c r="CZ129" s="763">
        <f t="shared" si="592"/>
        <v>0</v>
      </c>
    </row>
    <row r="130" spans="1:104" x14ac:dyDescent="0.25">
      <c r="B130" s="480" t="s">
        <v>323</v>
      </c>
      <c r="C130" s="480"/>
      <c r="D130" s="492"/>
      <c r="E130" s="477">
        <f>E127</f>
        <v>3069577.1454296578</v>
      </c>
      <c r="F130" s="477">
        <f t="shared" ref="F130:AK130" si="593">E130+F127</f>
        <v>6139154.2908593155</v>
      </c>
      <c r="G130" s="477">
        <f t="shared" si="593"/>
        <v>9208731.4362889733</v>
      </c>
      <c r="H130" s="477">
        <f t="shared" si="593"/>
        <v>12278308.581718631</v>
      </c>
      <c r="I130" s="477">
        <f t="shared" si="593"/>
        <v>15347885.727148289</v>
      </c>
      <c r="J130" s="477">
        <f t="shared" si="593"/>
        <v>18417462.872577947</v>
      </c>
      <c r="K130" s="477">
        <f t="shared" si="593"/>
        <v>21487040.018007606</v>
      </c>
      <c r="L130" s="477">
        <f t="shared" si="593"/>
        <v>24556617.163437262</v>
      </c>
      <c r="M130" s="477">
        <f t="shared" si="593"/>
        <v>27626194.308866918</v>
      </c>
      <c r="N130" s="477">
        <f t="shared" si="593"/>
        <v>30695771.454296574</v>
      </c>
      <c r="O130" s="477">
        <f t="shared" si="593"/>
        <v>33765348.59972623</v>
      </c>
      <c r="P130" s="477">
        <f t="shared" si="593"/>
        <v>36834925.745155886</v>
      </c>
      <c r="Q130" s="477">
        <f t="shared" si="593"/>
        <v>39904502.890585542</v>
      </c>
      <c r="R130" s="477">
        <f t="shared" si="593"/>
        <v>42974080.036015198</v>
      </c>
      <c r="S130" s="477">
        <f t="shared" si="593"/>
        <v>46043657.181444854</v>
      </c>
      <c r="T130" s="477">
        <f t="shared" si="593"/>
        <v>49113234.326874509</v>
      </c>
      <c r="U130" s="477">
        <f t="shared" si="593"/>
        <v>52182811.472304165</v>
      </c>
      <c r="V130" s="477">
        <f t="shared" si="593"/>
        <v>55252388.617733821</v>
      </c>
      <c r="W130" s="477">
        <f t="shared" si="593"/>
        <v>64031554.651441</v>
      </c>
      <c r="X130" s="477">
        <f t="shared" si="593"/>
        <v>78435605.707820028</v>
      </c>
      <c r="Y130" s="477">
        <f t="shared" si="593"/>
        <v>93757879.448583439</v>
      </c>
      <c r="Z130" s="477">
        <f t="shared" si="593"/>
        <v>110021791.89197163</v>
      </c>
      <c r="AA130" s="477">
        <f t="shared" si="593"/>
        <v>127251347.94288945</v>
      </c>
      <c r="AB130" s="477">
        <f t="shared" si="593"/>
        <v>145471155.93978521</v>
      </c>
      <c r="AC130" s="477">
        <f t="shared" si="593"/>
        <v>164706442.55237859</v>
      </c>
      <c r="AD130" s="477">
        <f t="shared" si="593"/>
        <v>184983068.03841993</v>
      </c>
      <c r="AE130" s="477">
        <f t="shared" si="593"/>
        <v>206327541.86784625</v>
      </c>
      <c r="AF130" s="477">
        <f t="shared" si="593"/>
        <v>228767038.72288033</v>
      </c>
      <c r="AG130" s="477">
        <f t="shared" si="593"/>
        <v>252329414.88281545</v>
      </c>
      <c r="AH130" s="477">
        <f t="shared" si="593"/>
        <v>277043225.00241131</v>
      </c>
      <c r="AI130" s="477">
        <f t="shared" si="593"/>
        <v>299868162.14760447</v>
      </c>
      <c r="AJ130" s="477">
        <f t="shared" si="593"/>
        <v>323903806.82500452</v>
      </c>
      <c r="AK130" s="477">
        <f t="shared" si="593"/>
        <v>349180913.56041634</v>
      </c>
      <c r="AL130" s="477">
        <f t="shared" ref="AL130:BQ130" si="594">AK130+AL127</f>
        <v>375731006.49042177</v>
      </c>
      <c r="AM130" s="477">
        <f t="shared" si="594"/>
        <v>403586398.24983197</v>
      </c>
      <c r="AN130" s="477">
        <f t="shared" si="594"/>
        <v>434534359.26319748</v>
      </c>
      <c r="AO130" s="477">
        <f t="shared" si="594"/>
        <v>467056135.35264224</v>
      </c>
      <c r="AP130" s="477">
        <f t="shared" si="594"/>
        <v>501196580.24783432</v>
      </c>
      <c r="AQ130" s="477">
        <f t="shared" si="594"/>
        <v>537001826.00973749</v>
      </c>
      <c r="AR130" s="477">
        <f t="shared" si="594"/>
        <v>574519319.46305311</v>
      </c>
      <c r="AS130" s="477">
        <f t="shared" si="594"/>
        <v>613797859.66698635</v>
      </c>
      <c r="AT130" s="477">
        <f t="shared" si="594"/>
        <v>654887636.45392954</v>
      </c>
      <c r="AU130" s="477">
        <f t="shared" si="594"/>
        <v>697840270.06649899</v>
      </c>
      <c r="AV130" s="477">
        <f t="shared" si="594"/>
        <v>742708851.92422473</v>
      </c>
      <c r="AW130" s="477">
        <f t="shared" si="594"/>
        <v>789547986.55209386</v>
      </c>
      <c r="AX130" s="477">
        <f t="shared" si="594"/>
        <v>838413834.70405531</v>
      </c>
      <c r="AY130" s="477">
        <f t="shared" si="594"/>
        <v>889364157.71554601</v>
      </c>
      <c r="AZ130" s="477">
        <f t="shared" si="594"/>
        <v>928217321.60618615</v>
      </c>
      <c r="BA130" s="477">
        <f t="shared" si="594"/>
        <v>956096525.66483235</v>
      </c>
      <c r="BB130" s="477">
        <f t="shared" si="594"/>
        <v>983339238.38788724</v>
      </c>
      <c r="BC130" s="477">
        <f t="shared" si="594"/>
        <v>1009929164.2599931</v>
      </c>
      <c r="BD130" s="477">
        <f t="shared" si="594"/>
        <v>1035849595.9115039</v>
      </c>
      <c r="BE130" s="477">
        <f t="shared" si="594"/>
        <v>1061083403.8788238</v>
      </c>
      <c r="BF130" s="477">
        <f t="shared" si="594"/>
        <v>1085613026.1156123</v>
      </c>
      <c r="BG130" s="477">
        <f t="shared" si="594"/>
        <v>1109420457.2489753</v>
      </c>
      <c r="BH130" s="477">
        <f t="shared" si="594"/>
        <v>1132487237.5746233</v>
      </c>
      <c r="BI130" s="477">
        <f t="shared" si="594"/>
        <v>1154794441.7848461</v>
      </c>
      <c r="BJ130" s="477">
        <f t="shared" si="594"/>
        <v>1176322667.4230123</v>
      </c>
      <c r="BK130" s="477">
        <f t="shared" si="594"/>
        <v>1197052023.0581625</v>
      </c>
      <c r="BL130" s="477">
        <f t="shared" si="594"/>
        <v>1216962116.1731176</v>
      </c>
      <c r="BM130" s="477">
        <f t="shared" si="594"/>
        <v>1236032040.7593796</v>
      </c>
      <c r="BN130" s="477">
        <f t="shared" si="594"/>
        <v>1254240364.6119478</v>
      </c>
      <c r="BO130" s="477">
        <f t="shared" si="594"/>
        <v>1271565116.3170238</v>
      </c>
      <c r="BP130" s="477">
        <f t="shared" si="594"/>
        <v>1287983771.9254191</v>
      </c>
      <c r="BQ130" s="477">
        <f t="shared" si="594"/>
        <v>1303473241.304318</v>
      </c>
      <c r="BR130" s="477">
        <f t="shared" ref="BR130:CZ130" si="595">BQ130+BR127</f>
        <v>1317908393.0423565</v>
      </c>
      <c r="BS130" s="477">
        <f t="shared" si="595"/>
        <v>1331259179.0867701</v>
      </c>
      <c r="BT130" s="477">
        <f t="shared" si="595"/>
        <v>1343494695.0152905</v>
      </c>
      <c r="BU130" s="477">
        <f t="shared" si="595"/>
        <v>1354583155.6296146</v>
      </c>
      <c r="BV130" s="477">
        <f t="shared" si="595"/>
        <v>1364491869.8532882</v>
      </c>
      <c r="BW130" s="477">
        <f t="shared" si="595"/>
        <v>1373187214.9141774</v>
      </c>
      <c r="BX130" s="477">
        <f t="shared" si="595"/>
        <v>1380634609.7911429</v>
      </c>
      <c r="BY130" s="477">
        <f t="shared" si="595"/>
        <v>1386798487.9039431</v>
      </c>
      <c r="BZ130" s="477">
        <f t="shared" si="595"/>
        <v>1391642269.0247989</v>
      </c>
      <c r="CA130" s="477">
        <f t="shared" si="595"/>
        <v>1395128330.3894403</v>
      </c>
      <c r="CB130" s="477">
        <f t="shared" si="595"/>
        <v>1397217976.9848149</v>
      </c>
      <c r="CC130" s="477">
        <f t="shared" si="595"/>
        <v>1397871410.9899988</v>
      </c>
      <c r="CD130" s="477">
        <f t="shared" si="595"/>
        <v>1397871410.9899988</v>
      </c>
      <c r="CE130" s="477">
        <f t="shared" si="595"/>
        <v>1397871410.9899988</v>
      </c>
      <c r="CF130" s="477">
        <f t="shared" si="595"/>
        <v>1397871410.9899988</v>
      </c>
      <c r="CG130" s="477">
        <f t="shared" si="595"/>
        <v>1397871410.9899988</v>
      </c>
      <c r="CH130" s="477">
        <f t="shared" si="595"/>
        <v>1397871410.9899988</v>
      </c>
      <c r="CI130" s="477">
        <f t="shared" si="595"/>
        <v>1397871410.9899988</v>
      </c>
      <c r="CJ130" s="477">
        <f t="shared" si="595"/>
        <v>1397871410.9899988</v>
      </c>
      <c r="CK130" s="477">
        <f t="shared" si="595"/>
        <v>1397871410.9899988</v>
      </c>
      <c r="CL130" s="477">
        <f t="shared" si="595"/>
        <v>1397871410.9899988</v>
      </c>
      <c r="CM130" s="477">
        <f t="shared" si="595"/>
        <v>1397871410.9899988</v>
      </c>
      <c r="CN130" s="477">
        <f t="shared" si="595"/>
        <v>1397871410.9899988</v>
      </c>
      <c r="CO130" s="477">
        <f t="shared" si="595"/>
        <v>1397871410.9899988</v>
      </c>
      <c r="CP130" s="477">
        <f t="shared" si="595"/>
        <v>1397871410.9899988</v>
      </c>
      <c r="CQ130" s="477">
        <f t="shared" si="595"/>
        <v>1397871410.9899988</v>
      </c>
      <c r="CR130" s="477">
        <f t="shared" si="595"/>
        <v>1397871410.9899988</v>
      </c>
      <c r="CS130" s="477">
        <f t="shared" si="595"/>
        <v>1397871410.9899988</v>
      </c>
      <c r="CT130" s="477">
        <f t="shared" si="595"/>
        <v>1397871410.9899988</v>
      </c>
      <c r="CU130" s="477">
        <f t="shared" si="595"/>
        <v>1397871410.9899988</v>
      </c>
      <c r="CV130" s="477">
        <f t="shared" si="595"/>
        <v>1397871410.9899988</v>
      </c>
      <c r="CW130" s="477">
        <f t="shared" si="595"/>
        <v>1397871410.9899988</v>
      </c>
      <c r="CX130" s="477">
        <f t="shared" si="595"/>
        <v>1397871410.9899988</v>
      </c>
      <c r="CY130" s="477">
        <f t="shared" si="595"/>
        <v>1397871410.9899988</v>
      </c>
      <c r="CZ130" s="477">
        <f t="shared" si="595"/>
        <v>1397871410.9899988</v>
      </c>
    </row>
    <row r="131" spans="1:104" x14ac:dyDescent="0.25">
      <c r="C131" s="784" t="s">
        <v>597</v>
      </c>
      <c r="E131" s="783">
        <f>E125</f>
        <v>3069577.1454296578</v>
      </c>
      <c r="F131" s="783">
        <f>E131+F125</f>
        <v>6006971.5429699998</v>
      </c>
      <c r="G131" s="783">
        <f>F131+G125</f>
        <v>8817875.2726736777</v>
      </c>
      <c r="H131" s="783">
        <f t="shared" ref="H131:BS131" si="596">G131+H125</f>
        <v>11507735.30109825</v>
      </c>
      <c r="I131" s="783">
        <f t="shared" si="596"/>
        <v>14081764.036432769</v>
      </c>
      <c r="J131" s="783">
        <f t="shared" si="596"/>
        <v>16544949.42909738</v>
      </c>
      <c r="K131" s="783">
        <f t="shared" si="596"/>
        <v>18902064.637388874</v>
      </c>
      <c r="L131" s="783">
        <f t="shared" si="596"/>
        <v>21157677.276902266</v>
      </c>
      <c r="M131" s="783">
        <f t="shared" si="596"/>
        <v>23316158.271651924</v>
      </c>
      <c r="N131" s="783">
        <f t="shared" si="596"/>
        <v>25381690.324043941</v>
      </c>
      <c r="O131" s="783">
        <f t="shared" si="596"/>
        <v>27358276.020112857</v>
      </c>
      <c r="P131" s="783">
        <f t="shared" si="596"/>
        <v>29249745.585729044</v>
      </c>
      <c r="Q131" s="783">
        <f t="shared" si="596"/>
        <v>31059764.308806736</v>
      </c>
      <c r="R131" s="783">
        <f t="shared" si="596"/>
        <v>32791839.641895436</v>
      </c>
      <c r="S131" s="783">
        <f t="shared" si="596"/>
        <v>34449327.998918116</v>
      </c>
      <c r="T131" s="783">
        <f t="shared" si="596"/>
        <v>36035441.259226903</v>
      </c>
      <c r="U131" s="783">
        <f t="shared" si="596"/>
        <v>37553252.991579808</v>
      </c>
      <c r="V131" s="783">
        <f t="shared" si="596"/>
        <v>39005704.410099335</v>
      </c>
      <c r="W131" s="783">
        <f t="shared" si="596"/>
        <v>42980914.028331511</v>
      </c>
      <c r="X131" s="783">
        <f t="shared" si="596"/>
        <v>49222215.110838965</v>
      </c>
      <c r="Y131" s="783">
        <f t="shared" si="596"/>
        <v>55575486.511579126</v>
      </c>
      <c r="Z131" s="783">
        <f t="shared" si="596"/>
        <v>62028802.459125705</v>
      </c>
      <c r="AA131" s="783">
        <f t="shared" si="596"/>
        <v>68570880.151530549</v>
      </c>
      <c r="AB131" s="783">
        <f t="shared" si="596"/>
        <v>75191049.752811804</v>
      </c>
      <c r="AC131" s="783">
        <f t="shared" si="596"/>
        <v>81879225.722325593</v>
      </c>
      <c r="AD131" s="783">
        <f t="shared" si="596"/>
        <v>88625879.41891107</v>
      </c>
      <c r="AE131" s="783">
        <f t="shared" si="596"/>
        <v>95422012.924213946</v>
      </c>
      <c r="AF131" s="783">
        <f t="shared" si="596"/>
        <v>102259134.03199816</v>
      </c>
      <c r="AG131" s="783">
        <f t="shared" si="596"/>
        <v>109129232.35256045</v>
      </c>
      <c r="AH131" s="783">
        <f t="shared" si="596"/>
        <v>116024756.48356228</v>
      </c>
      <c r="AI131" s="783">
        <f t="shared" si="596"/>
        <v>122119015.05527522</v>
      </c>
      <c r="AJ131" s="783">
        <f t="shared" si="596"/>
        <v>128260180.12856385</v>
      </c>
      <c r="AK131" s="783">
        <f t="shared" si="596"/>
        <v>134440430.4802748</v>
      </c>
      <c r="AL131" s="783">
        <f t="shared" si="596"/>
        <v>140652387.76565585</v>
      </c>
      <c r="AM131" s="783">
        <f t="shared" si="596"/>
        <v>146889095.54347855</v>
      </c>
      <c r="AN131" s="783">
        <f t="shared" si="596"/>
        <v>153519833.65708035</v>
      </c>
      <c r="AO131" s="783">
        <f t="shared" si="596"/>
        <v>160187714.02484772</v>
      </c>
      <c r="AP131" s="783">
        <f t="shared" si="596"/>
        <v>166886042.32854712</v>
      </c>
      <c r="AQ131" s="783">
        <f t="shared" si="596"/>
        <v>173608492.96766979</v>
      </c>
      <c r="AR131" s="783">
        <f t="shared" si="596"/>
        <v>180349091.91144052</v>
      </c>
      <c r="AS131" s="783">
        <f t="shared" si="596"/>
        <v>187102200.30931237</v>
      </c>
      <c r="AT131" s="783">
        <f t="shared" si="596"/>
        <v>193862498.82696861</v>
      </c>
      <c r="AU131" s="783">
        <f t="shared" si="596"/>
        <v>200624972.67627838</v>
      </c>
      <c r="AV131" s="783">
        <f t="shared" si="596"/>
        <v>207384897.30901572</v>
      </c>
      <c r="AW131" s="783">
        <f t="shared" si="596"/>
        <v>214137824.74545765</v>
      </c>
      <c r="AX131" s="783">
        <f t="shared" si="596"/>
        <v>220879570.51022404</v>
      </c>
      <c r="AY131" s="783">
        <f t="shared" si="596"/>
        <v>227606201.14891866</v>
      </c>
      <c r="AZ131" s="783">
        <f t="shared" si="596"/>
        <v>232514836.14132512</v>
      </c>
      <c r="BA131" s="783">
        <f t="shared" si="596"/>
        <v>235885367.94328603</v>
      </c>
      <c r="BB131" s="783">
        <f t="shared" si="596"/>
        <v>239037120.53650606</v>
      </c>
      <c r="BC131" s="783">
        <f t="shared" si="596"/>
        <v>241980881.92241952</v>
      </c>
      <c r="BD131" s="783">
        <f t="shared" si="596"/>
        <v>244726950.74069452</v>
      </c>
      <c r="BE131" s="783">
        <f t="shared" si="596"/>
        <v>247285157.78482121</v>
      </c>
      <c r="BF131" s="783">
        <f t="shared" si="596"/>
        <v>249664886.58339953</v>
      </c>
      <c r="BG131" s="783">
        <f t="shared" si="596"/>
        <v>251875093.08749482</v>
      </c>
      <c r="BH131" s="783">
        <f t="shared" si="596"/>
        <v>253924324.5026896</v>
      </c>
      <c r="BI131" s="783">
        <f t="shared" si="596"/>
        <v>255820737.30279377</v>
      </c>
      <c r="BJ131" s="783">
        <f t="shared" si="596"/>
        <v>257572114.46058166</v>
      </c>
      <c r="BK131" s="783">
        <f t="shared" si="596"/>
        <v>259185881.92939904</v>
      </c>
      <c r="BL131" s="783">
        <f t="shared" si="596"/>
        <v>260669124.40802377</v>
      </c>
      <c r="BM131" s="783">
        <f t="shared" si="596"/>
        <v>262028600.41976687</v>
      </c>
      <c r="BN131" s="783">
        <f t="shared" si="596"/>
        <v>263270756.7354646</v>
      </c>
      <c r="BO131" s="783">
        <f t="shared" si="596"/>
        <v>264401742.168733</v>
      </c>
      <c r="BP131" s="783">
        <f t="shared" si="596"/>
        <v>265427420.77063289</v>
      </c>
      <c r="BQ131" s="783">
        <f t="shared" si="596"/>
        <v>266353384.44972172</v>
      </c>
      <c r="BR131" s="783">
        <f t="shared" si="596"/>
        <v>267179160.86381802</v>
      </c>
      <c r="BS131" s="783">
        <f t="shared" si="596"/>
        <v>267910016.61123332</v>
      </c>
      <c r="BT131" s="783">
        <f t="shared" ref="BT131:CZ131" si="597">BS131+BT125</f>
        <v>268550976.46242481</v>
      </c>
      <c r="BU131" s="783">
        <f t="shared" si="597"/>
        <v>269106834.01105386</v>
      </c>
      <c r="BV131" s="783">
        <f t="shared" si="597"/>
        <v>269582161.86263812</v>
      </c>
      <c r="BW131" s="783">
        <f t="shared" si="597"/>
        <v>269981321.38076818</v>
      </c>
      <c r="BX131" s="783">
        <f t="shared" si="597"/>
        <v>270308472.00999928</v>
      </c>
      <c r="BY131" s="783">
        <f t="shared" si="597"/>
        <v>270567580.19370508</v>
      </c>
      <c r="BZ131" s="783">
        <f t="shared" si="597"/>
        <v>270762427.90439135</v>
      </c>
      <c r="CA131" s="783">
        <f t="shared" si="597"/>
        <v>270896620.8032136</v>
      </c>
      <c r="CB131" s="783">
        <f t="shared" si="597"/>
        <v>270973596.04472077</v>
      </c>
      <c r="CC131" s="783">
        <f t="shared" si="597"/>
        <v>270996629.74215579</v>
      </c>
      <c r="CD131" s="783">
        <f t="shared" si="597"/>
        <v>270996629.74215579</v>
      </c>
      <c r="CE131" s="783">
        <f t="shared" si="597"/>
        <v>270996629.74215579</v>
      </c>
      <c r="CF131" s="783">
        <f t="shared" si="597"/>
        <v>270996629.74215579</v>
      </c>
      <c r="CG131" s="783">
        <f t="shared" si="597"/>
        <v>270996629.74215579</v>
      </c>
      <c r="CH131" s="783">
        <f t="shared" si="597"/>
        <v>270996629.74215579</v>
      </c>
      <c r="CI131" s="783">
        <f t="shared" si="597"/>
        <v>270996629.74215579</v>
      </c>
      <c r="CJ131" s="783">
        <f t="shared" si="597"/>
        <v>270996629.74215579</v>
      </c>
      <c r="CK131" s="783">
        <f t="shared" si="597"/>
        <v>270996629.74215579</v>
      </c>
      <c r="CL131" s="783">
        <f t="shared" si="597"/>
        <v>270996629.74215579</v>
      </c>
      <c r="CM131" s="783">
        <f t="shared" si="597"/>
        <v>270996629.74215579</v>
      </c>
      <c r="CN131" s="783">
        <f t="shared" si="597"/>
        <v>270996629.74215579</v>
      </c>
      <c r="CO131" s="783">
        <f t="shared" si="597"/>
        <v>270996629.74215579</v>
      </c>
      <c r="CP131" s="783">
        <f t="shared" si="597"/>
        <v>270996629.74215579</v>
      </c>
      <c r="CQ131" s="783">
        <f t="shared" si="597"/>
        <v>270996629.74215579</v>
      </c>
      <c r="CR131" s="783">
        <f t="shared" si="597"/>
        <v>270996629.74215579</v>
      </c>
      <c r="CS131" s="783">
        <f t="shared" si="597"/>
        <v>270996629.74215579</v>
      </c>
      <c r="CT131" s="783">
        <f t="shared" si="597"/>
        <v>270996629.74215579</v>
      </c>
      <c r="CU131" s="783">
        <f t="shared" si="597"/>
        <v>270996629.74215579</v>
      </c>
      <c r="CV131" s="783">
        <f t="shared" si="597"/>
        <v>270996629.74215579</v>
      </c>
      <c r="CW131" s="783">
        <f t="shared" si="597"/>
        <v>270996629.74215579</v>
      </c>
      <c r="CX131" s="783">
        <f t="shared" si="597"/>
        <v>270996629.74215579</v>
      </c>
      <c r="CY131" s="783">
        <f t="shared" si="597"/>
        <v>270996629.74215579</v>
      </c>
      <c r="CZ131" s="783">
        <f t="shared" si="597"/>
        <v>270996629.74215579</v>
      </c>
    </row>
    <row r="132" spans="1:104" x14ac:dyDescent="0.25">
      <c r="A132" s="472" t="s">
        <v>278</v>
      </c>
      <c r="E132" s="477"/>
    </row>
    <row r="133" spans="1:104" x14ac:dyDescent="0.25">
      <c r="A133" s="472"/>
      <c r="B133" t="s">
        <v>283</v>
      </c>
      <c r="E133" s="478">
        <f>(E37+E124+E45)/(E10*1000000/1000)</f>
        <v>0.20054258897887725</v>
      </c>
      <c r="F133" s="478">
        <f t="shared" ref="F133:AK133" si="598">(F37+F124)/(F10*1000000/1000)</f>
        <v>0.19694413969228072</v>
      </c>
      <c r="G133" s="478">
        <f t="shared" si="598"/>
        <v>0.19342977703859141</v>
      </c>
      <c r="H133" s="478">
        <f t="shared" si="598"/>
        <v>0.18999768864999636</v>
      </c>
      <c r="I133" s="478">
        <f t="shared" si="598"/>
        <v>0.18664611021456065</v>
      </c>
      <c r="J133" s="478">
        <f t="shared" si="598"/>
        <v>0.18337332454293712</v>
      </c>
      <c r="K133" s="478">
        <f t="shared" si="598"/>
        <v>0.18017766067240609</v>
      </c>
      <c r="L133" s="478">
        <f t="shared" si="598"/>
        <v>0.17705749300833373</v>
      </c>
      <c r="M133" s="478">
        <f t="shared" si="598"/>
        <v>0.17401124050322159</v>
      </c>
      <c r="N133" s="478">
        <f t="shared" si="598"/>
        <v>0.1710373658736101</v>
      </c>
      <c r="O133" s="478">
        <f t="shared" si="598"/>
        <v>0.16813437485519328</v>
      </c>
      <c r="P133" s="478">
        <f t="shared" si="598"/>
        <v>0.16530081549660786</v>
      </c>
      <c r="Q133" s="478">
        <f t="shared" si="598"/>
        <v>0.16112309504593553</v>
      </c>
      <c r="R133" s="478">
        <f t="shared" si="598"/>
        <v>0.15705194646867854</v>
      </c>
      <c r="S133" s="478">
        <f t="shared" si="598"/>
        <v>0.15308463131858913</v>
      </c>
      <c r="T133" s="478">
        <f t="shared" si="598"/>
        <v>0.14921848193524914</v>
      </c>
      <c r="U133" s="478">
        <f t="shared" si="598"/>
        <v>0.1454508996051978</v>
      </c>
      <c r="V133" s="478">
        <f t="shared" si="598"/>
        <v>0.14177935277103351</v>
      </c>
      <c r="W133" s="478">
        <f t="shared" si="598"/>
        <v>0.1530700265772614</v>
      </c>
      <c r="X133" s="478">
        <f t="shared" si="598"/>
        <v>0.17714178302201142</v>
      </c>
      <c r="Y133" s="478">
        <f t="shared" si="598"/>
        <v>0.20059986899232607</v>
      </c>
      <c r="Z133" s="478">
        <f t="shared" si="598"/>
        <v>0.22346003320565597</v>
      </c>
      <c r="AA133" s="478">
        <f t="shared" si="598"/>
        <v>0.24573761765341529</v>
      </c>
      <c r="AB133" s="478">
        <f t="shared" si="598"/>
        <v>0.26744756815817755</v>
      </c>
      <c r="AC133" s="478">
        <f t="shared" si="598"/>
        <v>0.28860444465563634</v>
      </c>
      <c r="AD133" s="478">
        <f t="shared" si="598"/>
        <v>0.30922243120853354</v>
      </c>
      <c r="AE133" s="478">
        <f t="shared" si="598"/>
        <v>0.32931534575957189</v>
      </c>
      <c r="AF133" s="478">
        <f t="shared" si="598"/>
        <v>0.34889664963013334</v>
      </c>
      <c r="AG133" s="478">
        <f t="shared" si="598"/>
        <v>0.36797945677146432</v>
      </c>
      <c r="AH133" s="478">
        <f t="shared" si="598"/>
        <v>0.38657654277479137</v>
      </c>
      <c r="AI133" s="478">
        <f t="shared" si="598"/>
        <v>0.30295176655766609</v>
      </c>
      <c r="AJ133" s="478">
        <f t="shared" si="598"/>
        <v>0.32317356707458411</v>
      </c>
      <c r="AK133" s="478">
        <f t="shared" si="598"/>
        <v>0.34288099358630303</v>
      </c>
      <c r="AL133" s="478">
        <f t="shared" ref="AL133:BQ133" si="599">(AL37+AL124)/(AL10*1000000/1000)</f>
        <v>0.36208721972487345</v>
      </c>
      <c r="AM133" s="478">
        <f t="shared" si="599"/>
        <v>0.38080507946003567</v>
      </c>
      <c r="AN133" s="478">
        <f t="shared" si="599"/>
        <v>0.40200825807921536</v>
      </c>
      <c r="AO133" s="478">
        <f t="shared" si="599"/>
        <v>0.42276354720522058</v>
      </c>
      <c r="AP133" s="478">
        <f t="shared" si="599"/>
        <v>0.44190138590668954</v>
      </c>
      <c r="AQ133" s="478">
        <f t="shared" si="599"/>
        <v>0.46050891016674661</v>
      </c>
      <c r="AR133" s="478">
        <f t="shared" si="599"/>
        <v>0.4786008151352027</v>
      </c>
      <c r="AS133" s="478">
        <f t="shared" si="599"/>
        <v>0.49619138875548108</v>
      </c>
      <c r="AT133" s="478">
        <f t="shared" si="599"/>
        <v>0.51329452304841039</v>
      </c>
      <c r="AU133" s="478">
        <f t="shared" si="599"/>
        <v>0.52992372508334451</v>
      </c>
      <c r="AV133" s="478">
        <f t="shared" si="599"/>
        <v>0.54609212764526383</v>
      </c>
      <c r="AW133" s="478">
        <f t="shared" si="599"/>
        <v>0.56181249960629398</v>
      </c>
      <c r="AX133" s="478">
        <f t="shared" si="599"/>
        <v>0.57709725600982331</v>
      </c>
      <c r="AY133" s="478">
        <f t="shared" si="599"/>
        <v>0.59195846787519002</v>
      </c>
      <c r="AZ133" s="478">
        <f t="shared" si="599"/>
        <v>0.58920324764669407</v>
      </c>
      <c r="BA133" s="478">
        <f t="shared" si="599"/>
        <v>0.56616964954608295</v>
      </c>
      <c r="BB133" s="478">
        <f t="shared" si="599"/>
        <v>0.53791328293997409</v>
      </c>
      <c r="BC133" s="478">
        <f t="shared" si="599"/>
        <v>0.51047531814122793</v>
      </c>
      <c r="BD133" s="478">
        <f t="shared" si="599"/>
        <v>0.48383307702489597</v>
      </c>
      <c r="BE133" s="478">
        <f t="shared" si="599"/>
        <v>0.45796450988271498</v>
      </c>
      <c r="BF133" s="478">
        <f t="shared" si="599"/>
        <v>0.43284817800951891</v>
      </c>
      <c r="BG133" s="478">
        <f t="shared" si="599"/>
        <v>0.40846323677218549</v>
      </c>
      <c r="BH133" s="478">
        <f t="shared" si="599"/>
        <v>0.38478941914774739</v>
      </c>
      <c r="BI133" s="478">
        <f t="shared" si="599"/>
        <v>0.36180701971766532</v>
      </c>
      <c r="BJ133" s="478">
        <f t="shared" si="599"/>
        <v>0.34917254016013538</v>
      </c>
      <c r="BK133" s="478">
        <f t="shared" si="599"/>
        <v>0.32689881935869375</v>
      </c>
      <c r="BL133" s="478">
        <f t="shared" si="599"/>
        <v>0.30527872891023405</v>
      </c>
      <c r="BM133" s="478">
        <f t="shared" si="599"/>
        <v>0.28429415654926293</v>
      </c>
      <c r="BN133" s="478">
        <f t="shared" si="599"/>
        <v>0.26392749190583054</v>
      </c>
      <c r="BO133" s="478">
        <f t="shared" si="599"/>
        <v>0.24416161259787533</v>
      </c>
      <c r="BP133" s="478">
        <f t="shared" si="599"/>
        <v>0.22497987070895537</v>
      </c>
      <c r="BQ133" s="478">
        <f t="shared" si="599"/>
        <v>0.20636607964068182</v>
      </c>
      <c r="BR133" s="478">
        <f t="shared" ref="BR133:CZ133" si="600">(BR37+BR124)/(BR10*1000000/1000)</f>
        <v>0.18699019342769646</v>
      </c>
      <c r="BS133" s="478">
        <f>(BS37+BS124)/(BS10*1000000/1000)</f>
        <v>0.16815121801400126</v>
      </c>
      <c r="BT133" s="478">
        <f t="shared" si="600"/>
        <v>0.14983427546300931</v>
      </c>
      <c r="BU133" s="478">
        <f t="shared" si="600"/>
        <v>0.13202490010958987</v>
      </c>
      <c r="BV133" s="478">
        <f t="shared" si="600"/>
        <v>0.11470902713591995</v>
      </c>
      <c r="BW133" s="478">
        <f t="shared" si="600"/>
        <v>9.7872981463902511E-2</v>
      </c>
      <c r="BX133" s="478">
        <f t="shared" si="600"/>
        <v>8.1503466955378245E-2</v>
      </c>
      <c r="BY133" s="478">
        <f t="shared" si="600"/>
        <v>6.5587555911601411E-2</v>
      </c>
      <c r="BZ133" s="478">
        <f t="shared" si="600"/>
        <v>5.0112678863690127E-2</v>
      </c>
      <c r="CA133" s="478">
        <f t="shared" si="600"/>
        <v>3.5066614645983443E-2</v>
      </c>
      <c r="CB133" s="478">
        <f t="shared" si="600"/>
        <v>2.0437480744469962E-2</v>
      </c>
      <c r="CC133" s="478">
        <f t="shared" si="600"/>
        <v>6.2137239126628498E-3</v>
      </c>
      <c r="CD133" s="478" t="e">
        <f t="shared" si="600"/>
        <v>#DIV/0!</v>
      </c>
      <c r="CE133" s="478" t="e">
        <f t="shared" si="600"/>
        <v>#DIV/0!</v>
      </c>
      <c r="CF133" s="478" t="e">
        <f t="shared" si="600"/>
        <v>#DIV/0!</v>
      </c>
      <c r="CG133" s="478" t="e">
        <f t="shared" si="600"/>
        <v>#DIV/0!</v>
      </c>
      <c r="CH133" s="478" t="e">
        <f t="shared" si="600"/>
        <v>#DIV/0!</v>
      </c>
      <c r="CI133" s="478" t="e">
        <f t="shared" si="600"/>
        <v>#DIV/0!</v>
      </c>
      <c r="CJ133" s="478" t="e">
        <f t="shared" si="600"/>
        <v>#DIV/0!</v>
      </c>
      <c r="CK133" s="478" t="e">
        <f t="shared" si="600"/>
        <v>#DIV/0!</v>
      </c>
      <c r="CL133" s="478" t="e">
        <f t="shared" si="600"/>
        <v>#DIV/0!</v>
      </c>
      <c r="CM133" s="478" t="e">
        <f t="shared" si="600"/>
        <v>#DIV/0!</v>
      </c>
      <c r="CN133" s="478" t="e">
        <f t="shared" si="600"/>
        <v>#DIV/0!</v>
      </c>
      <c r="CO133" s="478" t="e">
        <f t="shared" si="600"/>
        <v>#DIV/0!</v>
      </c>
      <c r="CP133" s="478" t="e">
        <f t="shared" si="600"/>
        <v>#DIV/0!</v>
      </c>
      <c r="CQ133" s="478" t="e">
        <f t="shared" si="600"/>
        <v>#DIV/0!</v>
      </c>
      <c r="CR133" s="478" t="e">
        <f t="shared" si="600"/>
        <v>#DIV/0!</v>
      </c>
      <c r="CS133" s="478" t="e">
        <f t="shared" si="600"/>
        <v>#DIV/0!</v>
      </c>
      <c r="CT133" s="478" t="e">
        <f t="shared" si="600"/>
        <v>#DIV/0!</v>
      </c>
      <c r="CU133" s="478" t="e">
        <f t="shared" si="600"/>
        <v>#DIV/0!</v>
      </c>
      <c r="CV133" s="478" t="e">
        <f t="shared" si="600"/>
        <v>#DIV/0!</v>
      </c>
      <c r="CW133" s="478" t="e">
        <f t="shared" si="600"/>
        <v>#DIV/0!</v>
      </c>
      <c r="CX133" s="478" t="e">
        <f t="shared" si="600"/>
        <v>#DIV/0!</v>
      </c>
      <c r="CY133" s="478" t="e">
        <f t="shared" si="600"/>
        <v>#DIV/0!</v>
      </c>
      <c r="CZ133" s="478" t="e">
        <f t="shared" si="600"/>
        <v>#DIV/0!</v>
      </c>
    </row>
    <row r="134" spans="1:104" x14ac:dyDescent="0.25">
      <c r="B134" t="s">
        <v>279</v>
      </c>
      <c r="E134" s="479">
        <f t="shared" ref="E134:AJ134" si="601">E127/E6</f>
        <v>19.72542452003178</v>
      </c>
      <c r="F134" s="479">
        <f t="shared" si="601"/>
        <v>19.178827924192298</v>
      </c>
      <c r="G134" s="479">
        <f t="shared" si="601"/>
        <v>18.647377660857853</v>
      </c>
      <c r="H134" s="479">
        <f t="shared" si="601"/>
        <v>18.130654021252166</v>
      </c>
      <c r="I134" s="479">
        <f t="shared" si="601"/>
        <v>17.628248926837305</v>
      </c>
      <c r="J134" s="479">
        <f t="shared" si="601"/>
        <v>17.139765607036757</v>
      </c>
      <c r="K134" s="479">
        <f t="shared" si="601"/>
        <v>16.664818285888924</v>
      </c>
      <c r="L134" s="479">
        <f t="shared" si="601"/>
        <v>16.203031877383495</v>
      </c>
      <c r="M134" s="479">
        <f t="shared" si="601"/>
        <v>15.75404168924015</v>
      </c>
      <c r="N134" s="479">
        <f t="shared" si="601"/>
        <v>15.317493134895626</v>
      </c>
      <c r="O134" s="479">
        <f t="shared" si="601"/>
        <v>14.893041453471684</v>
      </c>
      <c r="P134" s="479">
        <f t="shared" si="601"/>
        <v>14.480351437502854</v>
      </c>
      <c r="Q134" s="479">
        <f t="shared" si="601"/>
        <v>14.0790971682089</v>
      </c>
      <c r="R134" s="479">
        <f t="shared" si="601"/>
        <v>13.688961758102966</v>
      </c>
      <c r="S134" s="479">
        <f t="shared" si="601"/>
        <v>13.3096371007321</v>
      </c>
      <c r="T134" s="479">
        <f t="shared" si="601"/>
        <v>12.940823627352554</v>
      </c>
      <c r="U134" s="479">
        <f t="shared" si="601"/>
        <v>12.582230070347645</v>
      </c>
      <c r="V134" s="479">
        <f t="shared" si="601"/>
        <v>12.233573233201406</v>
      </c>
      <c r="W134" s="479">
        <f t="shared" si="601"/>
        <v>34.01917207764749</v>
      </c>
      <c r="X134" s="479">
        <f t="shared" si="601"/>
        <v>54.268876848210887</v>
      </c>
      <c r="Y134" s="479">
        <f t="shared" si="601"/>
        <v>56.128715344278227</v>
      </c>
      <c r="Z134" s="479">
        <f t="shared" si="601"/>
        <v>57.927210701425786</v>
      </c>
      <c r="AA134" s="479">
        <f t="shared" si="601"/>
        <v>59.666062753839</v>
      </c>
      <c r="AB134" s="479">
        <f t="shared" si="601"/>
        <v>61.346924232859934</v>
      </c>
      <c r="AC134" s="479">
        <f t="shared" si="601"/>
        <v>62.971402072218964</v>
      </c>
      <c r="AD134" s="479">
        <f t="shared" si="601"/>
        <v>64.541058677097979</v>
      </c>
      <c r="AE134" s="479">
        <f t="shared" si="601"/>
        <v>66.057413158031139</v>
      </c>
      <c r="AF134" s="479">
        <f t="shared" si="601"/>
        <v>67.521942530604491</v>
      </c>
      <c r="AG134" s="479">
        <f t="shared" si="601"/>
        <v>68.936082881925898</v>
      </c>
      <c r="AH134" s="479">
        <f t="shared" si="601"/>
        <v>70.301230504755239</v>
      </c>
      <c r="AI134" s="479">
        <f t="shared" si="601"/>
        <v>63.128942642103425</v>
      </c>
      <c r="AJ134" s="479">
        <f t="shared" si="601"/>
        <v>64.635394547241319</v>
      </c>
      <c r="AK134" s="479">
        <f t="shared" ref="AK134:BP134" si="602">AK127/AK6</f>
        <v>66.0902957469483</v>
      </c>
      <c r="AL134" s="479">
        <f t="shared" si="602"/>
        <v>67.495074724551998</v>
      </c>
      <c r="AM134" s="479">
        <f t="shared" si="602"/>
        <v>68.851120379743207</v>
      </c>
      <c r="AN134" s="479">
        <f t="shared" si="602"/>
        <v>74.375429379613678</v>
      </c>
      <c r="AO134" s="479">
        <f t="shared" si="602"/>
        <v>75.99191769056803</v>
      </c>
      <c r="AP134" s="479">
        <f t="shared" si="602"/>
        <v>77.563612693926189</v>
      </c>
      <c r="AQ134" s="479">
        <f t="shared" si="602"/>
        <v>79.0917556237832</v>
      </c>
      <c r="AR134" s="479">
        <f t="shared" si="602"/>
        <v>80.577553319317872</v>
      </c>
      <c r="AS134" s="479">
        <f t="shared" si="602"/>
        <v>82.02217917788326</v>
      </c>
      <c r="AT134" s="479">
        <f t="shared" si="602"/>
        <v>83.426774081689516</v>
      </c>
      <c r="AU134" s="479">
        <f t="shared" si="602"/>
        <v>84.792447298809051</v>
      </c>
      <c r="AV134" s="479">
        <f t="shared" si="602"/>
        <v>86.120277359206398</v>
      </c>
      <c r="AW134" s="479">
        <f t="shared" si="602"/>
        <v>87.411312906506197</v>
      </c>
      <c r="AX134" s="479">
        <f t="shared" si="602"/>
        <v>88.666573526145768</v>
      </c>
      <c r="AY134" s="479">
        <f t="shared" si="602"/>
        <v>89.887050550589436</v>
      </c>
      <c r="AZ134" s="479">
        <f t="shared" si="602"/>
        <v>66.645722823475907</v>
      </c>
      <c r="BA134" s="479">
        <f t="shared" si="602"/>
        <v>46.496682468972118</v>
      </c>
      <c r="BB134" s="479">
        <f t="shared" si="602"/>
        <v>44.176128361445421</v>
      </c>
      <c r="BC134" s="479">
        <f t="shared" si="602"/>
        <v>41.922785502348397</v>
      </c>
      <c r="BD134" s="479">
        <f t="shared" si="602"/>
        <v>39.734791450669633</v>
      </c>
      <c r="BE134" s="479">
        <f t="shared" si="602"/>
        <v>37.610335374118016</v>
      </c>
      <c r="BF134" s="479">
        <f t="shared" si="602"/>
        <v>35.547656619031777</v>
      </c>
      <c r="BG134" s="479">
        <f t="shared" si="602"/>
        <v>33.54504331991577</v>
      </c>
      <c r="BH134" s="479">
        <f t="shared" si="602"/>
        <v>31.600831047508791</v>
      </c>
      <c r="BI134" s="479">
        <f t="shared" si="602"/>
        <v>29.713401494313299</v>
      </c>
      <c r="BJ134" s="479">
        <f t="shared" si="602"/>
        <v>28.675794860651152</v>
      </c>
      <c r="BK134" s="479">
        <f t="shared" si="602"/>
        <v>26.846565539832756</v>
      </c>
      <c r="BL134" s="479">
        <f t="shared" si="602"/>
        <v>25.071015611753001</v>
      </c>
      <c r="BM134" s="479">
        <f t="shared" si="602"/>
        <v>23.347657606608248</v>
      </c>
      <c r="BN134" s="479">
        <f t="shared" si="602"/>
        <v>21.675045272766354</v>
      </c>
      <c r="BO134" s="479">
        <f t="shared" si="602"/>
        <v>20.051772434600537</v>
      </c>
      <c r="BP134" s="479">
        <f t="shared" si="602"/>
        <v>18.476471881972977</v>
      </c>
      <c r="BQ134" s="479">
        <f t="shared" ref="BQ134:CZ134" si="603">BQ127/BQ6</f>
        <v>16.94781429049101</v>
      </c>
      <c r="BR134" s="479">
        <f t="shared" si="603"/>
        <v>15.356569635249588</v>
      </c>
      <c r="BS134" s="479">
        <f t="shared" si="603"/>
        <v>13.809418779399868</v>
      </c>
      <c r="BT134" s="479">
        <f t="shared" si="603"/>
        <v>12.305139872399653</v>
      </c>
      <c r="BU134" s="479">
        <f t="shared" si="603"/>
        <v>10.84254492150008</v>
      </c>
      <c r="BV134" s="479">
        <f t="shared" si="603"/>
        <v>9.4204788535374373</v>
      </c>
      <c r="BW134" s="479">
        <f t="shared" si="603"/>
        <v>8.0378186027230036</v>
      </c>
      <c r="BX134" s="479">
        <f t="shared" si="603"/>
        <v>6.6934722237104456</v>
      </c>
      <c r="BY134" s="479">
        <f t="shared" si="603"/>
        <v>5.3863780292402712</v>
      </c>
      <c r="BZ134" s="479">
        <f t="shared" si="603"/>
        <v>4.1155037516805564</v>
      </c>
      <c r="CA134" s="479">
        <f t="shared" si="603"/>
        <v>2.8798457278013929</v>
      </c>
      <c r="CB134" s="479">
        <f t="shared" si="603"/>
        <v>1.6784281061395976</v>
      </c>
      <c r="CC134" s="479">
        <f t="shared" si="603"/>
        <v>0.51030207632743707</v>
      </c>
      <c r="CD134" s="479" t="e">
        <f t="shared" si="603"/>
        <v>#DIV/0!</v>
      </c>
      <c r="CE134" s="479" t="e">
        <f t="shared" si="603"/>
        <v>#N/A</v>
      </c>
      <c r="CF134" s="479" t="e">
        <f t="shared" si="603"/>
        <v>#N/A</v>
      </c>
      <c r="CG134" s="479" t="e">
        <f t="shared" si="603"/>
        <v>#N/A</v>
      </c>
      <c r="CH134" s="479" t="e">
        <f t="shared" si="603"/>
        <v>#N/A</v>
      </c>
      <c r="CI134" s="479" t="e">
        <f t="shared" si="603"/>
        <v>#N/A</v>
      </c>
      <c r="CJ134" s="479" t="e">
        <f t="shared" si="603"/>
        <v>#N/A</v>
      </c>
      <c r="CK134" s="479" t="e">
        <f t="shared" si="603"/>
        <v>#N/A</v>
      </c>
      <c r="CL134" s="479" t="e">
        <f t="shared" si="603"/>
        <v>#N/A</v>
      </c>
      <c r="CM134" s="479" t="e">
        <f t="shared" si="603"/>
        <v>#N/A</v>
      </c>
      <c r="CN134" s="479" t="e">
        <f t="shared" si="603"/>
        <v>#N/A</v>
      </c>
      <c r="CO134" s="479" t="e">
        <f t="shared" si="603"/>
        <v>#N/A</v>
      </c>
      <c r="CP134" s="479" t="e">
        <f t="shared" si="603"/>
        <v>#N/A</v>
      </c>
      <c r="CQ134" s="479" t="e">
        <f t="shared" si="603"/>
        <v>#N/A</v>
      </c>
      <c r="CR134" s="479" t="e">
        <f t="shared" si="603"/>
        <v>#N/A</v>
      </c>
      <c r="CS134" s="479" t="e">
        <f t="shared" si="603"/>
        <v>#N/A</v>
      </c>
      <c r="CT134" s="479" t="e">
        <f t="shared" si="603"/>
        <v>#N/A</v>
      </c>
      <c r="CU134" s="479" t="e">
        <f t="shared" si="603"/>
        <v>#N/A</v>
      </c>
      <c r="CV134" s="479" t="e">
        <f t="shared" si="603"/>
        <v>#N/A</v>
      </c>
      <c r="CW134" s="479" t="e">
        <f t="shared" si="603"/>
        <v>#N/A</v>
      </c>
      <c r="CX134" s="479" t="e">
        <f t="shared" si="603"/>
        <v>#N/A</v>
      </c>
      <c r="CY134" s="479" t="e">
        <f t="shared" si="603"/>
        <v>#N/A</v>
      </c>
      <c r="CZ134" s="479" t="e">
        <f t="shared" si="603"/>
        <v>#N/A</v>
      </c>
    </row>
    <row r="135" spans="1:104" x14ac:dyDescent="0.25">
      <c r="B135" t="s">
        <v>280</v>
      </c>
      <c r="E135" s="479">
        <f>E134/12*2.8</f>
        <v>4.6025990546740818</v>
      </c>
      <c r="F135" s="479">
        <f t="shared" ref="F135:BQ135" si="604">F134/12*2.8</f>
        <v>4.4750598489782023</v>
      </c>
      <c r="G135" s="479">
        <f t="shared" si="604"/>
        <v>4.3510547875334984</v>
      </c>
      <c r="H135" s="479">
        <f t="shared" si="604"/>
        <v>4.2304859382921718</v>
      </c>
      <c r="I135" s="479">
        <f t="shared" si="604"/>
        <v>4.113258082928704</v>
      </c>
      <c r="J135" s="479">
        <f t="shared" si="604"/>
        <v>3.9992786416419097</v>
      </c>
      <c r="K135" s="479">
        <f t="shared" si="604"/>
        <v>3.8884576000407485</v>
      </c>
      <c r="L135" s="479">
        <f t="shared" si="604"/>
        <v>3.7807074380561487</v>
      </c>
      <c r="M135" s="479">
        <f t="shared" si="604"/>
        <v>3.6759430608227013</v>
      </c>
      <c r="N135" s="479">
        <f t="shared" si="604"/>
        <v>3.5740817314756459</v>
      </c>
      <c r="O135" s="479">
        <f t="shared" si="604"/>
        <v>3.4750430058100594</v>
      </c>
      <c r="P135" s="479">
        <f t="shared" si="604"/>
        <v>3.3787486687506658</v>
      </c>
      <c r="Q135" s="479">
        <f t="shared" si="604"/>
        <v>3.2851226725820761</v>
      </c>
      <c r="R135" s="479">
        <f t="shared" si="604"/>
        <v>3.1940910768906918</v>
      </c>
      <c r="S135" s="479">
        <f t="shared" si="604"/>
        <v>3.105581990170823</v>
      </c>
      <c r="T135" s="479">
        <f t="shared" si="604"/>
        <v>3.0195255130489294</v>
      </c>
      <c r="U135" s="479">
        <f t="shared" si="604"/>
        <v>2.9358536830811168</v>
      </c>
      <c r="V135" s="479">
        <f t="shared" si="604"/>
        <v>2.8545004210803282</v>
      </c>
      <c r="W135" s="479">
        <f t="shared" si="604"/>
        <v>7.937806818117747</v>
      </c>
      <c r="X135" s="479">
        <f t="shared" si="604"/>
        <v>12.662737931249207</v>
      </c>
      <c r="Y135" s="479">
        <f t="shared" si="604"/>
        <v>13.096700246998251</v>
      </c>
      <c r="Z135" s="479">
        <f t="shared" si="604"/>
        <v>13.516349163666016</v>
      </c>
      <c r="AA135" s="479">
        <f t="shared" si="604"/>
        <v>13.922081309229098</v>
      </c>
      <c r="AB135" s="479">
        <f t="shared" si="604"/>
        <v>14.31428232100065</v>
      </c>
      <c r="AC135" s="479">
        <f t="shared" si="604"/>
        <v>14.693327150184423</v>
      </c>
      <c r="AD135" s="479">
        <f t="shared" si="604"/>
        <v>15.059580357989528</v>
      </c>
      <c r="AE135" s="479">
        <f t="shared" si="604"/>
        <v>15.413396403540599</v>
      </c>
      <c r="AF135" s="479">
        <f t="shared" si="604"/>
        <v>15.755119923807714</v>
      </c>
      <c r="AG135" s="479">
        <f t="shared" si="604"/>
        <v>16.085086005782706</v>
      </c>
      <c r="AH135" s="479">
        <f t="shared" si="604"/>
        <v>16.403620451109557</v>
      </c>
      <c r="AI135" s="479">
        <f t="shared" si="604"/>
        <v>14.730086616490798</v>
      </c>
      <c r="AJ135" s="479">
        <f t="shared" si="604"/>
        <v>15.081592061022972</v>
      </c>
      <c r="AK135" s="479">
        <f t="shared" si="604"/>
        <v>15.421069007621268</v>
      </c>
      <c r="AL135" s="479">
        <f t="shared" si="604"/>
        <v>15.748850769062132</v>
      </c>
      <c r="AM135" s="479">
        <f t="shared" si="604"/>
        <v>16.065261421940082</v>
      </c>
      <c r="AN135" s="479">
        <f t="shared" si="604"/>
        <v>17.354266855243193</v>
      </c>
      <c r="AO135" s="479">
        <f t="shared" si="604"/>
        <v>17.731447461132539</v>
      </c>
      <c r="AP135" s="479">
        <f t="shared" si="604"/>
        <v>18.098176295249441</v>
      </c>
      <c r="AQ135" s="479">
        <f t="shared" si="604"/>
        <v>18.454742978882745</v>
      </c>
      <c r="AR135" s="479">
        <f t="shared" si="604"/>
        <v>18.801429107840836</v>
      </c>
      <c r="AS135" s="479">
        <f t="shared" si="604"/>
        <v>19.138508474839426</v>
      </c>
      <c r="AT135" s="479">
        <f t="shared" si="604"/>
        <v>19.466247285727551</v>
      </c>
      <c r="AU135" s="479">
        <f t="shared" si="604"/>
        <v>19.78490436972211</v>
      </c>
      <c r="AV135" s="479">
        <f t="shared" si="604"/>
        <v>20.094731383814825</v>
      </c>
      <c r="AW135" s="479">
        <f t="shared" si="604"/>
        <v>20.395973011518112</v>
      </c>
      <c r="AX135" s="479">
        <f t="shared" si="604"/>
        <v>20.688867156100677</v>
      </c>
      <c r="AY135" s="479">
        <f t="shared" si="604"/>
        <v>20.973645128470867</v>
      </c>
      <c r="AZ135" s="479">
        <f t="shared" si="604"/>
        <v>15.550668658811045</v>
      </c>
      <c r="BA135" s="479">
        <f t="shared" si="604"/>
        <v>10.849225909426828</v>
      </c>
      <c r="BB135" s="479">
        <f t="shared" si="604"/>
        <v>10.307763284337264</v>
      </c>
      <c r="BC135" s="479">
        <f t="shared" si="604"/>
        <v>9.7819832838812921</v>
      </c>
      <c r="BD135" s="479">
        <f t="shared" si="604"/>
        <v>9.2714513384895803</v>
      </c>
      <c r="BE135" s="479">
        <f t="shared" si="604"/>
        <v>8.7757449206275364</v>
      </c>
      <c r="BF135" s="479">
        <f t="shared" si="604"/>
        <v>8.294453211107415</v>
      </c>
      <c r="BG135" s="479">
        <f t="shared" si="604"/>
        <v>7.8271767746470129</v>
      </c>
      <c r="BH135" s="479">
        <f t="shared" si="604"/>
        <v>7.3735272444187174</v>
      </c>
      <c r="BI135" s="479">
        <f t="shared" si="604"/>
        <v>6.9331270153397702</v>
      </c>
      <c r="BJ135" s="479">
        <f t="shared" si="604"/>
        <v>6.6910188008186013</v>
      </c>
      <c r="BK135" s="479">
        <f t="shared" si="604"/>
        <v>6.2641986259609759</v>
      </c>
      <c r="BL135" s="479">
        <f t="shared" si="604"/>
        <v>5.8499036427423672</v>
      </c>
      <c r="BM135" s="479">
        <f t="shared" si="604"/>
        <v>5.447786774875258</v>
      </c>
      <c r="BN135" s="479">
        <f t="shared" si="604"/>
        <v>5.057510563645482</v>
      </c>
      <c r="BO135" s="479">
        <f t="shared" si="604"/>
        <v>4.6787469014067922</v>
      </c>
      <c r="BP135" s="479">
        <f t="shared" si="604"/>
        <v>4.3111767724603611</v>
      </c>
      <c r="BQ135" s="479">
        <f t="shared" si="604"/>
        <v>3.9544900011145687</v>
      </c>
      <c r="BR135" s="479">
        <f t="shared" ref="BR135:CZ135" si="605">BR134/12*2.8</f>
        <v>3.5831995815582371</v>
      </c>
      <c r="BS135" s="479">
        <f t="shared" si="605"/>
        <v>3.2221977151933028</v>
      </c>
      <c r="BT135" s="479">
        <f t="shared" si="605"/>
        <v>2.8711993035599193</v>
      </c>
      <c r="BU135" s="479">
        <f t="shared" si="605"/>
        <v>2.5299271483500183</v>
      </c>
      <c r="BV135" s="479">
        <f t="shared" si="605"/>
        <v>2.1981117324920687</v>
      </c>
      <c r="BW135" s="479">
        <f t="shared" si="605"/>
        <v>1.8754910073020341</v>
      </c>
      <c r="BX135" s="479">
        <f t="shared" si="605"/>
        <v>1.5618101855324371</v>
      </c>
      <c r="BY135" s="479">
        <f t="shared" si="605"/>
        <v>1.2568215401560632</v>
      </c>
      <c r="BZ135" s="479">
        <f t="shared" si="605"/>
        <v>0.96028420872546316</v>
      </c>
      <c r="CA135" s="479">
        <f t="shared" si="605"/>
        <v>0.67196400315365834</v>
      </c>
      <c r="CB135" s="479">
        <f t="shared" si="605"/>
        <v>0.39163322476590612</v>
      </c>
      <c r="CC135" s="479">
        <f t="shared" si="605"/>
        <v>0.11907048447640198</v>
      </c>
      <c r="CD135" s="479" t="e">
        <f t="shared" si="605"/>
        <v>#DIV/0!</v>
      </c>
      <c r="CE135" s="479" t="e">
        <f t="shared" si="605"/>
        <v>#N/A</v>
      </c>
      <c r="CF135" s="479" t="e">
        <f t="shared" si="605"/>
        <v>#N/A</v>
      </c>
      <c r="CG135" s="479" t="e">
        <f t="shared" si="605"/>
        <v>#N/A</v>
      </c>
      <c r="CH135" s="479" t="e">
        <f t="shared" si="605"/>
        <v>#N/A</v>
      </c>
      <c r="CI135" s="479" t="e">
        <f t="shared" si="605"/>
        <v>#N/A</v>
      </c>
      <c r="CJ135" s="479" t="e">
        <f t="shared" si="605"/>
        <v>#N/A</v>
      </c>
      <c r="CK135" s="479" t="e">
        <f t="shared" si="605"/>
        <v>#N/A</v>
      </c>
      <c r="CL135" s="479" t="e">
        <f t="shared" si="605"/>
        <v>#N/A</v>
      </c>
      <c r="CM135" s="479" t="e">
        <f t="shared" si="605"/>
        <v>#N/A</v>
      </c>
      <c r="CN135" s="479" t="e">
        <f t="shared" si="605"/>
        <v>#N/A</v>
      </c>
      <c r="CO135" s="479" t="e">
        <f t="shared" si="605"/>
        <v>#N/A</v>
      </c>
      <c r="CP135" s="479" t="e">
        <f t="shared" si="605"/>
        <v>#N/A</v>
      </c>
      <c r="CQ135" s="479" t="e">
        <f t="shared" si="605"/>
        <v>#N/A</v>
      </c>
      <c r="CR135" s="479" t="e">
        <f t="shared" si="605"/>
        <v>#N/A</v>
      </c>
      <c r="CS135" s="479" t="e">
        <f t="shared" si="605"/>
        <v>#N/A</v>
      </c>
      <c r="CT135" s="479" t="e">
        <f t="shared" si="605"/>
        <v>#N/A</v>
      </c>
      <c r="CU135" s="479" t="e">
        <f t="shared" si="605"/>
        <v>#N/A</v>
      </c>
      <c r="CV135" s="479" t="e">
        <f t="shared" si="605"/>
        <v>#N/A</v>
      </c>
      <c r="CW135" s="479" t="e">
        <f t="shared" si="605"/>
        <v>#N/A</v>
      </c>
      <c r="CX135" s="479" t="e">
        <f t="shared" si="605"/>
        <v>#N/A</v>
      </c>
      <c r="CY135" s="479" t="e">
        <f t="shared" si="605"/>
        <v>#N/A</v>
      </c>
      <c r="CZ135" s="479" t="e">
        <f t="shared" si="605"/>
        <v>#N/A</v>
      </c>
    </row>
    <row r="136" spans="1:104" x14ac:dyDescent="0.25">
      <c r="B136" t="s">
        <v>324</v>
      </c>
      <c r="E136" s="477">
        <f t="shared" ref="E136:AJ136" si="606">(E40+E48)/E7</f>
        <v>0</v>
      </c>
      <c r="F136" s="477">
        <f t="shared" si="606"/>
        <v>0</v>
      </c>
      <c r="G136" s="477">
        <f t="shared" si="606"/>
        <v>0</v>
      </c>
      <c r="H136" s="477">
        <f t="shared" si="606"/>
        <v>0</v>
      </c>
      <c r="I136" s="477">
        <f t="shared" si="606"/>
        <v>0</v>
      </c>
      <c r="J136" s="477">
        <f t="shared" si="606"/>
        <v>0</v>
      </c>
      <c r="K136" s="477">
        <f t="shared" si="606"/>
        <v>0</v>
      </c>
      <c r="L136" s="477">
        <f t="shared" si="606"/>
        <v>0</v>
      </c>
      <c r="M136" s="477">
        <f t="shared" si="606"/>
        <v>0</v>
      </c>
      <c r="N136" s="477">
        <f t="shared" si="606"/>
        <v>0</v>
      </c>
      <c r="O136" s="477">
        <f t="shared" si="606"/>
        <v>0</v>
      </c>
      <c r="P136" s="477">
        <f t="shared" si="606"/>
        <v>0</v>
      </c>
      <c r="Q136" s="477">
        <f t="shared" si="606"/>
        <v>0</v>
      </c>
      <c r="R136" s="477">
        <f t="shared" si="606"/>
        <v>0</v>
      </c>
      <c r="S136" s="477">
        <f t="shared" si="606"/>
        <v>0</v>
      </c>
      <c r="T136" s="477">
        <f t="shared" si="606"/>
        <v>0</v>
      </c>
      <c r="U136" s="477">
        <f t="shared" si="606"/>
        <v>0</v>
      </c>
      <c r="V136" s="477">
        <f t="shared" si="606"/>
        <v>0</v>
      </c>
      <c r="W136" s="477">
        <f t="shared" si="606"/>
        <v>2211.5993800460096</v>
      </c>
      <c r="X136" s="477">
        <f t="shared" si="606"/>
        <v>4144.3544862292574</v>
      </c>
      <c r="Y136" s="477">
        <f t="shared" si="606"/>
        <v>4132.6773628622932</v>
      </c>
      <c r="Z136" s="477">
        <f t="shared" si="606"/>
        <v>4121.0002394952544</v>
      </c>
      <c r="AA136" s="477">
        <f t="shared" si="606"/>
        <v>4109.3231161281756</v>
      </c>
      <c r="AB136" s="477">
        <f t="shared" si="606"/>
        <v>4097.6459927611386</v>
      </c>
      <c r="AC136" s="477">
        <f t="shared" si="606"/>
        <v>4085.9688693941175</v>
      </c>
      <c r="AD136" s="477">
        <f t="shared" si="606"/>
        <v>4074.2917460270514</v>
      </c>
      <c r="AE136" s="477">
        <f t="shared" si="606"/>
        <v>4062.6146226600804</v>
      </c>
      <c r="AF136" s="477">
        <f t="shared" si="606"/>
        <v>4050.9374992929966</v>
      </c>
      <c r="AG136" s="477">
        <f t="shared" si="606"/>
        <v>4039.2603759260264</v>
      </c>
      <c r="AH136" s="477">
        <f t="shared" si="606"/>
        <v>4027.5832525589449</v>
      </c>
      <c r="AI136" s="477">
        <f t="shared" si="606"/>
        <v>4015.9061291919215</v>
      </c>
      <c r="AJ136" s="477">
        <f t="shared" si="606"/>
        <v>4004.2290058248514</v>
      </c>
      <c r="AK136" s="477">
        <f t="shared" ref="AK136:BP136" si="607">(AK40+AK48)/AK7</f>
        <v>3992.5518824579049</v>
      </c>
      <c r="AL136" s="477">
        <f t="shared" si="607"/>
        <v>3980.8747590908156</v>
      </c>
      <c r="AM136" s="477">
        <f t="shared" si="607"/>
        <v>3969.1976357238254</v>
      </c>
      <c r="AN136" s="477">
        <f t="shared" si="607"/>
        <v>4378.9212626371809</v>
      </c>
      <c r="AO136" s="477">
        <f t="shared" si="607"/>
        <v>4378.9212626372191</v>
      </c>
      <c r="AP136" s="477">
        <f t="shared" si="607"/>
        <v>4378.9212626372373</v>
      </c>
      <c r="AQ136" s="477">
        <f t="shared" si="607"/>
        <v>4378.9212626372064</v>
      </c>
      <c r="AR136" s="477">
        <f t="shared" si="607"/>
        <v>4378.9212626372264</v>
      </c>
      <c r="AS136" s="477">
        <f t="shared" si="607"/>
        <v>4378.9212626372337</v>
      </c>
      <c r="AT136" s="477">
        <f t="shared" si="607"/>
        <v>4378.9212626371691</v>
      </c>
      <c r="AU136" s="477">
        <f t="shared" si="607"/>
        <v>4378.9212626372355</v>
      </c>
      <c r="AV136" s="477">
        <f t="shared" si="607"/>
        <v>4378.9212626372109</v>
      </c>
      <c r="AW136" s="477">
        <f t="shared" si="607"/>
        <v>4378.9212626372309</v>
      </c>
      <c r="AX136" s="477">
        <f t="shared" si="607"/>
        <v>4378.9212626371918</v>
      </c>
      <c r="AY136" s="477">
        <f t="shared" si="607"/>
        <v>4378.9212626372555</v>
      </c>
      <c r="AZ136" s="477">
        <f t="shared" si="607"/>
        <v>1937.0723516786693</v>
      </c>
      <c r="BA136" s="477">
        <f t="shared" si="607"/>
        <v>0</v>
      </c>
      <c r="BB136" s="477">
        <f t="shared" si="607"/>
        <v>0</v>
      </c>
      <c r="BC136" s="477">
        <f t="shared" si="607"/>
        <v>0</v>
      </c>
      <c r="BD136" s="477">
        <f t="shared" si="607"/>
        <v>0</v>
      </c>
      <c r="BE136" s="477">
        <f t="shared" si="607"/>
        <v>0</v>
      </c>
      <c r="BF136" s="477">
        <f t="shared" si="607"/>
        <v>0</v>
      </c>
      <c r="BG136" s="477">
        <f t="shared" si="607"/>
        <v>0</v>
      </c>
      <c r="BH136" s="477">
        <f t="shared" si="607"/>
        <v>0</v>
      </c>
      <c r="BI136" s="477">
        <f t="shared" si="607"/>
        <v>0</v>
      </c>
      <c r="BJ136" s="477">
        <f t="shared" si="607"/>
        <v>0</v>
      </c>
      <c r="BK136" s="477">
        <f t="shared" si="607"/>
        <v>0</v>
      </c>
      <c r="BL136" s="477">
        <f t="shared" si="607"/>
        <v>0</v>
      </c>
      <c r="BM136" s="477">
        <f t="shared" si="607"/>
        <v>0</v>
      </c>
      <c r="BN136" s="477">
        <f t="shared" si="607"/>
        <v>0</v>
      </c>
      <c r="BO136" s="477">
        <f t="shared" si="607"/>
        <v>0</v>
      </c>
      <c r="BP136" s="477">
        <f t="shared" si="607"/>
        <v>0</v>
      </c>
      <c r="BQ136" s="477">
        <f t="shared" ref="BQ136:CZ136" si="608">(BQ40+BQ48)/BQ7</f>
        <v>0</v>
      </c>
      <c r="BR136" s="477">
        <f t="shared" si="608"/>
        <v>0</v>
      </c>
      <c r="BS136" s="477">
        <f t="shared" si="608"/>
        <v>0</v>
      </c>
      <c r="BT136" s="477">
        <f t="shared" si="608"/>
        <v>0</v>
      </c>
      <c r="BU136" s="477">
        <f t="shared" si="608"/>
        <v>0</v>
      </c>
      <c r="BV136" s="477">
        <f t="shared" si="608"/>
        <v>0</v>
      </c>
      <c r="BW136" s="477">
        <f t="shared" si="608"/>
        <v>0</v>
      </c>
      <c r="BX136" s="477">
        <f t="shared" si="608"/>
        <v>0</v>
      </c>
      <c r="BY136" s="477">
        <f t="shared" si="608"/>
        <v>0</v>
      </c>
      <c r="BZ136" s="477">
        <f t="shared" si="608"/>
        <v>0</v>
      </c>
      <c r="CA136" s="477">
        <f t="shared" si="608"/>
        <v>0</v>
      </c>
      <c r="CB136" s="477">
        <f t="shared" si="608"/>
        <v>0</v>
      </c>
      <c r="CC136" s="477">
        <f t="shared" si="608"/>
        <v>0</v>
      </c>
      <c r="CD136" s="477" t="e">
        <f t="shared" si="608"/>
        <v>#DIV/0!</v>
      </c>
      <c r="CE136" s="477" t="e">
        <f t="shared" si="608"/>
        <v>#DIV/0!</v>
      </c>
      <c r="CF136" s="477" t="e">
        <f t="shared" si="608"/>
        <v>#DIV/0!</v>
      </c>
      <c r="CG136" s="477" t="e">
        <f t="shared" si="608"/>
        <v>#DIV/0!</v>
      </c>
      <c r="CH136" s="477" t="e">
        <f t="shared" si="608"/>
        <v>#DIV/0!</v>
      </c>
      <c r="CI136" s="477" t="e">
        <f t="shared" si="608"/>
        <v>#DIV/0!</v>
      </c>
      <c r="CJ136" s="477" t="e">
        <f t="shared" si="608"/>
        <v>#DIV/0!</v>
      </c>
      <c r="CK136" s="477" t="e">
        <f t="shared" si="608"/>
        <v>#DIV/0!</v>
      </c>
      <c r="CL136" s="477" t="e">
        <f t="shared" si="608"/>
        <v>#DIV/0!</v>
      </c>
      <c r="CM136" s="477" t="e">
        <f t="shared" si="608"/>
        <v>#DIV/0!</v>
      </c>
      <c r="CN136" s="477" t="e">
        <f t="shared" si="608"/>
        <v>#DIV/0!</v>
      </c>
      <c r="CO136" s="477" t="e">
        <f t="shared" si="608"/>
        <v>#DIV/0!</v>
      </c>
      <c r="CP136" s="477" t="e">
        <f t="shared" si="608"/>
        <v>#DIV/0!</v>
      </c>
      <c r="CQ136" s="477" t="e">
        <f t="shared" si="608"/>
        <v>#DIV/0!</v>
      </c>
      <c r="CR136" s="477" t="e">
        <f t="shared" si="608"/>
        <v>#DIV/0!</v>
      </c>
      <c r="CS136" s="477" t="e">
        <f t="shared" si="608"/>
        <v>#DIV/0!</v>
      </c>
      <c r="CT136" s="477" t="e">
        <f t="shared" si="608"/>
        <v>#DIV/0!</v>
      </c>
      <c r="CU136" s="477" t="e">
        <f t="shared" si="608"/>
        <v>#DIV/0!</v>
      </c>
      <c r="CV136" s="477" t="e">
        <f t="shared" si="608"/>
        <v>#DIV/0!</v>
      </c>
      <c r="CW136" s="477" t="e">
        <f t="shared" si="608"/>
        <v>#DIV/0!</v>
      </c>
      <c r="CX136" s="477" t="e">
        <f t="shared" si="608"/>
        <v>#DIV/0!</v>
      </c>
      <c r="CY136" s="477" t="e">
        <f t="shared" si="608"/>
        <v>#DIV/0!</v>
      </c>
      <c r="CZ136" s="477" t="e">
        <f t="shared" si="608"/>
        <v>#DIV/0!</v>
      </c>
    </row>
    <row r="137" spans="1:104" s="609" customFormat="1" x14ac:dyDescent="0.25">
      <c r="B137" s="802" t="s">
        <v>600</v>
      </c>
      <c r="C137" s="802"/>
      <c r="F137" s="796">
        <f>F127/F6</f>
        <v>19.178827924192298</v>
      </c>
      <c r="G137" s="796">
        <f t="shared" ref="G137:BR137" si="609">G127/G6</f>
        <v>18.647377660857853</v>
      </c>
      <c r="H137" s="796">
        <f t="shared" si="609"/>
        <v>18.130654021252166</v>
      </c>
      <c r="I137" s="796">
        <f t="shared" si="609"/>
        <v>17.628248926837305</v>
      </c>
      <c r="J137" s="796">
        <f t="shared" si="609"/>
        <v>17.139765607036757</v>
      </c>
      <c r="K137" s="796">
        <f t="shared" si="609"/>
        <v>16.664818285888924</v>
      </c>
      <c r="L137" s="796">
        <f t="shared" si="609"/>
        <v>16.203031877383495</v>
      </c>
      <c r="M137" s="796">
        <f t="shared" si="609"/>
        <v>15.75404168924015</v>
      </c>
      <c r="N137" s="796">
        <f t="shared" si="609"/>
        <v>15.317493134895626</v>
      </c>
      <c r="O137" s="796">
        <f t="shared" si="609"/>
        <v>14.893041453471684</v>
      </c>
      <c r="P137" s="796">
        <f t="shared" si="609"/>
        <v>14.480351437502854</v>
      </c>
      <c r="Q137" s="796">
        <f t="shared" si="609"/>
        <v>14.0790971682089</v>
      </c>
      <c r="R137" s="796">
        <f t="shared" si="609"/>
        <v>13.688961758102966</v>
      </c>
      <c r="S137" s="796">
        <f t="shared" si="609"/>
        <v>13.3096371007321</v>
      </c>
      <c r="T137" s="796">
        <f t="shared" si="609"/>
        <v>12.940823627352554</v>
      </c>
      <c r="U137" s="796">
        <f t="shared" si="609"/>
        <v>12.582230070347645</v>
      </c>
      <c r="V137" s="796">
        <f t="shared" si="609"/>
        <v>12.233573233201406</v>
      </c>
      <c r="W137" s="796">
        <f t="shared" si="609"/>
        <v>34.01917207764749</v>
      </c>
      <c r="X137" s="796">
        <f t="shared" si="609"/>
        <v>54.268876848210887</v>
      </c>
      <c r="Y137" s="796">
        <f t="shared" si="609"/>
        <v>56.128715344278227</v>
      </c>
      <c r="Z137" s="796">
        <f t="shared" si="609"/>
        <v>57.927210701425786</v>
      </c>
      <c r="AA137" s="796">
        <f t="shared" si="609"/>
        <v>59.666062753839</v>
      </c>
      <c r="AB137" s="796">
        <f t="shared" si="609"/>
        <v>61.346924232859934</v>
      </c>
      <c r="AC137" s="796">
        <f t="shared" si="609"/>
        <v>62.971402072218964</v>
      </c>
      <c r="AD137" s="796">
        <f t="shared" si="609"/>
        <v>64.541058677097979</v>
      </c>
      <c r="AE137" s="796">
        <f t="shared" si="609"/>
        <v>66.057413158031139</v>
      </c>
      <c r="AF137" s="796">
        <f t="shared" si="609"/>
        <v>67.521942530604491</v>
      </c>
      <c r="AG137" s="796">
        <f t="shared" si="609"/>
        <v>68.936082881925898</v>
      </c>
      <c r="AH137" s="796">
        <f t="shared" si="609"/>
        <v>70.301230504755239</v>
      </c>
      <c r="AI137" s="796">
        <f t="shared" si="609"/>
        <v>63.128942642103425</v>
      </c>
      <c r="AJ137" s="796">
        <f t="shared" si="609"/>
        <v>64.635394547241319</v>
      </c>
      <c r="AK137" s="796">
        <f t="shared" si="609"/>
        <v>66.0902957469483</v>
      </c>
      <c r="AL137" s="796">
        <f t="shared" si="609"/>
        <v>67.495074724551998</v>
      </c>
      <c r="AM137" s="796">
        <f t="shared" si="609"/>
        <v>68.851120379743207</v>
      </c>
      <c r="AN137" s="796">
        <f t="shared" si="609"/>
        <v>74.375429379613678</v>
      </c>
      <c r="AO137" s="796">
        <f t="shared" si="609"/>
        <v>75.99191769056803</v>
      </c>
      <c r="AP137" s="796">
        <f t="shared" si="609"/>
        <v>77.563612693926189</v>
      </c>
      <c r="AQ137" s="796">
        <f t="shared" si="609"/>
        <v>79.0917556237832</v>
      </c>
      <c r="AR137" s="796">
        <f t="shared" si="609"/>
        <v>80.577553319317872</v>
      </c>
      <c r="AS137" s="796">
        <f t="shared" si="609"/>
        <v>82.02217917788326</v>
      </c>
      <c r="AT137" s="796">
        <f t="shared" si="609"/>
        <v>83.426774081689516</v>
      </c>
      <c r="AU137" s="796">
        <f t="shared" si="609"/>
        <v>84.792447298809051</v>
      </c>
      <c r="AV137" s="796">
        <f t="shared" si="609"/>
        <v>86.120277359206398</v>
      </c>
      <c r="AW137" s="796">
        <f t="shared" si="609"/>
        <v>87.411312906506197</v>
      </c>
      <c r="AX137" s="796">
        <f t="shared" si="609"/>
        <v>88.666573526145768</v>
      </c>
      <c r="AY137" s="796">
        <f t="shared" si="609"/>
        <v>89.887050550589436</v>
      </c>
      <c r="AZ137" s="796">
        <f t="shared" si="609"/>
        <v>66.645722823475907</v>
      </c>
      <c r="BA137" s="796">
        <f t="shared" si="609"/>
        <v>46.496682468972118</v>
      </c>
      <c r="BB137" s="796">
        <f t="shared" si="609"/>
        <v>44.176128361445421</v>
      </c>
      <c r="BC137" s="796">
        <f t="shared" si="609"/>
        <v>41.922785502348397</v>
      </c>
      <c r="BD137" s="796">
        <f t="shared" si="609"/>
        <v>39.734791450669633</v>
      </c>
      <c r="BE137" s="796">
        <f t="shared" si="609"/>
        <v>37.610335374118016</v>
      </c>
      <c r="BF137" s="796">
        <f t="shared" si="609"/>
        <v>35.547656619031777</v>
      </c>
      <c r="BG137" s="796">
        <f t="shared" si="609"/>
        <v>33.54504331991577</v>
      </c>
      <c r="BH137" s="796">
        <f t="shared" si="609"/>
        <v>31.600831047508791</v>
      </c>
      <c r="BI137" s="796">
        <f t="shared" si="609"/>
        <v>29.713401494313299</v>
      </c>
      <c r="BJ137" s="796">
        <f t="shared" si="609"/>
        <v>28.675794860651152</v>
      </c>
      <c r="BK137" s="796">
        <f t="shared" si="609"/>
        <v>26.846565539832756</v>
      </c>
      <c r="BL137" s="796">
        <f t="shared" si="609"/>
        <v>25.071015611753001</v>
      </c>
      <c r="BM137" s="796">
        <f t="shared" si="609"/>
        <v>23.347657606608248</v>
      </c>
      <c r="BN137" s="796">
        <f t="shared" si="609"/>
        <v>21.675045272766354</v>
      </c>
      <c r="BO137" s="796">
        <f t="shared" si="609"/>
        <v>20.051772434600537</v>
      </c>
      <c r="BP137" s="796">
        <f t="shared" si="609"/>
        <v>18.476471881972977</v>
      </c>
      <c r="BQ137" s="796">
        <f t="shared" si="609"/>
        <v>16.94781429049101</v>
      </c>
      <c r="BR137" s="796">
        <f t="shared" si="609"/>
        <v>15.356569635249588</v>
      </c>
      <c r="BS137" s="796">
        <f t="shared" ref="BS137:CZ137" si="610">BS127/BS6</f>
        <v>13.809418779399868</v>
      </c>
      <c r="BT137" s="796">
        <f t="shared" si="610"/>
        <v>12.305139872399653</v>
      </c>
      <c r="BU137" s="796">
        <f t="shared" si="610"/>
        <v>10.84254492150008</v>
      </c>
      <c r="BV137" s="796">
        <f t="shared" si="610"/>
        <v>9.4204788535374373</v>
      </c>
      <c r="BW137" s="796">
        <f t="shared" si="610"/>
        <v>8.0378186027230036</v>
      </c>
      <c r="BX137" s="796">
        <f t="shared" si="610"/>
        <v>6.6934722237104456</v>
      </c>
      <c r="BY137" s="796">
        <f t="shared" si="610"/>
        <v>5.3863780292402712</v>
      </c>
      <c r="BZ137" s="796">
        <f t="shared" si="610"/>
        <v>4.1155037516805564</v>
      </c>
      <c r="CA137" s="796">
        <f t="shared" si="610"/>
        <v>2.8798457278013929</v>
      </c>
      <c r="CB137" s="796">
        <f t="shared" si="610"/>
        <v>1.6784281061395976</v>
      </c>
      <c r="CC137" s="796">
        <f t="shared" si="610"/>
        <v>0.51030207632743707</v>
      </c>
      <c r="CD137" s="796" t="e">
        <f t="shared" si="610"/>
        <v>#DIV/0!</v>
      </c>
      <c r="CE137" s="796" t="e">
        <f t="shared" si="610"/>
        <v>#N/A</v>
      </c>
      <c r="CF137" s="796" t="e">
        <f t="shared" si="610"/>
        <v>#N/A</v>
      </c>
      <c r="CG137" s="796" t="e">
        <f t="shared" si="610"/>
        <v>#N/A</v>
      </c>
      <c r="CH137" s="796" t="e">
        <f t="shared" si="610"/>
        <v>#N/A</v>
      </c>
      <c r="CI137" s="796" t="e">
        <f t="shared" si="610"/>
        <v>#N/A</v>
      </c>
      <c r="CJ137" s="796" t="e">
        <f t="shared" si="610"/>
        <v>#N/A</v>
      </c>
      <c r="CK137" s="796" t="e">
        <f t="shared" si="610"/>
        <v>#N/A</v>
      </c>
      <c r="CL137" s="796" t="e">
        <f t="shared" si="610"/>
        <v>#N/A</v>
      </c>
      <c r="CM137" s="796" t="e">
        <f t="shared" si="610"/>
        <v>#N/A</v>
      </c>
      <c r="CN137" s="796" t="e">
        <f t="shared" si="610"/>
        <v>#N/A</v>
      </c>
      <c r="CO137" s="796" t="e">
        <f t="shared" si="610"/>
        <v>#N/A</v>
      </c>
      <c r="CP137" s="796" t="e">
        <f t="shared" si="610"/>
        <v>#N/A</v>
      </c>
      <c r="CQ137" s="796" t="e">
        <f t="shared" si="610"/>
        <v>#N/A</v>
      </c>
      <c r="CR137" s="796" t="e">
        <f t="shared" si="610"/>
        <v>#N/A</v>
      </c>
      <c r="CS137" s="796" t="e">
        <f t="shared" si="610"/>
        <v>#N/A</v>
      </c>
      <c r="CT137" s="796" t="e">
        <f t="shared" si="610"/>
        <v>#N/A</v>
      </c>
      <c r="CU137" s="796" t="e">
        <f t="shared" si="610"/>
        <v>#N/A</v>
      </c>
      <c r="CV137" s="796" t="e">
        <f t="shared" si="610"/>
        <v>#N/A</v>
      </c>
      <c r="CW137" s="796" t="e">
        <f t="shared" si="610"/>
        <v>#N/A</v>
      </c>
      <c r="CX137" s="796" t="e">
        <f t="shared" si="610"/>
        <v>#N/A</v>
      </c>
      <c r="CY137" s="796" t="e">
        <f t="shared" si="610"/>
        <v>#N/A</v>
      </c>
      <c r="CZ137" s="796" t="e">
        <f t="shared" si="610"/>
        <v>#N/A</v>
      </c>
    </row>
    <row r="138" spans="1:104" x14ac:dyDescent="0.25">
      <c r="C138" s="784" t="s">
        <v>590</v>
      </c>
      <c r="E138" s="789">
        <f>CZ131</f>
        <v>270996629.74215579</v>
      </c>
      <c r="F138" s="609"/>
      <c r="G138" s="609"/>
      <c r="H138" s="609"/>
      <c r="I138" s="609"/>
      <c r="J138" s="609"/>
      <c r="K138" s="609"/>
      <c r="L138" s="609"/>
    </row>
    <row r="139" spans="1:104" x14ac:dyDescent="0.25">
      <c r="C139" s="784" t="s">
        <v>589</v>
      </c>
      <c r="E139" s="786">
        <f>E138/'LPP Cost'!$I$17</f>
        <v>0.27966628456362824</v>
      </c>
    </row>
    <row r="140" spans="1:104" x14ac:dyDescent="0.25">
      <c r="C140" s="784" t="s">
        <v>591</v>
      </c>
      <c r="E140" s="785">
        <f>CZ32</f>
        <v>-1180.7050893418491</v>
      </c>
    </row>
    <row r="141" spans="1:104" x14ac:dyDescent="0.25">
      <c r="C141" s="788" t="s">
        <v>592</v>
      </c>
      <c r="E141" s="785">
        <f>V28</f>
        <v>969000000</v>
      </c>
    </row>
    <row r="142" spans="1:104" x14ac:dyDescent="0.25">
      <c r="C142" s="784" t="s">
        <v>593</v>
      </c>
      <c r="D142" s="609"/>
      <c r="E142" s="794">
        <f>E140/E141</f>
        <v>-1.2184779043775532E-6</v>
      </c>
    </row>
    <row r="143" spans="1:104" x14ac:dyDescent="0.25">
      <c r="C143" s="788" t="s">
        <v>594</v>
      </c>
      <c r="E143" s="794">
        <f>SUM(E23:CZ23)</f>
        <v>1.0000012847715878</v>
      </c>
    </row>
    <row r="144" spans="1:104" x14ac:dyDescent="0.25">
      <c r="C144" s="788" t="s">
        <v>595</v>
      </c>
      <c r="E144" s="789">
        <f>CZ130</f>
        <v>1397871410.9899988</v>
      </c>
      <c r="F144" t="s">
        <v>598</v>
      </c>
    </row>
    <row r="145" spans="6:6" x14ac:dyDescent="0.25">
      <c r="F145" t="s">
        <v>599</v>
      </c>
    </row>
  </sheetData>
  <pageMargins left="0.7" right="0.7" top="0.75" bottom="0.75" header="0.3" footer="0.3"/>
  <pageSetup paperSize="17" scale="63" fitToWidth="6" fitToHeight="3" orientation="landscape" r:id="rId1"/>
  <headerFooter>
    <oddFooter xml:space="preserve">&amp;L&amp;"-,Bold"&amp;9This is a preliminary draft document. It is intended for discussion purposes only.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Z146"/>
  <sheetViews>
    <sheetView zoomScale="90" zoomScaleNormal="90" workbookViewId="0">
      <pane xSplit="3" ySplit="4" topLeftCell="CB111" activePane="bottomRight" state="frozen"/>
      <selection sqref="A1:Y40"/>
      <selection pane="topRight" sqref="A1:Y40"/>
      <selection pane="bottomLeft" sqref="A1:Y40"/>
      <selection pane="bottomRight" activeCell="AZ141" sqref="AZ141:CC141"/>
    </sheetView>
  </sheetViews>
  <sheetFormatPr defaultColWidth="9" defaultRowHeight="15" x14ac:dyDescent="0.25"/>
  <cols>
    <col min="1" max="1" width="1.85546875" style="609" customWidth="1"/>
    <col min="2" max="2" width="1.7109375" style="609" customWidth="1"/>
    <col min="3" max="3" width="54.140625" style="609" customWidth="1"/>
    <col min="4" max="4" width="11.28515625" style="609" customWidth="1"/>
    <col min="5" max="5" width="18.85546875" style="609" customWidth="1"/>
    <col min="6" max="6" width="15.140625" style="609" customWidth="1"/>
    <col min="7" max="7" width="14.7109375" style="609" customWidth="1"/>
    <col min="8" max="8" width="14.5703125" style="609" customWidth="1"/>
    <col min="9" max="9" width="15.28515625" style="609" customWidth="1"/>
    <col min="10" max="10" width="16" style="609" customWidth="1"/>
    <col min="11" max="11" width="14.28515625" style="609" customWidth="1"/>
    <col min="12" max="12" width="14.85546875" style="609" customWidth="1"/>
    <col min="13" max="13" width="14.28515625" style="609" customWidth="1"/>
    <col min="14" max="14" width="14.7109375" style="609" customWidth="1"/>
    <col min="15" max="15" width="14.42578125" style="609" customWidth="1"/>
    <col min="16" max="16" width="14.5703125" style="609" customWidth="1"/>
    <col min="17" max="18" width="14.42578125" style="609" bestFit="1" customWidth="1"/>
    <col min="19" max="20" width="13.7109375" style="609" bestFit="1" customWidth="1"/>
    <col min="21" max="21" width="14.85546875" style="609" customWidth="1"/>
    <col min="22" max="22" width="16.42578125" style="609" customWidth="1"/>
    <col min="23" max="23" width="15.7109375" style="609" customWidth="1"/>
    <col min="24" max="24" width="16.7109375" style="609" customWidth="1"/>
    <col min="25" max="25" width="16.85546875" style="609" customWidth="1"/>
    <col min="26" max="26" width="16.140625" style="609" customWidth="1"/>
    <col min="27" max="27" width="16" style="609" customWidth="1"/>
    <col min="28" max="28" width="17.42578125" style="609" customWidth="1"/>
    <col min="29" max="29" width="18.140625" style="609" customWidth="1"/>
    <col min="30" max="30" width="17" style="609" customWidth="1"/>
    <col min="31" max="31" width="16.85546875" style="609" customWidth="1"/>
    <col min="32" max="32" width="15.140625" style="609" customWidth="1"/>
    <col min="33" max="33" width="16.28515625" style="609" customWidth="1"/>
    <col min="34" max="34" width="15.42578125" style="609" customWidth="1"/>
    <col min="35" max="35" width="15.5703125" style="609" customWidth="1"/>
    <col min="36" max="36" width="14.28515625" style="609" customWidth="1"/>
    <col min="37" max="54" width="13.7109375" style="609" bestFit="1" customWidth="1"/>
    <col min="55" max="103" width="15.28515625" style="609" bestFit="1" customWidth="1"/>
    <col min="104" max="104" width="16.85546875" style="609" customWidth="1"/>
    <col min="105" max="16384" width="9" style="609"/>
  </cols>
  <sheetData>
    <row r="1" spans="1:104" s="481" customFormat="1" ht="21" x14ac:dyDescent="0.35">
      <c r="A1" s="481" t="s">
        <v>325</v>
      </c>
      <c r="P1" s="580"/>
      <c r="Q1" s="579"/>
      <c r="V1" s="491"/>
    </row>
    <row r="2" spans="1:104" x14ac:dyDescent="0.25">
      <c r="V2" s="614"/>
    </row>
    <row r="3" spans="1:104" s="472" customFormat="1" x14ac:dyDescent="0.25">
      <c r="E3" s="612" t="s">
        <v>170</v>
      </c>
      <c r="F3" s="612" t="s">
        <v>171</v>
      </c>
      <c r="G3" s="612" t="s">
        <v>172</v>
      </c>
      <c r="H3" s="612" t="s">
        <v>173</v>
      </c>
      <c r="I3" s="612" t="s">
        <v>174</v>
      </c>
      <c r="J3" s="612" t="s">
        <v>175</v>
      </c>
      <c r="K3" s="612" t="s">
        <v>176</v>
      </c>
      <c r="L3" s="612" t="s">
        <v>177</v>
      </c>
      <c r="M3" s="612" t="s">
        <v>178</v>
      </c>
      <c r="N3" s="612" t="s">
        <v>179</v>
      </c>
      <c r="O3" s="612" t="s">
        <v>180</v>
      </c>
      <c r="P3" s="612" t="s">
        <v>181</v>
      </c>
      <c r="Q3" s="612" t="s">
        <v>182</v>
      </c>
      <c r="R3" s="612" t="s">
        <v>183</v>
      </c>
      <c r="S3" s="612" t="s">
        <v>184</v>
      </c>
      <c r="T3" s="612" t="s">
        <v>185</v>
      </c>
      <c r="U3" s="612" t="s">
        <v>186</v>
      </c>
      <c r="V3" s="612" t="s">
        <v>187</v>
      </c>
      <c r="W3" s="612" t="s">
        <v>188</v>
      </c>
      <c r="X3" s="612" t="s">
        <v>189</v>
      </c>
      <c r="Y3" s="612" t="s">
        <v>190</v>
      </c>
      <c r="Z3" s="612" t="s">
        <v>191</v>
      </c>
      <c r="AA3" s="612" t="s">
        <v>192</v>
      </c>
      <c r="AB3" s="612" t="s">
        <v>193</v>
      </c>
      <c r="AC3" s="612" t="s">
        <v>194</v>
      </c>
      <c r="AD3" s="612" t="s">
        <v>195</v>
      </c>
      <c r="AE3" s="612" t="s">
        <v>196</v>
      </c>
      <c r="AF3" s="612" t="s">
        <v>197</v>
      </c>
      <c r="AG3" s="612" t="s">
        <v>198</v>
      </c>
      <c r="AH3" s="612" t="s">
        <v>199</v>
      </c>
      <c r="AI3" s="612" t="s">
        <v>200</v>
      </c>
      <c r="AJ3" s="612" t="s">
        <v>201</v>
      </c>
      <c r="AK3" s="612" t="s">
        <v>202</v>
      </c>
      <c r="AL3" s="612" t="s">
        <v>203</v>
      </c>
      <c r="AM3" s="612" t="s">
        <v>204</v>
      </c>
      <c r="AN3" s="612" t="s">
        <v>205</v>
      </c>
      <c r="AO3" s="612" t="s">
        <v>206</v>
      </c>
      <c r="AP3" s="612" t="s">
        <v>207</v>
      </c>
      <c r="AQ3" s="612" t="s">
        <v>208</v>
      </c>
      <c r="AR3" s="612" t="s">
        <v>209</v>
      </c>
      <c r="AS3" s="612" t="s">
        <v>210</v>
      </c>
      <c r="AT3" s="612" t="s">
        <v>211</v>
      </c>
      <c r="AU3" s="612" t="s">
        <v>212</v>
      </c>
      <c r="AV3" s="612" t="s">
        <v>213</v>
      </c>
      <c r="AW3" s="612" t="s">
        <v>214</v>
      </c>
      <c r="AX3" s="612" t="s">
        <v>215</v>
      </c>
      <c r="AY3" s="612" t="s">
        <v>216</v>
      </c>
      <c r="AZ3" s="612" t="s">
        <v>217</v>
      </c>
      <c r="BA3" s="612" t="s">
        <v>218</v>
      </c>
      <c r="BB3" s="612" t="s">
        <v>219</v>
      </c>
      <c r="BC3" s="612" t="s">
        <v>225</v>
      </c>
      <c r="BD3" s="612" t="s">
        <v>226</v>
      </c>
      <c r="BE3" s="612" t="s">
        <v>227</v>
      </c>
      <c r="BF3" s="612" t="s">
        <v>228</v>
      </c>
      <c r="BG3" s="612" t="s">
        <v>229</v>
      </c>
      <c r="BH3" s="612" t="s">
        <v>230</v>
      </c>
      <c r="BI3" s="612" t="s">
        <v>231</v>
      </c>
      <c r="BJ3" s="612" t="s">
        <v>232</v>
      </c>
      <c r="BK3" s="612" t="s">
        <v>233</v>
      </c>
      <c r="BL3" s="612" t="s">
        <v>234</v>
      </c>
      <c r="BM3" s="612" t="s">
        <v>235</v>
      </c>
      <c r="BN3" s="612" t="s">
        <v>236</v>
      </c>
      <c r="BO3" s="612" t="s">
        <v>237</v>
      </c>
      <c r="BP3" s="612" t="s">
        <v>238</v>
      </c>
      <c r="BQ3" s="612" t="s">
        <v>239</v>
      </c>
      <c r="BR3" s="612" t="s">
        <v>240</v>
      </c>
      <c r="BS3" s="612" t="s">
        <v>241</v>
      </c>
      <c r="BT3" s="612" t="s">
        <v>242</v>
      </c>
      <c r="BU3" s="612" t="s">
        <v>243</v>
      </c>
      <c r="BV3" s="612" t="s">
        <v>244</v>
      </c>
      <c r="BW3" s="612" t="s">
        <v>245</v>
      </c>
      <c r="BX3" s="612" t="s">
        <v>246</v>
      </c>
      <c r="BY3" s="612" t="s">
        <v>247</v>
      </c>
      <c r="BZ3" s="612" t="s">
        <v>248</v>
      </c>
      <c r="CA3" s="612" t="s">
        <v>249</v>
      </c>
      <c r="CB3" s="612" t="s">
        <v>250</v>
      </c>
      <c r="CC3" s="612" t="s">
        <v>251</v>
      </c>
      <c r="CD3" s="612" t="s">
        <v>252</v>
      </c>
      <c r="CE3" s="612" t="s">
        <v>253</v>
      </c>
      <c r="CF3" s="612" t="s">
        <v>254</v>
      </c>
      <c r="CG3" s="612" t="s">
        <v>255</v>
      </c>
      <c r="CH3" s="612" t="s">
        <v>256</v>
      </c>
      <c r="CI3" s="612" t="s">
        <v>257</v>
      </c>
      <c r="CJ3" s="612" t="s">
        <v>258</v>
      </c>
      <c r="CK3" s="612" t="s">
        <v>259</v>
      </c>
      <c r="CL3" s="612" t="s">
        <v>260</v>
      </c>
      <c r="CM3" s="612" t="s">
        <v>261</v>
      </c>
      <c r="CN3" s="612" t="s">
        <v>262</v>
      </c>
      <c r="CO3" s="612" t="s">
        <v>263</v>
      </c>
      <c r="CP3" s="612" t="s">
        <v>264</v>
      </c>
      <c r="CQ3" s="612" t="s">
        <v>265</v>
      </c>
      <c r="CR3" s="612" t="s">
        <v>266</v>
      </c>
      <c r="CS3" s="612" t="s">
        <v>267</v>
      </c>
      <c r="CT3" s="612" t="s">
        <v>268</v>
      </c>
      <c r="CU3" s="612" t="s">
        <v>269</v>
      </c>
      <c r="CV3" s="612" t="s">
        <v>270</v>
      </c>
      <c r="CW3" s="612" t="s">
        <v>271</v>
      </c>
      <c r="CX3" s="612" t="s">
        <v>272</v>
      </c>
      <c r="CY3" s="612" t="s">
        <v>273</v>
      </c>
      <c r="CZ3" s="612" t="s">
        <v>274</v>
      </c>
    </row>
    <row r="4" spans="1:104" x14ac:dyDescent="0.25">
      <c r="E4" s="609">
        <v>2014</v>
      </c>
      <c r="F4" s="609">
        <f>E4+1</f>
        <v>2015</v>
      </c>
      <c r="G4" s="609">
        <f t="shared" ref="G4:BR4" si="0">F4+1</f>
        <v>2016</v>
      </c>
      <c r="H4" s="609">
        <f t="shared" si="0"/>
        <v>2017</v>
      </c>
      <c r="I4" s="609">
        <f t="shared" si="0"/>
        <v>2018</v>
      </c>
      <c r="J4" s="609">
        <f t="shared" si="0"/>
        <v>2019</v>
      </c>
      <c r="K4" s="609">
        <f t="shared" si="0"/>
        <v>2020</v>
      </c>
      <c r="L4" s="609">
        <f t="shared" si="0"/>
        <v>2021</v>
      </c>
      <c r="M4" s="609">
        <f t="shared" si="0"/>
        <v>2022</v>
      </c>
      <c r="N4" s="609">
        <f t="shared" si="0"/>
        <v>2023</v>
      </c>
      <c r="O4" s="609">
        <f t="shared" si="0"/>
        <v>2024</v>
      </c>
      <c r="P4" s="609">
        <f t="shared" si="0"/>
        <v>2025</v>
      </c>
      <c r="Q4" s="609">
        <f t="shared" si="0"/>
        <v>2026</v>
      </c>
      <c r="R4" s="609">
        <f t="shared" si="0"/>
        <v>2027</v>
      </c>
      <c r="S4" s="609">
        <f t="shared" si="0"/>
        <v>2028</v>
      </c>
      <c r="T4" s="609">
        <f t="shared" si="0"/>
        <v>2029</v>
      </c>
      <c r="U4" s="609">
        <f t="shared" si="0"/>
        <v>2030</v>
      </c>
      <c r="V4" s="609">
        <f t="shared" si="0"/>
        <v>2031</v>
      </c>
      <c r="W4" s="609">
        <f t="shared" si="0"/>
        <v>2032</v>
      </c>
      <c r="X4" s="609">
        <f t="shared" si="0"/>
        <v>2033</v>
      </c>
      <c r="Y4" s="609">
        <f t="shared" si="0"/>
        <v>2034</v>
      </c>
      <c r="Z4" s="609">
        <f t="shared" si="0"/>
        <v>2035</v>
      </c>
      <c r="AA4" s="609">
        <f t="shared" si="0"/>
        <v>2036</v>
      </c>
      <c r="AB4" s="609">
        <f t="shared" si="0"/>
        <v>2037</v>
      </c>
      <c r="AC4" s="609">
        <f t="shared" si="0"/>
        <v>2038</v>
      </c>
      <c r="AD4" s="609">
        <f t="shared" si="0"/>
        <v>2039</v>
      </c>
      <c r="AE4" s="609">
        <f t="shared" si="0"/>
        <v>2040</v>
      </c>
      <c r="AF4" s="609">
        <f t="shared" si="0"/>
        <v>2041</v>
      </c>
      <c r="AG4" s="609">
        <f t="shared" si="0"/>
        <v>2042</v>
      </c>
      <c r="AH4" s="609">
        <f t="shared" si="0"/>
        <v>2043</v>
      </c>
      <c r="AI4" s="609">
        <f t="shared" si="0"/>
        <v>2044</v>
      </c>
      <c r="AJ4" s="609">
        <f t="shared" si="0"/>
        <v>2045</v>
      </c>
      <c r="AK4" s="609">
        <f t="shared" si="0"/>
        <v>2046</v>
      </c>
      <c r="AL4" s="609">
        <f t="shared" si="0"/>
        <v>2047</v>
      </c>
      <c r="AM4" s="609">
        <f t="shared" si="0"/>
        <v>2048</v>
      </c>
      <c r="AN4" s="609">
        <f t="shared" si="0"/>
        <v>2049</v>
      </c>
      <c r="AO4" s="609">
        <f t="shared" si="0"/>
        <v>2050</v>
      </c>
      <c r="AP4" s="609">
        <f t="shared" si="0"/>
        <v>2051</v>
      </c>
      <c r="AQ4" s="609">
        <f t="shared" si="0"/>
        <v>2052</v>
      </c>
      <c r="AR4" s="609">
        <f t="shared" si="0"/>
        <v>2053</v>
      </c>
      <c r="AS4" s="609">
        <f t="shared" si="0"/>
        <v>2054</v>
      </c>
      <c r="AT4" s="609">
        <f t="shared" si="0"/>
        <v>2055</v>
      </c>
      <c r="AU4" s="609">
        <f t="shared" si="0"/>
        <v>2056</v>
      </c>
      <c r="AV4" s="609">
        <f t="shared" si="0"/>
        <v>2057</v>
      </c>
      <c r="AW4" s="609">
        <f t="shared" si="0"/>
        <v>2058</v>
      </c>
      <c r="AX4" s="609">
        <f t="shared" si="0"/>
        <v>2059</v>
      </c>
      <c r="AY4" s="609">
        <f t="shared" si="0"/>
        <v>2060</v>
      </c>
      <c r="AZ4" s="609">
        <f t="shared" si="0"/>
        <v>2061</v>
      </c>
      <c r="BA4" s="609">
        <f t="shared" si="0"/>
        <v>2062</v>
      </c>
      <c r="BB4" s="609">
        <f t="shared" si="0"/>
        <v>2063</v>
      </c>
      <c r="BC4" s="609">
        <f t="shared" si="0"/>
        <v>2064</v>
      </c>
      <c r="BD4" s="609">
        <f t="shared" si="0"/>
        <v>2065</v>
      </c>
      <c r="BE4" s="609">
        <f t="shared" si="0"/>
        <v>2066</v>
      </c>
      <c r="BF4" s="609">
        <f t="shared" si="0"/>
        <v>2067</v>
      </c>
      <c r="BG4" s="609">
        <f t="shared" si="0"/>
        <v>2068</v>
      </c>
      <c r="BH4" s="609">
        <f t="shared" si="0"/>
        <v>2069</v>
      </c>
      <c r="BI4" s="609">
        <f t="shared" si="0"/>
        <v>2070</v>
      </c>
      <c r="BJ4" s="609">
        <f t="shared" si="0"/>
        <v>2071</v>
      </c>
      <c r="BK4" s="609">
        <f t="shared" si="0"/>
        <v>2072</v>
      </c>
      <c r="BL4" s="609">
        <f t="shared" si="0"/>
        <v>2073</v>
      </c>
      <c r="BM4" s="609">
        <f t="shared" si="0"/>
        <v>2074</v>
      </c>
      <c r="BN4" s="609">
        <f t="shared" si="0"/>
        <v>2075</v>
      </c>
      <c r="BO4" s="609">
        <f t="shared" si="0"/>
        <v>2076</v>
      </c>
      <c r="BP4" s="609">
        <f t="shared" si="0"/>
        <v>2077</v>
      </c>
      <c r="BQ4" s="609">
        <f t="shared" si="0"/>
        <v>2078</v>
      </c>
      <c r="BR4" s="609">
        <f t="shared" si="0"/>
        <v>2079</v>
      </c>
      <c r="BS4" s="609">
        <f t="shared" ref="BS4:CZ4" si="1">BR4+1</f>
        <v>2080</v>
      </c>
      <c r="BT4" s="609">
        <f t="shared" si="1"/>
        <v>2081</v>
      </c>
      <c r="BU4" s="609">
        <f t="shared" si="1"/>
        <v>2082</v>
      </c>
      <c r="BV4" s="609">
        <f t="shared" si="1"/>
        <v>2083</v>
      </c>
      <c r="BW4" s="609">
        <f t="shared" si="1"/>
        <v>2084</v>
      </c>
      <c r="BX4" s="609">
        <f t="shared" si="1"/>
        <v>2085</v>
      </c>
      <c r="BY4" s="609">
        <f t="shared" si="1"/>
        <v>2086</v>
      </c>
      <c r="BZ4" s="609">
        <f t="shared" si="1"/>
        <v>2087</v>
      </c>
      <c r="CA4" s="609">
        <f t="shared" si="1"/>
        <v>2088</v>
      </c>
      <c r="CB4" s="609">
        <f t="shared" si="1"/>
        <v>2089</v>
      </c>
      <c r="CC4" s="609">
        <f t="shared" si="1"/>
        <v>2090</v>
      </c>
      <c r="CD4" s="609">
        <f t="shared" si="1"/>
        <v>2091</v>
      </c>
      <c r="CE4" s="609">
        <f t="shared" si="1"/>
        <v>2092</v>
      </c>
      <c r="CF4" s="609">
        <f t="shared" si="1"/>
        <v>2093</v>
      </c>
      <c r="CG4" s="609">
        <f t="shared" si="1"/>
        <v>2094</v>
      </c>
      <c r="CH4" s="609">
        <f t="shared" si="1"/>
        <v>2095</v>
      </c>
      <c r="CI4" s="609">
        <f t="shared" si="1"/>
        <v>2096</v>
      </c>
      <c r="CJ4" s="609">
        <f t="shared" si="1"/>
        <v>2097</v>
      </c>
      <c r="CK4" s="609">
        <f t="shared" si="1"/>
        <v>2098</v>
      </c>
      <c r="CL4" s="609">
        <f t="shared" si="1"/>
        <v>2099</v>
      </c>
      <c r="CM4" s="609">
        <f t="shared" si="1"/>
        <v>2100</v>
      </c>
      <c r="CN4" s="609">
        <f t="shared" si="1"/>
        <v>2101</v>
      </c>
      <c r="CO4" s="609">
        <f t="shared" si="1"/>
        <v>2102</v>
      </c>
      <c r="CP4" s="609">
        <f t="shared" si="1"/>
        <v>2103</v>
      </c>
      <c r="CQ4" s="609">
        <f t="shared" si="1"/>
        <v>2104</v>
      </c>
      <c r="CR4" s="609">
        <f t="shared" si="1"/>
        <v>2105</v>
      </c>
      <c r="CS4" s="609">
        <f t="shared" si="1"/>
        <v>2106</v>
      </c>
      <c r="CT4" s="609">
        <f t="shared" si="1"/>
        <v>2107</v>
      </c>
      <c r="CU4" s="609">
        <f t="shared" si="1"/>
        <v>2108</v>
      </c>
      <c r="CV4" s="609">
        <f t="shared" si="1"/>
        <v>2109</v>
      </c>
      <c r="CW4" s="609">
        <f t="shared" si="1"/>
        <v>2110</v>
      </c>
      <c r="CX4" s="609">
        <f t="shared" si="1"/>
        <v>2111</v>
      </c>
      <c r="CY4" s="609">
        <f t="shared" si="1"/>
        <v>2112</v>
      </c>
      <c r="CZ4" s="609">
        <f t="shared" si="1"/>
        <v>2113</v>
      </c>
    </row>
    <row r="5" spans="1:104" x14ac:dyDescent="0.25">
      <c r="A5" s="472" t="s">
        <v>222</v>
      </c>
    </row>
    <row r="6" spans="1:104" x14ac:dyDescent="0.25">
      <c r="B6" s="609" t="s">
        <v>66</v>
      </c>
      <c r="E6" s="611">
        <f>'Economist Plan 2'!D7</f>
        <v>155615.26406250001</v>
      </c>
      <c r="F6" s="611">
        <f>'Economist Plan 2'!E7</f>
        <v>160050.29908828126</v>
      </c>
      <c r="G6" s="611">
        <f>'Economist Plan 2'!F7</f>
        <v>164611.73261229726</v>
      </c>
      <c r="H6" s="611">
        <f>'Economist Plan 2'!G7</f>
        <v>169303.16699174771</v>
      </c>
      <c r="I6" s="611">
        <f>'Economist Plan 2'!H7</f>
        <v>174128.30725101251</v>
      </c>
      <c r="J6" s="611">
        <f>'Economist Plan 2'!I7</f>
        <v>179090.96400766636</v>
      </c>
      <c r="K6" s="611">
        <f>'Economist Plan 2'!J7</f>
        <v>184195.05648188485</v>
      </c>
      <c r="L6" s="611">
        <f>'Economist Plan 2'!K7</f>
        <v>189444.61559161855</v>
      </c>
      <c r="M6" s="611">
        <f>'Economist Plan 2'!L7</f>
        <v>194843.78713597968</v>
      </c>
      <c r="N6" s="611">
        <f>'Economist Plan 2'!M7</f>
        <v>200396.83506935509</v>
      </c>
      <c r="O6" s="611">
        <f>'Economist Plan 2'!N7</f>
        <v>206108.1448688317</v>
      </c>
      <c r="P6" s="611">
        <f>'Economist Plan 2'!O7</f>
        <v>211982.22699759339</v>
      </c>
      <c r="Q6" s="611">
        <f>'Economist Plan 2'!P7</f>
        <v>218023.7204670248</v>
      </c>
      <c r="R6" s="611">
        <f>'Economist Plan 2'!Q7</f>
        <v>224237.39650033502</v>
      </c>
      <c r="S6" s="611">
        <f>'Economist Plan 2'!R7</f>
        <v>230628.16230059456</v>
      </c>
      <c r="T6" s="611">
        <f>'Economist Plan 2'!S7</f>
        <v>237201.06492616149</v>
      </c>
      <c r="U6" s="611">
        <f>'Economist Plan 2'!T7</f>
        <v>243961.2952765571</v>
      </c>
      <c r="V6" s="611">
        <f>'Economist Plan 2'!U7</f>
        <v>250914.19219193896</v>
      </c>
      <c r="W6" s="611">
        <f>'Economist Plan 2'!V7</f>
        <v>258065.24666940921</v>
      </c>
      <c r="X6" s="611">
        <f>'Economist Plan 2'!W7</f>
        <v>265420.10619948735</v>
      </c>
      <c r="Y6" s="611">
        <f>'Economist Plan 2'!X7</f>
        <v>272984.5792261727</v>
      </c>
      <c r="Z6" s="611">
        <f>'Economist Plan 2'!Y7</f>
        <v>280764.63973411859</v>
      </c>
      <c r="AA6" s="611">
        <f>'Economist Plan 2'!Z7</f>
        <v>288766.43196654099</v>
      </c>
      <c r="AB6" s="611">
        <f>'Economist Plan 2'!AA7</f>
        <v>296996.27527758741</v>
      </c>
      <c r="AC6" s="611">
        <f>'Economist Plan 2'!AB7</f>
        <v>305460.66912299866</v>
      </c>
      <c r="AD6" s="611">
        <f>'Economist Plan 2'!AC7</f>
        <v>314166.2981930041</v>
      </c>
      <c r="AE6" s="611">
        <f>'Economist Plan 2'!AD7</f>
        <v>323120.03769150469</v>
      </c>
      <c r="AF6" s="611">
        <f>'Economist Plan 2'!AE7</f>
        <v>332328.95876571257</v>
      </c>
      <c r="AG6" s="611">
        <f>'Economist Plan 2'!AF7</f>
        <v>341800.33409053535</v>
      </c>
      <c r="AH6" s="611">
        <f>'Economist Plan 2'!AG7</f>
        <v>351541.64361211559</v>
      </c>
      <c r="AI6" s="611">
        <f>'Economist Plan 2'!AH7</f>
        <v>361560.58045506087</v>
      </c>
      <c r="AJ6" s="611">
        <f>'Economist Plan 2'!AI7</f>
        <v>371865.05699803011</v>
      </c>
      <c r="AK6" s="611">
        <f>'Economist Plan 2'!AJ7</f>
        <v>382463.21112247393</v>
      </c>
      <c r="AL6" s="611">
        <f>'Economist Plan 2'!AK7</f>
        <v>393363.41263946443</v>
      </c>
      <c r="AM6" s="611">
        <f>'Economist Plan 2'!AL7</f>
        <v>404574.26989968913</v>
      </c>
      <c r="AN6" s="611">
        <f>'Economist Plan 2'!AM7</f>
        <v>416104.63659183023</v>
      </c>
      <c r="AO6" s="611">
        <f>'Economist Plan 2'!AN7</f>
        <v>427963.6187346974</v>
      </c>
      <c r="AP6" s="611">
        <f>'Economist Plan 2'!AO7</f>
        <v>440160.58186863625</v>
      </c>
      <c r="AQ6" s="611">
        <f>'Economist Plan 2'!AP7</f>
        <v>452705.15845189238</v>
      </c>
      <c r="AR6" s="611">
        <f>'Economist Plan 2'!AQ7</f>
        <v>465607.25546777132</v>
      </c>
      <c r="AS6" s="611">
        <f>'Economist Plan 2'!AR7</f>
        <v>478877.0622486028</v>
      </c>
      <c r="AT6" s="611">
        <f>'Economist Plan 2'!AS7</f>
        <v>492525.05852268799</v>
      </c>
      <c r="AU6" s="611">
        <f>'Economist Plan 2'!AT7</f>
        <v>506562.02269058459</v>
      </c>
      <c r="AV6" s="611">
        <f>'Economist Plan 2'!AU7</f>
        <v>520999.04033726623</v>
      </c>
      <c r="AW6" s="611">
        <f>'Economist Plan 2'!AV7</f>
        <v>535847.51298687828</v>
      </c>
      <c r="AX6" s="611">
        <f>'Economist Plan 2'!AW7</f>
        <v>551119.16710700432</v>
      </c>
      <c r="AY6" s="611">
        <f>'Economist Plan 2'!AX7</f>
        <v>566826.06336955389</v>
      </c>
      <c r="AZ6" s="611">
        <f>'Economist Plan 2'!AY7</f>
        <v>582980.60617558612</v>
      </c>
      <c r="BA6" s="611">
        <f>'Economist Plan 2'!AZ7</f>
        <v>599595.55345159036</v>
      </c>
      <c r="BB6" s="611">
        <f>'Economist Plan 2'!BA7</f>
        <v>616684.02672496065</v>
      </c>
      <c r="BC6" s="611">
        <f>'Economist Plan 2'!BB7</f>
        <v>634259.52148662205</v>
      </c>
      <c r="BD6" s="611">
        <f>'Economist Plan 2'!BC7</f>
        <v>652335.91784899076</v>
      </c>
      <c r="BE6" s="611">
        <f>'Economist Plan 2'!BD7</f>
        <v>670927.49150768702</v>
      </c>
      <c r="BF6" s="611">
        <f>'Economist Plan 2'!BE7</f>
        <v>690048.92501565604</v>
      </c>
      <c r="BG6" s="611">
        <f>'Economist Plan 2'!BF7</f>
        <v>709715.3193786022</v>
      </c>
      <c r="BH6" s="611">
        <f>'Economist Plan 2'!BG7</f>
        <v>729942.20598089229</v>
      </c>
      <c r="BI6" s="611">
        <f>'Economist Plan 2'!BH7</f>
        <v>750745.55885134765</v>
      </c>
      <c r="BJ6" s="611">
        <f>'Economist Plan 2'!BI7</f>
        <v>750745.55885134765</v>
      </c>
      <c r="BK6" s="611">
        <f>'Economist Plan 2'!BJ7</f>
        <v>772141.807278611</v>
      </c>
      <c r="BL6" s="611">
        <f>'Economist Plan 2'!BK7</f>
        <v>794147.84878605139</v>
      </c>
      <c r="BM6" s="611">
        <f>'Economist Plan 2'!BL7</f>
        <v>816781.06247645384</v>
      </c>
      <c r="BN6" s="611">
        <f>'Economist Plan 2'!BM7</f>
        <v>840059.3227570327</v>
      </c>
      <c r="BO6" s="611">
        <f>'Economist Plan 2'!BN7</f>
        <v>864001.01345560816</v>
      </c>
      <c r="BP6" s="611">
        <f>'Economist Plan 2'!BO7</f>
        <v>888625.04233909294</v>
      </c>
      <c r="BQ6" s="611">
        <f>'Economist Plan 2'!BP7</f>
        <v>913950.85604575707</v>
      </c>
      <c r="BR6" s="611">
        <f>'Economist Plan 2'!BQ7</f>
        <v>939998.45544306107</v>
      </c>
      <c r="BS6" s="611">
        <f>'Economist Plan 2'!BR7</f>
        <v>966788.41142318828</v>
      </c>
      <c r="BT6" s="611">
        <f>'Economist Plan 2'!BS7</f>
        <v>994341.88114874915</v>
      </c>
      <c r="BU6" s="611">
        <f>'Economist Plan 2'!BT7</f>
        <v>1022680.6247614885</v>
      </c>
      <c r="BV6" s="611">
        <f>'Economist Plan 2'!BU7</f>
        <v>1051827.0225671909</v>
      </c>
      <c r="BW6" s="611">
        <f>'Economist Plan 2'!BV7</f>
        <v>1081804.0927103558</v>
      </c>
      <c r="BX6" s="611">
        <f>'Economist Plan 2'!BW7</f>
        <v>1112635.5093526009</v>
      </c>
      <c r="BY6" s="611">
        <f>'Economist Plan 2'!BX7</f>
        <v>1144345.62136915</v>
      </c>
      <c r="BZ6" s="611">
        <f>'Economist Plan 2'!BY7</f>
        <v>1176959.4715781708</v>
      </c>
      <c r="CA6" s="611">
        <f>'Economist Plan 2'!BZ7</f>
        <v>1210502.8165181486</v>
      </c>
      <c r="CB6" s="611">
        <f>'Economist Plan 2'!CA7</f>
        <v>1245002.1467889159</v>
      </c>
      <c r="CC6" s="611">
        <f>'Economist Plan 2'!CB7</f>
        <v>1280484.7079723999</v>
      </c>
      <c r="CD6" s="611">
        <f>VLOOKUP(CD$4,'Summary Baseline Data'!$A$9:$AA$110,4,FALSE)</f>
        <v>1046558.2107234071</v>
      </c>
      <c r="CE6" s="611" t="e">
        <f>VLOOKUP(CE$4,'Summary Baseline Data'!$A$9:$AA$110,4,FALSE)</f>
        <v>#N/A</v>
      </c>
      <c r="CF6" s="611" t="e">
        <f>VLOOKUP(CF$4,'Summary Baseline Data'!$A$9:$AA$110,4,FALSE)</f>
        <v>#N/A</v>
      </c>
      <c r="CG6" s="611" t="e">
        <f>VLOOKUP(CG$4,'Summary Baseline Data'!$A$9:$AA$110,4,FALSE)</f>
        <v>#N/A</v>
      </c>
      <c r="CH6" s="611" t="e">
        <f>VLOOKUP(CH$4,'Summary Baseline Data'!$A$9:$AA$110,4,FALSE)</f>
        <v>#N/A</v>
      </c>
      <c r="CI6" s="611" t="e">
        <f>VLOOKUP(CI$4,'Summary Baseline Data'!$A$9:$AA$110,4,FALSE)</f>
        <v>#N/A</v>
      </c>
      <c r="CJ6" s="611" t="e">
        <f>VLOOKUP(CJ$4,'Summary Baseline Data'!$A$9:$AA$110,4,FALSE)</f>
        <v>#N/A</v>
      </c>
      <c r="CK6" s="611" t="e">
        <f>VLOOKUP(CK$4,'Summary Baseline Data'!$A$9:$AA$110,4,FALSE)</f>
        <v>#N/A</v>
      </c>
      <c r="CL6" s="611" t="e">
        <f>VLOOKUP(CL$4,'Summary Baseline Data'!$A$9:$AA$110,4,FALSE)</f>
        <v>#N/A</v>
      </c>
      <c r="CM6" s="611" t="e">
        <f>VLOOKUP(CM$4,'Summary Baseline Data'!$A$9:$AA$110,4,FALSE)</f>
        <v>#N/A</v>
      </c>
      <c r="CN6" s="611" t="e">
        <f>VLOOKUP(CN$4,'Summary Baseline Data'!$A$9:$AA$110,4,FALSE)</f>
        <v>#N/A</v>
      </c>
      <c r="CO6" s="611" t="e">
        <f>VLOOKUP(CO$4,'Summary Baseline Data'!$A$9:$AA$110,4,FALSE)</f>
        <v>#N/A</v>
      </c>
      <c r="CP6" s="611" t="e">
        <f>VLOOKUP(CP$4,'Summary Baseline Data'!$A$9:$AA$110,4,FALSE)</f>
        <v>#N/A</v>
      </c>
      <c r="CQ6" s="611" t="e">
        <f>VLOOKUP(CQ$4,'Summary Baseline Data'!$A$9:$AA$110,4,FALSE)</f>
        <v>#N/A</v>
      </c>
      <c r="CR6" s="611" t="e">
        <f>VLOOKUP(CR$4,'Summary Baseline Data'!$A$9:$AA$110,4,FALSE)</f>
        <v>#N/A</v>
      </c>
      <c r="CS6" s="611" t="e">
        <f>VLOOKUP(CS$4,'Summary Baseline Data'!$A$9:$AA$110,4,FALSE)</f>
        <v>#N/A</v>
      </c>
      <c r="CT6" s="611" t="e">
        <f>VLOOKUP(CT$4,'Summary Baseline Data'!$A$9:$AA$110,4,FALSE)</f>
        <v>#N/A</v>
      </c>
      <c r="CU6" s="611" t="e">
        <f>VLOOKUP(CU$4,'Summary Baseline Data'!$A$9:$AA$110,4,FALSE)</f>
        <v>#N/A</v>
      </c>
      <c r="CV6" s="611" t="e">
        <f>VLOOKUP(CV$4,'Summary Baseline Data'!$A$9:$AA$110,4,FALSE)</f>
        <v>#N/A</v>
      </c>
      <c r="CW6" s="611" t="e">
        <f>VLOOKUP(CW$4,'Summary Baseline Data'!$A$9:$AA$110,4,FALSE)</f>
        <v>#N/A</v>
      </c>
      <c r="CX6" s="611" t="e">
        <f>VLOOKUP(CX$4,'Summary Baseline Data'!$A$9:$AA$110,4,FALSE)</f>
        <v>#N/A</v>
      </c>
      <c r="CY6" s="611" t="e">
        <f>VLOOKUP(CY$4,'Summary Baseline Data'!$A$9:$AA$110,4,FALSE)</f>
        <v>#N/A</v>
      </c>
      <c r="CZ6" s="611" t="e">
        <f>VLOOKUP(CZ$4,'Summary Baseline Data'!$A$9:$AA$110,4,FALSE)</f>
        <v>#N/A</v>
      </c>
    </row>
    <row r="7" spans="1:104" x14ac:dyDescent="0.25">
      <c r="B7" s="609" t="s">
        <v>281</v>
      </c>
      <c r="E7" s="611">
        <f>'Economist Plan 2'!D8</f>
        <v>1466.7139668367367</v>
      </c>
      <c r="F7" s="611">
        <f>'Economist Plan 2'!E8</f>
        <v>1508.5153148915829</v>
      </c>
      <c r="G7" s="611">
        <f>'Economist Plan 2'!F8</f>
        <v>1551.5080013659863</v>
      </c>
      <c r="H7" s="611">
        <f>'Economist Plan 2'!G8</f>
        <v>1595.725979404916</v>
      </c>
      <c r="I7" s="611">
        <f>'Economist Plan 2'!H8</f>
        <v>1641.2041698179571</v>
      </c>
      <c r="J7" s="611">
        <f>'Economist Plan 2'!I8</f>
        <v>1687.9784886577747</v>
      </c>
      <c r="K7" s="611">
        <f>'Economist Plan 2'!J8</f>
        <v>1736.0858755845195</v>
      </c>
      <c r="L7" s="611">
        <f>'Economist Plan 2'!K8</f>
        <v>1785.564323038674</v>
      </c>
      <c r="M7" s="611">
        <f>'Economist Plan 2'!L8</f>
        <v>1836.452906245283</v>
      </c>
      <c r="N7" s="611">
        <f>'Economist Plan 2'!M8</f>
        <v>1888.791814073267</v>
      </c>
      <c r="O7" s="611">
        <f>'Economist Plan 2'!N8</f>
        <v>1942.6223807743586</v>
      </c>
      <c r="P7" s="611">
        <f>'Economist Plan 2'!O8</f>
        <v>1997.9871186264236</v>
      </c>
      <c r="Q7" s="611">
        <f>'Economist Plan 2'!P8</f>
        <v>2054.929751507284</v>
      </c>
      <c r="R7" s="611">
        <f>'Economist Plan 2'!Q8</f>
        <v>2113.4952494252429</v>
      </c>
      <c r="S7" s="611">
        <f>'Economist Plan 2'!R8</f>
        <v>2173.7298640338577</v>
      </c>
      <c r="T7" s="611">
        <f>'Economist Plan 2'!S8</f>
        <v>2235.68116515882</v>
      </c>
      <c r="U7" s="611">
        <f>'Economist Plan 2'!T8</f>
        <v>2299.3980783658526</v>
      </c>
      <c r="V7" s="611">
        <f>'Economist Plan 2'!U8</f>
        <v>2364.9309235992728</v>
      </c>
      <c r="W7" s="611">
        <f>'Economist Plan 2'!V8</f>
        <v>2432.3314549218562</v>
      </c>
      <c r="X7" s="611">
        <f>'Economist Plan 2'!W8</f>
        <v>2501.6529013871195</v>
      </c>
      <c r="Y7" s="611">
        <f>'Economist Plan 2'!X8</f>
        <v>2572.9500090766528</v>
      </c>
      <c r="Z7" s="611">
        <f>'Economist Plan 2'!Y8</f>
        <v>2646.2790843353373</v>
      </c>
      <c r="AA7" s="611">
        <f>'Economist Plan 2'!Z8</f>
        <v>2721.6980382389083</v>
      </c>
      <c r="AB7" s="611">
        <f>'Economist Plan 2'!AA8</f>
        <v>2799.2664323287158</v>
      </c>
      <c r="AC7" s="611">
        <f>'Economist Plan 2'!AB8</f>
        <v>2879.0455256500854</v>
      </c>
      <c r="AD7" s="611">
        <f>'Economist Plan 2'!AC8</f>
        <v>2961.0983231311016</v>
      </c>
      <c r="AE7" s="611">
        <f>'Economist Plan 2'!AD8</f>
        <v>3045.489625340339</v>
      </c>
      <c r="AF7" s="611">
        <f>'Economist Plan 2'!AE8</f>
        <v>3132.2860796625414</v>
      </c>
      <c r="AG7" s="611">
        <f>'Economist Plan 2'!AF8</f>
        <v>3221.5562329329209</v>
      </c>
      <c r="AH7" s="611">
        <f>'Economist Plan 2'!AG8</f>
        <v>3313.3705855715075</v>
      </c>
      <c r="AI7" s="611">
        <f>'Economist Plan 2'!AH8</f>
        <v>3407.8016472603022</v>
      </c>
      <c r="AJ7" s="611">
        <f>'Economist Plan 2'!AI8</f>
        <v>3504.9239942072227</v>
      </c>
      <c r="AK7" s="611">
        <f>'Economist Plan 2'!AJ8</f>
        <v>3604.8143280421182</v>
      </c>
      <c r="AL7" s="611">
        <f>'Economist Plan 2'!AK8</f>
        <v>3707.5515363913237</v>
      </c>
      <c r="AM7" s="611">
        <f>'Economist Plan 2'!AL8</f>
        <v>3813.2167551784696</v>
      </c>
      <c r="AN7" s="611">
        <f>'Economist Plan 2'!AM8</f>
        <v>3921.8934327010566</v>
      </c>
      <c r="AO7" s="611">
        <f>'Economist Plan 2'!AN8</f>
        <v>4033.6673955330516</v>
      </c>
      <c r="AP7" s="611">
        <f>'Economist Plan 2'!AO8</f>
        <v>4148.6269163057295</v>
      </c>
      <c r="AQ7" s="611">
        <f>'Economist Plan 2'!AP8</f>
        <v>4266.8627834204526</v>
      </c>
      <c r="AR7" s="611">
        <f>'Economist Plan 2'!AQ8</f>
        <v>4388.4683727479396</v>
      </c>
      <c r="AS7" s="611">
        <f>'Economist Plan 2'!AR8</f>
        <v>4513.5397213712522</v>
      </c>
      <c r="AT7" s="611">
        <f>'Economist Plan 2'!AS8</f>
        <v>4642.1756034303371</v>
      </c>
      <c r="AU7" s="611">
        <f>'Economist Plan 2'!AT8</f>
        <v>4774.4776081280952</v>
      </c>
      <c r="AV7" s="611">
        <f>'Economist Plan 2'!AU8</f>
        <v>4910.5502199597395</v>
      </c>
      <c r="AW7" s="611">
        <f>'Economist Plan 2'!AV8</f>
        <v>5050.5009012285909</v>
      </c>
      <c r="AX7" s="611">
        <f>'Economist Plan 2'!AW8</f>
        <v>5194.4401769136193</v>
      </c>
      <c r="AY7" s="611">
        <f>'Economist Plan 2'!AX8</f>
        <v>5342.4817219556335</v>
      </c>
      <c r="AZ7" s="611">
        <f>'Economist Plan 2'!AY8</f>
        <v>5494.7424510313713</v>
      </c>
      <c r="BA7" s="611">
        <f>'Economist Plan 2'!AZ8</f>
        <v>5651.3426108857966</v>
      </c>
      <c r="BB7" s="611">
        <f>'Economist Plan 2'!BA8</f>
        <v>5812.40587529602</v>
      </c>
      <c r="BC7" s="611">
        <f>'Economist Plan 2'!BB8</f>
        <v>5978.059442741971</v>
      </c>
      <c r="BD7" s="611">
        <f>'Economist Plan 2'!BC8</f>
        <v>6148.4341368601072</v>
      </c>
      <c r="BE7" s="611">
        <f>'Economist Plan 2'!BD8</f>
        <v>6323.6645097606324</v>
      </c>
      <c r="BF7" s="611">
        <f>'Economist Plan 2'!BE8</f>
        <v>6503.8889482887826</v>
      </c>
      <c r="BG7" s="611">
        <f>'Economist Plan 2'!BF8</f>
        <v>6689.2497833150201</v>
      </c>
      <c r="BH7" s="611">
        <f>'Economist Plan 2'!BG8</f>
        <v>6879.8934021394871</v>
      </c>
      <c r="BI7" s="611">
        <f>'Economist Plan 2'!BH8</f>
        <v>7075.9703641004635</v>
      </c>
      <c r="BJ7" s="611">
        <f>'Economist Plan 2'!BI8</f>
        <v>7075.9703641004635</v>
      </c>
      <c r="BK7" s="611">
        <f>'Economist Plan 2'!BJ8</f>
        <v>7277.6355194773287</v>
      </c>
      <c r="BL7" s="611">
        <f>'Economist Plan 2'!BK8</f>
        <v>7485.0481317824442</v>
      </c>
      <c r="BM7" s="611">
        <f>'Economist Plan 2'!BL8</f>
        <v>7698.3720035382494</v>
      </c>
      <c r="BN7" s="611">
        <f>'Economist Plan 2'!BM8</f>
        <v>7917.775605639069</v>
      </c>
      <c r="BO7" s="611">
        <f>'Economist Plan 2'!BN8</f>
        <v>8143.4322103998165</v>
      </c>
      <c r="BP7" s="611">
        <f>'Economist Plan 2'!BO8</f>
        <v>8375.5200283961822</v>
      </c>
      <c r="BQ7" s="611">
        <f>'Economist Plan 2'!BP8</f>
        <v>8614.2223492054891</v>
      </c>
      <c r="BR7" s="611">
        <f>'Economist Plan 2'!BQ8</f>
        <v>8859.7276861578248</v>
      </c>
      <c r="BS7" s="611">
        <f>'Economist Plan 2'!BR8</f>
        <v>9112.229925213338</v>
      </c>
      <c r="BT7" s="611">
        <f>'Economist Plan 2'!BS8</f>
        <v>9371.9284780819271</v>
      </c>
      <c r="BU7" s="611">
        <f>'Economist Plan 2'!BT8</f>
        <v>9639.0284397072701</v>
      </c>
      <c r="BV7" s="611">
        <f>'Economist Plan 2'!BU8</f>
        <v>9913.7407502389142</v>
      </c>
      <c r="BW7" s="611">
        <f>'Economist Plan 2'!BV8</f>
        <v>10196.282361620692</v>
      </c>
      <c r="BX7" s="611">
        <f>'Economist Plan 2'!BW8</f>
        <v>10486.876408926917</v>
      </c>
      <c r="BY7" s="611">
        <f>'Economist Plan 2'!BX8</f>
        <v>10785.752386581327</v>
      </c>
      <c r="BZ7" s="611">
        <f>'Economist Plan 2'!BY8</f>
        <v>11093.146329598903</v>
      </c>
      <c r="CA7" s="611">
        <f>'Economist Plan 2'!BZ8</f>
        <v>11409.300999992471</v>
      </c>
      <c r="CB7" s="611">
        <f>'Economist Plan 2'!CA8</f>
        <v>11734.466078492249</v>
      </c>
      <c r="CC7" s="611">
        <f>'Economist Plan 2'!CB8</f>
        <v>12068.898361729265</v>
      </c>
    </row>
    <row r="8" spans="1:104" x14ac:dyDescent="0.25">
      <c r="B8" s="609" t="s">
        <v>302</v>
      </c>
      <c r="E8" s="611">
        <f>E7</f>
        <v>1466.7139668367367</v>
      </c>
      <c r="F8" s="611">
        <f>F7+E8</f>
        <v>2975.2292817283196</v>
      </c>
      <c r="G8" s="611">
        <f t="shared" ref="G8:BR8" si="2">G7+F8</f>
        <v>4526.7372830943059</v>
      </c>
      <c r="H8" s="611">
        <f t="shared" si="2"/>
        <v>6122.4632624992219</v>
      </c>
      <c r="I8" s="611">
        <f t="shared" si="2"/>
        <v>7763.6674323171792</v>
      </c>
      <c r="J8" s="611">
        <f t="shared" si="2"/>
        <v>9451.6459209749537</v>
      </c>
      <c r="K8" s="611">
        <f t="shared" si="2"/>
        <v>11187.731796559474</v>
      </c>
      <c r="L8" s="611">
        <f t="shared" si="2"/>
        <v>12973.296119598148</v>
      </c>
      <c r="M8" s="611">
        <f t="shared" si="2"/>
        <v>14809.74902584343</v>
      </c>
      <c r="N8" s="611">
        <f t="shared" si="2"/>
        <v>16698.540839916695</v>
      </c>
      <c r="O8" s="611">
        <f t="shared" si="2"/>
        <v>18641.163220691054</v>
      </c>
      <c r="P8" s="611">
        <f t="shared" si="2"/>
        <v>20639.150339317479</v>
      </c>
      <c r="Q8" s="611">
        <f t="shared" si="2"/>
        <v>22694.080090824762</v>
      </c>
      <c r="R8" s="611">
        <f t="shared" si="2"/>
        <v>24807.575340250005</v>
      </c>
      <c r="S8" s="611">
        <f t="shared" si="2"/>
        <v>26981.305204283861</v>
      </c>
      <c r="T8" s="611">
        <f t="shared" si="2"/>
        <v>29216.986369442682</v>
      </c>
      <c r="U8" s="611">
        <f t="shared" si="2"/>
        <v>31516.384447808534</v>
      </c>
      <c r="V8" s="611">
        <f t="shared" si="2"/>
        <v>33881.315371407807</v>
      </c>
      <c r="W8" s="611">
        <f t="shared" si="2"/>
        <v>36313.646826329663</v>
      </c>
      <c r="X8" s="611">
        <f t="shared" si="2"/>
        <v>38815.299727716781</v>
      </c>
      <c r="Y8" s="611">
        <f t="shared" si="2"/>
        <v>41388.249736793434</v>
      </c>
      <c r="Z8" s="611">
        <f t="shared" si="2"/>
        <v>44034.52882112877</v>
      </c>
      <c r="AA8" s="611">
        <f t="shared" si="2"/>
        <v>46756.226859367678</v>
      </c>
      <c r="AB8" s="611">
        <f t="shared" si="2"/>
        <v>49555.493291696395</v>
      </c>
      <c r="AC8" s="611">
        <f t="shared" si="2"/>
        <v>52434.538817346482</v>
      </c>
      <c r="AD8" s="611">
        <f t="shared" si="2"/>
        <v>55395.637140477585</v>
      </c>
      <c r="AE8" s="611">
        <f t="shared" si="2"/>
        <v>58441.126765817928</v>
      </c>
      <c r="AF8" s="611">
        <f t="shared" si="2"/>
        <v>61573.412845480467</v>
      </c>
      <c r="AG8" s="611">
        <f t="shared" si="2"/>
        <v>64794.969078413385</v>
      </c>
      <c r="AH8" s="611">
        <f t="shared" si="2"/>
        <v>68108.339663984894</v>
      </c>
      <c r="AI8" s="611">
        <f t="shared" si="2"/>
        <v>71516.141311245199</v>
      </c>
      <c r="AJ8" s="611">
        <f t="shared" si="2"/>
        <v>75021.065305452415</v>
      </c>
      <c r="AK8" s="611">
        <f t="shared" si="2"/>
        <v>78625.879633494536</v>
      </c>
      <c r="AL8" s="611">
        <f t="shared" si="2"/>
        <v>82333.431169885866</v>
      </c>
      <c r="AM8" s="611">
        <f t="shared" si="2"/>
        <v>86146.647925064332</v>
      </c>
      <c r="AN8" s="611">
        <f t="shared" si="2"/>
        <v>90068.541357765382</v>
      </c>
      <c r="AO8" s="611">
        <f t="shared" si="2"/>
        <v>94102.20875329843</v>
      </c>
      <c r="AP8" s="611">
        <f t="shared" si="2"/>
        <v>98250.835669604159</v>
      </c>
      <c r="AQ8" s="611">
        <f t="shared" si="2"/>
        <v>102517.69845302461</v>
      </c>
      <c r="AR8" s="611">
        <f t="shared" si="2"/>
        <v>106906.16682577255</v>
      </c>
      <c r="AS8" s="611">
        <f t="shared" si="2"/>
        <v>111419.70654714381</v>
      </c>
      <c r="AT8" s="611">
        <f t="shared" si="2"/>
        <v>116061.88215057415</v>
      </c>
      <c r="AU8" s="611">
        <f t="shared" si="2"/>
        <v>120836.35975870225</v>
      </c>
      <c r="AV8" s="611">
        <f t="shared" si="2"/>
        <v>125746.90997866199</v>
      </c>
      <c r="AW8" s="611">
        <f t="shared" si="2"/>
        <v>130797.41087989058</v>
      </c>
      <c r="AX8" s="611">
        <f t="shared" si="2"/>
        <v>135991.85105680421</v>
      </c>
      <c r="AY8" s="611">
        <f t="shared" si="2"/>
        <v>141334.33277875985</v>
      </c>
      <c r="AZ8" s="611">
        <f t="shared" si="2"/>
        <v>146829.07522979123</v>
      </c>
      <c r="BA8" s="611">
        <f t="shared" si="2"/>
        <v>152480.41784067702</v>
      </c>
      <c r="BB8" s="611">
        <f t="shared" si="2"/>
        <v>158292.82371597303</v>
      </c>
      <c r="BC8" s="611">
        <f t="shared" si="2"/>
        <v>164270.88315871501</v>
      </c>
      <c r="BD8" s="611">
        <f t="shared" si="2"/>
        <v>170419.31729557511</v>
      </c>
      <c r="BE8" s="611">
        <f t="shared" si="2"/>
        <v>176742.98180533573</v>
      </c>
      <c r="BF8" s="611">
        <f t="shared" si="2"/>
        <v>183246.87075362451</v>
      </c>
      <c r="BG8" s="611">
        <f t="shared" si="2"/>
        <v>189936.12053693953</v>
      </c>
      <c r="BH8" s="611">
        <f t="shared" si="2"/>
        <v>196816.01393907901</v>
      </c>
      <c r="BI8" s="611">
        <f t="shared" si="2"/>
        <v>203891.98430317949</v>
      </c>
      <c r="BJ8" s="611">
        <f t="shared" si="2"/>
        <v>210967.95466727996</v>
      </c>
      <c r="BK8" s="611">
        <f t="shared" si="2"/>
        <v>218245.5901867573</v>
      </c>
      <c r="BL8" s="611">
        <f t="shared" si="2"/>
        <v>225730.63831853974</v>
      </c>
      <c r="BM8" s="611">
        <f t="shared" si="2"/>
        <v>233429.01032207799</v>
      </c>
      <c r="BN8" s="611">
        <f t="shared" si="2"/>
        <v>241346.78592771705</v>
      </c>
      <c r="BO8" s="611">
        <f t="shared" si="2"/>
        <v>249490.21813811688</v>
      </c>
      <c r="BP8" s="611">
        <f t="shared" si="2"/>
        <v>257865.73816651307</v>
      </c>
      <c r="BQ8" s="611">
        <f t="shared" si="2"/>
        <v>266479.96051571856</v>
      </c>
      <c r="BR8" s="611">
        <f t="shared" si="2"/>
        <v>275339.68820187636</v>
      </c>
      <c r="BS8" s="611">
        <f t="shared" ref="BS8:CC8" si="3">BS7+BR8</f>
        <v>284451.91812708968</v>
      </c>
      <c r="BT8" s="611">
        <f t="shared" si="3"/>
        <v>293823.84660517162</v>
      </c>
      <c r="BU8" s="611">
        <f t="shared" si="3"/>
        <v>303462.87504487892</v>
      </c>
      <c r="BV8" s="611">
        <f t="shared" si="3"/>
        <v>313376.61579511786</v>
      </c>
      <c r="BW8" s="611">
        <f t="shared" si="3"/>
        <v>323572.89815673855</v>
      </c>
      <c r="BX8" s="611">
        <f t="shared" si="3"/>
        <v>334059.77456566546</v>
      </c>
      <c r="BY8" s="611">
        <f t="shared" si="3"/>
        <v>344845.52695224679</v>
      </c>
      <c r="BZ8" s="611">
        <f t="shared" si="3"/>
        <v>355938.67328184569</v>
      </c>
      <c r="CA8" s="611">
        <f t="shared" si="3"/>
        <v>367347.97428183816</v>
      </c>
      <c r="CB8" s="611">
        <f t="shared" si="3"/>
        <v>379082.44036033039</v>
      </c>
      <c r="CC8" s="611">
        <f t="shared" si="3"/>
        <v>391151.33872205968</v>
      </c>
      <c r="CD8" s="611"/>
      <c r="CE8" s="611"/>
      <c r="CF8" s="611"/>
      <c r="CG8" s="611"/>
      <c r="CH8" s="611"/>
      <c r="CI8" s="611"/>
      <c r="CJ8" s="611"/>
      <c r="CK8" s="611"/>
      <c r="CL8" s="611"/>
      <c r="CM8" s="611"/>
      <c r="CN8" s="611"/>
      <c r="CO8" s="611"/>
      <c r="CP8" s="611"/>
      <c r="CQ8" s="611"/>
      <c r="CR8" s="611"/>
      <c r="CS8" s="611"/>
      <c r="CT8" s="611"/>
      <c r="CU8" s="611"/>
      <c r="CV8" s="611"/>
      <c r="CW8" s="611"/>
      <c r="CX8" s="611"/>
      <c r="CY8" s="611"/>
      <c r="CZ8" s="611"/>
    </row>
    <row r="9" spans="1:104" x14ac:dyDescent="0.25">
      <c r="B9" s="609" t="s">
        <v>220</v>
      </c>
      <c r="E9" s="474">
        <f>'Economist Plan 2'!D9</f>
        <v>269.48020983554437</v>
      </c>
      <c r="F9" s="474">
        <f>'Economist Plan 2'!E9</f>
        <v>266.8001907595858</v>
      </c>
      <c r="G9" s="474">
        <f>'Economist Plan 2'!F9</f>
        <v>264.12017168362723</v>
      </c>
      <c r="H9" s="474">
        <f>'Economist Plan 2'!G9</f>
        <v>261.44015260766867</v>
      </c>
      <c r="I9" s="474">
        <f>'Economist Plan 2'!H9</f>
        <v>258.7601335317101</v>
      </c>
      <c r="J9" s="474">
        <f>'Economist Plan 2'!I9</f>
        <v>256.08011445575153</v>
      </c>
      <c r="K9" s="474">
        <f>'Economist Plan 2'!J9</f>
        <v>253.40009537979296</v>
      </c>
      <c r="L9" s="474">
        <f>'Economist Plan 2'!K9</f>
        <v>250.72007630383439</v>
      </c>
      <c r="M9" s="474">
        <f>'Economist Plan 2'!L9</f>
        <v>248.04005722787582</v>
      </c>
      <c r="N9" s="474">
        <f>'Economist Plan 2'!M9</f>
        <v>245.36003815191725</v>
      </c>
      <c r="O9" s="474">
        <f>'Economist Plan 2'!N9</f>
        <v>242.68001907595868</v>
      </c>
      <c r="P9" s="474">
        <f>'Economist Plan 2'!O9</f>
        <v>240.00000000000011</v>
      </c>
      <c r="Q9" s="474">
        <f>'Economist Plan 2'!P9</f>
        <v>239.40000000000012</v>
      </c>
      <c r="R9" s="474">
        <f>'Economist Plan 2'!Q9</f>
        <v>238.80000000000013</v>
      </c>
      <c r="S9" s="474">
        <f>'Economist Plan 2'!R9</f>
        <v>238.20000000000013</v>
      </c>
      <c r="T9" s="474">
        <f>'Economist Plan 2'!S9</f>
        <v>237.60000000000014</v>
      </c>
      <c r="U9" s="474">
        <f>'Economist Plan 2'!T9</f>
        <v>237.00000000000014</v>
      </c>
      <c r="V9" s="474">
        <f>'Economist Plan 2'!U9</f>
        <v>236.40000000000015</v>
      </c>
      <c r="W9" s="474">
        <f>'Economist Plan 2'!V9</f>
        <v>235.80000000000015</v>
      </c>
      <c r="X9" s="474">
        <f>'Economist Plan 2'!W9</f>
        <v>235.20000000000016</v>
      </c>
      <c r="Y9" s="474">
        <f>'Economist Plan 2'!X9</f>
        <v>234.60000000000016</v>
      </c>
      <c r="Z9" s="474">
        <f>'Economist Plan 2'!Y9</f>
        <v>234.00000000000017</v>
      </c>
      <c r="AA9" s="474">
        <f>'Economist Plan 2'!Z9</f>
        <v>233.40000000000018</v>
      </c>
      <c r="AB9" s="474">
        <f>'Economist Plan 2'!AA9</f>
        <v>232.80000000000018</v>
      </c>
      <c r="AC9" s="474">
        <f>'Economist Plan 2'!AB9</f>
        <v>232.20000000000019</v>
      </c>
      <c r="AD9" s="474">
        <f>'Economist Plan 2'!AC9</f>
        <v>231.60000000000019</v>
      </c>
      <c r="AE9" s="474">
        <f>'Economist Plan 2'!AD9</f>
        <v>231.0000000000002</v>
      </c>
      <c r="AF9" s="474">
        <f>'Economist Plan 2'!AE9</f>
        <v>230.4000000000002</v>
      </c>
      <c r="AG9" s="474">
        <f>'Economist Plan 2'!AF9</f>
        <v>229.80000000000021</v>
      </c>
      <c r="AH9" s="474">
        <f>'Economist Plan 2'!AG9</f>
        <v>229.20000000000022</v>
      </c>
      <c r="AI9" s="474">
        <f>'Economist Plan 2'!AH9</f>
        <v>228.60000000000022</v>
      </c>
      <c r="AJ9" s="474">
        <f>'Economist Plan 2'!AI9</f>
        <v>228.00000000000023</v>
      </c>
      <c r="AK9" s="474">
        <f>'Economist Plan 2'!AJ9</f>
        <v>227.40000000000023</v>
      </c>
      <c r="AL9" s="474">
        <f>'Economist Plan 2'!AK9</f>
        <v>226.80000000000024</v>
      </c>
      <c r="AM9" s="474">
        <f>'Economist Plan 2'!AL9</f>
        <v>226.20000000000024</v>
      </c>
      <c r="AN9" s="474">
        <f>'Economist Plan 2'!AM9</f>
        <v>225.60000000000025</v>
      </c>
      <c r="AO9" s="474">
        <f>'Economist Plan 2'!AN9</f>
        <v>225.00000000000026</v>
      </c>
      <c r="AP9" s="474">
        <f>'Economist Plan 2'!AO9</f>
        <v>225.00000000000026</v>
      </c>
      <c r="AQ9" s="474">
        <f>'Economist Plan 2'!AP9</f>
        <v>225.00000000000026</v>
      </c>
      <c r="AR9" s="474">
        <f>'Economist Plan 2'!AQ9</f>
        <v>225.00000000000026</v>
      </c>
      <c r="AS9" s="474">
        <f>'Economist Plan 2'!AR9</f>
        <v>225.00000000000026</v>
      </c>
      <c r="AT9" s="474">
        <f>'Economist Plan 2'!AS9</f>
        <v>225.00000000000026</v>
      </c>
      <c r="AU9" s="474">
        <f>'Economist Plan 2'!AT9</f>
        <v>225.00000000000026</v>
      </c>
      <c r="AV9" s="474">
        <f>'Economist Plan 2'!AU9</f>
        <v>225.00000000000026</v>
      </c>
      <c r="AW9" s="474">
        <f>'Economist Plan 2'!AV9</f>
        <v>225.00000000000026</v>
      </c>
      <c r="AX9" s="474">
        <f>'Economist Plan 2'!AW9</f>
        <v>225.00000000000026</v>
      </c>
      <c r="AY9" s="474">
        <f>'Economist Plan 2'!AX9</f>
        <v>225.00000000000026</v>
      </c>
      <c r="AZ9" s="474">
        <f>'Economist Plan 2'!AY9</f>
        <v>225.00000000000026</v>
      </c>
      <c r="BA9" s="474">
        <f>'Economist Plan 2'!AZ9</f>
        <v>225.00000000000026</v>
      </c>
      <c r="BB9" s="474">
        <f>'Economist Plan 2'!BA9</f>
        <v>225.00000000000026</v>
      </c>
      <c r="BC9" s="474">
        <f>'Economist Plan 2'!BB9</f>
        <v>225.00000000000026</v>
      </c>
      <c r="BD9" s="474">
        <f>'Economist Plan 2'!BC9</f>
        <v>225.00000000000026</v>
      </c>
      <c r="BE9" s="474">
        <f>'Economist Plan 2'!BD9</f>
        <v>225.00000000000026</v>
      </c>
      <c r="BF9" s="474">
        <f>'Economist Plan 2'!BE9</f>
        <v>225.00000000000026</v>
      </c>
      <c r="BG9" s="474">
        <f>'Economist Plan 2'!BF9</f>
        <v>225.00000000000026</v>
      </c>
      <c r="BH9" s="474">
        <f>'Economist Plan 2'!BG9</f>
        <v>225.00000000000026</v>
      </c>
      <c r="BI9" s="474">
        <f>'Economist Plan 2'!BH9</f>
        <v>225.00000000000026</v>
      </c>
      <c r="BJ9" s="474">
        <f>'Economist Plan 2'!BI9</f>
        <v>225.00000000000026</v>
      </c>
      <c r="BK9" s="474">
        <f>'Economist Plan 2'!BJ9</f>
        <v>225.00000000000026</v>
      </c>
      <c r="BL9" s="474">
        <f>'Economist Plan 2'!BK9</f>
        <v>225.00000000000026</v>
      </c>
      <c r="BM9" s="474">
        <f>'Economist Plan 2'!BL9</f>
        <v>225.00000000000026</v>
      </c>
      <c r="BN9" s="474">
        <f>'Economist Plan 2'!BM9</f>
        <v>225.00000000000026</v>
      </c>
      <c r="BO9" s="474">
        <f>'Economist Plan 2'!BN9</f>
        <v>225.00000000000026</v>
      </c>
      <c r="BP9" s="474">
        <f>'Economist Plan 2'!BO9</f>
        <v>225.00000000000026</v>
      </c>
      <c r="BQ9" s="474">
        <f>'Economist Plan 2'!BP9</f>
        <v>225.00000000000026</v>
      </c>
      <c r="BR9" s="474">
        <f>'Economist Plan 2'!BQ9</f>
        <v>225.00000000000026</v>
      </c>
      <c r="BS9" s="474">
        <f>'Economist Plan 2'!BR9</f>
        <v>225.00000000000026</v>
      </c>
      <c r="BT9" s="474">
        <f>'Economist Plan 2'!BS9</f>
        <v>225.00000000000026</v>
      </c>
      <c r="BU9" s="474">
        <f>'Economist Plan 2'!BT9</f>
        <v>225.00000000000026</v>
      </c>
      <c r="BV9" s="474">
        <f>'Economist Plan 2'!BU9</f>
        <v>225.00000000000026</v>
      </c>
      <c r="BW9" s="474">
        <f>'Economist Plan 2'!BV9</f>
        <v>225.00000000000026</v>
      </c>
      <c r="BX9" s="474">
        <f>'Economist Plan 2'!BW9</f>
        <v>225.00000000000026</v>
      </c>
      <c r="BY9" s="474">
        <f>'Economist Plan 2'!BX9</f>
        <v>225.00000000000026</v>
      </c>
      <c r="BZ9" s="474">
        <f>'Economist Plan 2'!BY9</f>
        <v>225.00000000000026</v>
      </c>
      <c r="CA9" s="474">
        <f>'Economist Plan 2'!BZ9</f>
        <v>225.00000000000026</v>
      </c>
      <c r="CB9" s="474">
        <f>'Economist Plan 2'!CA9</f>
        <v>225.00000000000026</v>
      </c>
      <c r="CC9" s="474">
        <f>'Economist Plan 2'!CB9</f>
        <v>225.00000000000026</v>
      </c>
    </row>
    <row r="10" spans="1:104" x14ac:dyDescent="0.25">
      <c r="B10" s="609" t="s">
        <v>221</v>
      </c>
      <c r="E10" s="613">
        <f t="shared" ref="E10:BP10" si="4">E6*E9*365/1000000</f>
        <v>15306.360414809296</v>
      </c>
      <c r="F10" s="613">
        <f t="shared" si="4"/>
        <v>15586.029369677004</v>
      </c>
      <c r="G10" s="613">
        <f t="shared" si="4"/>
        <v>15869.206863725241</v>
      </c>
      <c r="H10" s="613">
        <f t="shared" si="4"/>
        <v>16155.865722578708</v>
      </c>
      <c r="I10" s="613">
        <f t="shared" si="4"/>
        <v>16445.974373111763</v>
      </c>
      <c r="J10" s="613">
        <f t="shared" si="4"/>
        <v>16739.496614792039</v>
      </c>
      <c r="K10" s="613">
        <f t="shared" si="4"/>
        <v>17036.391381563531</v>
      </c>
      <c r="L10" s="613">
        <f t="shared" si="4"/>
        <v>17336.612493915629</v>
      </c>
      <c r="M10" s="613">
        <f t="shared" si="4"/>
        <v>17640.108400772126</v>
      </c>
      <c r="N10" s="613">
        <f t="shared" si="4"/>
        <v>17946.821910821258</v>
      </c>
      <c r="O10" s="613">
        <f t="shared" si="4"/>
        <v>18256.689912894664</v>
      </c>
      <c r="P10" s="613">
        <f t="shared" si="4"/>
        <v>18569.643084989188</v>
      </c>
      <c r="Q10" s="613">
        <f t="shared" si="4"/>
        <v>19051.130718129105</v>
      </c>
      <c r="R10" s="613">
        <f>(R6*R9*365)/1000000</f>
        <v>19544.979953762209</v>
      </c>
      <c r="S10" s="613">
        <f t="shared" si="4"/>
        <v>20051.504314900605</v>
      </c>
      <c r="T10" s="613">
        <f t="shared" si="4"/>
        <v>20571.02515465644</v>
      </c>
      <c r="U10" s="613">
        <f t="shared" si="4"/>
        <v>21103.871847898587</v>
      </c>
      <c r="V10" s="613">
        <f t="shared" si="4"/>
        <v>21650.381987473658</v>
      </c>
      <c r="W10" s="613">
        <f t="shared" si="4"/>
        <v>22210.901585096057</v>
      </c>
      <c r="X10" s="613">
        <f t="shared" si="4"/>
        <v>22785.785277013601</v>
      </c>
      <c r="Y10" s="613">
        <f t="shared" si="4"/>
        <v>23375.39653455796</v>
      </c>
      <c r="Z10" s="613">
        <f t="shared" si="4"/>
        <v>23980.107879691084</v>
      </c>
      <c r="AA10" s="613">
        <f t="shared" si="4"/>
        <v>24600.301105661612</v>
      </c>
      <c r="AB10" s="613">
        <f t="shared" si="4"/>
        <v>25236.36750288718</v>
      </c>
      <c r="AC10" s="613">
        <f t="shared" si="4"/>
        <v>25888.708090181528</v>
      </c>
      <c r="AD10" s="613">
        <f t="shared" si="4"/>
        <v>26557.733851447432</v>
      </c>
      <c r="AE10" s="613">
        <f t="shared" si="4"/>
        <v>27243.865977959245</v>
      </c>
      <c r="AF10" s="613">
        <f t="shared" si="4"/>
        <v>27947.536116361385</v>
      </c>
      <c r="AG10" s="613">
        <f t="shared" si="4"/>
        <v>28669.186622511861</v>
      </c>
      <c r="AH10" s="613">
        <f t="shared" si="4"/>
        <v>29409.270821302391</v>
      </c>
      <c r="AI10" s="613">
        <f t="shared" si="4"/>
        <v>30168.253272589856</v>
      </c>
      <c r="AJ10" s="613">
        <f t="shared" si="4"/>
        <v>30946.610043376095</v>
      </c>
      <c r="AK10" s="613">
        <f t="shared" si="4"/>
        <v>31744.828986376491</v>
      </c>
      <c r="AL10" s="613">
        <f t="shared" si="4"/>
        <v>32563.410025120174</v>
      </c>
      <c r="AM10" s="613">
        <f t="shared" si="4"/>
        <v>33402.865445728072</v>
      </c>
      <c r="AN10" s="613">
        <f t="shared" si="4"/>
        <v>34263.720195517708</v>
      </c>
      <c r="AO10" s="613">
        <f t="shared" si="4"/>
        <v>35146.512188587069</v>
      </c>
      <c r="AP10" s="613">
        <f t="shared" si="4"/>
        <v>36148.187785961789</v>
      </c>
      <c r="AQ10" s="613">
        <f t="shared" si="4"/>
        <v>37178.411137861702</v>
      </c>
      <c r="AR10" s="613">
        <f t="shared" si="4"/>
        <v>38237.995855290763</v>
      </c>
      <c r="AS10" s="613">
        <f t="shared" si="4"/>
        <v>39327.778737166547</v>
      </c>
      <c r="AT10" s="613">
        <f t="shared" si="4"/>
        <v>40448.620431175797</v>
      </c>
      <c r="AU10" s="613">
        <f t="shared" si="4"/>
        <v>41601.406113464313</v>
      </c>
      <c r="AV10" s="613">
        <f t="shared" si="4"/>
        <v>42787.046187698033</v>
      </c>
      <c r="AW10" s="613">
        <f t="shared" si="4"/>
        <v>44006.477004047432</v>
      </c>
      <c r="AX10" s="613">
        <f t="shared" si="4"/>
        <v>45260.66159866278</v>
      </c>
      <c r="AY10" s="613">
        <f t="shared" si="4"/>
        <v>46550.590454224672</v>
      </c>
      <c r="AZ10" s="613">
        <f t="shared" si="4"/>
        <v>47877.282282170068</v>
      </c>
      <c r="BA10" s="613">
        <f t="shared" si="4"/>
        <v>49241.784827211915</v>
      </c>
      <c r="BB10" s="613">
        <f t="shared" si="4"/>
        <v>50645.175694787453</v>
      </c>
      <c r="BC10" s="613">
        <f t="shared" si="4"/>
        <v>52088.563202088895</v>
      </c>
      <c r="BD10" s="613">
        <f t="shared" si="4"/>
        <v>53573.087253348436</v>
      </c>
      <c r="BE10" s="613">
        <f t="shared" si="4"/>
        <v>55099.920240068866</v>
      </c>
      <c r="BF10" s="613">
        <f t="shared" si="4"/>
        <v>56670.267966910811</v>
      </c>
      <c r="BG10" s="613">
        <f t="shared" si="4"/>
        <v>58285.370603967771</v>
      </c>
      <c r="BH10" s="613">
        <f t="shared" si="4"/>
        <v>59946.503666180848</v>
      </c>
      <c r="BI10" s="613">
        <f t="shared" si="4"/>
        <v>61654.979020667</v>
      </c>
      <c r="BJ10" s="613">
        <f t="shared" si="4"/>
        <v>61654.979020667</v>
      </c>
      <c r="BK10" s="613">
        <f t="shared" si="4"/>
        <v>63412.145922756004</v>
      </c>
      <c r="BL10" s="613">
        <f t="shared" si="4"/>
        <v>65219.39208155455</v>
      </c>
      <c r="BM10" s="613">
        <f t="shared" si="4"/>
        <v>67078.14475587885</v>
      </c>
      <c r="BN10" s="613">
        <f t="shared" si="4"/>
        <v>68989.871881421393</v>
      </c>
      <c r="BO10" s="613">
        <f t="shared" si="4"/>
        <v>70956.083230041899</v>
      </c>
      <c r="BP10" s="613">
        <f t="shared" si="4"/>
        <v>72978.331602098086</v>
      </c>
      <c r="BQ10" s="613">
        <f t="shared" ref="BQ10:CC10" si="5">BQ6*BQ9*365/1000000</f>
        <v>75058.214052757874</v>
      </c>
      <c r="BR10" s="613">
        <f t="shared" si="5"/>
        <v>77197.373153261477</v>
      </c>
      <c r="BS10" s="613">
        <f t="shared" si="5"/>
        <v>79397.498288129427</v>
      </c>
      <c r="BT10" s="613">
        <f t="shared" si="5"/>
        <v>81660.326989341105</v>
      </c>
      <c r="BU10" s="613">
        <f t="shared" si="5"/>
        <v>83987.64630853734</v>
      </c>
      <c r="BV10" s="613">
        <f t="shared" si="5"/>
        <v>86381.294228330662</v>
      </c>
      <c r="BW10" s="613">
        <f t="shared" si="5"/>
        <v>88843.161113838069</v>
      </c>
      <c r="BX10" s="613">
        <f t="shared" si="5"/>
        <v>91375.191205582465</v>
      </c>
      <c r="BY10" s="613">
        <f t="shared" si="5"/>
        <v>93979.384154941537</v>
      </c>
      <c r="BZ10" s="613">
        <f t="shared" si="5"/>
        <v>96657.79660335739</v>
      </c>
      <c r="CA10" s="613">
        <f t="shared" si="5"/>
        <v>99412.543806553062</v>
      </c>
      <c r="CB10" s="613">
        <f t="shared" si="5"/>
        <v>102245.80130503984</v>
      </c>
      <c r="CC10" s="613">
        <f t="shared" si="5"/>
        <v>105159.80664223345</v>
      </c>
    </row>
    <row r="11" spans="1:104" x14ac:dyDescent="0.25">
      <c r="B11" s="609" t="s">
        <v>305</v>
      </c>
      <c r="E11" s="613">
        <f>E10</f>
        <v>15306.360414809296</v>
      </c>
      <c r="F11" s="613">
        <f>F10+E11</f>
        <v>30892.389784486302</v>
      </c>
      <c r="G11" s="613">
        <f t="shared" ref="G11:BR11" si="6">G10+F11</f>
        <v>46761.596648211547</v>
      </c>
      <c r="H11" s="613">
        <f t="shared" si="6"/>
        <v>62917.462370790257</v>
      </c>
      <c r="I11" s="613">
        <f t="shared" si="6"/>
        <v>79363.436743902013</v>
      </c>
      <c r="J11" s="613">
        <f t="shared" si="6"/>
        <v>96102.933358694048</v>
      </c>
      <c r="K11" s="613">
        <f t="shared" si="6"/>
        <v>113139.32474025758</v>
      </c>
      <c r="L11" s="613">
        <f t="shared" si="6"/>
        <v>130475.93723417321</v>
      </c>
      <c r="M11" s="613">
        <f t="shared" si="6"/>
        <v>148116.04563494533</v>
      </c>
      <c r="N11" s="613">
        <f t="shared" si="6"/>
        <v>166062.86754576658</v>
      </c>
      <c r="O11" s="613">
        <f t="shared" si="6"/>
        <v>184319.55745866123</v>
      </c>
      <c r="P11" s="613">
        <f t="shared" si="6"/>
        <v>202889.20054365043</v>
      </c>
      <c r="Q11" s="613">
        <f t="shared" si="6"/>
        <v>221940.33126177953</v>
      </c>
      <c r="R11" s="613">
        <f t="shared" si="6"/>
        <v>241485.31121554173</v>
      </c>
      <c r="S11" s="613">
        <f t="shared" si="6"/>
        <v>261536.81553044234</v>
      </c>
      <c r="T11" s="613">
        <f t="shared" si="6"/>
        <v>282107.84068509878</v>
      </c>
      <c r="U11" s="613">
        <f t="shared" si="6"/>
        <v>303211.71253299736</v>
      </c>
      <c r="V11" s="613">
        <f t="shared" si="6"/>
        <v>324862.094520471</v>
      </c>
      <c r="W11" s="613">
        <f t="shared" si="6"/>
        <v>347072.99610556709</v>
      </c>
      <c r="X11" s="613">
        <f t="shared" si="6"/>
        <v>369858.7813825807</v>
      </c>
      <c r="Y11" s="613">
        <f t="shared" si="6"/>
        <v>393234.17791713867</v>
      </c>
      <c r="Z11" s="613">
        <f t="shared" si="6"/>
        <v>417214.28579682973</v>
      </c>
      <c r="AA11" s="613">
        <f t="shared" si="6"/>
        <v>441814.58690249134</v>
      </c>
      <c r="AB11" s="613">
        <f t="shared" si="6"/>
        <v>467050.95440537855</v>
      </c>
      <c r="AC11" s="613">
        <f t="shared" si="6"/>
        <v>492939.66249556007</v>
      </c>
      <c r="AD11" s="613">
        <f t="shared" si="6"/>
        <v>519497.39634700748</v>
      </c>
      <c r="AE11" s="613">
        <f t="shared" si="6"/>
        <v>546741.26232496672</v>
      </c>
      <c r="AF11" s="613">
        <f t="shared" si="6"/>
        <v>574688.79844132811</v>
      </c>
      <c r="AG11" s="613">
        <f t="shared" si="6"/>
        <v>603357.98506383994</v>
      </c>
      <c r="AH11" s="613">
        <f t="shared" si="6"/>
        <v>632767.25588514237</v>
      </c>
      <c r="AI11" s="613">
        <f t="shared" si="6"/>
        <v>662935.50915773225</v>
      </c>
      <c r="AJ11" s="613">
        <f t="shared" si="6"/>
        <v>693882.11920110835</v>
      </c>
      <c r="AK11" s="613">
        <f t="shared" si="6"/>
        <v>725626.94818748487</v>
      </c>
      <c r="AL11" s="613">
        <f t="shared" si="6"/>
        <v>758190.358212605</v>
      </c>
      <c r="AM11" s="613">
        <f t="shared" si="6"/>
        <v>791593.22365833307</v>
      </c>
      <c r="AN11" s="613">
        <f t="shared" si="6"/>
        <v>825856.94385385083</v>
      </c>
      <c r="AO11" s="613">
        <f t="shared" si="6"/>
        <v>861003.45604243793</v>
      </c>
      <c r="AP11" s="613">
        <f t="shared" si="6"/>
        <v>897151.64382839971</v>
      </c>
      <c r="AQ11" s="613">
        <f t="shared" si="6"/>
        <v>934330.05496626138</v>
      </c>
      <c r="AR11" s="613">
        <f t="shared" si="6"/>
        <v>972568.05082155217</v>
      </c>
      <c r="AS11" s="613">
        <f t="shared" si="6"/>
        <v>1011895.8295587187</v>
      </c>
      <c r="AT11" s="613">
        <f t="shared" si="6"/>
        <v>1052344.4499898944</v>
      </c>
      <c r="AU11" s="613">
        <f t="shared" si="6"/>
        <v>1093945.8561033588</v>
      </c>
      <c r="AV11" s="613">
        <f t="shared" si="6"/>
        <v>1136732.9022910569</v>
      </c>
      <c r="AW11" s="613">
        <f t="shared" si="6"/>
        <v>1180739.3792951044</v>
      </c>
      <c r="AX11" s="613">
        <f t="shared" si="6"/>
        <v>1226000.0408937673</v>
      </c>
      <c r="AY11" s="613">
        <f t="shared" si="6"/>
        <v>1272550.631347992</v>
      </c>
      <c r="AZ11" s="613">
        <f t="shared" si="6"/>
        <v>1320427.9136301621</v>
      </c>
      <c r="BA11" s="613">
        <f t="shared" si="6"/>
        <v>1369669.698457374</v>
      </c>
      <c r="BB11" s="613">
        <f t="shared" si="6"/>
        <v>1420314.8741521614</v>
      </c>
      <c r="BC11" s="613">
        <f t="shared" si="6"/>
        <v>1472403.4373542503</v>
      </c>
      <c r="BD11" s="613">
        <f t="shared" si="6"/>
        <v>1525976.5246075988</v>
      </c>
      <c r="BE11" s="613">
        <f t="shared" si="6"/>
        <v>1581076.4448476676</v>
      </c>
      <c r="BF11" s="613">
        <f t="shared" si="6"/>
        <v>1637746.7128145783</v>
      </c>
      <c r="BG11" s="613">
        <f t="shared" si="6"/>
        <v>1696032.083418546</v>
      </c>
      <c r="BH11" s="613">
        <f t="shared" si="6"/>
        <v>1755978.5870847269</v>
      </c>
      <c r="BI11" s="613">
        <f t="shared" si="6"/>
        <v>1817633.5661053939</v>
      </c>
      <c r="BJ11" s="613">
        <f t="shared" si="6"/>
        <v>1879288.545126061</v>
      </c>
      <c r="BK11" s="613">
        <f t="shared" si="6"/>
        <v>1942700.691048817</v>
      </c>
      <c r="BL11" s="613">
        <f t="shared" si="6"/>
        <v>2007920.0831303715</v>
      </c>
      <c r="BM11" s="613">
        <f t="shared" si="6"/>
        <v>2074998.2278862505</v>
      </c>
      <c r="BN11" s="613">
        <f t="shared" si="6"/>
        <v>2143988.0997676719</v>
      </c>
      <c r="BO11" s="613">
        <f t="shared" si="6"/>
        <v>2214944.1829977138</v>
      </c>
      <c r="BP11" s="613">
        <f t="shared" si="6"/>
        <v>2287922.5145998118</v>
      </c>
      <c r="BQ11" s="613">
        <f t="shared" si="6"/>
        <v>2362980.7286525695</v>
      </c>
      <c r="BR11" s="613">
        <f t="shared" si="6"/>
        <v>2440178.1018058308</v>
      </c>
      <c r="BS11" s="613">
        <f t="shared" ref="BS11:CC11" si="7">BS10+BR11</f>
        <v>2519575.6000939603</v>
      </c>
      <c r="BT11" s="613">
        <f t="shared" si="7"/>
        <v>2601235.9270833014</v>
      </c>
      <c r="BU11" s="613">
        <f t="shared" si="7"/>
        <v>2685223.5733918389</v>
      </c>
      <c r="BV11" s="613">
        <f t="shared" si="7"/>
        <v>2771604.8676201697</v>
      </c>
      <c r="BW11" s="613">
        <f t="shared" si="7"/>
        <v>2860448.0287340079</v>
      </c>
      <c r="BX11" s="613">
        <f t="shared" si="7"/>
        <v>2951823.2199395904</v>
      </c>
      <c r="BY11" s="613">
        <f t="shared" si="7"/>
        <v>3045802.6040945319</v>
      </c>
      <c r="BZ11" s="613">
        <f t="shared" si="7"/>
        <v>3142460.4006978893</v>
      </c>
      <c r="CA11" s="613">
        <f t="shared" si="7"/>
        <v>3241872.9445044422</v>
      </c>
      <c r="CB11" s="613">
        <f t="shared" si="7"/>
        <v>3344118.7458094819</v>
      </c>
      <c r="CC11" s="613">
        <f t="shared" si="7"/>
        <v>3449278.5524517153</v>
      </c>
      <c r="CD11" s="613"/>
      <c r="CE11" s="613"/>
      <c r="CF11" s="613"/>
      <c r="CG11" s="613"/>
      <c r="CH11" s="613"/>
      <c r="CI11" s="613"/>
      <c r="CJ11" s="613"/>
      <c r="CK11" s="613"/>
      <c r="CL11" s="613"/>
      <c r="CM11" s="613"/>
      <c r="CN11" s="613"/>
      <c r="CO11" s="613"/>
      <c r="CP11" s="613"/>
      <c r="CQ11" s="613"/>
      <c r="CR11" s="613"/>
      <c r="CS11" s="613"/>
      <c r="CT11" s="613"/>
      <c r="CU11" s="613"/>
      <c r="CV11" s="613"/>
      <c r="CW11" s="613"/>
      <c r="CX11" s="613"/>
      <c r="CY11" s="613"/>
      <c r="CZ11" s="613"/>
    </row>
    <row r="12" spans="1:104" x14ac:dyDescent="0.25">
      <c r="B12" s="609" t="s">
        <v>316</v>
      </c>
      <c r="E12" s="611">
        <f>'Economist Plan 2'!D11</f>
        <v>20275.609848683933</v>
      </c>
      <c r="F12" s="611">
        <f>'Economist Plan 2'!E11</f>
        <v>21823.404134398086</v>
      </c>
      <c r="G12" s="611">
        <f>'Economist Plan 2'!F11</f>
        <v>21823.404134398086</v>
      </c>
      <c r="H12" s="611">
        <f>'Economist Plan 2'!G11</f>
        <v>21823.404134398086</v>
      </c>
      <c r="I12" s="611">
        <f>'Economist Plan 2'!H11</f>
        <v>21823.404134398086</v>
      </c>
      <c r="J12" s="611">
        <f>'Economist Plan 2'!I11</f>
        <v>23061.639562969405</v>
      </c>
      <c r="K12" s="611">
        <f>'Economist Plan 2'!J11</f>
        <v>23061.639562969405</v>
      </c>
      <c r="L12" s="611">
        <f>'Economist Plan 2'!K11</f>
        <v>23061.639562969405</v>
      </c>
      <c r="M12" s="611">
        <f>'Economist Plan 2'!L11</f>
        <v>23061.639562969405</v>
      </c>
      <c r="N12" s="611">
        <f>'Economist Plan 2'!M11</f>
        <v>23061.639562969405</v>
      </c>
      <c r="O12" s="611">
        <f>'Economist Plan 2'!N11</f>
        <v>23061.639562969405</v>
      </c>
      <c r="P12" s="611">
        <f>'Economist Plan 2'!O11</f>
        <v>23061.639562969405</v>
      </c>
      <c r="Q12" s="611">
        <f>'Economist Plan 2'!P11</f>
        <v>23061.639562969405</v>
      </c>
      <c r="R12" s="611">
        <f>'Economist Plan 2'!Q11</f>
        <v>23061.639562969405</v>
      </c>
      <c r="S12" s="611">
        <f>'Economist Plan 2'!R11</f>
        <v>23061.639562969405</v>
      </c>
      <c r="T12" s="611">
        <f>'Economist Plan 2'!S11</f>
        <v>23061.639562969405</v>
      </c>
      <c r="U12" s="611">
        <f>'Economist Plan 2'!T11</f>
        <v>23061.639562969405</v>
      </c>
      <c r="V12" s="611">
        <f>'Economist Plan 2'!U11</f>
        <v>23061.639562969405</v>
      </c>
      <c r="W12" s="611">
        <f>'Economist Plan 2'!V11</f>
        <v>23061.639562969405</v>
      </c>
      <c r="X12" s="611">
        <f>'Economist Plan 2'!W11</f>
        <v>23061.639562969405</v>
      </c>
      <c r="Y12" s="611">
        <f>'Economist Plan 2'!X11</f>
        <v>23061.639562969405</v>
      </c>
      <c r="Z12" s="611">
        <f>'Economist Plan 2'!Y11</f>
        <v>23061.639562969405</v>
      </c>
      <c r="AA12" s="611">
        <f>'Economist Plan 2'!Z11</f>
        <v>23061.639562969405</v>
      </c>
      <c r="AB12" s="611">
        <f>'Economist Plan 2'!AA11</f>
        <v>23061.639562969405</v>
      </c>
      <c r="AC12" s="611">
        <f>'Economist Plan 2'!AB11</f>
        <v>23061.639562969405</v>
      </c>
      <c r="AD12" s="611">
        <f>'Economist Plan 2'!AC11</f>
        <v>23061.639562969405</v>
      </c>
      <c r="AE12" s="611">
        <f>'Economist Plan 2'!AD11</f>
        <v>23061.639562969405</v>
      </c>
      <c r="AF12" s="611">
        <f>'Economist Plan 2'!AE11</f>
        <v>23061.639562969405</v>
      </c>
      <c r="AG12" s="611">
        <f>'Economist Plan 2'!AF11</f>
        <v>23061.639562969405</v>
      </c>
      <c r="AH12" s="611">
        <f>'Economist Plan 2'!AG11</f>
        <v>23061.639562969405</v>
      </c>
      <c r="AI12" s="611">
        <f>'Economist Plan 2'!AH11</f>
        <v>23061.639562969405</v>
      </c>
      <c r="AJ12" s="611">
        <f>'Economist Plan 2'!AI11</f>
        <v>23061.639562969405</v>
      </c>
      <c r="AK12" s="611">
        <f>'Economist Plan 2'!AJ11</f>
        <v>23061.639562969405</v>
      </c>
      <c r="AL12" s="611">
        <f>'Economist Plan 2'!AK11</f>
        <v>23061.639562969405</v>
      </c>
      <c r="AM12" s="611">
        <f>'Economist Plan 2'!AL11</f>
        <v>23061.639562969405</v>
      </c>
      <c r="AN12" s="611">
        <f>'Economist Plan 2'!AM11</f>
        <v>23061.639562969405</v>
      </c>
      <c r="AO12" s="611">
        <f>'Economist Plan 2'!AN11</f>
        <v>23061.639562969405</v>
      </c>
      <c r="AP12" s="611">
        <f>'Economist Plan 2'!AO11</f>
        <v>23061.639562969405</v>
      </c>
      <c r="AQ12" s="611">
        <f>'Economist Plan 2'!AP11</f>
        <v>23061.639562969405</v>
      </c>
      <c r="AR12" s="611">
        <f>'Economist Plan 2'!AQ11</f>
        <v>23061.639562969405</v>
      </c>
      <c r="AS12" s="611">
        <f>'Economist Plan 2'!AR11</f>
        <v>23061.639562969405</v>
      </c>
      <c r="AT12" s="611">
        <f>'Economist Plan 2'!AS11</f>
        <v>23061.639562969405</v>
      </c>
      <c r="AU12" s="611">
        <f>'Economist Plan 2'!AT11</f>
        <v>23061.639562969405</v>
      </c>
      <c r="AV12" s="611">
        <f>'Economist Plan 2'!AU11</f>
        <v>23061.639562969405</v>
      </c>
      <c r="AW12" s="611">
        <f>'Economist Plan 2'!AV11</f>
        <v>23061.639562969405</v>
      </c>
      <c r="AX12" s="611">
        <f>'Economist Plan 2'!AW11</f>
        <v>23061.639562969405</v>
      </c>
      <c r="AY12" s="611">
        <f>'Economist Plan 2'!AX11</f>
        <v>23061.639562969405</v>
      </c>
      <c r="AZ12" s="611">
        <f>'Economist Plan 2'!AY11</f>
        <v>23061.639562969405</v>
      </c>
      <c r="BA12" s="611">
        <f>'Economist Plan 2'!AZ11</f>
        <v>23061.639562969405</v>
      </c>
      <c r="BB12" s="611">
        <f>'Economist Plan 2'!BA11</f>
        <v>23061.639562969405</v>
      </c>
      <c r="BC12" s="611">
        <f>'Economist Plan 2'!BB11</f>
        <v>23061.639562969405</v>
      </c>
      <c r="BD12" s="611">
        <f>'Economist Plan 2'!BC11</f>
        <v>23061.639562969405</v>
      </c>
      <c r="BE12" s="611">
        <f>'Economist Plan 2'!BD11</f>
        <v>23061.639562969405</v>
      </c>
      <c r="BF12" s="611">
        <f>'Economist Plan 2'!BE11</f>
        <v>23061.639562969405</v>
      </c>
      <c r="BG12" s="611">
        <f>'Economist Plan 2'!BF11</f>
        <v>23061.639562969405</v>
      </c>
      <c r="BH12" s="611">
        <f>'Economist Plan 2'!BG11</f>
        <v>23061.639562969405</v>
      </c>
      <c r="BI12" s="611">
        <f>'Economist Plan 2'!BH11</f>
        <v>23061.639562969405</v>
      </c>
      <c r="BJ12" s="611">
        <f>'Economist Plan 2'!BI11</f>
        <v>23061.639562969405</v>
      </c>
      <c r="BK12" s="611">
        <f>'Economist Plan 2'!BJ11</f>
        <v>23061.639562969405</v>
      </c>
      <c r="BL12" s="611">
        <f>'Economist Plan 2'!BK11</f>
        <v>23061.639562969405</v>
      </c>
      <c r="BM12" s="611">
        <f>'Economist Plan 2'!BL11</f>
        <v>23061.639562969405</v>
      </c>
      <c r="BN12" s="611">
        <f>'Economist Plan 2'!BM11</f>
        <v>23061.639562969405</v>
      </c>
      <c r="BO12" s="611">
        <f>'Economist Plan 2'!BN11</f>
        <v>23061.639562969405</v>
      </c>
      <c r="BP12" s="611">
        <f>'Economist Plan 2'!BO11</f>
        <v>23061.639562969405</v>
      </c>
      <c r="BQ12" s="611">
        <f>'Economist Plan 2'!BP11</f>
        <v>23061.639562969405</v>
      </c>
      <c r="BR12" s="611">
        <f>'Economist Plan 2'!BQ11</f>
        <v>23061.639562969405</v>
      </c>
      <c r="BS12" s="611">
        <f>'Economist Plan 2'!BR11</f>
        <v>23061.639562969405</v>
      </c>
      <c r="BT12" s="611">
        <f>'Economist Plan 2'!BS11</f>
        <v>0</v>
      </c>
      <c r="BU12" s="611">
        <f>'Economist Plan 2'!BT11</f>
        <v>0</v>
      </c>
      <c r="BV12" s="611">
        <f>'Economist Plan 2'!BU11</f>
        <v>0</v>
      </c>
      <c r="BW12" s="611">
        <f>'Economist Plan 2'!BV11</f>
        <v>0</v>
      </c>
      <c r="BX12" s="611">
        <f>'Economist Plan 2'!BW11</f>
        <v>0</v>
      </c>
      <c r="BY12" s="611">
        <f>'Economist Plan 2'!BX11</f>
        <v>0</v>
      </c>
      <c r="BZ12" s="611">
        <f>'Economist Plan 2'!BY11</f>
        <v>0</v>
      </c>
      <c r="CA12" s="611">
        <f>'Economist Plan 2'!BZ11</f>
        <v>0</v>
      </c>
      <c r="CB12" s="611">
        <f>'Economist Plan 2'!CA11</f>
        <v>0</v>
      </c>
      <c r="CC12" s="611">
        <f>'Economist Plan 2'!CB11</f>
        <v>0</v>
      </c>
    </row>
    <row r="13" spans="1:104" x14ac:dyDescent="0.25">
      <c r="B13" s="609" t="s">
        <v>317</v>
      </c>
      <c r="E13" s="614">
        <f t="shared" ref="E13:BP13" si="8">E12-E10</f>
        <v>4969.2494338746365</v>
      </c>
      <c r="F13" s="614">
        <f t="shared" si="8"/>
        <v>6237.3747647210821</v>
      </c>
      <c r="G13" s="614">
        <f t="shared" si="8"/>
        <v>5954.1972706728448</v>
      </c>
      <c r="H13" s="614">
        <f t="shared" si="8"/>
        <v>5667.5384118193779</v>
      </c>
      <c r="I13" s="614">
        <f t="shared" si="8"/>
        <v>5377.4297612863229</v>
      </c>
      <c r="J13" s="614">
        <f t="shared" si="8"/>
        <v>6322.1429481773666</v>
      </c>
      <c r="K13" s="614">
        <f t="shared" si="8"/>
        <v>6025.2481814058738</v>
      </c>
      <c r="L13" s="614">
        <f t="shared" si="8"/>
        <v>5725.0270690537764</v>
      </c>
      <c r="M13" s="614">
        <f t="shared" si="8"/>
        <v>5421.5311621972796</v>
      </c>
      <c r="N13" s="614">
        <f t="shared" si="8"/>
        <v>5114.8176521481473</v>
      </c>
      <c r="O13" s="614">
        <f t="shared" si="8"/>
        <v>4804.9496500747409</v>
      </c>
      <c r="P13" s="614">
        <f t="shared" si="8"/>
        <v>4491.9964779802176</v>
      </c>
      <c r="Q13" s="614">
        <f t="shared" si="8"/>
        <v>4010.5088448403003</v>
      </c>
      <c r="R13" s="614">
        <f t="shared" si="8"/>
        <v>3516.6596092071959</v>
      </c>
      <c r="S13" s="614">
        <f t="shared" si="8"/>
        <v>3010.1352480688001</v>
      </c>
      <c r="T13" s="614">
        <f t="shared" si="8"/>
        <v>2490.6144083129657</v>
      </c>
      <c r="U13" s="614">
        <f t="shared" si="8"/>
        <v>1957.7677150708187</v>
      </c>
      <c r="V13" s="614">
        <f t="shared" si="8"/>
        <v>1411.257575495747</v>
      </c>
      <c r="W13" s="614">
        <f t="shared" si="8"/>
        <v>850.73797787334843</v>
      </c>
      <c r="X13" s="614">
        <f t="shared" si="8"/>
        <v>275.85428595580379</v>
      </c>
      <c r="Y13" s="614">
        <f t="shared" si="8"/>
        <v>-313.75697158855473</v>
      </c>
      <c r="Z13" s="614">
        <f t="shared" si="8"/>
        <v>-918.468316721679</v>
      </c>
      <c r="AA13" s="614">
        <f t="shared" si="8"/>
        <v>-1538.6615426922071</v>
      </c>
      <c r="AB13" s="614">
        <f t="shared" si="8"/>
        <v>-2174.7279399177751</v>
      </c>
      <c r="AC13" s="614">
        <f t="shared" si="8"/>
        <v>-2827.0685272121227</v>
      </c>
      <c r="AD13" s="614">
        <f t="shared" si="8"/>
        <v>-3496.094288478027</v>
      </c>
      <c r="AE13" s="614">
        <f t="shared" si="8"/>
        <v>-4182.2264149898401</v>
      </c>
      <c r="AF13" s="614">
        <f t="shared" si="8"/>
        <v>-4885.89655339198</v>
      </c>
      <c r="AG13" s="614">
        <f t="shared" si="8"/>
        <v>-5607.5470595424558</v>
      </c>
      <c r="AH13" s="614">
        <f t="shared" si="8"/>
        <v>-6347.6312583329855</v>
      </c>
      <c r="AI13" s="614">
        <f t="shared" si="8"/>
        <v>-7106.6137096204511</v>
      </c>
      <c r="AJ13" s="614">
        <f t="shared" si="8"/>
        <v>-7884.9704804066896</v>
      </c>
      <c r="AK13" s="614">
        <f t="shared" si="8"/>
        <v>-8683.189423407086</v>
      </c>
      <c r="AL13" s="614">
        <f t="shared" si="8"/>
        <v>-9501.7704621507692</v>
      </c>
      <c r="AM13" s="614">
        <f t="shared" si="8"/>
        <v>-10341.225882758667</v>
      </c>
      <c r="AN13" s="614">
        <f t="shared" si="8"/>
        <v>-11202.080632548303</v>
      </c>
      <c r="AO13" s="614">
        <f t="shared" si="8"/>
        <v>-12084.872625617663</v>
      </c>
      <c r="AP13" s="614">
        <f t="shared" si="8"/>
        <v>-13086.548222992384</v>
      </c>
      <c r="AQ13" s="614">
        <f t="shared" si="8"/>
        <v>-14116.771574892296</v>
      </c>
      <c r="AR13" s="614">
        <f t="shared" si="8"/>
        <v>-15176.356292321358</v>
      </c>
      <c r="AS13" s="614">
        <f t="shared" si="8"/>
        <v>-16266.139174197142</v>
      </c>
      <c r="AT13" s="614">
        <f t="shared" si="8"/>
        <v>-17386.980868206392</v>
      </c>
      <c r="AU13" s="614">
        <f t="shared" si="8"/>
        <v>-18539.766550494907</v>
      </c>
      <c r="AV13" s="614">
        <f t="shared" si="8"/>
        <v>-19725.406624728628</v>
      </c>
      <c r="AW13" s="614">
        <f t="shared" si="8"/>
        <v>-20944.837441078027</v>
      </c>
      <c r="AX13" s="614">
        <f t="shared" si="8"/>
        <v>-22199.022035693375</v>
      </c>
      <c r="AY13" s="614">
        <f t="shared" si="8"/>
        <v>-23488.950891255266</v>
      </c>
      <c r="AZ13" s="614">
        <f t="shared" si="8"/>
        <v>-24815.642719200663</v>
      </c>
      <c r="BA13" s="614">
        <f t="shared" si="8"/>
        <v>-26180.14526424251</v>
      </c>
      <c r="BB13" s="614">
        <f t="shared" si="8"/>
        <v>-27583.536131818048</v>
      </c>
      <c r="BC13" s="614">
        <f t="shared" si="8"/>
        <v>-29026.92363911949</v>
      </c>
      <c r="BD13" s="614">
        <f t="shared" si="8"/>
        <v>-30511.447690379031</v>
      </c>
      <c r="BE13" s="614">
        <f t="shared" si="8"/>
        <v>-32038.280677099461</v>
      </c>
      <c r="BF13" s="614">
        <f t="shared" si="8"/>
        <v>-33608.628403941402</v>
      </c>
      <c r="BG13" s="614">
        <f t="shared" si="8"/>
        <v>-35223.731040998362</v>
      </c>
      <c r="BH13" s="614">
        <f t="shared" si="8"/>
        <v>-36884.864103211439</v>
      </c>
      <c r="BI13" s="614">
        <f t="shared" si="8"/>
        <v>-38593.339457697599</v>
      </c>
      <c r="BJ13" s="614">
        <f t="shared" si="8"/>
        <v>-38593.339457697599</v>
      </c>
      <c r="BK13" s="614">
        <f t="shared" si="8"/>
        <v>-40350.506359786596</v>
      </c>
      <c r="BL13" s="614">
        <f t="shared" si="8"/>
        <v>-42157.752518585141</v>
      </c>
      <c r="BM13" s="614">
        <f t="shared" si="8"/>
        <v>-44016.505192909448</v>
      </c>
      <c r="BN13" s="614">
        <f t="shared" si="8"/>
        <v>-45928.232318451992</v>
      </c>
      <c r="BO13" s="614">
        <f t="shared" si="8"/>
        <v>-47894.443667072497</v>
      </c>
      <c r="BP13" s="614">
        <f t="shared" si="8"/>
        <v>-49916.692039128684</v>
      </c>
      <c r="BQ13" s="614">
        <f t="shared" ref="BQ13:CC13" si="9">BQ12-BQ10</f>
        <v>-51996.574489788472</v>
      </c>
      <c r="BR13" s="614">
        <f t="shared" si="9"/>
        <v>-54135.733590292075</v>
      </c>
      <c r="BS13" s="614">
        <f t="shared" si="9"/>
        <v>-56335.858725160026</v>
      </c>
      <c r="BT13" s="614">
        <f t="shared" si="9"/>
        <v>-81660.326989341105</v>
      </c>
      <c r="BU13" s="614">
        <f t="shared" si="9"/>
        <v>-83987.64630853734</v>
      </c>
      <c r="BV13" s="614">
        <f t="shared" si="9"/>
        <v>-86381.294228330662</v>
      </c>
      <c r="BW13" s="614">
        <f t="shared" si="9"/>
        <v>-88843.161113838069</v>
      </c>
      <c r="BX13" s="614">
        <f t="shared" si="9"/>
        <v>-91375.191205582465</v>
      </c>
      <c r="BY13" s="614">
        <f t="shared" si="9"/>
        <v>-93979.384154941537</v>
      </c>
      <c r="BZ13" s="614">
        <f t="shared" si="9"/>
        <v>-96657.79660335739</v>
      </c>
      <c r="CA13" s="614">
        <f t="shared" si="9"/>
        <v>-99412.543806553062</v>
      </c>
      <c r="CB13" s="614">
        <f t="shared" si="9"/>
        <v>-102245.80130503984</v>
      </c>
      <c r="CC13" s="614">
        <f t="shared" si="9"/>
        <v>-105159.80664223345</v>
      </c>
    </row>
    <row r="14" spans="1:104" s="757" customFormat="1" x14ac:dyDescent="0.25">
      <c r="B14" s="757" t="s">
        <v>529</v>
      </c>
      <c r="E14" s="758">
        <f>VLOOKUP(E4,'Dynamic Population'!$A$14:$AA$97,12)*'Underlying Assumptions'!$E$9/1000000</f>
        <v>15869.206863725241</v>
      </c>
      <c r="F14" s="758">
        <f>VLOOKUP(F4,'Dynamic Population'!$A$14:$AA$97,12)*'Underlying Assumptions'!$E$9/1000000</f>
        <v>16155.865722578708</v>
      </c>
      <c r="G14" s="758">
        <f>VLOOKUP(G4,'Dynamic Population'!$A$14:$AA$97,12)*'Underlying Assumptions'!$E$9/1000000</f>
        <v>16445.974373111763</v>
      </c>
      <c r="H14" s="758">
        <f>VLOOKUP(H4,'Dynamic Population'!$A$14:$AA$97,12)*'Underlying Assumptions'!$E$9/1000000</f>
        <v>16739.496614792039</v>
      </c>
      <c r="I14" s="758">
        <f>VLOOKUP(I4,'Dynamic Population'!$A$14:$AA$97,12)*'Underlying Assumptions'!$E$9/1000000</f>
        <v>17036.391381563531</v>
      </c>
      <c r="J14" s="758">
        <f>VLOOKUP(J4,'Dynamic Population'!$A$14:$AA$97,12)*'Underlying Assumptions'!$E$9/1000000</f>
        <v>17336.612493915629</v>
      </c>
      <c r="K14" s="758">
        <f>VLOOKUP(K4,'Dynamic Population'!$A$14:$AA$97,12)*'Underlying Assumptions'!$E$9/1000000</f>
        <v>17640.108400772126</v>
      </c>
      <c r="L14" s="758">
        <f>VLOOKUP(L4,'Dynamic Population'!$A$14:$AA$97,12)*'Underlying Assumptions'!$E$9/1000000</f>
        <v>17946.821910821258</v>
      </c>
      <c r="M14" s="758">
        <f>VLOOKUP(M4,'Dynamic Population'!$A$14:$AA$97,12)*'Underlying Assumptions'!$E$9/1000000</f>
        <v>18256.689912894664</v>
      </c>
      <c r="N14" s="758">
        <f>VLOOKUP(N4,'Dynamic Population'!$A$14:$AA$97,12)*'Underlying Assumptions'!$E$9/1000000</f>
        <v>18569.643084989188</v>
      </c>
      <c r="O14" s="758">
        <f>VLOOKUP(O4,'Dynamic Population'!$A$14:$AA$97,12)*'Underlying Assumptions'!$E$9/1000000</f>
        <v>19051.130718129105</v>
      </c>
      <c r="P14" s="758">
        <f>VLOOKUP(P4,'Dynamic Population'!$A$14:$AA$97,12)*'Underlying Assumptions'!$E$9/1000000</f>
        <v>19544.979953762209</v>
      </c>
      <c r="Q14" s="758">
        <f>VLOOKUP(Q4,'Dynamic Population'!$A$14:$AA$97,12)*'Underlying Assumptions'!$E$9/1000000</f>
        <v>20051.504314900605</v>
      </c>
      <c r="R14" s="758">
        <f>VLOOKUP(R4,'Dynamic Population'!$A$14:$AA$97,12)*'Underlying Assumptions'!$E$9/1000000</f>
        <v>20571.02515465644</v>
      </c>
      <c r="S14" s="758">
        <f>VLOOKUP(S4,'Dynamic Population'!$A$14:$AA$97,12)*'Underlying Assumptions'!$E$9/1000000</f>
        <v>21103.871847898587</v>
      </c>
      <c r="T14" s="758">
        <f>VLOOKUP(T4,'Dynamic Population'!$A$14:$AA$97,12)*'Underlying Assumptions'!$E$9/1000000</f>
        <v>21650.381987473658</v>
      </c>
      <c r="U14" s="758">
        <f>VLOOKUP(U4,'Dynamic Population'!$A$14:$AA$97,12)*'Underlying Assumptions'!$E$9/1000000</f>
        <v>22210.901585096057</v>
      </c>
      <c r="V14" s="758">
        <f>VLOOKUP(V4,'Dynamic Population'!$A$14:$AA$97,12)*'Underlying Assumptions'!$E$9/1000000</f>
        <v>22785.785277013609</v>
      </c>
      <c r="W14" s="758">
        <f>VLOOKUP(W4,'Dynamic Population'!$A$14:$AA$97,12)*'Underlying Assumptions'!$E$9/1000000</f>
        <v>23375.39653455796</v>
      </c>
      <c r="X14" s="758">
        <f>VLOOKUP(X4,'Dynamic Population'!$A$14:$AA$97,12)*'Underlying Assumptions'!$E$9/1000000</f>
        <v>23980.107879691084</v>
      </c>
      <c r="Y14" s="758">
        <f>VLOOKUP(Y4,'Dynamic Population'!$A$14:$AA$97,12)*'Underlying Assumptions'!$E$9/1000000</f>
        <v>24600.301105661612</v>
      </c>
      <c r="Z14" s="758">
        <f>VLOOKUP(Z4,'Dynamic Population'!$A$14:$AA$97,12)*'Underlying Assumptions'!$E$9/1000000</f>
        <v>25236.36750288718</v>
      </c>
      <c r="AA14" s="758">
        <f>VLOOKUP(AA4,'Dynamic Population'!$A$14:$AA$97,12)*'Underlying Assumptions'!$E$9/1000000</f>
        <v>25888.708090181528</v>
      </c>
      <c r="AB14" s="758">
        <f>VLOOKUP(AB4,'Dynamic Population'!$A$14:$AA$97,12)*'Underlying Assumptions'!$E$9/1000000</f>
        <v>26557.733851447432</v>
      </c>
      <c r="AC14" s="758">
        <f>VLOOKUP(AC4,'Dynamic Population'!$A$14:$AA$97,12)*'Underlying Assumptions'!$E$9/1000000</f>
        <v>27243.865977959245</v>
      </c>
      <c r="AD14" s="758">
        <f>VLOOKUP(AD4,'Dynamic Population'!$A$14:$AA$97,12)*'Underlying Assumptions'!$E$9/1000000</f>
        <v>27947.536116361385</v>
      </c>
      <c r="AE14" s="758">
        <f>VLOOKUP(AE4,'Dynamic Population'!$A$14:$AA$97,12)*'Underlying Assumptions'!$E$9/1000000</f>
        <v>28669.186622511861</v>
      </c>
      <c r="AF14" s="758">
        <f>VLOOKUP(AF4,'Dynamic Population'!$A$14:$AA$97,12)*'Underlying Assumptions'!$E$9/1000000</f>
        <v>29409.270821302391</v>
      </c>
      <c r="AG14" s="758">
        <f>VLOOKUP(AG4,'Dynamic Population'!$A$14:$AA$97,12)*'Underlying Assumptions'!$E$9/1000000</f>
        <v>30168.253272589856</v>
      </c>
      <c r="AH14" s="758">
        <f>VLOOKUP(AH4,'Dynamic Population'!$A$14:$AA$97,12)*'Underlying Assumptions'!$E$9/1000000</f>
        <v>30946.610043376095</v>
      </c>
      <c r="AI14" s="758">
        <f>VLOOKUP(AI4,'Dynamic Population'!$A$14:$AA$97,12)*'Underlying Assumptions'!$E$9/1000000</f>
        <v>31744.828986376491</v>
      </c>
      <c r="AJ14" s="758">
        <f>VLOOKUP(AJ4,'Dynamic Population'!$A$14:$AA$97,12)*'Underlying Assumptions'!$E$9/1000000</f>
        <v>32563.410025120171</v>
      </c>
      <c r="AK14" s="758">
        <f>VLOOKUP(AK4,'Dynamic Population'!$A$14:$AA$97,12)*'Underlying Assumptions'!$E$9/1000000</f>
        <v>33402.865445728072</v>
      </c>
      <c r="AL14" s="758">
        <f>VLOOKUP(AL4,'Dynamic Population'!$A$14:$AA$97,12)*'Underlying Assumptions'!$E$9/1000000</f>
        <v>34263.720195517708</v>
      </c>
      <c r="AM14" s="758">
        <f>VLOOKUP(AM4,'Dynamic Population'!$A$14:$AA$97,12)*'Underlying Assumptions'!$E$9/1000000</f>
        <v>35146.512188587069</v>
      </c>
      <c r="AN14" s="758">
        <f>VLOOKUP(AN4,'Dynamic Population'!$A$14:$AA$97,12)*'Underlying Assumptions'!$E$9/1000000</f>
        <v>36148.187785961789</v>
      </c>
      <c r="AO14" s="758">
        <f>VLOOKUP(AO4,'Dynamic Population'!$A$14:$AA$97,12)*'Underlying Assumptions'!$E$9/1000000</f>
        <v>37178.411137861702</v>
      </c>
      <c r="AP14" s="758">
        <f>VLOOKUP(AP4,'Dynamic Population'!$A$14:$AA$97,12)*'Underlying Assumptions'!$E$9/1000000</f>
        <v>38237.995855290763</v>
      </c>
      <c r="AQ14" s="758">
        <f>VLOOKUP(AQ4,'Dynamic Population'!$A$14:$AA$97,12)*'Underlying Assumptions'!$E$9/1000000</f>
        <v>39327.778737166547</v>
      </c>
      <c r="AR14" s="758">
        <f>VLOOKUP(AR4,'Dynamic Population'!$A$14:$AA$97,12)*'Underlying Assumptions'!$E$9/1000000</f>
        <v>40448.620431175797</v>
      </c>
      <c r="AS14" s="758">
        <f>VLOOKUP(AS4,'Dynamic Population'!$A$14:$AA$97,12)*'Underlying Assumptions'!$E$9/1000000</f>
        <v>41601.406113464313</v>
      </c>
      <c r="AT14" s="758">
        <f>VLOOKUP(AT4,'Dynamic Population'!$A$14:$AA$97,12)*'Underlying Assumptions'!$E$9/1000000</f>
        <v>42787.046187698033</v>
      </c>
      <c r="AU14" s="758">
        <f>VLOOKUP(AU4,'Dynamic Population'!$A$14:$AA$97,12)*'Underlying Assumptions'!$E$9/1000000</f>
        <v>44006.477004047432</v>
      </c>
      <c r="AV14" s="758">
        <f>VLOOKUP(AV4,'Dynamic Population'!$A$14:$AA$97,12)*'Underlying Assumptions'!$E$9/1000000</f>
        <v>45260.66159866278</v>
      </c>
      <c r="AW14" s="758">
        <f>VLOOKUP(AW4,'Dynamic Population'!$A$14:$AA$97,12)*'Underlying Assumptions'!$E$9/1000000</f>
        <v>46550.590454224672</v>
      </c>
      <c r="AX14" s="758">
        <f>VLOOKUP(AX4,'Dynamic Population'!$A$14:$AA$97,12)*'Underlying Assumptions'!$E$9/1000000</f>
        <v>47877.282282170068</v>
      </c>
      <c r="AY14" s="758">
        <f>VLOOKUP(AY4,'Dynamic Population'!$A$14:$AA$97,12)*'Underlying Assumptions'!$E$9/1000000</f>
        <v>49241.784827211923</v>
      </c>
      <c r="AZ14" s="758">
        <f>VLOOKUP(AZ4,'Dynamic Population'!$A$14:$AA$97,12)*'Underlying Assumptions'!$E$9/1000000</f>
        <v>50645.175694787446</v>
      </c>
      <c r="BA14" s="758">
        <f>VLOOKUP(BA4,'Dynamic Population'!$A$14:$AA$97,12)*'Underlying Assumptions'!$E$9/1000000</f>
        <v>52088.563202088895</v>
      </c>
      <c r="BB14" s="758">
        <f>VLOOKUP(BB4,'Dynamic Population'!$A$14:$AA$97,12)*'Underlying Assumptions'!$E$9/1000000</f>
        <v>53573.087253348436</v>
      </c>
      <c r="BC14" s="758">
        <f>VLOOKUP(BC4,'Dynamic Population'!$A$14:$AA$97,12)*'Underlying Assumptions'!$E$9/1000000</f>
        <v>55099.920240068866</v>
      </c>
      <c r="BD14" s="758">
        <f>VLOOKUP(BD4,'Dynamic Population'!$A$14:$AA$97,12)*'Underlying Assumptions'!$E$9/1000000</f>
        <v>56670.267966910811</v>
      </c>
      <c r="BE14" s="758">
        <f>VLOOKUP(BE4,'Dynamic Population'!$A$14:$AA$97,12)*'Underlying Assumptions'!$E$9/1000000</f>
        <v>58285.370603967764</v>
      </c>
      <c r="BF14" s="758">
        <f>VLOOKUP(BF4,'Dynamic Population'!$A$14:$AA$97,12)*'Underlying Assumptions'!$E$9/1000000</f>
        <v>59946.503666180848</v>
      </c>
      <c r="BG14" s="758">
        <f>VLOOKUP(BG4,'Dynamic Population'!$A$14:$AA$97,12)*'Underlying Assumptions'!$E$9/1000000</f>
        <v>61654.979020667</v>
      </c>
      <c r="BH14" s="758">
        <f>VLOOKUP(BH4,'Dynamic Population'!$A$14:$AA$97,12)*'Underlying Assumptions'!$E$9/1000000</f>
        <v>63412.145922756004</v>
      </c>
      <c r="BI14" s="758">
        <f>VLOOKUP(BI4,'Dynamic Population'!$A$14:$AA$97,12)*'Underlying Assumptions'!$E$9/1000000</f>
        <v>65219.39208155455</v>
      </c>
      <c r="BJ14" s="758">
        <f>VLOOKUP(BJ4,'Dynamic Population'!$A$14:$AA$97,12)*'Underlying Assumptions'!$E$9/1000000</f>
        <v>67078.14475587885</v>
      </c>
      <c r="BK14" s="758">
        <f>VLOOKUP(BK4,'Dynamic Population'!$A$14:$AA$97,12)*'Underlying Assumptions'!$E$9/1000000</f>
        <v>68989.871881421393</v>
      </c>
      <c r="BL14" s="758">
        <f>VLOOKUP(BL4,'Dynamic Population'!$A$14:$AA$97,12)*'Underlying Assumptions'!$E$9/1000000</f>
        <v>70956.083230041899</v>
      </c>
      <c r="BM14" s="758">
        <f>VLOOKUP(BM4,'Dynamic Population'!$A$14:$AA$97,12)*'Underlying Assumptions'!$E$9/1000000</f>
        <v>72978.331602098086</v>
      </c>
      <c r="BN14" s="758">
        <f>VLOOKUP(BN4,'Dynamic Population'!$A$14:$AA$97,12)*'Underlying Assumptions'!$E$9/1000000</f>
        <v>75058.214052757874</v>
      </c>
      <c r="BO14" s="758">
        <f>VLOOKUP(BO4,'Dynamic Population'!$A$14:$AA$97,12)*'Underlying Assumptions'!$E$9/1000000</f>
        <v>77197.373153261477</v>
      </c>
      <c r="BP14" s="758">
        <f>VLOOKUP(BP4,'Dynamic Population'!$A$14:$AA$97,12)*'Underlying Assumptions'!$E$9/1000000</f>
        <v>79397.498288129427</v>
      </c>
      <c r="BQ14" s="758">
        <f>VLOOKUP(BQ4,'Dynamic Population'!$A$14:$AA$97,12)*'Underlying Assumptions'!$E$9/1000000</f>
        <v>81660.326989341105</v>
      </c>
      <c r="BR14" s="758">
        <f>VLOOKUP(BR4,'Dynamic Population'!$A$14:$AA$97,12)*'Underlying Assumptions'!$E$9/1000000</f>
        <v>83987.64630853734</v>
      </c>
      <c r="BS14" s="758">
        <f>VLOOKUP(BS4,'Dynamic Population'!$A$14:$AA$97,12)*'Underlying Assumptions'!$E$9/1000000</f>
        <v>86381.294228330662</v>
      </c>
      <c r="BT14" s="758">
        <f>VLOOKUP(BT4,'Dynamic Population'!$A$14:$AA$97,12)*'Underlying Assumptions'!$E$9/1000000</f>
        <v>88843.161113838069</v>
      </c>
      <c r="BU14" s="758">
        <f>VLOOKUP(BU4,'Dynamic Population'!$A$14:$AA$97,12)*'Underlying Assumptions'!$E$9/1000000</f>
        <v>91375.191205582465</v>
      </c>
      <c r="BV14" s="758">
        <f>VLOOKUP(BV4,'Dynamic Population'!$A$14:$AA$97,12)*'Underlying Assumptions'!$E$9/1000000</f>
        <v>93979.384154941537</v>
      </c>
      <c r="BW14" s="758">
        <f>VLOOKUP(BW4,'Dynamic Population'!$A$14:$AA$97,12)*'Underlying Assumptions'!$E$9/1000000</f>
        <v>96657.79660335739</v>
      </c>
      <c r="BX14" s="758">
        <f>VLOOKUP(BX4,'Dynamic Population'!$A$14:$AA$97,12)*'Underlying Assumptions'!$E$9/1000000</f>
        <v>99412.543806553076</v>
      </c>
      <c r="BY14" s="758">
        <f>VLOOKUP(BY4,'Dynamic Population'!$A$14:$AA$97,12)*'Underlying Assumptions'!$E$9/1000000</f>
        <v>102245.80130503984</v>
      </c>
      <c r="BZ14" s="758">
        <f>VLOOKUP(BZ4,'Dynamic Population'!$A$14:$AA$97,12)*'Underlying Assumptions'!$E$9/1000000</f>
        <v>105159.80664223345</v>
      </c>
      <c r="CA14" s="758">
        <f>VLOOKUP(CA4,'Dynamic Population'!$A$14:$AA$97,12)*'Underlying Assumptions'!$E$9/1000000</f>
        <v>108156.86113153711</v>
      </c>
      <c r="CB14" s="758">
        <f>VLOOKUP(CB4,'Dynamic Population'!$A$14:$AA$97,12)*'Underlying Assumptions'!$E$9/1000000</f>
        <v>111239.3316737859</v>
      </c>
      <c r="CC14" s="758">
        <f>VLOOKUP(CC4,'Dynamic Population'!$A$14:$AA$97,12)*'Underlying Assumptions'!$E$9/1000000</f>
        <v>111239.3316737859</v>
      </c>
      <c r="CD14" s="758">
        <f>VLOOKUP(CD4,'Dynamic Population'!$A$14:$AA$97,12)*'Underlying Assumptions'!$E$9/1000000</f>
        <v>111239.3316737859</v>
      </c>
      <c r="CE14" s="758">
        <f>VLOOKUP(CE4,'Dynamic Population'!$A$14:$AA$97,12)*'Underlying Assumptions'!$E$9/1000000</f>
        <v>111239.3316737859</v>
      </c>
      <c r="CF14" s="758">
        <f>VLOOKUP(CF4,'Dynamic Population'!$A$14:$AA$97,12)*'Underlying Assumptions'!$E$9/1000000</f>
        <v>111239.3316737859</v>
      </c>
      <c r="CG14" s="758">
        <f>VLOOKUP(CG4,'Dynamic Population'!$A$14:$AA$97,12)*'Underlying Assumptions'!$E$9/1000000</f>
        <v>111239.3316737859</v>
      </c>
      <c r="CH14" s="758">
        <f>VLOOKUP(CH4,'Dynamic Population'!$A$14:$AA$97,12)*'Underlying Assumptions'!$E$9/1000000</f>
        <v>111239.3316737859</v>
      </c>
      <c r="CI14" s="758">
        <f>VLOOKUP(CI4,'Dynamic Population'!$A$14:$AA$97,12)*'Underlying Assumptions'!$E$9/1000000</f>
        <v>111239.3316737859</v>
      </c>
      <c r="CJ14" s="758">
        <f>VLOOKUP(CJ4,'Dynamic Population'!$A$14:$AA$97,12)*'Underlying Assumptions'!$E$9/1000000</f>
        <v>111239.3316737859</v>
      </c>
      <c r="CK14" s="758">
        <f>VLOOKUP(CK4,'Dynamic Population'!$A$14:$AA$97,12)*'Underlying Assumptions'!$E$9/1000000</f>
        <v>111239.3316737859</v>
      </c>
      <c r="CL14" s="758">
        <f>VLOOKUP(CL4,'Dynamic Population'!$A$14:$AA$97,12)*'Underlying Assumptions'!$E$9/1000000</f>
        <v>111239.3316737859</v>
      </c>
      <c r="CM14" s="758">
        <f>VLOOKUP(CM4,'Dynamic Population'!$A$14:$AA$97,12)*'Underlying Assumptions'!$E$9/1000000</f>
        <v>111239.3316737859</v>
      </c>
    </row>
    <row r="15" spans="1:104" s="759" customFormat="1" x14ac:dyDescent="0.25">
      <c r="B15" s="759" t="s">
        <v>320</v>
      </c>
      <c r="E15" s="758">
        <f>VLOOKUP(E$4,'Dynamic Population'!$A$14:$AA$97,19,FALSE)*'Underlying Assumptions'!$E$9/1000000</f>
        <v>20275.609848683933</v>
      </c>
      <c r="F15" s="758">
        <f>VLOOKUP(F$4,'Dynamic Population'!$A$14:$AA$97,19,FALSE)*'Underlying Assumptions'!$E$9/1000000</f>
        <v>21823.404134398086</v>
      </c>
      <c r="G15" s="758">
        <f>VLOOKUP(G$4,'Dynamic Population'!$A$14:$AA$97,19,FALSE)*'Underlying Assumptions'!$E$9/1000000</f>
        <v>21823.404134398086</v>
      </c>
      <c r="H15" s="758">
        <f>VLOOKUP(H$4,'Dynamic Population'!$A$14:$AA$97,19,FALSE)*'Underlying Assumptions'!$E$9/1000000</f>
        <v>21823.404134398086</v>
      </c>
      <c r="I15" s="758">
        <f>VLOOKUP(I$4,'Dynamic Population'!$A$14:$AA$97,19,FALSE)*'Underlying Assumptions'!$E$9/1000000</f>
        <v>21823.404134398086</v>
      </c>
      <c r="J15" s="758">
        <f>VLOOKUP(J$4,'Dynamic Population'!$A$14:$AA$97,19,FALSE)*'Underlying Assumptions'!$E$9/1000000</f>
        <v>23061.639562969405</v>
      </c>
      <c r="K15" s="758">
        <f>VLOOKUP(K$4,'Dynamic Population'!$A$14:$AA$97,19,FALSE)*'Underlying Assumptions'!$E$9/1000000</f>
        <v>23061.639562969405</v>
      </c>
      <c r="L15" s="758">
        <f>VLOOKUP(L$4,'Dynamic Population'!$A$14:$AA$97,19,FALSE)*'Underlying Assumptions'!$E$9/1000000</f>
        <v>23061.639562969405</v>
      </c>
      <c r="M15" s="758">
        <f>VLOOKUP(M$4,'Dynamic Population'!$A$14:$AA$97,19,FALSE)*'Underlying Assumptions'!$E$9/1000000</f>
        <v>23061.639562969405</v>
      </c>
      <c r="N15" s="758">
        <f>VLOOKUP(N$4,'Dynamic Population'!$A$14:$AA$97,19,FALSE)*'Underlying Assumptions'!$E$9/1000000</f>
        <v>23061.639562969405</v>
      </c>
      <c r="O15" s="758">
        <f>VLOOKUP(O$4,'Dynamic Population'!$A$14:$AA$97,19,FALSE)*'Underlying Assumptions'!$E$9/1000000</f>
        <v>23061.639562969405</v>
      </c>
      <c r="P15" s="758">
        <f>VLOOKUP(P$4,'Dynamic Population'!$A$14:$AA$97,19,FALSE)*'Underlying Assumptions'!$E$9/1000000</f>
        <v>23061.639562969405</v>
      </c>
      <c r="Q15" s="758">
        <f>VLOOKUP(Q$4,'Dynamic Population'!$A$14:$AA$97,19,FALSE)*'Underlying Assumptions'!$E$9/1000000</f>
        <v>23061.639562969405</v>
      </c>
      <c r="R15" s="758">
        <f>VLOOKUP(R$4,'Dynamic Population'!$A$14:$AA$97,19,FALSE)*'Underlying Assumptions'!$E$9/1000000</f>
        <v>23061.639562969405</v>
      </c>
      <c r="S15" s="758">
        <f>VLOOKUP(S$4,'Dynamic Population'!$A$14:$AA$97,19,FALSE)*'Underlying Assumptions'!$E$9/1000000</f>
        <v>23061.639562969405</v>
      </c>
      <c r="T15" s="758">
        <f>VLOOKUP(T$4,'Dynamic Population'!$A$14:$AA$97,19,FALSE)*'Underlying Assumptions'!$E$9/1000000</f>
        <v>23061.639562969405</v>
      </c>
      <c r="U15" s="758">
        <f>VLOOKUP(U$4,'Dynamic Population'!$A$14:$AA$97,19,FALSE)*'Underlying Assumptions'!$E$9/1000000</f>
        <v>23061.639562969405</v>
      </c>
      <c r="V15" s="758">
        <f>VLOOKUP(V$4,'Dynamic Population'!$A$14:$AA$97,19,FALSE)*'Underlying Assumptions'!$E$9/1000000</f>
        <v>23061.639562969405</v>
      </c>
      <c r="W15" s="758">
        <f>VLOOKUP(W$4,'Dynamic Population'!$A$14:$AA$97,19,FALSE)*'Underlying Assumptions'!$E$9/1000000</f>
        <v>23061.639562969405</v>
      </c>
      <c r="X15" s="758">
        <f>VLOOKUP(X$4,'Dynamic Population'!$A$14:$AA$97,19,FALSE)*'Underlying Assumptions'!$E$9/1000000</f>
        <v>23061.639562969405</v>
      </c>
      <c r="Y15" s="758">
        <f>VLOOKUP(Y$4,'Dynamic Population'!$A$14:$AA$97,19,FALSE)*'Underlying Assumptions'!$E$9/1000000</f>
        <v>23061.639562969405</v>
      </c>
      <c r="Z15" s="758">
        <f>VLOOKUP(Z$4,'Dynamic Population'!$A$14:$AA$97,19,FALSE)*'Underlying Assumptions'!$E$9/1000000</f>
        <v>23061.639562969405</v>
      </c>
      <c r="AA15" s="758">
        <f>VLOOKUP(AA$4,'Dynamic Population'!$A$14:$AA$97,19,FALSE)*'Underlying Assumptions'!$E$9/1000000</f>
        <v>23061.639562969405</v>
      </c>
      <c r="AB15" s="758">
        <f>VLOOKUP(AB$4,'Dynamic Population'!$A$14:$AA$97,19,FALSE)*'Underlying Assumptions'!$E$9/1000000</f>
        <v>23061.639562969405</v>
      </c>
      <c r="AC15" s="758">
        <f>VLOOKUP(AC$4,'Dynamic Population'!$A$14:$AA$97,19,FALSE)*'Underlying Assumptions'!$E$9/1000000</f>
        <v>23061.639562969405</v>
      </c>
      <c r="AD15" s="758">
        <f>VLOOKUP(AD$4,'Dynamic Population'!$A$14:$AA$97,19,FALSE)*'Underlying Assumptions'!$E$9/1000000</f>
        <v>23061.639562969405</v>
      </c>
      <c r="AE15" s="758">
        <f>VLOOKUP(AE$4,'Dynamic Population'!$A$14:$AA$97,19,FALSE)*'Underlying Assumptions'!$E$9/1000000</f>
        <v>23061.639562969405</v>
      </c>
      <c r="AF15" s="758">
        <f>VLOOKUP(AF$4,'Dynamic Population'!$A$14:$AA$97,19,FALSE)*'Underlying Assumptions'!$E$9/1000000</f>
        <v>23061.639562969405</v>
      </c>
      <c r="AG15" s="758">
        <f>VLOOKUP(AG$4,'Dynamic Population'!$A$14:$AA$97,19,FALSE)*'Underlying Assumptions'!$E$9/1000000</f>
        <v>23061.639562969405</v>
      </c>
      <c r="AH15" s="758">
        <f>VLOOKUP(AH$4,'Dynamic Population'!$A$14:$AA$97,19,FALSE)*'Underlying Assumptions'!$E$9/1000000</f>
        <v>23061.639562969405</v>
      </c>
      <c r="AI15" s="758">
        <f>VLOOKUP(AI$4,'Dynamic Population'!$A$14:$AA$97,19,FALSE)*'Underlying Assumptions'!$E$9/1000000</f>
        <v>23061.639562969405</v>
      </c>
      <c r="AJ15" s="758">
        <f>VLOOKUP(AJ$4,'Dynamic Population'!$A$14:$AA$97,19,FALSE)*'Underlying Assumptions'!$E$9/1000000</f>
        <v>23061.639562969405</v>
      </c>
      <c r="AK15" s="758">
        <f>VLOOKUP(AK$4,'Dynamic Population'!$A$14:$AA$97,19,FALSE)*'Underlying Assumptions'!$E$9/1000000</f>
        <v>23061.639562969405</v>
      </c>
      <c r="AL15" s="758">
        <f>VLOOKUP(AL$4,'Dynamic Population'!$A$14:$AA$97,19,FALSE)*'Underlying Assumptions'!$E$9/1000000</f>
        <v>23061.639562969405</v>
      </c>
      <c r="AM15" s="758">
        <f>VLOOKUP(AM$4,'Dynamic Population'!$A$14:$AA$97,19,FALSE)*'Underlying Assumptions'!$E$9/1000000</f>
        <v>23061.639562969405</v>
      </c>
      <c r="AN15" s="758">
        <f>VLOOKUP(AN$4,'Dynamic Population'!$A$14:$AA$97,19,FALSE)*'Underlying Assumptions'!$E$9/1000000</f>
        <v>23061.639562969405</v>
      </c>
      <c r="AO15" s="758">
        <f>VLOOKUP(AO$4,'Dynamic Population'!$A$14:$AA$97,19,FALSE)*'Underlying Assumptions'!$E$9/1000000</f>
        <v>23061.639562969405</v>
      </c>
      <c r="AP15" s="758">
        <f>VLOOKUP(AP$4,'Dynamic Population'!$A$14:$AA$97,19,FALSE)*'Underlying Assumptions'!$E$9/1000000</f>
        <v>23061.639562969405</v>
      </c>
      <c r="AQ15" s="758">
        <f>VLOOKUP(AQ$4,'Dynamic Population'!$A$14:$AA$97,19,FALSE)*'Underlying Assumptions'!$E$9/1000000</f>
        <v>23061.639562969405</v>
      </c>
      <c r="AR15" s="758">
        <f>VLOOKUP(AR$4,'Dynamic Population'!$A$14:$AA$97,19,FALSE)*'Underlying Assumptions'!$E$9/1000000</f>
        <v>23061.639562969405</v>
      </c>
      <c r="AS15" s="758">
        <f>VLOOKUP(AS$4,'Dynamic Population'!$A$14:$AA$97,19,FALSE)*'Underlying Assumptions'!$E$9/1000000</f>
        <v>23061.639562969405</v>
      </c>
      <c r="AT15" s="758">
        <f>VLOOKUP(AT$4,'Dynamic Population'!$A$14:$AA$97,19,FALSE)*'Underlying Assumptions'!$E$9/1000000</f>
        <v>23061.639562969405</v>
      </c>
      <c r="AU15" s="758">
        <f>VLOOKUP(AU$4,'Dynamic Population'!$A$14:$AA$97,19,FALSE)*'Underlying Assumptions'!$E$9/1000000</f>
        <v>23061.639562969405</v>
      </c>
      <c r="AV15" s="758">
        <f>VLOOKUP(AV$4,'Dynamic Population'!$A$14:$AA$97,19,FALSE)*'Underlying Assumptions'!$E$9/1000000</f>
        <v>23061.639562969405</v>
      </c>
      <c r="AW15" s="758">
        <f>VLOOKUP(AW$4,'Dynamic Population'!$A$14:$AA$97,19,FALSE)*'Underlying Assumptions'!$E$9/1000000</f>
        <v>23061.639562969405</v>
      </c>
      <c r="AX15" s="758">
        <f>VLOOKUP(AX$4,'Dynamic Population'!$A$14:$AA$97,19,FALSE)*'Underlying Assumptions'!$E$9/1000000</f>
        <v>23061.639562969405</v>
      </c>
      <c r="AY15" s="758">
        <f>VLOOKUP(AY$4,'Dynamic Population'!$A$14:$AA$97,19,FALSE)*'Underlying Assumptions'!$E$9/1000000</f>
        <v>23061.639562969405</v>
      </c>
      <c r="AZ15" s="758">
        <f>VLOOKUP(AZ$4,'Dynamic Population'!$A$14:$AA$97,19,FALSE)*'Underlying Assumptions'!$E$9/1000000</f>
        <v>23061.639562969405</v>
      </c>
      <c r="BA15" s="758">
        <f>VLOOKUP(BA$4,'Dynamic Population'!$A$14:$AA$97,19,FALSE)*'Underlying Assumptions'!$E$9/1000000</f>
        <v>23061.639562969405</v>
      </c>
      <c r="BB15" s="758">
        <f>VLOOKUP(BB$4,'Dynamic Population'!$A$14:$AA$97,19,FALSE)*'Underlying Assumptions'!$E$9/1000000</f>
        <v>23061.639562969405</v>
      </c>
      <c r="BC15" s="758">
        <f>VLOOKUP(BC$4,'Dynamic Population'!$A$14:$AA$97,19,FALSE)*'Underlying Assumptions'!$E$9/1000000</f>
        <v>23061.639562969405</v>
      </c>
      <c r="BD15" s="758">
        <f>VLOOKUP(BD$4,'Dynamic Population'!$A$14:$AA$97,19,FALSE)*'Underlying Assumptions'!$E$9/1000000</f>
        <v>23061.639562969405</v>
      </c>
      <c r="BE15" s="758">
        <f>VLOOKUP(BE$4,'Dynamic Population'!$A$14:$AA$97,19,FALSE)*'Underlying Assumptions'!$E$9/1000000</f>
        <v>23061.639562969405</v>
      </c>
      <c r="BF15" s="758">
        <f>VLOOKUP(BF$4,'Dynamic Population'!$A$14:$AA$97,19,FALSE)*'Underlying Assumptions'!$E$9/1000000</f>
        <v>23061.639562969405</v>
      </c>
      <c r="BG15" s="758">
        <f>VLOOKUP(BG$4,'Dynamic Population'!$A$14:$AA$97,19,FALSE)*'Underlying Assumptions'!$E$9/1000000</f>
        <v>23061.639562969405</v>
      </c>
      <c r="BH15" s="758">
        <f>VLOOKUP(BH$4,'Dynamic Population'!$A$14:$AA$97,19,FALSE)*'Underlying Assumptions'!$E$9/1000000</f>
        <v>23061.639562969405</v>
      </c>
      <c r="BI15" s="758">
        <f>VLOOKUP(BI$4,'Dynamic Population'!$A$14:$AA$97,19,FALSE)*'Underlying Assumptions'!$E$9/1000000</f>
        <v>23061.639562969405</v>
      </c>
      <c r="BJ15" s="758">
        <f>VLOOKUP(BJ$4,'Dynamic Population'!$A$14:$AA$97,19,FALSE)*'Underlying Assumptions'!$E$9/1000000</f>
        <v>23061.639562969405</v>
      </c>
      <c r="BK15" s="758">
        <f>VLOOKUP(BK$4,'Dynamic Population'!$A$14:$AA$97,19,FALSE)*'Underlying Assumptions'!$E$9/1000000</f>
        <v>23061.639562969405</v>
      </c>
      <c r="BL15" s="758">
        <f>VLOOKUP(BL$4,'Dynamic Population'!$A$14:$AA$97,19,FALSE)*'Underlying Assumptions'!$E$9/1000000</f>
        <v>23061.639562969405</v>
      </c>
      <c r="BM15" s="758">
        <f>VLOOKUP(BM$4,'Dynamic Population'!$A$14:$AA$97,19,FALSE)*'Underlying Assumptions'!$E$9/1000000</f>
        <v>23061.639562969405</v>
      </c>
      <c r="BN15" s="758">
        <f>VLOOKUP(BN$4,'Dynamic Population'!$A$14:$AA$97,19,FALSE)*'Underlying Assumptions'!$E$9/1000000</f>
        <v>23061.639562969405</v>
      </c>
      <c r="BO15" s="758">
        <f>VLOOKUP(BO$4,'Dynamic Population'!$A$14:$AA$97,19,FALSE)*'Underlying Assumptions'!$E$9/1000000</f>
        <v>23061.639562969405</v>
      </c>
      <c r="BP15" s="758">
        <f>VLOOKUP(BP$4,'Dynamic Population'!$A$14:$AA$97,19,FALSE)*'Underlying Assumptions'!$E$9/1000000</f>
        <v>23061.639562969405</v>
      </c>
      <c r="BQ15" s="758">
        <f>VLOOKUP(BQ$4,'Dynamic Population'!$A$14:$AA$97,19,FALSE)*'Underlying Assumptions'!$E$9/1000000</f>
        <v>23061.639562969405</v>
      </c>
      <c r="BR15" s="758">
        <f>VLOOKUP(BR$4,'Dynamic Population'!$A$14:$AA$97,19,FALSE)*'Underlying Assumptions'!$E$9/1000000</f>
        <v>23061.639562969405</v>
      </c>
      <c r="BS15" s="758">
        <f>VLOOKUP(BS$4,'Dynamic Population'!$A$14:$AA$97,19,FALSE)*'Underlying Assumptions'!$E$9/1000000</f>
        <v>23061.639562969405</v>
      </c>
      <c r="BT15" s="758">
        <f>VLOOKUP(BT$4,'Dynamic Population'!$A$14:$AA$97,19,FALSE)*'Underlying Assumptions'!$E$9/1000000</f>
        <v>23061.639562969405</v>
      </c>
      <c r="BU15" s="758">
        <f>VLOOKUP(BU$4,'Dynamic Population'!$A$14:$AA$97,19,FALSE)*'Underlying Assumptions'!$E$9/1000000</f>
        <v>23061.639562969405</v>
      </c>
      <c r="BV15" s="758">
        <f>VLOOKUP(BV$4,'Dynamic Population'!$A$14:$AA$97,19,FALSE)*'Underlying Assumptions'!$E$9/1000000</f>
        <v>23061.639562969405</v>
      </c>
      <c r="BW15" s="758">
        <f>VLOOKUP(BW$4,'Dynamic Population'!$A$14:$AA$97,19,FALSE)*'Underlying Assumptions'!$E$9/1000000</f>
        <v>23061.639562969405</v>
      </c>
      <c r="BX15" s="758">
        <f>VLOOKUP(BX$4,'Dynamic Population'!$A$14:$AA$97,19,FALSE)*'Underlying Assumptions'!$E$9/1000000</f>
        <v>23061.639562969405</v>
      </c>
      <c r="BY15" s="758">
        <f>VLOOKUP(BY$4,'Dynamic Population'!$A$14:$AA$97,19,FALSE)*'Underlying Assumptions'!$E$9/1000000</f>
        <v>23061.639562969405</v>
      </c>
      <c r="BZ15" s="758">
        <f>VLOOKUP(BZ$4,'Dynamic Population'!$A$14:$AA$97,19,FALSE)*'Underlying Assumptions'!$E$9/1000000</f>
        <v>23061.639562969405</v>
      </c>
      <c r="CA15" s="758">
        <f>VLOOKUP(CA$4,'Dynamic Population'!$A$14:$AA$97,19,FALSE)*'Underlying Assumptions'!$E$9/1000000</f>
        <v>23061.639562969405</v>
      </c>
      <c r="CB15" s="758">
        <f>VLOOKUP(CB$4,'Dynamic Population'!$A$14:$AA$97,19,FALSE)*'Underlying Assumptions'!$E$9/1000000</f>
        <v>23061.639562969405</v>
      </c>
      <c r="CC15" s="758">
        <f>VLOOKUP(CC$4,'Dynamic Population'!$A$14:$AA$97,19,FALSE)*'Underlying Assumptions'!$E$9/1000000</f>
        <v>23061.639562969405</v>
      </c>
      <c r="CD15" s="758">
        <f>VLOOKUP(CD$4,'Dynamic Population'!$A$14:$AA$97,19,FALSE)*'Underlying Assumptions'!$E$9/1000000</f>
        <v>23061.639562969405</v>
      </c>
      <c r="CE15" s="758" t="e">
        <f>VLOOKUP(CE$4,'Dynamic Population'!$A$14:$AA$97,19,FALSE)*'Underlying Assumptions'!$E$9/1000000</f>
        <v>#N/A</v>
      </c>
      <c r="CF15" s="758" t="e">
        <f>VLOOKUP(CF$4,'Dynamic Population'!$A$14:$AA$97,19,FALSE)*'Underlying Assumptions'!$E$9/1000000</f>
        <v>#N/A</v>
      </c>
      <c r="CG15" s="758" t="e">
        <f>VLOOKUP(CG$4,'Dynamic Population'!$A$14:$AA$97,19,FALSE)*'Underlying Assumptions'!$E$9/1000000</f>
        <v>#N/A</v>
      </c>
      <c r="CH15" s="758" t="e">
        <f>VLOOKUP(CH$4,'Dynamic Population'!$A$14:$AA$97,19,FALSE)*'Underlying Assumptions'!$E$9/1000000</f>
        <v>#N/A</v>
      </c>
      <c r="CI15" s="758" t="e">
        <f>VLOOKUP(CI$4,'Dynamic Population'!$A$14:$AA$97,19,FALSE)*'Underlying Assumptions'!$E$9/1000000</f>
        <v>#N/A</v>
      </c>
      <c r="CJ15" s="758" t="e">
        <f>VLOOKUP(CJ$4,'Dynamic Population'!$A$14:$AA$97,19,FALSE)*'Underlying Assumptions'!$E$9/1000000</f>
        <v>#N/A</v>
      </c>
      <c r="CK15" s="758" t="e">
        <f>VLOOKUP(CK$4,'Dynamic Population'!$A$14:$AA$97,19,FALSE)*'Underlying Assumptions'!$E$9/1000000</f>
        <v>#N/A</v>
      </c>
      <c r="CL15" s="758" t="e">
        <f>VLOOKUP(CL$4,'Dynamic Population'!$A$14:$AA$97,19,FALSE)*'Underlying Assumptions'!$E$9/1000000</f>
        <v>#N/A</v>
      </c>
      <c r="CM15" s="758" t="e">
        <f>VLOOKUP(CM$4,'Dynamic Population'!$A$14:$AA$97,19,FALSE)*'Underlying Assumptions'!$E$9/1000000</f>
        <v>#N/A</v>
      </c>
      <c r="CN15" s="760"/>
      <c r="CO15" s="760"/>
      <c r="CP15" s="760"/>
      <c r="CQ15" s="760"/>
      <c r="CR15" s="760"/>
      <c r="CS15" s="760"/>
      <c r="CT15" s="760"/>
      <c r="CU15" s="760"/>
      <c r="CV15" s="760"/>
      <c r="CW15" s="760"/>
      <c r="CX15" s="760"/>
      <c r="CY15" s="760"/>
      <c r="CZ15" s="760"/>
    </row>
    <row r="16" spans="1:104" x14ac:dyDescent="0.25">
      <c r="B16" s="609" t="s">
        <v>321</v>
      </c>
      <c r="E16" s="614">
        <f>E15-E14</f>
        <v>4406.4029849586914</v>
      </c>
      <c r="F16" s="614">
        <f t="shared" ref="F16:BQ16" si="10">F15-F14</f>
        <v>5667.5384118193779</v>
      </c>
      <c r="G16" s="614">
        <f t="shared" si="10"/>
        <v>5377.4297612863229</v>
      </c>
      <c r="H16" s="614">
        <f t="shared" si="10"/>
        <v>5083.9075196060476</v>
      </c>
      <c r="I16" s="614">
        <f t="shared" si="10"/>
        <v>4787.0127528345547</v>
      </c>
      <c r="J16" s="614">
        <f t="shared" si="10"/>
        <v>5725.0270690537764</v>
      </c>
      <c r="K16" s="614">
        <f t="shared" si="10"/>
        <v>5421.5311621972796</v>
      </c>
      <c r="L16" s="614">
        <f t="shared" si="10"/>
        <v>5114.8176521481473</v>
      </c>
      <c r="M16" s="614">
        <f t="shared" si="10"/>
        <v>4804.9496500747409</v>
      </c>
      <c r="N16" s="614">
        <f t="shared" si="10"/>
        <v>4491.9964779802176</v>
      </c>
      <c r="O16" s="614">
        <f t="shared" si="10"/>
        <v>4010.5088448403003</v>
      </c>
      <c r="P16" s="614">
        <f t="shared" si="10"/>
        <v>3516.6596092071959</v>
      </c>
      <c r="Q16" s="614">
        <f t="shared" si="10"/>
        <v>3010.1352480688001</v>
      </c>
      <c r="R16" s="614">
        <f t="shared" si="10"/>
        <v>2490.6144083129657</v>
      </c>
      <c r="S16" s="614">
        <f t="shared" si="10"/>
        <v>1957.7677150708187</v>
      </c>
      <c r="T16" s="614">
        <f t="shared" si="10"/>
        <v>1411.257575495747</v>
      </c>
      <c r="U16" s="614">
        <f t="shared" si="10"/>
        <v>850.73797787334843</v>
      </c>
      <c r="V16" s="614">
        <f t="shared" si="10"/>
        <v>275.85428595579651</v>
      </c>
      <c r="W16" s="614">
        <f t="shared" si="10"/>
        <v>-313.75697158855473</v>
      </c>
      <c r="X16" s="614">
        <f t="shared" si="10"/>
        <v>-918.468316721679</v>
      </c>
      <c r="Y16" s="614">
        <f t="shared" si="10"/>
        <v>-1538.6615426922071</v>
      </c>
      <c r="Z16" s="614">
        <f t="shared" si="10"/>
        <v>-2174.7279399177751</v>
      </c>
      <c r="AA16" s="614">
        <f t="shared" si="10"/>
        <v>-2827.0685272121227</v>
      </c>
      <c r="AB16" s="614">
        <f t="shared" si="10"/>
        <v>-3496.094288478027</v>
      </c>
      <c r="AC16" s="614">
        <f t="shared" si="10"/>
        <v>-4182.2264149898401</v>
      </c>
      <c r="AD16" s="614">
        <f t="shared" si="10"/>
        <v>-4885.89655339198</v>
      </c>
      <c r="AE16" s="614">
        <f t="shared" si="10"/>
        <v>-5607.5470595424558</v>
      </c>
      <c r="AF16" s="614">
        <f t="shared" si="10"/>
        <v>-6347.6312583329855</v>
      </c>
      <c r="AG16" s="614">
        <f t="shared" si="10"/>
        <v>-7106.6137096204511</v>
      </c>
      <c r="AH16" s="614">
        <f t="shared" si="10"/>
        <v>-7884.9704804066896</v>
      </c>
      <c r="AI16" s="614">
        <f t="shared" si="10"/>
        <v>-8683.189423407086</v>
      </c>
      <c r="AJ16" s="614">
        <f t="shared" si="10"/>
        <v>-9501.7704621507655</v>
      </c>
      <c r="AK16" s="614">
        <f t="shared" si="10"/>
        <v>-10341.225882758667</v>
      </c>
      <c r="AL16" s="614">
        <f t="shared" si="10"/>
        <v>-11202.080632548303</v>
      </c>
      <c r="AM16" s="614">
        <f t="shared" si="10"/>
        <v>-12084.872625617663</v>
      </c>
      <c r="AN16" s="614">
        <f t="shared" si="10"/>
        <v>-13086.548222992384</v>
      </c>
      <c r="AO16" s="614">
        <f t="shared" si="10"/>
        <v>-14116.771574892296</v>
      </c>
      <c r="AP16" s="614">
        <f t="shared" si="10"/>
        <v>-15176.356292321358</v>
      </c>
      <c r="AQ16" s="614">
        <f t="shared" si="10"/>
        <v>-16266.139174197142</v>
      </c>
      <c r="AR16" s="614">
        <f t="shared" si="10"/>
        <v>-17386.980868206392</v>
      </c>
      <c r="AS16" s="614">
        <f t="shared" si="10"/>
        <v>-18539.766550494907</v>
      </c>
      <c r="AT16" s="614">
        <f t="shared" si="10"/>
        <v>-19725.406624728628</v>
      </c>
      <c r="AU16" s="614">
        <f t="shared" si="10"/>
        <v>-20944.837441078027</v>
      </c>
      <c r="AV16" s="614">
        <f t="shared" si="10"/>
        <v>-22199.022035693375</v>
      </c>
      <c r="AW16" s="614">
        <f t="shared" si="10"/>
        <v>-23488.950891255266</v>
      </c>
      <c r="AX16" s="614">
        <f t="shared" si="10"/>
        <v>-24815.642719200663</v>
      </c>
      <c r="AY16" s="614">
        <f t="shared" si="10"/>
        <v>-26180.145264242517</v>
      </c>
      <c r="AZ16" s="614">
        <f t="shared" si="10"/>
        <v>-27583.53613181804</v>
      </c>
      <c r="BA16" s="614">
        <f t="shared" si="10"/>
        <v>-29026.92363911949</v>
      </c>
      <c r="BB16" s="614">
        <f t="shared" si="10"/>
        <v>-30511.447690379031</v>
      </c>
      <c r="BC16" s="614">
        <f t="shared" si="10"/>
        <v>-32038.280677099461</v>
      </c>
      <c r="BD16" s="614">
        <f t="shared" si="10"/>
        <v>-33608.628403941402</v>
      </c>
      <c r="BE16" s="614">
        <f t="shared" si="10"/>
        <v>-35223.731040998362</v>
      </c>
      <c r="BF16" s="614">
        <f t="shared" si="10"/>
        <v>-36884.864103211439</v>
      </c>
      <c r="BG16" s="614">
        <f t="shared" si="10"/>
        <v>-38593.339457697599</v>
      </c>
      <c r="BH16" s="614">
        <f t="shared" si="10"/>
        <v>-40350.506359786596</v>
      </c>
      <c r="BI16" s="614">
        <f t="shared" si="10"/>
        <v>-42157.752518585141</v>
      </c>
      <c r="BJ16" s="614">
        <f t="shared" si="10"/>
        <v>-44016.505192909448</v>
      </c>
      <c r="BK16" s="614">
        <f t="shared" si="10"/>
        <v>-45928.232318451992</v>
      </c>
      <c r="BL16" s="614">
        <f t="shared" si="10"/>
        <v>-47894.443667072497</v>
      </c>
      <c r="BM16" s="614">
        <f t="shared" si="10"/>
        <v>-49916.692039128684</v>
      </c>
      <c r="BN16" s="614">
        <f t="shared" si="10"/>
        <v>-51996.574489788472</v>
      </c>
      <c r="BO16" s="614">
        <f t="shared" si="10"/>
        <v>-54135.733590292075</v>
      </c>
      <c r="BP16" s="614">
        <f t="shared" si="10"/>
        <v>-56335.858725160026</v>
      </c>
      <c r="BQ16" s="614">
        <f t="shared" si="10"/>
        <v>-58598.687426371704</v>
      </c>
      <c r="BR16" s="614">
        <f t="shared" ref="BR16:CC16" si="11">BR15-BR14</f>
        <v>-60926.006745567938</v>
      </c>
      <c r="BS16" s="614">
        <f t="shared" si="11"/>
        <v>-63319.65466536126</v>
      </c>
      <c r="BT16" s="614">
        <f t="shared" si="11"/>
        <v>-65781.521550868667</v>
      </c>
      <c r="BU16" s="614">
        <f t="shared" si="11"/>
        <v>-68313.551642613063</v>
      </c>
      <c r="BV16" s="614">
        <f t="shared" si="11"/>
        <v>-70917.744591972136</v>
      </c>
      <c r="BW16" s="614">
        <f t="shared" si="11"/>
        <v>-73596.157040387989</v>
      </c>
      <c r="BX16" s="614">
        <f t="shared" si="11"/>
        <v>-76350.904243583675</v>
      </c>
      <c r="BY16" s="614">
        <f t="shared" si="11"/>
        <v>-79184.161742070442</v>
      </c>
      <c r="BZ16" s="614">
        <f t="shared" si="11"/>
        <v>-82098.167079264051</v>
      </c>
      <c r="CA16" s="614">
        <f t="shared" si="11"/>
        <v>-85095.221568567707</v>
      </c>
      <c r="CB16" s="614">
        <f t="shared" si="11"/>
        <v>-88177.692110816497</v>
      </c>
      <c r="CC16" s="614">
        <f t="shared" si="11"/>
        <v>-88177.692110816497</v>
      </c>
      <c r="CD16" s="614"/>
      <c r="CE16" s="614"/>
      <c r="CF16" s="614"/>
      <c r="CG16" s="614"/>
      <c r="CH16" s="614"/>
      <c r="CI16" s="614"/>
      <c r="CJ16" s="614"/>
      <c r="CK16" s="614"/>
      <c r="CL16" s="614"/>
      <c r="CM16" s="614"/>
      <c r="CN16" s="614"/>
      <c r="CO16" s="614"/>
      <c r="CP16" s="614"/>
      <c r="CQ16" s="614"/>
      <c r="CR16" s="614"/>
      <c r="CS16" s="614"/>
      <c r="CT16" s="614"/>
      <c r="CU16" s="614"/>
      <c r="CV16" s="614"/>
      <c r="CW16" s="614"/>
      <c r="CX16" s="614"/>
      <c r="CY16" s="614"/>
      <c r="CZ16" s="614"/>
    </row>
    <row r="17" spans="1:104" x14ac:dyDescent="0.25">
      <c r="B17" s="609" t="s">
        <v>312</v>
      </c>
      <c r="E17" s="614">
        <f>VLOOKUP(E4,'Dynamic Population'!$A$14:$L$97,12)*'Underlying Assumptions'!$E$9/1000000</f>
        <v>15869.206863725241</v>
      </c>
      <c r="F17" s="614">
        <f>VLOOKUP(F4,'Dynamic Population'!$A$14:$L$97,12)*'Underlying Assumptions'!$E$9/1000000</f>
        <v>16155.865722578708</v>
      </c>
      <c r="G17" s="614">
        <f>VLOOKUP(G4,'Dynamic Population'!$A$14:$L$97,12)*'Underlying Assumptions'!$E$9/1000000</f>
        <v>16445.974373111763</v>
      </c>
      <c r="H17" s="614">
        <f>VLOOKUP(H4,'Dynamic Population'!$A$14:$L$97,12)*'Underlying Assumptions'!$E$9/1000000</f>
        <v>16739.496614792039</v>
      </c>
      <c r="I17" s="614">
        <f>VLOOKUP(I4,'Dynamic Population'!$A$14:$L$97,12)*'Underlying Assumptions'!$E$9/1000000</f>
        <v>17036.391381563531</v>
      </c>
      <c r="J17" s="614">
        <f>VLOOKUP(J4,'Dynamic Population'!$A$14:$L$97,12)*'Underlying Assumptions'!$E$9/1000000</f>
        <v>17336.612493915629</v>
      </c>
      <c r="K17" s="614">
        <f>VLOOKUP(K4,'Dynamic Population'!$A$14:$L$97,12)*'Underlying Assumptions'!$E$9/1000000</f>
        <v>17640.108400772126</v>
      </c>
      <c r="L17" s="614">
        <f>VLOOKUP(L4,'Dynamic Population'!$A$14:$L$97,12)*'Underlying Assumptions'!$E$9/1000000</f>
        <v>17946.821910821258</v>
      </c>
      <c r="M17" s="614">
        <f>VLOOKUP(M4,'Dynamic Population'!$A$14:$L$97,12)*'Underlying Assumptions'!$E$9/1000000</f>
        <v>18256.689912894664</v>
      </c>
      <c r="N17" s="614">
        <f>VLOOKUP(N4,'Dynamic Population'!$A$14:$L$97,12)*'Underlying Assumptions'!$E$9/1000000</f>
        <v>18569.643084989188</v>
      </c>
      <c r="O17" s="614">
        <f>VLOOKUP(O4,'Dynamic Population'!$A$14:$L$97,12)*'Underlying Assumptions'!$E$9/1000000</f>
        <v>19051.130718129105</v>
      </c>
      <c r="P17" s="614">
        <f>VLOOKUP(P4,'Dynamic Population'!$A$14:$L$97,12)*'Underlying Assumptions'!$E$9/1000000</f>
        <v>19544.979953762209</v>
      </c>
      <c r="Q17" s="614">
        <f>VLOOKUP(Q4,'Dynamic Population'!$A$14:$L$97,12)*'Underlying Assumptions'!$E$9/1000000</f>
        <v>20051.504314900605</v>
      </c>
      <c r="R17" s="614">
        <f>VLOOKUP(R4,'Dynamic Population'!$A$14:$L$97,12)*'Underlying Assumptions'!$E$9/1000000</f>
        <v>20571.02515465644</v>
      </c>
      <c r="S17" s="614">
        <f>VLOOKUP(S4,'Dynamic Population'!$A$14:$L$97,12)*'Underlying Assumptions'!$E$9/1000000</f>
        <v>21103.871847898587</v>
      </c>
      <c r="T17" s="614">
        <f>VLOOKUP(T4,'Dynamic Population'!$A$14:$L$97,12)*'Underlying Assumptions'!$E$9/1000000</f>
        <v>21650.381987473658</v>
      </c>
      <c r="U17" s="614">
        <f>VLOOKUP(U4,'Dynamic Population'!$A$14:$L$97,12)*'Underlying Assumptions'!$E$9/1000000</f>
        <v>22210.901585096057</v>
      </c>
      <c r="V17" s="614">
        <f>VLOOKUP(V4,'Dynamic Population'!$A$14:$L$97,12)*'Underlying Assumptions'!$E$9/1000000</f>
        <v>22785.785277013609</v>
      </c>
      <c r="W17" s="614">
        <f>VLOOKUP(W4,'Dynamic Population'!$A$14:$L$97,12)*'Underlying Assumptions'!$E$9/1000000</f>
        <v>23375.39653455796</v>
      </c>
      <c r="X17" s="614">
        <f>VLOOKUP(X4,'Dynamic Population'!$A$14:$L$97,12)*'Underlying Assumptions'!$E$9/1000000</f>
        <v>23980.107879691084</v>
      </c>
      <c r="Y17" s="614">
        <f>VLOOKUP(Y4,'Dynamic Population'!$A$14:$L$97,12)*'Underlying Assumptions'!$E$9/1000000</f>
        <v>24600.301105661612</v>
      </c>
      <c r="Z17" s="614">
        <f>VLOOKUP(Z4,'Dynamic Population'!$A$14:$L$97,12)*'Underlying Assumptions'!$E$9/1000000</f>
        <v>25236.36750288718</v>
      </c>
      <c r="AA17" s="614">
        <f>VLOOKUP(AA4,'Dynamic Population'!$A$14:$L$97,12)*'Underlying Assumptions'!$E$9/1000000</f>
        <v>25888.708090181528</v>
      </c>
      <c r="AB17" s="614">
        <f>VLOOKUP(AB4,'Dynamic Population'!$A$14:$L$97,12)*'Underlying Assumptions'!$E$9/1000000</f>
        <v>26557.733851447432</v>
      </c>
      <c r="AC17" s="614">
        <f>VLOOKUP(AC4,'Dynamic Population'!$A$14:$L$97,12)*'Underlying Assumptions'!$E$9/1000000</f>
        <v>27243.865977959245</v>
      </c>
      <c r="AD17" s="614">
        <f>VLOOKUP(AD4,'Dynamic Population'!$A$14:$L$97,12)*'Underlying Assumptions'!$E$9/1000000</f>
        <v>27947.536116361385</v>
      </c>
      <c r="AE17" s="614">
        <f>VLOOKUP(AE4,'Dynamic Population'!$A$14:$L$97,12)*'Underlying Assumptions'!$E$9/1000000</f>
        <v>28669.186622511861</v>
      </c>
      <c r="AF17" s="614">
        <f>VLOOKUP(AF4,'Dynamic Population'!$A$14:$L$97,12)*'Underlying Assumptions'!$E$9/1000000</f>
        <v>29409.270821302391</v>
      </c>
      <c r="AG17" s="614">
        <f>VLOOKUP(AG4,'Dynamic Population'!$A$14:$L$97,12)*'Underlying Assumptions'!$E$9/1000000</f>
        <v>30168.253272589856</v>
      </c>
      <c r="AH17" s="614">
        <f>VLOOKUP(AH4,'Dynamic Population'!$A$14:$L$97,12)*'Underlying Assumptions'!$E$9/1000000</f>
        <v>30946.610043376095</v>
      </c>
      <c r="AI17" s="614">
        <f>VLOOKUP(AI4,'Dynamic Population'!$A$14:$L$97,12)*'Underlying Assumptions'!$E$9/1000000</f>
        <v>31744.828986376491</v>
      </c>
      <c r="AJ17" s="614">
        <f>VLOOKUP(AJ4,'Dynamic Population'!$A$14:$L$97,12)*'Underlying Assumptions'!$E$9/1000000</f>
        <v>32563.410025120171</v>
      </c>
      <c r="AK17" s="614">
        <f>VLOOKUP(AK4,'Dynamic Population'!$A$14:$L$97,12)*'Underlying Assumptions'!$E$9/1000000</f>
        <v>33402.865445728072</v>
      </c>
      <c r="AL17" s="614">
        <f>VLOOKUP(AL4,'Dynamic Population'!$A$14:$L$97,12)*'Underlying Assumptions'!$E$9/1000000</f>
        <v>34263.720195517708</v>
      </c>
      <c r="AM17" s="614">
        <f>VLOOKUP(AM4,'Dynamic Population'!$A$14:$L$97,12)*'Underlying Assumptions'!$E$9/1000000</f>
        <v>35146.512188587069</v>
      </c>
      <c r="AN17" s="614">
        <f>VLOOKUP(AN4,'Dynamic Population'!$A$14:$L$97,12)*'Underlying Assumptions'!$E$9/1000000</f>
        <v>36148.187785961789</v>
      </c>
      <c r="AO17" s="614">
        <f>VLOOKUP(AO4,'Dynamic Population'!$A$14:$L$97,12)*'Underlying Assumptions'!$E$9/1000000</f>
        <v>37178.411137861702</v>
      </c>
      <c r="AP17" s="614">
        <f>VLOOKUP(AP4,'Dynamic Population'!$A$14:$L$97,12)*'Underlying Assumptions'!$E$9/1000000</f>
        <v>38237.995855290763</v>
      </c>
      <c r="AQ17" s="614">
        <f>VLOOKUP(AQ4,'Dynamic Population'!$A$14:$L$97,12)*'Underlying Assumptions'!$E$9/1000000</f>
        <v>39327.778737166547</v>
      </c>
      <c r="AR17" s="614">
        <f>VLOOKUP(AR4,'Dynamic Population'!$A$14:$L$97,12)*'Underlying Assumptions'!$E$9/1000000</f>
        <v>40448.620431175797</v>
      </c>
      <c r="AS17" s="614">
        <f>VLOOKUP(AS4,'Dynamic Population'!$A$14:$L$97,12)*'Underlying Assumptions'!$E$9/1000000</f>
        <v>41601.406113464313</v>
      </c>
      <c r="AT17" s="614">
        <f>VLOOKUP(AT4,'Dynamic Population'!$A$14:$L$97,12)*'Underlying Assumptions'!$E$9/1000000</f>
        <v>42787.046187698033</v>
      </c>
      <c r="AU17" s="614">
        <f>VLOOKUP(AU4,'Dynamic Population'!$A$14:$L$97,12)*'Underlying Assumptions'!$E$9/1000000</f>
        <v>44006.477004047432</v>
      </c>
      <c r="AV17" s="614">
        <f>VLOOKUP(AV4,'Dynamic Population'!$A$14:$L$97,12)*'Underlying Assumptions'!$E$9/1000000</f>
        <v>45260.66159866278</v>
      </c>
      <c r="AW17" s="614">
        <f>VLOOKUP(AW4,'Dynamic Population'!$A$14:$L$97,12)*'Underlying Assumptions'!$E$9/1000000</f>
        <v>46550.590454224672</v>
      </c>
      <c r="AX17" s="614">
        <f>VLOOKUP(AX4,'Dynamic Population'!$A$14:$L$97,12)*'Underlying Assumptions'!$E$9/1000000</f>
        <v>47877.282282170068</v>
      </c>
      <c r="AY17" s="614">
        <f>VLOOKUP(AY4,'Dynamic Population'!$A$14:$L$97,12)*'Underlying Assumptions'!$E$9/1000000</f>
        <v>49241.784827211923</v>
      </c>
      <c r="AZ17" s="614">
        <f>VLOOKUP(AZ4,'Dynamic Population'!$A$14:$L$97,12)*'Underlying Assumptions'!$E$9/1000000</f>
        <v>50645.175694787446</v>
      </c>
      <c r="BA17" s="614">
        <f>VLOOKUP(BA4,'Dynamic Population'!$A$14:$L$97,12)*'Underlying Assumptions'!$E$9/1000000</f>
        <v>52088.563202088895</v>
      </c>
      <c r="BB17" s="614">
        <f>VLOOKUP(BB4,'Dynamic Population'!$A$14:$L$97,12)*'Underlying Assumptions'!$E$9/1000000</f>
        <v>53573.087253348436</v>
      </c>
      <c r="BC17" s="614">
        <f>VLOOKUP(BC4,'Dynamic Population'!$A$14:$L$97,12)*'Underlying Assumptions'!$E$9/1000000</f>
        <v>55099.920240068866</v>
      </c>
      <c r="BD17" s="614">
        <f>VLOOKUP(BD4,'Dynamic Population'!$A$14:$L$97,12)*'Underlying Assumptions'!$E$9/1000000</f>
        <v>56670.267966910811</v>
      </c>
      <c r="BE17" s="614">
        <f>VLOOKUP(BE4,'Dynamic Population'!$A$14:$L$97,12)*'Underlying Assumptions'!$E$9/1000000</f>
        <v>58285.370603967764</v>
      </c>
      <c r="BF17" s="614">
        <f>VLOOKUP(BF4,'Dynamic Population'!$A$14:$L$97,12)*'Underlying Assumptions'!$E$9/1000000</f>
        <v>59946.503666180848</v>
      </c>
      <c r="BG17" s="614">
        <f>VLOOKUP(BG4,'Dynamic Population'!$A$14:$L$97,12)*'Underlying Assumptions'!$E$9/1000000</f>
        <v>61654.979020667</v>
      </c>
      <c r="BH17" s="614">
        <f>VLOOKUP(BH4,'Dynamic Population'!$A$14:$L$97,12)*'Underlying Assumptions'!$E$9/1000000</f>
        <v>63412.145922756004</v>
      </c>
      <c r="BI17" s="614">
        <f>VLOOKUP(BI4,'Dynamic Population'!$A$14:$L$97,12)*'Underlying Assumptions'!$E$9/1000000</f>
        <v>65219.39208155455</v>
      </c>
      <c r="BJ17" s="614">
        <f>VLOOKUP(BJ4,'Dynamic Population'!$A$14:$L$97,12)*'Underlying Assumptions'!$E$9/1000000</f>
        <v>67078.14475587885</v>
      </c>
      <c r="BK17" s="614">
        <f>VLOOKUP(BK4,'Dynamic Population'!$A$14:$L$97,12)*'Underlying Assumptions'!$E$9/1000000</f>
        <v>68989.871881421393</v>
      </c>
      <c r="BL17" s="614">
        <f>VLOOKUP(BL4,'Dynamic Population'!$A$14:$L$97,12)*'Underlying Assumptions'!$E$9/1000000</f>
        <v>70956.083230041899</v>
      </c>
      <c r="BM17" s="614">
        <f>VLOOKUP(BM4,'Dynamic Population'!$A$14:$L$97,12)*'Underlying Assumptions'!$E$9/1000000</f>
        <v>72978.331602098086</v>
      </c>
      <c r="BN17" s="614">
        <f>VLOOKUP(BN4,'Dynamic Population'!$A$14:$L$97,12)*'Underlying Assumptions'!$E$9/1000000</f>
        <v>75058.214052757874</v>
      </c>
      <c r="BO17" s="614">
        <f>VLOOKUP(BO4,'Dynamic Population'!$A$14:$L$97,12)*'Underlying Assumptions'!$E$9/1000000</f>
        <v>77197.373153261477</v>
      </c>
      <c r="BP17" s="614">
        <f>VLOOKUP(BP4,'Dynamic Population'!$A$14:$L$97,12)*'Underlying Assumptions'!$E$9/1000000</f>
        <v>79397.498288129427</v>
      </c>
      <c r="BQ17" s="614">
        <f>VLOOKUP(BQ4,'Dynamic Population'!$A$14:$L$97,12)*'Underlying Assumptions'!$E$9/1000000</f>
        <v>81660.326989341105</v>
      </c>
      <c r="BR17" s="614">
        <f>VLOOKUP(BR4,'Dynamic Population'!$A$14:$L$97,12)*'Underlying Assumptions'!$E$9/1000000</f>
        <v>83987.64630853734</v>
      </c>
      <c r="BS17" s="614">
        <f>VLOOKUP(BS4,'Dynamic Population'!$A$14:$L$97,12)*'Underlying Assumptions'!$E$9/1000000</f>
        <v>86381.294228330662</v>
      </c>
      <c r="BT17" s="614">
        <f>VLOOKUP(BT4,'Dynamic Population'!$A$14:$L$97,12)*'Underlying Assumptions'!$E$9/1000000</f>
        <v>88843.161113838069</v>
      </c>
      <c r="BU17" s="614">
        <f>VLOOKUP(BU4,'Dynamic Population'!$A$14:$L$97,12)*'Underlying Assumptions'!$E$9/1000000</f>
        <v>91375.191205582465</v>
      </c>
      <c r="BV17" s="614">
        <f>VLOOKUP(BV4,'Dynamic Population'!$A$14:$L$97,12)*'Underlying Assumptions'!$E$9/1000000</f>
        <v>93979.384154941537</v>
      </c>
      <c r="BW17" s="614">
        <f>VLOOKUP(BW4,'Dynamic Population'!$A$14:$L$97,12)*'Underlying Assumptions'!$E$9/1000000</f>
        <v>96657.79660335739</v>
      </c>
      <c r="BX17" s="614">
        <f>VLOOKUP(BX4,'Dynamic Population'!$A$14:$L$97,12)*'Underlying Assumptions'!$E$9/1000000</f>
        <v>99412.543806553076</v>
      </c>
      <c r="BY17" s="614">
        <f>VLOOKUP(BY4,'Dynamic Population'!$A$14:$L$97,12)*'Underlying Assumptions'!$E$9/1000000</f>
        <v>102245.80130503984</v>
      </c>
      <c r="BZ17" s="614">
        <f>VLOOKUP(BZ4,'Dynamic Population'!$A$14:$L$97,12)*'Underlying Assumptions'!$E$9/1000000</f>
        <v>105159.80664223345</v>
      </c>
      <c r="CA17" s="614">
        <f>VLOOKUP(CA4,'Dynamic Population'!$A$14:$L$97,12)*'Underlying Assumptions'!$E$9/1000000</f>
        <v>108156.86113153711</v>
      </c>
      <c r="CB17" s="614">
        <f>VLOOKUP(CB4,'Dynamic Population'!$A$14:$L$97,12)*'Underlying Assumptions'!$E$9/1000000</f>
        <v>111239.3316737859</v>
      </c>
      <c r="CC17" s="614">
        <f>VLOOKUP(CC4,'Dynamic Population'!$A$14:$L$97,12)*'Underlying Assumptions'!$E$9/1000000</f>
        <v>111239.3316737859</v>
      </c>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row>
    <row r="18" spans="1:104" x14ac:dyDescent="0.25">
      <c r="B18" s="609" t="s">
        <v>313</v>
      </c>
      <c r="E18" s="614">
        <f>E17-C18</f>
        <v>15869.206863725241</v>
      </c>
      <c r="F18" s="614">
        <f>F17-E17</f>
        <v>286.65885885346688</v>
      </c>
      <c r="G18" s="614">
        <f t="shared" ref="G18:BR18" si="12">G17-F17</f>
        <v>290.10865053305497</v>
      </c>
      <c r="H18" s="614">
        <f t="shared" si="12"/>
        <v>293.52224168027533</v>
      </c>
      <c r="I18" s="614">
        <f t="shared" si="12"/>
        <v>296.89476677149287</v>
      </c>
      <c r="J18" s="614">
        <f t="shared" si="12"/>
        <v>300.22111235209741</v>
      </c>
      <c r="K18" s="614">
        <f t="shared" si="12"/>
        <v>303.49590685649673</v>
      </c>
      <c r="L18" s="614">
        <f t="shared" si="12"/>
        <v>306.71351004913231</v>
      </c>
      <c r="M18" s="614">
        <f t="shared" si="12"/>
        <v>309.86800207340639</v>
      </c>
      <c r="N18" s="614">
        <f t="shared" si="12"/>
        <v>312.95317209452332</v>
      </c>
      <c r="O18" s="614">
        <f t="shared" si="12"/>
        <v>481.48763313991731</v>
      </c>
      <c r="P18" s="614">
        <f t="shared" si="12"/>
        <v>493.8492356331044</v>
      </c>
      <c r="Q18" s="614">
        <f t="shared" si="12"/>
        <v>506.52436113839576</v>
      </c>
      <c r="R18" s="614">
        <f t="shared" si="12"/>
        <v>519.52083975583446</v>
      </c>
      <c r="S18" s="614">
        <f t="shared" si="12"/>
        <v>532.84669324214701</v>
      </c>
      <c r="T18" s="614">
        <f t="shared" si="12"/>
        <v>546.51013957507166</v>
      </c>
      <c r="U18" s="614">
        <f t="shared" si="12"/>
        <v>560.51959762239858</v>
      </c>
      <c r="V18" s="614">
        <f t="shared" si="12"/>
        <v>574.88369191755191</v>
      </c>
      <c r="W18" s="614">
        <f t="shared" si="12"/>
        <v>589.61125754435125</v>
      </c>
      <c r="X18" s="614">
        <f t="shared" si="12"/>
        <v>604.71134513312427</v>
      </c>
      <c r="Y18" s="614">
        <f t="shared" si="12"/>
        <v>620.19322597052815</v>
      </c>
      <c r="Z18" s="614">
        <f t="shared" si="12"/>
        <v>636.06639722556793</v>
      </c>
      <c r="AA18" s="614">
        <f t="shared" si="12"/>
        <v>652.34058729434764</v>
      </c>
      <c r="AB18" s="614">
        <f t="shared" si="12"/>
        <v>669.02576126590429</v>
      </c>
      <c r="AC18" s="614">
        <f t="shared" si="12"/>
        <v>686.13212651181311</v>
      </c>
      <c r="AD18" s="614">
        <f t="shared" si="12"/>
        <v>703.67013840213986</v>
      </c>
      <c r="AE18" s="614">
        <f t="shared" si="12"/>
        <v>721.65050615047585</v>
      </c>
      <c r="AF18" s="614">
        <f t="shared" si="12"/>
        <v>740.08419879052963</v>
      </c>
      <c r="AG18" s="614">
        <f t="shared" si="12"/>
        <v>758.98245128746566</v>
      </c>
      <c r="AH18" s="614">
        <f t="shared" si="12"/>
        <v>778.35677078623849</v>
      </c>
      <c r="AI18" s="614">
        <f t="shared" si="12"/>
        <v>798.21894300039639</v>
      </c>
      <c r="AJ18" s="614">
        <f t="shared" si="12"/>
        <v>818.58103874367953</v>
      </c>
      <c r="AK18" s="614">
        <f t="shared" si="12"/>
        <v>839.45542060790103</v>
      </c>
      <c r="AL18" s="614">
        <f t="shared" si="12"/>
        <v>860.85474978963612</v>
      </c>
      <c r="AM18" s="614">
        <f t="shared" si="12"/>
        <v>882.79199306936061</v>
      </c>
      <c r="AN18" s="614">
        <f t="shared" si="12"/>
        <v>1001.6755973747204</v>
      </c>
      <c r="AO18" s="614">
        <f t="shared" si="12"/>
        <v>1030.2233518999128</v>
      </c>
      <c r="AP18" s="614">
        <f t="shared" si="12"/>
        <v>1059.5847174290611</v>
      </c>
      <c r="AQ18" s="614">
        <f t="shared" si="12"/>
        <v>1089.7828818757844</v>
      </c>
      <c r="AR18" s="614">
        <f t="shared" si="12"/>
        <v>1120.8416940092502</v>
      </c>
      <c r="AS18" s="614">
        <f t="shared" si="12"/>
        <v>1152.7856822885151</v>
      </c>
      <c r="AT18" s="614">
        <f t="shared" si="12"/>
        <v>1185.640074233721</v>
      </c>
      <c r="AU18" s="614">
        <f t="shared" si="12"/>
        <v>1219.4308163493988</v>
      </c>
      <c r="AV18" s="614">
        <f t="shared" si="12"/>
        <v>1254.184594615348</v>
      </c>
      <c r="AW18" s="614">
        <f t="shared" si="12"/>
        <v>1289.9288555618914</v>
      </c>
      <c r="AX18" s="614">
        <f t="shared" si="12"/>
        <v>1326.6918279453967</v>
      </c>
      <c r="AY18" s="614">
        <f t="shared" si="12"/>
        <v>1364.5025450418543</v>
      </c>
      <c r="AZ18" s="614">
        <f t="shared" si="12"/>
        <v>1403.3908675755229</v>
      </c>
      <c r="BA18" s="614">
        <f t="shared" si="12"/>
        <v>1443.3875073014497</v>
      </c>
      <c r="BB18" s="614">
        <f t="shared" si="12"/>
        <v>1484.524051259541</v>
      </c>
      <c r="BC18" s="614">
        <f t="shared" si="12"/>
        <v>1526.8329867204302</v>
      </c>
      <c r="BD18" s="614">
        <f t="shared" si="12"/>
        <v>1570.3477268419447</v>
      </c>
      <c r="BE18" s="614">
        <f t="shared" si="12"/>
        <v>1615.1026370569525</v>
      </c>
      <c r="BF18" s="614">
        <f t="shared" si="12"/>
        <v>1661.1330622130845</v>
      </c>
      <c r="BG18" s="614">
        <f t="shared" si="12"/>
        <v>1708.4753544861524</v>
      </c>
      <c r="BH18" s="614">
        <f t="shared" si="12"/>
        <v>1757.166902089004</v>
      </c>
      <c r="BI18" s="614">
        <f t="shared" si="12"/>
        <v>1807.2461587985454</v>
      </c>
      <c r="BJ18" s="614">
        <f t="shared" si="12"/>
        <v>1858.7526743242997</v>
      </c>
      <c r="BK18" s="614">
        <f t="shared" si="12"/>
        <v>1911.7271255425439</v>
      </c>
      <c r="BL18" s="614">
        <f t="shared" si="12"/>
        <v>1966.2113486205053</v>
      </c>
      <c r="BM18" s="614">
        <f t="shared" si="12"/>
        <v>2022.2483720561868</v>
      </c>
      <c r="BN18" s="614">
        <f t="shared" si="12"/>
        <v>2079.8824506597884</v>
      </c>
      <c r="BO18" s="614">
        <f t="shared" si="12"/>
        <v>2139.1591005036025</v>
      </c>
      <c r="BP18" s="614">
        <f t="shared" si="12"/>
        <v>2200.1251348679507</v>
      </c>
      <c r="BQ18" s="614">
        <f t="shared" si="12"/>
        <v>2262.828701211678</v>
      </c>
      <c r="BR18" s="614">
        <f t="shared" si="12"/>
        <v>2327.3193191962346</v>
      </c>
      <c r="BS18" s="614">
        <f t="shared" ref="BS18:CM18" si="13">BS17-BR17</f>
        <v>2393.6479197933222</v>
      </c>
      <c r="BT18" s="614">
        <f t="shared" si="13"/>
        <v>2461.8668855074066</v>
      </c>
      <c r="BU18" s="614">
        <f t="shared" si="13"/>
        <v>2532.0300917443965</v>
      </c>
      <c r="BV18" s="614">
        <f t="shared" si="13"/>
        <v>2604.1929493590724</v>
      </c>
      <c r="BW18" s="614">
        <f t="shared" si="13"/>
        <v>2678.4124484158529</v>
      </c>
      <c r="BX18" s="614">
        <f t="shared" si="13"/>
        <v>2754.7472031956859</v>
      </c>
      <c r="BY18" s="614">
        <f t="shared" si="13"/>
        <v>2833.2574984867679</v>
      </c>
      <c r="BZ18" s="614">
        <f t="shared" si="13"/>
        <v>2914.0053371936083</v>
      </c>
      <c r="CA18" s="614">
        <f t="shared" si="13"/>
        <v>2997.0544893036567</v>
      </c>
      <c r="CB18" s="614">
        <f t="shared" si="13"/>
        <v>3082.4705422487896</v>
      </c>
      <c r="CC18" s="614">
        <f t="shared" si="13"/>
        <v>0</v>
      </c>
      <c r="CD18" s="614">
        <f t="shared" si="13"/>
        <v>-111239.3316737859</v>
      </c>
      <c r="CE18" s="614">
        <f t="shared" si="13"/>
        <v>0</v>
      </c>
      <c r="CF18" s="614">
        <f t="shared" si="13"/>
        <v>0</v>
      </c>
      <c r="CG18" s="614">
        <f t="shared" si="13"/>
        <v>0</v>
      </c>
      <c r="CH18" s="614">
        <f t="shared" si="13"/>
        <v>0</v>
      </c>
      <c r="CI18" s="614">
        <f t="shared" si="13"/>
        <v>0</v>
      </c>
      <c r="CJ18" s="614">
        <f t="shared" si="13"/>
        <v>0</v>
      </c>
      <c r="CK18" s="614">
        <f t="shared" si="13"/>
        <v>0</v>
      </c>
      <c r="CL18" s="614">
        <f t="shared" si="13"/>
        <v>0</v>
      </c>
      <c r="CM18" s="614">
        <f t="shared" si="13"/>
        <v>0</v>
      </c>
      <c r="CN18" s="614"/>
      <c r="CO18" s="614"/>
      <c r="CP18" s="614"/>
      <c r="CQ18" s="614"/>
      <c r="CR18" s="614"/>
      <c r="CS18" s="614"/>
      <c r="CT18" s="614"/>
      <c r="CU18" s="614"/>
      <c r="CV18" s="614"/>
      <c r="CW18" s="614"/>
      <c r="CX18" s="614"/>
      <c r="CY18" s="614"/>
      <c r="CZ18" s="614"/>
    </row>
    <row r="19" spans="1:104" s="754" customFormat="1" x14ac:dyDescent="0.25">
      <c r="B19" s="759" t="s">
        <v>318</v>
      </c>
      <c r="C19" s="759"/>
      <c r="E19" s="758">
        <f>VLOOKUP(E$4,'Dynamic Population'!$A$14:$AA$97,19,FALSE)*'Underlying Assumptions'!$E$9/1000000</f>
        <v>20275.609848683933</v>
      </c>
      <c r="F19" s="758">
        <f>VLOOKUP(F$4,'Dynamic Population'!$A$14:$AA$97,19,FALSE)*'Underlying Assumptions'!$E$9/1000000</f>
        <v>21823.404134398086</v>
      </c>
      <c r="G19" s="758">
        <f>VLOOKUP(G$4,'Dynamic Population'!$A$14:$AA$97,19,FALSE)*'Underlying Assumptions'!$E$9/1000000</f>
        <v>21823.404134398086</v>
      </c>
      <c r="H19" s="758">
        <f>VLOOKUP(H$4,'Dynamic Population'!$A$14:$AA$97,19,FALSE)*'Underlying Assumptions'!$E$9/1000000</f>
        <v>21823.404134398086</v>
      </c>
      <c r="I19" s="758">
        <f>VLOOKUP(I$4,'Dynamic Population'!$A$14:$AA$97,19,FALSE)*'Underlying Assumptions'!$E$9/1000000</f>
        <v>21823.404134398086</v>
      </c>
      <c r="J19" s="758">
        <f>VLOOKUP(J$4,'Dynamic Population'!$A$14:$AA$97,19,FALSE)*'Underlying Assumptions'!$E$9/1000000</f>
        <v>23061.639562969405</v>
      </c>
      <c r="K19" s="758">
        <f>VLOOKUP(K$4,'Dynamic Population'!$A$14:$AA$97,19,FALSE)*'Underlying Assumptions'!$E$9/1000000</f>
        <v>23061.639562969405</v>
      </c>
      <c r="L19" s="758">
        <f>VLOOKUP(L$4,'Dynamic Population'!$A$14:$AA$97,19,FALSE)*'Underlying Assumptions'!$E$9/1000000</f>
        <v>23061.639562969405</v>
      </c>
      <c r="M19" s="758">
        <f>VLOOKUP(M$4,'Dynamic Population'!$A$14:$AA$97,19,FALSE)*'Underlying Assumptions'!$E$9/1000000</f>
        <v>23061.639562969405</v>
      </c>
      <c r="N19" s="758">
        <f>VLOOKUP(N$4,'Dynamic Population'!$A$14:$AA$97,19,FALSE)*'Underlying Assumptions'!$E$9/1000000</f>
        <v>23061.639562969405</v>
      </c>
      <c r="O19" s="758">
        <f>VLOOKUP(O$4,'Dynamic Population'!$A$14:$AA$97,19,FALSE)*'Underlying Assumptions'!$E$9/1000000</f>
        <v>23061.639562969405</v>
      </c>
      <c r="P19" s="758">
        <f>VLOOKUP(P$4,'Dynamic Population'!$A$14:$AA$97,19,FALSE)*'Underlying Assumptions'!$E$9/1000000</f>
        <v>23061.639562969405</v>
      </c>
      <c r="Q19" s="758">
        <f>VLOOKUP(Q$4,'Dynamic Population'!$A$14:$AA$97,19,FALSE)*'Underlying Assumptions'!$E$9/1000000</f>
        <v>23061.639562969405</v>
      </c>
      <c r="R19" s="758">
        <f>VLOOKUP(R$4,'Dynamic Population'!$A$14:$AA$97,19,FALSE)*'Underlying Assumptions'!$E$9/1000000</f>
        <v>23061.639562969405</v>
      </c>
      <c r="S19" s="758">
        <f>VLOOKUP(S$4,'Dynamic Population'!$A$14:$AA$97,19,FALSE)*'Underlying Assumptions'!$E$9/1000000</f>
        <v>23061.639562969405</v>
      </c>
      <c r="T19" s="758">
        <f>VLOOKUP(T$4,'Dynamic Population'!$A$14:$AA$97,19,FALSE)*'Underlying Assumptions'!$E$9/1000000</f>
        <v>23061.639562969405</v>
      </c>
      <c r="U19" s="758">
        <f>VLOOKUP(U$4,'Dynamic Population'!$A$14:$AA$97,19,FALSE)*'Underlying Assumptions'!$E$9/1000000</f>
        <v>23061.639562969405</v>
      </c>
      <c r="V19" s="758">
        <f>VLOOKUP(V$4,'Dynamic Population'!$A$14:$AA$97,19,FALSE)*'Underlying Assumptions'!$E$9/1000000</f>
        <v>23061.639562969405</v>
      </c>
      <c r="W19" s="758">
        <f>VLOOKUP(W$4,'Dynamic Population'!$A$14:$AA$97,19,FALSE)*'Underlying Assumptions'!$E$9/1000000</f>
        <v>23061.639562969405</v>
      </c>
      <c r="X19" s="758">
        <f>VLOOKUP(X$4,'Dynamic Population'!$A$14:$AA$97,19,FALSE)*'Underlying Assumptions'!$E$9/1000000</f>
        <v>23061.639562969405</v>
      </c>
      <c r="Y19" s="758">
        <f>VLOOKUP(Y$4,'Dynamic Population'!$A$14:$AA$97,19,FALSE)*'Underlying Assumptions'!$E$9/1000000</f>
        <v>23061.639562969405</v>
      </c>
      <c r="Z19" s="758">
        <f>VLOOKUP(Z$4,'Dynamic Population'!$A$14:$AA$97,19,FALSE)*'Underlying Assumptions'!$E$9/1000000</f>
        <v>23061.639562969405</v>
      </c>
      <c r="AA19" s="758">
        <f>VLOOKUP(AA$4,'Dynamic Population'!$A$14:$AA$97,19,FALSE)*'Underlying Assumptions'!$E$9/1000000</f>
        <v>23061.639562969405</v>
      </c>
      <c r="AB19" s="758">
        <f>VLOOKUP(AB$4,'Dynamic Population'!$A$14:$AA$97,19,FALSE)*'Underlying Assumptions'!$E$9/1000000</f>
        <v>23061.639562969405</v>
      </c>
      <c r="AC19" s="758">
        <f>VLOOKUP(AC$4,'Dynamic Population'!$A$14:$AA$97,19,FALSE)*'Underlying Assumptions'!$E$9/1000000</f>
        <v>23061.639562969405</v>
      </c>
      <c r="AD19" s="758">
        <f>VLOOKUP(AD$4,'Dynamic Population'!$A$14:$AA$97,19,FALSE)*'Underlying Assumptions'!$E$9/1000000</f>
        <v>23061.639562969405</v>
      </c>
      <c r="AE19" s="758">
        <f>VLOOKUP(AE$4,'Dynamic Population'!$A$14:$AA$97,19,FALSE)*'Underlying Assumptions'!$E$9/1000000</f>
        <v>23061.639562969405</v>
      </c>
      <c r="AF19" s="758">
        <f>VLOOKUP(AF$4,'Dynamic Population'!$A$14:$AA$97,19,FALSE)*'Underlying Assumptions'!$E$9/1000000</f>
        <v>23061.639562969405</v>
      </c>
      <c r="AG19" s="758">
        <f>VLOOKUP(AG$4,'Dynamic Population'!$A$14:$AA$97,19,FALSE)*'Underlying Assumptions'!$E$9/1000000</f>
        <v>23061.639562969405</v>
      </c>
      <c r="AH19" s="758">
        <f>VLOOKUP(AH$4,'Dynamic Population'!$A$14:$AA$97,19,FALSE)*'Underlying Assumptions'!$E$9/1000000</f>
        <v>23061.639562969405</v>
      </c>
      <c r="AI19" s="758">
        <f>VLOOKUP(AI$4,'Dynamic Population'!$A$14:$AA$97,19,FALSE)*'Underlying Assumptions'!$E$9/1000000</f>
        <v>23061.639562969405</v>
      </c>
      <c r="AJ19" s="758">
        <f>VLOOKUP(AJ$4,'Dynamic Population'!$A$14:$AA$97,19,FALSE)*'Underlying Assumptions'!$E$9/1000000</f>
        <v>23061.639562969405</v>
      </c>
      <c r="AK19" s="758">
        <f>VLOOKUP(AK$4,'Dynamic Population'!$A$14:$AA$97,19,FALSE)*'Underlying Assumptions'!$E$9/1000000</f>
        <v>23061.639562969405</v>
      </c>
      <c r="AL19" s="758">
        <f>VLOOKUP(AL$4,'Dynamic Population'!$A$14:$AA$97,19,FALSE)*'Underlying Assumptions'!$E$9/1000000</f>
        <v>23061.639562969405</v>
      </c>
      <c r="AM19" s="758">
        <f>VLOOKUP(AM$4,'Dynamic Population'!$A$14:$AA$97,19,FALSE)*'Underlying Assumptions'!$E$9/1000000</f>
        <v>23061.639562969405</v>
      </c>
      <c r="AN19" s="758">
        <f>VLOOKUP(AN$4,'Dynamic Population'!$A$14:$AA$97,19,FALSE)*'Underlying Assumptions'!$E$9/1000000</f>
        <v>23061.639562969405</v>
      </c>
      <c r="AO19" s="758">
        <f>VLOOKUP(AO$4,'Dynamic Population'!$A$14:$AA$97,19,FALSE)*'Underlying Assumptions'!$E$9/1000000</f>
        <v>23061.639562969405</v>
      </c>
      <c r="AP19" s="758">
        <f>VLOOKUP(AP$4,'Dynamic Population'!$A$14:$AA$97,19,FALSE)*'Underlying Assumptions'!$E$9/1000000</f>
        <v>23061.639562969405</v>
      </c>
      <c r="AQ19" s="758">
        <f>VLOOKUP(AQ$4,'Dynamic Population'!$A$14:$AA$97,19,FALSE)*'Underlying Assumptions'!$E$9/1000000</f>
        <v>23061.639562969405</v>
      </c>
      <c r="AR19" s="758">
        <f>VLOOKUP(AR$4,'Dynamic Population'!$A$14:$AA$97,19,FALSE)*'Underlying Assumptions'!$E$9/1000000</f>
        <v>23061.639562969405</v>
      </c>
      <c r="AS19" s="758">
        <f>VLOOKUP(AS$4,'Dynamic Population'!$A$14:$AA$97,19,FALSE)*'Underlying Assumptions'!$E$9/1000000</f>
        <v>23061.639562969405</v>
      </c>
      <c r="AT19" s="758">
        <f>VLOOKUP(AT$4,'Dynamic Population'!$A$14:$AA$97,19,FALSE)*'Underlying Assumptions'!$E$9/1000000</f>
        <v>23061.639562969405</v>
      </c>
      <c r="AU19" s="758">
        <f>VLOOKUP(AU$4,'Dynamic Population'!$A$14:$AA$97,19,FALSE)*'Underlying Assumptions'!$E$9/1000000</f>
        <v>23061.639562969405</v>
      </c>
      <c r="AV19" s="758">
        <f>VLOOKUP(AV$4,'Dynamic Population'!$A$14:$AA$97,19,FALSE)*'Underlying Assumptions'!$E$9/1000000</f>
        <v>23061.639562969405</v>
      </c>
      <c r="AW19" s="758">
        <f>VLOOKUP(AW$4,'Dynamic Population'!$A$14:$AA$97,19,FALSE)*'Underlying Assumptions'!$E$9/1000000</f>
        <v>23061.639562969405</v>
      </c>
      <c r="AX19" s="758">
        <f>VLOOKUP(AX$4,'Dynamic Population'!$A$14:$AA$97,19,FALSE)*'Underlying Assumptions'!$E$9/1000000</f>
        <v>23061.639562969405</v>
      </c>
      <c r="AY19" s="758">
        <f>VLOOKUP(AY$4,'Dynamic Population'!$A$14:$AA$97,19,FALSE)*'Underlying Assumptions'!$E$9/1000000</f>
        <v>23061.639562969405</v>
      </c>
      <c r="AZ19" s="758">
        <f>VLOOKUP(AZ$4,'Dynamic Population'!$A$14:$AA$97,19,FALSE)*'Underlying Assumptions'!$E$9/1000000</f>
        <v>23061.639562969405</v>
      </c>
      <c r="BA19" s="758">
        <f>VLOOKUP(BA$4,'Dynamic Population'!$A$14:$AA$97,19,FALSE)*'Underlying Assumptions'!$E$9/1000000</f>
        <v>23061.639562969405</v>
      </c>
      <c r="BB19" s="758">
        <f>VLOOKUP(BB$4,'Dynamic Population'!$A$14:$AA$97,19,FALSE)*'Underlying Assumptions'!$E$9/1000000</f>
        <v>23061.639562969405</v>
      </c>
      <c r="BC19" s="758">
        <f>VLOOKUP(BC$4,'Dynamic Population'!$A$14:$AA$97,19,FALSE)*'Underlying Assumptions'!$E$9/1000000</f>
        <v>23061.639562969405</v>
      </c>
      <c r="BD19" s="758">
        <f>VLOOKUP(BD$4,'Dynamic Population'!$A$14:$AA$97,19,FALSE)*'Underlying Assumptions'!$E$9/1000000</f>
        <v>23061.639562969405</v>
      </c>
      <c r="BE19" s="758">
        <f>VLOOKUP(BE$4,'Dynamic Population'!$A$14:$AA$97,19,FALSE)*'Underlying Assumptions'!$E$9/1000000</f>
        <v>23061.639562969405</v>
      </c>
      <c r="BF19" s="758">
        <f>VLOOKUP(BF$4,'Dynamic Population'!$A$14:$AA$97,19,FALSE)*'Underlying Assumptions'!$E$9/1000000</f>
        <v>23061.639562969405</v>
      </c>
      <c r="BG19" s="758">
        <f>VLOOKUP(BG$4,'Dynamic Population'!$A$14:$AA$97,19,FALSE)*'Underlying Assumptions'!$E$9/1000000</f>
        <v>23061.639562969405</v>
      </c>
      <c r="BH19" s="758">
        <f>VLOOKUP(BH$4,'Dynamic Population'!$A$14:$AA$97,19,FALSE)*'Underlying Assumptions'!$E$9/1000000</f>
        <v>23061.639562969405</v>
      </c>
      <c r="BI19" s="758">
        <f>VLOOKUP(BI$4,'Dynamic Population'!$A$14:$AA$97,19,FALSE)*'Underlying Assumptions'!$E$9/1000000</f>
        <v>23061.639562969405</v>
      </c>
      <c r="BJ19" s="758">
        <f>VLOOKUP(BJ$4,'Dynamic Population'!$A$14:$AA$97,19,FALSE)*'Underlying Assumptions'!$E$9/1000000</f>
        <v>23061.639562969405</v>
      </c>
      <c r="BK19" s="758">
        <f>VLOOKUP(BK$4,'Dynamic Population'!$A$14:$AA$97,19,FALSE)*'Underlying Assumptions'!$E$9/1000000</f>
        <v>23061.639562969405</v>
      </c>
      <c r="BL19" s="758">
        <f>VLOOKUP(BL$4,'Dynamic Population'!$A$14:$AA$97,19,FALSE)*'Underlying Assumptions'!$E$9/1000000</f>
        <v>23061.639562969405</v>
      </c>
      <c r="BM19" s="758">
        <f>VLOOKUP(BM$4,'Dynamic Population'!$A$14:$AA$97,19,FALSE)*'Underlying Assumptions'!$E$9/1000000</f>
        <v>23061.639562969405</v>
      </c>
      <c r="BN19" s="758">
        <f>VLOOKUP(BN$4,'Dynamic Population'!$A$14:$AA$97,19,FALSE)*'Underlying Assumptions'!$E$9/1000000</f>
        <v>23061.639562969405</v>
      </c>
      <c r="BO19" s="758">
        <f>VLOOKUP(BO$4,'Dynamic Population'!$A$14:$AA$97,19,FALSE)*'Underlying Assumptions'!$E$9/1000000</f>
        <v>23061.639562969405</v>
      </c>
      <c r="BP19" s="758">
        <f>VLOOKUP(BP$4,'Dynamic Population'!$A$14:$AA$97,19,FALSE)*'Underlying Assumptions'!$E$9/1000000</f>
        <v>23061.639562969405</v>
      </c>
      <c r="BQ19" s="758">
        <f>VLOOKUP(BQ$4,'Dynamic Population'!$A$14:$AA$97,19,FALSE)*'Underlying Assumptions'!$E$9/1000000</f>
        <v>23061.639562969405</v>
      </c>
      <c r="BR19" s="758">
        <f>VLOOKUP(BR$4,'Dynamic Population'!$A$14:$AA$97,19,FALSE)*'Underlying Assumptions'!$E$9/1000000</f>
        <v>23061.639562969405</v>
      </c>
      <c r="BS19" s="758">
        <f>VLOOKUP(BS$4,'Dynamic Population'!$A$14:$AA$97,19,FALSE)*'Underlying Assumptions'!$E$9/1000000</f>
        <v>23061.639562969405</v>
      </c>
      <c r="BT19" s="758">
        <f>VLOOKUP(BT$4,'Dynamic Population'!$A$14:$AA$97,19,FALSE)*'Underlying Assumptions'!$E$9/1000000</f>
        <v>23061.639562969405</v>
      </c>
      <c r="BU19" s="758">
        <f>VLOOKUP(BU$4,'Dynamic Population'!$A$14:$AA$97,19,FALSE)*'Underlying Assumptions'!$E$9/1000000</f>
        <v>23061.639562969405</v>
      </c>
      <c r="BV19" s="758">
        <f>VLOOKUP(BV$4,'Dynamic Population'!$A$14:$AA$97,19,FALSE)*'Underlying Assumptions'!$E$9/1000000</f>
        <v>23061.639562969405</v>
      </c>
      <c r="BW19" s="758">
        <f>VLOOKUP(BW$4,'Dynamic Population'!$A$14:$AA$97,19,FALSE)*'Underlying Assumptions'!$E$9/1000000</f>
        <v>23061.639562969405</v>
      </c>
      <c r="BX19" s="758">
        <f>VLOOKUP(BX$4,'Dynamic Population'!$A$14:$AA$97,19,FALSE)*'Underlying Assumptions'!$E$9/1000000</f>
        <v>23061.639562969405</v>
      </c>
      <c r="BY19" s="758">
        <f>VLOOKUP(BY$4,'Dynamic Population'!$A$14:$AA$97,19,FALSE)*'Underlying Assumptions'!$E$9/1000000</f>
        <v>23061.639562969405</v>
      </c>
      <c r="BZ19" s="758">
        <f>VLOOKUP(BZ$4,'Dynamic Population'!$A$14:$AA$97,19,FALSE)*'Underlying Assumptions'!$E$9/1000000</f>
        <v>23061.639562969405</v>
      </c>
      <c r="CA19" s="758">
        <f>VLOOKUP(CA$4,'Dynamic Population'!$A$14:$AA$97,19,FALSE)*'Underlying Assumptions'!$E$9/1000000</f>
        <v>23061.639562969405</v>
      </c>
      <c r="CB19" s="758">
        <f>VLOOKUP(CB$4,'Dynamic Population'!$A$14:$AA$97,19,FALSE)*'Underlying Assumptions'!$E$9/1000000</f>
        <v>23061.639562969405</v>
      </c>
      <c r="CC19" s="758">
        <f>VLOOKUP(CC$4,'Dynamic Population'!$A$14:$AA$97,19,FALSE)*'Underlying Assumptions'!$E$9/1000000</f>
        <v>23061.639562969405</v>
      </c>
      <c r="CD19" s="758">
        <f>VLOOKUP(CD$4,'Dynamic Population'!$A$14:$AA$97,19,FALSE)*'Underlying Assumptions'!$E$9/1000000</f>
        <v>23061.639562969405</v>
      </c>
      <c r="CE19" s="758" t="e">
        <f>VLOOKUP(CE$4,'Dynamic Population'!$A$14:$AA$97,19,FALSE)*'Underlying Assumptions'!$E$9/1000000</f>
        <v>#N/A</v>
      </c>
      <c r="CF19" s="758" t="e">
        <f>VLOOKUP(CF$4,'Dynamic Population'!$A$14:$AA$97,19,FALSE)*'Underlying Assumptions'!$E$9/1000000</f>
        <v>#N/A</v>
      </c>
      <c r="CG19" s="758" t="e">
        <f>VLOOKUP(CG$4,'Dynamic Population'!$A$14:$AA$97,19,FALSE)*'Underlying Assumptions'!$E$9/1000000</f>
        <v>#N/A</v>
      </c>
      <c r="CH19" s="758" t="e">
        <f>VLOOKUP(CH$4,'Dynamic Population'!$A$14:$AA$97,19,FALSE)*'Underlying Assumptions'!$E$9/1000000</f>
        <v>#N/A</v>
      </c>
      <c r="CI19" s="758" t="e">
        <f>VLOOKUP(CI$4,'Dynamic Population'!$A$14:$AA$97,19,FALSE)*'Underlying Assumptions'!$E$9/1000000</f>
        <v>#N/A</v>
      </c>
      <c r="CJ19" s="758" t="e">
        <f>VLOOKUP(CJ$4,'Dynamic Population'!$A$14:$AA$97,19,FALSE)*'Underlying Assumptions'!$E$9/1000000</f>
        <v>#N/A</v>
      </c>
      <c r="CK19" s="758" t="e">
        <f>VLOOKUP(CK$4,'Dynamic Population'!$A$14:$AA$97,19,FALSE)*'Underlying Assumptions'!$E$9/1000000</f>
        <v>#N/A</v>
      </c>
      <c r="CL19" s="758" t="e">
        <f>VLOOKUP(CL$4,'Dynamic Population'!$A$14:$AA$97,19,FALSE)*'Underlying Assumptions'!$E$9/1000000</f>
        <v>#N/A</v>
      </c>
      <c r="CM19" s="758" t="e">
        <f>VLOOKUP(CM$4,'Dynamic Population'!$A$14:$AA$97,19,FALSE)*'Underlying Assumptions'!$E$9/1000000</f>
        <v>#N/A</v>
      </c>
      <c r="CN19" s="755"/>
      <c r="CO19" s="755"/>
      <c r="CP19" s="755"/>
      <c r="CQ19" s="755"/>
      <c r="CR19" s="755"/>
      <c r="CS19" s="755"/>
      <c r="CT19" s="755"/>
      <c r="CU19" s="755"/>
      <c r="CV19" s="755"/>
      <c r="CW19" s="755"/>
      <c r="CX19" s="755"/>
      <c r="CY19" s="755"/>
      <c r="CZ19" s="755"/>
    </row>
    <row r="20" spans="1:104" x14ac:dyDescent="0.25">
      <c r="B20" s="609" t="s">
        <v>319</v>
      </c>
      <c r="E20" s="490">
        <f>E14/E19</f>
        <v>0.7826747003989768</v>
      </c>
      <c r="F20" s="490">
        <f t="shared" ref="F20:BQ20" si="14">F14/F19</f>
        <v>0.74029998359026883</v>
      </c>
      <c r="G20" s="490">
        <f t="shared" si="14"/>
        <v>0.75359344820039287</v>
      </c>
      <c r="H20" s="490">
        <f t="shared" si="14"/>
        <v>0.76704333163162275</v>
      </c>
      <c r="I20" s="490">
        <f t="shared" si="14"/>
        <v>0.78064775214013216</v>
      </c>
      <c r="J20" s="490">
        <f t="shared" si="14"/>
        <v>0.75175108198956586</v>
      </c>
      <c r="K20" s="490">
        <f t="shared" si="14"/>
        <v>0.76491128710108047</v>
      </c>
      <c r="L20" s="490">
        <f t="shared" si="14"/>
        <v>0.77821101408760518</v>
      </c>
      <c r="M20" s="490">
        <f t="shared" si="14"/>
        <v>0.79164752631941415</v>
      </c>
      <c r="N20" s="490">
        <f t="shared" si="14"/>
        <v>0.80521781785224333</v>
      </c>
      <c r="O20" s="490">
        <f t="shared" si="14"/>
        <v>0.82609610934687983</v>
      </c>
      <c r="P20" s="490">
        <f t="shared" si="14"/>
        <v>0.84751042528415999</v>
      </c>
      <c r="Q20" s="490">
        <f t="shared" si="14"/>
        <v>0.86947436066504824</v>
      </c>
      <c r="R20" s="490">
        <f t="shared" si="14"/>
        <v>0.89200185001970977</v>
      </c>
      <c r="S20" s="490">
        <f t="shared" si="14"/>
        <v>0.91510717571813716</v>
      </c>
      <c r="T20" s="490">
        <f t="shared" si="14"/>
        <v>0.93880497647869598</v>
      </c>
      <c r="U20" s="490">
        <f t="shared" si="14"/>
        <v>0.96311025607912992</v>
      </c>
      <c r="V20" s="490">
        <f t="shared" si="14"/>
        <v>0.98803839227464374</v>
      </c>
      <c r="W20" s="490">
        <f t="shared" si="14"/>
        <v>1.0136051459278013</v>
      </c>
      <c r="X20" s="490">
        <f t="shared" si="14"/>
        <v>1.0398266703550638</v>
      </c>
      <c r="Y20" s="490">
        <f t="shared" si="14"/>
        <v>1.0667195208949007</v>
      </c>
      <c r="Z20" s="490">
        <f t="shared" si="14"/>
        <v>1.0943006647025124</v>
      </c>
      <c r="AA20" s="490">
        <f t="shared" si="14"/>
        <v>1.1225874907763111</v>
      </c>
      <c r="AB20" s="490">
        <f t="shared" si="14"/>
        <v>1.1515978202214114</v>
      </c>
      <c r="AC20" s="490">
        <f t="shared" si="14"/>
        <v>1.1813499167554997</v>
      </c>
      <c r="AD20" s="490">
        <f t="shared" si="14"/>
        <v>1.2118624974625558</v>
      </c>
      <c r="AE20" s="490">
        <f t="shared" si="14"/>
        <v>1.2431547438000297</v>
      </c>
      <c r="AF20" s="490">
        <f t="shared" si="14"/>
        <v>1.2752463128651754</v>
      </c>
      <c r="AG20" s="490">
        <f t="shared" si="14"/>
        <v>1.3081573489263834</v>
      </c>
      <c r="AH20" s="490">
        <f t="shared" si="14"/>
        <v>1.341908495225455</v>
      </c>
      <c r="AI20" s="490">
        <f t="shared" si="14"/>
        <v>1.3765209060569084</v>
      </c>
      <c r="AJ20" s="490">
        <f t="shared" si="14"/>
        <v>1.4120162591305074</v>
      </c>
      <c r="AK20" s="490">
        <f t="shared" si="14"/>
        <v>1.4484167682233577</v>
      </c>
      <c r="AL20" s="490">
        <f t="shared" si="14"/>
        <v>1.485745196128021</v>
      </c>
      <c r="AM20" s="490">
        <f t="shared" si="14"/>
        <v>1.5240248679032611</v>
      </c>
      <c r="AN20" s="490">
        <f t="shared" si="14"/>
        <v>1.5674595766385035</v>
      </c>
      <c r="AO20" s="490">
        <f t="shared" si="14"/>
        <v>1.6121321745727011</v>
      </c>
      <c r="AP20" s="490">
        <f t="shared" si="14"/>
        <v>1.6580779415480231</v>
      </c>
      <c r="AQ20" s="490">
        <f t="shared" si="14"/>
        <v>1.7053331628821418</v>
      </c>
      <c r="AR20" s="490">
        <f t="shared" si="14"/>
        <v>1.7539351580242828</v>
      </c>
      <c r="AS20" s="490">
        <f t="shared" si="14"/>
        <v>1.8039223100279751</v>
      </c>
      <c r="AT20" s="490">
        <f t="shared" si="14"/>
        <v>1.8553340958637718</v>
      </c>
      <c r="AU20" s="490">
        <f t="shared" si="14"/>
        <v>1.9082111175958896</v>
      </c>
      <c r="AV20" s="490">
        <f t="shared" si="14"/>
        <v>1.9625951344473722</v>
      </c>
      <c r="AW20" s="490">
        <f t="shared" si="14"/>
        <v>2.0185290957791224</v>
      </c>
      <c r="AX20" s="490">
        <f t="shared" si="14"/>
        <v>2.076057175008827</v>
      </c>
      <c r="AY20" s="490">
        <f t="shared" si="14"/>
        <v>2.1352248044965791</v>
      </c>
      <c r="AZ20" s="490">
        <f t="shared" si="14"/>
        <v>2.1960787114247311</v>
      </c>
      <c r="BA20" s="490">
        <f t="shared" si="14"/>
        <v>2.258666954700336</v>
      </c>
      <c r="BB20" s="490">
        <f t="shared" si="14"/>
        <v>2.3230389629092958</v>
      </c>
      <c r="BC20" s="490">
        <f t="shared" si="14"/>
        <v>2.3892455733522109</v>
      </c>
      <c r="BD20" s="490">
        <f t="shared" si="14"/>
        <v>2.4573390721927479</v>
      </c>
      <c r="BE20" s="490">
        <f t="shared" si="14"/>
        <v>2.527373235750241</v>
      </c>
      <c r="BF20" s="490">
        <f t="shared" si="14"/>
        <v>2.5994033729691233</v>
      </c>
      <c r="BG20" s="490">
        <f t="shared" si="14"/>
        <v>2.6734863690987432</v>
      </c>
      <c r="BH20" s="490">
        <f t="shared" si="14"/>
        <v>2.7496807306180568</v>
      </c>
      <c r="BI20" s="490">
        <f t="shared" si="14"/>
        <v>2.8280466314406718</v>
      </c>
      <c r="BJ20" s="490">
        <f t="shared" si="14"/>
        <v>2.9086459604367305</v>
      </c>
      <c r="BK20" s="490">
        <f t="shared" si="14"/>
        <v>2.9915423703091775</v>
      </c>
      <c r="BL20" s="490">
        <f t="shared" si="14"/>
        <v>3.0768013278629884</v>
      </c>
      <c r="BM20" s="490">
        <f t="shared" si="14"/>
        <v>3.1644901657070834</v>
      </c>
      <c r="BN20" s="490">
        <f t="shared" si="14"/>
        <v>3.2546781354297352</v>
      </c>
      <c r="BO20" s="490">
        <f t="shared" si="14"/>
        <v>3.3474364622894828</v>
      </c>
      <c r="BP20" s="490">
        <f t="shared" si="14"/>
        <v>3.4428384014647326</v>
      </c>
      <c r="BQ20" s="490">
        <f t="shared" si="14"/>
        <v>3.5409592959064771</v>
      </c>
      <c r="BR20" s="490">
        <f t="shared" ref="BR20:CM20" si="15">BR14/BR19</f>
        <v>3.6418766358398122</v>
      </c>
      <c r="BS20" s="490">
        <f t="shared" si="15"/>
        <v>3.7456701199612477</v>
      </c>
      <c r="BT20" s="490">
        <f t="shared" si="15"/>
        <v>3.8524217183801421</v>
      </c>
      <c r="BU20" s="490">
        <f t="shared" si="15"/>
        <v>3.9622157373539766</v>
      </c>
      <c r="BV20" s="490">
        <f t="shared" si="15"/>
        <v>4.0751388858685642</v>
      </c>
      <c r="BW20" s="490">
        <f t="shared" si="15"/>
        <v>4.1912803441158184</v>
      </c>
      <c r="BX20" s="490">
        <f t="shared" si="15"/>
        <v>4.3107318339231195</v>
      </c>
      <c r="BY20" s="490">
        <f t="shared" si="15"/>
        <v>4.4335876911899286</v>
      </c>
      <c r="BZ20" s="490">
        <f t="shared" si="15"/>
        <v>4.5599449403888404</v>
      </c>
      <c r="CA20" s="490">
        <f t="shared" si="15"/>
        <v>4.6899033711899225</v>
      </c>
      <c r="CB20" s="490">
        <f t="shared" si="15"/>
        <v>4.8235656172688346</v>
      </c>
      <c r="CC20" s="490">
        <f t="shared" si="15"/>
        <v>4.8235656172688346</v>
      </c>
      <c r="CD20" s="490">
        <f t="shared" si="15"/>
        <v>4.8235656172688346</v>
      </c>
      <c r="CE20" s="490" t="e">
        <f t="shared" si="15"/>
        <v>#N/A</v>
      </c>
      <c r="CF20" s="490" t="e">
        <f t="shared" si="15"/>
        <v>#N/A</v>
      </c>
      <c r="CG20" s="490" t="e">
        <f t="shared" si="15"/>
        <v>#N/A</v>
      </c>
      <c r="CH20" s="490" t="e">
        <f t="shared" si="15"/>
        <v>#N/A</v>
      </c>
      <c r="CI20" s="490" t="e">
        <f t="shared" si="15"/>
        <v>#N/A</v>
      </c>
      <c r="CJ20" s="490" t="e">
        <f t="shared" si="15"/>
        <v>#N/A</v>
      </c>
      <c r="CK20" s="490" t="e">
        <f t="shared" si="15"/>
        <v>#N/A</v>
      </c>
      <c r="CL20" s="490" t="e">
        <f t="shared" si="15"/>
        <v>#N/A</v>
      </c>
      <c r="CM20" s="490" t="e">
        <f t="shared" si="15"/>
        <v>#N/A</v>
      </c>
      <c r="CN20" s="490"/>
      <c r="CO20" s="490"/>
      <c r="CP20" s="490"/>
      <c r="CQ20" s="490"/>
      <c r="CR20" s="490"/>
      <c r="CS20" s="490"/>
      <c r="CT20" s="490"/>
      <c r="CU20" s="490"/>
      <c r="CV20" s="490"/>
      <c r="CW20" s="490"/>
      <c r="CX20" s="490"/>
      <c r="CY20" s="490"/>
      <c r="CZ20" s="490"/>
    </row>
    <row r="21" spans="1:104" x14ac:dyDescent="0.25">
      <c r="B21" s="609" t="s">
        <v>315</v>
      </c>
      <c r="E21" s="614">
        <f t="shared" ref="E21:W21" si="16">IF(E19-E14&gt;0,0,E14-E19)</f>
        <v>0</v>
      </c>
      <c r="F21" s="614">
        <f t="shared" si="16"/>
        <v>0</v>
      </c>
      <c r="G21" s="614">
        <f t="shared" si="16"/>
        <v>0</v>
      </c>
      <c r="H21" s="614">
        <f t="shared" si="16"/>
        <v>0</v>
      </c>
      <c r="I21" s="614">
        <f t="shared" si="16"/>
        <v>0</v>
      </c>
      <c r="J21" s="614">
        <f t="shared" si="16"/>
        <v>0</v>
      </c>
      <c r="K21" s="614">
        <f t="shared" si="16"/>
        <v>0</v>
      </c>
      <c r="L21" s="614">
        <f t="shared" si="16"/>
        <v>0</v>
      </c>
      <c r="M21" s="614">
        <f t="shared" si="16"/>
        <v>0</v>
      </c>
      <c r="N21" s="614">
        <f t="shared" si="16"/>
        <v>0</v>
      </c>
      <c r="O21" s="614">
        <f t="shared" si="16"/>
        <v>0</v>
      </c>
      <c r="P21" s="614">
        <f t="shared" si="16"/>
        <v>0</v>
      </c>
      <c r="Q21" s="614">
        <f t="shared" si="16"/>
        <v>0</v>
      </c>
      <c r="R21" s="614">
        <f t="shared" si="16"/>
        <v>0</v>
      </c>
      <c r="S21" s="614">
        <f t="shared" si="16"/>
        <v>0</v>
      </c>
      <c r="T21" s="614">
        <f t="shared" si="16"/>
        <v>0</v>
      </c>
      <c r="U21" s="614">
        <f t="shared" si="16"/>
        <v>0</v>
      </c>
      <c r="V21" s="614">
        <f t="shared" si="16"/>
        <v>0</v>
      </c>
      <c r="W21" s="614">
        <f t="shared" si="16"/>
        <v>313.75697158855473</v>
      </c>
      <c r="X21" s="614">
        <f>IF(X19-X14&gt;0,0,X14-X19)</f>
        <v>918.468316721679</v>
      </c>
      <c r="Y21" s="614">
        <f t="shared" ref="Y21:CJ21" si="17">IF(Y19-Y14&gt;0,0,Y14-Y19)</f>
        <v>1538.6615426922071</v>
      </c>
      <c r="Z21" s="614">
        <f t="shared" si="17"/>
        <v>2174.7279399177751</v>
      </c>
      <c r="AA21" s="614">
        <f t="shared" si="17"/>
        <v>2827.0685272121227</v>
      </c>
      <c r="AB21" s="614">
        <f t="shared" si="17"/>
        <v>3496.094288478027</v>
      </c>
      <c r="AC21" s="614">
        <f t="shared" si="17"/>
        <v>4182.2264149898401</v>
      </c>
      <c r="AD21" s="614">
        <f t="shared" si="17"/>
        <v>4885.89655339198</v>
      </c>
      <c r="AE21" s="614">
        <f t="shared" si="17"/>
        <v>5607.5470595424558</v>
      </c>
      <c r="AF21" s="614">
        <f t="shared" si="17"/>
        <v>6347.6312583329855</v>
      </c>
      <c r="AG21" s="614">
        <f t="shared" si="17"/>
        <v>7106.6137096204511</v>
      </c>
      <c r="AH21" s="614">
        <f t="shared" si="17"/>
        <v>7884.9704804066896</v>
      </c>
      <c r="AI21" s="614">
        <f t="shared" si="17"/>
        <v>8683.189423407086</v>
      </c>
      <c r="AJ21" s="614">
        <f t="shared" si="17"/>
        <v>9501.7704621507655</v>
      </c>
      <c r="AK21" s="614">
        <f t="shared" si="17"/>
        <v>10341.225882758667</v>
      </c>
      <c r="AL21" s="614">
        <f t="shared" si="17"/>
        <v>11202.080632548303</v>
      </c>
      <c r="AM21" s="614">
        <f t="shared" si="17"/>
        <v>12084.872625617663</v>
      </c>
      <c r="AN21" s="614">
        <f t="shared" si="17"/>
        <v>13086.548222992384</v>
      </c>
      <c r="AO21" s="614">
        <f t="shared" si="17"/>
        <v>14116.771574892296</v>
      </c>
      <c r="AP21" s="614">
        <f t="shared" si="17"/>
        <v>15176.356292321358</v>
      </c>
      <c r="AQ21" s="614">
        <f t="shared" si="17"/>
        <v>16266.139174197142</v>
      </c>
      <c r="AR21" s="614">
        <f t="shared" si="17"/>
        <v>17386.980868206392</v>
      </c>
      <c r="AS21" s="614">
        <f t="shared" si="17"/>
        <v>18539.766550494907</v>
      </c>
      <c r="AT21" s="614">
        <f t="shared" si="17"/>
        <v>19725.406624728628</v>
      </c>
      <c r="AU21" s="614">
        <f t="shared" si="17"/>
        <v>20944.837441078027</v>
      </c>
      <c r="AV21" s="614">
        <f t="shared" si="17"/>
        <v>22199.022035693375</v>
      </c>
      <c r="AW21" s="614">
        <f t="shared" si="17"/>
        <v>23488.950891255266</v>
      </c>
      <c r="AX21" s="614">
        <f t="shared" si="17"/>
        <v>24815.642719200663</v>
      </c>
      <c r="AY21" s="614">
        <f t="shared" si="17"/>
        <v>26180.145264242517</v>
      </c>
      <c r="AZ21" s="614">
        <f t="shared" si="17"/>
        <v>27583.53613181804</v>
      </c>
      <c r="BA21" s="614">
        <f t="shared" si="17"/>
        <v>29026.92363911949</v>
      </c>
      <c r="BB21" s="614">
        <f t="shared" si="17"/>
        <v>30511.447690379031</v>
      </c>
      <c r="BC21" s="614">
        <f t="shared" si="17"/>
        <v>32038.280677099461</v>
      </c>
      <c r="BD21" s="614">
        <f t="shared" si="17"/>
        <v>33608.628403941402</v>
      </c>
      <c r="BE21" s="614">
        <f t="shared" si="17"/>
        <v>35223.731040998362</v>
      </c>
      <c r="BF21" s="614">
        <f t="shared" si="17"/>
        <v>36884.864103211439</v>
      </c>
      <c r="BG21" s="614">
        <f t="shared" si="17"/>
        <v>38593.339457697599</v>
      </c>
      <c r="BH21" s="614">
        <f t="shared" si="17"/>
        <v>40350.506359786596</v>
      </c>
      <c r="BI21" s="614">
        <f t="shared" si="17"/>
        <v>42157.752518585141</v>
      </c>
      <c r="BJ21" s="614">
        <f t="shared" si="17"/>
        <v>44016.505192909448</v>
      </c>
      <c r="BK21" s="614">
        <f t="shared" si="17"/>
        <v>45928.232318451992</v>
      </c>
      <c r="BL21" s="614">
        <f t="shared" si="17"/>
        <v>47894.443667072497</v>
      </c>
      <c r="BM21" s="614">
        <f t="shared" si="17"/>
        <v>49916.692039128684</v>
      </c>
      <c r="BN21" s="614">
        <f t="shared" si="17"/>
        <v>51996.574489788472</v>
      </c>
      <c r="BO21" s="614">
        <f t="shared" si="17"/>
        <v>54135.733590292075</v>
      </c>
      <c r="BP21" s="614">
        <f t="shared" si="17"/>
        <v>56335.858725160026</v>
      </c>
      <c r="BQ21" s="614">
        <f t="shared" si="17"/>
        <v>58598.687426371704</v>
      </c>
      <c r="BR21" s="614">
        <f t="shared" si="17"/>
        <v>60926.006745567938</v>
      </c>
      <c r="BS21" s="614">
        <f t="shared" si="17"/>
        <v>63319.65466536126</v>
      </c>
      <c r="BT21" s="614">
        <f t="shared" si="17"/>
        <v>65781.521550868667</v>
      </c>
      <c r="BU21" s="614">
        <f t="shared" si="17"/>
        <v>68313.551642613063</v>
      </c>
      <c r="BV21" s="614">
        <f t="shared" si="17"/>
        <v>70917.744591972136</v>
      </c>
      <c r="BW21" s="614">
        <f t="shared" si="17"/>
        <v>73596.157040387989</v>
      </c>
      <c r="BX21" s="614">
        <f t="shared" si="17"/>
        <v>76350.904243583675</v>
      </c>
      <c r="BY21" s="614">
        <f t="shared" si="17"/>
        <v>79184.161742070442</v>
      </c>
      <c r="BZ21" s="614">
        <f t="shared" si="17"/>
        <v>82098.167079264051</v>
      </c>
      <c r="CA21" s="614">
        <f t="shared" si="17"/>
        <v>85095.221568567707</v>
      </c>
      <c r="CB21" s="614">
        <f t="shared" si="17"/>
        <v>88177.692110816497</v>
      </c>
      <c r="CC21" s="614">
        <f t="shared" si="17"/>
        <v>88177.692110816497</v>
      </c>
      <c r="CD21" s="614">
        <f t="shared" si="17"/>
        <v>88177.692110816497</v>
      </c>
      <c r="CE21" s="614" t="e">
        <f t="shared" si="17"/>
        <v>#N/A</v>
      </c>
      <c r="CF21" s="614" t="e">
        <f t="shared" si="17"/>
        <v>#N/A</v>
      </c>
      <c r="CG21" s="614" t="e">
        <f t="shared" si="17"/>
        <v>#N/A</v>
      </c>
      <c r="CH21" s="614" t="e">
        <f t="shared" si="17"/>
        <v>#N/A</v>
      </c>
      <c r="CI21" s="614" t="e">
        <f t="shared" si="17"/>
        <v>#N/A</v>
      </c>
      <c r="CJ21" s="614" t="e">
        <f t="shared" si="17"/>
        <v>#N/A</v>
      </c>
      <c r="CK21" s="614" t="e">
        <f t="shared" ref="CK21:CM21" si="18">IF(CK19-CK14&gt;0,0,CK14-CK19)</f>
        <v>#N/A</v>
      </c>
      <c r="CL21" s="614" t="e">
        <f t="shared" si="18"/>
        <v>#N/A</v>
      </c>
      <c r="CM21" s="614" t="e">
        <f t="shared" si="18"/>
        <v>#N/A</v>
      </c>
      <c r="CN21" s="614">
        <f>IF(CN19-CN10&gt;0,0,CN10-CN19)</f>
        <v>0</v>
      </c>
      <c r="CO21" s="614">
        <f>IF(CO19-CO10&gt;0,0,CO10-CO19)</f>
        <v>0</v>
      </c>
      <c r="CP21" s="614">
        <f>IF(CP19-CP10&gt;0,0,CP10-CP19)</f>
        <v>0</v>
      </c>
      <c r="CQ21" s="614"/>
      <c r="CR21" s="614"/>
      <c r="CS21" s="614"/>
      <c r="CT21" s="614"/>
      <c r="CU21" s="614"/>
      <c r="CV21" s="614"/>
      <c r="CW21" s="614"/>
      <c r="CX21" s="614"/>
      <c r="CY21" s="614"/>
      <c r="CZ21" s="614"/>
    </row>
    <row r="22" spans="1:104" x14ac:dyDescent="0.25">
      <c r="B22" s="609" t="s">
        <v>530</v>
      </c>
      <c r="E22" s="614">
        <f>E21</f>
        <v>0</v>
      </c>
      <c r="F22" s="614">
        <f t="shared" ref="F22:V22" si="19">E21+F21</f>
        <v>0</v>
      </c>
      <c r="G22" s="614">
        <f t="shared" si="19"/>
        <v>0</v>
      </c>
      <c r="H22" s="614">
        <f t="shared" si="19"/>
        <v>0</v>
      </c>
      <c r="I22" s="614">
        <f t="shared" si="19"/>
        <v>0</v>
      </c>
      <c r="J22" s="614">
        <f t="shared" si="19"/>
        <v>0</v>
      </c>
      <c r="K22" s="614">
        <f t="shared" si="19"/>
        <v>0</v>
      </c>
      <c r="L22" s="614">
        <f t="shared" si="19"/>
        <v>0</v>
      </c>
      <c r="M22" s="614">
        <f t="shared" si="19"/>
        <v>0</v>
      </c>
      <c r="N22" s="614">
        <f t="shared" si="19"/>
        <v>0</v>
      </c>
      <c r="O22" s="614">
        <f t="shared" si="19"/>
        <v>0</v>
      </c>
      <c r="P22" s="614">
        <f t="shared" si="19"/>
        <v>0</v>
      </c>
      <c r="Q22" s="614">
        <f t="shared" si="19"/>
        <v>0</v>
      </c>
      <c r="R22" s="614">
        <f t="shared" si="19"/>
        <v>0</v>
      </c>
      <c r="S22" s="614">
        <f t="shared" si="19"/>
        <v>0</v>
      </c>
      <c r="T22" s="614">
        <f t="shared" si="19"/>
        <v>0</v>
      </c>
      <c r="U22" s="614">
        <f t="shared" si="19"/>
        <v>0</v>
      </c>
      <c r="V22" s="614">
        <f t="shared" si="19"/>
        <v>0</v>
      </c>
      <c r="W22" s="614">
        <f>V22+W21</f>
        <v>313.75697158855473</v>
      </c>
      <c r="X22" s="614">
        <f t="shared" ref="X22:AY22" si="20">W22+X21</f>
        <v>1232.2252883102337</v>
      </c>
      <c r="Y22" s="614">
        <f t="shared" si="20"/>
        <v>2770.8868310024409</v>
      </c>
      <c r="Z22" s="614">
        <f t="shared" si="20"/>
        <v>4945.614770920216</v>
      </c>
      <c r="AA22" s="614">
        <f t="shared" si="20"/>
        <v>7772.6832981323387</v>
      </c>
      <c r="AB22" s="614">
        <f t="shared" si="20"/>
        <v>11268.777586610366</v>
      </c>
      <c r="AC22" s="614">
        <f t="shared" si="20"/>
        <v>15451.004001600206</v>
      </c>
      <c r="AD22" s="614">
        <f t="shared" si="20"/>
        <v>20336.900554992186</v>
      </c>
      <c r="AE22" s="614">
        <f t="shared" si="20"/>
        <v>25944.447614534642</v>
      </c>
      <c r="AF22" s="614">
        <f t="shared" si="20"/>
        <v>32292.078872867627</v>
      </c>
      <c r="AG22" s="614">
        <f t="shared" si="20"/>
        <v>39398.692582488075</v>
      </c>
      <c r="AH22" s="614">
        <f t="shared" si="20"/>
        <v>47283.663062894761</v>
      </c>
      <c r="AI22" s="614">
        <f t="shared" si="20"/>
        <v>55966.852486301847</v>
      </c>
      <c r="AJ22" s="614">
        <f t="shared" si="20"/>
        <v>65468.622948452612</v>
      </c>
      <c r="AK22" s="614">
        <f t="shared" si="20"/>
        <v>75809.848831211275</v>
      </c>
      <c r="AL22" s="614">
        <f t="shared" si="20"/>
        <v>87011.929463759574</v>
      </c>
      <c r="AM22" s="614">
        <f t="shared" si="20"/>
        <v>99096.802089377234</v>
      </c>
      <c r="AN22" s="614">
        <f t="shared" si="20"/>
        <v>112183.35031236961</v>
      </c>
      <c r="AO22" s="614">
        <f t="shared" si="20"/>
        <v>126300.12188726191</v>
      </c>
      <c r="AP22" s="614">
        <f t="shared" si="20"/>
        <v>141476.47817958327</v>
      </c>
      <c r="AQ22" s="614">
        <f t="shared" si="20"/>
        <v>157742.6173537804</v>
      </c>
      <c r="AR22" s="614">
        <f t="shared" si="20"/>
        <v>175129.59822198679</v>
      </c>
      <c r="AS22" s="614">
        <f t="shared" si="20"/>
        <v>193669.3647724817</v>
      </c>
      <c r="AT22" s="614">
        <f t="shared" si="20"/>
        <v>213394.77139721034</v>
      </c>
      <c r="AU22" s="614">
        <f t="shared" si="20"/>
        <v>234339.60883828838</v>
      </c>
      <c r="AV22" s="614">
        <f t="shared" si="20"/>
        <v>256538.63087398175</v>
      </c>
      <c r="AW22" s="614">
        <f t="shared" si="20"/>
        <v>280027.58176523703</v>
      </c>
      <c r="AX22" s="614">
        <f t="shared" si="20"/>
        <v>304843.22448443767</v>
      </c>
      <c r="AY22" s="614">
        <f t="shared" si="20"/>
        <v>331023.36974868021</v>
      </c>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row>
    <row r="23" spans="1:104" x14ac:dyDescent="0.25">
      <c r="B23" s="609" t="s">
        <v>373</v>
      </c>
      <c r="E23" s="490">
        <f>E21*1000000/('Construction Timing'!$I$23*325851)</f>
        <v>0</v>
      </c>
      <c r="F23" s="792">
        <f>IF(F24&lt;100%,(F21-E21)*1000000/('Construction Timing'!$I$23*325851), IF( AND(F24=100%, E24&lt;100%), F24-E24,0))</f>
        <v>0</v>
      </c>
      <c r="G23" s="792">
        <f>IF(G24&lt;100%,(G21-F21)*1000000/('Construction Timing'!$I$23*325851), IF( AND(G24=100%, F24&lt;100%), G24-F24,0))</f>
        <v>0</v>
      </c>
      <c r="H23" s="792">
        <f>IF(H24&lt;100%,(H21-G21)*1000000/('Construction Timing'!$I$23*325851), IF( AND(H24=100%, G24&lt;100%), H24-G24,0))</f>
        <v>0</v>
      </c>
      <c r="I23" s="792">
        <f>IF(I24&lt;100%,(I21-H21)*1000000/('Construction Timing'!$I$23*325851), IF( AND(I24=100%, H24&lt;100%), I24-H24,0))</f>
        <v>0</v>
      </c>
      <c r="J23" s="792">
        <f>IF(J24&lt;100%,(J21-I21)*1000000/('Construction Timing'!$I$23*325851), IF( AND(J24=100%, I24&lt;100%), J24-I24,0))</f>
        <v>0</v>
      </c>
      <c r="K23" s="792">
        <f>IF(K24&lt;100%,(K21-J21)*1000000/('Construction Timing'!$I$23*325851), IF( AND(K24=100%, J24&lt;100%), K24-J24,0))</f>
        <v>0</v>
      </c>
      <c r="L23" s="792">
        <f>IF(L24&lt;100%,(L21-K21)*1000000/('Construction Timing'!$I$23*325851), IF( AND(L24=100%, K24&lt;100%), L24-K24,0))</f>
        <v>0</v>
      </c>
      <c r="M23" s="792">
        <f>IF(M24&lt;100%,(M21-L21)*1000000/('Construction Timing'!$I$23*325851), IF( AND(M24=100%, L24&lt;100%), M24-L24,0))</f>
        <v>0</v>
      </c>
      <c r="N23" s="792">
        <f>IF(N24&lt;100%,(N21-M21)*1000000/('Construction Timing'!$I$23*325851), IF( AND(N24=100%, M24&lt;100%), N24-M24,0))</f>
        <v>0</v>
      </c>
      <c r="O23" s="792">
        <f>IF(O24&lt;100%,(O21-N21)*1000000/('Construction Timing'!$I$23*325851), IF( AND(O24=100%, N24&lt;100%), O24-N24,0))</f>
        <v>0</v>
      </c>
      <c r="P23" s="792">
        <f>IF(P24&lt;100%,(P21-O21)*1000000/('Construction Timing'!$I$23*325851), IF( AND(P24=100%, O24&lt;100%), P24-O24,0))</f>
        <v>0</v>
      </c>
      <c r="Q23" s="792">
        <f>IF(Q24&lt;100%,(Q21-P21)*1000000/('Construction Timing'!$I$23*325851), IF( AND(Q24=100%, P24&lt;100%), Q24-P24,0))</f>
        <v>0</v>
      </c>
      <c r="R23" s="792">
        <f>IF(R24&lt;100%,(R21-Q21)*1000000/('Construction Timing'!$I$23*325851), IF( AND(R24=100%, Q24&lt;100%), R24-Q24,0))</f>
        <v>0</v>
      </c>
      <c r="S23" s="792">
        <f>IF(S24&lt;100%,(S21-R21)*1000000/('Construction Timing'!$I$23*325851), IF( AND(S24=100%, R24&lt;100%), S24-R24,0))</f>
        <v>0</v>
      </c>
      <c r="T23" s="792">
        <f>IF(T24&lt;100%,(T21-S21)*1000000/('Construction Timing'!$I$23*325851), IF( AND(T24=100%, S24&lt;100%), T24-S24,0))</f>
        <v>0</v>
      </c>
      <c r="U23" s="792">
        <f>IF(U24&lt;100%,(U21-T21)*1000000/('Construction Timing'!$I$23*325851), IF( AND(U24=100%, T24&lt;100%), U24-T24,0))</f>
        <v>0</v>
      </c>
      <c r="V23" s="792">
        <f>IF(V24&lt;100%,(V21-U21)*1000000/('Construction Timing'!$I$23*325851), IF( AND(V24=100%, U24&lt;100%), V24-U24,0))</f>
        <v>0</v>
      </c>
      <c r="W23" s="792">
        <f>IF(W24&lt;100%,(W21-V21)*1000000/('Construction Timing'!$I$23*325851), IF( AND(W24=100%, V24&lt;100%), W24-V24,0))</f>
        <v>1.1706948286771678E-2</v>
      </c>
      <c r="X23" s="792">
        <f>IF(X24&lt;100%,(X21-W21)*1000000/('Construction Timing'!$I$23*325851), IF( AND(X24=100%, W24&lt;100%), X24-W24,0))</f>
        <v>2.2563082535042755E-2</v>
      </c>
      <c r="Y23" s="792">
        <f>IF(Y24&lt;100%,(Y21-X21)*1000000/('Construction Timing'!$I$23*325851), IF( AND(Y24=100%, X24&lt;100%), Y24-X24,0))</f>
        <v>2.3140744849374135E-2</v>
      </c>
      <c r="Z23" s="792">
        <f>IF(Z24&lt;100%,(Z21-Y21)*1000000/('Construction Timing'!$I$23*325851), IF( AND(Z24=100%, Y24&lt;100%), Z24-Y24,0))</f>
        <v>2.3733007051832875E-2</v>
      </c>
      <c r="AA23" s="792">
        <f>IF(AA24&lt;100%,(AA21-Z21)*1000000/('Construction Timing'!$I$23*325851), IF( AND(AA24=100%, Z24&lt;100%), AA24-Z24,0))</f>
        <v>2.4340232129827753E-2</v>
      </c>
      <c r="AB23" s="792">
        <f>IF(AB24&lt;100%,(AB21-AA21)*1000000/('Construction Timing'!$I$23*325851), IF( AND(AB24=100%, AA24&lt;100%), AB24-AA24,0))</f>
        <v>2.4962791902290601E-2</v>
      </c>
      <c r="AC23" s="792">
        <f>IF(AC24&lt;100%,(AC21-AB21)*1000000/('Construction Timing'!$I$23*325851), IF( AND(AC24=100%, AB24&lt;100%), AC24-AB24,0))</f>
        <v>2.5601067228236501E-2</v>
      </c>
      <c r="AD23" s="792">
        <f>IF(AD24&lt;100%,(AD21-AC21)*1000000/('Construction Timing'!$I$23*325851), IF( AND(AD24=100%, AC24&lt;100%), AD24-AC24,0))</f>
        <v>2.6255448220038283E-2</v>
      </c>
      <c r="AE23" s="792">
        <f>IF(AE24&lt;100%,(AE21-AD21)*1000000/('Construction Timing'!$I$23*325851), IF( AND(AE24=100%, AD24&lt;100%), AE24-AD24,0))</f>
        <v>2.6926334461517369E-2</v>
      </c>
      <c r="AF23" s="792">
        <f>IF(AF24&lt;100%,(AF21-AE21)*1000000/('Construction Timing'!$I$23*325851), IF( AND(AF24=100%, AE24&lt;100%), AF24-AE24,0))</f>
        <v>2.7614135230943283E-2</v>
      </c>
      <c r="AG23" s="792">
        <f>IF(AG24&lt;100%,(AG21-AF21)*1000000/('Construction Timing'!$I$23*325851), IF( AND(AG24=100%, AF24&lt;100%), AG24-AF24,0))</f>
        <v>2.8319269729060854E-2</v>
      </c>
      <c r="AH23" s="792">
        <f>IF(AH24&lt;100%,(AH21-AG21)*1000000/('Construction Timing'!$I$23*325851), IF( AND(AH24=100%, AG24&lt;100%), AH24-AG24,0))</f>
        <v>2.9042167312229007E-2</v>
      </c>
      <c r="AI23" s="792">
        <f>IF(AI24&lt;100%,(AI21-AH21)*1000000/('Construction Timing'!$I$23*325851), IF( AND(AI24=100%, AH24&lt;100%), AI24-AH24,0))</f>
        <v>2.9783267730800814E-2</v>
      </c>
      <c r="AJ23" s="792">
        <f>IF(AJ24&lt;100%,(AJ21-AI21)*1000000/('Construction Timing'!$I$23*325851), IF( AND(AJ24=100%, AI24&lt;100%), AJ24-AI24,0))</f>
        <v>3.0543021372831457E-2</v>
      </c>
      <c r="AK23" s="792">
        <f>IF(AK24&lt;100%,(AK21-AJ21)*1000000/('Construction Timing'!$I$23*325851), IF( AND(AK24=100%, AJ24&lt;100%), AK24-AJ24,0))</f>
        <v>3.1321889513244369E-2</v>
      </c>
      <c r="AL23" s="792">
        <f>IF(AL24&lt;100%,(AL21-AK21)*1000000/('Construction Timing'!$I$23*325851), IF( AND(AL24=100%, AK24&lt;100%), AL24-AK24,0))</f>
        <v>3.2120344568549716E-2</v>
      </c>
      <c r="AM23" s="792">
        <f>IF(AM24&lt;100%,(AM21-AL21)*1000000/('Construction Timing'!$I$23*325851), IF( AND(AM24=100%, AL24&lt;100%), AM24-AL24,0))</f>
        <v>3.293887035725105E-2</v>
      </c>
      <c r="AN23" s="792">
        <f>IF(AN24&lt;100%,(AN21-AM21)*1000000/('Construction Timing'!$I$23*325851), IF( AND(AN24=100%, AM24&lt;100%), AN24-AM24,0))</f>
        <v>3.7374673650167084E-2</v>
      </c>
      <c r="AO23" s="792">
        <f>IF(AO24&lt;100%,(AO21-AN21)*1000000/('Construction Timing'!$I$23*325851), IF( AND(AO24=100%, AN24&lt;100%), AO24-AN24,0))</f>
        <v>3.8439851849197328E-2</v>
      </c>
      <c r="AP23" s="792">
        <f>IF(AP24&lt;100%,(AP21-AO21)*1000000/('Construction Timing'!$I$23*325851), IF( AND(AP24=100%, AO24&lt;100%), AP24-AO24,0))</f>
        <v>3.9535387626899482E-2</v>
      </c>
      <c r="AQ23" s="792">
        <f>IF(AQ24&lt;100%,(AQ21-AP21)*1000000/('Construction Timing'!$I$23*325851), IF( AND(AQ24=100%, AP24&lt;100%), AQ24-AP24,0))</f>
        <v>4.0662146174265931E-2</v>
      </c>
      <c r="AR23" s="792">
        <f>IF(AR24&lt;100%,(AR21-AQ21)*1000000/('Construction Timing'!$I$23*325851), IF( AND(AR24=100%, AQ24&lt;100%), AR24-AQ24,0))</f>
        <v>4.1821017340232733E-2</v>
      </c>
      <c r="AS23" s="792">
        <f>IF(AS24&lt;100%,(AS21-AR21)*1000000/('Construction Timing'!$I$23*325851), IF( AND(AS24=100%, AR24&lt;100%), AS24-AR24,0))</f>
        <v>4.3012916334429413E-2</v>
      </c>
      <c r="AT23" s="792">
        <f>IF(AT24&lt;100%,(AT21-AS21)*1000000/('Construction Timing'!$I$23*325851), IF( AND(AT24=100%, AS24&lt;100%), AT24-AS24,0))</f>
        <v>4.4238784449960031E-2</v>
      </c>
      <c r="AU23" s="792">
        <f>IF(AU24&lt;100%,(AU21-AT21)*1000000/('Construction Timing'!$I$23*325851), IF( AND(AU24=100%, AT24&lt;100%), AU24-AT24,0))</f>
        <v>4.5499589806784514E-2</v>
      </c>
      <c r="AV23" s="792">
        <f>IF(AV24&lt;100%,(AV21-AU21)*1000000/('Construction Timing'!$I$23*325851), IF( AND(AV24=100%, AU24&lt;100%), AV24-AU24,0))</f>
        <v>4.6796328116277548E-2</v>
      </c>
      <c r="AW23" s="792">
        <f>IF(AW24&lt;100%,(AW21-AV21)*1000000/('Construction Timing'!$I$23*325851), IF( AND(AW24=100%, AV24&lt;100%), AW24-AV24,0))</f>
        <v>4.8130023467591675E-2</v>
      </c>
      <c r="AX23" s="792">
        <f>IF(AX24&lt;100%,(AX21-AW21)*1000000/('Construction Timing'!$I$23*325851), IF( AND(AX24=100%, AW24&lt;100%), AX24-AW24,0))</f>
        <v>4.9501729136417719E-2</v>
      </c>
      <c r="AY23" s="792">
        <f>IF(AY24&lt;100%,(AY21-AX21)*1000000/('Construction Timing'!$I$23*325851), IF( AND(AY24=100%, AX24&lt;100%), AY24-AX24,0))</f>
        <v>5.0912528416806144E-2</v>
      </c>
      <c r="AZ23" s="793">
        <f>IF(AZ24&lt;100%,(AZ21-AY21)*1000000/('Construction Timing'!$I$23*325851), IF( AND(AZ24=100%, AY24&lt;100%), AZ24-AY24,0))</f>
        <v>2.3163685922715893E-2</v>
      </c>
      <c r="BA23" s="792">
        <f>IF(BA24&lt;100%,(BA21-AZ21)*1000000/('Construction Timing'!$I$23*325851), IF( AND(BA24=100%, AZ24&lt;100%), BA24-AZ24,0))</f>
        <v>0</v>
      </c>
      <c r="BB23" s="792">
        <f>IF(BB24&lt;100%,(BB21-BA21)*1000000/('Construction Timing'!$I$23*325851), IF( AND(BB24=100%, BA24&lt;100%), BB24-BA24,0))</f>
        <v>0</v>
      </c>
      <c r="BC23" s="792">
        <f>IF(BC24&lt;100%,(BC21-BB21)*1000000/('Construction Timing'!$I$23*325851), IF( AND(BC24=100%, BB24&lt;100%), BC24-BB24,0))</f>
        <v>0</v>
      </c>
      <c r="BD23" s="792">
        <f>IF(BD24&lt;100%,(BD21-BC21)*1000000/('Construction Timing'!$I$23*325851), IF( AND(BD24=100%, BC24&lt;100%), BD24-BC24,0))</f>
        <v>0</v>
      </c>
      <c r="BE23" s="792">
        <f>IF(BE24&lt;100%,(BE21-BD21)*1000000/('Construction Timing'!$I$23*325851), IF( AND(BE24=100%, BD24&lt;100%), BE24-BD24,0))</f>
        <v>0</v>
      </c>
      <c r="BF23" s="792">
        <f>IF(BF24&lt;100%,(BF21-BE21)*1000000/('Construction Timing'!$I$23*325851), IF( AND(BF24=100%, BE24&lt;100%), BF24-BE24,0))</f>
        <v>0</v>
      </c>
      <c r="BG23" s="792">
        <f>IF(BG24&lt;100%,(BG21-BF21)*1000000/('Construction Timing'!$I$23*325851), IF( AND(BG24=100%, BF24&lt;100%), BG24-BF24,0))</f>
        <v>0</v>
      </c>
      <c r="BH23" s="792">
        <f>IF(BH24&lt;100%,(BH21-BG21)*1000000/('Construction Timing'!$I$23*325851), IF( AND(BH24=100%, BG24&lt;100%), BH24-BG24,0))</f>
        <v>0</v>
      </c>
      <c r="BI23" s="792">
        <f>IF(BI24&lt;100%,(BI21-BH21)*1000000/('Construction Timing'!$I$23*325851), IF( AND(BI24=100%, BH24&lt;100%), BI24-BH24,0))</f>
        <v>0</v>
      </c>
      <c r="BJ23" s="792">
        <f>IF(BJ24&lt;100%,(BJ21-BI21)*1000000/('Construction Timing'!$I$23*325851), IF( AND(BJ24=100%, BI24&lt;100%), BJ24-BI24,0))</f>
        <v>0</v>
      </c>
      <c r="BK23" s="792">
        <f>IF(BK24&lt;100%,(BK21-BJ21)*1000000/('Construction Timing'!$I$23*325851), IF( AND(BK24=100%, BJ24&lt;100%), BK24-BJ24,0))</f>
        <v>0</v>
      </c>
      <c r="BL23" s="792">
        <f>IF(BL24&lt;100%,(BL21-BK21)*1000000/('Construction Timing'!$I$23*325851), IF( AND(BL24=100%, BK24&lt;100%), BL24-BK24,0))</f>
        <v>0</v>
      </c>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row>
    <row r="24" spans="1:104" x14ac:dyDescent="0.25">
      <c r="B24" s="609" t="s">
        <v>322</v>
      </c>
      <c r="E24" s="490">
        <f>IF(('Construction Timing'!$I23*'Underlying Assumptions'!$E$9)&lt;('LPP Act Financing Plan (2)'!E21*1000000),100%,('LPP Act Financing Plan (2)'!E21*1000000)/('Construction Timing'!$I$23*'Underlying Assumptions'!$E$9))</f>
        <v>0</v>
      </c>
      <c r="F24" s="490">
        <f>IF(('Construction Timing'!$I23*'Underlying Assumptions'!$E$9)&lt;('LPP Act Financing Plan (2)'!F21*1000000),100%,('LPP Act Financing Plan (2)'!F21*1000000)/('Construction Timing'!$I$23*'Underlying Assumptions'!$E$9))</f>
        <v>0</v>
      </c>
      <c r="G24" s="490">
        <f>IF(('Construction Timing'!$I23*'Underlying Assumptions'!$E$9)&lt;('LPP Act Financing Plan (2)'!G21*1000000),100%,('LPP Act Financing Plan (2)'!G21*1000000)/('Construction Timing'!$I$23*'Underlying Assumptions'!$E$9))</f>
        <v>0</v>
      </c>
      <c r="H24" s="490">
        <f>IF(('Construction Timing'!$I23*'Underlying Assumptions'!$E$9)&lt;('LPP Act Financing Plan (2)'!H21*1000000),100%,('LPP Act Financing Plan (2)'!H21*1000000)/('Construction Timing'!$I$23*'Underlying Assumptions'!$E$9))</f>
        <v>0</v>
      </c>
      <c r="I24" s="490">
        <f>IF(('Construction Timing'!$I23*'Underlying Assumptions'!$E$9)&lt;('LPP Act Financing Plan (2)'!I21*1000000),100%,('LPP Act Financing Plan (2)'!I21*1000000)/('Construction Timing'!$I$23*'Underlying Assumptions'!$E$9))</f>
        <v>0</v>
      </c>
      <c r="J24" s="490">
        <f>IF(('Construction Timing'!$I23*'Underlying Assumptions'!$E$9)&lt;('LPP Act Financing Plan (2)'!J21*1000000),100%,('LPP Act Financing Plan (2)'!J21*1000000)/('Construction Timing'!$I$23*'Underlying Assumptions'!$E$9))</f>
        <v>0</v>
      </c>
      <c r="K24" s="490">
        <f>IF(('Construction Timing'!$I23*'Underlying Assumptions'!$E$9)&lt;('LPP Act Financing Plan (2)'!K21*1000000),100%,('LPP Act Financing Plan (2)'!K21*1000000)/('Construction Timing'!$I$23*'Underlying Assumptions'!$E$9))</f>
        <v>0</v>
      </c>
      <c r="L24" s="490">
        <f>IF(('Construction Timing'!$I23*'Underlying Assumptions'!$E$9)&lt;('LPP Act Financing Plan (2)'!L21*1000000),100%,('LPP Act Financing Plan (2)'!L21*1000000)/('Construction Timing'!$I$23*'Underlying Assumptions'!$E$9))</f>
        <v>0</v>
      </c>
      <c r="M24" s="490">
        <f>IF(('Construction Timing'!$I23*'Underlying Assumptions'!$E$9)&lt;('LPP Act Financing Plan (2)'!M21*1000000),100%,('LPP Act Financing Plan (2)'!M21*1000000)/('Construction Timing'!$I$23*'Underlying Assumptions'!$E$9))</f>
        <v>0</v>
      </c>
      <c r="N24" s="490">
        <f>IF(('Construction Timing'!$I23*'Underlying Assumptions'!$E$9)&lt;('LPP Act Financing Plan (2)'!N21*1000000),100%,('LPP Act Financing Plan (2)'!N21*1000000)/('Construction Timing'!$I$23*'Underlying Assumptions'!$E$9))</f>
        <v>0</v>
      </c>
      <c r="O24" s="490">
        <f>IF(('Construction Timing'!$I23*'Underlying Assumptions'!$E$9)&lt;('LPP Act Financing Plan (2)'!O21*1000000),100%,('LPP Act Financing Plan (2)'!O21*1000000)/('Construction Timing'!$I$23*'Underlying Assumptions'!$E$9))</f>
        <v>0</v>
      </c>
      <c r="P24" s="490">
        <f>IF(('Construction Timing'!$I23*'Underlying Assumptions'!$E$9)&lt;('LPP Act Financing Plan (2)'!P21*1000000),100%,('LPP Act Financing Plan (2)'!P21*1000000)/('Construction Timing'!$I$23*'Underlying Assumptions'!$E$9))</f>
        <v>0</v>
      </c>
      <c r="Q24" s="490">
        <f>IF(('Construction Timing'!$I23*'Underlying Assumptions'!$E$9)&lt;('LPP Act Financing Plan (2)'!Q21*1000000),100%,('LPP Act Financing Plan (2)'!Q21*1000000)/('Construction Timing'!$I$23*'Underlying Assumptions'!$E$9))</f>
        <v>0</v>
      </c>
      <c r="R24" s="490">
        <f>IF(('Construction Timing'!$I23*'Underlying Assumptions'!$E$9)&lt;('LPP Act Financing Plan (2)'!R21*1000000),100%,('LPP Act Financing Plan (2)'!R21*1000000)/('Construction Timing'!$I$23*'Underlying Assumptions'!$E$9))</f>
        <v>0</v>
      </c>
      <c r="S24" s="490">
        <f>IF(('Construction Timing'!$I23*'Underlying Assumptions'!$E$9)&lt;('LPP Act Financing Plan (2)'!S21*1000000),100%,('LPP Act Financing Plan (2)'!S21*1000000)/('Construction Timing'!$I$23*'Underlying Assumptions'!$E$9))</f>
        <v>0</v>
      </c>
      <c r="T24" s="490">
        <f>IF(('Construction Timing'!$I23*'Underlying Assumptions'!$E$9)&lt;('LPP Act Financing Plan (2)'!T21*1000000),100%,('LPP Act Financing Plan (2)'!T21*1000000)/('Construction Timing'!$I$23*'Underlying Assumptions'!$E$9))</f>
        <v>0</v>
      </c>
      <c r="U24" s="490">
        <f>IF(('Construction Timing'!$I23*'Underlying Assumptions'!$E$9)&lt;('LPP Act Financing Plan (2)'!U21*1000000),100%,('LPP Act Financing Plan (2)'!U21*1000000)/('Construction Timing'!$I$23*'Underlying Assumptions'!$E$9))</f>
        <v>0</v>
      </c>
      <c r="V24" s="490">
        <f>IF(('Construction Timing'!$I23*'Underlying Assumptions'!$E$9)&lt;('LPP Act Financing Plan (2)'!V21*1000000),100%,('LPP Act Financing Plan (2)'!V21*1000000)/('Construction Timing'!$I$23*'Underlying Assumptions'!$E$9))</f>
        <v>0</v>
      </c>
      <c r="W24" s="490">
        <f>IF(('Construction Timing'!$I23*'Underlying Assumptions'!$E$9)&lt;('LPP Act Financing Plan (2)'!W21*1000000),100%,('LPP Act Financing Plan (2)'!W21*1000000)/('Construction Timing'!$I$23*'Underlying Assumptions'!$E$9))</f>
        <v>1.1706932889376494E-2</v>
      </c>
      <c r="X24" s="490">
        <f>IF(('Construction Timing'!$I23*'Underlying Assumptions'!$E$9)&lt;('LPP Act Financing Plan (2)'!X21*1000000),100%,('LPP Act Financing Plan (2)'!X21*1000000)/('Construction Timing'!$I$23*'Underlying Assumptions'!$E$9))</f>
        <v>3.4269985748649798E-2</v>
      </c>
      <c r="Y24" s="490">
        <f>IF(('Construction Timing'!$I23*'Underlying Assumptions'!$E$9)&lt;('LPP Act Financing Plan (2)'!Y21*1000000),100%,('LPP Act Financing Plan (2)'!Y21*1000000)/('Construction Timing'!$I$23*'Underlying Assumptions'!$E$9))</f>
        <v>5.7410700162492431E-2</v>
      </c>
      <c r="Z24" s="490">
        <f>IF(('Construction Timing'!$I23*'Underlying Assumptions'!$E$9)&lt;('LPP Act Financing Plan (2)'!Z21*1000000),100%,('LPP Act Financing Plan (2)'!Z21*1000000)/('Construction Timing'!$I$23*'Underlying Assumptions'!$E$9))</f>
        <v>8.1143675999829482E-2</v>
      </c>
      <c r="AA24" s="490">
        <f>IF(('Construction Timing'!$I23*'Underlying Assumptions'!$E$9)&lt;('LPP Act Financing Plan (2)'!AA21*1000000),100%,('LPP Act Financing Plan (2)'!AA21*1000000)/('Construction Timing'!$I$23*'Underlying Assumptions'!$E$9))</f>
        <v>0.10548387611651736</v>
      </c>
      <c r="AB24" s="490">
        <f>IF(('Construction Timing'!$I23*'Underlying Assumptions'!$E$9)&lt;('LPP Act Financing Plan (2)'!AB21*1000000),100%,('LPP Act Financing Plan (2)'!AB21*1000000)/('Construction Timing'!$I$23*'Underlying Assumptions'!$E$9))</f>
        <v>0.13044663518685529</v>
      </c>
      <c r="AC24" s="490">
        <f>IF(('Construction Timing'!$I23*'Underlying Assumptions'!$E$9)&lt;('LPP Act Financing Plan (2)'!AC21*1000000),100%,('LPP Act Financing Plan (2)'!AC21*1000000)/('Construction Timing'!$I$23*'Underlying Assumptions'!$E$9))</f>
        <v>0.15604766874365672</v>
      </c>
      <c r="AD24" s="490">
        <f>IF(('Construction Timing'!$I23*'Underlying Assumptions'!$E$9)&lt;('LPP Act Financing Plan (2)'!AD21*1000000),100%,('LPP Act Financing Plan (2)'!AD21*1000000)/('Construction Timing'!$I$23*'Underlying Assumptions'!$E$9))</f>
        <v>0.18230308243159474</v>
      </c>
      <c r="AE24" s="490">
        <f>IF(('Construction Timing'!$I23*'Underlying Assumptions'!$E$9)&lt;('LPP Act Financing Plan (2)'!AE21*1000000),100%,('LPP Act Financing Plan (2)'!AE21*1000000)/('Construction Timing'!$I$23*'Underlying Assumptions'!$E$9))</f>
        <v>0.20922938147863837</v>
      </c>
      <c r="AF24" s="490">
        <f>IF(('Construction Timing'!$I23*'Underlying Assumptions'!$E$9)&lt;('LPP Act Financing Plan (2)'!AF21*1000000),100%,('LPP Act Financing Plan (2)'!AF21*1000000)/('Construction Timing'!$I$23*'Underlying Assumptions'!$E$9))</f>
        <v>0.23684348039048789</v>
      </c>
      <c r="AG24" s="490">
        <f>IF(('Construction Timing'!$I23*'Underlying Assumptions'!$E$9)&lt;('LPP Act Financing Plan (2)'!AG21*1000000),100%,('LPP Act Financing Plan (2)'!AG21*1000000)/('Construction Timing'!$I$23*'Underlying Assumptions'!$E$9))</f>
        <v>0.26516271287303694</v>
      </c>
      <c r="AH24" s="490">
        <f>IF(('Construction Timing'!$I23*'Underlying Assumptions'!$E$9)&lt;('LPP Act Financing Plan (2)'!AH21*1000000),100%,('LPP Act Financing Plan (2)'!AH21*1000000)/('Construction Timing'!$I$23*'Underlying Assumptions'!$E$9))</f>
        <v>0.29420484198797353</v>
      </c>
      <c r="AI24" s="490">
        <f>IF(('Construction Timing'!$I23*'Underlying Assumptions'!$E$9)&lt;('LPP Act Financing Plan (2)'!AI21*1000000),100%,('LPP Act Financing Plan (2)'!AI21*1000000)/('Construction Timing'!$I$23*'Underlying Assumptions'!$E$9))</f>
        <v>0.32398807054676021</v>
      </c>
      <c r="AJ24" s="490">
        <f>IF(('Construction Timing'!$I23*'Underlying Assumptions'!$E$9)&lt;('LPP Act Financing Plan (2)'!AJ21*1000000),100%,('LPP Act Financing Plan (2)'!AJ21*1000000)/('Construction Timing'!$I$23*'Underlying Assumptions'!$E$9))</f>
        <v>0.35453105174832261</v>
      </c>
      <c r="AK24" s="490">
        <f>IF(('Construction Timing'!$I23*'Underlying Assumptions'!$E$9)&lt;('LPP Act Financing Plan (2)'!AK21*1000000),100%,('LPP Act Financing Plan (2)'!AK21*1000000)/('Construction Timing'!$I$23*'Underlying Assumptions'!$E$9))</f>
        <v>0.38585290006590273</v>
      </c>
      <c r="AL24" s="490">
        <f>IF(('Construction Timing'!$I23*'Underlying Assumptions'!$E$9)&lt;('LPP Act Financing Plan (2)'!AL21*1000000),100%,('LPP Act Financing Plan (2)'!AL21*1000000)/('Construction Timing'!$I$23*'Underlying Assumptions'!$E$9))</f>
        <v>0.41797320238863173</v>
      </c>
      <c r="AM24" s="490">
        <f>IF(('Construction Timing'!$I23*'Underlying Assumptions'!$E$9)&lt;('LPP Act Financing Plan (2)'!AM21*1000000),100%,('LPP Act Financing Plan (2)'!AM21*1000000)/('Construction Timing'!$I$23*'Underlying Assumptions'!$E$9))</f>
        <v>0.45091202942350772</v>
      </c>
      <c r="AN24" s="490">
        <f>IF(('Construction Timing'!$I23*'Underlying Assumptions'!$E$9)&lt;('LPP Act Financing Plan (2)'!AN21*1000000),100%,('LPP Act Financing Plan (2)'!AN21*1000000)/('Construction Timing'!$I$23*'Underlying Assumptions'!$E$9))</f>
        <v>0.48828665391717341</v>
      </c>
      <c r="AO24" s="490">
        <f>IF(('Construction Timing'!$I23*'Underlying Assumptions'!$E$9)&lt;('LPP Act Financing Plan (2)'!AO21*1000000),100%,('LPP Act Financing Plan (2)'!AO21*1000000)/('Construction Timing'!$I$23*'Underlying Assumptions'!$E$9))</f>
        <v>0.52672645520890904</v>
      </c>
      <c r="AP24" s="490">
        <f>IF(('Construction Timing'!$I23*'Underlying Assumptions'!$E$9)&lt;('LPP Act Financing Plan (2)'!AP21*1000000),100%,('LPP Act Financing Plan (2)'!AP21*1000000)/('Construction Timing'!$I$23*'Underlying Assumptions'!$E$9))</f>
        <v>0.5662617908374592</v>
      </c>
      <c r="AQ24" s="490">
        <f>IF(('Construction Timing'!$I23*'Underlying Assumptions'!$E$9)&lt;('LPP Act Financing Plan (2)'!AQ21*1000000),100%,('LPP Act Financing Plan (2)'!AQ21*1000000)/('Construction Timing'!$I$23*'Underlying Assumptions'!$E$9))</f>
        <v>0.60692388353142279</v>
      </c>
      <c r="AR24" s="490">
        <f>IF(('Construction Timing'!$I23*'Underlying Assumptions'!$E$9)&lt;('LPP Act Financing Plan (2)'!AR21*1000000),100%,('LPP Act Financing Plan (2)'!AR21*1000000)/('Construction Timing'!$I$23*'Underlying Assumptions'!$E$9))</f>
        <v>0.64874484586716452</v>
      </c>
      <c r="AS24" s="490">
        <f>IF(('Construction Timing'!$I23*'Underlying Assumptions'!$E$9)&lt;('LPP Act Financing Plan (2)'!AS21*1000000),100%,('LPP Act Financing Plan (2)'!AS21*1000000)/('Construction Timing'!$I$23*'Underlying Assumptions'!$E$9))</f>
        <v>0.69175770562947503</v>
      </c>
      <c r="AT24" s="490">
        <f>IF(('Construction Timing'!$I23*'Underlying Assumptions'!$E$9)&lt;('LPP Act Financing Plan (2)'!AT21*1000000),100%,('LPP Act Financing Plan (2)'!AT21*1000000)/('Construction Timing'!$I$23*'Underlying Assumptions'!$E$9))</f>
        <v>0.73599643189501074</v>
      </c>
      <c r="AU24" s="490">
        <f>IF(('Construction Timing'!$I23*'Underlying Assumptions'!$E$9)&lt;('LPP Act Financing Plan (2)'!AU21*1000000),100%,('LPP Act Financing Plan (2)'!AU21*1000000)/('Construction Timing'!$I$23*'Underlying Assumptions'!$E$9))</f>
        <v>0.78149596185911474</v>
      </c>
      <c r="AV24" s="490">
        <f>IF(('Construction Timing'!$I23*'Underlying Assumptions'!$E$9)&lt;('LPP Act Financing Plan (2)'!AV21*1000000),100%,('LPP Act Financing Plan (2)'!AV21*1000000)/('Construction Timing'!$I$23*'Underlying Assumptions'!$E$9))</f>
        <v>0.82829222842719552</v>
      </c>
      <c r="AW24" s="490">
        <f>IF(('Construction Timing'!$I23*'Underlying Assumptions'!$E$9)&lt;('LPP Act Financing Plan (2)'!AW21*1000000),100%,('LPP Act Financing Plan (2)'!AW21*1000000)/('Construction Timing'!$I$23*'Underlying Assumptions'!$E$9))</f>
        <v>0.8764221885924669</v>
      </c>
      <c r="AX24" s="490">
        <f>IF(('Construction Timing'!$I23*'Underlying Assumptions'!$E$9)&lt;('LPP Act Financing Plan (2)'!AX21*1000000),100%,('LPP Act Financing Plan (2)'!AX21*1000000)/('Construction Timing'!$I$23*'Underlying Assumptions'!$E$9))</f>
        <v>0.92592385262244803</v>
      </c>
      <c r="AY24" s="490">
        <f>IF(('Construction Timing'!$I23*'Underlying Assumptions'!$E$9)&lt;('LPP Act Financing Plan (2)'!AY21*1000000),100%,('LPP Act Financing Plan (2)'!AY21*1000000)/('Construction Timing'!$I$23*'Underlying Assumptions'!$E$9))</f>
        <v>0.97683631407728411</v>
      </c>
      <c r="AZ24" s="490">
        <f>IF(('Construction Timing'!$I23*'Underlying Assumptions'!$E$9)&lt;('LPP Act Financing Plan (2)'!AZ21*1000000),100%,('LPP Act Financing Plan (2)'!AZ21*1000000)/('Construction Timing'!$I$23*'Underlying Assumptions'!$E$9))</f>
        <v>1</v>
      </c>
      <c r="BA24" s="490">
        <f>IF(('Construction Timing'!$I23*'Underlying Assumptions'!$E$9)&lt;('LPP Act Financing Plan (2)'!BA21*1000000),100%,('LPP Act Financing Plan (2)'!BA21*1000000)/('Construction Timing'!$I$23*'Underlying Assumptions'!$E$9))</f>
        <v>1</v>
      </c>
      <c r="BB24" s="490">
        <f>IF(('Construction Timing'!$I23*'Underlying Assumptions'!$E$9)&lt;('LPP Act Financing Plan (2)'!BB21*1000000),100%,('LPP Act Financing Plan (2)'!BB21*1000000)/('Construction Timing'!$I$23*'Underlying Assumptions'!$E$9))</f>
        <v>1</v>
      </c>
      <c r="BC24" s="490">
        <f>IF(('Construction Timing'!$I23*'Underlying Assumptions'!$E$9)&lt;('LPP Act Financing Plan (2)'!BC21*1000000),100%,('LPP Act Financing Plan (2)'!BC21*1000000)/('Construction Timing'!$I$23*'Underlying Assumptions'!$E$9))</f>
        <v>1</v>
      </c>
      <c r="BD24" s="490">
        <f>IF(('Construction Timing'!$I23*'Underlying Assumptions'!$E$9)&lt;('LPP Act Financing Plan (2)'!BD21*1000000),100%,('LPP Act Financing Plan (2)'!BD21*1000000)/('Construction Timing'!$I$23*'Underlying Assumptions'!$E$9))</f>
        <v>1</v>
      </c>
      <c r="BE24" s="490">
        <f>IF(('Construction Timing'!$I23*'Underlying Assumptions'!$E$9)&lt;('LPP Act Financing Plan (2)'!BE21*1000000),100%,('LPP Act Financing Plan (2)'!BE21*1000000)/('Construction Timing'!$I$23*'Underlying Assumptions'!$E$9))</f>
        <v>1</v>
      </c>
      <c r="BF24" s="490">
        <f>IF(('Construction Timing'!$I23*'Underlying Assumptions'!$E$9)&lt;('LPP Act Financing Plan (2)'!BF21*1000000),100%,('LPP Act Financing Plan (2)'!BF21*1000000)/('Construction Timing'!$I$23*'Underlying Assumptions'!$E$9))</f>
        <v>1</v>
      </c>
      <c r="BG24" s="490">
        <f>IF(('Construction Timing'!$I23*'Underlying Assumptions'!$E$9)&lt;('LPP Act Financing Plan (2)'!BG21*1000000),100%,('LPP Act Financing Plan (2)'!BG21*1000000)/('Construction Timing'!$I$23*'Underlying Assumptions'!$E$9))</f>
        <v>1</v>
      </c>
      <c r="BH24" s="490">
        <f>IF(('Construction Timing'!$I23*'Underlying Assumptions'!$E$9)&lt;('LPP Act Financing Plan (2)'!BH21*1000000),100%,('LPP Act Financing Plan (2)'!BH21*1000000)/('Construction Timing'!$I$23*'Underlying Assumptions'!$E$9))</f>
        <v>1</v>
      </c>
      <c r="BI24" s="490">
        <f>IF(('Construction Timing'!$I23*'Underlying Assumptions'!$E$9)&lt;('LPP Act Financing Plan (2)'!BI21*1000000),100%,('LPP Act Financing Plan (2)'!BI21*1000000)/('Construction Timing'!$I$23*'Underlying Assumptions'!$E$9))</f>
        <v>1</v>
      </c>
      <c r="BJ24" s="490">
        <f>IF(('Construction Timing'!$I23*'Underlying Assumptions'!$E$9)&lt;('LPP Act Financing Plan (2)'!BJ21*1000000),100%,('LPP Act Financing Plan (2)'!BJ21*1000000)/('Construction Timing'!$I$23*'Underlying Assumptions'!$E$9))</f>
        <v>1</v>
      </c>
      <c r="BK24" s="490">
        <f>IF(('Construction Timing'!$I23*'Underlying Assumptions'!$E$9)&lt;('LPP Act Financing Plan (2)'!BK21*1000000),100%,('LPP Act Financing Plan (2)'!BK21*1000000)/('Construction Timing'!$I$23*'Underlying Assumptions'!$E$9))</f>
        <v>1</v>
      </c>
      <c r="BL24" s="490">
        <f>IF(('Construction Timing'!$I23*'Underlying Assumptions'!$E$9)&lt;('LPP Act Financing Plan (2)'!BL21*1000000),100%,('LPP Act Financing Plan (2)'!BL21*1000000)/('Construction Timing'!$I$23*'Underlying Assumptions'!$E$9))</f>
        <v>1</v>
      </c>
      <c r="BM24" s="490">
        <f>IF(('Construction Timing'!$I23*'Underlying Assumptions'!$E$9)&lt;('LPP Act Financing Plan (2)'!BM21*1000000),100%,('LPP Act Financing Plan (2)'!BM21*1000000)/('Construction Timing'!$I$23*'Underlying Assumptions'!$E$9))</f>
        <v>1</v>
      </c>
      <c r="BN24" s="490">
        <f>IF(('Construction Timing'!$I23*'Underlying Assumptions'!$E$9)&lt;('LPP Act Financing Plan (2)'!BN21*1000000),100%,('LPP Act Financing Plan (2)'!BN21*1000000)/('Construction Timing'!$I$23*'Underlying Assumptions'!$E$9))</f>
        <v>1</v>
      </c>
      <c r="BO24" s="490">
        <f>IF(('Construction Timing'!$I23*'Underlying Assumptions'!$E$9)&lt;('LPP Act Financing Plan (2)'!BO21*1000000),100%,('LPP Act Financing Plan (2)'!BO21*1000000)/('Construction Timing'!$I$23*'Underlying Assumptions'!$E$9))</f>
        <v>1</v>
      </c>
      <c r="BP24" s="490">
        <f>IF(('Construction Timing'!$I23*'Underlying Assumptions'!$E$9)&lt;('LPP Act Financing Plan (2)'!BP21*1000000),100%,('LPP Act Financing Plan (2)'!BP21*1000000)/('Construction Timing'!$I$23*'Underlying Assumptions'!$E$9))</f>
        <v>1</v>
      </c>
      <c r="BQ24" s="490">
        <f>IF(('Construction Timing'!$I23*'Underlying Assumptions'!$E$9)&lt;('LPP Act Financing Plan (2)'!BQ21*1000000),100%,('LPP Act Financing Plan (2)'!BQ21*1000000)/('Construction Timing'!$I$23*'Underlying Assumptions'!$E$9))</f>
        <v>1</v>
      </c>
      <c r="BR24" s="490">
        <f>IF(('Construction Timing'!$I23*'Underlying Assumptions'!$E$9)&lt;('LPP Act Financing Plan (2)'!BR21*1000000),100%,('LPP Act Financing Plan (2)'!BR21*1000000)/('Construction Timing'!$I$23*'Underlying Assumptions'!$E$9))</f>
        <v>1</v>
      </c>
      <c r="BS24" s="490">
        <f>IF(('Construction Timing'!$I23*'Underlying Assumptions'!$E$9)&lt;('LPP Act Financing Plan (2)'!BS21*1000000),100%,('LPP Act Financing Plan (2)'!BS21*1000000)/('Construction Timing'!$I$23*'Underlying Assumptions'!$E$9))</f>
        <v>1</v>
      </c>
      <c r="BT24" s="490">
        <f>IF(('Construction Timing'!$I23*'Underlying Assumptions'!$E$9)&lt;('LPP Act Financing Plan (2)'!BT21*1000000),100%,('LPP Act Financing Plan (2)'!BT21*1000000)/('Construction Timing'!$I$23*'Underlying Assumptions'!$E$9))</f>
        <v>1</v>
      </c>
      <c r="BU24" s="490">
        <f>IF(('Construction Timing'!$I23*'Underlying Assumptions'!$E$9)&lt;('LPP Act Financing Plan (2)'!BU21*1000000),100%,('LPP Act Financing Plan (2)'!BU21*1000000)/('Construction Timing'!$I$23*'Underlying Assumptions'!$E$9))</f>
        <v>1</v>
      </c>
    </row>
    <row r="26" spans="1:104" x14ac:dyDescent="0.25">
      <c r="A26" s="472" t="s">
        <v>275</v>
      </c>
    </row>
    <row r="27" spans="1:104" s="410" customFormat="1" x14ac:dyDescent="0.25">
      <c r="A27" s="762"/>
      <c r="B27" s="410" t="s">
        <v>518</v>
      </c>
      <c r="E27" s="763">
        <f>IF(E3='Construction Timing'!$I$20,'LPP Cost'!$I$20/'Construction Timing'!$I$17,0)</f>
        <v>0</v>
      </c>
      <c r="F27" s="783">
        <f>E32*(1+'Interest Rate'!$J$16)</f>
        <v>-52250000</v>
      </c>
      <c r="G27" s="783">
        <f>F32*(1+'Interest Rate'!$J$16)</f>
        <v>-54601250</v>
      </c>
      <c r="H27" s="783">
        <f>G32*(1+'Interest Rate'!$J$16)</f>
        <v>-57058306.249999993</v>
      </c>
      <c r="I27" s="783">
        <f>H32*(1+'Interest Rate'!$J$16)</f>
        <v>-59625930.031249985</v>
      </c>
      <c r="J27" s="783">
        <f>I32*(1+'Interest Rate'!$J$16)</f>
        <v>-62309096.882656232</v>
      </c>
      <c r="K27" s="783">
        <f>J32*(1+'Interest Rate'!$J$16)</f>
        <v>-65113006.242375754</v>
      </c>
      <c r="L27" s="783">
        <f>K32*(1+'Interest Rate'!$J$16)</f>
        <v>-68043091.523282662</v>
      </c>
      <c r="M27" s="783">
        <f>L32*(1+'Interest Rate'!$J$16)</f>
        <v>-71105030.64183037</v>
      </c>
      <c r="N27" s="783">
        <f>M32*(1+'Interest Rate'!$J$16)</f>
        <v>-74304757.020712733</v>
      </c>
      <c r="O27" s="783">
        <f>N32*(1+'Interest Rate'!$J$16)</f>
        <v>-77648471.086644799</v>
      </c>
      <c r="P27" s="783">
        <f>O32*(1+'Interest Rate'!$J$16)</f>
        <v>-81142652.285543814</v>
      </c>
      <c r="Q27" s="783">
        <f>P32*(1+'Interest Rate'!$J$16)</f>
        <v>-84794071.638393283</v>
      </c>
      <c r="R27" s="783">
        <f>Q32*(1+'Interest Rate'!$J$16)</f>
        <v>-88609804.862120971</v>
      </c>
      <c r="S27" s="783">
        <f>R32*(1+'Interest Rate'!$J$16)</f>
        <v>-92597246.080916405</v>
      </c>
      <c r="T27" s="783">
        <f>S32*(1+'Interest Rate'!$J$16)</f>
        <v>-96764122.15455763</v>
      </c>
      <c r="U27" s="783">
        <f>T32*(1+'Interest Rate'!$J$16)</f>
        <v>-101118507.65151271</v>
      </c>
      <c r="V27" s="783">
        <f>U32*(1+'Interest Rate'!$J$16)</f>
        <v>-105668840.49583077</v>
      </c>
      <c r="W27" s="783">
        <f>V32*(1+'Interest Rate'!$J$16)</f>
        <v>2029591986.2874701</v>
      </c>
      <c r="X27" s="783">
        <f>W32*(1+'Interest Rate'!$J$16)</f>
        <v>2096094115.1211896</v>
      </c>
      <c r="Y27" s="783">
        <f>X32*(1+'Interest Rate'!$J$16)</f>
        <v>2115352744.6532247</v>
      </c>
      <c r="Z27" s="783">
        <f>Y32*(1+'Interest Rate'!$J$16)</f>
        <v>2083634761.3041744</v>
      </c>
      <c r="AA27" s="783">
        <f>Z32*(1+'Interest Rate'!$J$16)</f>
        <v>2000716221.310818</v>
      </c>
      <c r="AB27" s="783">
        <f>AA32*(1+'Interest Rate'!$J$16)</f>
        <v>1870208200.6452601</v>
      </c>
      <c r="AC27" s="783">
        <f>AB32*(1+'Interest Rate'!$J$16)</f>
        <v>1699426896.2919726</v>
      </c>
      <c r="AD27" s="783">
        <f>AC32*(1+'Interest Rate'!$J$16)</f>
        <v>1498775879.0169826</v>
      </c>
      <c r="AE27" s="783">
        <f>AD32*(1+'Interest Rate'!$J$16)</f>
        <v>1280693915.1359766</v>
      </c>
      <c r="AF27" s="783">
        <f>AE32*(1+'Interest Rate'!$J$16)</f>
        <v>1058308199.7820082</v>
      </c>
      <c r="AG27" s="783">
        <f>AF32*(1+'Interest Rate'!$J$16)</f>
        <v>843999268.52873862</v>
      </c>
      <c r="AH27" s="783">
        <f>AG32*(1+'Interest Rate'!$J$16)</f>
        <v>648111228.79982543</v>
      </c>
      <c r="AI27" s="783">
        <f>AH32*(1+'Interest Rate'!$J$16)</f>
        <v>478018286.66144776</v>
      </c>
      <c r="AJ27" s="783">
        <f>AI32*(1+'Interest Rate'!$J$16)</f>
        <v>337687637.17253429</v>
      </c>
      <c r="AK27" s="783">
        <f>AJ32*(1+'Interest Rate'!$J$16)</f>
        <v>227775393.78350043</v>
      </c>
      <c r="AL27" s="783">
        <f>AK32*(1+'Interest Rate'!$J$16)</f>
        <v>146182539.41726556</v>
      </c>
      <c r="AM27" s="783">
        <f>AL32*(1+'Interest Rate'!$J$16)</f>
        <v>88910852.271496475</v>
      </c>
      <c r="AN27" s="783">
        <f>AM32*(1+'Interest Rate'!$J$16)</f>
        <v>51016774.010601513</v>
      </c>
      <c r="AO27" s="783">
        <f>AN32*(1+'Interest Rate'!$J$16)</f>
        <v>27280732.521405518</v>
      </c>
      <c r="AP27" s="783">
        <f>AO32*(1+'Interest Rate'!$J$16)</f>
        <v>13492255.18922383</v>
      </c>
      <c r="AQ27" s="783">
        <f>AP32*(1+'Interest Rate'!$J$16)</f>
        <v>6115451.4004881484</v>
      </c>
      <c r="AR27" s="783">
        <f>AQ32*(1+'Interest Rate'!$J$16)</f>
        <v>2512010.5918692322</v>
      </c>
      <c r="AS27" s="783">
        <f>AR32*(1+'Interest Rate'!$J$16)</f>
        <v>922062.71767370787</v>
      </c>
      <c r="AT27" s="783">
        <f>AS32*(1+'Interest Rate'!$J$16)</f>
        <v>297008.57039348222</v>
      </c>
      <c r="AU27" s="783">
        <f>AT32*(1+'Interest Rate'!$J$16)</f>
        <v>81939.831847015026</v>
      </c>
      <c r="AV27" s="783">
        <f>AU32*(1+'Interest Rate'!$J$16)</f>
        <v>18709.872429599996</v>
      </c>
      <c r="AW27" s="783">
        <f>AV32*(1+'Interest Rate'!$J$16)</f>
        <v>3357.198873856481</v>
      </c>
      <c r="AX27" s="783">
        <f>AW32*(1+'Interest Rate'!$J$16)</f>
        <v>433.54467730911466</v>
      </c>
      <c r="AY27" s="783">
        <f>AX32*(1+'Interest Rate'!$J$16)</f>
        <v>33.560508784602845</v>
      </c>
      <c r="AZ27" s="783">
        <f>AY32*(1+'Interest Rate'!$J$16)</f>
        <v>0.81236741371327958</v>
      </c>
      <c r="BA27" s="783">
        <f>AZ32*(1+'Interest Rate'!$J$16)</f>
        <v>0</v>
      </c>
      <c r="BB27" s="783">
        <f>BA32*(1+'Interest Rate'!$J$16)</f>
        <v>0</v>
      </c>
      <c r="BC27" s="783">
        <f>BB32*(1+'Interest Rate'!$J$16)</f>
        <v>0</v>
      </c>
      <c r="BD27" s="783">
        <f>BC32*(1+'Interest Rate'!$J$16)</f>
        <v>0</v>
      </c>
      <c r="BE27" s="783">
        <f>BD32*(1+'Interest Rate'!$J$16)</f>
        <v>0</v>
      </c>
      <c r="BF27" s="783">
        <f>BE32*(1+'Interest Rate'!$J$16)</f>
        <v>0</v>
      </c>
      <c r="BG27" s="783">
        <f>BF32*(1+'Interest Rate'!$J$16)</f>
        <v>0</v>
      </c>
      <c r="BH27" s="783">
        <f>BG32*(1+'Interest Rate'!$J$16)</f>
        <v>0</v>
      </c>
      <c r="BI27" s="783">
        <f>BH32*(1+'Interest Rate'!$J$16)</f>
        <v>0</v>
      </c>
      <c r="BJ27" s="783">
        <f>BI32*(1+'Interest Rate'!$J$16)</f>
        <v>0</v>
      </c>
      <c r="BK27" s="783">
        <f>BJ32*(1+'Interest Rate'!$J$16)</f>
        <v>0</v>
      </c>
      <c r="BL27" s="783">
        <f>BK32*(1+'Interest Rate'!$J$16)</f>
        <v>0</v>
      </c>
      <c r="BM27" s="783">
        <f>BL32*(1+'Interest Rate'!$J$16)</f>
        <v>0</v>
      </c>
      <c r="BN27" s="783">
        <f>BM32*(1+'Interest Rate'!$J$16)</f>
        <v>0</v>
      </c>
      <c r="BO27" s="783">
        <f>BN32*(1+'Interest Rate'!$J$16)</f>
        <v>0</v>
      </c>
      <c r="BP27" s="783">
        <f>BO32*(1+'Interest Rate'!$J$16)</f>
        <v>0</v>
      </c>
      <c r="BQ27" s="783">
        <f>BP32*(1+'Interest Rate'!$J$16)</f>
        <v>0</v>
      </c>
      <c r="BR27" s="783">
        <f>BQ32*(1+'Interest Rate'!$J$16)</f>
        <v>0</v>
      </c>
      <c r="BS27" s="783">
        <f>BR32*(1+'Interest Rate'!$J$16)</f>
        <v>0</v>
      </c>
      <c r="BT27" s="783">
        <f>BS32*(1+'Interest Rate'!$J$16)</f>
        <v>0</v>
      </c>
      <c r="BU27" s="783">
        <f>BT32*(1+'Interest Rate'!$J$16)</f>
        <v>0</v>
      </c>
      <c r="BV27" s="783">
        <f>BU32*(1+'Interest Rate'!$J$16)</f>
        <v>0</v>
      </c>
      <c r="BW27" s="783">
        <f>BV32*(1+'Interest Rate'!$J$16)</f>
        <v>0</v>
      </c>
      <c r="BX27" s="783">
        <f>BW32*(1+'Interest Rate'!$J$16)</f>
        <v>0</v>
      </c>
      <c r="BY27" s="783">
        <f>BX32*(1+'Interest Rate'!$J$16)</f>
        <v>0</v>
      </c>
      <c r="BZ27" s="783">
        <f>BY32*(1+'Interest Rate'!$J$16)</f>
        <v>0</v>
      </c>
      <c r="CA27" s="783">
        <f>BZ32*(1+'Interest Rate'!$J$16)</f>
        <v>0</v>
      </c>
      <c r="CB27" s="783">
        <f>CA32*(1+'Interest Rate'!$J$16)</f>
        <v>0</v>
      </c>
      <c r="CC27" s="783">
        <f>CB32*(1+'Interest Rate'!$J$16)</f>
        <v>0</v>
      </c>
      <c r="CD27" s="783">
        <f>CC32*(1+'Interest Rate'!$J$16)</f>
        <v>0</v>
      </c>
      <c r="CE27" s="783">
        <f>CD32*(1+'Interest Rate'!$J$16)</f>
        <v>0</v>
      </c>
      <c r="CF27" s="783">
        <f>CE32*(1+'Interest Rate'!$J$16)</f>
        <v>0</v>
      </c>
      <c r="CG27" s="783">
        <f>CF32*(1+'Interest Rate'!$J$16)</f>
        <v>0</v>
      </c>
      <c r="CH27" s="783">
        <f>CG32*(1+'Interest Rate'!$J$16)</f>
        <v>0</v>
      </c>
      <c r="CI27" s="783">
        <f>CH32*(1+'Interest Rate'!$J$16)</f>
        <v>0</v>
      </c>
      <c r="CJ27" s="783">
        <f>CI32*(1+'Interest Rate'!$J$16)</f>
        <v>0</v>
      </c>
      <c r="CK27" s="783">
        <f>CJ32*(1+'Interest Rate'!$J$16)</f>
        <v>0</v>
      </c>
      <c r="CL27" s="783">
        <f>CK32*(1+'Interest Rate'!$J$16)</f>
        <v>0</v>
      </c>
      <c r="CM27" s="783">
        <f>CL32*(1+'Interest Rate'!$J$16)</f>
        <v>0</v>
      </c>
      <c r="CN27" s="783">
        <f>CM32*(1+'Interest Rate'!$J$16)</f>
        <v>0</v>
      </c>
      <c r="CO27" s="783">
        <f>CN32*(1+'Interest Rate'!$J$16)</f>
        <v>0</v>
      </c>
      <c r="CP27" s="783">
        <f>CO32*(1+'Interest Rate'!$J$16)</f>
        <v>0</v>
      </c>
      <c r="CQ27" s="783">
        <f>CP32*(1+'Interest Rate'!$J$16)</f>
        <v>0</v>
      </c>
      <c r="CR27" s="783">
        <f>CQ32*(1+'Interest Rate'!$J$16)</f>
        <v>0</v>
      </c>
      <c r="CS27" s="783">
        <f>CR32*(1+'Interest Rate'!$J$16)</f>
        <v>0</v>
      </c>
      <c r="CT27" s="783">
        <f>CS32*(1+'Interest Rate'!$J$16)</f>
        <v>0</v>
      </c>
      <c r="CU27" s="783">
        <f>CT32*(1+'Interest Rate'!$J$16)</f>
        <v>0</v>
      </c>
      <c r="CV27" s="783">
        <f>CU32*(1+'Interest Rate'!$J$16)</f>
        <v>0</v>
      </c>
      <c r="CW27" s="783">
        <f>CV32*(1+'Interest Rate'!$J$16)</f>
        <v>0</v>
      </c>
      <c r="CX27" s="783">
        <f>CW32*(1+'Interest Rate'!$J$16)</f>
        <v>0</v>
      </c>
      <c r="CY27" s="783">
        <f>CX32*(1+'Interest Rate'!$J$16)</f>
        <v>0</v>
      </c>
      <c r="CZ27" s="783">
        <f>CY32*(1+'Interest Rate'!$J$16)</f>
        <v>0</v>
      </c>
    </row>
    <row r="28" spans="1:104" s="410" customFormat="1" x14ac:dyDescent="0.25">
      <c r="B28" s="410" t="s">
        <v>314</v>
      </c>
      <c r="E28" s="763">
        <f>IF(E4='Construction Timing'!$I$20,'LPP Cost'!$I$20/'Construction Timing'!$I$17,0)</f>
        <v>0</v>
      </c>
      <c r="F28" s="783">
        <f>IF(AND(F4&gt;='Construction Timing'!$I$20,F4&lt;('Construction Timing'!$I$20+'Construction Timing'!$I$17))=TRUE,'LPP Cost'!$I$17*(1+'Interest Rate'!$J$16)^(F4-$E$4)/'Construction Timing'!$I$17,0)</f>
        <v>0</v>
      </c>
      <c r="G28" s="783">
        <f>IF(AND(G4&gt;='Construction Timing'!$I$20,G4&lt;('Construction Timing'!$I$20+'Construction Timing'!$I$17))=TRUE,'LPP Cost'!$I$17*(1+'Interest Rate'!$J$16)^(G4-$E$4)/'Construction Timing'!$I$17,0)</f>
        <v>0</v>
      </c>
      <c r="H28" s="783">
        <f>IF(AND(H4&gt;='Construction Timing'!$I$20,H4&lt;('Construction Timing'!$I$20+'Construction Timing'!$I$17))=TRUE,'LPP Cost'!$I$17*(1+'Interest Rate'!$J$16)^(H4-$E$4)/'Construction Timing'!$I$17,0)</f>
        <v>0</v>
      </c>
      <c r="I28" s="783">
        <f>IF(AND(I4&gt;='Construction Timing'!$I$20,I4&lt;('Construction Timing'!$I$20+'Construction Timing'!$I$17))=TRUE,'LPP Cost'!$I$17*(1+'Interest Rate'!$J$16)^(I4-$E$4)/'Construction Timing'!$I$17,0)</f>
        <v>0</v>
      </c>
      <c r="J28" s="783">
        <f>IF(AND(J4&gt;='Construction Timing'!$I$20,J4&lt;('Construction Timing'!$I$20+'Construction Timing'!$I$17))=TRUE,'LPP Cost'!$I$17*(1+'Interest Rate'!$J$16)^(J4-$E$4)/'Construction Timing'!$I$17,0)</f>
        <v>0</v>
      </c>
      <c r="K28" s="783">
        <f>IF(AND(K4&gt;='Construction Timing'!$I$20,K4&lt;('Construction Timing'!$I$20+'Construction Timing'!$I$17))=TRUE,'LPP Cost'!$I$17*(1+'Interest Rate'!$J$16)^(K4-$E$4)/'Construction Timing'!$I$17,0)</f>
        <v>0</v>
      </c>
      <c r="L28" s="783">
        <f>IF(AND(L4&gt;='Construction Timing'!$I$20,L4&lt;('Construction Timing'!$I$20+'Construction Timing'!$I$17))=TRUE,'LPP Cost'!$I$17*(1+'Interest Rate'!$J$16)^(L4-$E$4)/'Construction Timing'!$I$17,0)</f>
        <v>0</v>
      </c>
      <c r="M28" s="783">
        <f>IF(AND(M4&gt;='Construction Timing'!$I$20,M4&lt;('Construction Timing'!$I$20+'Construction Timing'!$I$17))=TRUE,'LPP Cost'!$I$17*(1+'Interest Rate'!$J$16)^(M4-$E$4)/'Construction Timing'!$I$17,0)</f>
        <v>0</v>
      </c>
      <c r="N28" s="783">
        <f>IF(AND(N4&gt;='Construction Timing'!$I$20,N4&lt;('Construction Timing'!$I$20+'Construction Timing'!$I$17))=TRUE,'LPP Cost'!$I$17*(1+'Interest Rate'!$J$16)^(N4-$E$4)/'Construction Timing'!$I$17,0)</f>
        <v>0</v>
      </c>
      <c r="O28" s="783">
        <f>IF(AND(O4&gt;='Construction Timing'!$I$20,O4&lt;('Construction Timing'!$I$20+'Construction Timing'!$I$17))=TRUE,'LPP Cost'!$I$17*(1+'Interest Rate'!$J$16)^(O4-$E$4)/'Construction Timing'!$I$17,0)</f>
        <v>0</v>
      </c>
      <c r="P28" s="783">
        <f>IF(AND(P4&gt;='Construction Timing'!$I$20,P4&lt;('Construction Timing'!$I$20+'Construction Timing'!$I$17))=TRUE,'LPP Cost'!$I$17*(1+'Interest Rate'!$J$16)^(P4-$E$4)/'Construction Timing'!$I$17,0)</f>
        <v>0</v>
      </c>
      <c r="Q28" s="783">
        <f>IF(AND(Q4&gt;='Construction Timing'!$I$20,Q4&lt;('Construction Timing'!$I$20+'Construction Timing'!$I$17))=TRUE,'LPP Cost'!$I$17*(1+'Interest Rate'!$J$16)^(Q4-$E$4)/'Construction Timing'!$I$17,0)</f>
        <v>0</v>
      </c>
      <c r="R28" s="783">
        <f>IF(AND(R4&gt;='Construction Timing'!$I$20,R4&lt;('Construction Timing'!$I$20+'Construction Timing'!$I$17))=TRUE,'LPP Cost'!$I$17*(1+'Interest Rate'!$J$16)^(R4-$E$4)/'Construction Timing'!$I$17,0)</f>
        <v>0</v>
      </c>
      <c r="S28" s="783">
        <f>IF(AND(S4&gt;='Construction Timing'!$I$20,S4&lt;('Construction Timing'!$I$20+'Construction Timing'!$I$17))=TRUE,'LPP Cost'!$I$17*(1+'Interest Rate'!$J$16)^(S4-$E$4)/'Construction Timing'!$I$17,0)</f>
        <v>0</v>
      </c>
      <c r="T28" s="783">
        <f>IF(AND(T4&gt;='Construction Timing'!$I$20,T4&lt;('Construction Timing'!$I$20+'Construction Timing'!$I$17))=TRUE,'LPP Cost'!$I$17*(1+'Interest Rate'!$J$16)^(T4-$E$4)/'Construction Timing'!$I$17,0)</f>
        <v>0</v>
      </c>
      <c r="U28" s="783">
        <f>IF(AND(U4&gt;='Construction Timing'!$I$20,U4&lt;('Construction Timing'!$I$20+'Construction Timing'!$I$17))=TRUE,'LPP Cost'!$I$17*(1+'Interest Rate'!$J$16)^(U4-$E$4)/'Construction Timing'!$I$17,0)</f>
        <v>0</v>
      </c>
      <c r="V28" s="783">
        <f>IF(AND(V4&gt;='Construction Timing'!$I$20,V4&lt;('Construction Timing'!$I$20+'Construction Timing'!$I$17))=TRUE,'LPP Cost'!$I$17*(1+'Interest Rate'!$J$16)^(V4-$E$4)/'Construction Timing'!$I$17,0)</f>
        <v>2047862128.8091993</v>
      </c>
      <c r="W28" s="783">
        <f>IF(AND(W4&gt;='Construction Timing'!$I$20,W4&lt;('Construction Timing'!$I$20+'Construction Timing'!$I$17))=TRUE,'LPP Cost'!$I$17*(1+'Interest Rate'!$J$16)^(W4-$E$4)/'Construction Timing'!$I$17,0)</f>
        <v>0</v>
      </c>
      <c r="X28" s="783">
        <f>IF(AND(X4&gt;='Construction Timing'!$I$20,X4&lt;('Construction Timing'!$I$20+'Construction Timing'!$I$17))=TRUE,'LPP Cost'!$I$17*(1+'Interest Rate'!$J$16)^(X4-$E$4)/'Construction Timing'!$I$17,0)</f>
        <v>0</v>
      </c>
      <c r="Y28" s="783">
        <f>IF(AND(Y4&gt;='Construction Timing'!$I$20,Y4&lt;('Construction Timing'!$I$20+'Construction Timing'!$I$17))=TRUE,'LPP Cost'!$I$17*(1+'Interest Rate'!$J$16)^(Y4-$E$4)/'Construction Timing'!$I$17,0)</f>
        <v>0</v>
      </c>
      <c r="Z28" s="783">
        <f>IF(AND(Z4&gt;='Construction Timing'!$I$20,Z4&lt;('Construction Timing'!$I$20+'Construction Timing'!$I$17))=TRUE,'LPP Cost'!$I$17*(1+'Interest Rate'!$J$16)^(Z4-$E$4)/'Construction Timing'!$I$17,0)</f>
        <v>0</v>
      </c>
      <c r="AA28" s="783">
        <f>IF(AND(AA4&gt;='Construction Timing'!$I$20,AA4&lt;('Construction Timing'!$I$20+'Construction Timing'!$I$17))=TRUE,'LPP Cost'!$I$17*(1+'Interest Rate'!$J$16)^(AA4-$E$4)/'Construction Timing'!$I$17,0)</f>
        <v>0</v>
      </c>
      <c r="AB28" s="783">
        <f>IF(AND(AB4&gt;='Construction Timing'!$I$20,AB4&lt;('Construction Timing'!$I$20+'Construction Timing'!$I$17))=TRUE,'LPP Cost'!$I$17*(1+'Interest Rate'!$J$16)^(AB4-$E$4)/'Construction Timing'!$I$17,0)</f>
        <v>0</v>
      </c>
      <c r="AC28" s="783">
        <f>IF(AND(AC4&gt;='Construction Timing'!$I$20,AC4&lt;('Construction Timing'!$I$20+'Construction Timing'!$I$17))=TRUE,'LPP Cost'!$I$17*(1+'Interest Rate'!$J$16)^(AC4-$E$4)/'Construction Timing'!$I$17,0)</f>
        <v>0</v>
      </c>
      <c r="AD28" s="783">
        <f>IF(AND(AD4&gt;='Construction Timing'!$I$20,AD4&lt;('Construction Timing'!$I$20+'Construction Timing'!$I$17))=TRUE,'LPP Cost'!$I$17*(1+'Interest Rate'!$J$16)^(AD4-$E$4)/'Construction Timing'!$I$17,0)</f>
        <v>0</v>
      </c>
      <c r="AE28" s="783">
        <f>IF(AND(AE4&gt;='Construction Timing'!$I$20,AE4&lt;('Construction Timing'!$I$20+'Construction Timing'!$I$17))=TRUE,'LPP Cost'!$I$17*(1+'Interest Rate'!$J$16)^(AE4-$E$4)/'Construction Timing'!$I$17,0)</f>
        <v>0</v>
      </c>
      <c r="AF28" s="783">
        <f>IF(AND(AF4&gt;='Construction Timing'!$I$20,AF4&lt;('Construction Timing'!$I$20+'Construction Timing'!$I$17))=TRUE,'LPP Cost'!$I$17*(1+'Interest Rate'!$J$16)^(AF4-$E$4)/'Construction Timing'!$I$17,0)</f>
        <v>0</v>
      </c>
      <c r="AG28" s="783">
        <f>IF(AND(AG4&gt;='Construction Timing'!$I$20,AG4&lt;('Construction Timing'!$I$20+'Construction Timing'!$I$17))=TRUE,'LPP Cost'!$I$17*(1+'Interest Rate'!$J$16)^(AG4-$E$4)/'Construction Timing'!$I$17,0)</f>
        <v>0</v>
      </c>
      <c r="AH28" s="783">
        <f>IF(AND(AH4&gt;='Construction Timing'!$I$20,AH4&lt;('Construction Timing'!$I$20+'Construction Timing'!$I$17))=TRUE,'LPP Cost'!$I$17*(1+'Interest Rate'!$J$16)^(AH4-$E$4)/'Construction Timing'!$I$17,0)</f>
        <v>0</v>
      </c>
      <c r="AI28" s="783">
        <f>IF(AND(AI4&gt;='Construction Timing'!$I$20,AI4&lt;('Construction Timing'!$I$20+'Construction Timing'!$I$17))=TRUE,'LPP Cost'!$I$17*(1+'Interest Rate'!$J$16)^(AI4-$E$4)/'Construction Timing'!$I$17,0)</f>
        <v>0</v>
      </c>
      <c r="AJ28" s="783">
        <f>IF(AND(AJ4&gt;='Construction Timing'!$I$20,AJ4&lt;('Construction Timing'!$I$20+'Construction Timing'!$I$17))=TRUE,'LPP Cost'!$I$17*(1+'Interest Rate'!$J$16)^(AJ4-$E$4)/'Construction Timing'!$I$17,0)</f>
        <v>0</v>
      </c>
      <c r="AK28" s="783">
        <f>IF(AND(AK4&gt;='Construction Timing'!$I$20,AK4&lt;('Construction Timing'!$I$20+'Construction Timing'!$I$17))=TRUE,'LPP Cost'!$I$17*(1+'Interest Rate'!$J$16)^(AK4-$E$4)/'Construction Timing'!$I$17,0)</f>
        <v>0</v>
      </c>
      <c r="AL28" s="783">
        <f>IF(AND(AL4&gt;='Construction Timing'!$I$20,AL4&lt;('Construction Timing'!$I$20+'Construction Timing'!$I$17))=TRUE,'LPP Cost'!$I$17*(1+'Interest Rate'!$J$16)^(AL4-$E$4)/'Construction Timing'!$I$17,0)</f>
        <v>0</v>
      </c>
      <c r="AM28" s="783">
        <f>IF(AND(AM4&gt;='Construction Timing'!$I$20,AM4&lt;('Construction Timing'!$I$20+'Construction Timing'!$I$17))=TRUE,'LPP Cost'!$I$17*(1+'Interest Rate'!$J$16)^(AM4-$E$4)/'Construction Timing'!$I$17,0)</f>
        <v>0</v>
      </c>
      <c r="AN28" s="783">
        <f>IF(AND(AN4&gt;='Construction Timing'!$I$20,AN4&lt;('Construction Timing'!$I$20+'Construction Timing'!$I$17))=TRUE,'LPP Cost'!$I$17*(1+'Interest Rate'!$J$16)^(AN4-$E$4)/'Construction Timing'!$I$17,0)</f>
        <v>0</v>
      </c>
      <c r="AO28" s="783">
        <f>IF(AND(AO4&gt;='Construction Timing'!$I$20,AO4&lt;('Construction Timing'!$I$20+'Construction Timing'!$I$17))=TRUE,'LPP Cost'!$I$17*(1+'Interest Rate'!$J$16)^(AO4-$E$4)/'Construction Timing'!$I$17,0)</f>
        <v>0</v>
      </c>
      <c r="AP28" s="783">
        <f>IF(AND(AP4&gt;='Construction Timing'!$I$20,AP4&lt;('Construction Timing'!$I$20+'Construction Timing'!$I$17))=TRUE,'LPP Cost'!$I$17*(1+'Interest Rate'!$J$16)^(AP4-$E$4)/'Construction Timing'!$I$17,0)</f>
        <v>0</v>
      </c>
      <c r="AQ28" s="783">
        <f>IF(AND(AQ4&gt;='Construction Timing'!$I$20,AQ4&lt;('Construction Timing'!$I$20+'Construction Timing'!$I$17))=TRUE,'LPP Cost'!$I$17*(1+'Interest Rate'!$J$16)^(AQ4-$E$4)/'Construction Timing'!$I$17,0)</f>
        <v>0</v>
      </c>
      <c r="AR28" s="783">
        <f>IF(AND(AR4&gt;='Construction Timing'!$I$20,AR4&lt;('Construction Timing'!$I$20+'Construction Timing'!$I$17))=TRUE,'LPP Cost'!$I$17*(1+'Interest Rate'!$J$16)^(AR4-$E$4)/'Construction Timing'!$I$17,0)</f>
        <v>0</v>
      </c>
      <c r="AS28" s="783">
        <f>IF(AND(AS4&gt;='Construction Timing'!$I$20,AS4&lt;('Construction Timing'!$I$20+'Construction Timing'!$I$17))=TRUE,'LPP Cost'!$I$17*(1+'Interest Rate'!$J$16)^(AS4-$E$4)/'Construction Timing'!$I$17,0)</f>
        <v>0</v>
      </c>
      <c r="AT28" s="783">
        <f>IF(AND(AT4&gt;='Construction Timing'!$I$20,AT4&lt;('Construction Timing'!$I$20+'Construction Timing'!$I$17))=TRUE,'LPP Cost'!$I$17*(1+'Interest Rate'!$J$16)^(AT4-$E$4)/'Construction Timing'!$I$17,0)</f>
        <v>0</v>
      </c>
      <c r="AU28" s="783">
        <f>IF(AND(AU4&gt;='Construction Timing'!$I$20,AU4&lt;('Construction Timing'!$I$20+'Construction Timing'!$I$17))=TRUE,'LPP Cost'!$I$17*(1+'Interest Rate'!$J$16)^(AU4-$E$4)/'Construction Timing'!$I$17,0)</f>
        <v>0</v>
      </c>
      <c r="AV28" s="783">
        <f>IF(AND(AV4&gt;='Construction Timing'!$I$20,AV4&lt;('Construction Timing'!$I$20+'Construction Timing'!$I$17))=TRUE,'LPP Cost'!$I$17*(1+'Interest Rate'!$J$16)^(AV4-$E$4)/'Construction Timing'!$I$17,0)</f>
        <v>0</v>
      </c>
      <c r="AW28" s="783">
        <f>IF(AND(AW4&gt;='Construction Timing'!$I$20,AW4&lt;('Construction Timing'!$I$20+'Construction Timing'!$I$17))=TRUE,'LPP Cost'!$I$17*(1+'Interest Rate'!$J$16)^(AW4-$E$4)/'Construction Timing'!$I$17,0)</f>
        <v>0</v>
      </c>
      <c r="AX28" s="783">
        <f>IF(AND(AX4&gt;='Construction Timing'!$I$20,AX4&lt;('Construction Timing'!$I$20+'Construction Timing'!$I$17))=TRUE,'LPP Cost'!$I$17*(1+'Interest Rate'!$J$16)^(AX4-$E$4)/'Construction Timing'!$I$17,0)</f>
        <v>0</v>
      </c>
      <c r="AY28" s="783">
        <f>IF(AND(AY4&gt;='Construction Timing'!$I$20,AY4&lt;('Construction Timing'!$I$20+'Construction Timing'!$I$17))=TRUE,'LPP Cost'!$I$17*(1+'Interest Rate'!$J$16)^(AY4-$E$4)/'Construction Timing'!$I$17,0)</f>
        <v>0</v>
      </c>
      <c r="AZ28" s="783">
        <f>IF(AND(AZ4&gt;='Construction Timing'!$I$20,AZ4&lt;('Construction Timing'!$I$20+'Construction Timing'!$I$17))=TRUE,'LPP Cost'!$I$17*(1+'Interest Rate'!$J$16)^(AZ4-$E$4)/'Construction Timing'!$I$17,0)</f>
        <v>0</v>
      </c>
      <c r="BA28" s="783">
        <f>IF(AND(BA4&gt;='Construction Timing'!$I$20,BA4&lt;('Construction Timing'!$I$20+'Construction Timing'!$I$17))=TRUE,'LPP Cost'!$I$17*(1+'Interest Rate'!$J$16)^(BA4-$E$4)/'Construction Timing'!$I$17,0)</f>
        <v>0</v>
      </c>
      <c r="BB28" s="783">
        <f>IF(AND(BB4&gt;='Construction Timing'!$I$20,BB4&lt;('Construction Timing'!$I$20+'Construction Timing'!$I$17))=TRUE,'LPP Cost'!$I$17*(1+'Interest Rate'!$J$16)^(BB4-$E$4)/'Construction Timing'!$I$17,0)</f>
        <v>0</v>
      </c>
      <c r="BC28" s="783">
        <f>IF(AND(BC4&gt;='Construction Timing'!$I$20,BC4&lt;('Construction Timing'!$I$20+'Construction Timing'!$I$17))=TRUE,'LPP Cost'!$I$17*(1+'Interest Rate'!$J$16)^(BC4-$E$4)/'Construction Timing'!$I$17,0)</f>
        <v>0</v>
      </c>
      <c r="BD28" s="783">
        <f>IF(AND(BD4&gt;='Construction Timing'!$I$20,BD4&lt;('Construction Timing'!$I$20+'Construction Timing'!$I$17))=TRUE,'LPP Cost'!$I$17*(1+'Interest Rate'!$J$16)^(BD4-$E$4)/'Construction Timing'!$I$17,0)</f>
        <v>0</v>
      </c>
      <c r="BE28" s="783">
        <f>IF(AND(BE4&gt;='Construction Timing'!$I$20,BE4&lt;('Construction Timing'!$I$20+'Construction Timing'!$I$17))=TRUE,'LPP Cost'!$I$17*(1+'Interest Rate'!$J$16)^(BE4-$E$4)/'Construction Timing'!$I$17,0)</f>
        <v>0</v>
      </c>
      <c r="BF28" s="783">
        <f>IF(AND(BF4&gt;='Construction Timing'!$I$20,BF4&lt;('Construction Timing'!$I$20+'Construction Timing'!$I$17))=TRUE,'LPP Cost'!$I$17*(1+'Interest Rate'!$J$16)^(BF4-$E$4)/'Construction Timing'!$I$17,0)</f>
        <v>0</v>
      </c>
      <c r="BG28" s="783">
        <f>IF(AND(BG4&gt;='Construction Timing'!$I$20,BG4&lt;('Construction Timing'!$I$20+'Construction Timing'!$I$17))=TRUE,'LPP Cost'!$I$17*(1+'Interest Rate'!$J$16)^(BG4-$E$4)/'Construction Timing'!$I$17,0)</f>
        <v>0</v>
      </c>
      <c r="BH28" s="783">
        <f>IF(AND(BH4&gt;='Construction Timing'!$I$20,BH4&lt;('Construction Timing'!$I$20+'Construction Timing'!$I$17))=TRUE,'LPP Cost'!$I$17*(1+'Interest Rate'!$J$16)^(BH4-$E$4)/'Construction Timing'!$I$17,0)</f>
        <v>0</v>
      </c>
      <c r="BI28" s="783">
        <f>IF(AND(BI4&gt;='Construction Timing'!$I$20,BI4&lt;('Construction Timing'!$I$20+'Construction Timing'!$I$17))=TRUE,'LPP Cost'!$I$17*(1+'Interest Rate'!$J$16)^(BI4-$E$4)/'Construction Timing'!$I$17,0)</f>
        <v>0</v>
      </c>
      <c r="BJ28" s="783">
        <f>IF(AND(BJ4&gt;='Construction Timing'!$I$20,BJ4&lt;('Construction Timing'!$I$20+'Construction Timing'!$I$17))=TRUE,'LPP Cost'!$I$17*(1+'Interest Rate'!$J$16)^(BJ4-$E$4)/'Construction Timing'!$I$17,0)</f>
        <v>0</v>
      </c>
      <c r="BK28" s="783">
        <f>IF(AND(BK4&gt;='Construction Timing'!$I$20,BK4&lt;('Construction Timing'!$I$20+'Construction Timing'!$I$17))=TRUE,'LPP Cost'!$I$17*(1+'Interest Rate'!$J$16)^(BK4-$E$4)/'Construction Timing'!$I$17,0)</f>
        <v>0</v>
      </c>
      <c r="BL28" s="783">
        <f>IF(AND(BL4&gt;='Construction Timing'!$I$20,BL4&lt;('Construction Timing'!$I$20+'Construction Timing'!$I$17))=TRUE,'LPP Cost'!$I$17*(1+'Interest Rate'!$J$16)^(BL4-$E$4)/'Construction Timing'!$I$17,0)</f>
        <v>0</v>
      </c>
      <c r="BM28" s="783">
        <f>IF(AND(BM4&gt;='Construction Timing'!$I$20,BM4&lt;('Construction Timing'!$I$20+'Construction Timing'!$I$17))=TRUE,'LPP Cost'!$I$17*(1+'Interest Rate'!$J$16)^(BM4-$E$4)/'Construction Timing'!$I$17,0)</f>
        <v>0</v>
      </c>
      <c r="BN28" s="783">
        <f>IF(AND(BN4&gt;='Construction Timing'!$I$20,BN4&lt;('Construction Timing'!$I$20+'Construction Timing'!$I$17))=TRUE,'LPP Cost'!$I$17*(1+'Interest Rate'!$J$16)^(BN4-$E$4)/'Construction Timing'!$I$17,0)</f>
        <v>0</v>
      </c>
      <c r="BO28" s="783">
        <f>IF(AND(BO4&gt;='Construction Timing'!$I$20,BO4&lt;('Construction Timing'!$I$20+'Construction Timing'!$I$17))=TRUE,'LPP Cost'!$I$17*(1+'Interest Rate'!$J$16)^(BO4-$E$4)/'Construction Timing'!$I$17,0)</f>
        <v>0</v>
      </c>
      <c r="BP28" s="783">
        <f>IF(AND(BP4&gt;='Construction Timing'!$I$20,BP4&lt;('Construction Timing'!$I$20+'Construction Timing'!$I$17))=TRUE,'LPP Cost'!$I$17*(1+'Interest Rate'!$J$16)^(BP4-$E$4)/'Construction Timing'!$I$17,0)</f>
        <v>0</v>
      </c>
      <c r="BQ28" s="783">
        <f>IF(AND(BQ4&gt;='Construction Timing'!$I$20,BQ4&lt;('Construction Timing'!$I$20+'Construction Timing'!$I$17))=TRUE,'LPP Cost'!$I$17*(1+'Interest Rate'!$J$16)^(BQ4-$E$4)/'Construction Timing'!$I$17,0)</f>
        <v>0</v>
      </c>
      <c r="BR28" s="783">
        <f>IF(AND(BR4&gt;='Construction Timing'!$I$20,BR4&lt;('Construction Timing'!$I$20+'Construction Timing'!$I$17))=TRUE,'LPP Cost'!$I$17*(1+'Interest Rate'!$J$16)^(BR4-$E$4)/'Construction Timing'!$I$17,0)</f>
        <v>0</v>
      </c>
      <c r="BS28" s="783">
        <f>IF(AND(BS4&gt;='Construction Timing'!$I$20,BS4&lt;('Construction Timing'!$I$20+'Construction Timing'!$I$17))=TRUE,'LPP Cost'!$I$17*(1+'Interest Rate'!$J$16)^(BS4-$E$4)/'Construction Timing'!$I$17,0)</f>
        <v>0</v>
      </c>
      <c r="BT28" s="783">
        <f>IF(AND(BT4&gt;='Construction Timing'!$I$20,BT4&lt;('Construction Timing'!$I$20+'Construction Timing'!$I$17))=TRUE,'LPP Cost'!$I$17*(1+'Interest Rate'!$J$16)^(BT4-$E$4)/'Construction Timing'!$I$17,0)</f>
        <v>0</v>
      </c>
      <c r="BU28" s="783">
        <f>IF(AND(BU4&gt;='Construction Timing'!$I$20,BU4&lt;('Construction Timing'!$I$20+'Construction Timing'!$I$17))=TRUE,'LPP Cost'!$I$17*(1+'Interest Rate'!$J$16)^(BU4-$E$4)/'Construction Timing'!$I$17,0)</f>
        <v>0</v>
      </c>
      <c r="BV28" s="783">
        <f>IF(AND(BV4&gt;='Construction Timing'!$I$20,BV4&lt;('Construction Timing'!$I$20+'Construction Timing'!$I$17))=TRUE,'LPP Cost'!$I$17*(1+'Interest Rate'!$J$16)^(BV4-$E$4)/'Construction Timing'!$I$17,0)</f>
        <v>0</v>
      </c>
      <c r="BW28" s="783">
        <f>IF(AND(BW4&gt;='Construction Timing'!$I$20,BW4&lt;('Construction Timing'!$I$20+'Construction Timing'!$I$17))=TRUE,'LPP Cost'!$I$17*(1+'Interest Rate'!$J$16)^(BW4-$E$4)/'Construction Timing'!$I$17,0)</f>
        <v>0</v>
      </c>
      <c r="BX28" s="783">
        <f>IF(AND(BX4&gt;='Construction Timing'!$I$20,BX4&lt;('Construction Timing'!$I$20+'Construction Timing'!$I$17))=TRUE,'LPP Cost'!$I$17*(1+'Interest Rate'!$J$16)^(BX4-$E$4)/'Construction Timing'!$I$17,0)</f>
        <v>0</v>
      </c>
      <c r="BY28" s="783">
        <f>IF(AND(BY4&gt;='Construction Timing'!$I$20,BY4&lt;('Construction Timing'!$I$20+'Construction Timing'!$I$17))=TRUE,'LPP Cost'!$I$17*(1+'Interest Rate'!$J$16)^(BY4-$E$4)/'Construction Timing'!$I$17,0)</f>
        <v>0</v>
      </c>
      <c r="BZ28" s="783">
        <f>IF(AND(BZ4&gt;='Construction Timing'!$I$20,BZ4&lt;('Construction Timing'!$I$20+'Construction Timing'!$I$17))=TRUE,'LPP Cost'!$I$17*(1+'Interest Rate'!$J$16)^(BZ4-$E$4)/'Construction Timing'!$I$17,0)</f>
        <v>0</v>
      </c>
      <c r="CA28" s="783">
        <f>IF(AND(CA4&gt;='Construction Timing'!$I$20,CA4&lt;('Construction Timing'!$I$20+'Construction Timing'!$I$17))=TRUE,'LPP Cost'!$I$17*(1+'Interest Rate'!$J$16)^(CA4-$E$4)/'Construction Timing'!$I$17,0)</f>
        <v>0</v>
      </c>
      <c r="CB28" s="783">
        <f>IF(AND(CB4&gt;='Construction Timing'!$I$20,CB4&lt;('Construction Timing'!$I$20+'Construction Timing'!$I$17))=TRUE,'LPP Cost'!$I$17*(1+'Interest Rate'!$J$16)^(CB4-$E$4)/'Construction Timing'!$I$17,0)</f>
        <v>0</v>
      </c>
      <c r="CC28" s="783">
        <f>IF(AND(CC4&gt;='Construction Timing'!$I$20,CC4&lt;('Construction Timing'!$I$20+'Construction Timing'!$I$17))=TRUE,'LPP Cost'!$I$17*(1+'Interest Rate'!$J$16)^(CC4-$E$4)/'Construction Timing'!$I$17,0)</f>
        <v>0</v>
      </c>
      <c r="CD28" s="783">
        <f>IF(AND(CD4&gt;='Construction Timing'!$I$20,CD4&lt;('Construction Timing'!$I$20+'Construction Timing'!$I$17))=TRUE,'LPP Cost'!$I$17*(1+'Interest Rate'!$J$16)^(CD4-$E$4)/'Construction Timing'!$I$17,0)</f>
        <v>0</v>
      </c>
      <c r="CE28" s="783">
        <f>IF(AND(CE4&gt;='Construction Timing'!$I$20,CE4&lt;('Construction Timing'!$I$20+'Construction Timing'!$I$17))=TRUE,'LPP Cost'!$I$17*(1+'Interest Rate'!$J$16)^(CE4-$E$4)/'Construction Timing'!$I$17,0)</f>
        <v>0</v>
      </c>
      <c r="CF28" s="783">
        <f>IF(AND(CF4&gt;='Construction Timing'!$I$20,CF4&lt;('Construction Timing'!$I$20+'Construction Timing'!$I$17))=TRUE,'LPP Cost'!$I$17*(1+'Interest Rate'!$J$16)^(CF4-$E$4)/'Construction Timing'!$I$17,0)</f>
        <v>0</v>
      </c>
      <c r="CG28" s="783">
        <f>IF(AND(CG4&gt;='Construction Timing'!$I$20,CG4&lt;('Construction Timing'!$I$20+'Construction Timing'!$I$17))=TRUE,'LPP Cost'!$I$17*(1+'Interest Rate'!$J$16)^(CG4-$E$4)/'Construction Timing'!$I$17,0)</f>
        <v>0</v>
      </c>
      <c r="CH28" s="783">
        <f>IF(AND(CH4&gt;='Construction Timing'!$I$20,CH4&lt;('Construction Timing'!$I$20+'Construction Timing'!$I$17))=TRUE,'LPP Cost'!$I$17*(1+'Interest Rate'!$J$16)^(CH4-$E$4)/'Construction Timing'!$I$17,0)</f>
        <v>0</v>
      </c>
      <c r="CI28" s="783">
        <f>IF(AND(CI4&gt;='Construction Timing'!$I$20,CI4&lt;('Construction Timing'!$I$20+'Construction Timing'!$I$17))=TRUE,'LPP Cost'!$I$17*(1+'Interest Rate'!$J$16)^(CI4-$E$4)/'Construction Timing'!$I$17,0)</f>
        <v>0</v>
      </c>
      <c r="CJ28" s="783">
        <f>IF(AND(CJ4&gt;='Construction Timing'!$I$20,CJ4&lt;('Construction Timing'!$I$20+'Construction Timing'!$I$17))=TRUE,'LPP Cost'!$I$17*(1+'Interest Rate'!$J$16)^(CJ4-$E$4)/'Construction Timing'!$I$17,0)</f>
        <v>0</v>
      </c>
      <c r="CK28" s="783">
        <f>IF(AND(CK4&gt;='Construction Timing'!$I$20,CK4&lt;('Construction Timing'!$I$20+'Construction Timing'!$I$17))=TRUE,'LPP Cost'!$I$17*(1+'Interest Rate'!$J$16)^(CK4-$E$4)/'Construction Timing'!$I$17,0)</f>
        <v>0</v>
      </c>
      <c r="CL28" s="783">
        <f>IF(AND(CL4&gt;='Construction Timing'!$I$20,CL4&lt;('Construction Timing'!$I$20+'Construction Timing'!$I$17))=TRUE,'LPP Cost'!$I$17*(1+'Interest Rate'!$J$16)^(CL4-$E$4)/'Construction Timing'!$I$17,0)</f>
        <v>0</v>
      </c>
      <c r="CM28" s="783">
        <f>IF(AND(CM4&gt;='Construction Timing'!$I$20,CM4&lt;('Construction Timing'!$I$20+'Construction Timing'!$I$17))=TRUE,'LPP Cost'!$I$17*(1+'Interest Rate'!$J$16)^(CM4-$E$4)/'Construction Timing'!$I$17,0)</f>
        <v>0</v>
      </c>
      <c r="CN28" s="783">
        <f>IF(AND(CN4&gt;='Construction Timing'!$I$20,CN4&lt;('Construction Timing'!$I$20+'Construction Timing'!$I$17))=TRUE,'LPP Cost'!$I$17*(1+'Interest Rate'!$J$16)^(CN4-$E$4)/'Construction Timing'!$I$17,0)</f>
        <v>0</v>
      </c>
      <c r="CO28" s="783">
        <f>IF(AND(CO4&gt;='Construction Timing'!$I$20,CO4&lt;('Construction Timing'!$I$20+'Construction Timing'!$I$17))=TRUE,'LPP Cost'!$I$17*(1+'Interest Rate'!$J$16)^(CO4-$E$4)/'Construction Timing'!$I$17,0)</f>
        <v>0</v>
      </c>
      <c r="CP28" s="783">
        <f>IF(AND(CP4&gt;='Construction Timing'!$I$20,CP4&lt;('Construction Timing'!$I$20+'Construction Timing'!$I$17))=TRUE,'LPP Cost'!$I$17*(1+'Interest Rate'!$J$16)^(CP4-$E$4)/'Construction Timing'!$I$17,0)</f>
        <v>0</v>
      </c>
      <c r="CQ28" s="783">
        <f>IF(AND(CQ4&gt;='Construction Timing'!$I$20,CQ4&lt;('Construction Timing'!$I$20+'Construction Timing'!$I$17))=TRUE,'LPP Cost'!$I$17*(1+'Interest Rate'!$J$16)^(CQ4-$E$4)/'Construction Timing'!$I$17,0)</f>
        <v>0</v>
      </c>
      <c r="CR28" s="783">
        <f>IF(AND(CR4&gt;='Construction Timing'!$I$20,CR4&lt;('Construction Timing'!$I$20+'Construction Timing'!$I$17))=TRUE,'LPP Cost'!$I$17*(1+'Interest Rate'!$J$16)^(CR4-$E$4)/'Construction Timing'!$I$17,0)</f>
        <v>0</v>
      </c>
      <c r="CS28" s="783">
        <f>IF(AND(CS4&gt;='Construction Timing'!$I$20,CS4&lt;('Construction Timing'!$I$20+'Construction Timing'!$I$17))=TRUE,'LPP Cost'!$I$17*(1+'Interest Rate'!$J$16)^(CS4-$E$4)/'Construction Timing'!$I$17,0)</f>
        <v>0</v>
      </c>
      <c r="CT28" s="783">
        <f>IF(AND(CT4&gt;='Construction Timing'!$I$20,CT4&lt;('Construction Timing'!$I$20+'Construction Timing'!$I$17))=TRUE,'LPP Cost'!$I$17*(1+'Interest Rate'!$J$16)^(CT4-$E$4)/'Construction Timing'!$I$17,0)</f>
        <v>0</v>
      </c>
      <c r="CU28" s="783">
        <f>IF(AND(CU4&gt;='Construction Timing'!$I$20,CU4&lt;('Construction Timing'!$I$20+'Construction Timing'!$I$17))=TRUE,'LPP Cost'!$I$17*(1+'Interest Rate'!$J$16)^(CU4-$E$4)/'Construction Timing'!$I$17,0)</f>
        <v>0</v>
      </c>
      <c r="CV28" s="783">
        <f>IF(AND(CV4&gt;='Construction Timing'!$I$20,CV4&lt;('Construction Timing'!$I$20+'Construction Timing'!$I$17))=TRUE,'LPP Cost'!$I$17*(1+'Interest Rate'!$J$16)^(CV4-$E$4)/'Construction Timing'!$I$17,0)</f>
        <v>0</v>
      </c>
      <c r="CW28" s="783">
        <f>IF(AND(CW4&gt;='Construction Timing'!$I$20,CW4&lt;('Construction Timing'!$I$20+'Construction Timing'!$I$17))=TRUE,'LPP Cost'!$I$17*(1+'Interest Rate'!$J$16)^(CW4-$E$4)/'Construction Timing'!$I$17,0)</f>
        <v>0</v>
      </c>
      <c r="CX28" s="783">
        <f>IF(AND(CX4&gt;='Construction Timing'!$I$20,CX4&lt;('Construction Timing'!$I$20+'Construction Timing'!$I$17))=TRUE,'LPP Cost'!$I$17*(1+'Interest Rate'!$J$16)^(CX4-$E$4)/'Construction Timing'!$I$17,0)</f>
        <v>0</v>
      </c>
      <c r="CY28" s="783">
        <f>IF(AND(CY4&gt;='Construction Timing'!$I$20,CY4&lt;('Construction Timing'!$I$20+'Construction Timing'!$I$17))=TRUE,'LPP Cost'!$I$17*(1+'Interest Rate'!$J$16)^(CY4-$E$4)/'Construction Timing'!$I$17,0)</f>
        <v>0</v>
      </c>
      <c r="CZ28" s="783">
        <f>IF(AND(CZ4&gt;='Construction Timing'!$I$20,CZ4&lt;('Construction Timing'!$I$20+'Construction Timing'!$I$17))=TRUE,'LPP Cost'!$I$17*(1+'Interest Rate'!$J$16)^(CZ4-$E$4)/'Construction Timing'!$I$17,0)</f>
        <v>0</v>
      </c>
    </row>
    <row r="29" spans="1:104" s="410" customFormat="1" x14ac:dyDescent="0.25">
      <c r="B29" s="410" t="s">
        <v>296</v>
      </c>
      <c r="E29" s="763">
        <f>IF(E28=0,0,C29+E28)</f>
        <v>0</v>
      </c>
      <c r="F29" s="763">
        <f t="shared" ref="F29:BQ29" si="21">IF(F28=0,0,E29+F28)</f>
        <v>0</v>
      </c>
      <c r="G29" s="763">
        <f t="shared" si="21"/>
        <v>0</v>
      </c>
      <c r="H29" s="763">
        <f t="shared" si="21"/>
        <v>0</v>
      </c>
      <c r="I29" s="763">
        <f t="shared" si="21"/>
        <v>0</v>
      </c>
      <c r="J29" s="763">
        <f t="shared" si="21"/>
        <v>0</v>
      </c>
      <c r="K29" s="763">
        <f t="shared" si="21"/>
        <v>0</v>
      </c>
      <c r="L29" s="763">
        <f t="shared" si="21"/>
        <v>0</v>
      </c>
      <c r="M29" s="763">
        <f t="shared" si="21"/>
        <v>0</v>
      </c>
      <c r="N29" s="763">
        <f t="shared" si="21"/>
        <v>0</v>
      </c>
      <c r="O29" s="763">
        <f t="shared" si="21"/>
        <v>0</v>
      </c>
      <c r="P29" s="763">
        <f t="shared" si="21"/>
        <v>0</v>
      </c>
      <c r="Q29" s="763">
        <f t="shared" si="21"/>
        <v>0</v>
      </c>
      <c r="R29" s="763">
        <f t="shared" si="21"/>
        <v>0</v>
      </c>
      <c r="S29" s="763">
        <f t="shared" si="21"/>
        <v>0</v>
      </c>
      <c r="T29" s="763">
        <f t="shared" si="21"/>
        <v>0</v>
      </c>
      <c r="U29" s="763">
        <f t="shared" si="21"/>
        <v>0</v>
      </c>
      <c r="V29" s="763">
        <f t="shared" si="21"/>
        <v>2047862128.8091993</v>
      </c>
      <c r="W29" s="763">
        <f t="shared" si="21"/>
        <v>0</v>
      </c>
      <c r="X29" s="763">
        <f t="shared" si="21"/>
        <v>0</v>
      </c>
      <c r="Y29" s="763">
        <f t="shared" si="21"/>
        <v>0</v>
      </c>
      <c r="Z29" s="763">
        <f t="shared" si="21"/>
        <v>0</v>
      </c>
      <c r="AA29" s="763">
        <f t="shared" si="21"/>
        <v>0</v>
      </c>
      <c r="AB29" s="763">
        <f t="shared" si="21"/>
        <v>0</v>
      </c>
      <c r="AC29" s="763">
        <f t="shared" si="21"/>
        <v>0</v>
      </c>
      <c r="AD29" s="763">
        <f t="shared" si="21"/>
        <v>0</v>
      </c>
      <c r="AE29" s="763">
        <f t="shared" si="21"/>
        <v>0</v>
      </c>
      <c r="AF29" s="763">
        <f t="shared" si="21"/>
        <v>0</v>
      </c>
      <c r="AG29" s="763">
        <f t="shared" si="21"/>
        <v>0</v>
      </c>
      <c r="AH29" s="763">
        <f t="shared" si="21"/>
        <v>0</v>
      </c>
      <c r="AI29" s="763">
        <f t="shared" si="21"/>
        <v>0</v>
      </c>
      <c r="AJ29" s="763">
        <f t="shared" si="21"/>
        <v>0</v>
      </c>
      <c r="AK29" s="763">
        <f t="shared" si="21"/>
        <v>0</v>
      </c>
      <c r="AL29" s="763">
        <f t="shared" si="21"/>
        <v>0</v>
      </c>
      <c r="AM29" s="763">
        <f t="shared" si="21"/>
        <v>0</v>
      </c>
      <c r="AN29" s="763">
        <f t="shared" si="21"/>
        <v>0</v>
      </c>
      <c r="AO29" s="763">
        <f t="shared" si="21"/>
        <v>0</v>
      </c>
      <c r="AP29" s="763">
        <f t="shared" si="21"/>
        <v>0</v>
      </c>
      <c r="AQ29" s="763">
        <f t="shared" si="21"/>
        <v>0</v>
      </c>
      <c r="AR29" s="763">
        <f t="shared" si="21"/>
        <v>0</v>
      </c>
      <c r="AS29" s="763">
        <f t="shared" si="21"/>
        <v>0</v>
      </c>
      <c r="AT29" s="763">
        <f t="shared" si="21"/>
        <v>0</v>
      </c>
      <c r="AU29" s="763">
        <f t="shared" si="21"/>
        <v>0</v>
      </c>
      <c r="AV29" s="763">
        <f t="shared" si="21"/>
        <v>0</v>
      </c>
      <c r="AW29" s="763">
        <f t="shared" si="21"/>
        <v>0</v>
      </c>
      <c r="AX29" s="763">
        <f t="shared" si="21"/>
        <v>0</v>
      </c>
      <c r="AY29" s="763">
        <f t="shared" si="21"/>
        <v>0</v>
      </c>
      <c r="AZ29" s="763">
        <f t="shared" si="21"/>
        <v>0</v>
      </c>
      <c r="BA29" s="763">
        <f t="shared" si="21"/>
        <v>0</v>
      </c>
      <c r="BB29" s="763">
        <f t="shared" si="21"/>
        <v>0</v>
      </c>
      <c r="BC29" s="763">
        <f t="shared" si="21"/>
        <v>0</v>
      </c>
      <c r="BD29" s="763">
        <f t="shared" si="21"/>
        <v>0</v>
      </c>
      <c r="BE29" s="763">
        <f t="shared" si="21"/>
        <v>0</v>
      </c>
      <c r="BF29" s="763">
        <f t="shared" si="21"/>
        <v>0</v>
      </c>
      <c r="BG29" s="763">
        <f t="shared" si="21"/>
        <v>0</v>
      </c>
      <c r="BH29" s="763">
        <f t="shared" si="21"/>
        <v>0</v>
      </c>
      <c r="BI29" s="763">
        <f t="shared" si="21"/>
        <v>0</v>
      </c>
      <c r="BJ29" s="763">
        <f t="shared" si="21"/>
        <v>0</v>
      </c>
      <c r="BK29" s="763">
        <f t="shared" si="21"/>
        <v>0</v>
      </c>
      <c r="BL29" s="763">
        <f t="shared" si="21"/>
        <v>0</v>
      </c>
      <c r="BM29" s="763">
        <f t="shared" si="21"/>
        <v>0</v>
      </c>
      <c r="BN29" s="763">
        <f t="shared" si="21"/>
        <v>0</v>
      </c>
      <c r="BO29" s="763">
        <f t="shared" si="21"/>
        <v>0</v>
      </c>
      <c r="BP29" s="763">
        <f t="shared" si="21"/>
        <v>0</v>
      </c>
      <c r="BQ29" s="763">
        <f t="shared" si="21"/>
        <v>0</v>
      </c>
      <c r="BR29" s="763">
        <f t="shared" ref="BR29:CZ29" si="22">IF(BR28=0,0,BQ29+BR28)</f>
        <v>0</v>
      </c>
      <c r="BS29" s="763">
        <f t="shared" si="22"/>
        <v>0</v>
      </c>
      <c r="BT29" s="763">
        <f t="shared" si="22"/>
        <v>0</v>
      </c>
      <c r="BU29" s="763">
        <f t="shared" si="22"/>
        <v>0</v>
      </c>
      <c r="BV29" s="763">
        <f t="shared" si="22"/>
        <v>0</v>
      </c>
      <c r="BW29" s="763">
        <f t="shared" si="22"/>
        <v>0</v>
      </c>
      <c r="BX29" s="763">
        <f t="shared" si="22"/>
        <v>0</v>
      </c>
      <c r="BY29" s="763">
        <f t="shared" si="22"/>
        <v>0</v>
      </c>
      <c r="BZ29" s="763">
        <f t="shared" si="22"/>
        <v>0</v>
      </c>
      <c r="CA29" s="763">
        <f t="shared" si="22"/>
        <v>0</v>
      </c>
      <c r="CB29" s="763">
        <f t="shared" si="22"/>
        <v>0</v>
      </c>
      <c r="CC29" s="763">
        <f t="shared" si="22"/>
        <v>0</v>
      </c>
      <c r="CD29" s="763">
        <f t="shared" si="22"/>
        <v>0</v>
      </c>
      <c r="CE29" s="763">
        <f t="shared" si="22"/>
        <v>0</v>
      </c>
      <c r="CF29" s="763">
        <f t="shared" si="22"/>
        <v>0</v>
      </c>
      <c r="CG29" s="763">
        <f t="shared" si="22"/>
        <v>0</v>
      </c>
      <c r="CH29" s="763">
        <f t="shared" si="22"/>
        <v>0</v>
      </c>
      <c r="CI29" s="763">
        <f t="shared" si="22"/>
        <v>0</v>
      </c>
      <c r="CJ29" s="763">
        <f t="shared" si="22"/>
        <v>0</v>
      </c>
      <c r="CK29" s="763">
        <f t="shared" si="22"/>
        <v>0</v>
      </c>
      <c r="CL29" s="763">
        <f t="shared" si="22"/>
        <v>0</v>
      </c>
      <c r="CM29" s="763">
        <f t="shared" si="22"/>
        <v>0</v>
      </c>
      <c r="CN29" s="763">
        <f t="shared" si="22"/>
        <v>0</v>
      </c>
      <c r="CO29" s="763">
        <f t="shared" si="22"/>
        <v>0</v>
      </c>
      <c r="CP29" s="763">
        <f t="shared" si="22"/>
        <v>0</v>
      </c>
      <c r="CQ29" s="763">
        <f t="shared" si="22"/>
        <v>0</v>
      </c>
      <c r="CR29" s="763">
        <f t="shared" si="22"/>
        <v>0</v>
      </c>
      <c r="CS29" s="763">
        <f t="shared" si="22"/>
        <v>0</v>
      </c>
      <c r="CT29" s="763">
        <f t="shared" si="22"/>
        <v>0</v>
      </c>
      <c r="CU29" s="763">
        <f t="shared" si="22"/>
        <v>0</v>
      </c>
      <c r="CV29" s="763">
        <f t="shared" si="22"/>
        <v>0</v>
      </c>
      <c r="CW29" s="763">
        <f t="shared" si="22"/>
        <v>0</v>
      </c>
      <c r="CX29" s="763">
        <f t="shared" si="22"/>
        <v>0</v>
      </c>
      <c r="CY29" s="763">
        <f t="shared" si="22"/>
        <v>0</v>
      </c>
      <c r="CZ29" s="763">
        <f t="shared" si="22"/>
        <v>0</v>
      </c>
    </row>
    <row r="30" spans="1:104" s="410" customFormat="1" x14ac:dyDescent="0.25">
      <c r="B30" s="410" t="s">
        <v>304</v>
      </c>
      <c r="E30" s="763">
        <f>IF('Initial Capital Payment'!$C$7="Yes",IF('LPP Act Financing Plan (2)'!E$4='Initial Capital Payment'!$C$12,'Initial Capital Payment'!$C$10,0),0)</f>
        <v>50000000</v>
      </c>
      <c r="F30" s="763">
        <f>IF('Initial Capital Payment'!$C$7="Yes",IF('LPP Act Financing Plan (2)'!F$4='Initial Capital Payment'!$C$12,'Initial Capital Payment'!$C$10,0),0)</f>
        <v>0</v>
      </c>
      <c r="G30" s="763">
        <f>IF('Initial Capital Payment'!$C$7="Yes",IF('LPP Act Financing Plan (2)'!G$4='Initial Capital Payment'!$C$12,'Initial Capital Payment'!$C$10,0),0)</f>
        <v>0</v>
      </c>
      <c r="H30" s="763">
        <f>IF('Initial Capital Payment'!$C$7="Yes",IF('LPP Act Financing Plan (2)'!H$4='Initial Capital Payment'!$C$12,'Initial Capital Payment'!$C$10,0),0)</f>
        <v>0</v>
      </c>
      <c r="I30" s="763">
        <f>IF('Initial Capital Payment'!$C$7="Yes",IF('LPP Act Financing Plan (2)'!I$4='Initial Capital Payment'!$C$12,'Initial Capital Payment'!$C$10,0),0)</f>
        <v>0</v>
      </c>
      <c r="J30" s="763">
        <f>IF('Initial Capital Payment'!$C$7="Yes",IF('LPP Act Financing Plan (2)'!J$4='Initial Capital Payment'!$C$12,'Initial Capital Payment'!$C$10,0),0)</f>
        <v>0</v>
      </c>
      <c r="K30" s="763">
        <f>IF('Initial Capital Payment'!$C$7="Yes",IF('LPP Act Financing Plan (2)'!K$4='Initial Capital Payment'!$C$12,'Initial Capital Payment'!$C$10,0),0)</f>
        <v>0</v>
      </c>
      <c r="L30" s="763">
        <f>IF('Initial Capital Payment'!$C$7="Yes",IF('LPP Act Financing Plan (2)'!L$4='Initial Capital Payment'!$C$12,'Initial Capital Payment'!$C$10,0),0)</f>
        <v>0</v>
      </c>
      <c r="M30" s="763">
        <f>IF('Initial Capital Payment'!$C$7="Yes",IF('LPP Act Financing Plan (2)'!M$4='Initial Capital Payment'!$C$12,'Initial Capital Payment'!$C$10,0),0)</f>
        <v>0</v>
      </c>
      <c r="N30" s="763">
        <f>IF('Initial Capital Payment'!$C$7="Yes",IF('LPP Act Financing Plan (2)'!N$4='Initial Capital Payment'!$C$12,'Initial Capital Payment'!$C$10,0),0)</f>
        <v>0</v>
      </c>
      <c r="O30" s="763">
        <f>IF('Initial Capital Payment'!$C$7="Yes",IF('LPP Act Financing Plan (2)'!O$4='Initial Capital Payment'!$C$12,'Initial Capital Payment'!$C$10,0),0)</f>
        <v>0</v>
      </c>
      <c r="P30" s="763">
        <f>IF('Initial Capital Payment'!$C$7="Yes",IF('LPP Act Financing Plan (2)'!P$4='Initial Capital Payment'!$C$12,'Initial Capital Payment'!$C$10,0),0)</f>
        <v>0</v>
      </c>
      <c r="Q30" s="763">
        <f>IF('Initial Capital Payment'!$C$7="Yes",IF('LPP Act Financing Plan (2)'!Q$4='Initial Capital Payment'!$C$12,'Initial Capital Payment'!$C$10,0),0)</f>
        <v>0</v>
      </c>
      <c r="R30" s="763">
        <f>IF('Initial Capital Payment'!$C$7="Yes",IF('LPP Act Financing Plan (2)'!R$4='Initial Capital Payment'!$C$12,'Initial Capital Payment'!$C$10,0),0)</f>
        <v>0</v>
      </c>
      <c r="S30" s="763">
        <f>IF('Initial Capital Payment'!$C$7="Yes",IF('LPP Act Financing Plan (2)'!S$4='Initial Capital Payment'!$C$12,'Initial Capital Payment'!$C$10,0),0)</f>
        <v>0</v>
      </c>
      <c r="T30" s="763">
        <f>IF('Initial Capital Payment'!$C$7="Yes",IF('LPP Act Financing Plan (2)'!T$4='Initial Capital Payment'!$C$12,'Initial Capital Payment'!$C$10,0),0)</f>
        <v>0</v>
      </c>
      <c r="U30" s="763">
        <f>IF('Initial Capital Payment'!$C$7="Yes",IF('LPP Act Financing Plan (2)'!U$4='Initial Capital Payment'!$C$12,'Initial Capital Payment'!$C$10,0),0)</f>
        <v>0</v>
      </c>
      <c r="V30" s="763">
        <f>IF('Initial Capital Payment'!$C$7="Yes",IF('LPP Act Financing Plan (2)'!V$4='Initial Capital Payment'!$C$12,'Initial Capital Payment'!$C$10,0),0)</f>
        <v>0</v>
      </c>
      <c r="W30" s="763">
        <f>IF('Initial Capital Payment'!$C$7="Yes",IF('LPP Act Financing Plan (2)'!W$4='Initial Capital Payment'!$C$12,'Initial Capital Payment'!$C$10,0),0)</f>
        <v>0</v>
      </c>
      <c r="X30" s="763">
        <f>IF('Initial Capital Payment'!$C$7="Yes",IF('LPP Act Financing Plan (2)'!X$4='Initial Capital Payment'!$C$12,'Initial Capital Payment'!$C$10,0),0)</f>
        <v>0</v>
      </c>
      <c r="Y30" s="763">
        <f>IF('Initial Capital Payment'!$C$7="Yes",IF('LPP Act Financing Plan (2)'!Y$4='Initial Capital Payment'!$C$12,'Initial Capital Payment'!$C$10,0),0)</f>
        <v>0</v>
      </c>
      <c r="Z30" s="763">
        <f>IF('Initial Capital Payment'!$C$7="Yes",IF('LPP Act Financing Plan (2)'!Z$4='Initial Capital Payment'!$C$12,'Initial Capital Payment'!$C$10,0),0)</f>
        <v>0</v>
      </c>
      <c r="AA30" s="763">
        <f>IF('Initial Capital Payment'!$C$7="Yes",IF('LPP Act Financing Plan (2)'!AA$4='Initial Capital Payment'!$C$12,'Initial Capital Payment'!$C$10,0),0)</f>
        <v>0</v>
      </c>
      <c r="AB30" s="763">
        <f>IF('Initial Capital Payment'!$C$7="Yes",IF('LPP Act Financing Plan (2)'!AB$4='Initial Capital Payment'!$C$12,'Initial Capital Payment'!$C$10,0),0)</f>
        <v>0</v>
      </c>
      <c r="AC30" s="763">
        <f>IF('Initial Capital Payment'!$C$7="Yes",IF('LPP Act Financing Plan (2)'!AC$4='Initial Capital Payment'!$C$12,'Initial Capital Payment'!$C$10,0),0)</f>
        <v>0</v>
      </c>
      <c r="AD30" s="763">
        <f>IF('Initial Capital Payment'!$C$7="Yes",IF('LPP Act Financing Plan (2)'!AD$4='Initial Capital Payment'!$C$12,'Initial Capital Payment'!$C$10,0),0)</f>
        <v>0</v>
      </c>
      <c r="AE30" s="763">
        <f>IF('Initial Capital Payment'!$C$7="Yes",IF('LPP Act Financing Plan (2)'!AE$4='Initial Capital Payment'!$C$12,'Initial Capital Payment'!$C$10,0),0)</f>
        <v>0</v>
      </c>
      <c r="AF30" s="763">
        <f>IF('Initial Capital Payment'!$C$7="Yes",IF('LPP Act Financing Plan (2)'!AF$4='Initial Capital Payment'!$C$12,'Initial Capital Payment'!$C$10,0),0)</f>
        <v>0</v>
      </c>
      <c r="AG30" s="763">
        <f>IF('Initial Capital Payment'!$C$7="Yes",IF('LPP Act Financing Plan (2)'!AG$4='Initial Capital Payment'!$C$12,'Initial Capital Payment'!$C$10,0),0)</f>
        <v>0</v>
      </c>
      <c r="AH30" s="763">
        <f>IF('Initial Capital Payment'!$C$7="Yes",IF('LPP Act Financing Plan (2)'!AH$4='Initial Capital Payment'!$C$12,'Initial Capital Payment'!$C$10,0),0)</f>
        <v>0</v>
      </c>
      <c r="AI30" s="763">
        <f>IF('Initial Capital Payment'!$C$7="Yes",IF('LPP Act Financing Plan (2)'!AI$4='Initial Capital Payment'!$C$12,'Initial Capital Payment'!$C$10,0),0)</f>
        <v>0</v>
      </c>
      <c r="AJ30" s="763">
        <f>IF('Initial Capital Payment'!$C$7="Yes",IF('LPP Act Financing Plan (2)'!AJ$4='Initial Capital Payment'!$C$12,'Initial Capital Payment'!$C$10,0),0)</f>
        <v>0</v>
      </c>
      <c r="AK30" s="763">
        <f>IF('Initial Capital Payment'!$C$7="Yes",IF('LPP Act Financing Plan (2)'!AK$4='Initial Capital Payment'!$C$12,'Initial Capital Payment'!$C$10,0),0)</f>
        <v>0</v>
      </c>
      <c r="AL30" s="763">
        <f>IF('Initial Capital Payment'!$C$7="Yes",IF('LPP Act Financing Plan (2)'!AL$4='Initial Capital Payment'!$C$12,'Initial Capital Payment'!$C$10,0),0)</f>
        <v>0</v>
      </c>
      <c r="AM30" s="763">
        <f>IF('Initial Capital Payment'!$C$7="Yes",IF('LPP Act Financing Plan (2)'!AM$4='Initial Capital Payment'!$C$12,'Initial Capital Payment'!$C$10,0),0)</f>
        <v>0</v>
      </c>
      <c r="AN30" s="763">
        <f>IF('Initial Capital Payment'!$C$7="Yes",IF('LPP Act Financing Plan (2)'!AN$4='Initial Capital Payment'!$C$12,'Initial Capital Payment'!$C$10,0),0)</f>
        <v>0</v>
      </c>
      <c r="AO30" s="763">
        <f>IF('Initial Capital Payment'!$C$7="Yes",IF('LPP Act Financing Plan (2)'!AO$4='Initial Capital Payment'!$C$12,'Initial Capital Payment'!$C$10,0),0)</f>
        <v>0</v>
      </c>
      <c r="AP30" s="763">
        <f>IF('Initial Capital Payment'!$C$7="Yes",IF('LPP Act Financing Plan (2)'!AP$4='Initial Capital Payment'!$C$12,'Initial Capital Payment'!$C$10,0),0)</f>
        <v>0</v>
      </c>
      <c r="AQ30" s="763">
        <f>IF('Initial Capital Payment'!$C$7="Yes",IF('LPP Act Financing Plan (2)'!AQ$4='Initial Capital Payment'!$C$12,'Initial Capital Payment'!$C$10,0),0)</f>
        <v>0</v>
      </c>
      <c r="AR30" s="763">
        <f>IF('Initial Capital Payment'!$C$7="Yes",IF('LPP Act Financing Plan (2)'!AR$4='Initial Capital Payment'!$C$12,'Initial Capital Payment'!$C$10,0),0)</f>
        <v>0</v>
      </c>
      <c r="AS30" s="763">
        <f>IF('Initial Capital Payment'!$C$7="Yes",IF('LPP Act Financing Plan (2)'!AS$4='Initial Capital Payment'!$C$12,'Initial Capital Payment'!$C$10,0),0)</f>
        <v>0</v>
      </c>
      <c r="AT30" s="763">
        <f>IF('Initial Capital Payment'!$C$7="Yes",IF('LPP Act Financing Plan (2)'!AT$4='Initial Capital Payment'!$C$12,'Initial Capital Payment'!$C$10,0),0)</f>
        <v>0</v>
      </c>
      <c r="AU30" s="763">
        <f>IF('Initial Capital Payment'!$C$7="Yes",IF('LPP Act Financing Plan (2)'!AU$4='Initial Capital Payment'!$C$12,'Initial Capital Payment'!$C$10,0),0)</f>
        <v>0</v>
      </c>
      <c r="AV30" s="763">
        <f>IF('Initial Capital Payment'!$C$7="Yes",IF('LPP Act Financing Plan (2)'!AV$4='Initial Capital Payment'!$C$12,'Initial Capital Payment'!$C$10,0),0)</f>
        <v>0</v>
      </c>
      <c r="AW30" s="763">
        <f>IF('Initial Capital Payment'!$C$7="Yes",IF('LPP Act Financing Plan (2)'!AW$4='Initial Capital Payment'!$C$12,'Initial Capital Payment'!$C$10,0),0)</f>
        <v>0</v>
      </c>
      <c r="AX30" s="763">
        <f>IF('Initial Capital Payment'!$C$7="Yes",IF('LPP Act Financing Plan (2)'!AX$4='Initial Capital Payment'!$C$12,'Initial Capital Payment'!$C$10,0),0)</f>
        <v>0</v>
      </c>
      <c r="AY30" s="763">
        <f>IF('Initial Capital Payment'!$C$7="Yes",IF('LPP Act Financing Plan (2)'!AY$4='Initial Capital Payment'!$C$12,'Initial Capital Payment'!$C$10,0),0)</f>
        <v>0</v>
      </c>
      <c r="AZ30" s="763">
        <f>IF('Initial Capital Payment'!$C$7="Yes",IF('LPP Act Financing Plan (2)'!AZ$4='Initial Capital Payment'!$C$12,'Initial Capital Payment'!$C$10,0),0)</f>
        <v>0</v>
      </c>
      <c r="BA30" s="763">
        <f>IF('Initial Capital Payment'!$C$7="Yes",IF('LPP Act Financing Plan (2)'!BA$4='Initial Capital Payment'!$C$12,'Initial Capital Payment'!$C$10,0),0)</f>
        <v>0</v>
      </c>
      <c r="BB30" s="763">
        <f>IF('Initial Capital Payment'!$C$7="Yes",IF('LPP Act Financing Plan (2)'!BB$4='Initial Capital Payment'!$C$12,'Initial Capital Payment'!$C$10,0),0)</f>
        <v>0</v>
      </c>
      <c r="BC30" s="763">
        <f>IF('Initial Capital Payment'!$C$7="Yes",IF('LPP Act Financing Plan (2)'!BC$4='Initial Capital Payment'!$C$12,'Initial Capital Payment'!$C$10,0),0)</f>
        <v>0</v>
      </c>
      <c r="BD30" s="763">
        <f>IF('Initial Capital Payment'!$C$7="Yes",IF('LPP Act Financing Plan (2)'!BD$4='Initial Capital Payment'!$C$12,'Initial Capital Payment'!$C$10,0),0)</f>
        <v>0</v>
      </c>
      <c r="BE30" s="763">
        <f>IF('Initial Capital Payment'!$C$7="Yes",IF('LPP Act Financing Plan (2)'!BE$4='Initial Capital Payment'!$C$12,'Initial Capital Payment'!$C$10,0),0)</f>
        <v>0</v>
      </c>
      <c r="BF30" s="763">
        <f>IF('Initial Capital Payment'!$C$7="Yes",IF('LPP Act Financing Plan (2)'!BF$4='Initial Capital Payment'!$C$12,'Initial Capital Payment'!$C$10,0),0)</f>
        <v>0</v>
      </c>
      <c r="BG30" s="763">
        <f>IF('Initial Capital Payment'!$C$7="Yes",IF('LPP Act Financing Plan (2)'!BG$4='Initial Capital Payment'!$C$12,'Initial Capital Payment'!$C$10,0),0)</f>
        <v>0</v>
      </c>
      <c r="BH30" s="763">
        <f>IF('Initial Capital Payment'!$C$7="Yes",IF('LPP Act Financing Plan (2)'!BH$4='Initial Capital Payment'!$C$12,'Initial Capital Payment'!$C$10,0),0)</f>
        <v>0</v>
      </c>
      <c r="BI30" s="763">
        <f>IF('Initial Capital Payment'!$C$7="Yes",IF('LPP Act Financing Plan (2)'!BI$4='Initial Capital Payment'!$C$12,'Initial Capital Payment'!$C$10,0),0)</f>
        <v>0</v>
      </c>
      <c r="BJ30" s="763">
        <f>IF('Initial Capital Payment'!$C$7="Yes",IF('LPP Act Financing Plan (2)'!BJ$4='Initial Capital Payment'!$C$12,'Initial Capital Payment'!$C$10,0),0)</f>
        <v>0</v>
      </c>
      <c r="BK30" s="763">
        <f>IF('Initial Capital Payment'!$C$7="Yes",IF('LPP Act Financing Plan (2)'!BK$4='Initial Capital Payment'!$C$12,'Initial Capital Payment'!$C$10,0),0)</f>
        <v>0</v>
      </c>
      <c r="BL30" s="763">
        <f>IF('Initial Capital Payment'!$C$7="Yes",IF('LPP Act Financing Plan (2)'!BL$4='Initial Capital Payment'!$C$12,'Initial Capital Payment'!$C$10,0),0)</f>
        <v>0</v>
      </c>
      <c r="BM30" s="763">
        <f>IF('Initial Capital Payment'!$C$7="Yes",IF('LPP Act Financing Plan (2)'!BM$4='Initial Capital Payment'!$C$12,'Initial Capital Payment'!$C$10,0),0)</f>
        <v>0</v>
      </c>
      <c r="BN30" s="763">
        <f>IF('Initial Capital Payment'!$C$7="Yes",IF('LPP Act Financing Plan (2)'!BN$4='Initial Capital Payment'!$C$12,'Initial Capital Payment'!$C$10,0),0)</f>
        <v>0</v>
      </c>
      <c r="BO30" s="763">
        <f>IF('Initial Capital Payment'!$C$7="Yes",IF('LPP Act Financing Plan (2)'!BO$4='Initial Capital Payment'!$C$12,'Initial Capital Payment'!$C$10,0),0)</f>
        <v>0</v>
      </c>
      <c r="BP30" s="763">
        <f>IF('Initial Capital Payment'!$C$7="Yes",IF('LPP Act Financing Plan (2)'!BP$4='Initial Capital Payment'!$C$12,'Initial Capital Payment'!$C$10,0),0)</f>
        <v>0</v>
      </c>
      <c r="BQ30" s="763">
        <f>IF('Initial Capital Payment'!$C$7="Yes",IF('LPP Act Financing Plan (2)'!BQ$4='Initial Capital Payment'!$C$12,'Initial Capital Payment'!$C$10,0),0)</f>
        <v>0</v>
      </c>
      <c r="BR30" s="763">
        <f>IF('Initial Capital Payment'!$C$7="Yes",IF('LPP Act Financing Plan (2)'!BR$4='Initial Capital Payment'!$C$12,'Initial Capital Payment'!$C$10,0),0)</f>
        <v>0</v>
      </c>
      <c r="BS30" s="763">
        <f>IF('Initial Capital Payment'!$C$7="Yes",IF('LPP Act Financing Plan (2)'!BS$4='Initial Capital Payment'!$C$12,'Initial Capital Payment'!$C$10,0),0)</f>
        <v>0</v>
      </c>
      <c r="BT30" s="763">
        <f>IF('Initial Capital Payment'!$C$7="Yes",IF('LPP Act Financing Plan (2)'!BT$4='Initial Capital Payment'!$C$12,'Initial Capital Payment'!$C$10,0),0)</f>
        <v>0</v>
      </c>
      <c r="BU30" s="763">
        <f>IF('Initial Capital Payment'!$C$7="Yes",IF('LPP Act Financing Plan (2)'!BU$4='Initial Capital Payment'!$C$12,'Initial Capital Payment'!$C$10,0),0)</f>
        <v>0</v>
      </c>
      <c r="BV30" s="763">
        <f>IF('Initial Capital Payment'!$C$7="Yes",IF('LPP Act Financing Plan (2)'!BV$4='Initial Capital Payment'!$C$12,'Initial Capital Payment'!$C$10,0),0)</f>
        <v>0</v>
      </c>
      <c r="BW30" s="763">
        <f>IF('Initial Capital Payment'!$C$7="Yes",IF('LPP Act Financing Plan (2)'!BW$4='Initial Capital Payment'!$C$12,'Initial Capital Payment'!$C$10,0),0)</f>
        <v>0</v>
      </c>
      <c r="BX30" s="763">
        <f>IF('Initial Capital Payment'!$C$7="Yes",IF('LPP Act Financing Plan (2)'!BX$4='Initial Capital Payment'!$C$12,'Initial Capital Payment'!$C$10,0),0)</f>
        <v>0</v>
      </c>
      <c r="BY30" s="763">
        <f>IF('Initial Capital Payment'!$C$7="Yes",IF('LPP Act Financing Plan (2)'!BY$4='Initial Capital Payment'!$C$12,'Initial Capital Payment'!$C$10,0),0)</f>
        <v>0</v>
      </c>
      <c r="BZ30" s="763">
        <f>IF('Initial Capital Payment'!$C$7="Yes",IF('LPP Act Financing Plan (2)'!BZ$4='Initial Capital Payment'!$C$12,'Initial Capital Payment'!$C$10,0),0)</f>
        <v>0</v>
      </c>
      <c r="CA30" s="763">
        <f>IF('Initial Capital Payment'!$C$7="Yes",IF('LPP Act Financing Plan (2)'!CA$4='Initial Capital Payment'!$C$12,'Initial Capital Payment'!$C$10,0),0)</f>
        <v>0</v>
      </c>
      <c r="CB30" s="763">
        <f>IF('Initial Capital Payment'!$C$7="Yes",IF('LPP Act Financing Plan (2)'!CB$4='Initial Capital Payment'!$C$12,'Initial Capital Payment'!$C$10,0),0)</f>
        <v>0</v>
      </c>
      <c r="CC30" s="763">
        <f>IF('Initial Capital Payment'!$C$7="Yes",IF('LPP Act Financing Plan (2)'!CC$4='Initial Capital Payment'!$C$12,'Initial Capital Payment'!$C$10,0),0)</f>
        <v>0</v>
      </c>
      <c r="CD30" s="763">
        <f>IF('Initial Capital Payment'!$C$7="Yes",IF('LPP Act Financing Plan (2)'!CD$4='Initial Capital Payment'!$C$12,'Initial Capital Payment'!$C$10,0),0)</f>
        <v>0</v>
      </c>
      <c r="CE30" s="763">
        <f>IF('Initial Capital Payment'!$C$7="Yes",IF('LPP Act Financing Plan (2)'!CE$4='Initial Capital Payment'!$C$12,'Initial Capital Payment'!$C$10,0),0)</f>
        <v>0</v>
      </c>
      <c r="CF30" s="763">
        <f>IF('Initial Capital Payment'!$C$7="Yes",IF('LPP Act Financing Plan (2)'!CF$4='Initial Capital Payment'!$C$12,'Initial Capital Payment'!$C$10,0),0)</f>
        <v>0</v>
      </c>
      <c r="CG30" s="763">
        <f>IF('Initial Capital Payment'!$C$7="Yes",IF('LPP Act Financing Plan (2)'!CG$4='Initial Capital Payment'!$C$12,'Initial Capital Payment'!$C$10,0),0)</f>
        <v>0</v>
      </c>
      <c r="CH30" s="763">
        <f>IF('Initial Capital Payment'!$C$7="Yes",IF('LPP Act Financing Plan (2)'!CH$4='Initial Capital Payment'!$C$12,'Initial Capital Payment'!$C$10,0),0)</f>
        <v>0</v>
      </c>
      <c r="CI30" s="763">
        <f>IF('Initial Capital Payment'!$C$7="Yes",IF('LPP Act Financing Plan (2)'!CI$4='Initial Capital Payment'!$C$12,'Initial Capital Payment'!$C$10,0),0)</f>
        <v>0</v>
      </c>
      <c r="CJ30" s="763">
        <f>IF('Initial Capital Payment'!$C$7="Yes",IF('LPP Act Financing Plan (2)'!CJ$4='Initial Capital Payment'!$C$12,'Initial Capital Payment'!$C$10,0),0)</f>
        <v>0</v>
      </c>
      <c r="CK30" s="763">
        <f>IF('Initial Capital Payment'!$C$7="Yes",IF('LPP Act Financing Plan (2)'!CK$4='Initial Capital Payment'!$C$12,'Initial Capital Payment'!$C$10,0),0)</f>
        <v>0</v>
      </c>
      <c r="CL30" s="763">
        <f>IF('Initial Capital Payment'!$C$7="Yes",IF('LPP Act Financing Plan (2)'!CL$4='Initial Capital Payment'!$C$12,'Initial Capital Payment'!$C$10,0),0)</f>
        <v>0</v>
      </c>
      <c r="CM30" s="763">
        <f>IF('Initial Capital Payment'!$C$7="Yes",IF('LPP Act Financing Plan (2)'!CM$4='Initial Capital Payment'!$C$12,'Initial Capital Payment'!$C$10,0),0)</f>
        <v>0</v>
      </c>
      <c r="CN30" s="763">
        <f>IF('Initial Capital Payment'!$C$7="Yes",IF('LPP Act Financing Plan (2)'!CN$4='Initial Capital Payment'!$C$12,'Initial Capital Payment'!$C$10,0),0)</f>
        <v>0</v>
      </c>
      <c r="CO30" s="763">
        <f>IF('Initial Capital Payment'!$C$7="Yes",IF('LPP Act Financing Plan (2)'!CO$4='Initial Capital Payment'!$C$12,'Initial Capital Payment'!$C$10,0),0)</f>
        <v>0</v>
      </c>
      <c r="CP30" s="763">
        <f>IF('Initial Capital Payment'!$C$7="Yes",IF('LPP Act Financing Plan (2)'!CP$4='Initial Capital Payment'!$C$12,'Initial Capital Payment'!$C$10,0),0)</f>
        <v>0</v>
      </c>
      <c r="CQ30" s="763">
        <f>IF('Initial Capital Payment'!$C$7="Yes",IF('LPP Act Financing Plan (2)'!CQ$4='Initial Capital Payment'!$C$12,'Initial Capital Payment'!$C$10,0),0)</f>
        <v>0</v>
      </c>
      <c r="CR30" s="763">
        <f>IF('Initial Capital Payment'!$C$7="Yes",IF('LPP Act Financing Plan (2)'!CR$4='Initial Capital Payment'!$C$12,'Initial Capital Payment'!$C$10,0),0)</f>
        <v>0</v>
      </c>
      <c r="CS30" s="763">
        <f>IF('Initial Capital Payment'!$C$7="Yes",IF('LPP Act Financing Plan (2)'!CS$4='Initial Capital Payment'!$C$12,'Initial Capital Payment'!$C$10,0),0)</f>
        <v>0</v>
      </c>
      <c r="CT30" s="763">
        <f>IF('Initial Capital Payment'!$C$7="Yes",IF('LPP Act Financing Plan (2)'!CT$4='Initial Capital Payment'!$C$12,'Initial Capital Payment'!$C$10,0),0)</f>
        <v>0</v>
      </c>
      <c r="CU30" s="763">
        <f>IF('Initial Capital Payment'!$C$7="Yes",IF('LPP Act Financing Plan (2)'!CU$4='Initial Capital Payment'!$C$12,'Initial Capital Payment'!$C$10,0),0)</f>
        <v>0</v>
      </c>
      <c r="CV30" s="763">
        <f>IF('Initial Capital Payment'!$C$7="Yes",IF('LPP Act Financing Plan (2)'!CV$4='Initial Capital Payment'!$C$12,'Initial Capital Payment'!$C$10,0),0)</f>
        <v>0</v>
      </c>
      <c r="CW30" s="763">
        <f>IF('Initial Capital Payment'!$C$7="Yes",IF('LPP Act Financing Plan (2)'!CW$4='Initial Capital Payment'!$C$12,'Initial Capital Payment'!$C$10,0),0)</f>
        <v>0</v>
      </c>
      <c r="CX30" s="763">
        <f>IF('Initial Capital Payment'!$C$7="Yes",IF('LPP Act Financing Plan (2)'!CX$4='Initial Capital Payment'!$C$12,'Initial Capital Payment'!$C$10,0),0)</f>
        <v>0</v>
      </c>
      <c r="CY30" s="763">
        <f>IF('Initial Capital Payment'!$C$7="Yes",IF('LPP Act Financing Plan (2)'!CY$4='Initial Capital Payment'!$C$12,'Initial Capital Payment'!$C$10,0),0)</f>
        <v>0</v>
      </c>
      <c r="CZ30" s="763">
        <f>IF('Initial Capital Payment'!$C$7="Yes",IF('LPP Act Financing Plan (2)'!CZ$4='Initial Capital Payment'!$C$12,'Initial Capital Payment'!$C$10,0),0)</f>
        <v>0</v>
      </c>
    </row>
    <row r="31" spans="1:104" s="410" customFormat="1" ht="17.25" x14ac:dyDescent="0.4">
      <c r="B31" s="410" t="s">
        <v>293</v>
      </c>
      <c r="E31" s="795">
        <f>E24*E27</f>
        <v>0</v>
      </c>
      <c r="F31" s="795">
        <f t="shared" ref="F31:V31" si="23">F24*F27</f>
        <v>0</v>
      </c>
      <c r="G31" s="795">
        <f t="shared" si="23"/>
        <v>0</v>
      </c>
      <c r="H31" s="795">
        <f t="shared" si="23"/>
        <v>0</v>
      </c>
      <c r="I31" s="795">
        <f t="shared" si="23"/>
        <v>0</v>
      </c>
      <c r="J31" s="795">
        <f t="shared" si="23"/>
        <v>0</v>
      </c>
      <c r="K31" s="795">
        <f t="shared" si="23"/>
        <v>0</v>
      </c>
      <c r="L31" s="795">
        <f t="shared" si="23"/>
        <v>0</v>
      </c>
      <c r="M31" s="795">
        <f t="shared" si="23"/>
        <v>0</v>
      </c>
      <c r="N31" s="795">
        <f t="shared" si="23"/>
        <v>0</v>
      </c>
      <c r="O31" s="795">
        <f t="shared" si="23"/>
        <v>0</v>
      </c>
      <c r="P31" s="795">
        <f t="shared" si="23"/>
        <v>0</v>
      </c>
      <c r="Q31" s="795">
        <f t="shared" si="23"/>
        <v>0</v>
      </c>
      <c r="R31" s="795">
        <f t="shared" si="23"/>
        <v>0</v>
      </c>
      <c r="S31" s="795">
        <f t="shared" si="23"/>
        <v>0</v>
      </c>
      <c r="T31" s="795">
        <f t="shared" si="23"/>
        <v>0</v>
      </c>
      <c r="U31" s="795">
        <f t="shared" si="23"/>
        <v>0</v>
      </c>
      <c r="V31" s="795">
        <f t="shared" si="23"/>
        <v>0</v>
      </c>
      <c r="W31" s="795">
        <f>W24*W27</f>
        <v>23760297.176283751</v>
      </c>
      <c r="X31" s="795">
        <f>X24*X27</f>
        <v>71833115.453031883</v>
      </c>
      <c r="Y31" s="795">
        <f>Y24*Y27</f>
        <v>121443882.1611917</v>
      </c>
      <c r="Z31" s="795">
        <f t="shared" ref="Z31:CK31" si="24">Z24*Z27</f>
        <v>169073783.97324798</v>
      </c>
      <c r="AA31" s="795">
        <f t="shared" si="24"/>
        <v>211043302.03305703</v>
      </c>
      <c r="AB31" s="795">
        <f t="shared" si="24"/>
        <v>243962366.87303731</v>
      </c>
      <c r="AC31" s="795">
        <f t="shared" si="24"/>
        <v>265191605.36663041</v>
      </c>
      <c r="AD31" s="795">
        <f t="shared" si="24"/>
        <v>273231462.61891884</v>
      </c>
      <c r="AE31" s="795">
        <f t="shared" si="24"/>
        <v>267958795.72735617</v>
      </c>
      <c r="AF31" s="795">
        <f t="shared" si="24"/>
        <v>250653397.36216259</v>
      </c>
      <c r="AG31" s="795">
        <f t="shared" si="24"/>
        <v>223797135.70593911</v>
      </c>
      <c r="AH31" s="795">
        <f t="shared" si="24"/>
        <v>190677461.659684</v>
      </c>
      <c r="AI31" s="795">
        <f t="shared" si="24"/>
        <v>154872222.38151059</v>
      </c>
      <c r="AJ31" s="795">
        <f t="shared" si="24"/>
        <v>119720753.16918455</v>
      </c>
      <c r="AK31" s="795">
        <f t="shared" si="24"/>
        <v>87887796.25501664</v>
      </c>
      <c r="AL31" s="795">
        <f t="shared" si="24"/>
        <v>61100384.133536875</v>
      </c>
      <c r="AM31" s="795">
        <f t="shared" si="24"/>
        <v>40090972.835514165</v>
      </c>
      <c r="AN31" s="795">
        <f t="shared" si="24"/>
        <v>24910809.875285227</v>
      </c>
      <c r="AO31" s="795">
        <f t="shared" si="24"/>
        <v>14369483.536502331</v>
      </c>
      <c r="AP31" s="795">
        <f t="shared" si="24"/>
        <v>7640148.585885888</v>
      </c>
      <c r="AQ31" s="795">
        <f t="shared" si="24"/>
        <v>3711613.5135319452</v>
      </c>
      <c r="AR31" s="795">
        <f t="shared" si="24"/>
        <v>1629653.9242388897</v>
      </c>
      <c r="AS31" s="795">
        <f t="shared" si="24"/>
        <v>637843.99002444255</v>
      </c>
      <c r="AT31" s="795">
        <f t="shared" si="24"/>
        <v>218597.24805184104</v>
      </c>
      <c r="AU31" s="795">
        <f t="shared" si="24"/>
        <v>64035.647703857132</v>
      </c>
      <c r="AV31" s="795">
        <f t="shared" si="24"/>
        <v>15497.241928301928</v>
      </c>
      <c r="AW31" s="795">
        <f t="shared" si="24"/>
        <v>2942.3235845654622</v>
      </c>
      <c r="AX31" s="795">
        <f t="shared" si="24"/>
        <v>401.42935789801146</v>
      </c>
      <c r="AY31" s="795">
        <f t="shared" si="24"/>
        <v>32.783123699709755</v>
      </c>
      <c r="AZ31" s="795">
        <f t="shared" si="24"/>
        <v>0.81236741371327958</v>
      </c>
      <c r="BA31" s="795">
        <f t="shared" si="24"/>
        <v>0</v>
      </c>
      <c r="BB31" s="795">
        <f t="shared" si="24"/>
        <v>0</v>
      </c>
      <c r="BC31" s="795">
        <f t="shared" si="24"/>
        <v>0</v>
      </c>
      <c r="BD31" s="795">
        <f t="shared" si="24"/>
        <v>0</v>
      </c>
      <c r="BE31" s="795">
        <f t="shared" si="24"/>
        <v>0</v>
      </c>
      <c r="BF31" s="795">
        <f t="shared" si="24"/>
        <v>0</v>
      </c>
      <c r="BG31" s="795">
        <f t="shared" si="24"/>
        <v>0</v>
      </c>
      <c r="BH31" s="795">
        <f t="shared" si="24"/>
        <v>0</v>
      </c>
      <c r="BI31" s="795">
        <f t="shared" si="24"/>
        <v>0</v>
      </c>
      <c r="BJ31" s="795">
        <f t="shared" si="24"/>
        <v>0</v>
      </c>
      <c r="BK31" s="795">
        <f t="shared" si="24"/>
        <v>0</v>
      </c>
      <c r="BL31" s="795">
        <f t="shared" si="24"/>
        <v>0</v>
      </c>
      <c r="BM31" s="795">
        <f t="shared" si="24"/>
        <v>0</v>
      </c>
      <c r="BN31" s="795">
        <f t="shared" si="24"/>
        <v>0</v>
      </c>
      <c r="BO31" s="795">
        <f t="shared" si="24"/>
        <v>0</v>
      </c>
      <c r="BP31" s="795">
        <f t="shared" si="24"/>
        <v>0</v>
      </c>
      <c r="BQ31" s="795">
        <f t="shared" si="24"/>
        <v>0</v>
      </c>
      <c r="BR31" s="795">
        <f t="shared" si="24"/>
        <v>0</v>
      </c>
      <c r="BS31" s="795">
        <f t="shared" si="24"/>
        <v>0</v>
      </c>
      <c r="BT31" s="795">
        <f t="shared" si="24"/>
        <v>0</v>
      </c>
      <c r="BU31" s="795">
        <f t="shared" si="24"/>
        <v>0</v>
      </c>
      <c r="BV31" s="795">
        <f t="shared" si="24"/>
        <v>0</v>
      </c>
      <c r="BW31" s="795">
        <f t="shared" si="24"/>
        <v>0</v>
      </c>
      <c r="BX31" s="795">
        <f t="shared" si="24"/>
        <v>0</v>
      </c>
      <c r="BY31" s="795">
        <f t="shared" si="24"/>
        <v>0</v>
      </c>
      <c r="BZ31" s="795">
        <f t="shared" si="24"/>
        <v>0</v>
      </c>
      <c r="CA31" s="795">
        <f t="shared" si="24"/>
        <v>0</v>
      </c>
      <c r="CB31" s="795">
        <f t="shared" si="24"/>
        <v>0</v>
      </c>
      <c r="CC31" s="795">
        <f t="shared" si="24"/>
        <v>0</v>
      </c>
      <c r="CD31" s="795">
        <f t="shared" si="24"/>
        <v>0</v>
      </c>
      <c r="CE31" s="795">
        <f t="shared" si="24"/>
        <v>0</v>
      </c>
      <c r="CF31" s="795">
        <f t="shared" si="24"/>
        <v>0</v>
      </c>
      <c r="CG31" s="795">
        <f t="shared" si="24"/>
        <v>0</v>
      </c>
      <c r="CH31" s="795">
        <f t="shared" si="24"/>
        <v>0</v>
      </c>
      <c r="CI31" s="795">
        <f t="shared" si="24"/>
        <v>0</v>
      </c>
      <c r="CJ31" s="795">
        <f t="shared" si="24"/>
        <v>0</v>
      </c>
      <c r="CK31" s="795">
        <f t="shared" si="24"/>
        <v>0</v>
      </c>
      <c r="CL31" s="795">
        <f t="shared" ref="CL31:CZ31" si="25">CL24*CL27</f>
        <v>0</v>
      </c>
      <c r="CM31" s="795">
        <f t="shared" si="25"/>
        <v>0</v>
      </c>
      <c r="CN31" s="795">
        <f t="shared" si="25"/>
        <v>0</v>
      </c>
      <c r="CO31" s="795">
        <f t="shared" si="25"/>
        <v>0</v>
      </c>
      <c r="CP31" s="795">
        <f t="shared" si="25"/>
        <v>0</v>
      </c>
      <c r="CQ31" s="795">
        <f t="shared" si="25"/>
        <v>0</v>
      </c>
      <c r="CR31" s="795">
        <f t="shared" si="25"/>
        <v>0</v>
      </c>
      <c r="CS31" s="795">
        <f t="shared" si="25"/>
        <v>0</v>
      </c>
      <c r="CT31" s="795">
        <f t="shared" si="25"/>
        <v>0</v>
      </c>
      <c r="CU31" s="795">
        <f t="shared" si="25"/>
        <v>0</v>
      </c>
      <c r="CV31" s="795">
        <f t="shared" si="25"/>
        <v>0</v>
      </c>
      <c r="CW31" s="795">
        <f t="shared" si="25"/>
        <v>0</v>
      </c>
      <c r="CX31" s="795">
        <f t="shared" si="25"/>
        <v>0</v>
      </c>
      <c r="CY31" s="795">
        <f t="shared" si="25"/>
        <v>0</v>
      </c>
      <c r="CZ31" s="795">
        <f t="shared" si="25"/>
        <v>0</v>
      </c>
    </row>
    <row r="32" spans="1:104" s="410" customFormat="1" x14ac:dyDescent="0.25">
      <c r="B32" s="410" t="s">
        <v>285</v>
      </c>
      <c r="E32" s="763">
        <f t="shared" ref="E32:BP32" si="26">E27+E28-E30-E31</f>
        <v>-50000000</v>
      </c>
      <c r="F32" s="763">
        <f t="shared" si="26"/>
        <v>-52250000</v>
      </c>
      <c r="G32" s="763">
        <f t="shared" si="26"/>
        <v>-54601250</v>
      </c>
      <c r="H32" s="763">
        <f t="shared" si="26"/>
        <v>-57058306.249999993</v>
      </c>
      <c r="I32" s="763">
        <f t="shared" si="26"/>
        <v>-59625930.031249985</v>
      </c>
      <c r="J32" s="763">
        <f t="shared" si="26"/>
        <v>-62309096.882656232</v>
      </c>
      <c r="K32" s="763">
        <f t="shared" si="26"/>
        <v>-65113006.242375754</v>
      </c>
      <c r="L32" s="763">
        <f t="shared" si="26"/>
        <v>-68043091.523282662</v>
      </c>
      <c r="M32" s="763">
        <f t="shared" si="26"/>
        <v>-71105030.64183037</v>
      </c>
      <c r="N32" s="763">
        <f t="shared" si="26"/>
        <v>-74304757.020712733</v>
      </c>
      <c r="O32" s="763">
        <f t="shared" si="26"/>
        <v>-77648471.086644799</v>
      </c>
      <c r="P32" s="763">
        <f t="shared" si="26"/>
        <v>-81142652.285543814</v>
      </c>
      <c r="Q32" s="763">
        <f t="shared" si="26"/>
        <v>-84794071.638393283</v>
      </c>
      <c r="R32" s="763">
        <f t="shared" si="26"/>
        <v>-88609804.862120971</v>
      </c>
      <c r="S32" s="763">
        <f t="shared" si="26"/>
        <v>-92597246.080916405</v>
      </c>
      <c r="T32" s="763">
        <f t="shared" si="26"/>
        <v>-96764122.15455763</v>
      </c>
      <c r="U32" s="763">
        <f t="shared" si="26"/>
        <v>-101118507.65151271</v>
      </c>
      <c r="V32" s="763">
        <f t="shared" si="26"/>
        <v>1942193288.3133686</v>
      </c>
      <c r="W32" s="791">
        <f t="shared" si="26"/>
        <v>2005831689.1111863</v>
      </c>
      <c r="X32" s="763">
        <f t="shared" si="26"/>
        <v>2024260999.6681578</v>
      </c>
      <c r="Y32" s="763">
        <f t="shared" si="26"/>
        <v>1993908862.492033</v>
      </c>
      <c r="Z32" s="763">
        <f t="shared" si="26"/>
        <v>1914560977.3309264</v>
      </c>
      <c r="AA32" s="763">
        <f t="shared" si="26"/>
        <v>1789672919.277761</v>
      </c>
      <c r="AB32" s="763">
        <f t="shared" si="26"/>
        <v>1626245833.7722228</v>
      </c>
      <c r="AC32" s="763">
        <f t="shared" si="26"/>
        <v>1434235290.9253423</v>
      </c>
      <c r="AD32" s="763">
        <f t="shared" si="26"/>
        <v>1225544416.3980637</v>
      </c>
      <c r="AE32" s="763">
        <f t="shared" si="26"/>
        <v>1012735119.4086204</v>
      </c>
      <c r="AF32" s="763">
        <f t="shared" si="26"/>
        <v>807654802.41984558</v>
      </c>
      <c r="AG32" s="763">
        <f t="shared" si="26"/>
        <v>620202132.82279944</v>
      </c>
      <c r="AH32" s="763">
        <f t="shared" si="26"/>
        <v>457433767.14014143</v>
      </c>
      <c r="AI32" s="763">
        <f t="shared" si="26"/>
        <v>323146064.27993715</v>
      </c>
      <c r="AJ32" s="763">
        <f t="shared" si="26"/>
        <v>217966884.00334972</v>
      </c>
      <c r="AK32" s="763">
        <f t="shared" si="26"/>
        <v>139887597.52848381</v>
      </c>
      <c r="AL32" s="763">
        <f t="shared" si="26"/>
        <v>85082155.283728689</v>
      </c>
      <c r="AM32" s="763">
        <f t="shared" si="26"/>
        <v>48819879.435982309</v>
      </c>
      <c r="AN32" s="763">
        <f t="shared" si="26"/>
        <v>26105964.135316286</v>
      </c>
      <c r="AO32" s="763">
        <f t="shared" si="26"/>
        <v>12911248.984903187</v>
      </c>
      <c r="AP32" s="763">
        <f t="shared" si="26"/>
        <v>5852106.6033379417</v>
      </c>
      <c r="AQ32" s="763">
        <f t="shared" si="26"/>
        <v>2403837.8869562033</v>
      </c>
      <c r="AR32" s="763">
        <f t="shared" si="26"/>
        <v>882356.66763034253</v>
      </c>
      <c r="AS32" s="763">
        <f t="shared" si="26"/>
        <v>284218.72764926532</v>
      </c>
      <c r="AT32" s="763">
        <f t="shared" si="26"/>
        <v>78411.322341641178</v>
      </c>
      <c r="AU32" s="763">
        <f t="shared" si="26"/>
        <v>17904.184143157894</v>
      </c>
      <c r="AV32" s="763">
        <f t="shared" si="26"/>
        <v>3212.6305012980683</v>
      </c>
      <c r="AW32" s="763">
        <f t="shared" si="26"/>
        <v>414.87528929101882</v>
      </c>
      <c r="AX32" s="763">
        <f t="shared" si="26"/>
        <v>32.115319411103201</v>
      </c>
      <c r="AY32" s="763">
        <f t="shared" si="26"/>
        <v>0.77738508489309055</v>
      </c>
      <c r="AZ32" s="763">
        <f t="shared" si="26"/>
        <v>0</v>
      </c>
      <c r="BA32" s="763">
        <f t="shared" si="26"/>
        <v>0</v>
      </c>
      <c r="BB32" s="763">
        <f t="shared" si="26"/>
        <v>0</v>
      </c>
      <c r="BC32" s="763">
        <f t="shared" si="26"/>
        <v>0</v>
      </c>
      <c r="BD32" s="763">
        <f t="shared" si="26"/>
        <v>0</v>
      </c>
      <c r="BE32" s="763">
        <f t="shared" si="26"/>
        <v>0</v>
      </c>
      <c r="BF32" s="763">
        <f t="shared" si="26"/>
        <v>0</v>
      </c>
      <c r="BG32" s="763">
        <f t="shared" si="26"/>
        <v>0</v>
      </c>
      <c r="BH32" s="763">
        <f t="shared" si="26"/>
        <v>0</v>
      </c>
      <c r="BI32" s="763">
        <f t="shared" si="26"/>
        <v>0</v>
      </c>
      <c r="BJ32" s="763">
        <f t="shared" si="26"/>
        <v>0</v>
      </c>
      <c r="BK32" s="763">
        <f t="shared" si="26"/>
        <v>0</v>
      </c>
      <c r="BL32" s="763">
        <f t="shared" si="26"/>
        <v>0</v>
      </c>
      <c r="BM32" s="763">
        <f t="shared" si="26"/>
        <v>0</v>
      </c>
      <c r="BN32" s="763">
        <f t="shared" si="26"/>
        <v>0</v>
      </c>
      <c r="BO32" s="763">
        <f t="shared" si="26"/>
        <v>0</v>
      </c>
      <c r="BP32" s="763">
        <f t="shared" si="26"/>
        <v>0</v>
      </c>
      <c r="BQ32" s="763">
        <f t="shared" ref="BQ32:CZ32" si="27">BQ27+BQ28-BQ30-BQ31</f>
        <v>0</v>
      </c>
      <c r="BR32" s="763">
        <f t="shared" si="27"/>
        <v>0</v>
      </c>
      <c r="BS32" s="763">
        <f t="shared" si="27"/>
        <v>0</v>
      </c>
      <c r="BT32" s="763">
        <f t="shared" si="27"/>
        <v>0</v>
      </c>
      <c r="BU32" s="763">
        <f t="shared" si="27"/>
        <v>0</v>
      </c>
      <c r="BV32" s="763">
        <f t="shared" si="27"/>
        <v>0</v>
      </c>
      <c r="BW32" s="763">
        <f t="shared" si="27"/>
        <v>0</v>
      </c>
      <c r="BX32" s="763">
        <f t="shared" si="27"/>
        <v>0</v>
      </c>
      <c r="BY32" s="763">
        <f t="shared" si="27"/>
        <v>0</v>
      </c>
      <c r="BZ32" s="763">
        <f t="shared" si="27"/>
        <v>0</v>
      </c>
      <c r="CA32" s="763">
        <f t="shared" si="27"/>
        <v>0</v>
      </c>
      <c r="CB32" s="763">
        <f t="shared" si="27"/>
        <v>0</v>
      </c>
      <c r="CC32" s="763">
        <f t="shared" si="27"/>
        <v>0</v>
      </c>
      <c r="CD32" s="763">
        <f t="shared" si="27"/>
        <v>0</v>
      </c>
      <c r="CE32" s="763">
        <f t="shared" si="27"/>
        <v>0</v>
      </c>
      <c r="CF32" s="763">
        <f t="shared" si="27"/>
        <v>0</v>
      </c>
      <c r="CG32" s="763">
        <f t="shared" si="27"/>
        <v>0</v>
      </c>
      <c r="CH32" s="763">
        <f t="shared" si="27"/>
        <v>0</v>
      </c>
      <c r="CI32" s="763">
        <f t="shared" si="27"/>
        <v>0</v>
      </c>
      <c r="CJ32" s="763">
        <f t="shared" si="27"/>
        <v>0</v>
      </c>
      <c r="CK32" s="763">
        <f t="shared" si="27"/>
        <v>0</v>
      </c>
      <c r="CL32" s="763">
        <f t="shared" si="27"/>
        <v>0</v>
      </c>
      <c r="CM32" s="763">
        <f t="shared" si="27"/>
        <v>0</v>
      </c>
      <c r="CN32" s="763">
        <f t="shared" si="27"/>
        <v>0</v>
      </c>
      <c r="CO32" s="763">
        <f t="shared" si="27"/>
        <v>0</v>
      </c>
      <c r="CP32" s="763">
        <f t="shared" si="27"/>
        <v>0</v>
      </c>
      <c r="CQ32" s="763">
        <f t="shared" si="27"/>
        <v>0</v>
      </c>
      <c r="CR32" s="763">
        <f t="shared" si="27"/>
        <v>0</v>
      </c>
      <c r="CS32" s="763">
        <f t="shared" si="27"/>
        <v>0</v>
      </c>
      <c r="CT32" s="763">
        <f t="shared" si="27"/>
        <v>0</v>
      </c>
      <c r="CU32" s="763">
        <f t="shared" si="27"/>
        <v>0</v>
      </c>
      <c r="CV32" s="763">
        <f t="shared" si="27"/>
        <v>0</v>
      </c>
      <c r="CW32" s="763">
        <f t="shared" si="27"/>
        <v>0</v>
      </c>
      <c r="CX32" s="763">
        <f t="shared" si="27"/>
        <v>0</v>
      </c>
      <c r="CY32" s="763">
        <f t="shared" si="27"/>
        <v>0</v>
      </c>
      <c r="CZ32" s="763">
        <f t="shared" si="27"/>
        <v>0</v>
      </c>
    </row>
    <row r="33" spans="1:104" x14ac:dyDescent="0.25">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c r="CB33" s="477"/>
      <c r="CC33" s="477"/>
      <c r="CD33" s="477"/>
      <c r="CE33" s="477"/>
      <c r="CF33" s="477"/>
      <c r="CG33" s="477"/>
      <c r="CH33" s="477"/>
      <c r="CI33" s="477"/>
      <c r="CJ33" s="477"/>
      <c r="CK33" s="477"/>
      <c r="CL33" s="477"/>
      <c r="CM33" s="477"/>
      <c r="CN33" s="477"/>
      <c r="CO33" s="477"/>
      <c r="CP33" s="477"/>
      <c r="CQ33" s="477"/>
      <c r="CR33" s="477"/>
      <c r="CS33" s="477"/>
      <c r="CT33" s="477"/>
      <c r="CU33" s="477"/>
      <c r="CV33" s="477"/>
      <c r="CW33" s="477"/>
      <c r="CX33" s="477"/>
      <c r="CY33" s="477"/>
      <c r="CZ33" s="477"/>
    </row>
    <row r="34" spans="1:104" x14ac:dyDescent="0.25">
      <c r="A34" s="472" t="s">
        <v>309</v>
      </c>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row>
    <row r="35" spans="1:104" x14ac:dyDescent="0.25">
      <c r="A35" s="472"/>
      <c r="B35" s="609" t="s">
        <v>304</v>
      </c>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477"/>
      <c r="CI35" s="477"/>
      <c r="CJ35" s="477"/>
      <c r="CK35" s="477"/>
      <c r="CL35" s="477"/>
      <c r="CM35" s="477"/>
      <c r="CN35" s="477"/>
      <c r="CO35" s="477"/>
      <c r="CP35" s="477"/>
      <c r="CQ35" s="477"/>
      <c r="CR35" s="477"/>
      <c r="CS35" s="477"/>
      <c r="CT35" s="477"/>
      <c r="CU35" s="477"/>
      <c r="CV35" s="477"/>
      <c r="CW35" s="477"/>
      <c r="CX35" s="477"/>
      <c r="CY35" s="477"/>
      <c r="CZ35" s="477"/>
    </row>
    <row r="36" spans="1:104" x14ac:dyDescent="0.25">
      <c r="A36" s="472"/>
      <c r="C36" s="609" t="s">
        <v>306</v>
      </c>
      <c r="E36" s="479">
        <f>IF(AND('Initial Capital Payment'!$C$14="Pay-Go",E4&lt;='Initial Capital Payment'!$C$12),(HLOOKUP('Initial Capital Payment'!$C$12,'LPP Act Financing Plan (2)'!$E$4:$CZ$32,27,FALSE))*'Initial Capital Payment'!$F$10)/(((HLOOKUP('Initial Capital Payment'!$C$12,'LPP Act Financing Plan (2)'!$E$4:$CZ$32,8,FALSE)))*1000000)*1000</f>
        <v>0</v>
      </c>
      <c r="F36" s="479">
        <f>IF(AND('Initial Capital Payment'!$C$14="Pay-Go",F4&lt;='Initial Capital Payment'!$C$12),(HLOOKUP('Initial Capital Payment'!$C$12,'LPP Act Financing Plan (2)'!$E$4:$CZ$32,27,FALSE))*'Initial Capital Payment'!$F$10)/(((HLOOKUP('Initial Capital Payment'!$C$12,'LPP Act Financing Plan (2)'!$E$4:$CZ$32,8,FALSE)))*1000000)*1000</f>
        <v>0</v>
      </c>
      <c r="G36" s="479">
        <f>IF(AND('Initial Capital Payment'!$C$14="Pay-Go",G4&lt;='Initial Capital Payment'!$C$12),(HLOOKUP('Initial Capital Payment'!$C$12,'LPP Act Financing Plan (2)'!$E$4:$CZ$32,27,FALSE))*'Initial Capital Payment'!$F$10)/(((HLOOKUP('Initial Capital Payment'!$C$12,'LPP Act Financing Plan (2)'!$E$4:$CZ$32,8,FALSE)))*1000000)*1000</f>
        <v>0</v>
      </c>
      <c r="H36" s="479">
        <f>IF(AND('Initial Capital Payment'!$C$14="Pay-Go",H4&lt;='Initial Capital Payment'!$C$12),(HLOOKUP('Initial Capital Payment'!$C$12,'LPP Act Financing Plan (2)'!$E$4:$CZ$32,27,FALSE))*'Initial Capital Payment'!$F$10)/(((HLOOKUP('Initial Capital Payment'!$C$12,'LPP Act Financing Plan (2)'!$E$4:$CZ$32,8,FALSE)))*1000000)*1000</f>
        <v>0</v>
      </c>
      <c r="I36" s="479">
        <f>IF(AND('Initial Capital Payment'!$C$14="Pay-Go",I4&lt;='Initial Capital Payment'!$C$12),(HLOOKUP('Initial Capital Payment'!$C$12,'LPP Act Financing Plan (2)'!$E$4:$CZ$32,27,FALSE))*'Initial Capital Payment'!$F$10)/(((HLOOKUP('Initial Capital Payment'!$C$12,'LPP Act Financing Plan (2)'!$E$4:$CZ$32,8,FALSE)))*1000000)*1000</f>
        <v>0</v>
      </c>
      <c r="J36" s="479">
        <f>IF(AND('Initial Capital Payment'!$C$14="Pay-Go",J4&lt;='Initial Capital Payment'!$C$12),(HLOOKUP('Initial Capital Payment'!$C$12,'LPP Act Financing Plan (2)'!$E$4:$CZ$32,27,FALSE))*'Initial Capital Payment'!$F$10)/(((HLOOKUP('Initial Capital Payment'!$C$12,'LPP Act Financing Plan (2)'!$E$4:$CZ$32,8,FALSE)))*1000000)*1000</f>
        <v>0</v>
      </c>
      <c r="K36" s="479">
        <f>IF(AND('Initial Capital Payment'!$C$14="Pay-Go",K4&lt;='Initial Capital Payment'!$C$12),(HLOOKUP('Initial Capital Payment'!$C$12,'LPP Act Financing Plan (2)'!$E$4:$CZ$32,27,FALSE))*'Initial Capital Payment'!$F$10)/(((HLOOKUP('Initial Capital Payment'!$C$12,'LPP Act Financing Plan (2)'!$E$4:$CZ$32,8,FALSE)))*1000000)*1000</f>
        <v>0</v>
      </c>
      <c r="L36" s="479">
        <f>IF(AND('Initial Capital Payment'!$C$14="Pay-Go",L4&lt;='Initial Capital Payment'!$C$12),(HLOOKUP('Initial Capital Payment'!$C$12,'LPP Act Financing Plan (2)'!$E$4:$CZ$32,27,FALSE))*'Initial Capital Payment'!$F$10)/(((HLOOKUP('Initial Capital Payment'!$C$12,'LPP Act Financing Plan (2)'!$E$4:$CZ$32,8,FALSE)))*1000000)*1000</f>
        <v>0</v>
      </c>
      <c r="M36" s="479">
        <f>IF(AND('Initial Capital Payment'!$C$14="Pay-Go",M4&lt;='Initial Capital Payment'!$C$12),(HLOOKUP('Initial Capital Payment'!$C$12,'LPP Act Financing Plan (2)'!$E$4:$CZ$32,27,FALSE))*'Initial Capital Payment'!$F$10)/(((HLOOKUP('Initial Capital Payment'!$C$12,'LPP Act Financing Plan (2)'!$E$4:$CZ$32,8,FALSE)))*1000000)*1000</f>
        <v>0</v>
      </c>
      <c r="N36" s="479">
        <f>IF(AND('Initial Capital Payment'!$C$14="Pay-Go",N4&lt;='Initial Capital Payment'!$C$12),(HLOOKUP('Initial Capital Payment'!$C$12,'LPP Act Financing Plan (2)'!$E$4:$CZ$32,27,FALSE))*'Initial Capital Payment'!$F$10)/(((HLOOKUP('Initial Capital Payment'!$C$12,'LPP Act Financing Plan (2)'!$E$4:$CZ$32,8,FALSE)))*1000000)*1000</f>
        <v>0</v>
      </c>
      <c r="O36" s="479">
        <f>IF(AND('Initial Capital Payment'!$C$14="Pay-Go",O4&lt;='Initial Capital Payment'!$C$12),(HLOOKUP('Initial Capital Payment'!$C$12,'LPP Act Financing Plan (2)'!$E$4:$CZ$32,27,FALSE))*'Initial Capital Payment'!$F$10)/(((HLOOKUP('Initial Capital Payment'!$C$12,'LPP Act Financing Plan (2)'!$E$4:$CZ$32,8,FALSE)))*1000000)*1000</f>
        <v>0</v>
      </c>
      <c r="P36" s="479">
        <f>IF(AND('Initial Capital Payment'!$C$14="Pay-Go",P4&lt;='Initial Capital Payment'!$C$12),(HLOOKUP('Initial Capital Payment'!$C$12,'LPP Act Financing Plan (2)'!$E$4:$CZ$32,27,FALSE))*'Initial Capital Payment'!$F$10)/(((HLOOKUP('Initial Capital Payment'!$C$12,'LPP Act Financing Plan (2)'!$E$4:$CZ$32,8,FALSE)))*1000000)*1000</f>
        <v>0</v>
      </c>
      <c r="Q36" s="479">
        <f>IF(AND('Initial Capital Payment'!$C$14="Pay-Go",Q4&lt;='Initial Capital Payment'!$C$12),(HLOOKUP('Initial Capital Payment'!$C$12,'LPP Act Financing Plan (2)'!$E$4:$CZ$32,27,FALSE))*'Initial Capital Payment'!$F$10)/(((HLOOKUP('Initial Capital Payment'!$C$12,'LPP Act Financing Plan (2)'!$E$4:$CZ$32,8,FALSE)))*1000000)*1000</f>
        <v>0</v>
      </c>
      <c r="R36" s="479">
        <f>IF(AND('Initial Capital Payment'!$C$14="Pay-Go",R4&lt;='Initial Capital Payment'!$C$12),(HLOOKUP('Initial Capital Payment'!$C$12,'LPP Act Financing Plan (2)'!$E$4:$CZ$32,27,FALSE))*'Initial Capital Payment'!$F$10)/(((HLOOKUP('Initial Capital Payment'!$C$12,'LPP Act Financing Plan (2)'!$E$4:$CZ$32,8,FALSE)))*1000000)*1000</f>
        <v>0</v>
      </c>
      <c r="S36" s="479">
        <f>IF(AND('Initial Capital Payment'!$C$14="Pay-Go",S4&lt;='Initial Capital Payment'!$C$12),(HLOOKUP('Initial Capital Payment'!$C$12,'LPP Act Financing Plan (2)'!$E$4:$CZ$32,27,FALSE))*'Initial Capital Payment'!$F$10)/(((HLOOKUP('Initial Capital Payment'!$C$12,'LPP Act Financing Plan (2)'!$E$4:$CZ$32,8,FALSE)))*1000000)*1000</f>
        <v>0</v>
      </c>
      <c r="T36" s="479">
        <f>IF(AND('Initial Capital Payment'!$C$14="Pay-Go",T4&lt;='Initial Capital Payment'!$C$12),(HLOOKUP('Initial Capital Payment'!$C$12,'LPP Act Financing Plan (2)'!$E$4:$CZ$32,27,FALSE))*'Initial Capital Payment'!$F$10)/(((HLOOKUP('Initial Capital Payment'!$C$12,'LPP Act Financing Plan (2)'!$E$4:$CZ$32,8,FALSE)))*1000000)*1000</f>
        <v>0</v>
      </c>
      <c r="U36" s="479">
        <f>IF(AND('Initial Capital Payment'!$C$14="Pay-Go",U4&lt;='Initial Capital Payment'!$C$12),(HLOOKUP('Initial Capital Payment'!$C$12,'LPP Act Financing Plan (2)'!$E$4:$CZ$32,27,FALSE))*'Initial Capital Payment'!$F$10)/(((HLOOKUP('Initial Capital Payment'!$C$12,'LPP Act Financing Plan (2)'!$E$4:$CZ$32,8,FALSE)))*1000000)*1000</f>
        <v>0</v>
      </c>
      <c r="V36" s="479">
        <f>IF(AND('Initial Capital Payment'!$C$14="Pay-Go",V4&lt;='Initial Capital Payment'!$C$12),(HLOOKUP('Initial Capital Payment'!$C$12,'LPP Act Financing Plan (2)'!$E$4:$CZ$32,27,FALSE))*'Initial Capital Payment'!$F$10)/(((HLOOKUP('Initial Capital Payment'!$C$12,'LPP Act Financing Plan (2)'!$E$4:$CZ$32,8,FALSE)))*1000000)*1000</f>
        <v>0</v>
      </c>
      <c r="W36" s="479">
        <f>IF(AND('Initial Capital Payment'!$C$14="Pay-Go",W4&lt;='Initial Capital Payment'!$C$12),(HLOOKUP('Initial Capital Payment'!$C$12,'LPP Act Financing Plan (2)'!$E$4:$CZ$32,27,FALSE))*'Initial Capital Payment'!$F$10)/(((HLOOKUP('Initial Capital Payment'!$C$12,'LPP Act Financing Plan (2)'!$E$4:$CZ$32,8,FALSE)))*1000000)*1000</f>
        <v>0</v>
      </c>
      <c r="X36" s="479">
        <f>IF(AND('Initial Capital Payment'!$C$14="Pay-Go",X4&lt;='Initial Capital Payment'!$C$12),(HLOOKUP('Initial Capital Payment'!$C$12,'LPP Act Financing Plan (2)'!$E$4:$CZ$32,27,FALSE))*'Initial Capital Payment'!$F$10)/(((HLOOKUP('Initial Capital Payment'!$C$12,'LPP Act Financing Plan (2)'!$E$4:$CZ$32,8,FALSE)))*1000000)*1000</f>
        <v>0</v>
      </c>
      <c r="Y36" s="479">
        <f>IF(AND('Initial Capital Payment'!$C$14="Pay-Go",Y4&lt;='Initial Capital Payment'!$C$12),(HLOOKUP('Initial Capital Payment'!$C$12,'LPP Act Financing Plan (2)'!$E$4:$CZ$32,27,FALSE))*'Initial Capital Payment'!$F$10)/(((HLOOKUP('Initial Capital Payment'!$C$12,'LPP Act Financing Plan (2)'!$E$4:$CZ$32,8,FALSE)))*1000000)*1000</f>
        <v>0</v>
      </c>
      <c r="Z36" s="479">
        <f>IF(AND('Initial Capital Payment'!$C$14="Pay-Go",Z4&lt;='Initial Capital Payment'!$C$12),(HLOOKUP('Initial Capital Payment'!$C$12,'LPP Act Financing Plan (2)'!$E$4:$CZ$32,27,FALSE))*'Initial Capital Payment'!$F$10)/(((HLOOKUP('Initial Capital Payment'!$C$12,'LPP Act Financing Plan (2)'!$E$4:$CZ$32,8,FALSE)))*1000000)*1000</f>
        <v>0</v>
      </c>
      <c r="AA36" s="479">
        <f>IF(AND('Initial Capital Payment'!$C$14="Pay-Go",AA4&lt;='Initial Capital Payment'!$C$12),(HLOOKUP('Initial Capital Payment'!$C$12,'LPP Act Financing Plan (2)'!$E$4:$CZ$32,27,FALSE))*'Initial Capital Payment'!$F$10)/(((HLOOKUP('Initial Capital Payment'!$C$12,'LPP Act Financing Plan (2)'!$E$4:$CZ$32,8,FALSE)))*1000000)*1000</f>
        <v>0</v>
      </c>
      <c r="AB36" s="479">
        <f>IF(AND('Initial Capital Payment'!$C$14="Pay-Go",AB4&lt;='Initial Capital Payment'!$C$12),(HLOOKUP('Initial Capital Payment'!$C$12,'LPP Act Financing Plan (2)'!$E$4:$CZ$32,27,FALSE))*'Initial Capital Payment'!$F$10)/(((HLOOKUP('Initial Capital Payment'!$C$12,'LPP Act Financing Plan (2)'!$E$4:$CZ$32,8,FALSE)))*1000000)*1000</f>
        <v>0</v>
      </c>
      <c r="AC36" s="479">
        <f>IF(AND('Initial Capital Payment'!$C$14="Pay-Go",AC4&lt;='Initial Capital Payment'!$C$12),(HLOOKUP('Initial Capital Payment'!$C$12,'LPP Act Financing Plan (2)'!$E$4:$CZ$32,27,FALSE))*'Initial Capital Payment'!$F$10)/(((HLOOKUP('Initial Capital Payment'!$C$12,'LPP Act Financing Plan (2)'!$E$4:$CZ$32,8,FALSE)))*1000000)*1000</f>
        <v>0</v>
      </c>
      <c r="AD36" s="479">
        <f>IF(AND('Initial Capital Payment'!$C$14="Pay-Go",AD4&lt;='Initial Capital Payment'!$C$12),(HLOOKUP('Initial Capital Payment'!$C$12,'LPP Act Financing Plan (2)'!$E$4:$CZ$32,27,FALSE))*'Initial Capital Payment'!$F$10)/(((HLOOKUP('Initial Capital Payment'!$C$12,'LPP Act Financing Plan (2)'!$E$4:$CZ$32,8,FALSE)))*1000000)*1000</f>
        <v>0</v>
      </c>
      <c r="AE36" s="479">
        <f>IF(AND('Initial Capital Payment'!$C$14="Pay-Go",AE4&lt;='Initial Capital Payment'!$C$12),(HLOOKUP('Initial Capital Payment'!$C$12,'LPP Act Financing Plan (2)'!$E$4:$CZ$32,27,FALSE))*'Initial Capital Payment'!$F$10)/(((HLOOKUP('Initial Capital Payment'!$C$12,'LPP Act Financing Plan (2)'!$E$4:$CZ$32,8,FALSE)))*1000000)*1000</f>
        <v>0</v>
      </c>
      <c r="AF36" s="479">
        <f>IF(AND('Initial Capital Payment'!$C$14="Pay-Go",AF4&lt;='Initial Capital Payment'!$C$12),(HLOOKUP('Initial Capital Payment'!$C$12,'LPP Act Financing Plan (2)'!$E$4:$CZ$32,27,FALSE))*'Initial Capital Payment'!$F$10)/(((HLOOKUP('Initial Capital Payment'!$C$12,'LPP Act Financing Plan (2)'!$E$4:$CZ$32,8,FALSE)))*1000000)*1000</f>
        <v>0</v>
      </c>
      <c r="AG36" s="479">
        <f>IF(AND('Initial Capital Payment'!$C$14="Pay-Go",AG4&lt;='Initial Capital Payment'!$C$12),(HLOOKUP('Initial Capital Payment'!$C$12,'LPP Act Financing Plan (2)'!$E$4:$CZ$32,27,FALSE))*'Initial Capital Payment'!$F$10)/(((HLOOKUP('Initial Capital Payment'!$C$12,'LPP Act Financing Plan (2)'!$E$4:$CZ$32,8,FALSE)))*1000000)*1000</f>
        <v>0</v>
      </c>
      <c r="AH36" s="479">
        <f>IF(AND('Initial Capital Payment'!$C$14="Pay-Go",AH4&lt;='Initial Capital Payment'!$C$12),(HLOOKUP('Initial Capital Payment'!$C$12,'LPP Act Financing Plan (2)'!$E$4:$CZ$32,27,FALSE))*'Initial Capital Payment'!$F$10)/(((HLOOKUP('Initial Capital Payment'!$C$12,'LPP Act Financing Plan (2)'!$E$4:$CZ$32,8,FALSE)))*1000000)*1000</f>
        <v>0</v>
      </c>
      <c r="AI36" s="479">
        <f>IF(AND('Initial Capital Payment'!$C$14="Pay-Go",AI4&lt;='Initial Capital Payment'!$C$12),(HLOOKUP('Initial Capital Payment'!$C$12,'LPP Act Financing Plan (2)'!$E$4:$CZ$32,27,FALSE))*'Initial Capital Payment'!$F$10)/(((HLOOKUP('Initial Capital Payment'!$C$12,'LPP Act Financing Plan (2)'!$E$4:$CZ$32,8,FALSE)))*1000000)*1000</f>
        <v>0</v>
      </c>
      <c r="AJ36" s="479">
        <f>IF(AND('Initial Capital Payment'!$C$14="Pay-Go",AJ4&lt;='Initial Capital Payment'!$C$12),(HLOOKUP('Initial Capital Payment'!$C$12,'LPP Act Financing Plan (2)'!$E$4:$CZ$32,27,FALSE))*'Initial Capital Payment'!$F$10)/(((HLOOKUP('Initial Capital Payment'!$C$12,'LPP Act Financing Plan (2)'!$E$4:$CZ$32,8,FALSE)))*1000000)*1000</f>
        <v>0</v>
      </c>
      <c r="AK36" s="479">
        <f>IF(AND('Initial Capital Payment'!$C$14="Pay-Go",AK4&lt;='Initial Capital Payment'!$C$12),(HLOOKUP('Initial Capital Payment'!$C$12,'LPP Act Financing Plan (2)'!$E$4:$CZ$32,27,FALSE))*'Initial Capital Payment'!$F$10)/(((HLOOKUP('Initial Capital Payment'!$C$12,'LPP Act Financing Plan (2)'!$E$4:$CZ$32,8,FALSE)))*1000000)*1000</f>
        <v>0</v>
      </c>
      <c r="AL36" s="479">
        <f>IF(AND('Initial Capital Payment'!$C$14="Pay-Go",AL4&lt;='Initial Capital Payment'!$C$12),(HLOOKUP('Initial Capital Payment'!$C$12,'LPP Act Financing Plan (2)'!$E$4:$CZ$32,27,FALSE))*'Initial Capital Payment'!$F$10)/(((HLOOKUP('Initial Capital Payment'!$C$12,'LPP Act Financing Plan (2)'!$E$4:$CZ$32,8,FALSE)))*1000000)*1000</f>
        <v>0</v>
      </c>
      <c r="AM36" s="479">
        <f>IF(AND('Initial Capital Payment'!$C$14="Pay-Go",AM4&lt;='Initial Capital Payment'!$C$12),(HLOOKUP('Initial Capital Payment'!$C$12,'LPP Act Financing Plan (2)'!$E$4:$CZ$32,27,FALSE))*'Initial Capital Payment'!$F$10)/(((HLOOKUP('Initial Capital Payment'!$C$12,'LPP Act Financing Plan (2)'!$E$4:$CZ$32,8,FALSE)))*1000000)*1000</f>
        <v>0</v>
      </c>
      <c r="AN36" s="479">
        <f>IF(AND('Initial Capital Payment'!$C$14="Pay-Go",AN4&lt;='Initial Capital Payment'!$C$12),(HLOOKUP('Initial Capital Payment'!$C$12,'LPP Act Financing Plan (2)'!$E$4:$CZ$32,27,FALSE))*'Initial Capital Payment'!$F$10)/(((HLOOKUP('Initial Capital Payment'!$C$12,'LPP Act Financing Plan (2)'!$E$4:$CZ$32,8,FALSE)))*1000000)*1000</f>
        <v>0</v>
      </c>
      <c r="AO36" s="479">
        <f>IF(AND('Initial Capital Payment'!$C$14="Pay-Go",AO4&lt;='Initial Capital Payment'!$C$12),(HLOOKUP('Initial Capital Payment'!$C$12,'LPP Act Financing Plan (2)'!$E$4:$CZ$32,27,FALSE))*'Initial Capital Payment'!$F$10)/(((HLOOKUP('Initial Capital Payment'!$C$12,'LPP Act Financing Plan (2)'!$E$4:$CZ$32,8,FALSE)))*1000000)*1000</f>
        <v>0</v>
      </c>
      <c r="AP36" s="479">
        <f>IF(AND('Initial Capital Payment'!$C$14="Pay-Go",AP4&lt;='Initial Capital Payment'!$C$12),(HLOOKUP('Initial Capital Payment'!$C$12,'LPP Act Financing Plan (2)'!$E$4:$CZ$32,27,FALSE))*'Initial Capital Payment'!$F$10)/(((HLOOKUP('Initial Capital Payment'!$C$12,'LPP Act Financing Plan (2)'!$E$4:$CZ$32,8,FALSE)))*1000000)*1000</f>
        <v>0</v>
      </c>
      <c r="AQ36" s="479">
        <f>IF(AND('Initial Capital Payment'!$C$14="Pay-Go",AQ4&lt;='Initial Capital Payment'!$C$12),(HLOOKUP('Initial Capital Payment'!$C$12,'LPP Act Financing Plan (2)'!$E$4:$CZ$32,27,FALSE))*'Initial Capital Payment'!$F$10)/(((HLOOKUP('Initial Capital Payment'!$C$12,'LPP Act Financing Plan (2)'!$E$4:$CZ$32,8,FALSE)))*1000000)*1000</f>
        <v>0</v>
      </c>
      <c r="AR36" s="479">
        <f>IF(AND('Initial Capital Payment'!$C$14="Pay-Go",AR4&lt;='Initial Capital Payment'!$C$12),(HLOOKUP('Initial Capital Payment'!$C$12,'LPP Act Financing Plan (2)'!$E$4:$CZ$32,27,FALSE))*'Initial Capital Payment'!$F$10)/(((HLOOKUP('Initial Capital Payment'!$C$12,'LPP Act Financing Plan (2)'!$E$4:$CZ$32,8,FALSE)))*1000000)*1000</f>
        <v>0</v>
      </c>
      <c r="AS36" s="479">
        <f>IF(AND('Initial Capital Payment'!$C$14="Pay-Go",AS4&lt;='Initial Capital Payment'!$C$12),(HLOOKUP('Initial Capital Payment'!$C$12,'LPP Act Financing Plan (2)'!$E$4:$CZ$32,27,FALSE))*'Initial Capital Payment'!$F$10)/(((HLOOKUP('Initial Capital Payment'!$C$12,'LPP Act Financing Plan (2)'!$E$4:$CZ$32,8,FALSE)))*1000000)*1000</f>
        <v>0</v>
      </c>
      <c r="AT36" s="479">
        <f>IF(AND('Initial Capital Payment'!$C$14="Pay-Go",AT4&lt;='Initial Capital Payment'!$C$12),(HLOOKUP('Initial Capital Payment'!$C$12,'LPP Act Financing Plan (2)'!$E$4:$CZ$32,27,FALSE))*'Initial Capital Payment'!$F$10)/(((HLOOKUP('Initial Capital Payment'!$C$12,'LPP Act Financing Plan (2)'!$E$4:$CZ$32,8,FALSE)))*1000000)*1000</f>
        <v>0</v>
      </c>
      <c r="AU36" s="479">
        <f>IF(AND('Initial Capital Payment'!$C$14="Pay-Go",AU4&lt;='Initial Capital Payment'!$C$12),(HLOOKUP('Initial Capital Payment'!$C$12,'LPP Act Financing Plan (2)'!$E$4:$CZ$32,27,FALSE))*'Initial Capital Payment'!$F$10)/(((HLOOKUP('Initial Capital Payment'!$C$12,'LPP Act Financing Plan (2)'!$E$4:$CZ$32,8,FALSE)))*1000000)*1000</f>
        <v>0</v>
      </c>
      <c r="AV36" s="479">
        <f>IF(AND('Initial Capital Payment'!$C$14="Pay-Go",AV4&lt;='Initial Capital Payment'!$C$12),(HLOOKUP('Initial Capital Payment'!$C$12,'LPP Act Financing Plan (2)'!$E$4:$CZ$32,27,FALSE))*'Initial Capital Payment'!$F$10)/(((HLOOKUP('Initial Capital Payment'!$C$12,'LPP Act Financing Plan (2)'!$E$4:$CZ$32,8,FALSE)))*1000000)*1000</f>
        <v>0</v>
      </c>
      <c r="AW36" s="479">
        <f>IF(AND('Initial Capital Payment'!$C$14="Pay-Go",AW4&lt;='Initial Capital Payment'!$C$12),(HLOOKUP('Initial Capital Payment'!$C$12,'LPP Act Financing Plan (2)'!$E$4:$CZ$32,27,FALSE))*'Initial Capital Payment'!$F$10)/(((HLOOKUP('Initial Capital Payment'!$C$12,'LPP Act Financing Plan (2)'!$E$4:$CZ$32,8,FALSE)))*1000000)*1000</f>
        <v>0</v>
      </c>
      <c r="AX36" s="479">
        <f>IF(AND('Initial Capital Payment'!$C$14="Pay-Go",AX4&lt;='Initial Capital Payment'!$C$12),(HLOOKUP('Initial Capital Payment'!$C$12,'LPP Act Financing Plan (2)'!$E$4:$CZ$32,27,FALSE))*'Initial Capital Payment'!$F$10)/(((HLOOKUP('Initial Capital Payment'!$C$12,'LPP Act Financing Plan (2)'!$E$4:$CZ$32,8,FALSE)))*1000000)*1000</f>
        <v>0</v>
      </c>
      <c r="AY36" s="479">
        <f>IF(AND('Initial Capital Payment'!$C$14="Pay-Go",AY4&lt;='Initial Capital Payment'!$C$12),(HLOOKUP('Initial Capital Payment'!$C$12,'LPP Act Financing Plan (2)'!$E$4:$CZ$32,27,FALSE))*'Initial Capital Payment'!$F$10)/(((HLOOKUP('Initial Capital Payment'!$C$12,'LPP Act Financing Plan (2)'!$E$4:$CZ$32,8,FALSE)))*1000000)*1000</f>
        <v>0</v>
      </c>
      <c r="AZ36" s="479">
        <f>IF(AND('Initial Capital Payment'!$C$14="Pay-Go",AZ4&lt;='Initial Capital Payment'!$C$12),(HLOOKUP('Initial Capital Payment'!$C$12,'LPP Act Financing Plan (2)'!$E$4:$CZ$32,27,FALSE))*'Initial Capital Payment'!$F$10)/(((HLOOKUP('Initial Capital Payment'!$C$12,'LPP Act Financing Plan (2)'!$E$4:$CZ$32,8,FALSE)))*1000000)*1000</f>
        <v>0</v>
      </c>
      <c r="BA36" s="479">
        <f>IF(AND('Initial Capital Payment'!$C$14="Pay-Go",BA4&lt;='Initial Capital Payment'!$C$12),(HLOOKUP('Initial Capital Payment'!$C$12,'LPP Act Financing Plan (2)'!$E$4:$CZ$32,27,FALSE))*'Initial Capital Payment'!$F$10)/(((HLOOKUP('Initial Capital Payment'!$C$12,'LPP Act Financing Plan (2)'!$E$4:$CZ$32,8,FALSE)))*1000000)*1000</f>
        <v>0</v>
      </c>
      <c r="BB36" s="479">
        <f>IF(AND('Initial Capital Payment'!$C$14="Pay-Go",BB4&lt;='Initial Capital Payment'!$C$12),(HLOOKUP('Initial Capital Payment'!$C$12,'LPP Act Financing Plan (2)'!$E$4:$CZ$32,27,FALSE))*'Initial Capital Payment'!$F$10)/(((HLOOKUP('Initial Capital Payment'!$C$12,'LPP Act Financing Plan (2)'!$E$4:$CZ$32,8,FALSE)))*1000000)*1000</f>
        <v>0</v>
      </c>
      <c r="BC36" s="479">
        <f>IF(AND('Initial Capital Payment'!$C$14="Pay-Go",BC4&lt;='Initial Capital Payment'!$C$12),(HLOOKUP('Initial Capital Payment'!$C$12,'LPP Act Financing Plan (2)'!$E$4:$CZ$32,27,FALSE))*'Initial Capital Payment'!$F$10)/(((HLOOKUP('Initial Capital Payment'!$C$12,'LPP Act Financing Plan (2)'!$E$4:$CZ$32,8,FALSE)))*1000000)*1000</f>
        <v>0</v>
      </c>
      <c r="BD36" s="479">
        <f>IF(AND('Initial Capital Payment'!$C$14="Pay-Go",BD4&lt;='Initial Capital Payment'!$C$12),(HLOOKUP('Initial Capital Payment'!$C$12,'LPP Act Financing Plan (2)'!$E$4:$CZ$32,27,FALSE))*'Initial Capital Payment'!$F$10)/(((HLOOKUP('Initial Capital Payment'!$C$12,'LPP Act Financing Plan (2)'!$E$4:$CZ$32,8,FALSE)))*1000000)*1000</f>
        <v>0</v>
      </c>
      <c r="BE36" s="479">
        <f>IF(AND('Initial Capital Payment'!$C$14="Pay-Go",BE4&lt;='Initial Capital Payment'!$C$12),(HLOOKUP('Initial Capital Payment'!$C$12,'LPP Act Financing Plan (2)'!$E$4:$CZ$32,27,FALSE))*'Initial Capital Payment'!$F$10)/(((HLOOKUP('Initial Capital Payment'!$C$12,'LPP Act Financing Plan (2)'!$E$4:$CZ$32,8,FALSE)))*1000000)*1000</f>
        <v>0</v>
      </c>
      <c r="BF36" s="479">
        <f>IF(AND('Initial Capital Payment'!$C$14="Pay-Go",BF4&lt;='Initial Capital Payment'!$C$12),(HLOOKUP('Initial Capital Payment'!$C$12,'LPP Act Financing Plan (2)'!$E$4:$CZ$32,27,FALSE))*'Initial Capital Payment'!$F$10)/(((HLOOKUP('Initial Capital Payment'!$C$12,'LPP Act Financing Plan (2)'!$E$4:$CZ$32,8,FALSE)))*1000000)*1000</f>
        <v>0</v>
      </c>
      <c r="BG36" s="479">
        <f>IF(AND('Initial Capital Payment'!$C$14="Pay-Go",BG4&lt;='Initial Capital Payment'!$C$12),(HLOOKUP('Initial Capital Payment'!$C$12,'LPP Act Financing Plan (2)'!$E$4:$CZ$32,27,FALSE))*'Initial Capital Payment'!$F$10)/(((HLOOKUP('Initial Capital Payment'!$C$12,'LPP Act Financing Plan (2)'!$E$4:$CZ$32,8,FALSE)))*1000000)*1000</f>
        <v>0</v>
      </c>
      <c r="BH36" s="479">
        <f>IF(AND('Initial Capital Payment'!$C$14="Pay-Go",BH4&lt;='Initial Capital Payment'!$C$12),(HLOOKUP('Initial Capital Payment'!$C$12,'LPP Act Financing Plan (2)'!$E$4:$CZ$32,27,FALSE))*'Initial Capital Payment'!$F$10)/(((HLOOKUP('Initial Capital Payment'!$C$12,'LPP Act Financing Plan (2)'!$E$4:$CZ$32,8,FALSE)))*1000000)*1000</f>
        <v>0</v>
      </c>
      <c r="BI36" s="479">
        <f>IF(AND('Initial Capital Payment'!$C$14="Pay-Go",BI4&lt;='Initial Capital Payment'!$C$12),(HLOOKUP('Initial Capital Payment'!$C$12,'LPP Act Financing Plan (2)'!$E$4:$CZ$32,27,FALSE))*'Initial Capital Payment'!$F$10)/(((HLOOKUP('Initial Capital Payment'!$C$12,'LPP Act Financing Plan (2)'!$E$4:$CZ$32,8,FALSE)))*1000000)*1000</f>
        <v>0</v>
      </c>
      <c r="BJ36" s="479">
        <f>IF(AND('Initial Capital Payment'!$C$14="Pay-Go",BJ4&lt;='Initial Capital Payment'!$C$12),(HLOOKUP('Initial Capital Payment'!$C$12,'LPP Act Financing Plan (2)'!$E$4:$CZ$32,27,FALSE))*'Initial Capital Payment'!$F$10)/(((HLOOKUP('Initial Capital Payment'!$C$12,'LPP Act Financing Plan (2)'!$E$4:$CZ$32,8,FALSE)))*1000000)*1000</f>
        <v>0</v>
      </c>
      <c r="BK36" s="479">
        <f>IF(AND('Initial Capital Payment'!$C$14="Pay-Go",BK4&lt;='Initial Capital Payment'!$C$12),(HLOOKUP('Initial Capital Payment'!$C$12,'LPP Act Financing Plan (2)'!$E$4:$CZ$32,27,FALSE))*'Initial Capital Payment'!$F$10)/(((HLOOKUP('Initial Capital Payment'!$C$12,'LPP Act Financing Plan (2)'!$E$4:$CZ$32,8,FALSE)))*1000000)*1000</f>
        <v>0</v>
      </c>
      <c r="BL36" s="479">
        <f>IF(AND('Initial Capital Payment'!$C$14="Pay-Go",BL4&lt;='Initial Capital Payment'!$C$12),(HLOOKUP('Initial Capital Payment'!$C$12,'LPP Act Financing Plan (2)'!$E$4:$CZ$32,27,FALSE))*'Initial Capital Payment'!$F$10)/(((HLOOKUP('Initial Capital Payment'!$C$12,'LPP Act Financing Plan (2)'!$E$4:$CZ$32,8,FALSE)))*1000000)*1000</f>
        <v>0</v>
      </c>
      <c r="BM36" s="479">
        <f>IF(AND('Initial Capital Payment'!$C$14="Pay-Go",BM4&lt;='Initial Capital Payment'!$C$12),(HLOOKUP('Initial Capital Payment'!$C$12,'LPP Act Financing Plan (2)'!$E$4:$CZ$32,27,FALSE))*'Initial Capital Payment'!$F$10)/(((HLOOKUP('Initial Capital Payment'!$C$12,'LPP Act Financing Plan (2)'!$E$4:$CZ$32,8,FALSE)))*1000000)*1000</f>
        <v>0</v>
      </c>
      <c r="BN36" s="479">
        <f>IF(AND('Initial Capital Payment'!$C$14="Pay-Go",BN4&lt;='Initial Capital Payment'!$C$12),(HLOOKUP('Initial Capital Payment'!$C$12,'LPP Act Financing Plan (2)'!$E$4:$CZ$32,27,FALSE))*'Initial Capital Payment'!$F$10)/(((HLOOKUP('Initial Capital Payment'!$C$12,'LPP Act Financing Plan (2)'!$E$4:$CZ$32,8,FALSE)))*1000000)*1000</f>
        <v>0</v>
      </c>
      <c r="BO36" s="479">
        <f>IF(AND('Initial Capital Payment'!$C$14="Pay-Go",BO4&lt;='Initial Capital Payment'!$C$12),(HLOOKUP('Initial Capital Payment'!$C$12,'LPP Act Financing Plan (2)'!$E$4:$CZ$32,27,FALSE))*'Initial Capital Payment'!$F$10)/(((HLOOKUP('Initial Capital Payment'!$C$12,'LPP Act Financing Plan (2)'!$E$4:$CZ$32,8,FALSE)))*1000000)*1000</f>
        <v>0</v>
      </c>
      <c r="BP36" s="479">
        <f>IF(AND('Initial Capital Payment'!$C$14="Pay-Go",BP4&lt;='Initial Capital Payment'!$C$12),(HLOOKUP('Initial Capital Payment'!$C$12,'LPP Act Financing Plan (2)'!$E$4:$CZ$32,27,FALSE))*'Initial Capital Payment'!$F$10)/(((HLOOKUP('Initial Capital Payment'!$C$12,'LPP Act Financing Plan (2)'!$E$4:$CZ$32,8,FALSE)))*1000000)*1000</f>
        <v>0</v>
      </c>
      <c r="BQ36" s="479">
        <f>IF(AND('Initial Capital Payment'!$C$14="Pay-Go",BQ4&lt;='Initial Capital Payment'!$C$12),(HLOOKUP('Initial Capital Payment'!$C$12,'LPP Act Financing Plan (2)'!$E$4:$CZ$32,27,FALSE))*'Initial Capital Payment'!$F$10)/(((HLOOKUP('Initial Capital Payment'!$C$12,'LPP Act Financing Plan (2)'!$E$4:$CZ$32,8,FALSE)))*1000000)*1000</f>
        <v>0</v>
      </c>
      <c r="BR36" s="479">
        <f>IF(AND('Initial Capital Payment'!$C$14="Pay-Go",BR4&lt;='Initial Capital Payment'!$C$12),(HLOOKUP('Initial Capital Payment'!$C$12,'LPP Act Financing Plan (2)'!$E$4:$CZ$32,27,FALSE))*'Initial Capital Payment'!$F$10)/(((HLOOKUP('Initial Capital Payment'!$C$12,'LPP Act Financing Plan (2)'!$E$4:$CZ$32,8,FALSE)))*1000000)*1000</f>
        <v>0</v>
      </c>
      <c r="BS36" s="479">
        <f>IF(AND('Initial Capital Payment'!$C$14="Pay-Go",BS4&lt;='Initial Capital Payment'!$C$12),(HLOOKUP('Initial Capital Payment'!$C$12,'LPP Act Financing Plan (2)'!$E$4:$CZ$32,27,FALSE))*'Initial Capital Payment'!$F$10)/(((HLOOKUP('Initial Capital Payment'!$C$12,'LPP Act Financing Plan (2)'!$E$4:$CZ$32,8,FALSE)))*1000000)*1000</f>
        <v>0</v>
      </c>
      <c r="BT36" s="479">
        <f>IF(AND('Initial Capital Payment'!$C$14="Pay-Go",BT4&lt;='Initial Capital Payment'!$C$12),(HLOOKUP('Initial Capital Payment'!$C$12,'LPP Act Financing Plan (2)'!$E$4:$CZ$32,27,FALSE))*'Initial Capital Payment'!$F$10)/(((HLOOKUP('Initial Capital Payment'!$C$12,'LPP Act Financing Plan (2)'!$E$4:$CZ$32,8,FALSE)))*1000000)*1000</f>
        <v>0</v>
      </c>
      <c r="BU36" s="479">
        <f>IF(AND('Initial Capital Payment'!$C$14="Pay-Go",BU4&lt;='Initial Capital Payment'!$C$12),(HLOOKUP('Initial Capital Payment'!$C$12,'LPP Act Financing Plan (2)'!$E$4:$CZ$32,27,FALSE))*'Initial Capital Payment'!$F$10)/(((HLOOKUP('Initial Capital Payment'!$C$12,'LPP Act Financing Plan (2)'!$E$4:$CZ$32,8,FALSE)))*1000000)*1000</f>
        <v>0</v>
      </c>
      <c r="BV36" s="479">
        <f>IF(AND('Initial Capital Payment'!$C$14="Pay-Go",BV4&lt;='Initial Capital Payment'!$C$12),(HLOOKUP('Initial Capital Payment'!$C$12,'LPP Act Financing Plan (2)'!$E$4:$CZ$32,27,FALSE))*'Initial Capital Payment'!$F$10)/(((HLOOKUP('Initial Capital Payment'!$C$12,'LPP Act Financing Plan (2)'!$E$4:$CZ$32,8,FALSE)))*1000000)*1000</f>
        <v>0</v>
      </c>
      <c r="BW36" s="479">
        <f>IF(AND('Initial Capital Payment'!$C$14="Pay-Go",BW4&lt;='Initial Capital Payment'!$C$12),(HLOOKUP('Initial Capital Payment'!$C$12,'LPP Act Financing Plan (2)'!$E$4:$CZ$32,27,FALSE))*'Initial Capital Payment'!$F$10)/(((HLOOKUP('Initial Capital Payment'!$C$12,'LPP Act Financing Plan (2)'!$E$4:$CZ$32,8,FALSE)))*1000000)*1000</f>
        <v>0</v>
      </c>
      <c r="BX36" s="479">
        <f>IF(AND('Initial Capital Payment'!$C$14="Pay-Go",BX4&lt;='Initial Capital Payment'!$C$12),(HLOOKUP('Initial Capital Payment'!$C$12,'LPP Act Financing Plan (2)'!$E$4:$CZ$32,27,FALSE))*'Initial Capital Payment'!$F$10)/(((HLOOKUP('Initial Capital Payment'!$C$12,'LPP Act Financing Plan (2)'!$E$4:$CZ$32,8,FALSE)))*1000000)*1000</f>
        <v>0</v>
      </c>
      <c r="BY36" s="479">
        <f>IF(AND('Initial Capital Payment'!$C$14="Pay-Go",BY4&lt;='Initial Capital Payment'!$C$12),(HLOOKUP('Initial Capital Payment'!$C$12,'LPP Act Financing Plan (2)'!$E$4:$CZ$32,27,FALSE))*'Initial Capital Payment'!$F$10)/(((HLOOKUP('Initial Capital Payment'!$C$12,'LPP Act Financing Plan (2)'!$E$4:$CZ$32,8,FALSE)))*1000000)*1000</f>
        <v>0</v>
      </c>
      <c r="BZ36" s="479">
        <f>IF(AND('Initial Capital Payment'!$C$14="Pay-Go",BZ4&lt;='Initial Capital Payment'!$C$12),(HLOOKUP('Initial Capital Payment'!$C$12,'LPP Act Financing Plan (2)'!$E$4:$CZ$32,27,FALSE))*'Initial Capital Payment'!$F$10)/(((HLOOKUP('Initial Capital Payment'!$C$12,'LPP Act Financing Plan (2)'!$E$4:$CZ$32,8,FALSE)))*1000000)*1000</f>
        <v>0</v>
      </c>
      <c r="CA36" s="479">
        <f>IF(AND('Initial Capital Payment'!$C$14="Pay-Go",CA4&lt;='Initial Capital Payment'!$C$12),(HLOOKUP('Initial Capital Payment'!$C$12,'LPP Act Financing Plan (2)'!$E$4:$CZ$32,27,FALSE))*'Initial Capital Payment'!$F$10)/(((HLOOKUP('Initial Capital Payment'!$C$12,'LPP Act Financing Plan (2)'!$E$4:$CZ$32,8,FALSE)))*1000000)*1000</f>
        <v>0</v>
      </c>
      <c r="CB36" s="479">
        <f>IF(AND('Initial Capital Payment'!$C$14="Pay-Go",CB4&lt;='Initial Capital Payment'!$C$12),(HLOOKUP('Initial Capital Payment'!$C$12,'LPP Act Financing Plan (2)'!$E$4:$CZ$32,27,FALSE))*'Initial Capital Payment'!$F$10)/(((HLOOKUP('Initial Capital Payment'!$C$12,'LPP Act Financing Plan (2)'!$E$4:$CZ$32,8,FALSE)))*1000000)*1000</f>
        <v>0</v>
      </c>
      <c r="CC36" s="479">
        <f>IF(AND('Initial Capital Payment'!$C$14="Pay-Go",CC4&lt;='Initial Capital Payment'!$C$12),(HLOOKUP('Initial Capital Payment'!$C$12,'LPP Act Financing Plan (2)'!$E$4:$CZ$32,27,FALSE))*'Initial Capital Payment'!$F$10)/(((HLOOKUP('Initial Capital Payment'!$C$12,'LPP Act Financing Plan (2)'!$E$4:$CZ$32,8,FALSE)))*1000000)*1000</f>
        <v>0</v>
      </c>
      <c r="CD36" s="479">
        <f>IF(AND('Initial Capital Payment'!$C$14="Pay-Go",CD4&lt;='Initial Capital Payment'!$C$12),(HLOOKUP('Initial Capital Payment'!$C$12,'LPP Act Financing Plan (2)'!$E$4:$CZ$32,27,FALSE))*'Initial Capital Payment'!$F$10)/(((HLOOKUP('Initial Capital Payment'!$C$12,'LPP Act Financing Plan (2)'!$E$4:$CZ$32,8,FALSE)))*1000000)*1000</f>
        <v>0</v>
      </c>
      <c r="CE36" s="479">
        <f>IF(AND('Initial Capital Payment'!$C$14="Pay-Go",CE4&lt;='Initial Capital Payment'!$C$12),(HLOOKUP('Initial Capital Payment'!$C$12,'LPP Act Financing Plan (2)'!$E$4:$CZ$32,27,FALSE))*'Initial Capital Payment'!$F$10)/(((HLOOKUP('Initial Capital Payment'!$C$12,'LPP Act Financing Plan (2)'!$E$4:$CZ$32,8,FALSE)))*1000000)*1000</f>
        <v>0</v>
      </c>
      <c r="CF36" s="479">
        <f>IF(AND('Initial Capital Payment'!$C$14="Pay-Go",CF4&lt;='Initial Capital Payment'!$C$12),(HLOOKUP('Initial Capital Payment'!$C$12,'LPP Act Financing Plan (2)'!$E$4:$CZ$32,27,FALSE))*'Initial Capital Payment'!$F$10)/(((HLOOKUP('Initial Capital Payment'!$C$12,'LPP Act Financing Plan (2)'!$E$4:$CZ$32,8,FALSE)))*1000000)*1000</f>
        <v>0</v>
      </c>
      <c r="CG36" s="479">
        <f>IF(AND('Initial Capital Payment'!$C$14="Pay-Go",CG4&lt;='Initial Capital Payment'!$C$12),(HLOOKUP('Initial Capital Payment'!$C$12,'LPP Act Financing Plan (2)'!$E$4:$CZ$32,27,FALSE))*'Initial Capital Payment'!$F$10)/(((HLOOKUP('Initial Capital Payment'!$C$12,'LPP Act Financing Plan (2)'!$E$4:$CZ$32,8,FALSE)))*1000000)*1000</f>
        <v>0</v>
      </c>
      <c r="CH36" s="479">
        <f>IF(AND('Initial Capital Payment'!$C$14="Pay-Go",CH4&lt;='Initial Capital Payment'!$C$12),(HLOOKUP('Initial Capital Payment'!$C$12,'LPP Act Financing Plan (2)'!$E$4:$CZ$32,27,FALSE))*'Initial Capital Payment'!$F$10)/(((HLOOKUP('Initial Capital Payment'!$C$12,'LPP Act Financing Plan (2)'!$E$4:$CZ$32,8,FALSE)))*1000000)*1000</f>
        <v>0</v>
      </c>
      <c r="CI36" s="479">
        <f>IF(AND('Initial Capital Payment'!$C$14="Pay-Go",CI4&lt;='Initial Capital Payment'!$C$12),(HLOOKUP('Initial Capital Payment'!$C$12,'LPP Act Financing Plan (2)'!$E$4:$CZ$32,27,FALSE))*'Initial Capital Payment'!$F$10)/(((HLOOKUP('Initial Capital Payment'!$C$12,'LPP Act Financing Plan (2)'!$E$4:$CZ$32,8,FALSE)))*1000000)*1000</f>
        <v>0</v>
      </c>
      <c r="CJ36" s="479">
        <f>IF(AND('Initial Capital Payment'!$C$14="Pay-Go",CJ4&lt;='Initial Capital Payment'!$C$12),(HLOOKUP('Initial Capital Payment'!$C$12,'LPP Act Financing Plan (2)'!$E$4:$CZ$32,27,FALSE))*'Initial Capital Payment'!$F$10)/(((HLOOKUP('Initial Capital Payment'!$C$12,'LPP Act Financing Plan (2)'!$E$4:$CZ$32,8,FALSE)))*1000000)*1000</f>
        <v>0</v>
      </c>
      <c r="CK36" s="479">
        <f>IF(AND('Initial Capital Payment'!$C$14="Pay-Go",CK4&lt;='Initial Capital Payment'!$C$12),(HLOOKUP('Initial Capital Payment'!$C$12,'LPP Act Financing Plan (2)'!$E$4:$CZ$32,27,FALSE))*'Initial Capital Payment'!$F$10)/(((HLOOKUP('Initial Capital Payment'!$C$12,'LPP Act Financing Plan (2)'!$E$4:$CZ$32,8,FALSE)))*1000000)*1000</f>
        <v>0</v>
      </c>
      <c r="CL36" s="479">
        <f>IF(AND('Initial Capital Payment'!$C$14="Pay-Go",CL4&lt;='Initial Capital Payment'!$C$12),(HLOOKUP('Initial Capital Payment'!$C$12,'LPP Act Financing Plan (2)'!$E$4:$CZ$32,27,FALSE))*'Initial Capital Payment'!$F$10)/(((HLOOKUP('Initial Capital Payment'!$C$12,'LPP Act Financing Plan (2)'!$E$4:$CZ$32,8,FALSE)))*1000000)*1000</f>
        <v>0</v>
      </c>
      <c r="CM36" s="479">
        <f>IF(AND('Initial Capital Payment'!$C$14="Pay-Go",CM4&lt;='Initial Capital Payment'!$C$12),(HLOOKUP('Initial Capital Payment'!$C$12,'LPP Act Financing Plan (2)'!$E$4:$CZ$32,27,FALSE))*'Initial Capital Payment'!$F$10)/(((HLOOKUP('Initial Capital Payment'!$C$12,'LPP Act Financing Plan (2)'!$E$4:$CZ$32,8,FALSE)))*1000000)*1000</f>
        <v>0</v>
      </c>
      <c r="CN36" s="479">
        <f>IF(AND('Initial Capital Payment'!$C$14="Pay-Go",CN4&lt;='Initial Capital Payment'!$C$12),(HLOOKUP('Initial Capital Payment'!$C$12,'LPP Act Financing Plan (2)'!$E$4:$CZ$32,26,FALSE))*'Initial Capital Payment'!$F$12)/(((HLOOKUP('Initial Capital Payment'!$C$12,'LPP Act Financing Plan (2)'!$E$4:$CZ$32,8,FALSE)))*1000000)*1000</f>
        <v>0</v>
      </c>
      <c r="CO36" s="479">
        <f>IF(AND('Initial Capital Payment'!$C$14="Pay-Go",CO4&lt;='Initial Capital Payment'!$C$12),(HLOOKUP('Initial Capital Payment'!$C$12,'LPP Act Financing Plan (2)'!$E$4:$CZ$32,26,FALSE))*'Initial Capital Payment'!$F$12)/(((HLOOKUP('Initial Capital Payment'!$C$12,'LPP Act Financing Plan (2)'!$E$4:$CZ$32,8,FALSE)))*1000000)*1000</f>
        <v>0</v>
      </c>
      <c r="CP36" s="479">
        <f>IF(AND('Initial Capital Payment'!$C$14="Pay-Go",CP4&lt;='Initial Capital Payment'!$C$12),(HLOOKUP('Initial Capital Payment'!$C$12,'LPP Act Financing Plan (2)'!$E$4:$CZ$32,26,FALSE))*'Initial Capital Payment'!$F$12)/(((HLOOKUP('Initial Capital Payment'!$C$12,'LPP Act Financing Plan (2)'!$E$4:$CZ$32,8,FALSE)))*1000000)*1000</f>
        <v>0</v>
      </c>
      <c r="CQ36" s="479">
        <f>IF(AND('Initial Capital Payment'!$C$14="Pay-Go",CQ4&lt;='Initial Capital Payment'!$C$12),(HLOOKUP('Initial Capital Payment'!$C$12,'LPP Act Financing Plan (2)'!$E$4:$CZ$32,26,FALSE))*'Initial Capital Payment'!$F$12)/(((HLOOKUP('Initial Capital Payment'!$C$12,'LPP Act Financing Plan (2)'!$E$4:$CZ$32,8,FALSE)))*1000000)*1000</f>
        <v>0</v>
      </c>
      <c r="CR36" s="479">
        <f>IF(AND('Initial Capital Payment'!$C$14="Pay-Go",CR4&lt;='Initial Capital Payment'!$C$12),(HLOOKUP('Initial Capital Payment'!$C$12,'LPP Act Financing Plan (2)'!$E$4:$CZ$32,26,FALSE))*'Initial Capital Payment'!$F$12)/(((HLOOKUP('Initial Capital Payment'!$C$12,'LPP Act Financing Plan (2)'!$E$4:$CZ$32,8,FALSE)))*1000000)*1000</f>
        <v>0</v>
      </c>
      <c r="CS36" s="479">
        <f>IF(AND('Initial Capital Payment'!$C$14="Pay-Go",CS4&lt;='Initial Capital Payment'!$C$12),(HLOOKUP('Initial Capital Payment'!$C$12,'LPP Act Financing Plan (2)'!$E$4:$CZ$32,26,FALSE))*'Initial Capital Payment'!$F$12)/(((HLOOKUP('Initial Capital Payment'!$C$12,'LPP Act Financing Plan (2)'!$E$4:$CZ$32,8,FALSE)))*1000000)*1000</f>
        <v>0</v>
      </c>
      <c r="CT36" s="479">
        <f>IF(AND('Initial Capital Payment'!$C$14="Pay-Go",CT4&lt;='Initial Capital Payment'!$C$12),(HLOOKUP('Initial Capital Payment'!$C$12,'LPP Act Financing Plan (2)'!$E$4:$CZ$32,26,FALSE))*'Initial Capital Payment'!$F$12)/(((HLOOKUP('Initial Capital Payment'!$C$12,'LPP Act Financing Plan (2)'!$E$4:$CZ$32,8,FALSE)))*1000000)*1000</f>
        <v>0</v>
      </c>
      <c r="CU36" s="479">
        <f>IF(AND('Initial Capital Payment'!$C$14="Pay-Go",CU4&lt;='Initial Capital Payment'!$C$12),(HLOOKUP('Initial Capital Payment'!$C$12,'LPP Act Financing Plan (2)'!$E$4:$CZ$32,26,FALSE))*'Initial Capital Payment'!$F$12)/(((HLOOKUP('Initial Capital Payment'!$C$12,'LPP Act Financing Plan (2)'!$E$4:$CZ$32,8,FALSE)))*1000000)*1000</f>
        <v>0</v>
      </c>
      <c r="CV36" s="479">
        <f>IF(AND('Initial Capital Payment'!$C$14="Pay-Go",CV4&lt;='Initial Capital Payment'!$C$12),(HLOOKUP('Initial Capital Payment'!$C$12,'LPP Act Financing Plan (2)'!$E$4:$CZ$32,26,FALSE))*'Initial Capital Payment'!$F$12)/(((HLOOKUP('Initial Capital Payment'!$C$12,'LPP Act Financing Plan (2)'!$E$4:$CZ$32,8,FALSE)))*1000000)*1000</f>
        <v>0</v>
      </c>
      <c r="CW36" s="479">
        <f>IF(AND('Initial Capital Payment'!$C$14="Pay-Go",CW4&lt;='Initial Capital Payment'!$C$12),(HLOOKUP('Initial Capital Payment'!$C$12,'LPP Act Financing Plan (2)'!$E$4:$CZ$32,26,FALSE))*'Initial Capital Payment'!$F$12)/(((HLOOKUP('Initial Capital Payment'!$C$12,'LPP Act Financing Plan (2)'!$E$4:$CZ$32,8,FALSE)))*1000000)*1000</f>
        <v>0</v>
      </c>
      <c r="CX36" s="479">
        <f>IF(AND('Initial Capital Payment'!$C$14="Pay-Go",CX4&lt;='Initial Capital Payment'!$C$12),(HLOOKUP('Initial Capital Payment'!$C$12,'LPP Act Financing Plan (2)'!$E$4:$CZ$32,26,FALSE))*'Initial Capital Payment'!$F$12)/(((HLOOKUP('Initial Capital Payment'!$C$12,'LPP Act Financing Plan (2)'!$E$4:$CZ$32,8,FALSE)))*1000000)*1000</f>
        <v>0</v>
      </c>
      <c r="CY36" s="479">
        <f>IF(AND('Initial Capital Payment'!$C$14="Pay-Go",CY4&lt;='Initial Capital Payment'!$C$12),(HLOOKUP('Initial Capital Payment'!$C$12,'LPP Act Financing Plan (2)'!$E$4:$CZ$32,26,FALSE))*'Initial Capital Payment'!$F$12)/(((HLOOKUP('Initial Capital Payment'!$C$12,'LPP Act Financing Plan (2)'!$E$4:$CZ$32,8,FALSE)))*1000000)*1000</f>
        <v>0</v>
      </c>
      <c r="CZ36" s="479">
        <f>IF(AND('Initial Capital Payment'!$C$14="Pay-Go",CZ4&lt;='Initial Capital Payment'!$C$12),(HLOOKUP('Initial Capital Payment'!$C$12,'LPP Act Financing Plan (2)'!$E$4:$CZ$32,26,FALSE))*'Initial Capital Payment'!$F$12)/(((HLOOKUP('Initial Capital Payment'!$C$12,'LPP Act Financing Plan (2)'!$E$4:$CZ$32,8,FALSE)))*1000000)*1000</f>
        <v>0</v>
      </c>
    </row>
    <row r="37" spans="1:104" x14ac:dyDescent="0.25">
      <c r="A37" s="472"/>
      <c r="C37" s="609" t="s">
        <v>370</v>
      </c>
      <c r="E37" s="477">
        <f t="shared" ref="E37:BP37" si="28">E36*E10*1000</f>
        <v>0</v>
      </c>
      <c r="F37" s="477">
        <f t="shared" si="28"/>
        <v>0</v>
      </c>
      <c r="G37" s="477">
        <f t="shared" si="28"/>
        <v>0</v>
      </c>
      <c r="H37" s="477">
        <f t="shared" si="28"/>
        <v>0</v>
      </c>
      <c r="I37" s="477">
        <f t="shared" si="28"/>
        <v>0</v>
      </c>
      <c r="J37" s="477">
        <f t="shared" si="28"/>
        <v>0</v>
      </c>
      <c r="K37" s="477">
        <f t="shared" si="28"/>
        <v>0</v>
      </c>
      <c r="L37" s="477">
        <f t="shared" si="28"/>
        <v>0</v>
      </c>
      <c r="M37" s="477">
        <f t="shared" si="28"/>
        <v>0</v>
      </c>
      <c r="N37" s="477">
        <f t="shared" si="28"/>
        <v>0</v>
      </c>
      <c r="O37" s="477">
        <f t="shared" si="28"/>
        <v>0</v>
      </c>
      <c r="P37" s="477">
        <f t="shared" si="28"/>
        <v>0</v>
      </c>
      <c r="Q37" s="477">
        <f t="shared" si="28"/>
        <v>0</v>
      </c>
      <c r="R37" s="477">
        <f t="shared" si="28"/>
        <v>0</v>
      </c>
      <c r="S37" s="477">
        <f t="shared" si="28"/>
        <v>0</v>
      </c>
      <c r="T37" s="477">
        <f t="shared" si="28"/>
        <v>0</v>
      </c>
      <c r="U37" s="477">
        <f t="shared" si="28"/>
        <v>0</v>
      </c>
      <c r="V37" s="477">
        <f t="shared" si="28"/>
        <v>0</v>
      </c>
      <c r="W37" s="477">
        <f t="shared" si="28"/>
        <v>0</v>
      </c>
      <c r="X37" s="477">
        <f t="shared" si="28"/>
        <v>0</v>
      </c>
      <c r="Y37" s="477">
        <f t="shared" si="28"/>
        <v>0</v>
      </c>
      <c r="Z37" s="477">
        <f t="shared" si="28"/>
        <v>0</v>
      </c>
      <c r="AA37" s="477">
        <f t="shared" si="28"/>
        <v>0</v>
      </c>
      <c r="AB37" s="477">
        <f t="shared" si="28"/>
        <v>0</v>
      </c>
      <c r="AC37" s="477">
        <f t="shared" si="28"/>
        <v>0</v>
      </c>
      <c r="AD37" s="477">
        <f t="shared" si="28"/>
        <v>0</v>
      </c>
      <c r="AE37" s="477">
        <f t="shared" si="28"/>
        <v>0</v>
      </c>
      <c r="AF37" s="477">
        <f t="shared" si="28"/>
        <v>0</v>
      </c>
      <c r="AG37" s="477">
        <f t="shared" si="28"/>
        <v>0</v>
      </c>
      <c r="AH37" s="477">
        <f t="shared" si="28"/>
        <v>0</v>
      </c>
      <c r="AI37" s="477">
        <f t="shared" si="28"/>
        <v>0</v>
      </c>
      <c r="AJ37" s="477">
        <f t="shared" si="28"/>
        <v>0</v>
      </c>
      <c r="AK37" s="477">
        <f t="shared" si="28"/>
        <v>0</v>
      </c>
      <c r="AL37" s="477">
        <f t="shared" si="28"/>
        <v>0</v>
      </c>
      <c r="AM37" s="477">
        <f t="shared" si="28"/>
        <v>0</v>
      </c>
      <c r="AN37" s="477">
        <f t="shared" si="28"/>
        <v>0</v>
      </c>
      <c r="AO37" s="477">
        <f t="shared" si="28"/>
        <v>0</v>
      </c>
      <c r="AP37" s="477">
        <f t="shared" si="28"/>
        <v>0</v>
      </c>
      <c r="AQ37" s="477">
        <f t="shared" si="28"/>
        <v>0</v>
      </c>
      <c r="AR37" s="477">
        <f t="shared" si="28"/>
        <v>0</v>
      </c>
      <c r="AS37" s="477">
        <f t="shared" si="28"/>
        <v>0</v>
      </c>
      <c r="AT37" s="477">
        <f t="shared" si="28"/>
        <v>0</v>
      </c>
      <c r="AU37" s="477">
        <f t="shared" si="28"/>
        <v>0</v>
      </c>
      <c r="AV37" s="477">
        <f t="shared" si="28"/>
        <v>0</v>
      </c>
      <c r="AW37" s="477">
        <f t="shared" si="28"/>
        <v>0</v>
      </c>
      <c r="AX37" s="477">
        <f t="shared" si="28"/>
        <v>0</v>
      </c>
      <c r="AY37" s="477">
        <f t="shared" si="28"/>
        <v>0</v>
      </c>
      <c r="AZ37" s="477">
        <f t="shared" si="28"/>
        <v>0</v>
      </c>
      <c r="BA37" s="477">
        <f t="shared" si="28"/>
        <v>0</v>
      </c>
      <c r="BB37" s="477">
        <f t="shared" si="28"/>
        <v>0</v>
      </c>
      <c r="BC37" s="477">
        <f t="shared" si="28"/>
        <v>0</v>
      </c>
      <c r="BD37" s="477">
        <f t="shared" si="28"/>
        <v>0</v>
      </c>
      <c r="BE37" s="477">
        <f t="shared" si="28"/>
        <v>0</v>
      </c>
      <c r="BF37" s="477">
        <f t="shared" si="28"/>
        <v>0</v>
      </c>
      <c r="BG37" s="477">
        <f t="shared" si="28"/>
        <v>0</v>
      </c>
      <c r="BH37" s="477">
        <f t="shared" si="28"/>
        <v>0</v>
      </c>
      <c r="BI37" s="477">
        <f t="shared" si="28"/>
        <v>0</v>
      </c>
      <c r="BJ37" s="477">
        <f t="shared" si="28"/>
        <v>0</v>
      </c>
      <c r="BK37" s="477">
        <f t="shared" si="28"/>
        <v>0</v>
      </c>
      <c r="BL37" s="477">
        <f t="shared" si="28"/>
        <v>0</v>
      </c>
      <c r="BM37" s="477">
        <f t="shared" si="28"/>
        <v>0</v>
      </c>
      <c r="BN37" s="477">
        <f t="shared" si="28"/>
        <v>0</v>
      </c>
      <c r="BO37" s="477">
        <f t="shared" si="28"/>
        <v>0</v>
      </c>
      <c r="BP37" s="477">
        <f t="shared" si="28"/>
        <v>0</v>
      </c>
      <c r="BQ37" s="477">
        <f t="shared" ref="BQ37:CZ37" si="29">BQ36*BQ10*1000</f>
        <v>0</v>
      </c>
      <c r="BR37" s="477">
        <f t="shared" si="29"/>
        <v>0</v>
      </c>
      <c r="BS37" s="477">
        <f t="shared" si="29"/>
        <v>0</v>
      </c>
      <c r="BT37" s="477">
        <f t="shared" si="29"/>
        <v>0</v>
      </c>
      <c r="BU37" s="477">
        <f t="shared" si="29"/>
        <v>0</v>
      </c>
      <c r="BV37" s="477">
        <f t="shared" si="29"/>
        <v>0</v>
      </c>
      <c r="BW37" s="477">
        <f t="shared" si="29"/>
        <v>0</v>
      </c>
      <c r="BX37" s="477">
        <f t="shared" si="29"/>
        <v>0</v>
      </c>
      <c r="BY37" s="477">
        <f t="shared" si="29"/>
        <v>0</v>
      </c>
      <c r="BZ37" s="477">
        <f t="shared" si="29"/>
        <v>0</v>
      </c>
      <c r="CA37" s="477">
        <f t="shared" si="29"/>
        <v>0</v>
      </c>
      <c r="CB37" s="477">
        <f t="shared" si="29"/>
        <v>0</v>
      </c>
      <c r="CC37" s="477">
        <f t="shared" si="29"/>
        <v>0</v>
      </c>
      <c r="CD37" s="477">
        <f t="shared" si="29"/>
        <v>0</v>
      </c>
      <c r="CE37" s="477">
        <f t="shared" si="29"/>
        <v>0</v>
      </c>
      <c r="CF37" s="477">
        <f t="shared" si="29"/>
        <v>0</v>
      </c>
      <c r="CG37" s="477">
        <f t="shared" si="29"/>
        <v>0</v>
      </c>
      <c r="CH37" s="477">
        <f t="shared" si="29"/>
        <v>0</v>
      </c>
      <c r="CI37" s="477">
        <f t="shared" si="29"/>
        <v>0</v>
      </c>
      <c r="CJ37" s="477">
        <f t="shared" si="29"/>
        <v>0</v>
      </c>
      <c r="CK37" s="477">
        <f t="shared" si="29"/>
        <v>0</v>
      </c>
      <c r="CL37" s="477">
        <f t="shared" si="29"/>
        <v>0</v>
      </c>
      <c r="CM37" s="477">
        <f t="shared" si="29"/>
        <v>0</v>
      </c>
      <c r="CN37" s="477">
        <f t="shared" si="29"/>
        <v>0</v>
      </c>
      <c r="CO37" s="477">
        <f t="shared" si="29"/>
        <v>0</v>
      </c>
      <c r="CP37" s="477">
        <f t="shared" si="29"/>
        <v>0</v>
      </c>
      <c r="CQ37" s="477">
        <f t="shared" si="29"/>
        <v>0</v>
      </c>
      <c r="CR37" s="477">
        <f t="shared" si="29"/>
        <v>0</v>
      </c>
      <c r="CS37" s="477">
        <f t="shared" si="29"/>
        <v>0</v>
      </c>
      <c r="CT37" s="477">
        <f t="shared" si="29"/>
        <v>0</v>
      </c>
      <c r="CU37" s="477">
        <f t="shared" si="29"/>
        <v>0</v>
      </c>
      <c r="CV37" s="477">
        <f t="shared" si="29"/>
        <v>0</v>
      </c>
      <c r="CW37" s="477">
        <f t="shared" si="29"/>
        <v>0</v>
      </c>
      <c r="CX37" s="477">
        <f t="shared" si="29"/>
        <v>0</v>
      </c>
      <c r="CY37" s="477">
        <f t="shared" si="29"/>
        <v>0</v>
      </c>
      <c r="CZ37" s="477">
        <f t="shared" si="29"/>
        <v>0</v>
      </c>
    </row>
    <row r="38" spans="1:104" x14ac:dyDescent="0.25">
      <c r="A38" s="472"/>
      <c r="C38" s="609" t="s">
        <v>517</v>
      </c>
      <c r="E38" s="477">
        <f>IF(E36=0,0,E37)</f>
        <v>0</v>
      </c>
      <c r="F38" s="477">
        <f>IF(F36=0,0,E38+F37)</f>
        <v>0</v>
      </c>
      <c r="G38" s="477">
        <f t="shared" ref="G38:BR38" si="30">IF(G36=0,0,F38+G37)</f>
        <v>0</v>
      </c>
      <c r="H38" s="477">
        <f t="shared" si="30"/>
        <v>0</v>
      </c>
      <c r="I38" s="477">
        <f t="shared" si="30"/>
        <v>0</v>
      </c>
      <c r="J38" s="477">
        <f t="shared" si="30"/>
        <v>0</v>
      </c>
      <c r="K38" s="477">
        <f t="shared" si="30"/>
        <v>0</v>
      </c>
      <c r="L38" s="477">
        <f t="shared" si="30"/>
        <v>0</v>
      </c>
      <c r="M38" s="477">
        <f t="shared" si="30"/>
        <v>0</v>
      </c>
      <c r="N38" s="477">
        <f t="shared" si="30"/>
        <v>0</v>
      </c>
      <c r="O38" s="477">
        <f t="shared" si="30"/>
        <v>0</v>
      </c>
      <c r="P38" s="477">
        <f t="shared" si="30"/>
        <v>0</v>
      </c>
      <c r="Q38" s="477">
        <f t="shared" si="30"/>
        <v>0</v>
      </c>
      <c r="R38" s="477">
        <f t="shared" si="30"/>
        <v>0</v>
      </c>
      <c r="S38" s="477">
        <f t="shared" si="30"/>
        <v>0</v>
      </c>
      <c r="T38" s="477">
        <f t="shared" si="30"/>
        <v>0</v>
      </c>
      <c r="U38" s="477">
        <f t="shared" si="30"/>
        <v>0</v>
      </c>
      <c r="V38" s="477">
        <f t="shared" si="30"/>
        <v>0</v>
      </c>
      <c r="W38" s="477">
        <f t="shared" si="30"/>
        <v>0</v>
      </c>
      <c r="X38" s="477">
        <f t="shared" si="30"/>
        <v>0</v>
      </c>
      <c r="Y38" s="477">
        <f t="shared" si="30"/>
        <v>0</v>
      </c>
      <c r="Z38" s="477">
        <f t="shared" si="30"/>
        <v>0</v>
      </c>
      <c r="AA38" s="477">
        <f t="shared" si="30"/>
        <v>0</v>
      </c>
      <c r="AB38" s="477">
        <f t="shared" si="30"/>
        <v>0</v>
      </c>
      <c r="AC38" s="477">
        <f t="shared" si="30"/>
        <v>0</v>
      </c>
      <c r="AD38" s="477">
        <f t="shared" si="30"/>
        <v>0</v>
      </c>
      <c r="AE38" s="477">
        <f t="shared" si="30"/>
        <v>0</v>
      </c>
      <c r="AF38" s="477">
        <f t="shared" si="30"/>
        <v>0</v>
      </c>
      <c r="AG38" s="477">
        <f t="shared" si="30"/>
        <v>0</v>
      </c>
      <c r="AH38" s="477">
        <f t="shared" si="30"/>
        <v>0</v>
      </c>
      <c r="AI38" s="477">
        <f t="shared" si="30"/>
        <v>0</v>
      </c>
      <c r="AJ38" s="477">
        <f t="shared" si="30"/>
        <v>0</v>
      </c>
      <c r="AK38" s="477">
        <f t="shared" si="30"/>
        <v>0</v>
      </c>
      <c r="AL38" s="477">
        <f t="shared" si="30"/>
        <v>0</v>
      </c>
      <c r="AM38" s="477">
        <f t="shared" si="30"/>
        <v>0</v>
      </c>
      <c r="AN38" s="477">
        <f t="shared" si="30"/>
        <v>0</v>
      </c>
      <c r="AO38" s="477">
        <f t="shared" si="30"/>
        <v>0</v>
      </c>
      <c r="AP38" s="477">
        <f t="shared" si="30"/>
        <v>0</v>
      </c>
      <c r="AQ38" s="477">
        <f t="shared" si="30"/>
        <v>0</v>
      </c>
      <c r="AR38" s="477">
        <f t="shared" si="30"/>
        <v>0</v>
      </c>
      <c r="AS38" s="477">
        <f t="shared" si="30"/>
        <v>0</v>
      </c>
      <c r="AT38" s="477">
        <f t="shared" si="30"/>
        <v>0</v>
      </c>
      <c r="AU38" s="477">
        <f t="shared" si="30"/>
        <v>0</v>
      </c>
      <c r="AV38" s="477">
        <f t="shared" si="30"/>
        <v>0</v>
      </c>
      <c r="AW38" s="477">
        <f t="shared" si="30"/>
        <v>0</v>
      </c>
      <c r="AX38" s="477">
        <f t="shared" si="30"/>
        <v>0</v>
      </c>
      <c r="AY38" s="477">
        <f t="shared" si="30"/>
        <v>0</v>
      </c>
      <c r="AZ38" s="477">
        <f t="shared" si="30"/>
        <v>0</v>
      </c>
      <c r="BA38" s="477">
        <f t="shared" si="30"/>
        <v>0</v>
      </c>
      <c r="BB38" s="477">
        <f t="shared" si="30"/>
        <v>0</v>
      </c>
      <c r="BC38" s="477">
        <f t="shared" si="30"/>
        <v>0</v>
      </c>
      <c r="BD38" s="477">
        <f t="shared" si="30"/>
        <v>0</v>
      </c>
      <c r="BE38" s="477">
        <f t="shared" si="30"/>
        <v>0</v>
      </c>
      <c r="BF38" s="477">
        <f t="shared" si="30"/>
        <v>0</v>
      </c>
      <c r="BG38" s="477">
        <f t="shared" si="30"/>
        <v>0</v>
      </c>
      <c r="BH38" s="477">
        <f t="shared" si="30"/>
        <v>0</v>
      </c>
      <c r="BI38" s="477">
        <f t="shared" si="30"/>
        <v>0</v>
      </c>
      <c r="BJ38" s="477">
        <f t="shared" si="30"/>
        <v>0</v>
      </c>
      <c r="BK38" s="477">
        <f t="shared" si="30"/>
        <v>0</v>
      </c>
      <c r="BL38" s="477">
        <f t="shared" si="30"/>
        <v>0</v>
      </c>
      <c r="BM38" s="477">
        <f t="shared" si="30"/>
        <v>0</v>
      </c>
      <c r="BN38" s="477">
        <f t="shared" si="30"/>
        <v>0</v>
      </c>
      <c r="BO38" s="477">
        <f t="shared" si="30"/>
        <v>0</v>
      </c>
      <c r="BP38" s="477">
        <f t="shared" si="30"/>
        <v>0</v>
      </c>
      <c r="BQ38" s="477">
        <f t="shared" si="30"/>
        <v>0</v>
      </c>
      <c r="BR38" s="477">
        <f t="shared" si="30"/>
        <v>0</v>
      </c>
      <c r="BS38" s="477">
        <f t="shared" ref="BS38:CZ38" si="31">IF(BS36=0,0,BR38+BS37)</f>
        <v>0</v>
      </c>
      <c r="BT38" s="477">
        <f t="shared" si="31"/>
        <v>0</v>
      </c>
      <c r="BU38" s="477">
        <f t="shared" si="31"/>
        <v>0</v>
      </c>
      <c r="BV38" s="477">
        <f t="shared" si="31"/>
        <v>0</v>
      </c>
      <c r="BW38" s="477">
        <f t="shared" si="31"/>
        <v>0</v>
      </c>
      <c r="BX38" s="477">
        <f t="shared" si="31"/>
        <v>0</v>
      </c>
      <c r="BY38" s="477">
        <f t="shared" si="31"/>
        <v>0</v>
      </c>
      <c r="BZ38" s="477">
        <f t="shared" si="31"/>
        <v>0</v>
      </c>
      <c r="CA38" s="477">
        <f t="shared" si="31"/>
        <v>0</v>
      </c>
      <c r="CB38" s="477">
        <f t="shared" si="31"/>
        <v>0</v>
      </c>
      <c r="CC38" s="477">
        <f t="shared" si="31"/>
        <v>0</v>
      </c>
      <c r="CD38" s="477">
        <f t="shared" si="31"/>
        <v>0</v>
      </c>
      <c r="CE38" s="477">
        <f t="shared" si="31"/>
        <v>0</v>
      </c>
      <c r="CF38" s="477">
        <f t="shared" si="31"/>
        <v>0</v>
      </c>
      <c r="CG38" s="477">
        <f t="shared" si="31"/>
        <v>0</v>
      </c>
      <c r="CH38" s="477">
        <f t="shared" si="31"/>
        <v>0</v>
      </c>
      <c r="CI38" s="477">
        <f t="shared" si="31"/>
        <v>0</v>
      </c>
      <c r="CJ38" s="477">
        <f t="shared" si="31"/>
        <v>0</v>
      </c>
      <c r="CK38" s="477">
        <f t="shared" si="31"/>
        <v>0</v>
      </c>
      <c r="CL38" s="477">
        <f t="shared" si="31"/>
        <v>0</v>
      </c>
      <c r="CM38" s="477">
        <f t="shared" si="31"/>
        <v>0</v>
      </c>
      <c r="CN38" s="477">
        <f t="shared" si="31"/>
        <v>0</v>
      </c>
      <c r="CO38" s="477">
        <f t="shared" si="31"/>
        <v>0</v>
      </c>
      <c r="CP38" s="477">
        <f t="shared" si="31"/>
        <v>0</v>
      </c>
      <c r="CQ38" s="477">
        <f t="shared" si="31"/>
        <v>0</v>
      </c>
      <c r="CR38" s="477">
        <f t="shared" si="31"/>
        <v>0</v>
      </c>
      <c r="CS38" s="477">
        <f t="shared" si="31"/>
        <v>0</v>
      </c>
      <c r="CT38" s="477">
        <f t="shared" si="31"/>
        <v>0</v>
      </c>
      <c r="CU38" s="477">
        <f t="shared" si="31"/>
        <v>0</v>
      </c>
      <c r="CV38" s="477">
        <f t="shared" si="31"/>
        <v>0</v>
      </c>
      <c r="CW38" s="477">
        <f t="shared" si="31"/>
        <v>0</v>
      </c>
      <c r="CX38" s="477">
        <f t="shared" si="31"/>
        <v>0</v>
      </c>
      <c r="CY38" s="477">
        <f t="shared" si="31"/>
        <v>0</v>
      </c>
      <c r="CZ38" s="477">
        <f t="shared" si="31"/>
        <v>0</v>
      </c>
    </row>
    <row r="39" spans="1:104" x14ac:dyDescent="0.25">
      <c r="C39" s="609" t="s">
        <v>307</v>
      </c>
      <c r="E39" s="477">
        <f>IF(AND('Initial Capital Payment'!$C$14="Pay-Go",E4&lt;='Initial Capital Payment'!$C$12),(HLOOKUP('Initial Capital Payment'!$C$12,'LPP Act Financing Plan (2)'!$E$4:$CZ$32,27,FALSE))*'Initial Capital Payment'!$F$12)/((HLOOKUP('Initial Capital Payment'!$C$12,'LPP Act Financing Plan (2)'!$E$4:$CZ$32,5,FALSE)))</f>
        <v>0</v>
      </c>
      <c r="F39" s="477">
        <f>IF(AND('Initial Capital Payment'!$C$14="Pay-Go",F4&lt;='Initial Capital Payment'!$C$12),(HLOOKUP('Initial Capital Payment'!$C$12,'LPP Act Financing Plan (2)'!$E$4:$CZ$32,27,FALSE))*'Initial Capital Payment'!$F$12)/((HLOOKUP('Initial Capital Payment'!$C$12,'LPP Act Financing Plan (2)'!$E$4:$CZ$32,5,FALSE)))</f>
        <v>0</v>
      </c>
      <c r="G39" s="477">
        <f>IF(AND('Initial Capital Payment'!$C$14="Pay-Go",G4&lt;='Initial Capital Payment'!$C$12),(HLOOKUP('Initial Capital Payment'!$C$12,'LPP Act Financing Plan (2)'!$E$4:$CZ$32,27,FALSE))*'Initial Capital Payment'!$F$12)/((HLOOKUP('Initial Capital Payment'!$C$12,'LPP Act Financing Plan (2)'!$E$4:$CZ$32,5,FALSE)))</f>
        <v>0</v>
      </c>
      <c r="H39" s="477">
        <f>IF(AND('Initial Capital Payment'!$C$14="Pay-Go",H4&lt;='Initial Capital Payment'!$C$12),(HLOOKUP('Initial Capital Payment'!$C$12,'LPP Act Financing Plan (2)'!$E$4:$CZ$32,27,FALSE))*'Initial Capital Payment'!$F$12)/((HLOOKUP('Initial Capital Payment'!$C$12,'LPP Act Financing Plan (2)'!$E$4:$CZ$32,5,FALSE)))</f>
        <v>0</v>
      </c>
      <c r="I39" s="477">
        <f>IF(AND('Initial Capital Payment'!$C$14="Pay-Go",I4&lt;='Initial Capital Payment'!$C$12),(HLOOKUP('Initial Capital Payment'!$C$12,'LPP Act Financing Plan (2)'!$E$4:$CZ$32,27,FALSE))*'Initial Capital Payment'!$F$12)/((HLOOKUP('Initial Capital Payment'!$C$12,'LPP Act Financing Plan (2)'!$E$4:$CZ$32,5,FALSE)))</f>
        <v>0</v>
      </c>
      <c r="J39" s="477">
        <f>IF(AND('Initial Capital Payment'!$C$14="Pay-Go",J4&lt;='Initial Capital Payment'!$C$12),(HLOOKUP('Initial Capital Payment'!$C$12,'LPP Act Financing Plan (2)'!$E$4:$CZ$32,27,FALSE))*'Initial Capital Payment'!$F$12)/((HLOOKUP('Initial Capital Payment'!$C$12,'LPP Act Financing Plan (2)'!$E$4:$CZ$32,5,FALSE)))</f>
        <v>0</v>
      </c>
      <c r="K39" s="477">
        <f>IF(AND('Initial Capital Payment'!$C$14="Pay-Go",K4&lt;='Initial Capital Payment'!$C$12),(HLOOKUP('Initial Capital Payment'!$C$12,'LPP Act Financing Plan (2)'!$E$4:$CZ$32,27,FALSE))*'Initial Capital Payment'!$F$12)/((HLOOKUP('Initial Capital Payment'!$C$12,'LPP Act Financing Plan (2)'!$E$4:$CZ$32,5,FALSE)))</f>
        <v>0</v>
      </c>
      <c r="L39" s="477">
        <f>IF(AND('Initial Capital Payment'!$C$14="Pay-Go",L4&lt;='Initial Capital Payment'!$C$12),(HLOOKUP('Initial Capital Payment'!$C$12,'LPP Act Financing Plan (2)'!$E$4:$CZ$32,27,FALSE))*'Initial Capital Payment'!$F$12)/((HLOOKUP('Initial Capital Payment'!$C$12,'LPP Act Financing Plan (2)'!$E$4:$CZ$32,5,FALSE)))</f>
        <v>0</v>
      </c>
      <c r="M39" s="477">
        <f>IF(AND('Initial Capital Payment'!$C$14="Pay-Go",M4&lt;='Initial Capital Payment'!$C$12),(HLOOKUP('Initial Capital Payment'!$C$12,'LPP Act Financing Plan (2)'!$E$4:$CZ$32,27,FALSE))*'Initial Capital Payment'!$F$12)/((HLOOKUP('Initial Capital Payment'!$C$12,'LPP Act Financing Plan (2)'!$E$4:$CZ$32,5,FALSE)))</f>
        <v>0</v>
      </c>
      <c r="N39" s="477">
        <f>IF(AND('Initial Capital Payment'!$C$14="Pay-Go",N4&lt;='Initial Capital Payment'!$C$12),(HLOOKUP('Initial Capital Payment'!$C$12,'LPP Act Financing Plan (2)'!$E$4:$CZ$32,27,FALSE))*'Initial Capital Payment'!$F$12)/((HLOOKUP('Initial Capital Payment'!$C$12,'LPP Act Financing Plan (2)'!$E$4:$CZ$32,5,FALSE)))</f>
        <v>0</v>
      </c>
      <c r="O39" s="477">
        <f>IF(AND('Initial Capital Payment'!$C$14="Pay-Go",O4&lt;='Initial Capital Payment'!$C$12),(HLOOKUP('Initial Capital Payment'!$C$12,'LPP Act Financing Plan (2)'!$E$4:$CZ$32,27,FALSE))*'Initial Capital Payment'!$F$12)/((HLOOKUP('Initial Capital Payment'!$C$12,'LPP Act Financing Plan (2)'!$E$4:$CZ$32,5,FALSE)))</f>
        <v>0</v>
      </c>
      <c r="P39" s="477">
        <f>IF(AND('Initial Capital Payment'!$C$14="Pay-Go",P4&lt;='Initial Capital Payment'!$C$12),(HLOOKUP('Initial Capital Payment'!$C$12,'LPP Act Financing Plan (2)'!$E$4:$CZ$32,27,FALSE))*'Initial Capital Payment'!$F$12)/((HLOOKUP('Initial Capital Payment'!$C$12,'LPP Act Financing Plan (2)'!$E$4:$CZ$32,5,FALSE)))</f>
        <v>0</v>
      </c>
      <c r="Q39" s="477">
        <f>IF(AND('Initial Capital Payment'!$C$14="Pay-Go",Q4&lt;='Initial Capital Payment'!$C$12),(HLOOKUP('Initial Capital Payment'!$C$12,'LPP Act Financing Plan (2)'!$E$4:$CZ$32,27,FALSE))*'Initial Capital Payment'!$F$12)/((HLOOKUP('Initial Capital Payment'!$C$12,'LPP Act Financing Plan (2)'!$E$4:$CZ$32,5,FALSE)))</f>
        <v>0</v>
      </c>
      <c r="R39" s="477">
        <f>IF(AND('Initial Capital Payment'!$C$14="Pay-Go",R4&lt;='Initial Capital Payment'!$C$12),(HLOOKUP('Initial Capital Payment'!$C$12,'LPP Act Financing Plan (2)'!$E$4:$CZ$32,27,FALSE))*'Initial Capital Payment'!$F$12)/((HLOOKUP('Initial Capital Payment'!$C$12,'LPP Act Financing Plan (2)'!$E$4:$CZ$32,5,FALSE)))</f>
        <v>0</v>
      </c>
      <c r="S39" s="477">
        <f>IF(AND('Initial Capital Payment'!$C$14="Pay-Go",S4&lt;='Initial Capital Payment'!$C$12),(HLOOKUP('Initial Capital Payment'!$C$12,'LPP Act Financing Plan (2)'!$E$4:$CZ$32,27,FALSE))*'Initial Capital Payment'!$F$12)/((HLOOKUP('Initial Capital Payment'!$C$12,'LPP Act Financing Plan (2)'!$E$4:$CZ$32,5,FALSE)))</f>
        <v>0</v>
      </c>
      <c r="T39" s="477">
        <f>IF(AND('Initial Capital Payment'!$C$14="Pay-Go",T4&lt;='Initial Capital Payment'!$C$12),(HLOOKUP('Initial Capital Payment'!$C$12,'LPP Act Financing Plan (2)'!$E$4:$CZ$32,27,FALSE))*'Initial Capital Payment'!$F$12)/((HLOOKUP('Initial Capital Payment'!$C$12,'LPP Act Financing Plan (2)'!$E$4:$CZ$32,5,FALSE)))</f>
        <v>0</v>
      </c>
      <c r="U39" s="477">
        <f>IF(AND('Initial Capital Payment'!$C$14="Pay-Go",U4&lt;='Initial Capital Payment'!$C$12),(HLOOKUP('Initial Capital Payment'!$C$12,'LPP Act Financing Plan (2)'!$E$4:$CZ$32,27,FALSE))*'Initial Capital Payment'!$F$12)/((HLOOKUP('Initial Capital Payment'!$C$12,'LPP Act Financing Plan (2)'!$E$4:$CZ$32,5,FALSE)))</f>
        <v>0</v>
      </c>
      <c r="V39" s="477">
        <f>IF(AND('Initial Capital Payment'!$C$14="Pay-Go",V4&lt;='Initial Capital Payment'!$C$12),(HLOOKUP('Initial Capital Payment'!$C$12,'LPP Act Financing Plan (2)'!$E$4:$CZ$32,27,FALSE))*'Initial Capital Payment'!$F$12)/((HLOOKUP('Initial Capital Payment'!$C$12,'LPP Act Financing Plan (2)'!$E$4:$CZ$32,5,FALSE)))</f>
        <v>0</v>
      </c>
      <c r="W39" s="477">
        <f>IF(AND('Initial Capital Payment'!$C$14="Pay-Go",W4&lt;='Initial Capital Payment'!$C$12),(HLOOKUP('Initial Capital Payment'!$C$12,'LPP Act Financing Plan (2)'!$E$4:$CZ$32,27,FALSE))*'Initial Capital Payment'!$F$12)/((HLOOKUP('Initial Capital Payment'!$C$12,'LPP Act Financing Plan (2)'!$E$4:$CZ$32,5,FALSE)))</f>
        <v>0</v>
      </c>
      <c r="X39" s="477">
        <f>IF(AND('Initial Capital Payment'!$C$14="Pay-Go",X4&lt;='Initial Capital Payment'!$C$12),(HLOOKUP('Initial Capital Payment'!$C$12,'LPP Act Financing Plan (2)'!$E$4:$CZ$32,27,FALSE))*'Initial Capital Payment'!$F$12)/((HLOOKUP('Initial Capital Payment'!$C$12,'LPP Act Financing Plan (2)'!$E$4:$CZ$32,5,FALSE)))</f>
        <v>0</v>
      </c>
      <c r="Y39" s="477">
        <f>IF(AND('Initial Capital Payment'!$C$14="Pay-Go",Y4&lt;='Initial Capital Payment'!$C$12),(HLOOKUP('Initial Capital Payment'!$C$12,'LPP Act Financing Plan (2)'!$E$4:$CZ$32,27,FALSE))*'Initial Capital Payment'!$F$12)/((HLOOKUP('Initial Capital Payment'!$C$12,'LPP Act Financing Plan (2)'!$E$4:$CZ$32,5,FALSE)))</f>
        <v>0</v>
      </c>
      <c r="Z39" s="477">
        <f>IF(AND('Initial Capital Payment'!$C$14="Pay-Go",Z4&lt;='Initial Capital Payment'!$C$12),(HLOOKUP('Initial Capital Payment'!$C$12,'LPP Act Financing Plan (2)'!$E$4:$CZ$32,27,FALSE))*'Initial Capital Payment'!$F$12)/((HLOOKUP('Initial Capital Payment'!$C$12,'LPP Act Financing Plan (2)'!$E$4:$CZ$32,5,FALSE)))</f>
        <v>0</v>
      </c>
      <c r="AA39" s="477">
        <f>IF(AND('Initial Capital Payment'!$C$14="Pay-Go",AA4&lt;='Initial Capital Payment'!$C$12),(HLOOKUP('Initial Capital Payment'!$C$12,'LPP Act Financing Plan (2)'!$E$4:$CZ$32,27,FALSE))*'Initial Capital Payment'!$F$12)/((HLOOKUP('Initial Capital Payment'!$C$12,'LPP Act Financing Plan (2)'!$E$4:$CZ$32,5,FALSE)))</f>
        <v>0</v>
      </c>
      <c r="AB39" s="477">
        <f>IF(AND('Initial Capital Payment'!$C$14="Pay-Go",AB4&lt;='Initial Capital Payment'!$C$12),(HLOOKUP('Initial Capital Payment'!$C$12,'LPP Act Financing Plan (2)'!$E$4:$CZ$32,27,FALSE))*'Initial Capital Payment'!$F$12)/((HLOOKUP('Initial Capital Payment'!$C$12,'LPP Act Financing Plan (2)'!$E$4:$CZ$32,5,FALSE)))</f>
        <v>0</v>
      </c>
      <c r="AC39" s="477">
        <f>IF(AND('Initial Capital Payment'!$C$14="Pay-Go",AC4&lt;='Initial Capital Payment'!$C$12),(HLOOKUP('Initial Capital Payment'!$C$12,'LPP Act Financing Plan (2)'!$E$4:$CZ$32,27,FALSE))*'Initial Capital Payment'!$F$12)/((HLOOKUP('Initial Capital Payment'!$C$12,'LPP Act Financing Plan (2)'!$E$4:$CZ$32,5,FALSE)))</f>
        <v>0</v>
      </c>
      <c r="AD39" s="477">
        <f>IF(AND('Initial Capital Payment'!$C$14="Pay-Go",AD4&lt;='Initial Capital Payment'!$C$12),(HLOOKUP('Initial Capital Payment'!$C$12,'LPP Act Financing Plan (2)'!$E$4:$CZ$32,27,FALSE))*'Initial Capital Payment'!$F$12)/((HLOOKUP('Initial Capital Payment'!$C$12,'LPP Act Financing Plan (2)'!$E$4:$CZ$32,5,FALSE)))</f>
        <v>0</v>
      </c>
      <c r="AE39" s="477">
        <f>IF(AND('Initial Capital Payment'!$C$14="Pay-Go",AE4&lt;='Initial Capital Payment'!$C$12),(HLOOKUP('Initial Capital Payment'!$C$12,'LPP Act Financing Plan (2)'!$E$4:$CZ$32,27,FALSE))*'Initial Capital Payment'!$F$12)/((HLOOKUP('Initial Capital Payment'!$C$12,'LPP Act Financing Plan (2)'!$E$4:$CZ$32,5,FALSE)))</f>
        <v>0</v>
      </c>
      <c r="AF39" s="477">
        <f>IF(AND('Initial Capital Payment'!$C$14="Pay-Go",AF4&lt;='Initial Capital Payment'!$C$12),(HLOOKUP('Initial Capital Payment'!$C$12,'LPP Act Financing Plan (2)'!$E$4:$CZ$32,27,FALSE))*'Initial Capital Payment'!$F$12)/((HLOOKUP('Initial Capital Payment'!$C$12,'LPP Act Financing Plan (2)'!$E$4:$CZ$32,5,FALSE)))</f>
        <v>0</v>
      </c>
      <c r="AG39" s="477">
        <f>IF(AND('Initial Capital Payment'!$C$14="Pay-Go",AG4&lt;='Initial Capital Payment'!$C$12),(HLOOKUP('Initial Capital Payment'!$C$12,'LPP Act Financing Plan (2)'!$E$4:$CZ$32,27,FALSE))*'Initial Capital Payment'!$F$12)/((HLOOKUP('Initial Capital Payment'!$C$12,'LPP Act Financing Plan (2)'!$E$4:$CZ$32,5,FALSE)))</f>
        <v>0</v>
      </c>
      <c r="AH39" s="477">
        <f>IF(AND('Initial Capital Payment'!$C$14="Pay-Go",AH4&lt;='Initial Capital Payment'!$C$12),(HLOOKUP('Initial Capital Payment'!$C$12,'LPP Act Financing Plan (2)'!$E$4:$CZ$32,27,FALSE))*'Initial Capital Payment'!$F$12)/((HLOOKUP('Initial Capital Payment'!$C$12,'LPP Act Financing Plan (2)'!$E$4:$CZ$32,5,FALSE)))</f>
        <v>0</v>
      </c>
      <c r="AI39" s="477">
        <f>IF(AND('Initial Capital Payment'!$C$14="Pay-Go",AI4&lt;='Initial Capital Payment'!$C$12),(HLOOKUP('Initial Capital Payment'!$C$12,'LPP Act Financing Plan (2)'!$E$4:$CZ$32,27,FALSE))*'Initial Capital Payment'!$F$12)/((HLOOKUP('Initial Capital Payment'!$C$12,'LPP Act Financing Plan (2)'!$E$4:$CZ$32,5,FALSE)))</f>
        <v>0</v>
      </c>
      <c r="AJ39" s="477">
        <f>IF(AND('Initial Capital Payment'!$C$14="Pay-Go",AJ4&lt;='Initial Capital Payment'!$C$12),(HLOOKUP('Initial Capital Payment'!$C$12,'LPP Act Financing Plan (2)'!$E$4:$CZ$32,27,FALSE))*'Initial Capital Payment'!$F$12)/((HLOOKUP('Initial Capital Payment'!$C$12,'LPP Act Financing Plan (2)'!$E$4:$CZ$32,5,FALSE)))</f>
        <v>0</v>
      </c>
      <c r="AK39" s="477">
        <f>IF(AND('Initial Capital Payment'!$C$14="Pay-Go",AK4&lt;='Initial Capital Payment'!$C$12),(HLOOKUP('Initial Capital Payment'!$C$12,'LPP Act Financing Plan (2)'!$E$4:$CZ$32,27,FALSE))*'Initial Capital Payment'!$F$12)/((HLOOKUP('Initial Capital Payment'!$C$12,'LPP Act Financing Plan (2)'!$E$4:$CZ$32,5,FALSE)))</f>
        <v>0</v>
      </c>
      <c r="AL39" s="477">
        <f>IF(AND('Initial Capital Payment'!$C$14="Pay-Go",AL4&lt;='Initial Capital Payment'!$C$12),(HLOOKUP('Initial Capital Payment'!$C$12,'LPP Act Financing Plan (2)'!$E$4:$CZ$32,27,FALSE))*'Initial Capital Payment'!$F$12)/((HLOOKUP('Initial Capital Payment'!$C$12,'LPP Act Financing Plan (2)'!$E$4:$CZ$32,5,FALSE)))</f>
        <v>0</v>
      </c>
      <c r="AM39" s="477">
        <f>IF(AND('Initial Capital Payment'!$C$14="Pay-Go",AM4&lt;='Initial Capital Payment'!$C$12),(HLOOKUP('Initial Capital Payment'!$C$12,'LPP Act Financing Plan (2)'!$E$4:$CZ$32,27,FALSE))*'Initial Capital Payment'!$F$12)/((HLOOKUP('Initial Capital Payment'!$C$12,'LPP Act Financing Plan (2)'!$E$4:$CZ$32,5,FALSE)))</f>
        <v>0</v>
      </c>
      <c r="AN39" s="477">
        <f>IF(AND('Initial Capital Payment'!$C$14="Pay-Go",AN4&lt;='Initial Capital Payment'!$C$12),(HLOOKUP('Initial Capital Payment'!$C$12,'LPP Act Financing Plan (2)'!$E$4:$CZ$32,27,FALSE))*'Initial Capital Payment'!$F$12)/((HLOOKUP('Initial Capital Payment'!$C$12,'LPP Act Financing Plan (2)'!$E$4:$CZ$32,5,FALSE)))</f>
        <v>0</v>
      </c>
      <c r="AO39" s="477">
        <f>IF(AND('Initial Capital Payment'!$C$14="Pay-Go",AO4&lt;='Initial Capital Payment'!$C$12),(HLOOKUP('Initial Capital Payment'!$C$12,'LPP Act Financing Plan (2)'!$E$4:$CZ$32,27,FALSE))*'Initial Capital Payment'!$F$12)/((HLOOKUP('Initial Capital Payment'!$C$12,'LPP Act Financing Plan (2)'!$E$4:$CZ$32,5,FALSE)))</f>
        <v>0</v>
      </c>
      <c r="AP39" s="477">
        <f>IF(AND('Initial Capital Payment'!$C$14="Pay-Go",AP4&lt;='Initial Capital Payment'!$C$12),(HLOOKUP('Initial Capital Payment'!$C$12,'LPP Act Financing Plan (2)'!$E$4:$CZ$32,27,FALSE))*'Initial Capital Payment'!$F$12)/((HLOOKUP('Initial Capital Payment'!$C$12,'LPP Act Financing Plan (2)'!$E$4:$CZ$32,5,FALSE)))</f>
        <v>0</v>
      </c>
      <c r="AQ39" s="477">
        <f>IF(AND('Initial Capital Payment'!$C$14="Pay-Go",AQ4&lt;='Initial Capital Payment'!$C$12),(HLOOKUP('Initial Capital Payment'!$C$12,'LPP Act Financing Plan (2)'!$E$4:$CZ$32,27,FALSE))*'Initial Capital Payment'!$F$12)/((HLOOKUP('Initial Capital Payment'!$C$12,'LPP Act Financing Plan (2)'!$E$4:$CZ$32,5,FALSE)))</f>
        <v>0</v>
      </c>
      <c r="AR39" s="477">
        <f>IF(AND('Initial Capital Payment'!$C$14="Pay-Go",AR4&lt;='Initial Capital Payment'!$C$12),(HLOOKUP('Initial Capital Payment'!$C$12,'LPP Act Financing Plan (2)'!$E$4:$CZ$32,27,FALSE))*'Initial Capital Payment'!$F$12)/((HLOOKUP('Initial Capital Payment'!$C$12,'LPP Act Financing Plan (2)'!$E$4:$CZ$32,5,FALSE)))</f>
        <v>0</v>
      </c>
      <c r="AS39" s="477">
        <f>IF(AND('Initial Capital Payment'!$C$14="Pay-Go",AS4&lt;='Initial Capital Payment'!$C$12),(HLOOKUP('Initial Capital Payment'!$C$12,'LPP Act Financing Plan (2)'!$E$4:$CZ$32,27,FALSE))*'Initial Capital Payment'!$F$12)/((HLOOKUP('Initial Capital Payment'!$C$12,'LPP Act Financing Plan (2)'!$E$4:$CZ$32,5,FALSE)))</f>
        <v>0</v>
      </c>
      <c r="AT39" s="477">
        <f>IF(AND('Initial Capital Payment'!$C$14="Pay-Go",AT4&lt;='Initial Capital Payment'!$C$12),(HLOOKUP('Initial Capital Payment'!$C$12,'LPP Act Financing Plan (2)'!$E$4:$CZ$32,27,FALSE))*'Initial Capital Payment'!$F$12)/((HLOOKUP('Initial Capital Payment'!$C$12,'LPP Act Financing Plan (2)'!$E$4:$CZ$32,5,FALSE)))</f>
        <v>0</v>
      </c>
      <c r="AU39" s="477">
        <f>IF(AND('Initial Capital Payment'!$C$14="Pay-Go",AU4&lt;='Initial Capital Payment'!$C$12),(HLOOKUP('Initial Capital Payment'!$C$12,'LPP Act Financing Plan (2)'!$E$4:$CZ$32,27,FALSE))*'Initial Capital Payment'!$F$12)/((HLOOKUP('Initial Capital Payment'!$C$12,'LPP Act Financing Plan (2)'!$E$4:$CZ$32,5,FALSE)))</f>
        <v>0</v>
      </c>
      <c r="AV39" s="477">
        <f>IF(AND('Initial Capital Payment'!$C$14="Pay-Go",AV4&lt;='Initial Capital Payment'!$C$12),(HLOOKUP('Initial Capital Payment'!$C$12,'LPP Act Financing Plan (2)'!$E$4:$CZ$32,27,FALSE))*'Initial Capital Payment'!$F$12)/((HLOOKUP('Initial Capital Payment'!$C$12,'LPP Act Financing Plan (2)'!$E$4:$CZ$32,5,FALSE)))</f>
        <v>0</v>
      </c>
      <c r="AW39" s="477">
        <f>IF(AND('Initial Capital Payment'!$C$14="Pay-Go",AW4&lt;='Initial Capital Payment'!$C$12),(HLOOKUP('Initial Capital Payment'!$C$12,'LPP Act Financing Plan (2)'!$E$4:$CZ$32,27,FALSE))*'Initial Capital Payment'!$F$12)/((HLOOKUP('Initial Capital Payment'!$C$12,'LPP Act Financing Plan (2)'!$E$4:$CZ$32,5,FALSE)))</f>
        <v>0</v>
      </c>
      <c r="AX39" s="477">
        <f>IF(AND('Initial Capital Payment'!$C$14="Pay-Go",AX4&lt;='Initial Capital Payment'!$C$12),(HLOOKUP('Initial Capital Payment'!$C$12,'LPP Act Financing Plan (2)'!$E$4:$CZ$32,27,FALSE))*'Initial Capital Payment'!$F$12)/((HLOOKUP('Initial Capital Payment'!$C$12,'LPP Act Financing Plan (2)'!$E$4:$CZ$32,5,FALSE)))</f>
        <v>0</v>
      </c>
      <c r="AY39" s="477">
        <f>IF(AND('Initial Capital Payment'!$C$14="Pay-Go",AY4&lt;='Initial Capital Payment'!$C$12),(HLOOKUP('Initial Capital Payment'!$C$12,'LPP Act Financing Plan (2)'!$E$4:$CZ$32,27,FALSE))*'Initial Capital Payment'!$F$12)/((HLOOKUP('Initial Capital Payment'!$C$12,'LPP Act Financing Plan (2)'!$E$4:$CZ$32,5,FALSE)))</f>
        <v>0</v>
      </c>
      <c r="AZ39" s="477">
        <f>IF(AND('Initial Capital Payment'!$C$14="Pay-Go",AZ4&lt;='Initial Capital Payment'!$C$12),(HLOOKUP('Initial Capital Payment'!$C$12,'LPP Act Financing Plan (2)'!$E$4:$CZ$32,27,FALSE))*'Initial Capital Payment'!$F$12)/((HLOOKUP('Initial Capital Payment'!$C$12,'LPP Act Financing Plan (2)'!$E$4:$CZ$32,5,FALSE)))</f>
        <v>0</v>
      </c>
      <c r="BA39" s="477">
        <f>IF(AND('Initial Capital Payment'!$C$14="Pay-Go",BA4&lt;='Initial Capital Payment'!$C$12),(HLOOKUP('Initial Capital Payment'!$C$12,'LPP Act Financing Plan (2)'!$E$4:$CZ$32,27,FALSE))*'Initial Capital Payment'!$F$12)/((HLOOKUP('Initial Capital Payment'!$C$12,'LPP Act Financing Plan (2)'!$E$4:$CZ$32,5,FALSE)))</f>
        <v>0</v>
      </c>
      <c r="BB39" s="477">
        <f>IF(AND('Initial Capital Payment'!$C$14="Pay-Go",BB4&lt;='Initial Capital Payment'!$C$12),(HLOOKUP('Initial Capital Payment'!$C$12,'LPP Act Financing Plan (2)'!$E$4:$CZ$32,27,FALSE))*'Initial Capital Payment'!$F$12)/((HLOOKUP('Initial Capital Payment'!$C$12,'LPP Act Financing Plan (2)'!$E$4:$CZ$32,5,FALSE)))</f>
        <v>0</v>
      </c>
      <c r="BC39" s="477">
        <f>IF(AND('Initial Capital Payment'!$C$14="Pay-Go",BC4&lt;='Initial Capital Payment'!$C$12),(HLOOKUP('Initial Capital Payment'!$C$12,'LPP Act Financing Plan (2)'!$E$4:$CZ$32,27,FALSE))*'Initial Capital Payment'!$F$12)/((HLOOKUP('Initial Capital Payment'!$C$12,'LPP Act Financing Plan (2)'!$E$4:$CZ$32,5,FALSE)))</f>
        <v>0</v>
      </c>
      <c r="BD39" s="477">
        <f>IF(AND('Initial Capital Payment'!$C$14="Pay-Go",BD4&lt;='Initial Capital Payment'!$C$12),(HLOOKUP('Initial Capital Payment'!$C$12,'LPP Act Financing Plan (2)'!$E$4:$CZ$32,27,FALSE))*'Initial Capital Payment'!$F$12)/((HLOOKUP('Initial Capital Payment'!$C$12,'LPP Act Financing Plan (2)'!$E$4:$CZ$32,5,FALSE)))</f>
        <v>0</v>
      </c>
      <c r="BE39" s="477">
        <f>IF(AND('Initial Capital Payment'!$C$14="Pay-Go",BE4&lt;='Initial Capital Payment'!$C$12),(HLOOKUP('Initial Capital Payment'!$C$12,'LPP Act Financing Plan (2)'!$E$4:$CZ$32,27,FALSE))*'Initial Capital Payment'!$F$12)/((HLOOKUP('Initial Capital Payment'!$C$12,'LPP Act Financing Plan (2)'!$E$4:$CZ$32,5,FALSE)))</f>
        <v>0</v>
      </c>
      <c r="BF39" s="477">
        <f>IF(AND('Initial Capital Payment'!$C$14="Pay-Go",BF4&lt;='Initial Capital Payment'!$C$12),(HLOOKUP('Initial Capital Payment'!$C$12,'LPP Act Financing Plan (2)'!$E$4:$CZ$32,27,FALSE))*'Initial Capital Payment'!$F$12)/((HLOOKUP('Initial Capital Payment'!$C$12,'LPP Act Financing Plan (2)'!$E$4:$CZ$32,5,FALSE)))</f>
        <v>0</v>
      </c>
      <c r="BG39" s="477">
        <f>IF(AND('Initial Capital Payment'!$C$14="Pay-Go",BG4&lt;='Initial Capital Payment'!$C$12),(HLOOKUP('Initial Capital Payment'!$C$12,'LPP Act Financing Plan (2)'!$E$4:$CZ$32,27,FALSE))*'Initial Capital Payment'!$F$12)/((HLOOKUP('Initial Capital Payment'!$C$12,'LPP Act Financing Plan (2)'!$E$4:$CZ$32,5,FALSE)))</f>
        <v>0</v>
      </c>
      <c r="BH39" s="477">
        <f>IF(AND('Initial Capital Payment'!$C$14="Pay-Go",BH4&lt;='Initial Capital Payment'!$C$12),(HLOOKUP('Initial Capital Payment'!$C$12,'LPP Act Financing Plan (2)'!$E$4:$CZ$32,27,FALSE))*'Initial Capital Payment'!$F$12)/((HLOOKUP('Initial Capital Payment'!$C$12,'LPP Act Financing Plan (2)'!$E$4:$CZ$32,5,FALSE)))</f>
        <v>0</v>
      </c>
      <c r="BI39" s="477">
        <f>IF(AND('Initial Capital Payment'!$C$14="Pay-Go",BI4&lt;='Initial Capital Payment'!$C$12),(HLOOKUP('Initial Capital Payment'!$C$12,'LPP Act Financing Plan (2)'!$E$4:$CZ$32,27,FALSE))*'Initial Capital Payment'!$F$12)/((HLOOKUP('Initial Capital Payment'!$C$12,'LPP Act Financing Plan (2)'!$E$4:$CZ$32,5,FALSE)))</f>
        <v>0</v>
      </c>
      <c r="BJ39" s="477">
        <f>IF(AND('Initial Capital Payment'!$C$14="Pay-Go",BJ4&lt;='Initial Capital Payment'!$C$12),(HLOOKUP('Initial Capital Payment'!$C$12,'LPP Act Financing Plan (2)'!$E$4:$CZ$32,27,FALSE))*'Initial Capital Payment'!$F$12)/((HLOOKUP('Initial Capital Payment'!$C$12,'LPP Act Financing Plan (2)'!$E$4:$CZ$32,5,FALSE)))</f>
        <v>0</v>
      </c>
      <c r="BK39" s="477">
        <f>IF(AND('Initial Capital Payment'!$C$14="Pay-Go",BK4&lt;='Initial Capital Payment'!$C$12),(HLOOKUP('Initial Capital Payment'!$C$12,'LPP Act Financing Plan (2)'!$E$4:$CZ$32,27,FALSE))*'Initial Capital Payment'!$F$12)/((HLOOKUP('Initial Capital Payment'!$C$12,'LPP Act Financing Plan (2)'!$E$4:$CZ$32,5,FALSE)))</f>
        <v>0</v>
      </c>
      <c r="BL39" s="477">
        <f>IF(AND('Initial Capital Payment'!$C$14="Pay-Go",BL4&lt;='Initial Capital Payment'!$C$12),(HLOOKUP('Initial Capital Payment'!$C$12,'LPP Act Financing Plan (2)'!$E$4:$CZ$32,27,FALSE))*'Initial Capital Payment'!$F$12)/((HLOOKUP('Initial Capital Payment'!$C$12,'LPP Act Financing Plan (2)'!$E$4:$CZ$32,5,FALSE)))</f>
        <v>0</v>
      </c>
      <c r="BM39" s="477">
        <f>IF(AND('Initial Capital Payment'!$C$14="Pay-Go",BM4&lt;='Initial Capital Payment'!$C$12),(HLOOKUP('Initial Capital Payment'!$C$12,'LPP Act Financing Plan (2)'!$E$4:$CZ$32,27,FALSE))*'Initial Capital Payment'!$F$12)/((HLOOKUP('Initial Capital Payment'!$C$12,'LPP Act Financing Plan (2)'!$E$4:$CZ$32,5,FALSE)))</f>
        <v>0</v>
      </c>
      <c r="BN39" s="477">
        <f>IF(AND('Initial Capital Payment'!$C$14="Pay-Go",BN4&lt;='Initial Capital Payment'!$C$12),(HLOOKUP('Initial Capital Payment'!$C$12,'LPP Act Financing Plan (2)'!$E$4:$CZ$32,27,FALSE))*'Initial Capital Payment'!$F$12)/((HLOOKUP('Initial Capital Payment'!$C$12,'LPP Act Financing Plan (2)'!$E$4:$CZ$32,5,FALSE)))</f>
        <v>0</v>
      </c>
      <c r="BO39" s="477">
        <f>IF(AND('Initial Capital Payment'!$C$14="Pay-Go",BO4&lt;='Initial Capital Payment'!$C$12),(HLOOKUP('Initial Capital Payment'!$C$12,'LPP Act Financing Plan (2)'!$E$4:$CZ$32,27,FALSE))*'Initial Capital Payment'!$F$12)/((HLOOKUP('Initial Capital Payment'!$C$12,'LPP Act Financing Plan (2)'!$E$4:$CZ$32,5,FALSE)))</f>
        <v>0</v>
      </c>
      <c r="BP39" s="477">
        <f>IF(AND('Initial Capital Payment'!$C$14="Pay-Go",BP4&lt;='Initial Capital Payment'!$C$12),(HLOOKUP('Initial Capital Payment'!$C$12,'LPP Act Financing Plan (2)'!$E$4:$CZ$32,27,FALSE))*'Initial Capital Payment'!$F$12)/((HLOOKUP('Initial Capital Payment'!$C$12,'LPP Act Financing Plan (2)'!$E$4:$CZ$32,5,FALSE)))</f>
        <v>0</v>
      </c>
      <c r="BQ39" s="477">
        <f>IF(AND('Initial Capital Payment'!$C$14="Pay-Go",BQ4&lt;='Initial Capital Payment'!$C$12),(HLOOKUP('Initial Capital Payment'!$C$12,'LPP Act Financing Plan (2)'!$E$4:$CZ$32,27,FALSE))*'Initial Capital Payment'!$F$12)/((HLOOKUP('Initial Capital Payment'!$C$12,'LPP Act Financing Plan (2)'!$E$4:$CZ$32,5,FALSE)))</f>
        <v>0</v>
      </c>
      <c r="BR39" s="477">
        <f>IF(AND('Initial Capital Payment'!$C$14="Pay-Go",BR4&lt;='Initial Capital Payment'!$C$12),(HLOOKUP('Initial Capital Payment'!$C$12,'LPP Act Financing Plan (2)'!$E$4:$CZ$32,27,FALSE))*'Initial Capital Payment'!$F$12)/((HLOOKUP('Initial Capital Payment'!$C$12,'LPP Act Financing Plan (2)'!$E$4:$CZ$32,5,FALSE)))</f>
        <v>0</v>
      </c>
      <c r="BS39" s="477">
        <f>IF(AND('Initial Capital Payment'!$C$14="Pay-Go",BS4&lt;='Initial Capital Payment'!$C$12),(HLOOKUP('Initial Capital Payment'!$C$12,'LPP Act Financing Plan (2)'!$E$4:$CZ$32,27,FALSE))*'Initial Capital Payment'!$F$12)/((HLOOKUP('Initial Capital Payment'!$C$12,'LPP Act Financing Plan (2)'!$E$4:$CZ$32,5,FALSE)))</f>
        <v>0</v>
      </c>
      <c r="BT39" s="477">
        <f>IF(AND('Initial Capital Payment'!$C$14="Pay-Go",BT4&lt;='Initial Capital Payment'!$C$12),(HLOOKUP('Initial Capital Payment'!$C$12,'LPP Act Financing Plan (2)'!$E$4:$CZ$32,27,FALSE))*'Initial Capital Payment'!$F$12)/((HLOOKUP('Initial Capital Payment'!$C$12,'LPP Act Financing Plan (2)'!$E$4:$CZ$32,5,FALSE)))</f>
        <v>0</v>
      </c>
      <c r="BU39" s="477">
        <f>IF(AND('Initial Capital Payment'!$C$14="Pay-Go",BU4&lt;='Initial Capital Payment'!$C$12),(HLOOKUP('Initial Capital Payment'!$C$12,'LPP Act Financing Plan (2)'!$E$4:$CZ$32,27,FALSE))*'Initial Capital Payment'!$F$12)/((HLOOKUP('Initial Capital Payment'!$C$12,'LPP Act Financing Plan (2)'!$E$4:$CZ$32,5,FALSE)))</f>
        <v>0</v>
      </c>
      <c r="BV39" s="477">
        <f>IF(AND('Initial Capital Payment'!$C$14="Pay-Go",BV4&lt;='Initial Capital Payment'!$C$12),(HLOOKUP('Initial Capital Payment'!$C$12,'LPP Act Financing Plan (2)'!$E$4:$CZ$32,27,FALSE))*'Initial Capital Payment'!$F$12)/((HLOOKUP('Initial Capital Payment'!$C$12,'LPP Act Financing Plan (2)'!$E$4:$CZ$32,5,FALSE)))</f>
        <v>0</v>
      </c>
      <c r="BW39" s="477">
        <f>IF(AND('Initial Capital Payment'!$C$14="Pay-Go",BW4&lt;='Initial Capital Payment'!$C$12),(HLOOKUP('Initial Capital Payment'!$C$12,'LPP Act Financing Plan (2)'!$E$4:$CZ$32,27,FALSE))*'Initial Capital Payment'!$F$12)/((HLOOKUP('Initial Capital Payment'!$C$12,'LPP Act Financing Plan (2)'!$E$4:$CZ$32,5,FALSE)))</f>
        <v>0</v>
      </c>
      <c r="BX39" s="477">
        <f>IF(AND('Initial Capital Payment'!$C$14="Pay-Go",BX4&lt;='Initial Capital Payment'!$C$12),(HLOOKUP('Initial Capital Payment'!$C$12,'LPP Act Financing Plan (2)'!$E$4:$CZ$32,27,FALSE))*'Initial Capital Payment'!$F$12)/((HLOOKUP('Initial Capital Payment'!$C$12,'LPP Act Financing Plan (2)'!$E$4:$CZ$32,5,FALSE)))</f>
        <v>0</v>
      </c>
      <c r="BY39" s="477">
        <f>IF(AND('Initial Capital Payment'!$C$14="Pay-Go",BY4&lt;='Initial Capital Payment'!$C$12),(HLOOKUP('Initial Capital Payment'!$C$12,'LPP Act Financing Plan (2)'!$E$4:$CZ$32,27,FALSE))*'Initial Capital Payment'!$F$12)/((HLOOKUP('Initial Capital Payment'!$C$12,'LPP Act Financing Plan (2)'!$E$4:$CZ$32,5,FALSE)))</f>
        <v>0</v>
      </c>
      <c r="BZ39" s="477">
        <f>IF(AND('Initial Capital Payment'!$C$14="Pay-Go",BZ4&lt;='Initial Capital Payment'!$C$12),(HLOOKUP('Initial Capital Payment'!$C$12,'LPP Act Financing Plan (2)'!$E$4:$CZ$32,27,FALSE))*'Initial Capital Payment'!$F$12)/((HLOOKUP('Initial Capital Payment'!$C$12,'LPP Act Financing Plan (2)'!$E$4:$CZ$32,5,FALSE)))</f>
        <v>0</v>
      </c>
      <c r="CA39" s="477">
        <f>IF(AND('Initial Capital Payment'!$C$14="Pay-Go",CA4&lt;='Initial Capital Payment'!$C$12),(HLOOKUP('Initial Capital Payment'!$C$12,'LPP Act Financing Plan (2)'!$E$4:$CZ$32,27,FALSE))*'Initial Capital Payment'!$F$12)/((HLOOKUP('Initial Capital Payment'!$C$12,'LPP Act Financing Plan (2)'!$E$4:$CZ$32,5,FALSE)))</f>
        <v>0</v>
      </c>
      <c r="CB39" s="477">
        <f>IF(AND('Initial Capital Payment'!$C$14="Pay-Go",CB4&lt;='Initial Capital Payment'!$C$12),(HLOOKUP('Initial Capital Payment'!$C$12,'LPP Act Financing Plan (2)'!$E$4:$CZ$32,27,FALSE))*'Initial Capital Payment'!$F$12)/((HLOOKUP('Initial Capital Payment'!$C$12,'LPP Act Financing Plan (2)'!$E$4:$CZ$32,5,FALSE)))</f>
        <v>0</v>
      </c>
      <c r="CC39" s="477">
        <f>IF(AND('Initial Capital Payment'!$C$14="Pay-Go",CC4&lt;='Initial Capital Payment'!$C$12),(HLOOKUP('Initial Capital Payment'!$C$12,'LPP Act Financing Plan (2)'!$E$4:$CZ$32,27,FALSE))*'Initial Capital Payment'!$F$12)/((HLOOKUP('Initial Capital Payment'!$C$12,'LPP Act Financing Plan (2)'!$E$4:$CZ$32,5,FALSE)))</f>
        <v>0</v>
      </c>
      <c r="CD39" s="477">
        <f>IF(AND('Initial Capital Payment'!$C$14="Pay-Go",CD4&lt;='Initial Capital Payment'!$C$12),(HLOOKUP('Initial Capital Payment'!$C$12,'LPP Act Financing Plan (2)'!$E$4:$CZ$32,27,FALSE))*'Initial Capital Payment'!$F$12)/((HLOOKUP('Initial Capital Payment'!$C$12,'LPP Act Financing Plan (2)'!$E$4:$CZ$32,5,FALSE)))</f>
        <v>0</v>
      </c>
      <c r="CE39" s="477">
        <f>IF(AND('Initial Capital Payment'!$C$14="Pay-Go",CE4&lt;='Initial Capital Payment'!$C$12),(HLOOKUP('Initial Capital Payment'!$C$12,'LPP Act Financing Plan (2)'!$E$4:$CZ$32,27,FALSE))*'Initial Capital Payment'!$F$12)/((HLOOKUP('Initial Capital Payment'!$C$12,'LPP Act Financing Plan (2)'!$E$4:$CZ$32,5,FALSE)))</f>
        <v>0</v>
      </c>
      <c r="CF39" s="477">
        <f>IF(AND('Initial Capital Payment'!$C$14="Pay-Go",CF4&lt;='Initial Capital Payment'!$C$12),(HLOOKUP('Initial Capital Payment'!$C$12,'LPP Act Financing Plan (2)'!$E$4:$CZ$32,27,FALSE))*'Initial Capital Payment'!$F$12)/((HLOOKUP('Initial Capital Payment'!$C$12,'LPP Act Financing Plan (2)'!$E$4:$CZ$32,5,FALSE)))</f>
        <v>0</v>
      </c>
      <c r="CG39" s="477">
        <f>IF(AND('Initial Capital Payment'!$C$14="Pay-Go",CG4&lt;='Initial Capital Payment'!$C$12),(HLOOKUP('Initial Capital Payment'!$C$12,'LPP Act Financing Plan (2)'!$E$4:$CZ$32,27,FALSE))*'Initial Capital Payment'!$F$12)/((HLOOKUP('Initial Capital Payment'!$C$12,'LPP Act Financing Plan (2)'!$E$4:$CZ$32,5,FALSE)))</f>
        <v>0</v>
      </c>
      <c r="CH39" s="477">
        <f>IF(AND('Initial Capital Payment'!$C$14="Pay-Go",CH4&lt;='Initial Capital Payment'!$C$12),(HLOOKUP('Initial Capital Payment'!$C$12,'LPP Act Financing Plan (2)'!$E$4:$CZ$32,27,FALSE))*'Initial Capital Payment'!$F$12)/((HLOOKUP('Initial Capital Payment'!$C$12,'LPP Act Financing Plan (2)'!$E$4:$CZ$32,5,FALSE)))</f>
        <v>0</v>
      </c>
      <c r="CI39" s="477">
        <f>IF(AND('Initial Capital Payment'!$C$14="Pay-Go",CI4&lt;='Initial Capital Payment'!$C$12),(HLOOKUP('Initial Capital Payment'!$C$12,'LPP Act Financing Plan (2)'!$E$4:$CZ$32,27,FALSE))*'Initial Capital Payment'!$F$12)/((HLOOKUP('Initial Capital Payment'!$C$12,'LPP Act Financing Plan (2)'!$E$4:$CZ$32,5,FALSE)))</f>
        <v>0</v>
      </c>
      <c r="CJ39" s="477">
        <f>IF(AND('Initial Capital Payment'!$C$14="Pay-Go",CJ4&lt;='Initial Capital Payment'!$C$12),(HLOOKUP('Initial Capital Payment'!$C$12,'LPP Act Financing Plan (2)'!$E$4:$CZ$32,27,FALSE))*'Initial Capital Payment'!$F$12)/((HLOOKUP('Initial Capital Payment'!$C$12,'LPP Act Financing Plan (2)'!$E$4:$CZ$32,5,FALSE)))</f>
        <v>0</v>
      </c>
      <c r="CK39" s="477">
        <f>IF(AND('Initial Capital Payment'!$C$14="Pay-Go",CK4&lt;='Initial Capital Payment'!$C$12),(HLOOKUP('Initial Capital Payment'!$C$12,'LPP Act Financing Plan (2)'!$E$4:$CZ$32,27,FALSE))*'Initial Capital Payment'!$F$12)/((HLOOKUP('Initial Capital Payment'!$C$12,'LPP Act Financing Plan (2)'!$E$4:$CZ$32,5,FALSE)))</f>
        <v>0</v>
      </c>
      <c r="CL39" s="477">
        <f>IF(AND('Initial Capital Payment'!$C$14="Pay-Go",CL4&lt;='Initial Capital Payment'!$C$12),(HLOOKUP('Initial Capital Payment'!$C$12,'LPP Act Financing Plan (2)'!$E$4:$CZ$32,27,FALSE))*'Initial Capital Payment'!$F$12)/((HLOOKUP('Initial Capital Payment'!$C$12,'LPP Act Financing Plan (2)'!$E$4:$CZ$32,5,FALSE)))</f>
        <v>0</v>
      </c>
      <c r="CM39" s="477">
        <f>IF(AND('Initial Capital Payment'!$C$14="Pay-Go",CM4&lt;='Initial Capital Payment'!$C$12),(HLOOKUP('Initial Capital Payment'!$C$12,'LPP Act Financing Plan (2)'!$E$4:$CZ$32,27,FALSE))*'Initial Capital Payment'!$F$12)/((HLOOKUP('Initial Capital Payment'!$C$12,'LPP Act Financing Plan (2)'!$E$4:$CZ$32,5,FALSE)))</f>
        <v>0</v>
      </c>
      <c r="CN39" s="477">
        <f>IF(AND('Initial Capital Payment'!$C$14="Pay-Go",CN4&lt;='Initial Capital Payment'!$C$12),(HLOOKUP('Initial Capital Payment'!$C$12,'LPP Act Financing Plan (2)'!$E$4:$CZ$32,26,FALSE))*'Initial Capital Payment'!$F$12)/((HLOOKUP('Initial Capital Payment'!$C$12,'LPP Act Financing Plan (2)'!$E$4:$CZ$32,5,FALSE)))</f>
        <v>0</v>
      </c>
      <c r="CO39" s="477">
        <f>IF(AND('Initial Capital Payment'!$C$14="Pay-Go",CO4&lt;='Initial Capital Payment'!$C$12),(HLOOKUP('Initial Capital Payment'!$C$12,'LPP Act Financing Plan (2)'!$E$4:$CZ$32,26,FALSE))*'Initial Capital Payment'!$F$12)/((HLOOKUP('Initial Capital Payment'!$C$12,'LPP Act Financing Plan (2)'!$E$4:$CZ$32,5,FALSE)))</f>
        <v>0</v>
      </c>
      <c r="CP39" s="477">
        <f>IF(AND('Initial Capital Payment'!$C$14="Pay-Go",CP4&lt;='Initial Capital Payment'!$C$12),(HLOOKUP('Initial Capital Payment'!$C$12,'LPP Act Financing Plan (2)'!$E$4:$CZ$32,26,FALSE))*'Initial Capital Payment'!$F$12)/((HLOOKUP('Initial Capital Payment'!$C$12,'LPP Act Financing Plan (2)'!$E$4:$CZ$32,5,FALSE)))</f>
        <v>0</v>
      </c>
      <c r="CQ39" s="477">
        <f>IF(AND('Initial Capital Payment'!$C$14="Pay-Go",CQ4&lt;='Initial Capital Payment'!$C$12),(HLOOKUP('Initial Capital Payment'!$C$12,'LPP Act Financing Plan (2)'!$E$4:$CZ$32,26,FALSE))*'Initial Capital Payment'!$F$12)/((HLOOKUP('Initial Capital Payment'!$C$12,'LPP Act Financing Plan (2)'!$E$4:$CZ$32,5,FALSE)))</f>
        <v>0</v>
      </c>
      <c r="CR39" s="477">
        <f>IF(AND('Initial Capital Payment'!$C$14="Pay-Go",CR4&lt;='Initial Capital Payment'!$C$12),(HLOOKUP('Initial Capital Payment'!$C$12,'LPP Act Financing Plan (2)'!$E$4:$CZ$32,26,FALSE))*'Initial Capital Payment'!$F$12)/((HLOOKUP('Initial Capital Payment'!$C$12,'LPP Act Financing Plan (2)'!$E$4:$CZ$32,5,FALSE)))</f>
        <v>0</v>
      </c>
      <c r="CS39" s="477">
        <f>IF(AND('Initial Capital Payment'!$C$14="Pay-Go",CS4&lt;='Initial Capital Payment'!$C$12),(HLOOKUP('Initial Capital Payment'!$C$12,'LPP Act Financing Plan (2)'!$E$4:$CZ$32,26,FALSE))*'Initial Capital Payment'!$F$12)/((HLOOKUP('Initial Capital Payment'!$C$12,'LPP Act Financing Plan (2)'!$E$4:$CZ$32,5,FALSE)))</f>
        <v>0</v>
      </c>
      <c r="CT39" s="477">
        <f>IF(AND('Initial Capital Payment'!$C$14="Pay-Go",CT4&lt;='Initial Capital Payment'!$C$12),(HLOOKUP('Initial Capital Payment'!$C$12,'LPP Act Financing Plan (2)'!$E$4:$CZ$32,26,FALSE))*'Initial Capital Payment'!$F$12)/((HLOOKUP('Initial Capital Payment'!$C$12,'LPP Act Financing Plan (2)'!$E$4:$CZ$32,5,FALSE)))</f>
        <v>0</v>
      </c>
      <c r="CU39" s="477">
        <f>IF(AND('Initial Capital Payment'!$C$14="Pay-Go",CU4&lt;='Initial Capital Payment'!$C$12),(HLOOKUP('Initial Capital Payment'!$C$12,'LPP Act Financing Plan (2)'!$E$4:$CZ$32,26,FALSE))*'Initial Capital Payment'!$F$12)/((HLOOKUP('Initial Capital Payment'!$C$12,'LPP Act Financing Plan (2)'!$E$4:$CZ$32,5,FALSE)))</f>
        <v>0</v>
      </c>
      <c r="CV39" s="477">
        <f>IF(AND('Initial Capital Payment'!$C$14="Pay-Go",CV4&lt;='Initial Capital Payment'!$C$12),(HLOOKUP('Initial Capital Payment'!$C$12,'LPP Act Financing Plan (2)'!$E$4:$CZ$32,26,FALSE))*'Initial Capital Payment'!$F$12)/((HLOOKUP('Initial Capital Payment'!$C$12,'LPP Act Financing Plan (2)'!$E$4:$CZ$32,5,FALSE)))</f>
        <v>0</v>
      </c>
      <c r="CW39" s="477">
        <f>IF(AND('Initial Capital Payment'!$C$14="Pay-Go",CW4&lt;='Initial Capital Payment'!$C$12),(HLOOKUP('Initial Capital Payment'!$C$12,'LPP Act Financing Plan (2)'!$E$4:$CZ$32,26,FALSE))*'Initial Capital Payment'!$F$12)/((HLOOKUP('Initial Capital Payment'!$C$12,'LPP Act Financing Plan (2)'!$E$4:$CZ$32,5,FALSE)))</f>
        <v>0</v>
      </c>
      <c r="CX39" s="477">
        <f>IF(AND('Initial Capital Payment'!$C$14="Pay-Go",CX4&lt;='Initial Capital Payment'!$C$12),(HLOOKUP('Initial Capital Payment'!$C$12,'LPP Act Financing Plan (2)'!$E$4:$CZ$32,26,FALSE))*'Initial Capital Payment'!$F$12)/((HLOOKUP('Initial Capital Payment'!$C$12,'LPP Act Financing Plan (2)'!$E$4:$CZ$32,5,FALSE)))</f>
        <v>0</v>
      </c>
      <c r="CY39" s="477">
        <f>IF(AND('Initial Capital Payment'!$C$14="Pay-Go",CY4&lt;='Initial Capital Payment'!$C$12),(HLOOKUP('Initial Capital Payment'!$C$12,'LPP Act Financing Plan (2)'!$E$4:$CZ$32,26,FALSE))*'Initial Capital Payment'!$F$12)/((HLOOKUP('Initial Capital Payment'!$C$12,'LPP Act Financing Plan (2)'!$E$4:$CZ$32,5,FALSE)))</f>
        <v>0</v>
      </c>
      <c r="CZ39" s="477">
        <f>IF(AND('Initial Capital Payment'!$C$14="Pay-Go",CZ4&lt;='Initial Capital Payment'!$C$12),(HLOOKUP('Initial Capital Payment'!$C$12,'LPP Act Financing Plan (2)'!$E$4:$CZ$32,26,FALSE))*'Initial Capital Payment'!$F$12)/((HLOOKUP('Initial Capital Payment'!$C$12,'LPP Act Financing Plan (2)'!$E$4:$CZ$32,5,FALSE)))</f>
        <v>0</v>
      </c>
    </row>
    <row r="40" spans="1:104" x14ac:dyDescent="0.25">
      <c r="C40" s="609" t="s">
        <v>519</v>
      </c>
      <c r="E40" s="477">
        <f t="shared" ref="E40:BP40" si="32">E39*E7</f>
        <v>0</v>
      </c>
      <c r="F40" s="477">
        <f t="shared" si="32"/>
        <v>0</v>
      </c>
      <c r="G40" s="477">
        <f t="shared" si="32"/>
        <v>0</v>
      </c>
      <c r="H40" s="477">
        <f t="shared" si="32"/>
        <v>0</v>
      </c>
      <c r="I40" s="477">
        <f t="shared" si="32"/>
        <v>0</v>
      </c>
      <c r="J40" s="477">
        <f t="shared" si="32"/>
        <v>0</v>
      </c>
      <c r="K40" s="477">
        <f t="shared" si="32"/>
        <v>0</v>
      </c>
      <c r="L40" s="477">
        <f t="shared" si="32"/>
        <v>0</v>
      </c>
      <c r="M40" s="477">
        <f t="shared" si="32"/>
        <v>0</v>
      </c>
      <c r="N40" s="477">
        <f t="shared" si="32"/>
        <v>0</v>
      </c>
      <c r="O40" s="477">
        <f t="shared" si="32"/>
        <v>0</v>
      </c>
      <c r="P40" s="477">
        <f t="shared" si="32"/>
        <v>0</v>
      </c>
      <c r="Q40" s="477">
        <f t="shared" si="32"/>
        <v>0</v>
      </c>
      <c r="R40" s="477">
        <f t="shared" si="32"/>
        <v>0</v>
      </c>
      <c r="S40" s="477">
        <f t="shared" si="32"/>
        <v>0</v>
      </c>
      <c r="T40" s="477">
        <f t="shared" si="32"/>
        <v>0</v>
      </c>
      <c r="U40" s="477">
        <f t="shared" si="32"/>
        <v>0</v>
      </c>
      <c r="V40" s="477">
        <f t="shared" si="32"/>
        <v>0</v>
      </c>
      <c r="W40" s="477">
        <f t="shared" si="32"/>
        <v>0</v>
      </c>
      <c r="X40" s="477">
        <f t="shared" si="32"/>
        <v>0</v>
      </c>
      <c r="Y40" s="477">
        <f t="shared" si="32"/>
        <v>0</v>
      </c>
      <c r="Z40" s="477">
        <f t="shared" si="32"/>
        <v>0</v>
      </c>
      <c r="AA40" s="477">
        <f t="shared" si="32"/>
        <v>0</v>
      </c>
      <c r="AB40" s="477">
        <f t="shared" si="32"/>
        <v>0</v>
      </c>
      <c r="AC40" s="477">
        <f t="shared" si="32"/>
        <v>0</v>
      </c>
      <c r="AD40" s="477">
        <f t="shared" si="32"/>
        <v>0</v>
      </c>
      <c r="AE40" s="477">
        <f t="shared" si="32"/>
        <v>0</v>
      </c>
      <c r="AF40" s="477">
        <f t="shared" si="32"/>
        <v>0</v>
      </c>
      <c r="AG40" s="477">
        <f t="shared" si="32"/>
        <v>0</v>
      </c>
      <c r="AH40" s="477">
        <f t="shared" si="32"/>
        <v>0</v>
      </c>
      <c r="AI40" s="477">
        <f t="shared" si="32"/>
        <v>0</v>
      </c>
      <c r="AJ40" s="477">
        <f t="shared" si="32"/>
        <v>0</v>
      </c>
      <c r="AK40" s="477">
        <f t="shared" si="32"/>
        <v>0</v>
      </c>
      <c r="AL40" s="477">
        <f t="shared" si="32"/>
        <v>0</v>
      </c>
      <c r="AM40" s="477">
        <f t="shared" si="32"/>
        <v>0</v>
      </c>
      <c r="AN40" s="477">
        <f t="shared" si="32"/>
        <v>0</v>
      </c>
      <c r="AO40" s="477">
        <f t="shared" si="32"/>
        <v>0</v>
      </c>
      <c r="AP40" s="477">
        <f t="shared" si="32"/>
        <v>0</v>
      </c>
      <c r="AQ40" s="477">
        <f t="shared" si="32"/>
        <v>0</v>
      </c>
      <c r="AR40" s="477">
        <f t="shared" si="32"/>
        <v>0</v>
      </c>
      <c r="AS40" s="477">
        <f t="shared" si="32"/>
        <v>0</v>
      </c>
      <c r="AT40" s="477">
        <f t="shared" si="32"/>
        <v>0</v>
      </c>
      <c r="AU40" s="477">
        <f t="shared" si="32"/>
        <v>0</v>
      </c>
      <c r="AV40" s="477">
        <f t="shared" si="32"/>
        <v>0</v>
      </c>
      <c r="AW40" s="477">
        <f t="shared" si="32"/>
        <v>0</v>
      </c>
      <c r="AX40" s="477">
        <f t="shared" si="32"/>
        <v>0</v>
      </c>
      <c r="AY40" s="477">
        <f t="shared" si="32"/>
        <v>0</v>
      </c>
      <c r="AZ40" s="477">
        <f t="shared" si="32"/>
        <v>0</v>
      </c>
      <c r="BA40" s="477">
        <f t="shared" si="32"/>
        <v>0</v>
      </c>
      <c r="BB40" s="477">
        <f t="shared" si="32"/>
        <v>0</v>
      </c>
      <c r="BC40" s="477">
        <f t="shared" si="32"/>
        <v>0</v>
      </c>
      <c r="BD40" s="477">
        <f t="shared" si="32"/>
        <v>0</v>
      </c>
      <c r="BE40" s="477">
        <f t="shared" si="32"/>
        <v>0</v>
      </c>
      <c r="BF40" s="477">
        <f t="shared" si="32"/>
        <v>0</v>
      </c>
      <c r="BG40" s="477">
        <f t="shared" si="32"/>
        <v>0</v>
      </c>
      <c r="BH40" s="477">
        <f t="shared" si="32"/>
        <v>0</v>
      </c>
      <c r="BI40" s="477">
        <f t="shared" si="32"/>
        <v>0</v>
      </c>
      <c r="BJ40" s="477">
        <f t="shared" si="32"/>
        <v>0</v>
      </c>
      <c r="BK40" s="477">
        <f t="shared" si="32"/>
        <v>0</v>
      </c>
      <c r="BL40" s="477">
        <f t="shared" si="32"/>
        <v>0</v>
      </c>
      <c r="BM40" s="477">
        <f t="shared" si="32"/>
        <v>0</v>
      </c>
      <c r="BN40" s="477">
        <f t="shared" si="32"/>
        <v>0</v>
      </c>
      <c r="BO40" s="477">
        <f t="shared" si="32"/>
        <v>0</v>
      </c>
      <c r="BP40" s="477">
        <f t="shared" si="32"/>
        <v>0</v>
      </c>
      <c r="BQ40" s="477">
        <f t="shared" ref="BQ40:CZ40" si="33">BQ39*BQ7</f>
        <v>0</v>
      </c>
      <c r="BR40" s="477">
        <f t="shared" si="33"/>
        <v>0</v>
      </c>
      <c r="BS40" s="477">
        <f t="shared" si="33"/>
        <v>0</v>
      </c>
      <c r="BT40" s="477">
        <f t="shared" si="33"/>
        <v>0</v>
      </c>
      <c r="BU40" s="477">
        <f t="shared" si="33"/>
        <v>0</v>
      </c>
      <c r="BV40" s="477">
        <f t="shared" si="33"/>
        <v>0</v>
      </c>
      <c r="BW40" s="477">
        <f t="shared" si="33"/>
        <v>0</v>
      </c>
      <c r="BX40" s="477">
        <f t="shared" si="33"/>
        <v>0</v>
      </c>
      <c r="BY40" s="477">
        <f t="shared" si="33"/>
        <v>0</v>
      </c>
      <c r="BZ40" s="477">
        <f t="shared" si="33"/>
        <v>0</v>
      </c>
      <c r="CA40" s="477">
        <f t="shared" si="33"/>
        <v>0</v>
      </c>
      <c r="CB40" s="477">
        <f t="shared" si="33"/>
        <v>0</v>
      </c>
      <c r="CC40" s="477">
        <f t="shared" si="33"/>
        <v>0</v>
      </c>
      <c r="CD40" s="477">
        <f t="shared" si="33"/>
        <v>0</v>
      </c>
      <c r="CE40" s="477">
        <f t="shared" si="33"/>
        <v>0</v>
      </c>
      <c r="CF40" s="477">
        <f t="shared" si="33"/>
        <v>0</v>
      </c>
      <c r="CG40" s="477">
        <f t="shared" si="33"/>
        <v>0</v>
      </c>
      <c r="CH40" s="477">
        <f t="shared" si="33"/>
        <v>0</v>
      </c>
      <c r="CI40" s="477">
        <f t="shared" si="33"/>
        <v>0</v>
      </c>
      <c r="CJ40" s="477">
        <f t="shared" si="33"/>
        <v>0</v>
      </c>
      <c r="CK40" s="477">
        <f t="shared" si="33"/>
        <v>0</v>
      </c>
      <c r="CL40" s="477">
        <f t="shared" si="33"/>
        <v>0</v>
      </c>
      <c r="CM40" s="477">
        <f t="shared" si="33"/>
        <v>0</v>
      </c>
      <c r="CN40" s="477">
        <f t="shared" si="33"/>
        <v>0</v>
      </c>
      <c r="CO40" s="477">
        <f t="shared" si="33"/>
        <v>0</v>
      </c>
      <c r="CP40" s="477">
        <f t="shared" si="33"/>
        <v>0</v>
      </c>
      <c r="CQ40" s="477">
        <f t="shared" si="33"/>
        <v>0</v>
      </c>
      <c r="CR40" s="477">
        <f t="shared" si="33"/>
        <v>0</v>
      </c>
      <c r="CS40" s="477">
        <f t="shared" si="33"/>
        <v>0</v>
      </c>
      <c r="CT40" s="477">
        <f t="shared" si="33"/>
        <v>0</v>
      </c>
      <c r="CU40" s="477">
        <f t="shared" si="33"/>
        <v>0</v>
      </c>
      <c r="CV40" s="477">
        <f t="shared" si="33"/>
        <v>0</v>
      </c>
      <c r="CW40" s="477">
        <f t="shared" si="33"/>
        <v>0</v>
      </c>
      <c r="CX40" s="477">
        <f t="shared" si="33"/>
        <v>0</v>
      </c>
      <c r="CY40" s="477">
        <f t="shared" si="33"/>
        <v>0</v>
      </c>
      <c r="CZ40" s="477">
        <f t="shared" si="33"/>
        <v>0</v>
      </c>
    </row>
    <row r="41" spans="1:104" x14ac:dyDescent="0.25">
      <c r="C41" s="609" t="s">
        <v>515</v>
      </c>
      <c r="E41" s="477">
        <f>IF(E40=0,0,E40)</f>
        <v>0</v>
      </c>
      <c r="F41" s="477">
        <f t="shared" ref="F41:BQ41" si="34">IF(F39=0,0,E41+F40)</f>
        <v>0</v>
      </c>
      <c r="G41" s="477">
        <f t="shared" si="34"/>
        <v>0</v>
      </c>
      <c r="H41" s="477">
        <f t="shared" si="34"/>
        <v>0</v>
      </c>
      <c r="I41" s="477">
        <f t="shared" si="34"/>
        <v>0</v>
      </c>
      <c r="J41" s="477">
        <f t="shared" si="34"/>
        <v>0</v>
      </c>
      <c r="K41" s="477">
        <f t="shared" si="34"/>
        <v>0</v>
      </c>
      <c r="L41" s="477">
        <f t="shared" si="34"/>
        <v>0</v>
      </c>
      <c r="M41" s="477">
        <f t="shared" si="34"/>
        <v>0</v>
      </c>
      <c r="N41" s="477">
        <f t="shared" si="34"/>
        <v>0</v>
      </c>
      <c r="O41" s="477">
        <f t="shared" si="34"/>
        <v>0</v>
      </c>
      <c r="P41" s="477">
        <f t="shared" si="34"/>
        <v>0</v>
      </c>
      <c r="Q41" s="477">
        <f t="shared" si="34"/>
        <v>0</v>
      </c>
      <c r="R41" s="477">
        <f t="shared" si="34"/>
        <v>0</v>
      </c>
      <c r="S41" s="477">
        <f t="shared" si="34"/>
        <v>0</v>
      </c>
      <c r="T41" s="477">
        <f t="shared" si="34"/>
        <v>0</v>
      </c>
      <c r="U41" s="477">
        <f t="shared" si="34"/>
        <v>0</v>
      </c>
      <c r="V41" s="477">
        <f t="shared" si="34"/>
        <v>0</v>
      </c>
      <c r="W41" s="477">
        <f t="shared" si="34"/>
        <v>0</v>
      </c>
      <c r="X41" s="477">
        <f t="shared" si="34"/>
        <v>0</v>
      </c>
      <c r="Y41" s="477">
        <f t="shared" si="34"/>
        <v>0</v>
      </c>
      <c r="Z41" s="477">
        <f t="shared" si="34"/>
        <v>0</v>
      </c>
      <c r="AA41" s="477">
        <f t="shared" si="34"/>
        <v>0</v>
      </c>
      <c r="AB41" s="477">
        <f t="shared" si="34"/>
        <v>0</v>
      </c>
      <c r="AC41" s="477">
        <f t="shared" si="34"/>
        <v>0</v>
      </c>
      <c r="AD41" s="477">
        <f t="shared" si="34"/>
        <v>0</v>
      </c>
      <c r="AE41" s="477">
        <f t="shared" si="34"/>
        <v>0</v>
      </c>
      <c r="AF41" s="477">
        <f t="shared" si="34"/>
        <v>0</v>
      </c>
      <c r="AG41" s="477">
        <f t="shared" si="34"/>
        <v>0</v>
      </c>
      <c r="AH41" s="477">
        <f t="shared" si="34"/>
        <v>0</v>
      </c>
      <c r="AI41" s="477">
        <f t="shared" si="34"/>
        <v>0</v>
      </c>
      <c r="AJ41" s="477">
        <f t="shared" si="34"/>
        <v>0</v>
      </c>
      <c r="AK41" s="477">
        <f t="shared" si="34"/>
        <v>0</v>
      </c>
      <c r="AL41" s="477">
        <f t="shared" si="34"/>
        <v>0</v>
      </c>
      <c r="AM41" s="477">
        <f t="shared" si="34"/>
        <v>0</v>
      </c>
      <c r="AN41" s="477">
        <f t="shared" si="34"/>
        <v>0</v>
      </c>
      <c r="AO41" s="477">
        <f t="shared" si="34"/>
        <v>0</v>
      </c>
      <c r="AP41" s="477">
        <f t="shared" si="34"/>
        <v>0</v>
      </c>
      <c r="AQ41" s="477">
        <f t="shared" si="34"/>
        <v>0</v>
      </c>
      <c r="AR41" s="477">
        <f t="shared" si="34"/>
        <v>0</v>
      </c>
      <c r="AS41" s="477">
        <f t="shared" si="34"/>
        <v>0</v>
      </c>
      <c r="AT41" s="477">
        <f t="shared" si="34"/>
        <v>0</v>
      </c>
      <c r="AU41" s="477">
        <f t="shared" si="34"/>
        <v>0</v>
      </c>
      <c r="AV41" s="477">
        <f t="shared" si="34"/>
        <v>0</v>
      </c>
      <c r="AW41" s="477">
        <f t="shared" si="34"/>
        <v>0</v>
      </c>
      <c r="AX41" s="477">
        <f t="shared" si="34"/>
        <v>0</v>
      </c>
      <c r="AY41" s="477">
        <f t="shared" si="34"/>
        <v>0</v>
      </c>
      <c r="AZ41" s="477">
        <f t="shared" si="34"/>
        <v>0</v>
      </c>
      <c r="BA41" s="477">
        <f t="shared" si="34"/>
        <v>0</v>
      </c>
      <c r="BB41" s="477">
        <f t="shared" si="34"/>
        <v>0</v>
      </c>
      <c r="BC41" s="477">
        <f t="shared" si="34"/>
        <v>0</v>
      </c>
      <c r="BD41" s="477">
        <f t="shared" si="34"/>
        <v>0</v>
      </c>
      <c r="BE41" s="477">
        <f t="shared" si="34"/>
        <v>0</v>
      </c>
      <c r="BF41" s="477">
        <f t="shared" si="34"/>
        <v>0</v>
      </c>
      <c r="BG41" s="477">
        <f t="shared" si="34"/>
        <v>0</v>
      </c>
      <c r="BH41" s="477">
        <f t="shared" si="34"/>
        <v>0</v>
      </c>
      <c r="BI41" s="477">
        <f t="shared" si="34"/>
        <v>0</v>
      </c>
      <c r="BJ41" s="477">
        <f t="shared" si="34"/>
        <v>0</v>
      </c>
      <c r="BK41" s="477">
        <f t="shared" si="34"/>
        <v>0</v>
      </c>
      <c r="BL41" s="477">
        <f t="shared" si="34"/>
        <v>0</v>
      </c>
      <c r="BM41" s="477">
        <f t="shared" si="34"/>
        <v>0</v>
      </c>
      <c r="BN41" s="477">
        <f t="shared" si="34"/>
        <v>0</v>
      </c>
      <c r="BO41" s="477">
        <f t="shared" si="34"/>
        <v>0</v>
      </c>
      <c r="BP41" s="477">
        <f t="shared" si="34"/>
        <v>0</v>
      </c>
      <c r="BQ41" s="477">
        <f t="shared" si="34"/>
        <v>0</v>
      </c>
      <c r="BR41" s="477">
        <f t="shared" ref="BR41:CZ41" si="35">IF(BR39=0,0,BQ41+BR40)</f>
        <v>0</v>
      </c>
      <c r="BS41" s="477">
        <f t="shared" si="35"/>
        <v>0</v>
      </c>
      <c r="BT41" s="477">
        <f t="shared" si="35"/>
        <v>0</v>
      </c>
      <c r="BU41" s="477">
        <f t="shared" si="35"/>
        <v>0</v>
      </c>
      <c r="BV41" s="477">
        <f t="shared" si="35"/>
        <v>0</v>
      </c>
      <c r="BW41" s="477">
        <f t="shared" si="35"/>
        <v>0</v>
      </c>
      <c r="BX41" s="477">
        <f t="shared" si="35"/>
        <v>0</v>
      </c>
      <c r="BY41" s="477">
        <f t="shared" si="35"/>
        <v>0</v>
      </c>
      <c r="BZ41" s="477">
        <f t="shared" si="35"/>
        <v>0</v>
      </c>
      <c r="CA41" s="477">
        <f t="shared" si="35"/>
        <v>0</v>
      </c>
      <c r="CB41" s="477">
        <f t="shared" si="35"/>
        <v>0</v>
      </c>
      <c r="CC41" s="477">
        <f t="shared" si="35"/>
        <v>0</v>
      </c>
      <c r="CD41" s="477">
        <f t="shared" si="35"/>
        <v>0</v>
      </c>
      <c r="CE41" s="477">
        <f t="shared" si="35"/>
        <v>0</v>
      </c>
      <c r="CF41" s="477">
        <f t="shared" si="35"/>
        <v>0</v>
      </c>
      <c r="CG41" s="477">
        <f t="shared" si="35"/>
        <v>0</v>
      </c>
      <c r="CH41" s="477">
        <f t="shared" si="35"/>
        <v>0</v>
      </c>
      <c r="CI41" s="477">
        <f t="shared" si="35"/>
        <v>0</v>
      </c>
      <c r="CJ41" s="477">
        <f t="shared" si="35"/>
        <v>0</v>
      </c>
      <c r="CK41" s="477">
        <f t="shared" si="35"/>
        <v>0</v>
      </c>
      <c r="CL41" s="477">
        <f t="shared" si="35"/>
        <v>0</v>
      </c>
      <c r="CM41" s="477">
        <f t="shared" si="35"/>
        <v>0</v>
      </c>
      <c r="CN41" s="477">
        <f t="shared" si="35"/>
        <v>0</v>
      </c>
      <c r="CO41" s="477">
        <f t="shared" si="35"/>
        <v>0</v>
      </c>
      <c r="CP41" s="477">
        <f t="shared" si="35"/>
        <v>0</v>
      </c>
      <c r="CQ41" s="477">
        <f t="shared" si="35"/>
        <v>0</v>
      </c>
      <c r="CR41" s="477">
        <f t="shared" si="35"/>
        <v>0</v>
      </c>
      <c r="CS41" s="477">
        <f t="shared" si="35"/>
        <v>0</v>
      </c>
      <c r="CT41" s="477">
        <f t="shared" si="35"/>
        <v>0</v>
      </c>
      <c r="CU41" s="477">
        <f t="shared" si="35"/>
        <v>0</v>
      </c>
      <c r="CV41" s="477">
        <f t="shared" si="35"/>
        <v>0</v>
      </c>
      <c r="CW41" s="477">
        <f t="shared" si="35"/>
        <v>0</v>
      </c>
      <c r="CX41" s="477">
        <f t="shared" si="35"/>
        <v>0</v>
      </c>
      <c r="CY41" s="477">
        <f t="shared" si="35"/>
        <v>0</v>
      </c>
      <c r="CZ41" s="477">
        <f t="shared" si="35"/>
        <v>0</v>
      </c>
    </row>
    <row r="42" spans="1:104" x14ac:dyDescent="0.25">
      <c r="E42" s="477"/>
      <c r="F42" s="477"/>
      <c r="G42" s="477"/>
      <c r="H42" s="477"/>
      <c r="I42" s="477"/>
      <c r="J42" s="477"/>
      <c r="K42" s="477"/>
      <c r="L42" s="477"/>
      <c r="M42" s="477"/>
      <c r="N42" s="477"/>
      <c r="O42" s="477"/>
      <c r="P42" s="477"/>
      <c r="Q42" s="477"/>
      <c r="R42" s="477"/>
      <c r="S42" s="477"/>
      <c r="T42" s="477"/>
      <c r="U42" s="477"/>
      <c r="V42" s="732"/>
      <c r="W42" s="477"/>
      <c r="X42" s="477"/>
      <c r="Y42" s="477"/>
      <c r="Z42" s="477"/>
      <c r="AA42" s="477"/>
      <c r="AB42" s="477"/>
      <c r="AC42" s="477"/>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477"/>
      <c r="CH42" s="477"/>
      <c r="CI42" s="477"/>
      <c r="CJ42" s="477"/>
      <c r="CK42" s="477"/>
      <c r="CL42" s="477"/>
      <c r="CM42" s="477"/>
      <c r="CN42" s="477"/>
      <c r="CO42" s="477"/>
      <c r="CP42" s="477"/>
      <c r="CQ42" s="477"/>
      <c r="CR42" s="477"/>
      <c r="CS42" s="477"/>
      <c r="CT42" s="477"/>
      <c r="CU42" s="477"/>
      <c r="CV42" s="477"/>
      <c r="CW42" s="477"/>
      <c r="CX42" s="477"/>
      <c r="CY42" s="477"/>
      <c r="CZ42" s="477"/>
    </row>
    <row r="43" spans="1:104" x14ac:dyDescent="0.25">
      <c r="B43" s="609" t="s">
        <v>308</v>
      </c>
      <c r="E43" s="477"/>
      <c r="F43" s="477"/>
      <c r="G43" s="477"/>
      <c r="H43" s="477"/>
      <c r="I43" s="477"/>
      <c r="J43" s="477"/>
      <c r="K43" s="477"/>
      <c r="L43" s="477"/>
      <c r="M43" s="477"/>
      <c r="N43" s="477"/>
      <c r="O43" s="477"/>
      <c r="P43" s="477"/>
      <c r="Q43" s="477"/>
      <c r="R43" s="477"/>
      <c r="S43" s="477"/>
      <c r="T43" s="477"/>
      <c r="U43" s="477"/>
      <c r="V43" s="477"/>
      <c r="W43" s="479"/>
      <c r="X43" s="477"/>
      <c r="Y43" s="477"/>
      <c r="Z43" s="477"/>
      <c r="AA43" s="791"/>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c r="CE43" s="477"/>
      <c r="CF43" s="477"/>
      <c r="CG43" s="477"/>
      <c r="CH43" s="477"/>
      <c r="CI43" s="477"/>
      <c r="CJ43" s="477"/>
      <c r="CK43" s="477"/>
      <c r="CL43" s="477"/>
      <c r="CM43" s="477"/>
      <c r="CN43" s="477"/>
      <c r="CO43" s="477"/>
      <c r="CP43" s="477"/>
      <c r="CQ43" s="477"/>
      <c r="CR43" s="477"/>
      <c r="CS43" s="477"/>
      <c r="CT43" s="477"/>
      <c r="CU43" s="477"/>
      <c r="CV43" s="477"/>
      <c r="CW43" s="477"/>
      <c r="CX43" s="477"/>
      <c r="CY43" s="477"/>
      <c r="CZ43" s="477"/>
    </row>
    <row r="44" spans="1:104" x14ac:dyDescent="0.25">
      <c r="A44" s="472"/>
      <c r="C44" s="609" t="s">
        <v>306</v>
      </c>
      <c r="E44" s="573">
        <f>IF(AND('Incremental Repayments'!$R$22="Pay-Go",E$31&gt;0),(E$31*'Incremental Repayments'!$I$22)/(E10*1000000/1000),0)</f>
        <v>0</v>
      </c>
      <c r="F44" s="573">
        <f>IF(AND('Incremental Repayments'!$R$22="Pay-Go",F$31&gt;0),(F$31*'Incremental Repayments'!$I$22)/(F10*1000000/1000),0)</f>
        <v>0</v>
      </c>
      <c r="G44" s="573">
        <f>IF(AND('Incremental Repayments'!$R$22="Pay-Go",G$31&gt;0),(G$31*'Incremental Repayments'!$I$22)/(G10*1000000/1000),0)</f>
        <v>0</v>
      </c>
      <c r="H44" s="573">
        <f>IF(AND('Incremental Repayments'!$R$22="Pay-Go",H$31&gt;0),(H$31*'Incremental Repayments'!$I$22)/(H10*1000000/1000),0)</f>
        <v>0</v>
      </c>
      <c r="I44" s="573">
        <f>IF(AND('Incremental Repayments'!$R$22="Pay-Go",I$31&gt;0),(I$31*'Incremental Repayments'!$I$22)/(I10*1000000/1000),0)</f>
        <v>0</v>
      </c>
      <c r="J44" s="573">
        <f>IF(AND('Incremental Repayments'!$R$22="Pay-Go",J$31&gt;0),(J$31*'Incremental Repayments'!$I$22)/(J10*1000000/1000),0)</f>
        <v>0</v>
      </c>
      <c r="K44" s="573">
        <f>IF(AND('Incremental Repayments'!$R$22="Pay-Go",K$31&gt;0),(K$31*'Incremental Repayments'!$I$22)/(K10*1000000/1000),0)</f>
        <v>0</v>
      </c>
      <c r="L44" s="573">
        <f>IF(AND('Incremental Repayments'!$R$22="Pay-Go",L$31&gt;0),(L$31*'Incremental Repayments'!$I$22)/(L10*1000000/1000),0)</f>
        <v>0</v>
      </c>
      <c r="M44" s="573">
        <f>IF(AND('Incremental Repayments'!$R$22="Pay-Go",M$31&gt;0),(M$31*'Incremental Repayments'!$I$22)/(M10*1000000/1000),0)</f>
        <v>0</v>
      </c>
      <c r="N44" s="573">
        <f>IF(AND('Incremental Repayments'!$R$22="Pay-Go",N$31&gt;0),(N$31*'Incremental Repayments'!$I$22)/(N10*1000000/1000),0)</f>
        <v>0</v>
      </c>
      <c r="O44" s="573">
        <f>IF(AND('Incremental Repayments'!$R$22="Pay-Go",O$31&gt;0),(O$31*'Incremental Repayments'!$I$22)/(O10*1000000/1000),0)</f>
        <v>0</v>
      </c>
      <c r="P44" s="573">
        <f>IF(AND('Incremental Repayments'!$R$22="Pay-Go",P$31&gt;0),(P$31*'Incremental Repayments'!$I$22)/(P10*1000000/1000),0)</f>
        <v>0</v>
      </c>
      <c r="Q44" s="573">
        <f>IF(AND('Incremental Repayments'!$R$22="Pay-Go",Q$31&gt;0),(Q$31*'Incremental Repayments'!$I$22)/(Q10*1000000/1000),0)</f>
        <v>0</v>
      </c>
      <c r="R44" s="573">
        <f>IF(AND('Incremental Repayments'!$R$22="Pay-Go",R$31&gt;0),(R$31*'Incremental Repayments'!$I$22)/(R10*1000000/1000),0)</f>
        <v>0</v>
      </c>
      <c r="S44" s="573">
        <f>IF(AND('Incremental Repayments'!$R$22="Pay-Go",S$31&gt;0),(S$31*'Incremental Repayments'!$I$22)/(S10*1000000/1000),0)</f>
        <v>0</v>
      </c>
      <c r="T44" s="573">
        <f>IF(AND('Incremental Repayments'!$R$22="Pay-Go",T$31&gt;0),(T$31*'Incremental Repayments'!$I$22)/(T10*1000000/1000),0)</f>
        <v>0</v>
      </c>
      <c r="U44" s="573">
        <f>IF(AND('Incremental Repayments'!$R$22="Pay-Go",U$31&gt;0),(U$31*'Incremental Repayments'!$I$22)/(U10*1000000/1000),0)</f>
        <v>0</v>
      </c>
      <c r="V44" s="573">
        <f>IF(AND('Incremental Repayments'!$R$22="Pay-Go",V$31&gt;0),(V$31*'Incremental Repayments'!$I$22)/(V10*1000000/1000),0)</f>
        <v>0</v>
      </c>
      <c r="W44" s="573">
        <f>IF(AND('Incremental Repayments'!$R$22="Pay-Go",W$31&gt;0),(W$31*'Incremental Repayments'!$I$22)/(W10*1000000/1000),0)</f>
        <v>0</v>
      </c>
      <c r="X44" s="573">
        <f>IF(AND('Incremental Repayments'!$R$22="Pay-Go",X$31&gt;0),(X$31*'Incremental Repayments'!$I$22)/(X10*1000000/1000),0)</f>
        <v>0</v>
      </c>
      <c r="Y44" s="573">
        <f>IF(AND('Incremental Repayments'!$R$22="Pay-Go",Y$31&gt;0),(Y$31*'Incremental Repayments'!$I$22)/(Y10*1000000/1000),0)</f>
        <v>0</v>
      </c>
      <c r="Z44" s="573">
        <f>IF(AND('Incremental Repayments'!$R$22="Pay-Go",Z$31&gt;0),(Z$31*'Incremental Repayments'!$I$22)/(Z10*1000000/1000),0)</f>
        <v>0</v>
      </c>
      <c r="AA44" s="573">
        <f>IF(AND('Incremental Repayments'!$R$22="Pay-Go",AA$31&gt;0),(AA$31*'Incremental Repayments'!$I$22)/(AA10*1000000/1000),0)</f>
        <v>0</v>
      </c>
      <c r="AB44" s="573">
        <f>IF(AND('Incremental Repayments'!$R$22="Pay-Go",AB$31&gt;0),(AB$31*'Incremental Repayments'!$I$22)/(AB10*1000000/1000),0)</f>
        <v>0</v>
      </c>
      <c r="AC44" s="573">
        <f>IF(AND('Incremental Repayments'!$R$22="Pay-Go",AC$31&gt;0),(AC$31*'Incremental Repayments'!$I$22)/(AC10*1000000/1000),0)</f>
        <v>0</v>
      </c>
      <c r="AD44" s="573">
        <f>IF(AND('Incremental Repayments'!$R$22="Pay-Go",AD$31&gt;0),(AD$31*'Incremental Repayments'!$I$22)/(AD10*1000000/1000),0)</f>
        <v>0</v>
      </c>
      <c r="AE44" s="573">
        <f>IF(AND('Incremental Repayments'!$R$22="Pay-Go",AE$31&gt;0),(AE$31*'Incremental Repayments'!$I$22)/(AE10*1000000/1000),0)</f>
        <v>0</v>
      </c>
      <c r="AF44" s="573">
        <f>IF(AND('Incremental Repayments'!$R$22="Pay-Go",AF$31&gt;0),(AF$31*'Incremental Repayments'!$I$22)/(AF10*1000000/1000),0)</f>
        <v>0</v>
      </c>
      <c r="AG44" s="573">
        <f>IF(AND('Incremental Repayments'!$R$22="Pay-Go",AG$31&gt;0),(AG$31*'Incremental Repayments'!$I$22)/(AG10*1000000/1000),0)</f>
        <v>0</v>
      </c>
      <c r="AH44" s="573">
        <f>IF(AND('Incremental Repayments'!$R$22="Pay-Go",AH$31&gt;0),(AH$31*'Incremental Repayments'!$I$22)/(AH10*1000000/1000),0)</f>
        <v>0</v>
      </c>
      <c r="AI44" s="573">
        <f>IF(AND('Incremental Repayments'!$R$22="Pay-Go",AI$31&gt;0),(AI$31*'Incremental Repayments'!$I$22)/(AI10*1000000/1000),0)</f>
        <v>0</v>
      </c>
      <c r="AJ44" s="573">
        <f>IF(AND('Incremental Repayments'!$R$22="Pay-Go",AJ$31&gt;0),(AJ$31*'Incremental Repayments'!$I$22)/(AJ10*1000000/1000),0)</f>
        <v>0</v>
      </c>
      <c r="AK44" s="573">
        <f>IF(AND('Incremental Repayments'!$R$22="Pay-Go",AK$31&gt;0),(AK$31*'Incremental Repayments'!$I$22)/(AK10*1000000/1000),0)</f>
        <v>0</v>
      </c>
      <c r="AL44" s="573">
        <f>IF(AND('Incremental Repayments'!$R$22="Pay-Go",AL$31&gt;0),(AL$31*'Incremental Repayments'!$I$22)/(AL10*1000000/1000),0)</f>
        <v>0</v>
      </c>
      <c r="AM44" s="573">
        <f>IF(AND('Incremental Repayments'!$R$22="Pay-Go",AM$31&gt;0),(AM$31*'Incremental Repayments'!$I$22)/(AM10*1000000/1000),0)</f>
        <v>0</v>
      </c>
      <c r="AN44" s="573">
        <f>IF(AND('Incremental Repayments'!$R$22="Pay-Go",AN$31&gt;0),(AN$31*'Incremental Repayments'!$I$22)/(AN10*1000000/1000),0)</f>
        <v>0</v>
      </c>
      <c r="AO44" s="573">
        <f>IF(AND('Incremental Repayments'!$R$22="Pay-Go",AO$31&gt;0),(AO$31*'Incremental Repayments'!$I$22)/(AO10*1000000/1000),0)</f>
        <v>0</v>
      </c>
      <c r="AP44" s="573">
        <f>IF(AND('Incremental Repayments'!$R$22="Pay-Go",AP$31&gt;0),(AP$31*'Incremental Repayments'!$I$22)/(AP10*1000000/1000),0)</f>
        <v>0</v>
      </c>
      <c r="AQ44" s="573">
        <f>IF(AND('Incremental Repayments'!$R$22="Pay-Go",AQ$31&gt;0),(AQ$31*'Incremental Repayments'!$I$22)/(AQ10*1000000/1000),0)</f>
        <v>0</v>
      </c>
      <c r="AR44" s="573">
        <f>IF(AND('Incremental Repayments'!$R$22="Pay-Go",AR$31&gt;0),(AR$31*'Incremental Repayments'!$I$22)/(AR10*1000000/1000),0)</f>
        <v>0</v>
      </c>
      <c r="AS44" s="573">
        <f>IF(AND('Incremental Repayments'!$R$22="Pay-Go",AS$31&gt;0),(AS$31*'Incremental Repayments'!$I$22)/(AS10*1000000/1000),0)</f>
        <v>0</v>
      </c>
      <c r="AT44" s="573">
        <f>IF(AND('Incremental Repayments'!$R$22="Pay-Go",AT$31&gt;0),(AT$31*'Incremental Repayments'!$I$22)/(AT10*1000000/1000),0)</f>
        <v>0</v>
      </c>
      <c r="AU44" s="573">
        <f>IF(AND('Incremental Repayments'!$R$22="Pay-Go",AU$31&gt;0),(AU$31*'Incremental Repayments'!$I$22)/(AU10*1000000/1000),0)</f>
        <v>0</v>
      </c>
      <c r="AV44" s="573">
        <f>IF(AND('Incremental Repayments'!$R$22="Pay-Go",AV$31&gt;0),(AV$31*'Incremental Repayments'!$I$22)/(AV10*1000000/1000),0)</f>
        <v>0</v>
      </c>
      <c r="AW44" s="573">
        <f>IF(AND('Incremental Repayments'!$R$22="Pay-Go",AW$31&gt;0),(AW$31*'Incremental Repayments'!$I$22)/(AW10*1000000/1000),0)</f>
        <v>0</v>
      </c>
      <c r="AX44" s="573">
        <f>IF(AND('Incremental Repayments'!$R$22="Pay-Go",AX$31&gt;0),(AX$31*'Incremental Repayments'!$I$22)/(AX10*1000000/1000),0)</f>
        <v>0</v>
      </c>
      <c r="AY44" s="573">
        <f>IF(AND('Incremental Repayments'!$R$22="Pay-Go",AY$31&gt;0),(AY$31*'Incremental Repayments'!$I$22)/(AY10*1000000/1000),0)</f>
        <v>0</v>
      </c>
      <c r="AZ44" s="573">
        <f>IF(AND('Incremental Repayments'!$R$22="Pay-Go",AZ$31&gt;0),(AZ$31*'Incremental Repayments'!$I$22)/(AZ10*1000000/1000),0)</f>
        <v>0</v>
      </c>
      <c r="BA44" s="573">
        <f>IF(AND('Incremental Repayments'!$R$22="Pay-Go",BA$31&gt;0),(BA$31*'Incremental Repayments'!$I$22)/(BA10*1000000/1000),0)</f>
        <v>0</v>
      </c>
      <c r="BB44" s="573">
        <f>IF(AND('Incremental Repayments'!$R$22="Pay-Go",BB$31&gt;0),(BB$31*'Incremental Repayments'!$I$22)/(BB10*1000000/1000),0)</f>
        <v>0</v>
      </c>
      <c r="BC44" s="573">
        <f>IF(AND('Incremental Repayments'!$R$22="Pay-Go",BC$31&gt;0),(BC$31*'Incremental Repayments'!$I$22)/(BC10*1000000/1000),0)</f>
        <v>0</v>
      </c>
      <c r="BD44" s="573">
        <f>IF(AND('Incremental Repayments'!$R$22="Pay-Go",BD$31&gt;0),(BD$31*'Incremental Repayments'!$I$22)/(BD10*1000000/1000),0)</f>
        <v>0</v>
      </c>
      <c r="BE44" s="573">
        <f>IF(AND('Incremental Repayments'!$R$22="Pay-Go",BE$31&gt;0),(BE$31*'Incremental Repayments'!$I$22)/(BE10*1000000/1000),0)</f>
        <v>0</v>
      </c>
      <c r="BF44" s="573">
        <f>IF(AND('Incremental Repayments'!$R$22="Pay-Go",BF$31&gt;0),(BF$31*'Incremental Repayments'!$I$22)/(BF10*1000000/1000),0)</f>
        <v>0</v>
      </c>
      <c r="BG44" s="573">
        <f>IF(AND('Incremental Repayments'!$R$22="Pay-Go",BG$31&gt;0),(BG$31*'Incremental Repayments'!$I$22)/(BG10*1000000/1000),0)</f>
        <v>0</v>
      </c>
      <c r="BH44" s="573">
        <f>IF(AND('Incremental Repayments'!$R$22="Pay-Go",BH$31&gt;0),(BH$31*'Incremental Repayments'!$I$22)/(BH10*1000000/1000),0)</f>
        <v>0</v>
      </c>
      <c r="BI44" s="573">
        <f>IF(AND('Incremental Repayments'!$R$22="Pay-Go",BI$31&gt;0),(BI$31*'Incremental Repayments'!$I$22)/(BI10*1000000/1000),0)</f>
        <v>0</v>
      </c>
      <c r="BJ44" s="573">
        <f>IF(AND('Incremental Repayments'!$R$22="Pay-Go",BJ$31&gt;0),(BJ$31*'Incremental Repayments'!$I$22)/(BJ10*1000000/1000),0)</f>
        <v>0</v>
      </c>
      <c r="BK44" s="573">
        <f>IF(AND('Incremental Repayments'!$R$22="Pay-Go",BK$31&gt;0),(BK$31*'Incremental Repayments'!$I$22)/(BK10*1000000/1000),0)</f>
        <v>0</v>
      </c>
      <c r="BL44" s="573">
        <f>IF(AND('Incremental Repayments'!$R$22="Pay-Go",BL$31&gt;0),(BL$31*'Incremental Repayments'!$I$22)/(BL10*1000000/1000),0)</f>
        <v>0</v>
      </c>
      <c r="BM44" s="573">
        <f>IF(AND('Incremental Repayments'!$R$22="Pay-Go",BM$31&gt;0),(BM$31*'Incremental Repayments'!$I$22)/(BM10*1000000/1000),0)</f>
        <v>0</v>
      </c>
      <c r="BN44" s="573">
        <f>IF(AND('Incremental Repayments'!$R$22="Pay-Go",BN$31&gt;0),(BN$31*'Incremental Repayments'!$I$22)/(BN10*1000000/1000),0)</f>
        <v>0</v>
      </c>
      <c r="BO44" s="573">
        <f>IF(AND('Incremental Repayments'!$R$22="Pay-Go",BO$31&gt;0),(BO$31*'Incremental Repayments'!$I$22)/(BO10*1000000/1000),0)</f>
        <v>0</v>
      </c>
      <c r="BP44" s="573">
        <f>IF(AND('Incremental Repayments'!$R$22="Pay-Go",BP$31&gt;0),(BP$31*'Incremental Repayments'!$I$22)/(BP10*1000000/1000),0)</f>
        <v>0</v>
      </c>
      <c r="BQ44" s="573">
        <f>IF(AND('Incremental Repayments'!$R$22="Pay-Go",BQ$31&gt;0),(BQ$31*'Incremental Repayments'!$I$22)/(BQ10*1000000/1000),0)</f>
        <v>0</v>
      </c>
      <c r="BR44" s="573">
        <f>IF(AND('Incremental Repayments'!$R$22="Pay-Go",BR$31&gt;0),(BR$31*'Incremental Repayments'!$I$22)/(BR10*1000000/1000),0)</f>
        <v>0</v>
      </c>
      <c r="BS44" s="573">
        <f>IF(AND('Incremental Repayments'!$R$22="Pay-Go",BS$31&gt;0),(BS$31*'Incremental Repayments'!$I$22)/(BS10*1000000/1000),0)</f>
        <v>0</v>
      </c>
      <c r="BT44" s="573">
        <f>IF(AND('Incremental Repayments'!$R$22="Pay-Go",BT$31&gt;0),(BT$31*'Incremental Repayments'!$I$22)/(BT10*1000000/1000),0)</f>
        <v>0</v>
      </c>
      <c r="BU44" s="573">
        <f>IF(AND('Incremental Repayments'!$R$22="Pay-Go",BU$31&gt;0),(BU$31*'Incremental Repayments'!$I$22)/(BU10*1000000/1000),0)</f>
        <v>0</v>
      </c>
      <c r="BV44" s="573">
        <f>IF(AND('Incremental Repayments'!$R$22="Pay-Go",BV$31&gt;0),(BV$31*'Incremental Repayments'!$I$22)/(BV10*1000000/1000),0)</f>
        <v>0</v>
      </c>
      <c r="BW44" s="573">
        <f>IF(AND('Incremental Repayments'!$R$22="Pay-Go",BW$31&gt;0),(BW$31*'Incremental Repayments'!$I$22)/(BW10*1000000/1000),0)</f>
        <v>0</v>
      </c>
      <c r="BX44" s="573">
        <f>IF(AND('Incremental Repayments'!$R$22="Pay-Go",BX$31&gt;0),(BX$31*'Incremental Repayments'!$I$22)/(BX10*1000000/1000),0)</f>
        <v>0</v>
      </c>
      <c r="BY44" s="573">
        <f>IF(AND('Incremental Repayments'!$R$22="Pay-Go",BY$31&gt;0),(BY$31*'Incremental Repayments'!$I$22)/(BY10*1000000/1000),0)</f>
        <v>0</v>
      </c>
      <c r="BZ44" s="573">
        <f>IF(AND('Incremental Repayments'!$R$22="Pay-Go",BZ$31&gt;0),(BZ$31*'Incremental Repayments'!$I$22)/(BZ10*1000000/1000),0)</f>
        <v>0</v>
      </c>
      <c r="CA44" s="573">
        <f>IF(AND('Incremental Repayments'!$R$22="Pay-Go",CA$31&gt;0),(CA$31*'Incremental Repayments'!$I$22)/(CA10*1000000/1000),0)</f>
        <v>0</v>
      </c>
      <c r="CB44" s="573">
        <f>IF(AND('Incremental Repayments'!$R$22="Pay-Go",CB$31&gt;0),(CB$31*'Incremental Repayments'!$I$22)/(CB10*1000000/1000),0)</f>
        <v>0</v>
      </c>
      <c r="CC44" s="573">
        <f>IF(AND('Incremental Repayments'!$R$22="Pay-Go",CC$31&gt;0),(CC$31*'Incremental Repayments'!$I$22)/(CC10*1000000/1000),0)</f>
        <v>0</v>
      </c>
      <c r="CD44" s="573">
        <f>IF(AND('Incremental Repayments'!$R$22="Pay-Go",CD$31&gt;0),(CD$31*'Incremental Repayments'!$I$22)/(CD10*1000000/1000),0)</f>
        <v>0</v>
      </c>
      <c r="CE44" s="573">
        <f>IF(AND('Incremental Repayments'!$R$22="Pay-Go",CE$31&gt;0),(CE$31*'Incremental Repayments'!$I$22)/(CE10*1000000/1000),0)</f>
        <v>0</v>
      </c>
      <c r="CF44" s="573">
        <f>IF(AND('Incremental Repayments'!$R$22="Pay-Go",CF$31&gt;0),(CF$31*'Incremental Repayments'!$I$22)/(CF10*1000000/1000),0)</f>
        <v>0</v>
      </c>
      <c r="CG44" s="573">
        <f>IF(AND('Incremental Repayments'!$R$22="Pay-Go",CG$31&gt;0),(CG$31*'Incremental Repayments'!$I$22)/(CG10*1000000/1000),0)</f>
        <v>0</v>
      </c>
      <c r="CH44" s="573">
        <f>IF(AND('Incremental Repayments'!$R$22="Pay-Go",CH$31&gt;0),(CH$31*'Incremental Repayments'!$I$22)/(CH10*1000000/1000),0)</f>
        <v>0</v>
      </c>
      <c r="CI44" s="573">
        <f>IF(AND('Incremental Repayments'!$R$22="Pay-Go",CI$31&gt;0),(CI$31*'Incremental Repayments'!$I$22)/(CI10*1000000/1000),0)</f>
        <v>0</v>
      </c>
      <c r="CJ44" s="573">
        <f>IF(AND('Incremental Repayments'!$R$22="Pay-Go",CJ$31&gt;0),(CJ$31*'Incremental Repayments'!$I$22)/(CJ10*1000000/1000),0)</f>
        <v>0</v>
      </c>
      <c r="CK44" s="573">
        <f>IF(AND('Incremental Repayments'!$R$22="Pay-Go",CK$31&gt;0),(CK$31*'Incremental Repayments'!$I$22)/(CK10*1000000/1000),0)</f>
        <v>0</v>
      </c>
      <c r="CL44" s="573">
        <f>IF(AND('Incremental Repayments'!$R$22="Pay-Go",CL$31&gt;0),(CL$31*'Incremental Repayments'!$I$22)/(CL10*1000000/1000),0)</f>
        <v>0</v>
      </c>
      <c r="CM44" s="573">
        <f>IF(AND('Incremental Repayments'!$R$22="Pay-Go",CM$31&gt;0),(CM$31*'Incremental Repayments'!$I$22)/(CM10*1000000/1000),0)</f>
        <v>0</v>
      </c>
      <c r="CN44" s="573">
        <f>IF(AND('Incremental Repayments'!$R$22="Pay-Go",CN$31&gt;0),(CN$31*'Incremental Repayments'!$I$22)/(CN10*1000000/1000),0)</f>
        <v>0</v>
      </c>
      <c r="CO44" s="573">
        <f>IF(AND('Incremental Repayments'!$R$22="Pay-Go",CO$31&gt;0),(CO$31*'Incremental Repayments'!$I$22)/(CO10*1000000/1000),0)</f>
        <v>0</v>
      </c>
      <c r="CP44" s="573">
        <f>IF(AND('Incremental Repayments'!$R$22="Pay-Go",CP$31&gt;0),(CP$31*'Incremental Repayments'!$I$22)/(CP10*1000000/1000),0)</f>
        <v>0</v>
      </c>
      <c r="CQ44" s="573">
        <f>IF(AND('Incremental Repayments'!$R$22="Pay-Go",CQ$31&gt;0),(CQ$31*'Incremental Repayments'!$I$22)/(CQ10*1000000/1000),0)</f>
        <v>0</v>
      </c>
      <c r="CR44" s="573">
        <f>IF(AND('Incremental Repayments'!$R$22="Pay-Go",CR$31&gt;0),(CR$31*'Incremental Repayments'!$I$22)/(CR10*1000000/1000),0)</f>
        <v>0</v>
      </c>
      <c r="CS44" s="573">
        <f>IF(AND('Incremental Repayments'!$R$22="Pay-Go",CS$31&gt;0),(CS$31*'Incremental Repayments'!$I$22)/(CS10*1000000/1000),0)</f>
        <v>0</v>
      </c>
      <c r="CT44" s="573">
        <f>IF(AND('Incremental Repayments'!$R$22="Pay-Go",CT$31&gt;0),(CT$31*'Incremental Repayments'!$I$22)/(CT10*1000000/1000),0)</f>
        <v>0</v>
      </c>
      <c r="CU44" s="573">
        <f>IF(AND('Incremental Repayments'!$R$22="Pay-Go",CU$31&gt;0),(CU$31*'Incremental Repayments'!$I$22)/(CU10*1000000/1000),0)</f>
        <v>0</v>
      </c>
      <c r="CV44" s="573">
        <f>IF(AND('Incremental Repayments'!$R$22="Pay-Go",CV$31&gt;0),(CV$31*'Incremental Repayments'!$I$22)/(CV10*1000000/1000),0)</f>
        <v>0</v>
      </c>
      <c r="CW44" s="573">
        <f>IF(AND('Incremental Repayments'!$R$22="Pay-Go",CW$31&gt;0),(CW$31*'Incremental Repayments'!$I$22)/(CW10*1000000/1000),0)</f>
        <v>0</v>
      </c>
      <c r="CX44" s="573">
        <f>IF(AND('Incremental Repayments'!$R$22="Pay-Go",CX$31&gt;0),(CX$31*'Incremental Repayments'!$I$22)/(CX10*1000000/1000),0)</f>
        <v>0</v>
      </c>
      <c r="CY44" s="573">
        <f>IF(AND('Incremental Repayments'!$R$22="Pay-Go",CY$31&gt;0),(CY$31*'Incremental Repayments'!$I$22)/(CY10*1000000/1000),0)</f>
        <v>0</v>
      </c>
      <c r="CZ44" s="573">
        <f>IF(AND('Incremental Repayments'!$R$22="Pay-Go",CZ$31&gt;0),(CZ$31*'Incremental Repayments'!$I$22)/(CZ10*1000000/1000),0)</f>
        <v>0</v>
      </c>
    </row>
    <row r="45" spans="1:104" x14ac:dyDescent="0.25">
      <c r="A45" s="472"/>
      <c r="C45" s="609" t="s">
        <v>371</v>
      </c>
      <c r="E45" s="477">
        <f t="shared" ref="E45:BP45" si="36">E44*E10*1000</f>
        <v>0</v>
      </c>
      <c r="F45" s="477">
        <f t="shared" si="36"/>
        <v>0</v>
      </c>
      <c r="G45" s="477">
        <f t="shared" si="36"/>
        <v>0</v>
      </c>
      <c r="H45" s="477">
        <f t="shared" si="36"/>
        <v>0</v>
      </c>
      <c r="I45" s="477">
        <f t="shared" si="36"/>
        <v>0</v>
      </c>
      <c r="J45" s="477">
        <f t="shared" si="36"/>
        <v>0</v>
      </c>
      <c r="K45" s="477">
        <f t="shared" si="36"/>
        <v>0</v>
      </c>
      <c r="L45" s="477">
        <f t="shared" si="36"/>
        <v>0</v>
      </c>
      <c r="M45" s="477">
        <f t="shared" si="36"/>
        <v>0</v>
      </c>
      <c r="N45" s="477">
        <f t="shared" si="36"/>
        <v>0</v>
      </c>
      <c r="O45" s="477">
        <f t="shared" si="36"/>
        <v>0</v>
      </c>
      <c r="P45" s="477">
        <f t="shared" si="36"/>
        <v>0</v>
      </c>
      <c r="Q45" s="477">
        <f t="shared" si="36"/>
        <v>0</v>
      </c>
      <c r="R45" s="477">
        <f t="shared" si="36"/>
        <v>0</v>
      </c>
      <c r="S45" s="477">
        <f t="shared" si="36"/>
        <v>0</v>
      </c>
      <c r="T45" s="477">
        <f t="shared" si="36"/>
        <v>0</v>
      </c>
      <c r="U45" s="477">
        <f t="shared" si="36"/>
        <v>0</v>
      </c>
      <c r="V45" s="477">
        <f t="shared" si="36"/>
        <v>0</v>
      </c>
      <c r="W45" s="477">
        <f t="shared" si="36"/>
        <v>0</v>
      </c>
      <c r="X45" s="477">
        <f t="shared" si="36"/>
        <v>0</v>
      </c>
      <c r="Y45" s="477">
        <f t="shared" si="36"/>
        <v>0</v>
      </c>
      <c r="Z45" s="477">
        <f t="shared" si="36"/>
        <v>0</v>
      </c>
      <c r="AA45" s="477">
        <f t="shared" si="36"/>
        <v>0</v>
      </c>
      <c r="AB45" s="477">
        <f t="shared" si="36"/>
        <v>0</v>
      </c>
      <c r="AC45" s="477">
        <f t="shared" si="36"/>
        <v>0</v>
      </c>
      <c r="AD45" s="477">
        <f t="shared" si="36"/>
        <v>0</v>
      </c>
      <c r="AE45" s="477">
        <f t="shared" si="36"/>
        <v>0</v>
      </c>
      <c r="AF45" s="477">
        <f t="shared" si="36"/>
        <v>0</v>
      </c>
      <c r="AG45" s="477">
        <f t="shared" si="36"/>
        <v>0</v>
      </c>
      <c r="AH45" s="477">
        <f t="shared" si="36"/>
        <v>0</v>
      </c>
      <c r="AI45" s="477">
        <f t="shared" si="36"/>
        <v>0</v>
      </c>
      <c r="AJ45" s="477">
        <f t="shared" si="36"/>
        <v>0</v>
      </c>
      <c r="AK45" s="477">
        <f t="shared" si="36"/>
        <v>0</v>
      </c>
      <c r="AL45" s="477">
        <f t="shared" si="36"/>
        <v>0</v>
      </c>
      <c r="AM45" s="477">
        <f t="shared" si="36"/>
        <v>0</v>
      </c>
      <c r="AN45" s="477">
        <f t="shared" si="36"/>
        <v>0</v>
      </c>
      <c r="AO45" s="477">
        <f t="shared" si="36"/>
        <v>0</v>
      </c>
      <c r="AP45" s="477">
        <f t="shared" si="36"/>
        <v>0</v>
      </c>
      <c r="AQ45" s="477">
        <f t="shared" si="36"/>
        <v>0</v>
      </c>
      <c r="AR45" s="477">
        <f t="shared" si="36"/>
        <v>0</v>
      </c>
      <c r="AS45" s="477">
        <f t="shared" si="36"/>
        <v>0</v>
      </c>
      <c r="AT45" s="477">
        <f t="shared" si="36"/>
        <v>0</v>
      </c>
      <c r="AU45" s="477">
        <f t="shared" si="36"/>
        <v>0</v>
      </c>
      <c r="AV45" s="477">
        <f t="shared" si="36"/>
        <v>0</v>
      </c>
      <c r="AW45" s="477">
        <f t="shared" si="36"/>
        <v>0</v>
      </c>
      <c r="AX45" s="477">
        <f t="shared" si="36"/>
        <v>0</v>
      </c>
      <c r="AY45" s="477">
        <f t="shared" si="36"/>
        <v>0</v>
      </c>
      <c r="AZ45" s="477">
        <f t="shared" si="36"/>
        <v>0</v>
      </c>
      <c r="BA45" s="477">
        <f t="shared" si="36"/>
        <v>0</v>
      </c>
      <c r="BB45" s="477">
        <f t="shared" si="36"/>
        <v>0</v>
      </c>
      <c r="BC45" s="477">
        <f t="shared" si="36"/>
        <v>0</v>
      </c>
      <c r="BD45" s="477">
        <f t="shared" si="36"/>
        <v>0</v>
      </c>
      <c r="BE45" s="477">
        <f t="shared" si="36"/>
        <v>0</v>
      </c>
      <c r="BF45" s="477">
        <f t="shared" si="36"/>
        <v>0</v>
      </c>
      <c r="BG45" s="477">
        <f t="shared" si="36"/>
        <v>0</v>
      </c>
      <c r="BH45" s="477">
        <f t="shared" si="36"/>
        <v>0</v>
      </c>
      <c r="BI45" s="477">
        <f t="shared" si="36"/>
        <v>0</v>
      </c>
      <c r="BJ45" s="477">
        <f t="shared" si="36"/>
        <v>0</v>
      </c>
      <c r="BK45" s="477">
        <f t="shared" si="36"/>
        <v>0</v>
      </c>
      <c r="BL45" s="477">
        <f t="shared" si="36"/>
        <v>0</v>
      </c>
      <c r="BM45" s="477">
        <f t="shared" si="36"/>
        <v>0</v>
      </c>
      <c r="BN45" s="477">
        <f t="shared" si="36"/>
        <v>0</v>
      </c>
      <c r="BO45" s="477">
        <f t="shared" si="36"/>
        <v>0</v>
      </c>
      <c r="BP45" s="477">
        <f t="shared" si="36"/>
        <v>0</v>
      </c>
      <c r="BQ45" s="477">
        <f t="shared" ref="BQ45:CZ45" si="37">BQ44*BQ10*1000</f>
        <v>0</v>
      </c>
      <c r="BR45" s="477">
        <f t="shared" si="37"/>
        <v>0</v>
      </c>
      <c r="BS45" s="477">
        <f t="shared" si="37"/>
        <v>0</v>
      </c>
      <c r="BT45" s="477">
        <f t="shared" si="37"/>
        <v>0</v>
      </c>
      <c r="BU45" s="477">
        <f t="shared" si="37"/>
        <v>0</v>
      </c>
      <c r="BV45" s="477">
        <f t="shared" si="37"/>
        <v>0</v>
      </c>
      <c r="BW45" s="477">
        <f t="shared" si="37"/>
        <v>0</v>
      </c>
      <c r="BX45" s="477">
        <f t="shared" si="37"/>
        <v>0</v>
      </c>
      <c r="BY45" s="477">
        <f t="shared" si="37"/>
        <v>0</v>
      </c>
      <c r="BZ45" s="477">
        <f t="shared" si="37"/>
        <v>0</v>
      </c>
      <c r="CA45" s="477">
        <f t="shared" si="37"/>
        <v>0</v>
      </c>
      <c r="CB45" s="477">
        <f t="shared" si="37"/>
        <v>0</v>
      </c>
      <c r="CC45" s="477">
        <f t="shared" si="37"/>
        <v>0</v>
      </c>
      <c r="CD45" s="477">
        <f t="shared" si="37"/>
        <v>0</v>
      </c>
      <c r="CE45" s="477">
        <f t="shared" si="37"/>
        <v>0</v>
      </c>
      <c r="CF45" s="477">
        <f t="shared" si="37"/>
        <v>0</v>
      </c>
      <c r="CG45" s="477">
        <f t="shared" si="37"/>
        <v>0</v>
      </c>
      <c r="CH45" s="477">
        <f t="shared" si="37"/>
        <v>0</v>
      </c>
      <c r="CI45" s="477">
        <f t="shared" si="37"/>
        <v>0</v>
      </c>
      <c r="CJ45" s="477">
        <f t="shared" si="37"/>
        <v>0</v>
      </c>
      <c r="CK45" s="477">
        <f t="shared" si="37"/>
        <v>0</v>
      </c>
      <c r="CL45" s="477">
        <f t="shared" si="37"/>
        <v>0</v>
      </c>
      <c r="CM45" s="477">
        <f t="shared" si="37"/>
        <v>0</v>
      </c>
      <c r="CN45" s="477">
        <f t="shared" si="37"/>
        <v>0</v>
      </c>
      <c r="CO45" s="477">
        <f t="shared" si="37"/>
        <v>0</v>
      </c>
      <c r="CP45" s="477">
        <f t="shared" si="37"/>
        <v>0</v>
      </c>
      <c r="CQ45" s="477">
        <f t="shared" si="37"/>
        <v>0</v>
      </c>
      <c r="CR45" s="477">
        <f t="shared" si="37"/>
        <v>0</v>
      </c>
      <c r="CS45" s="477">
        <f t="shared" si="37"/>
        <v>0</v>
      </c>
      <c r="CT45" s="477">
        <f t="shared" si="37"/>
        <v>0</v>
      </c>
      <c r="CU45" s="477">
        <f t="shared" si="37"/>
        <v>0</v>
      </c>
      <c r="CV45" s="477">
        <f t="shared" si="37"/>
        <v>0</v>
      </c>
      <c r="CW45" s="477">
        <f t="shared" si="37"/>
        <v>0</v>
      </c>
      <c r="CX45" s="477">
        <f t="shared" si="37"/>
        <v>0</v>
      </c>
      <c r="CY45" s="477">
        <f t="shared" si="37"/>
        <v>0</v>
      </c>
      <c r="CZ45" s="477">
        <f t="shared" si="37"/>
        <v>0</v>
      </c>
    </row>
    <row r="46" spans="1:104" s="410" customFormat="1" x14ac:dyDescent="0.25">
      <c r="A46" s="762"/>
      <c r="C46" s="410" t="s">
        <v>517</v>
      </c>
      <c r="E46" s="763">
        <f t="shared" ref="E46:BP46" si="38">IF(E44=0,0,D46+E45)</f>
        <v>0</v>
      </c>
      <c r="F46" s="763">
        <f t="shared" si="38"/>
        <v>0</v>
      </c>
      <c r="G46" s="763">
        <f t="shared" si="38"/>
        <v>0</v>
      </c>
      <c r="H46" s="763">
        <f t="shared" si="38"/>
        <v>0</v>
      </c>
      <c r="I46" s="763">
        <f t="shared" si="38"/>
        <v>0</v>
      </c>
      <c r="J46" s="763">
        <f t="shared" si="38"/>
        <v>0</v>
      </c>
      <c r="K46" s="763">
        <f t="shared" si="38"/>
        <v>0</v>
      </c>
      <c r="L46" s="763">
        <f t="shared" si="38"/>
        <v>0</v>
      </c>
      <c r="M46" s="763">
        <f t="shared" si="38"/>
        <v>0</v>
      </c>
      <c r="N46" s="763">
        <f t="shared" si="38"/>
        <v>0</v>
      </c>
      <c r="O46" s="763">
        <f t="shared" si="38"/>
        <v>0</v>
      </c>
      <c r="P46" s="763">
        <f t="shared" si="38"/>
        <v>0</v>
      </c>
      <c r="Q46" s="763">
        <f t="shared" si="38"/>
        <v>0</v>
      </c>
      <c r="R46" s="763">
        <f t="shared" si="38"/>
        <v>0</v>
      </c>
      <c r="S46" s="763">
        <f t="shared" si="38"/>
        <v>0</v>
      </c>
      <c r="T46" s="763">
        <f t="shared" si="38"/>
        <v>0</v>
      </c>
      <c r="U46" s="763">
        <f t="shared" si="38"/>
        <v>0</v>
      </c>
      <c r="V46" s="763">
        <f t="shared" si="38"/>
        <v>0</v>
      </c>
      <c r="W46" s="763">
        <f t="shared" si="38"/>
        <v>0</v>
      </c>
      <c r="X46" s="763">
        <f t="shared" si="38"/>
        <v>0</v>
      </c>
      <c r="Y46" s="763">
        <f t="shared" si="38"/>
        <v>0</v>
      </c>
      <c r="Z46" s="763">
        <f t="shared" si="38"/>
        <v>0</v>
      </c>
      <c r="AA46" s="763">
        <f t="shared" si="38"/>
        <v>0</v>
      </c>
      <c r="AB46" s="763">
        <f t="shared" si="38"/>
        <v>0</v>
      </c>
      <c r="AC46" s="763">
        <f t="shared" si="38"/>
        <v>0</v>
      </c>
      <c r="AD46" s="763">
        <f t="shared" si="38"/>
        <v>0</v>
      </c>
      <c r="AE46" s="763">
        <f t="shared" si="38"/>
        <v>0</v>
      </c>
      <c r="AF46" s="763">
        <f t="shared" si="38"/>
        <v>0</v>
      </c>
      <c r="AG46" s="763">
        <f t="shared" si="38"/>
        <v>0</v>
      </c>
      <c r="AH46" s="763">
        <f t="shared" si="38"/>
        <v>0</v>
      </c>
      <c r="AI46" s="763">
        <f t="shared" si="38"/>
        <v>0</v>
      </c>
      <c r="AJ46" s="763">
        <f t="shared" si="38"/>
        <v>0</v>
      </c>
      <c r="AK46" s="763">
        <f t="shared" si="38"/>
        <v>0</v>
      </c>
      <c r="AL46" s="763">
        <f t="shared" si="38"/>
        <v>0</v>
      </c>
      <c r="AM46" s="763">
        <f t="shared" si="38"/>
        <v>0</v>
      </c>
      <c r="AN46" s="763">
        <f t="shared" si="38"/>
        <v>0</v>
      </c>
      <c r="AO46" s="763">
        <f t="shared" si="38"/>
        <v>0</v>
      </c>
      <c r="AP46" s="763">
        <f t="shared" si="38"/>
        <v>0</v>
      </c>
      <c r="AQ46" s="763">
        <f t="shared" si="38"/>
        <v>0</v>
      </c>
      <c r="AR46" s="763">
        <f t="shared" si="38"/>
        <v>0</v>
      </c>
      <c r="AS46" s="763">
        <f t="shared" si="38"/>
        <v>0</v>
      </c>
      <c r="AT46" s="763">
        <f t="shared" si="38"/>
        <v>0</v>
      </c>
      <c r="AU46" s="763">
        <f t="shared" si="38"/>
        <v>0</v>
      </c>
      <c r="AV46" s="763">
        <f t="shared" si="38"/>
        <v>0</v>
      </c>
      <c r="AW46" s="763">
        <f t="shared" si="38"/>
        <v>0</v>
      </c>
      <c r="AX46" s="763">
        <f t="shared" si="38"/>
        <v>0</v>
      </c>
      <c r="AY46" s="763">
        <f t="shared" si="38"/>
        <v>0</v>
      </c>
      <c r="AZ46" s="763">
        <f t="shared" si="38"/>
        <v>0</v>
      </c>
      <c r="BA46" s="763">
        <f t="shared" si="38"/>
        <v>0</v>
      </c>
      <c r="BB46" s="763">
        <f t="shared" si="38"/>
        <v>0</v>
      </c>
      <c r="BC46" s="763">
        <f t="shared" si="38"/>
        <v>0</v>
      </c>
      <c r="BD46" s="763">
        <f t="shared" si="38"/>
        <v>0</v>
      </c>
      <c r="BE46" s="763">
        <f t="shared" si="38"/>
        <v>0</v>
      </c>
      <c r="BF46" s="763">
        <f t="shared" si="38"/>
        <v>0</v>
      </c>
      <c r="BG46" s="763">
        <f t="shared" si="38"/>
        <v>0</v>
      </c>
      <c r="BH46" s="763">
        <f t="shared" si="38"/>
        <v>0</v>
      </c>
      <c r="BI46" s="763">
        <f t="shared" si="38"/>
        <v>0</v>
      </c>
      <c r="BJ46" s="763">
        <f t="shared" si="38"/>
        <v>0</v>
      </c>
      <c r="BK46" s="763">
        <f t="shared" si="38"/>
        <v>0</v>
      </c>
      <c r="BL46" s="763">
        <f t="shared" si="38"/>
        <v>0</v>
      </c>
      <c r="BM46" s="763">
        <f t="shared" si="38"/>
        <v>0</v>
      </c>
      <c r="BN46" s="763">
        <f t="shared" si="38"/>
        <v>0</v>
      </c>
      <c r="BO46" s="763">
        <f t="shared" si="38"/>
        <v>0</v>
      </c>
      <c r="BP46" s="763">
        <f t="shared" si="38"/>
        <v>0</v>
      </c>
      <c r="BQ46" s="763">
        <f t="shared" ref="BQ46:CZ46" si="39">IF(BQ44=0,0,BP46+BQ45)</f>
        <v>0</v>
      </c>
      <c r="BR46" s="763">
        <f t="shared" si="39"/>
        <v>0</v>
      </c>
      <c r="BS46" s="763">
        <f t="shared" si="39"/>
        <v>0</v>
      </c>
      <c r="BT46" s="763">
        <f t="shared" si="39"/>
        <v>0</v>
      </c>
      <c r="BU46" s="763">
        <f t="shared" si="39"/>
        <v>0</v>
      </c>
      <c r="BV46" s="763">
        <f t="shared" si="39"/>
        <v>0</v>
      </c>
      <c r="BW46" s="763">
        <f t="shared" si="39"/>
        <v>0</v>
      </c>
      <c r="BX46" s="763">
        <f t="shared" si="39"/>
        <v>0</v>
      </c>
      <c r="BY46" s="763">
        <f t="shared" si="39"/>
        <v>0</v>
      </c>
      <c r="BZ46" s="763">
        <f t="shared" si="39"/>
        <v>0</v>
      </c>
      <c r="CA46" s="763">
        <f t="shared" si="39"/>
        <v>0</v>
      </c>
      <c r="CB46" s="763">
        <f t="shared" si="39"/>
        <v>0</v>
      </c>
      <c r="CC46" s="763">
        <f t="shared" si="39"/>
        <v>0</v>
      </c>
      <c r="CD46" s="763">
        <f t="shared" si="39"/>
        <v>0</v>
      </c>
      <c r="CE46" s="763">
        <f t="shared" si="39"/>
        <v>0</v>
      </c>
      <c r="CF46" s="763">
        <f t="shared" si="39"/>
        <v>0</v>
      </c>
      <c r="CG46" s="763">
        <f t="shared" si="39"/>
        <v>0</v>
      </c>
      <c r="CH46" s="763">
        <f t="shared" si="39"/>
        <v>0</v>
      </c>
      <c r="CI46" s="763">
        <f t="shared" si="39"/>
        <v>0</v>
      </c>
      <c r="CJ46" s="763">
        <f t="shared" si="39"/>
        <v>0</v>
      </c>
      <c r="CK46" s="763">
        <f t="shared" si="39"/>
        <v>0</v>
      </c>
      <c r="CL46" s="763">
        <f t="shared" si="39"/>
        <v>0</v>
      </c>
      <c r="CM46" s="763">
        <f t="shared" si="39"/>
        <v>0</v>
      </c>
      <c r="CN46" s="763">
        <f t="shared" si="39"/>
        <v>0</v>
      </c>
      <c r="CO46" s="763">
        <f t="shared" si="39"/>
        <v>0</v>
      </c>
      <c r="CP46" s="763">
        <f t="shared" si="39"/>
        <v>0</v>
      </c>
      <c r="CQ46" s="763">
        <f t="shared" si="39"/>
        <v>0</v>
      </c>
      <c r="CR46" s="763">
        <f t="shared" si="39"/>
        <v>0</v>
      </c>
      <c r="CS46" s="763">
        <f t="shared" si="39"/>
        <v>0</v>
      </c>
      <c r="CT46" s="763">
        <f t="shared" si="39"/>
        <v>0</v>
      </c>
      <c r="CU46" s="763">
        <f t="shared" si="39"/>
        <v>0</v>
      </c>
      <c r="CV46" s="763">
        <f t="shared" si="39"/>
        <v>0</v>
      </c>
      <c r="CW46" s="763">
        <f t="shared" si="39"/>
        <v>0</v>
      </c>
      <c r="CX46" s="763">
        <f t="shared" si="39"/>
        <v>0</v>
      </c>
      <c r="CY46" s="763">
        <f t="shared" si="39"/>
        <v>0</v>
      </c>
      <c r="CZ46" s="763">
        <f t="shared" si="39"/>
        <v>0</v>
      </c>
    </row>
    <row r="47" spans="1:104" s="410" customFormat="1" x14ac:dyDescent="0.25">
      <c r="C47" s="759" t="s">
        <v>372</v>
      </c>
      <c r="E47" s="763">
        <f>IF(AND('Incremental Repayments'!$R$25="Pay-Go",E$31&gt;0),(E$31*'Incremental Repayments'!$I$25)/'LPP Act Financing Plan (2)'!E$7,0)</f>
        <v>0</v>
      </c>
      <c r="F47" s="763">
        <f>IF(AND('Incremental Repayments'!$R$25="Pay-Go",F$31&gt;0),(F$31*'Incremental Repayments'!$I$25)/'LPP Act Financing Plan (2)'!F$7,0)</f>
        <v>0</v>
      </c>
      <c r="G47" s="763">
        <f>IF(AND('Incremental Repayments'!$R$25="Pay-Go",G$31&gt;0),(G$31*'Incremental Repayments'!$I$25)/'LPP Act Financing Plan (2)'!G$7,0)</f>
        <v>0</v>
      </c>
      <c r="H47" s="763">
        <f>IF(AND('Incremental Repayments'!$R$25="Pay-Go",H$31&gt;0),(H$31*'Incremental Repayments'!$I$25)/'LPP Act Financing Plan (2)'!H$7,0)</f>
        <v>0</v>
      </c>
      <c r="I47" s="763">
        <f>IF(AND('Incremental Repayments'!$R$25="Pay-Go",I$31&gt;0),(I$31*'Incremental Repayments'!$I$25)/'LPP Act Financing Plan (2)'!I$7,0)</f>
        <v>0</v>
      </c>
      <c r="J47" s="763">
        <f>IF(AND('Incremental Repayments'!$R$25="Pay-Go",J$31&gt;0),(J$31*'Incremental Repayments'!$I$25)/'LPP Act Financing Plan (2)'!J$7,0)</f>
        <v>0</v>
      </c>
      <c r="K47" s="763">
        <f>IF(AND('Incremental Repayments'!$R$25="Pay-Go",K$31&gt;0),(K$31*'Incremental Repayments'!$I$25)/'LPP Act Financing Plan (2)'!K$7,0)</f>
        <v>0</v>
      </c>
      <c r="L47" s="763">
        <f>IF(AND('Incremental Repayments'!$R$25="Pay-Go",L$31&gt;0),(L$31*'Incremental Repayments'!$I$25)/'LPP Act Financing Plan (2)'!L$7,0)</f>
        <v>0</v>
      </c>
      <c r="M47" s="763">
        <f>IF(AND('Incremental Repayments'!$R$25="Pay-Go",M$31&gt;0),(M$31*'Incremental Repayments'!$I$25)/'LPP Act Financing Plan (2)'!M$7,0)</f>
        <v>0</v>
      </c>
      <c r="N47" s="763">
        <f>IF(AND('Incremental Repayments'!$R$25="Pay-Go",N$31&gt;0),(N$31*'Incremental Repayments'!$I$25)/'LPP Act Financing Plan (2)'!N$7,0)</f>
        <v>0</v>
      </c>
      <c r="O47" s="763">
        <f>IF(AND('Incremental Repayments'!$R$25="Pay-Go",O$31&gt;0),(O$31*'Incremental Repayments'!$I$25)/'LPP Act Financing Plan (2)'!O$7,0)</f>
        <v>0</v>
      </c>
      <c r="P47" s="763">
        <f>IF(AND('Incremental Repayments'!$R$25="Pay-Go",P$31&gt;0),(P$31*'Incremental Repayments'!$I$25)/'LPP Act Financing Plan (2)'!P$7,0)</f>
        <v>0</v>
      </c>
      <c r="Q47" s="763">
        <f>IF(AND('Incremental Repayments'!$R$25="Pay-Go",Q$31&gt;0),(Q$31*'Incremental Repayments'!$I$25)/'LPP Act Financing Plan (2)'!Q$7,0)</f>
        <v>0</v>
      </c>
      <c r="R47" s="763">
        <f>IF(AND('Incremental Repayments'!$R$25="Pay-Go",R$31&gt;0),(R$31*'Incremental Repayments'!$I$25)/'LPP Act Financing Plan (2)'!R$7,0)</f>
        <v>0</v>
      </c>
      <c r="S47" s="763">
        <f>IF(AND('Incremental Repayments'!$R$25="Pay-Go",S$31&gt;0),(S$31*'Incremental Repayments'!$I$25)/'LPP Act Financing Plan (2)'!S$7,0)</f>
        <v>0</v>
      </c>
      <c r="T47" s="763">
        <f>IF(AND('Incremental Repayments'!$R$25="Pay-Go",T$31&gt;0),(T$31*'Incremental Repayments'!$I$25)/'LPP Act Financing Plan (2)'!T$7,0)</f>
        <v>0</v>
      </c>
      <c r="U47" s="763">
        <f>IF(AND('Incremental Repayments'!$R$25="Pay-Go",U$31&gt;0),(U$31*'Incremental Repayments'!$I$25)/'LPP Act Financing Plan (2)'!U$7,0)</f>
        <v>0</v>
      </c>
      <c r="V47" s="763">
        <f>IF(AND('Incremental Repayments'!$R$25="Pay-Go",V$31&gt;0),(V$31*'Incremental Repayments'!$I$25)/'LPP Act Financing Plan (2)'!V$7,0)</f>
        <v>0</v>
      </c>
      <c r="W47" s="763">
        <f>IF(AND('Incremental Repayments'!$R$25="Pay-Go",W$31&gt;0),(W$31*'Incremental Repayments'!$I$25)/'LPP Act Financing Plan (2)'!W$7,0)</f>
        <v>4884.2638465667296</v>
      </c>
      <c r="X47" s="763">
        <f>IF(AND('Incremental Repayments'!$R$25="Pay-Go",X$31&gt;0),(X$31*'Incremental Repayments'!$I$25)/'LPP Act Financing Plan (2)'!X$7,0)</f>
        <v>14357.130722092135</v>
      </c>
      <c r="Y47" s="763">
        <f>IF(AND('Incremental Repayments'!$R$25="Pay-Go",Y$31&gt;0),(Y$31*'Incremental Repayments'!$I$25)/'LPP Act Financing Plan (2)'!Y$7,0)</f>
        <v>23600.1247075869</v>
      </c>
      <c r="Z47" s="763">
        <f>IF(AND('Incremental Repayments'!$R$25="Pay-Go",Z$31&gt;0),(Z$31*'Incremental Repayments'!$I$25)/'LPP Act Financing Plan (2)'!Z$7,0)</f>
        <v>31945.5693418886</v>
      </c>
      <c r="AA47" s="763">
        <f>IF(AND('Incremental Repayments'!$R$25="Pay-Go",AA$31&gt;0),(AA$31*'Incremental Repayments'!$I$25)/'LPP Act Financing Plan (2)'!AA$7,0)</f>
        <v>38770.521025472379</v>
      </c>
      <c r="AB47" s="763">
        <f>IF(AND('Incremental Repayments'!$R$25="Pay-Go",AB$31&gt;0),(AB$31*'Incremental Repayments'!$I$25)/'LPP Act Financing Plan (2)'!AB$7,0)</f>
        <v>43576.12481175729</v>
      </c>
      <c r="AC47" s="763">
        <f>IF(AND('Incremental Repayments'!$R$25="Pay-Go",AC$31&gt;0),(AC$31*'Incremental Repayments'!$I$25)/'LPP Act Financing Plan (2)'!AC$7,0)</f>
        <v>46055.47272593934</v>
      </c>
      <c r="AD47" s="763">
        <f>IF(AND('Incremental Repayments'!$R$25="Pay-Go",AD$31&gt;0),(AD$31*'Incremental Repayments'!$I$25)/'LPP Act Financing Plan (2)'!AD$7,0)</f>
        <v>46136.843968423265</v>
      </c>
      <c r="AE47" s="763">
        <f>IF(AND('Incremental Repayments'!$R$25="Pay-Go",AE$31&gt;0),(AE$31*'Incremental Repayments'!$I$25)/'LPP Act Financing Plan (2)'!AE$7,0)</f>
        <v>43992.728377364161</v>
      </c>
      <c r="AF47" s="763">
        <f>IF(AND('Incremental Repayments'!$R$25="Pay-Go",AF$31&gt;0),(AF$31*'Incremental Repayments'!$I$25)/'LPP Act Financing Plan (2)'!AF$7,0)</f>
        <v>40011.255515519013</v>
      </c>
      <c r="AG47" s="763">
        <f>IF(AND('Incremental Repayments'!$R$25="Pay-Go",AG$31&gt;0),(AG$31*'Incremental Repayments'!$I$25)/'LPP Act Financing Plan (2)'!AG$7,0)</f>
        <v>34734.320856816623</v>
      </c>
      <c r="AH47" s="763">
        <f>IF(AND('Incremental Repayments'!$R$25="Pay-Go",AH$31&gt;0),(AH$31*'Incremental Repayments'!$I$25)/'LPP Act Financing Plan (2)'!AH$7,0)</f>
        <v>28773.94132881079</v>
      </c>
      <c r="AI47" s="763">
        <f>IF(AND('Incremental Repayments'!$R$25="Pay-Go",AI$31&gt;0),(AI$31*'Incremental Repayments'!$I$25)/'LPP Act Financing Plan (2)'!AI$7,0)</f>
        <v>22723.186149349378</v>
      </c>
      <c r="AJ47" s="763">
        <f>IF(AND('Incremental Repayments'!$R$25="Pay-Go",AJ$31&gt;0),(AJ$31*'Incremental Repayments'!$I$25)/'LPP Act Financing Plan (2)'!AJ$7,0)</f>
        <v>17078.937142011284</v>
      </c>
      <c r="AK47" s="763">
        <f>IF(AND('Incremental Repayments'!$R$25="Pay-Go",AK$31&gt;0),(AK$31*'Incremental Repayments'!$I$25)/'LPP Act Financing Plan (2)'!AK$7,0)</f>
        <v>12190.336069645939</v>
      </c>
      <c r="AL47" s="763">
        <f>IF(AND('Incremental Repayments'!$R$25="Pay-Go",AL$31&gt;0),(AL$31*'Incremental Repayments'!$I$25)/'LPP Act Financing Plan (2)'!AL$7,0)</f>
        <v>8239.991208997164</v>
      </c>
      <c r="AM47" s="763">
        <f>IF(AND('Incremental Repayments'!$R$25="Pay-Go",AM$31&gt;0),(AM$31*'Incremental Repayments'!$I$25)/'LPP Act Financing Plan (2)'!AM$7,0)</f>
        <v>5256.8442091666238</v>
      </c>
      <c r="AN47" s="763">
        <f>IF(AND('Incremental Repayments'!$R$25="Pay-Go",AN$31&gt;0),(AN$31*'Incremental Repayments'!$I$25)/'LPP Act Financing Plan (2)'!AN$7,0)</f>
        <v>3175.8652169863835</v>
      </c>
      <c r="AO47" s="763">
        <f>IF(AND('Incremental Repayments'!$R$25="Pay-Go",AO$31&gt;0),(AO$31*'Incremental Repayments'!$I$25)/'LPP Act Financing Plan (2)'!AO$7,0)</f>
        <v>1781.1934063298488</v>
      </c>
      <c r="AP47" s="763">
        <f>IF(AND('Incremental Repayments'!$R$25="Pay-Go",AP$31&gt;0),(AP$31*'Incremental Repayments'!$I$25)/'LPP Act Financing Plan (2)'!AP$7,0)</f>
        <v>920.80449025882638</v>
      </c>
      <c r="AQ47" s="763">
        <f>IF(AND('Incremental Repayments'!$R$25="Pay-Go",AQ$31&gt;0),(AQ$31*'Incremental Repayments'!$I$25)/'LPP Act Financing Plan (2)'!AQ$7,0)</f>
        <v>434.9347169018402</v>
      </c>
      <c r="AR47" s="763">
        <f>IF(AND('Incremental Repayments'!$R$25="Pay-Go",AR$31&gt;0),(AR$31*'Incremental Repayments'!$I$25)/'LPP Act Financing Plan (2)'!AR$7,0)</f>
        <v>185.67456636567312</v>
      </c>
      <c r="AS47" s="763">
        <f>IF(AND('Incremental Repayments'!$R$25="Pay-Go",AS$31&gt;0),(AS$31*'Incremental Repayments'!$I$25)/'LPP Act Financing Plan (2)'!AS$7,0)</f>
        <v>70.658953880953121</v>
      </c>
      <c r="AT47" s="763">
        <f>IF(AND('Incremental Repayments'!$R$25="Pay-Go",AT$31&gt;0),(AT$31*'Incremental Repayments'!$I$25)/'LPP Act Financing Plan (2)'!AT$7,0)</f>
        <v>23.544698297314362</v>
      </c>
      <c r="AU47" s="763">
        <f>IF(AND('Incremental Repayments'!$R$25="Pay-Go",AU$31&gt;0),(AU$31*'Incremental Repayments'!$I$25)/'LPP Act Financing Plan (2)'!AU$7,0)</f>
        <v>6.7060370745945601</v>
      </c>
      <c r="AV47" s="763">
        <f>IF(AND('Incremental Repayments'!$R$25="Pay-Go",AV$31&gt;0),(AV$31*'Incremental Repayments'!$I$25)/'LPP Act Financing Plan (2)'!AV$7,0)</f>
        <v>1.5779537153811032</v>
      </c>
      <c r="AW47" s="763">
        <f>IF(AND('Incremental Repayments'!$R$25="Pay-Go",AW$31&gt;0),(AW$31*'Incremental Repayments'!$I$25)/'LPP Act Financing Plan (2)'!AW$7,0)</f>
        <v>0.29129027418346853</v>
      </c>
      <c r="AX47" s="763">
        <f>IF(AND('Incremental Repayments'!$R$25="Pay-Go",AX$31&gt;0),(AX$31*'Incremental Repayments'!$I$25)/'LPP Act Financing Plan (2)'!AX$7,0)</f>
        <v>3.8640290794197646E-2</v>
      </c>
      <c r="AY47" s="763">
        <f>IF(AND('Incremental Repayments'!$R$25="Pay-Go",AY$31&gt;0),(AY$31*'Incremental Repayments'!$I$25)/'LPP Act Financing Plan (2)'!AY$7,0)</f>
        <v>3.0681549704684231E-3</v>
      </c>
      <c r="AZ47" s="763">
        <f>IF(AND('Incremental Repayments'!$R$25="Pay-Go",AZ$31&gt;0),(AZ$31*'Incremental Repayments'!$I$25)/'LPP Act Financing Plan (2)'!AZ$7,0)</f>
        <v>7.392224667061483E-5</v>
      </c>
      <c r="BA47" s="763">
        <f>IF(AND('Incremental Repayments'!$R$25="Pay-Go",BA$31&gt;0),(BA$31*'Incremental Repayments'!$I$25)/'LPP Act Financing Plan (2)'!BA$7,0)</f>
        <v>0</v>
      </c>
      <c r="BB47" s="763">
        <f>IF(AND('Incremental Repayments'!$R$25="Pay-Go",BB$31&gt;0),(BB$31*'Incremental Repayments'!$I$25)/'LPP Act Financing Plan (2)'!BB$7,0)</f>
        <v>0</v>
      </c>
      <c r="BC47" s="763">
        <f>IF(AND('Incremental Repayments'!$R$25="Pay-Go",BC$31&gt;0),(BC$31*'Incremental Repayments'!$I$25)/'LPP Act Financing Plan (2)'!BC$7,0)</f>
        <v>0</v>
      </c>
      <c r="BD47" s="763">
        <f>IF(AND('Incremental Repayments'!$R$25="Pay-Go",BD$31&gt;0),(BD$31*'Incremental Repayments'!$I$25)/'LPP Act Financing Plan (2)'!BD$7,0)</f>
        <v>0</v>
      </c>
      <c r="BE47" s="763">
        <f>IF(AND('Incremental Repayments'!$R$25="Pay-Go",BE$31&gt;0),(BE$31*'Incremental Repayments'!$I$25)/'LPP Act Financing Plan (2)'!BE$7,0)</f>
        <v>0</v>
      </c>
      <c r="BF47" s="763">
        <f>IF(AND('Incremental Repayments'!$R$25="Pay-Go",BF$31&gt;0),(BF$31*'Incremental Repayments'!$I$25)/'LPP Act Financing Plan (2)'!BF$7,0)</f>
        <v>0</v>
      </c>
      <c r="BG47" s="763">
        <f>IF(AND('Incremental Repayments'!$R$25="Pay-Go",BG$31&gt;0),(BG$31*'Incremental Repayments'!$I$25)/'LPP Act Financing Plan (2)'!BG$7,0)</f>
        <v>0</v>
      </c>
      <c r="BH47" s="763">
        <f>IF(AND('Incremental Repayments'!$R$25="Pay-Go",BH$31&gt;0),(BH$31*'Incremental Repayments'!$I$25)/'LPP Act Financing Plan (2)'!BH$7,0)</f>
        <v>0</v>
      </c>
      <c r="BI47" s="763">
        <f>IF(AND('Incremental Repayments'!$R$25="Pay-Go",BI$31&gt;0),(BI$31*'Incremental Repayments'!$I$25)/'LPP Act Financing Plan (2)'!BI$7,0)</f>
        <v>0</v>
      </c>
      <c r="BJ47" s="763">
        <f>IF(AND('Incremental Repayments'!$R$25="Pay-Go",BJ$31&gt;0),(BJ$31*'Incremental Repayments'!$I$25)/'LPP Act Financing Plan (2)'!BJ$7,0)</f>
        <v>0</v>
      </c>
      <c r="BK47" s="763">
        <f>IF(AND('Incremental Repayments'!$R$25="Pay-Go",BK$31&gt;0),(BK$31*'Incremental Repayments'!$I$25)/'LPP Act Financing Plan (2)'!BK$7,0)</f>
        <v>0</v>
      </c>
      <c r="BL47" s="763">
        <f>IF(AND('Incremental Repayments'!$R$25="Pay-Go",BL$31&gt;0),(BL$31*'Incremental Repayments'!$I$25)/'LPP Act Financing Plan (2)'!BL$7,0)</f>
        <v>0</v>
      </c>
      <c r="BM47" s="763">
        <f>IF(AND('Incremental Repayments'!$R$25="Pay-Go",BM$31&gt;0),(BM$31*'Incremental Repayments'!$I$25)/'LPP Act Financing Plan (2)'!BM$7,0)</f>
        <v>0</v>
      </c>
      <c r="BN47" s="763">
        <f>IF(AND('Incremental Repayments'!$R$25="Pay-Go",BN$31&gt;0),(BN$31*'Incremental Repayments'!$I$25)/'LPP Act Financing Plan (2)'!BN$7,0)</f>
        <v>0</v>
      </c>
      <c r="BO47" s="763">
        <f>IF(AND('Incremental Repayments'!$R$25="Pay-Go",BO$31&gt;0),(BO$31*'Incremental Repayments'!$I$25)/'LPP Act Financing Plan (2)'!BO$7,0)</f>
        <v>0</v>
      </c>
      <c r="BP47" s="763">
        <f>IF(AND('Incremental Repayments'!$R$25="Pay-Go",BP$31&gt;0),(BP$31*'Incremental Repayments'!$I$25)/'LPP Act Financing Plan (2)'!BP$7,0)</f>
        <v>0</v>
      </c>
      <c r="BQ47" s="763">
        <f>IF(AND('Incremental Repayments'!$R$25="Pay-Go",BQ$31&gt;0),(BQ$31*'Incremental Repayments'!$I$25)/'LPP Act Financing Plan (2)'!BQ$7,0)</f>
        <v>0</v>
      </c>
      <c r="BR47" s="763">
        <f>IF(AND('Incremental Repayments'!$R$25="Pay-Go",BR$31&gt;0),(BR$31*'Incremental Repayments'!$I$25)/'LPP Act Financing Plan (2)'!BR$7,0)</f>
        <v>0</v>
      </c>
      <c r="BS47" s="763">
        <f>IF(AND('Incremental Repayments'!$R$25="Pay-Go",BS$31&gt;0),(BS$31*'Incremental Repayments'!$I$25)/'LPP Act Financing Plan (2)'!BS$7,0)</f>
        <v>0</v>
      </c>
      <c r="BT47" s="763">
        <f>IF(AND('Incremental Repayments'!$R$25="Pay-Go",BT$31&gt;0),(BT$31*'Incremental Repayments'!$I$25)/'LPP Act Financing Plan (2)'!BT$7,0)</f>
        <v>0</v>
      </c>
      <c r="BU47" s="763">
        <f>IF(AND('Incremental Repayments'!$R$25="Pay-Go",BU$31&gt;0),(BU$31*'Incremental Repayments'!$I$25)/'LPP Act Financing Plan (2)'!BU$7,0)</f>
        <v>0</v>
      </c>
      <c r="BV47" s="763">
        <f>IF(AND('Incremental Repayments'!$R$25="Pay-Go",BV$31&gt;0),(BV$31*'Incremental Repayments'!$I$25)/'LPP Act Financing Plan (2)'!BV$7,0)</f>
        <v>0</v>
      </c>
      <c r="BW47" s="763">
        <f>IF(AND('Incremental Repayments'!$R$25="Pay-Go",BW$31&gt;0),(BW$31*'Incremental Repayments'!$I$25)/'LPP Act Financing Plan (2)'!BW$7,0)</f>
        <v>0</v>
      </c>
      <c r="BX47" s="763">
        <f>IF(AND('Incremental Repayments'!$R$25="Pay-Go",BX$31&gt;0),(BX$31*'Incremental Repayments'!$I$25)/'LPP Act Financing Plan (2)'!BX$7,0)</f>
        <v>0</v>
      </c>
      <c r="BY47" s="763">
        <f>IF(AND('Incremental Repayments'!$R$25="Pay-Go",BY$31&gt;0),(BY$31*'Incremental Repayments'!$I$25)/'LPP Act Financing Plan (2)'!BY$7,0)</f>
        <v>0</v>
      </c>
      <c r="BZ47" s="763">
        <f>IF(AND('Incremental Repayments'!$R$25="Pay-Go",BZ$31&gt;0),(BZ$31*'Incremental Repayments'!$I$25)/'LPP Act Financing Plan (2)'!BZ$7,0)</f>
        <v>0</v>
      </c>
      <c r="CA47" s="763">
        <f>IF(AND('Incremental Repayments'!$R$25="Pay-Go",CA$31&gt;0),(CA$31*'Incremental Repayments'!$I$25)/'LPP Act Financing Plan (2)'!CA$7,0)</f>
        <v>0</v>
      </c>
      <c r="CB47" s="763">
        <f>IF(AND('Incremental Repayments'!$R$25="Pay-Go",CB$31&gt;0),(CB$31*'Incremental Repayments'!$I$25)/'LPP Act Financing Plan (2)'!CB$7,0)</f>
        <v>0</v>
      </c>
      <c r="CC47" s="763">
        <f>IF(AND('Incremental Repayments'!$R$25="Pay-Go",CC$31&gt;0),(CC$31*'Incremental Repayments'!$I$25)/'LPP Act Financing Plan (2)'!CC$7,0)</f>
        <v>0</v>
      </c>
      <c r="CD47" s="763">
        <f>IF(AND('Incremental Repayments'!$R$25="Pay-Go",CD$31&gt;0),(CD$31*'Incremental Repayments'!$I$25)/'LPP Act Financing Plan (2)'!CD$7,0)</f>
        <v>0</v>
      </c>
      <c r="CE47" s="763">
        <f>IF(AND('Incremental Repayments'!$R$25="Pay-Go",CE$31&gt;0),(CE$31*'Incremental Repayments'!$I$25)/'LPP Act Financing Plan (2)'!CE$7,0)</f>
        <v>0</v>
      </c>
      <c r="CF47" s="763">
        <f>IF(AND('Incremental Repayments'!$R$25="Pay-Go",CF$31&gt;0),(CF$31*'Incremental Repayments'!$I$25)/'LPP Act Financing Plan (2)'!CF$7,0)</f>
        <v>0</v>
      </c>
      <c r="CG47" s="763">
        <f>IF(AND('Incremental Repayments'!$R$25="Pay-Go",CG$31&gt;0),(CG$31*'Incremental Repayments'!$I$25)/'LPP Act Financing Plan (2)'!CG$7,0)</f>
        <v>0</v>
      </c>
      <c r="CH47" s="763">
        <f>IF(AND('Incremental Repayments'!$R$25="Pay-Go",CH$31&gt;0),(CH$31*'Incremental Repayments'!$I$25)/'LPP Act Financing Plan (2)'!CH$7,0)</f>
        <v>0</v>
      </c>
      <c r="CI47" s="763">
        <f>IF(AND('Incremental Repayments'!$R$25="Pay-Go",CI$31&gt;0),(CI$31*'Incremental Repayments'!$I$25)/'LPP Act Financing Plan (2)'!CI$7,0)</f>
        <v>0</v>
      </c>
      <c r="CJ47" s="763">
        <f>IF(AND('Incremental Repayments'!$R$25="Pay-Go",CJ$31&gt;0),(CJ$31*'Incremental Repayments'!$I$25)/'LPP Act Financing Plan (2)'!CJ$7,0)</f>
        <v>0</v>
      </c>
      <c r="CK47" s="763">
        <f>IF(AND('Incremental Repayments'!$R$25="Pay-Go",CK$31&gt;0),(CK$31*'Incremental Repayments'!$I$25)/'LPP Act Financing Plan (2)'!CK$7,0)</f>
        <v>0</v>
      </c>
      <c r="CL47" s="763">
        <f>IF(AND('Incremental Repayments'!$R$25="Pay-Go",CL$31&gt;0),(CL$31*'Incremental Repayments'!$I$25)/'LPP Act Financing Plan (2)'!CL$7,0)</f>
        <v>0</v>
      </c>
      <c r="CM47" s="763">
        <f>IF(AND('Incremental Repayments'!$R$25="Pay-Go",CM$31&gt;0),(CM$31*'Incremental Repayments'!$I$25)/'LPP Act Financing Plan (2)'!CM$7,0)</f>
        <v>0</v>
      </c>
      <c r="CN47" s="763">
        <f>IF(AND('Incremental Repayments'!$R$25="Pay-Go",CN$31&gt;0),(CN$31*'Incremental Repayments'!$I$25)/'LPP Act Financing Plan (2)'!CN$7,0)</f>
        <v>0</v>
      </c>
      <c r="CO47" s="763">
        <f>IF(AND('Incremental Repayments'!$R$25="Pay-Go",CO$31&gt;0),(CO$31*'Incremental Repayments'!$I$25)/'LPP Act Financing Plan (2)'!CO$7,0)</f>
        <v>0</v>
      </c>
      <c r="CP47" s="763">
        <f>IF(AND('Incremental Repayments'!$R$25="Pay-Go",CP$31&gt;0),(CP$31*'Incremental Repayments'!$I$25)/'LPP Act Financing Plan (2)'!CP$7,0)</f>
        <v>0</v>
      </c>
      <c r="CQ47" s="763">
        <f>IF(AND('Incremental Repayments'!$R$25="Pay-Go",CQ$31&gt;0),(CQ$31*'Incremental Repayments'!$I$25)/'LPP Act Financing Plan (2)'!CQ$7,0)</f>
        <v>0</v>
      </c>
      <c r="CR47" s="763">
        <f>IF(AND('Incremental Repayments'!$R$25="Pay-Go",CR$31&gt;0),(CR$31*'Incremental Repayments'!$I$25)/'LPP Act Financing Plan (2)'!CR$7,0)</f>
        <v>0</v>
      </c>
      <c r="CS47" s="763">
        <f>IF(AND('Incremental Repayments'!$R$25="Pay-Go",CS$31&gt;0),(CS$31*'Incremental Repayments'!$I$25)/'LPP Act Financing Plan (2)'!CS$7,0)</f>
        <v>0</v>
      </c>
      <c r="CT47" s="763">
        <f>IF(AND('Incremental Repayments'!$R$25="Pay-Go",CT$31&gt;0),(CT$31*'Incremental Repayments'!$I$25)/'LPP Act Financing Plan (2)'!CT$7,0)</f>
        <v>0</v>
      </c>
      <c r="CU47" s="763">
        <f>IF(AND('Incremental Repayments'!$R$25="Pay-Go",CU$31&gt;0),(CU$31*'Incremental Repayments'!$I$25)/'LPP Act Financing Plan (2)'!CU$7,0)</f>
        <v>0</v>
      </c>
      <c r="CV47" s="763">
        <f>IF(AND('Incremental Repayments'!$R$25="Pay-Go",CV$31&gt;0),(CV$31*'Incremental Repayments'!$I$25)/'LPP Act Financing Plan (2)'!CV$7,0)</f>
        <v>0</v>
      </c>
      <c r="CW47" s="763">
        <f>IF(AND('Incremental Repayments'!$R$25="Pay-Go",CW$31&gt;0),(CW$31*'Incremental Repayments'!$I$25)/'LPP Act Financing Plan (2)'!CW$7,0)</f>
        <v>0</v>
      </c>
      <c r="CX47" s="763">
        <f>IF(AND('Incremental Repayments'!$R$25="Pay-Go",CX$31&gt;0),(CX$31*'Incremental Repayments'!$I$25)/'LPP Act Financing Plan (2)'!CX$7,0)</f>
        <v>0</v>
      </c>
      <c r="CY47" s="763">
        <f>IF(AND('Incremental Repayments'!$R$25="Pay-Go",CY$31&gt;0),(CY$31*'Incremental Repayments'!$I$25)/'LPP Act Financing Plan (2)'!CY$7,0)</f>
        <v>0</v>
      </c>
      <c r="CZ47" s="763">
        <f>IF(AND('Incremental Repayments'!$R$25="Pay-Go",CZ$31&gt;0),(CZ$31*'Incremental Repayments'!$I$25)/'LPP Act Financing Plan (2)'!CZ$7,0)</f>
        <v>0</v>
      </c>
    </row>
    <row r="48" spans="1:104" s="410" customFormat="1" x14ac:dyDescent="0.25">
      <c r="C48" s="410" t="s">
        <v>519</v>
      </c>
      <c r="E48" s="763">
        <f t="shared" ref="E48:BP48" si="40">E47*E7</f>
        <v>0</v>
      </c>
      <c r="F48" s="763">
        <f t="shared" si="40"/>
        <v>0</v>
      </c>
      <c r="G48" s="763">
        <f t="shared" si="40"/>
        <v>0</v>
      </c>
      <c r="H48" s="763">
        <f t="shared" si="40"/>
        <v>0</v>
      </c>
      <c r="I48" s="763">
        <f t="shared" si="40"/>
        <v>0</v>
      </c>
      <c r="J48" s="763">
        <f t="shared" si="40"/>
        <v>0</v>
      </c>
      <c r="K48" s="763">
        <f t="shared" si="40"/>
        <v>0</v>
      </c>
      <c r="L48" s="763">
        <f t="shared" si="40"/>
        <v>0</v>
      </c>
      <c r="M48" s="763">
        <f t="shared" si="40"/>
        <v>0</v>
      </c>
      <c r="N48" s="763">
        <f t="shared" si="40"/>
        <v>0</v>
      </c>
      <c r="O48" s="763">
        <f t="shared" si="40"/>
        <v>0</v>
      </c>
      <c r="P48" s="763">
        <f t="shared" si="40"/>
        <v>0</v>
      </c>
      <c r="Q48" s="763">
        <f t="shared" si="40"/>
        <v>0</v>
      </c>
      <c r="R48" s="763">
        <f t="shared" si="40"/>
        <v>0</v>
      </c>
      <c r="S48" s="763">
        <f t="shared" si="40"/>
        <v>0</v>
      </c>
      <c r="T48" s="763">
        <f t="shared" si="40"/>
        <v>0</v>
      </c>
      <c r="U48" s="763">
        <f t="shared" si="40"/>
        <v>0</v>
      </c>
      <c r="V48" s="763">
        <f t="shared" si="40"/>
        <v>0</v>
      </c>
      <c r="W48" s="763">
        <f t="shared" si="40"/>
        <v>11880148.588141875</v>
      </c>
      <c r="X48" s="763">
        <f t="shared" si="40"/>
        <v>35916557.726515941</v>
      </c>
      <c r="Y48" s="763">
        <f t="shared" si="40"/>
        <v>60721941.080595851</v>
      </c>
      <c r="Z48" s="763">
        <f t="shared" si="40"/>
        <v>84536891.986623988</v>
      </c>
      <c r="AA48" s="763">
        <f t="shared" si="40"/>
        <v>105521651.01652852</v>
      </c>
      <c r="AB48" s="763">
        <f t="shared" si="40"/>
        <v>121981183.43651867</v>
      </c>
      <c r="AC48" s="763">
        <f t="shared" si="40"/>
        <v>132595802.6833152</v>
      </c>
      <c r="AD48" s="763">
        <f t="shared" si="40"/>
        <v>136615731.30945942</v>
      </c>
      <c r="AE48" s="763">
        <f t="shared" si="40"/>
        <v>133979397.86367808</v>
      </c>
      <c r="AF48" s="763">
        <f t="shared" si="40"/>
        <v>125326698.68108128</v>
      </c>
      <c r="AG48" s="763">
        <f t="shared" si="40"/>
        <v>111898567.85296954</v>
      </c>
      <c r="AH48" s="763">
        <f t="shared" si="40"/>
        <v>95338730.829842001</v>
      </c>
      <c r="AI48" s="763">
        <f t="shared" si="40"/>
        <v>77436111.190755293</v>
      </c>
      <c r="AJ48" s="763">
        <f t="shared" si="40"/>
        <v>59860376.584592275</v>
      </c>
      <c r="AK48" s="763">
        <f t="shared" si="40"/>
        <v>43943898.12750832</v>
      </c>
      <c r="AL48" s="763">
        <f t="shared" si="40"/>
        <v>30550192.066768438</v>
      </c>
      <c r="AM48" s="763">
        <f t="shared" si="40"/>
        <v>20045486.417757083</v>
      </c>
      <c r="AN48" s="763">
        <f t="shared" si="40"/>
        <v>12455404.937642613</v>
      </c>
      <c r="AO48" s="763">
        <f t="shared" si="40"/>
        <v>7184741.7682511657</v>
      </c>
      <c r="AP48" s="763">
        <f t="shared" si="40"/>
        <v>3820074.292942944</v>
      </c>
      <c r="AQ48" s="763">
        <f t="shared" si="40"/>
        <v>1855806.7567659724</v>
      </c>
      <c r="AR48" s="763">
        <f t="shared" si="40"/>
        <v>814826.96211944486</v>
      </c>
      <c r="AS48" s="763">
        <f t="shared" si="40"/>
        <v>318921.99501222133</v>
      </c>
      <c r="AT48" s="763">
        <f t="shared" si="40"/>
        <v>109298.62402592052</v>
      </c>
      <c r="AU48" s="763">
        <f t="shared" si="40"/>
        <v>32017.823851928562</v>
      </c>
      <c r="AV48" s="763">
        <f t="shared" si="40"/>
        <v>7748.620964150964</v>
      </c>
      <c r="AW48" s="763">
        <f t="shared" si="40"/>
        <v>1471.1617922827311</v>
      </c>
      <c r="AX48" s="763">
        <f t="shared" si="40"/>
        <v>200.7146789490057</v>
      </c>
      <c r="AY48" s="763">
        <f t="shared" si="40"/>
        <v>16.391561849854877</v>
      </c>
      <c r="AZ48" s="763">
        <f t="shared" si="40"/>
        <v>0.40618370685663974</v>
      </c>
      <c r="BA48" s="763">
        <f t="shared" si="40"/>
        <v>0</v>
      </c>
      <c r="BB48" s="763">
        <f t="shared" si="40"/>
        <v>0</v>
      </c>
      <c r="BC48" s="763">
        <f t="shared" si="40"/>
        <v>0</v>
      </c>
      <c r="BD48" s="763">
        <f t="shared" si="40"/>
        <v>0</v>
      </c>
      <c r="BE48" s="763">
        <f t="shared" si="40"/>
        <v>0</v>
      </c>
      <c r="BF48" s="763">
        <f t="shared" si="40"/>
        <v>0</v>
      </c>
      <c r="BG48" s="763">
        <f t="shared" si="40"/>
        <v>0</v>
      </c>
      <c r="BH48" s="763">
        <f t="shared" si="40"/>
        <v>0</v>
      </c>
      <c r="BI48" s="763">
        <f t="shared" si="40"/>
        <v>0</v>
      </c>
      <c r="BJ48" s="763">
        <f t="shared" si="40"/>
        <v>0</v>
      </c>
      <c r="BK48" s="763">
        <f t="shared" si="40"/>
        <v>0</v>
      </c>
      <c r="BL48" s="763">
        <f t="shared" si="40"/>
        <v>0</v>
      </c>
      <c r="BM48" s="763">
        <f t="shared" si="40"/>
        <v>0</v>
      </c>
      <c r="BN48" s="763">
        <f t="shared" si="40"/>
        <v>0</v>
      </c>
      <c r="BO48" s="763">
        <f t="shared" si="40"/>
        <v>0</v>
      </c>
      <c r="BP48" s="763">
        <f t="shared" si="40"/>
        <v>0</v>
      </c>
      <c r="BQ48" s="763">
        <f t="shared" ref="BQ48:CZ48" si="41">BQ47*BQ7</f>
        <v>0</v>
      </c>
      <c r="BR48" s="763">
        <f t="shared" si="41"/>
        <v>0</v>
      </c>
      <c r="BS48" s="763">
        <f t="shared" si="41"/>
        <v>0</v>
      </c>
      <c r="BT48" s="763">
        <f t="shared" si="41"/>
        <v>0</v>
      </c>
      <c r="BU48" s="763">
        <f t="shared" si="41"/>
        <v>0</v>
      </c>
      <c r="BV48" s="763">
        <f t="shared" si="41"/>
        <v>0</v>
      </c>
      <c r="BW48" s="763">
        <f t="shared" si="41"/>
        <v>0</v>
      </c>
      <c r="BX48" s="763">
        <f t="shared" si="41"/>
        <v>0</v>
      </c>
      <c r="BY48" s="763">
        <f t="shared" si="41"/>
        <v>0</v>
      </c>
      <c r="BZ48" s="763">
        <f t="shared" si="41"/>
        <v>0</v>
      </c>
      <c r="CA48" s="763">
        <f t="shared" si="41"/>
        <v>0</v>
      </c>
      <c r="CB48" s="763">
        <f t="shared" si="41"/>
        <v>0</v>
      </c>
      <c r="CC48" s="763">
        <f t="shared" si="41"/>
        <v>0</v>
      </c>
      <c r="CD48" s="763">
        <f t="shared" si="41"/>
        <v>0</v>
      </c>
      <c r="CE48" s="763">
        <f t="shared" si="41"/>
        <v>0</v>
      </c>
      <c r="CF48" s="763">
        <f t="shared" si="41"/>
        <v>0</v>
      </c>
      <c r="CG48" s="763">
        <f t="shared" si="41"/>
        <v>0</v>
      </c>
      <c r="CH48" s="763">
        <f t="shared" si="41"/>
        <v>0</v>
      </c>
      <c r="CI48" s="763">
        <f t="shared" si="41"/>
        <v>0</v>
      </c>
      <c r="CJ48" s="763">
        <f t="shared" si="41"/>
        <v>0</v>
      </c>
      <c r="CK48" s="763">
        <f t="shared" si="41"/>
        <v>0</v>
      </c>
      <c r="CL48" s="763">
        <f t="shared" si="41"/>
        <v>0</v>
      </c>
      <c r="CM48" s="763">
        <f t="shared" si="41"/>
        <v>0</v>
      </c>
      <c r="CN48" s="763">
        <f t="shared" si="41"/>
        <v>0</v>
      </c>
      <c r="CO48" s="763">
        <f t="shared" si="41"/>
        <v>0</v>
      </c>
      <c r="CP48" s="763">
        <f t="shared" si="41"/>
        <v>0</v>
      </c>
      <c r="CQ48" s="763">
        <f t="shared" si="41"/>
        <v>0</v>
      </c>
      <c r="CR48" s="763">
        <f t="shared" si="41"/>
        <v>0</v>
      </c>
      <c r="CS48" s="763">
        <f t="shared" si="41"/>
        <v>0</v>
      </c>
      <c r="CT48" s="763">
        <f t="shared" si="41"/>
        <v>0</v>
      </c>
      <c r="CU48" s="763">
        <f t="shared" si="41"/>
        <v>0</v>
      </c>
      <c r="CV48" s="763">
        <f t="shared" si="41"/>
        <v>0</v>
      </c>
      <c r="CW48" s="763">
        <f t="shared" si="41"/>
        <v>0</v>
      </c>
      <c r="CX48" s="763">
        <f t="shared" si="41"/>
        <v>0</v>
      </c>
      <c r="CY48" s="763">
        <f t="shared" si="41"/>
        <v>0</v>
      </c>
      <c r="CZ48" s="763">
        <f t="shared" si="41"/>
        <v>0</v>
      </c>
    </row>
    <row r="49" spans="1:104" s="410" customFormat="1" ht="17.25" x14ac:dyDescent="0.4">
      <c r="C49" s="410" t="s">
        <v>516</v>
      </c>
      <c r="E49" s="764">
        <f t="shared" ref="E49:BP49" si="42">IF(E47=0,0,D49+E48)</f>
        <v>0</v>
      </c>
      <c r="F49" s="764">
        <f t="shared" si="42"/>
        <v>0</v>
      </c>
      <c r="G49" s="764">
        <f t="shared" si="42"/>
        <v>0</v>
      </c>
      <c r="H49" s="764">
        <f t="shared" si="42"/>
        <v>0</v>
      </c>
      <c r="I49" s="764">
        <f t="shared" si="42"/>
        <v>0</v>
      </c>
      <c r="J49" s="764">
        <f t="shared" si="42"/>
        <v>0</v>
      </c>
      <c r="K49" s="764">
        <f t="shared" si="42"/>
        <v>0</v>
      </c>
      <c r="L49" s="764">
        <f t="shared" si="42"/>
        <v>0</v>
      </c>
      <c r="M49" s="764">
        <f t="shared" si="42"/>
        <v>0</v>
      </c>
      <c r="N49" s="764">
        <f t="shared" si="42"/>
        <v>0</v>
      </c>
      <c r="O49" s="764">
        <f t="shared" si="42"/>
        <v>0</v>
      </c>
      <c r="P49" s="764">
        <f t="shared" si="42"/>
        <v>0</v>
      </c>
      <c r="Q49" s="764">
        <f t="shared" si="42"/>
        <v>0</v>
      </c>
      <c r="R49" s="764">
        <f t="shared" si="42"/>
        <v>0</v>
      </c>
      <c r="S49" s="764">
        <f t="shared" si="42"/>
        <v>0</v>
      </c>
      <c r="T49" s="764">
        <f t="shared" si="42"/>
        <v>0</v>
      </c>
      <c r="U49" s="764">
        <f t="shared" si="42"/>
        <v>0</v>
      </c>
      <c r="V49" s="764">
        <f t="shared" si="42"/>
        <v>0</v>
      </c>
      <c r="W49" s="764">
        <f t="shared" si="42"/>
        <v>11880148.588141875</v>
      </c>
      <c r="X49" s="764">
        <f t="shared" si="42"/>
        <v>47796706.314657815</v>
      </c>
      <c r="Y49" s="764">
        <f t="shared" si="42"/>
        <v>108518647.39525366</v>
      </c>
      <c r="Z49" s="764">
        <f t="shared" si="42"/>
        <v>193055539.38187766</v>
      </c>
      <c r="AA49" s="764">
        <f t="shared" si="42"/>
        <v>298577190.39840615</v>
      </c>
      <c r="AB49" s="764">
        <f t="shared" si="42"/>
        <v>420558373.83492482</v>
      </c>
      <c r="AC49" s="764">
        <f t="shared" si="42"/>
        <v>553154176.51823997</v>
      </c>
      <c r="AD49" s="764">
        <f t="shared" si="42"/>
        <v>689769907.82769942</v>
      </c>
      <c r="AE49" s="764">
        <f t="shared" si="42"/>
        <v>823749305.69137752</v>
      </c>
      <c r="AF49" s="764">
        <f t="shared" si="42"/>
        <v>949076004.37245882</v>
      </c>
      <c r="AG49" s="764">
        <f t="shared" si="42"/>
        <v>1060974572.2254283</v>
      </c>
      <c r="AH49" s="764">
        <f t="shared" si="42"/>
        <v>1156313303.0552704</v>
      </c>
      <c r="AI49" s="764">
        <f t="shared" si="42"/>
        <v>1233749414.2460258</v>
      </c>
      <c r="AJ49" s="764">
        <f t="shared" si="42"/>
        <v>1293609790.8306181</v>
      </c>
      <c r="AK49" s="764">
        <f t="shared" si="42"/>
        <v>1337553688.9581265</v>
      </c>
      <c r="AL49" s="764">
        <f t="shared" si="42"/>
        <v>1368103881.024895</v>
      </c>
      <c r="AM49" s="764">
        <f t="shared" si="42"/>
        <v>1388149367.442652</v>
      </c>
      <c r="AN49" s="764">
        <f t="shared" si="42"/>
        <v>1400604772.3802946</v>
      </c>
      <c r="AO49" s="764">
        <f t="shared" si="42"/>
        <v>1407789514.1485457</v>
      </c>
      <c r="AP49" s="764">
        <f t="shared" si="42"/>
        <v>1411609588.4414887</v>
      </c>
      <c r="AQ49" s="764">
        <f t="shared" si="42"/>
        <v>1413465395.1982548</v>
      </c>
      <c r="AR49" s="764">
        <f t="shared" si="42"/>
        <v>1414280222.1603742</v>
      </c>
      <c r="AS49" s="764">
        <f t="shared" si="42"/>
        <v>1414599144.1553864</v>
      </c>
      <c r="AT49" s="764">
        <f t="shared" si="42"/>
        <v>1414708442.7794123</v>
      </c>
      <c r="AU49" s="764">
        <f t="shared" si="42"/>
        <v>1414740460.6032641</v>
      </c>
      <c r="AV49" s="764">
        <f t="shared" si="42"/>
        <v>1414748209.2242281</v>
      </c>
      <c r="AW49" s="764">
        <f t="shared" si="42"/>
        <v>1414749680.3860204</v>
      </c>
      <c r="AX49" s="764">
        <f t="shared" si="42"/>
        <v>1414749881.1006994</v>
      </c>
      <c r="AY49" s="764">
        <f t="shared" si="42"/>
        <v>1414749897.4922612</v>
      </c>
      <c r="AZ49" s="764">
        <f t="shared" si="42"/>
        <v>1414749897.8984449</v>
      </c>
      <c r="BA49" s="764">
        <f t="shared" si="42"/>
        <v>0</v>
      </c>
      <c r="BB49" s="764">
        <f t="shared" si="42"/>
        <v>0</v>
      </c>
      <c r="BC49" s="764">
        <f t="shared" si="42"/>
        <v>0</v>
      </c>
      <c r="BD49" s="764">
        <f t="shared" si="42"/>
        <v>0</v>
      </c>
      <c r="BE49" s="764">
        <f t="shared" si="42"/>
        <v>0</v>
      </c>
      <c r="BF49" s="764">
        <f t="shared" si="42"/>
        <v>0</v>
      </c>
      <c r="BG49" s="764">
        <f t="shared" si="42"/>
        <v>0</v>
      </c>
      <c r="BH49" s="764">
        <f t="shared" si="42"/>
        <v>0</v>
      </c>
      <c r="BI49" s="764">
        <f t="shared" si="42"/>
        <v>0</v>
      </c>
      <c r="BJ49" s="764">
        <f t="shared" si="42"/>
        <v>0</v>
      </c>
      <c r="BK49" s="764">
        <f t="shared" si="42"/>
        <v>0</v>
      </c>
      <c r="BL49" s="764">
        <f t="shared" si="42"/>
        <v>0</v>
      </c>
      <c r="BM49" s="764">
        <f t="shared" si="42"/>
        <v>0</v>
      </c>
      <c r="BN49" s="764">
        <f t="shared" si="42"/>
        <v>0</v>
      </c>
      <c r="BO49" s="764">
        <f t="shared" si="42"/>
        <v>0</v>
      </c>
      <c r="BP49" s="764">
        <f t="shared" si="42"/>
        <v>0</v>
      </c>
      <c r="BQ49" s="764">
        <f t="shared" ref="BQ49:CZ49" si="43">IF(BQ47=0,0,BP49+BQ48)</f>
        <v>0</v>
      </c>
      <c r="BR49" s="764">
        <f t="shared" si="43"/>
        <v>0</v>
      </c>
      <c r="BS49" s="764">
        <f t="shared" si="43"/>
        <v>0</v>
      </c>
      <c r="BT49" s="764">
        <f t="shared" si="43"/>
        <v>0</v>
      </c>
      <c r="BU49" s="764">
        <f t="shared" si="43"/>
        <v>0</v>
      </c>
      <c r="BV49" s="764">
        <f t="shared" si="43"/>
        <v>0</v>
      </c>
      <c r="BW49" s="764">
        <f t="shared" si="43"/>
        <v>0</v>
      </c>
      <c r="BX49" s="764">
        <f t="shared" si="43"/>
        <v>0</v>
      </c>
      <c r="BY49" s="764">
        <f t="shared" si="43"/>
        <v>0</v>
      </c>
      <c r="BZ49" s="764">
        <f t="shared" si="43"/>
        <v>0</v>
      </c>
      <c r="CA49" s="764">
        <f t="shared" si="43"/>
        <v>0</v>
      </c>
      <c r="CB49" s="764">
        <f t="shared" si="43"/>
        <v>0</v>
      </c>
      <c r="CC49" s="764">
        <f t="shared" si="43"/>
        <v>0</v>
      </c>
      <c r="CD49" s="764">
        <f t="shared" si="43"/>
        <v>0</v>
      </c>
      <c r="CE49" s="764">
        <f t="shared" si="43"/>
        <v>0</v>
      </c>
      <c r="CF49" s="764">
        <f t="shared" si="43"/>
        <v>0</v>
      </c>
      <c r="CG49" s="764">
        <f t="shared" si="43"/>
        <v>0</v>
      </c>
      <c r="CH49" s="764">
        <f t="shared" si="43"/>
        <v>0</v>
      </c>
      <c r="CI49" s="764">
        <f t="shared" si="43"/>
        <v>0</v>
      </c>
      <c r="CJ49" s="764">
        <f t="shared" si="43"/>
        <v>0</v>
      </c>
      <c r="CK49" s="764">
        <f t="shared" si="43"/>
        <v>0</v>
      </c>
      <c r="CL49" s="764">
        <f t="shared" si="43"/>
        <v>0</v>
      </c>
      <c r="CM49" s="764">
        <f t="shared" si="43"/>
        <v>0</v>
      </c>
      <c r="CN49" s="764">
        <f t="shared" si="43"/>
        <v>0</v>
      </c>
      <c r="CO49" s="764">
        <f t="shared" si="43"/>
        <v>0</v>
      </c>
      <c r="CP49" s="764">
        <f t="shared" si="43"/>
        <v>0</v>
      </c>
      <c r="CQ49" s="764">
        <f t="shared" si="43"/>
        <v>0</v>
      </c>
      <c r="CR49" s="764">
        <f t="shared" si="43"/>
        <v>0</v>
      </c>
      <c r="CS49" s="764">
        <f t="shared" si="43"/>
        <v>0</v>
      </c>
      <c r="CT49" s="764">
        <f t="shared" si="43"/>
        <v>0</v>
      </c>
      <c r="CU49" s="764">
        <f t="shared" si="43"/>
        <v>0</v>
      </c>
      <c r="CV49" s="764">
        <f t="shared" si="43"/>
        <v>0</v>
      </c>
      <c r="CW49" s="764">
        <f t="shared" si="43"/>
        <v>0</v>
      </c>
      <c r="CX49" s="764">
        <f t="shared" si="43"/>
        <v>0</v>
      </c>
      <c r="CY49" s="764">
        <f t="shared" si="43"/>
        <v>0</v>
      </c>
      <c r="CZ49" s="764">
        <f t="shared" si="43"/>
        <v>0</v>
      </c>
    </row>
    <row r="50" spans="1:104" s="410" customFormat="1" x14ac:dyDescent="0.25">
      <c r="C50" s="410" t="s">
        <v>377</v>
      </c>
      <c r="E50" s="763">
        <f t="shared" ref="E50:R50" si="44">E48+E45</f>
        <v>0</v>
      </c>
      <c r="F50" s="763">
        <f t="shared" si="44"/>
        <v>0</v>
      </c>
      <c r="G50" s="763">
        <f t="shared" si="44"/>
        <v>0</v>
      </c>
      <c r="H50" s="763">
        <f t="shared" si="44"/>
        <v>0</v>
      </c>
      <c r="I50" s="763">
        <f t="shared" si="44"/>
        <v>0</v>
      </c>
      <c r="J50" s="763">
        <f t="shared" si="44"/>
        <v>0</v>
      </c>
      <c r="K50" s="763">
        <f t="shared" si="44"/>
        <v>0</v>
      </c>
      <c r="L50" s="763">
        <f t="shared" si="44"/>
        <v>0</v>
      </c>
      <c r="M50" s="763">
        <f t="shared" si="44"/>
        <v>0</v>
      </c>
      <c r="N50" s="763">
        <f t="shared" si="44"/>
        <v>0</v>
      </c>
      <c r="O50" s="763">
        <f t="shared" si="44"/>
        <v>0</v>
      </c>
      <c r="P50" s="763">
        <f t="shared" si="44"/>
        <v>0</v>
      </c>
      <c r="Q50" s="763">
        <f t="shared" si="44"/>
        <v>0</v>
      </c>
      <c r="R50" s="763">
        <f t="shared" si="44"/>
        <v>0</v>
      </c>
      <c r="S50" s="763">
        <f>S48+S45</f>
        <v>0</v>
      </c>
      <c r="T50" s="763">
        <f t="shared" ref="T50:CE50" si="45">T48+T45</f>
        <v>0</v>
      </c>
      <c r="U50" s="763">
        <f t="shared" si="45"/>
        <v>0</v>
      </c>
      <c r="V50" s="763">
        <f t="shared" si="45"/>
        <v>0</v>
      </c>
      <c r="W50" s="763">
        <f t="shared" si="45"/>
        <v>11880148.588141875</v>
      </c>
      <c r="X50" s="763">
        <f t="shared" si="45"/>
        <v>35916557.726515941</v>
      </c>
      <c r="Y50" s="763">
        <f t="shared" si="45"/>
        <v>60721941.080595851</v>
      </c>
      <c r="Z50" s="763">
        <f t="shared" si="45"/>
        <v>84536891.986623988</v>
      </c>
      <c r="AA50" s="763">
        <f t="shared" si="45"/>
        <v>105521651.01652852</v>
      </c>
      <c r="AB50" s="763">
        <f t="shared" si="45"/>
        <v>121981183.43651867</v>
      </c>
      <c r="AC50" s="763">
        <f t="shared" si="45"/>
        <v>132595802.6833152</v>
      </c>
      <c r="AD50" s="763">
        <f t="shared" si="45"/>
        <v>136615731.30945942</v>
      </c>
      <c r="AE50" s="763">
        <f t="shared" si="45"/>
        <v>133979397.86367808</v>
      </c>
      <c r="AF50" s="763">
        <f t="shared" si="45"/>
        <v>125326698.68108128</v>
      </c>
      <c r="AG50" s="763">
        <f t="shared" si="45"/>
        <v>111898567.85296954</v>
      </c>
      <c r="AH50" s="763">
        <f t="shared" si="45"/>
        <v>95338730.829842001</v>
      </c>
      <c r="AI50" s="763">
        <f t="shared" si="45"/>
        <v>77436111.190755293</v>
      </c>
      <c r="AJ50" s="763">
        <f t="shared" si="45"/>
        <v>59860376.584592275</v>
      </c>
      <c r="AK50" s="763">
        <f t="shared" si="45"/>
        <v>43943898.12750832</v>
      </c>
      <c r="AL50" s="763">
        <f t="shared" si="45"/>
        <v>30550192.066768438</v>
      </c>
      <c r="AM50" s="763">
        <f t="shared" si="45"/>
        <v>20045486.417757083</v>
      </c>
      <c r="AN50" s="763">
        <f t="shared" si="45"/>
        <v>12455404.937642613</v>
      </c>
      <c r="AO50" s="763">
        <f t="shared" si="45"/>
        <v>7184741.7682511657</v>
      </c>
      <c r="AP50" s="763">
        <f t="shared" si="45"/>
        <v>3820074.292942944</v>
      </c>
      <c r="AQ50" s="763">
        <f t="shared" si="45"/>
        <v>1855806.7567659724</v>
      </c>
      <c r="AR50" s="763">
        <f t="shared" si="45"/>
        <v>814826.96211944486</v>
      </c>
      <c r="AS50" s="763">
        <f t="shared" si="45"/>
        <v>318921.99501222133</v>
      </c>
      <c r="AT50" s="763">
        <f t="shared" si="45"/>
        <v>109298.62402592052</v>
      </c>
      <c r="AU50" s="763">
        <f t="shared" si="45"/>
        <v>32017.823851928562</v>
      </c>
      <c r="AV50" s="763">
        <f t="shared" si="45"/>
        <v>7748.620964150964</v>
      </c>
      <c r="AW50" s="763">
        <f t="shared" si="45"/>
        <v>1471.1617922827311</v>
      </c>
      <c r="AX50" s="763">
        <f t="shared" si="45"/>
        <v>200.7146789490057</v>
      </c>
      <c r="AY50" s="763">
        <f t="shared" si="45"/>
        <v>16.391561849854877</v>
      </c>
      <c r="AZ50" s="763">
        <f t="shared" si="45"/>
        <v>0.40618370685663974</v>
      </c>
      <c r="BA50" s="763">
        <f t="shared" si="45"/>
        <v>0</v>
      </c>
      <c r="BB50" s="763">
        <f t="shared" si="45"/>
        <v>0</v>
      </c>
      <c r="BC50" s="763">
        <f t="shared" si="45"/>
        <v>0</v>
      </c>
      <c r="BD50" s="763">
        <f t="shared" si="45"/>
        <v>0</v>
      </c>
      <c r="BE50" s="763">
        <f t="shared" si="45"/>
        <v>0</v>
      </c>
      <c r="BF50" s="763">
        <f t="shared" si="45"/>
        <v>0</v>
      </c>
      <c r="BG50" s="763">
        <f t="shared" si="45"/>
        <v>0</v>
      </c>
      <c r="BH50" s="763">
        <f t="shared" si="45"/>
        <v>0</v>
      </c>
      <c r="BI50" s="763">
        <f t="shared" si="45"/>
        <v>0</v>
      </c>
      <c r="BJ50" s="763">
        <f t="shared" si="45"/>
        <v>0</v>
      </c>
      <c r="BK50" s="763">
        <f t="shared" si="45"/>
        <v>0</v>
      </c>
      <c r="BL50" s="763">
        <f t="shared" si="45"/>
        <v>0</v>
      </c>
      <c r="BM50" s="763">
        <f t="shared" si="45"/>
        <v>0</v>
      </c>
      <c r="BN50" s="763">
        <f t="shared" si="45"/>
        <v>0</v>
      </c>
      <c r="BO50" s="763">
        <f t="shared" si="45"/>
        <v>0</v>
      </c>
      <c r="BP50" s="763">
        <f t="shared" si="45"/>
        <v>0</v>
      </c>
      <c r="BQ50" s="763">
        <f t="shared" si="45"/>
        <v>0</v>
      </c>
      <c r="BR50" s="763">
        <f t="shared" si="45"/>
        <v>0</v>
      </c>
      <c r="BS50" s="763">
        <f t="shared" si="45"/>
        <v>0</v>
      </c>
      <c r="BT50" s="763">
        <f t="shared" si="45"/>
        <v>0</v>
      </c>
      <c r="BU50" s="763">
        <f t="shared" si="45"/>
        <v>0</v>
      </c>
      <c r="BV50" s="763">
        <f t="shared" si="45"/>
        <v>0</v>
      </c>
      <c r="BW50" s="763">
        <f t="shared" si="45"/>
        <v>0</v>
      </c>
      <c r="BX50" s="763">
        <f t="shared" si="45"/>
        <v>0</v>
      </c>
      <c r="BY50" s="763">
        <f t="shared" si="45"/>
        <v>0</v>
      </c>
      <c r="BZ50" s="763">
        <f t="shared" si="45"/>
        <v>0</v>
      </c>
      <c r="CA50" s="763">
        <f t="shared" si="45"/>
        <v>0</v>
      </c>
      <c r="CB50" s="763">
        <f t="shared" si="45"/>
        <v>0</v>
      </c>
      <c r="CC50" s="763">
        <f t="shared" si="45"/>
        <v>0</v>
      </c>
      <c r="CD50" s="763">
        <f t="shared" si="45"/>
        <v>0</v>
      </c>
      <c r="CE50" s="763">
        <f t="shared" si="45"/>
        <v>0</v>
      </c>
      <c r="CF50" s="763">
        <f t="shared" ref="CF50:CZ50" si="46">CF48+CF45</f>
        <v>0</v>
      </c>
      <c r="CG50" s="763">
        <f t="shared" si="46"/>
        <v>0</v>
      </c>
      <c r="CH50" s="763">
        <f t="shared" si="46"/>
        <v>0</v>
      </c>
      <c r="CI50" s="763">
        <f t="shared" si="46"/>
        <v>0</v>
      </c>
      <c r="CJ50" s="763">
        <f t="shared" si="46"/>
        <v>0</v>
      </c>
      <c r="CK50" s="763">
        <f t="shared" si="46"/>
        <v>0</v>
      </c>
      <c r="CL50" s="763">
        <f t="shared" si="46"/>
        <v>0</v>
      </c>
      <c r="CM50" s="763">
        <f t="shared" si="46"/>
        <v>0</v>
      </c>
      <c r="CN50" s="763">
        <f t="shared" si="46"/>
        <v>0</v>
      </c>
      <c r="CO50" s="763">
        <f t="shared" si="46"/>
        <v>0</v>
      </c>
      <c r="CP50" s="763">
        <f t="shared" si="46"/>
        <v>0</v>
      </c>
      <c r="CQ50" s="763">
        <f t="shared" si="46"/>
        <v>0</v>
      </c>
      <c r="CR50" s="763">
        <f t="shared" si="46"/>
        <v>0</v>
      </c>
      <c r="CS50" s="763">
        <f t="shared" si="46"/>
        <v>0</v>
      </c>
      <c r="CT50" s="763">
        <f t="shared" si="46"/>
        <v>0</v>
      </c>
      <c r="CU50" s="763">
        <f t="shared" si="46"/>
        <v>0</v>
      </c>
      <c r="CV50" s="763">
        <f t="shared" si="46"/>
        <v>0</v>
      </c>
      <c r="CW50" s="763">
        <f t="shared" si="46"/>
        <v>0</v>
      </c>
      <c r="CX50" s="763">
        <f t="shared" si="46"/>
        <v>0</v>
      </c>
      <c r="CY50" s="763">
        <f t="shared" si="46"/>
        <v>0</v>
      </c>
      <c r="CZ50" s="763">
        <f t="shared" si="46"/>
        <v>0</v>
      </c>
    </row>
    <row r="51" spans="1:104" x14ac:dyDescent="0.25">
      <c r="E51" s="477"/>
      <c r="F51" s="477"/>
      <c r="G51" s="477"/>
      <c r="H51" s="477"/>
      <c r="I51" s="477"/>
      <c r="J51" s="477"/>
      <c r="K51" s="477"/>
      <c r="L51" s="477"/>
      <c r="M51" s="477"/>
      <c r="N51" s="477"/>
      <c r="O51" s="477"/>
      <c r="P51" s="477"/>
      <c r="Q51" s="477"/>
      <c r="R51" s="582">
        <f>R31-R50</f>
        <v>0</v>
      </c>
      <c r="S51" s="581"/>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477"/>
      <c r="CB51" s="477"/>
      <c r="CC51" s="477"/>
      <c r="CD51" s="477"/>
      <c r="CE51" s="477"/>
      <c r="CF51" s="477"/>
      <c r="CG51" s="477"/>
      <c r="CH51" s="477"/>
      <c r="CI51" s="477"/>
      <c r="CJ51" s="477"/>
      <c r="CK51" s="477"/>
      <c r="CL51" s="477"/>
      <c r="CM51" s="477"/>
      <c r="CN51" s="477"/>
      <c r="CO51" s="477"/>
      <c r="CP51" s="477"/>
      <c r="CQ51" s="477"/>
      <c r="CR51" s="477"/>
      <c r="CS51" s="477"/>
      <c r="CT51" s="477"/>
      <c r="CU51" s="477"/>
      <c r="CV51" s="477"/>
      <c r="CW51" s="477"/>
      <c r="CX51" s="477"/>
      <c r="CY51" s="477"/>
      <c r="CZ51" s="477"/>
    </row>
    <row r="52" spans="1:104" x14ac:dyDescent="0.25">
      <c r="A52" s="472" t="s">
        <v>277</v>
      </c>
      <c r="D52" s="781" t="s">
        <v>588</v>
      </c>
      <c r="E52" s="780">
        <f>1/(1+'Interest Rate'!$J$16)^(E4-$E$4)</f>
        <v>1</v>
      </c>
      <c r="F52" s="780">
        <f>1/(1+'Interest Rate'!$J$16)^(F4-$E$4)</f>
        <v>0.95693779904306231</v>
      </c>
      <c r="G52" s="780">
        <f>1/(1+'Interest Rate'!$J$16)^(G4-$E$4)</f>
        <v>0.91572995123738021</v>
      </c>
      <c r="H52" s="780">
        <f>1/(1+'Interest Rate'!$J$16)^(H4-$E$4)</f>
        <v>0.87629660405490928</v>
      </c>
      <c r="I52" s="780">
        <f>1/(1+'Interest Rate'!$J$16)^(I4-$E$4)</f>
        <v>0.83856134359321488</v>
      </c>
      <c r="J52" s="780">
        <f>1/(1+'Interest Rate'!$J$16)^(J4-$E$4)</f>
        <v>0.80245104650068411</v>
      </c>
      <c r="K52" s="780">
        <f>1/(1+'Interest Rate'!$J$16)^(K4-$E$4)</f>
        <v>0.76789573827816682</v>
      </c>
      <c r="L52" s="780">
        <f>1/(1+'Interest Rate'!$J$16)^(L4-$E$4)</f>
        <v>0.73482845768245619</v>
      </c>
      <c r="M52" s="780">
        <f>1/(1+'Interest Rate'!$J$16)^(M4-$E$4)</f>
        <v>0.70318512696885782</v>
      </c>
      <c r="N52" s="780">
        <f>1/(1+'Interest Rate'!$J$16)^(N4-$E$4)</f>
        <v>0.67290442772139514</v>
      </c>
      <c r="O52" s="780">
        <f>1/(1+'Interest Rate'!$J$16)^(O4-$E$4)</f>
        <v>0.64392768203004325</v>
      </c>
      <c r="P52" s="780">
        <f>1/(1+'Interest Rate'!$J$16)^(P4-$E$4)</f>
        <v>0.61619873878473042</v>
      </c>
      <c r="Q52" s="780">
        <f>1/(1+'Interest Rate'!$J$16)^(Q4-$E$4)</f>
        <v>0.58966386486577083</v>
      </c>
      <c r="R52" s="780">
        <f>1/(1+'Interest Rate'!$J$16)^(R4-$E$4)</f>
        <v>0.56427164101987637</v>
      </c>
      <c r="S52" s="780">
        <f>1/(1+'Interest Rate'!$J$16)^(S4-$E$4)</f>
        <v>0.53997286221997753</v>
      </c>
      <c r="T52" s="780">
        <f>1/(1+'Interest Rate'!$J$16)^(T4-$E$4)</f>
        <v>0.51672044231576797</v>
      </c>
      <c r="U52" s="780">
        <f>1/(1+'Interest Rate'!$J$16)^(U4-$E$4)</f>
        <v>0.49446932279020878</v>
      </c>
      <c r="V52" s="780">
        <f>1/(1+'Interest Rate'!$J$16)^(V4-$E$4)</f>
        <v>0.47317638544517582</v>
      </c>
      <c r="W52" s="780">
        <f>1/(1+'Interest Rate'!$J$16)^(W4-$E$4)</f>
        <v>0.45280036884705832</v>
      </c>
      <c r="X52" s="780">
        <f>1/(1+'Interest Rate'!$J$16)^(X4-$E$4)</f>
        <v>0.43330178837039074</v>
      </c>
      <c r="Y52" s="780">
        <f>1/(1+'Interest Rate'!$J$16)^(Y4-$E$4)</f>
        <v>0.41464285968458453</v>
      </c>
      <c r="Z52" s="780">
        <f>1/(1+'Interest Rate'!$J$16)^(Z4-$E$4)</f>
        <v>0.39678742553548757</v>
      </c>
      <c r="AA52" s="780">
        <f>1/(1+'Interest Rate'!$J$16)^(AA4-$E$4)</f>
        <v>0.37970088567989252</v>
      </c>
      <c r="AB52" s="780">
        <f>1/(1+'Interest Rate'!$J$16)^(AB4-$E$4)</f>
        <v>0.36335012983721771</v>
      </c>
      <c r="AC52" s="780">
        <f>1/(1+'Interest Rate'!$J$16)^(AC4-$E$4)</f>
        <v>0.34770347352843806</v>
      </c>
      <c r="AD52" s="780">
        <f>1/(1+'Interest Rate'!$J$16)^(AD4-$E$4)</f>
        <v>0.3327305966779312</v>
      </c>
      <c r="AE52" s="780">
        <f>1/(1+'Interest Rate'!$J$16)^(AE4-$E$4)</f>
        <v>0.31840248485926437</v>
      </c>
      <c r="AF52" s="780">
        <f>1/(1+'Interest Rate'!$J$16)^(AF4-$E$4)</f>
        <v>0.30469137307106642</v>
      </c>
      <c r="AG52" s="780">
        <f>1/(1+'Interest Rate'!$J$16)^(AG4-$E$4)</f>
        <v>0.2915706919340349</v>
      </c>
      <c r="AH52" s="780">
        <f>1/(1+'Interest Rate'!$J$16)^(AH4-$E$4)</f>
        <v>0.27901501620481806</v>
      </c>
      <c r="AI52" s="780">
        <f>1/(1+'Interest Rate'!$J$16)^(AI4-$E$4)</f>
        <v>0.26700001550700303</v>
      </c>
      <c r="AJ52" s="780">
        <f>1/(1+'Interest Rate'!$J$16)^(AJ4-$E$4)</f>
        <v>0.2555024071837349</v>
      </c>
      <c r="AK52" s="780">
        <f>1/(1+'Interest Rate'!$J$16)^(AK4-$E$4)</f>
        <v>0.24449991118060768</v>
      </c>
      <c r="AL52" s="780">
        <f>1/(1+'Interest Rate'!$J$16)^(AL4-$E$4)</f>
        <v>0.23397120687139494</v>
      </c>
      <c r="AM52" s="780">
        <f>1/(1+'Interest Rate'!$J$16)^(AM4-$E$4)</f>
        <v>0.22389589174296168</v>
      </c>
      <c r="AN52" s="780">
        <f>1/(1+'Interest Rate'!$J$16)^(AN4-$E$4)</f>
        <v>0.21425444185929349</v>
      </c>
      <c r="AO52" s="780">
        <f>1/(1+'Interest Rate'!$J$16)^(AO4-$E$4)</f>
        <v>0.20502817402803208</v>
      </c>
      <c r="AP52" s="780">
        <f>1/(1+'Interest Rate'!$J$16)^(AP4-$E$4)</f>
        <v>0.19619920959620296</v>
      </c>
      <c r="AQ52" s="780">
        <f>1/(1+'Interest Rate'!$J$16)^(AQ4-$E$4)</f>
        <v>0.18775043980497894</v>
      </c>
      <c r="AR52" s="780">
        <f>1/(1+'Interest Rate'!$J$16)^(AR4-$E$4)</f>
        <v>0.17966549263634349</v>
      </c>
      <c r="AS52" s="780">
        <f>1/(1+'Interest Rate'!$J$16)^(AS4-$E$4)</f>
        <v>0.17192870108741007</v>
      </c>
      <c r="AT52" s="780">
        <f>1/(1+'Interest Rate'!$J$16)^(AT4-$E$4)</f>
        <v>0.16452507281091874</v>
      </c>
      <c r="AU52" s="780">
        <f>1/(1+'Interest Rate'!$J$16)^(AU4-$E$4)</f>
        <v>0.15744026106308018</v>
      </c>
      <c r="AV52" s="780">
        <f>1/(1+'Interest Rate'!$J$16)^(AV4-$E$4)</f>
        <v>0.15066053690246906</v>
      </c>
      <c r="AW52" s="780">
        <f>1/(1+'Interest Rate'!$J$16)^(AW4-$E$4)</f>
        <v>0.14417276258609482</v>
      </c>
      <c r="AX52" s="780">
        <f>1/(1+'Interest Rate'!$J$16)^(AX4-$E$4)</f>
        <v>0.13796436611109553</v>
      </c>
      <c r="AY52" s="780">
        <f>1/(1+'Interest Rate'!$J$16)^(AY4-$E$4)</f>
        <v>0.132023316852723</v>
      </c>
      <c r="AZ52" s="780">
        <f>1/(1+'Interest Rate'!$J$16)^(AZ4-$E$4)</f>
        <v>0.12633810225140957</v>
      </c>
      <c r="BA52" s="780">
        <f>1/(1+'Interest Rate'!$J$16)^(BA4-$E$4)</f>
        <v>0.12089770550374127</v>
      </c>
      <c r="BB52" s="780">
        <f>1/(1+'Interest Rate'!$J$16)^(BB4-$E$4)</f>
        <v>0.11569158421410647</v>
      </c>
      <c r="BC52" s="780">
        <f>1/(1+'Interest Rate'!$J$16)^(BC4-$E$4)</f>
        <v>0.11070964996565215</v>
      </c>
      <c r="BD52" s="780">
        <f>1/(1+'Interest Rate'!$J$16)^(BD4-$E$4)</f>
        <v>0.10594224877095899</v>
      </c>
      <c r="BE52" s="780">
        <f>1/(1+'Interest Rate'!$J$16)^(BE4-$E$4)</f>
        <v>0.10138014236455409</v>
      </c>
      <c r="BF52" s="780">
        <f>1/(1+'Interest Rate'!$J$16)^(BF4-$E$4)</f>
        <v>9.7014490301008685E-2</v>
      </c>
      <c r="BG52" s="780">
        <f>1/(1+'Interest Rate'!$J$16)^(BG4-$E$4)</f>
        <v>9.2836832823931792E-2</v>
      </c>
      <c r="BH52" s="780">
        <f>1/(1+'Interest Rate'!$J$16)^(BH4-$E$4)</f>
        <v>8.8839074472661997E-2</v>
      </c>
      <c r="BI52" s="780">
        <f>1/(1+'Interest Rate'!$J$16)^(BI4-$E$4)</f>
        <v>8.5013468394891878E-2</v>
      </c>
      <c r="BJ52" s="780">
        <f>1/(1+'Interest Rate'!$J$16)^(BJ4-$E$4)</f>
        <v>8.1352601334824776E-2</v>
      </c>
      <c r="BK52" s="780">
        <f>1/(1+'Interest Rate'!$J$16)^(BK4-$E$4)</f>
        <v>7.7849379267774924E-2</v>
      </c>
      <c r="BL52" s="780">
        <f>1/(1+'Interest Rate'!$J$16)^(BL4-$E$4)</f>
        <v>7.4497013653373134E-2</v>
      </c>
      <c r="BM52" s="780">
        <f>1/(1+'Interest Rate'!$J$16)^(BM4-$E$4)</f>
        <v>7.1289008280739849E-2</v>
      </c>
      <c r="BN52" s="780">
        <f>1/(1+'Interest Rate'!$J$16)^(BN4-$E$4)</f>
        <v>6.8219146680133819E-2</v>
      </c>
      <c r="BO52" s="780">
        <f>1/(1+'Interest Rate'!$J$16)^(BO4-$E$4)</f>
        <v>6.5281480076683107E-2</v>
      </c>
      <c r="BP52" s="780">
        <f>1/(1+'Interest Rate'!$J$16)^(BP4-$E$4)</f>
        <v>6.2470315862854633E-2</v>
      </c>
      <c r="BQ52" s="780">
        <f>1/(1+'Interest Rate'!$J$16)^(BQ4-$E$4)</f>
        <v>5.9780206567325044E-2</v>
      </c>
      <c r="BR52" s="780">
        <f>1/(1+'Interest Rate'!$J$16)^(BR4-$E$4)</f>
        <v>5.7205939298875637E-2</v>
      </c>
      <c r="BS52" s="780">
        <f>1/(1+'Interest Rate'!$J$16)^(BS4-$E$4)</f>
        <v>5.4742525644857085E-2</v>
      </c>
      <c r="BT52" s="780">
        <f>1/(1+'Interest Rate'!$J$16)^(BT4-$E$4)</f>
        <v>5.2385192004647925E-2</v>
      </c>
      <c r="BU52" s="780">
        <f>1/(1+'Interest Rate'!$J$16)^(BU4-$E$4)</f>
        <v>5.0129370339376013E-2</v>
      </c>
      <c r="BV52" s="780">
        <f>1/(1+'Interest Rate'!$J$16)^(BV4-$E$4)</f>
        <v>4.7970689319977049E-2</v>
      </c>
      <c r="BW52" s="780">
        <f>1/(1+'Interest Rate'!$J$16)^(BW4-$E$4)</f>
        <v>4.5904965856437378E-2</v>
      </c>
      <c r="BX52" s="780">
        <f>1/(1+'Interest Rate'!$J$16)^(BX4-$E$4)</f>
        <v>4.3928196991806105E-2</v>
      </c>
      <c r="BY52" s="780">
        <f>1/(1+'Interest Rate'!$J$16)^(BY4-$E$4)</f>
        <v>4.203655214526901E-2</v>
      </c>
      <c r="BZ52" s="780">
        <f>1/(1+'Interest Rate'!$J$16)^(BZ4-$E$4)</f>
        <v>4.0226365689252648E-2</v>
      </c>
      <c r="CA52" s="780">
        <f>1/(1+'Interest Rate'!$J$16)^(CA4-$E$4)</f>
        <v>3.8494129846174785E-2</v>
      </c>
      <c r="CB52" s="780">
        <f>1/(1+'Interest Rate'!$J$16)^(CB4-$E$4)</f>
        <v>3.6836487891076353E-2</v>
      </c>
      <c r="CC52" s="780">
        <f>1/(1+'Interest Rate'!$J$16)^(CC4-$E$4)</f>
        <v>3.525022764696302E-2</v>
      </c>
      <c r="CD52" s="780">
        <f>1/(1+'Interest Rate'!$J$16)^(CD4-$E$4)</f>
        <v>3.3732275260251694E-2</v>
      </c>
      <c r="CE52" s="780">
        <f>1/(1+'Interest Rate'!$J$16)^(CE4-$E$4)</f>
        <v>3.2279689244260001E-2</v>
      </c>
      <c r="CF52" s="780">
        <f>1/(1+'Interest Rate'!$J$16)^(CF4-$E$4)</f>
        <v>3.0889654779196175E-2</v>
      </c>
      <c r="CG52" s="780">
        <f>1/(1+'Interest Rate'!$J$16)^(CG4-$E$4)</f>
        <v>2.9559478257604004E-2</v>
      </c>
      <c r="CH52" s="780">
        <f>1/(1+'Interest Rate'!$J$16)^(CH4-$E$4)</f>
        <v>2.8286582064692829E-2</v>
      </c>
      <c r="CI52" s="780">
        <f>1/(1+'Interest Rate'!$J$16)^(CI4-$E$4)</f>
        <v>2.7068499583438117E-2</v>
      </c>
      <c r="CJ52" s="780">
        <f>1/(1+'Interest Rate'!$J$16)^(CJ4-$E$4)</f>
        <v>2.5902870414773321E-2</v>
      </c>
      <c r="CK52" s="780">
        <f>1/(1+'Interest Rate'!$J$16)^(CK4-$E$4)</f>
        <v>2.4787435803610838E-2</v>
      </c>
      <c r="CL52" s="780">
        <f>1/(1+'Interest Rate'!$J$16)^(CL4-$E$4)</f>
        <v>2.3720034261828553E-2</v>
      </c>
      <c r="CM52" s="780">
        <f>1/(1+'Interest Rate'!$J$16)^(CM4-$E$4)</f>
        <v>2.2698597379740247E-2</v>
      </c>
      <c r="CN52" s="780">
        <f>1/(1+'Interest Rate'!$J$16)^(CN4-$E$4)</f>
        <v>2.172114581793325E-2</v>
      </c>
      <c r="CO52" s="780">
        <f>1/(1+'Interest Rate'!$J$16)^(CO4-$E$4)</f>
        <v>2.0785785471706463E-2</v>
      </c>
      <c r="CP52" s="780">
        <f>1/(1+'Interest Rate'!$J$16)^(CP4-$E$4)</f>
        <v>1.9890703800676042E-2</v>
      </c>
      <c r="CQ52" s="780">
        <f>1/(1+'Interest Rate'!$J$16)^(CQ4-$E$4)</f>
        <v>1.903416631643641E-2</v>
      </c>
      <c r="CR52" s="780">
        <f>1/(1+'Interest Rate'!$J$16)^(CR4-$E$4)</f>
        <v>1.8214513221470247E-2</v>
      </c>
      <c r="CS52" s="780">
        <f>1/(1+'Interest Rate'!$J$16)^(CS4-$E$4)</f>
        <v>1.7430156192794501E-2</v>
      </c>
      <c r="CT52" s="780">
        <f>1/(1+'Interest Rate'!$J$16)^(CT4-$E$4)</f>
        <v>1.6679575304109566E-2</v>
      </c>
      <c r="CU52" s="780">
        <f>1/(1+'Interest Rate'!$J$16)^(CU4-$E$4)</f>
        <v>1.596131608048763E-2</v>
      </c>
      <c r="CV52" s="780">
        <f>1/(1+'Interest Rate'!$J$16)^(CV4-$E$4)</f>
        <v>1.5273986679892465E-2</v>
      </c>
      <c r="CW52" s="780">
        <f>1/(1+'Interest Rate'!$J$16)^(CW4-$E$4)</f>
        <v>1.4616255196069352E-2</v>
      </c>
      <c r="CX52" s="780">
        <f>1/(1+'Interest Rate'!$J$16)^(CX4-$E$4)</f>
        <v>1.3986847077578331E-2</v>
      </c>
      <c r="CY52" s="780">
        <f>1/(1+'Interest Rate'!$J$16)^(CY4-$E$4)</f>
        <v>1.3384542657969695E-2</v>
      </c>
      <c r="CZ52" s="780">
        <f>1/(1+'Interest Rate'!$J$16)^(CZ4-$E$4)</f>
        <v>1.2808174792315498E-2</v>
      </c>
    </row>
    <row r="53" spans="1:104" x14ac:dyDescent="0.25">
      <c r="B53" s="480" t="str">
        <f>CONCATENATE("Series ",'Economist Prepay (Plan 2)'!I16,"A Bonds, Initial Capital Payment (at ",'Interest Rate'!$J$16*100,"% Interest)")</f>
        <v>Series 2025A Bonds, Initial Capital Payment (at 4.5% Interest)</v>
      </c>
      <c r="C53" s="480"/>
      <c r="D53" s="480"/>
      <c r="E53" s="783">
        <f>IF(AND('Initial Capital Payment'!$C$14="Debt",
E4&lt;('Initial Capital Payment'!$C$12+'Initial Capital Payment'!$F$7),
E4&gt;='Initial Capital Payment'!$C$12),
-PMT('Interest Rate'!$J$16,'Initial Capital Payment'!$F$7,'Initial Capital Payment'!$C$10),0)</f>
        <v>3069577.1454296578</v>
      </c>
      <c r="F53" s="783">
        <f>IF(AND('Initial Capital Payment'!$C$14="Debt",
F4&lt;('Initial Capital Payment'!$C$12+'Initial Capital Payment'!$F$7),
F4&gt;='Initial Capital Payment'!$C$12),
-PMT('Interest Rate'!$J$16,'Initial Capital Payment'!$F$7,'Initial Capital Payment'!$C$10),0)</f>
        <v>3069577.1454296578</v>
      </c>
      <c r="G53" s="783">
        <f>IF(AND('Initial Capital Payment'!$C$14="Debt",
G4&lt;('Initial Capital Payment'!$C$12+'Initial Capital Payment'!$F$7),
G4&gt;='Initial Capital Payment'!$C$12),
-PMT('Interest Rate'!$J$16,'Initial Capital Payment'!$F$7,'Initial Capital Payment'!$C$10),0)</f>
        <v>3069577.1454296578</v>
      </c>
      <c r="H53" s="783">
        <f>IF(AND('Initial Capital Payment'!$C$14="Debt",
H4&lt;('Initial Capital Payment'!$C$12+'Initial Capital Payment'!$F$7),
H4&gt;='Initial Capital Payment'!$C$12),
-PMT('Interest Rate'!$J$16,'Initial Capital Payment'!$F$7,'Initial Capital Payment'!$C$10),0)</f>
        <v>3069577.1454296578</v>
      </c>
      <c r="I53" s="783">
        <f>IF(AND('Initial Capital Payment'!$C$14="Debt",
I4&lt;('Initial Capital Payment'!$C$12+'Initial Capital Payment'!$F$7),
I4&gt;='Initial Capital Payment'!$C$12),
-PMT('Interest Rate'!$J$16,'Initial Capital Payment'!$F$7,'Initial Capital Payment'!$C$10),0)</f>
        <v>3069577.1454296578</v>
      </c>
      <c r="J53" s="783">
        <f>IF(AND('Initial Capital Payment'!$C$14="Debt",
J4&lt;('Initial Capital Payment'!$C$12+'Initial Capital Payment'!$F$7),
J4&gt;='Initial Capital Payment'!$C$12),
-PMT('Interest Rate'!$J$16,'Initial Capital Payment'!$F$7,'Initial Capital Payment'!$C$10),0)</f>
        <v>3069577.1454296578</v>
      </c>
      <c r="K53" s="783">
        <f>IF(AND('Initial Capital Payment'!$C$14="Debt",
K4&lt;('Initial Capital Payment'!$C$12+'Initial Capital Payment'!$F$7),
K4&gt;='Initial Capital Payment'!$C$12),
-PMT('Interest Rate'!$J$16,'Initial Capital Payment'!$F$7,'Initial Capital Payment'!$C$10),0)</f>
        <v>3069577.1454296578</v>
      </c>
      <c r="L53" s="783">
        <f>IF(AND('Initial Capital Payment'!$C$14="Debt",
L4&lt;('Initial Capital Payment'!$C$12+'Initial Capital Payment'!$F$7),
L4&gt;='Initial Capital Payment'!$C$12),
-PMT('Interest Rate'!$J$16,'Initial Capital Payment'!$F$7,'Initial Capital Payment'!$C$10),0)</f>
        <v>3069577.1454296578</v>
      </c>
      <c r="M53" s="783">
        <f>IF(AND('Initial Capital Payment'!$C$14="Debt",
M4&lt;('Initial Capital Payment'!$C$12+'Initial Capital Payment'!$F$7),
M4&gt;='Initial Capital Payment'!$C$12),
-PMT('Interest Rate'!$J$16,'Initial Capital Payment'!$F$7,'Initial Capital Payment'!$C$10),0)</f>
        <v>3069577.1454296578</v>
      </c>
      <c r="N53" s="783">
        <f>IF(AND('Initial Capital Payment'!$C$14="Debt",
N4&lt;('Initial Capital Payment'!$C$12+'Initial Capital Payment'!$F$7),
N4&gt;='Initial Capital Payment'!$C$12),
-PMT('Interest Rate'!$J$16,'Initial Capital Payment'!$F$7,'Initial Capital Payment'!$C$10),0)</f>
        <v>3069577.1454296578</v>
      </c>
      <c r="O53" s="783">
        <f>IF(AND('Initial Capital Payment'!$C$14="Debt",
O4&lt;('Initial Capital Payment'!$C$12+'Initial Capital Payment'!$F$7),
O4&gt;='Initial Capital Payment'!$C$12),
-PMT('Interest Rate'!$J$16,'Initial Capital Payment'!$F$7,'Initial Capital Payment'!$C$10),0)</f>
        <v>3069577.1454296578</v>
      </c>
      <c r="P53" s="783">
        <f>IF(AND('Initial Capital Payment'!$C$14="Debt",
P4&lt;('Initial Capital Payment'!$C$12+'Initial Capital Payment'!$F$7),
P4&gt;='Initial Capital Payment'!$C$12),
-PMT('Interest Rate'!$J$16,'Initial Capital Payment'!$F$7,'Initial Capital Payment'!$C$10),0)</f>
        <v>3069577.1454296578</v>
      </c>
      <c r="Q53" s="783">
        <f>IF(AND('Initial Capital Payment'!$C$14="Debt",
Q4&lt;('Initial Capital Payment'!$C$12+'Initial Capital Payment'!$F$7),
Q4&gt;='Initial Capital Payment'!$C$12),
-PMT('Interest Rate'!$J$16,'Initial Capital Payment'!$F$7,'Initial Capital Payment'!$C$10),0)</f>
        <v>3069577.1454296578</v>
      </c>
      <c r="R53" s="783">
        <f>IF(AND('Initial Capital Payment'!$C$14="Debt",
R4&lt;('Initial Capital Payment'!$C$12+'Initial Capital Payment'!$F$7),
R4&gt;='Initial Capital Payment'!$C$12),
-PMT('Interest Rate'!$J$16,'Initial Capital Payment'!$F$7,'Initial Capital Payment'!$C$10),0)</f>
        <v>3069577.1454296578</v>
      </c>
      <c r="S53" s="783">
        <f>IF(AND('Initial Capital Payment'!$C$14="Debt",
S4&lt;('Initial Capital Payment'!$C$12+'Initial Capital Payment'!$F$7),
S4&gt;='Initial Capital Payment'!$C$12),
-PMT('Interest Rate'!$J$16,'Initial Capital Payment'!$F$7,'Initial Capital Payment'!$C$10),0)</f>
        <v>3069577.1454296578</v>
      </c>
      <c r="T53" s="783">
        <f>IF(AND('Initial Capital Payment'!$C$14="Debt",
T4&lt;('Initial Capital Payment'!$C$12+'Initial Capital Payment'!$F$7),
T4&gt;='Initial Capital Payment'!$C$12),
-PMT('Interest Rate'!$J$16,'Initial Capital Payment'!$F$7,'Initial Capital Payment'!$C$10),0)</f>
        <v>3069577.1454296578</v>
      </c>
      <c r="U53" s="783">
        <f>IF(AND('Initial Capital Payment'!$C$14="Debt",
U4&lt;('Initial Capital Payment'!$C$12+'Initial Capital Payment'!$F$7),
U4&gt;='Initial Capital Payment'!$C$12),
-PMT('Interest Rate'!$J$16,'Initial Capital Payment'!$F$7,'Initial Capital Payment'!$C$10),0)</f>
        <v>3069577.1454296578</v>
      </c>
      <c r="V53" s="783">
        <f>IF(AND('Initial Capital Payment'!$C$14="Debt",
V4&lt;('Initial Capital Payment'!$C$12+'Initial Capital Payment'!$F$7),
V4&gt;='Initial Capital Payment'!$C$12),
-PMT('Interest Rate'!$J$16,'Initial Capital Payment'!$F$7,'Initial Capital Payment'!$C$10),0)</f>
        <v>3069577.1454296578</v>
      </c>
      <c r="W53" s="783">
        <f>IF(AND('Initial Capital Payment'!$C$14="Debt",
W4&lt;('Initial Capital Payment'!$C$12+'Initial Capital Payment'!$F$7),
W4&gt;='Initial Capital Payment'!$C$12),
-PMT('Interest Rate'!$J$16,'Initial Capital Payment'!$F$7,'Initial Capital Payment'!$C$10),0)</f>
        <v>3069577.1454296578</v>
      </c>
      <c r="X53" s="783">
        <f>IF(AND('Initial Capital Payment'!$C$14="Debt",
X4&lt;('Initial Capital Payment'!$C$12+'Initial Capital Payment'!$F$7),
X4&gt;='Initial Capital Payment'!$C$12),
-PMT('Interest Rate'!$J$16,'Initial Capital Payment'!$F$7,'Initial Capital Payment'!$C$10),0)</f>
        <v>3069577.1454296578</v>
      </c>
      <c r="Y53" s="783">
        <f>IF(AND('Initial Capital Payment'!$C$14="Debt",
Y4&lt;('Initial Capital Payment'!$C$12+'Initial Capital Payment'!$F$7),
Y4&gt;='Initial Capital Payment'!$C$12),
-PMT('Interest Rate'!$J$16,'Initial Capital Payment'!$F$7,'Initial Capital Payment'!$C$10),0)</f>
        <v>3069577.1454296578</v>
      </c>
      <c r="Z53" s="783">
        <f>IF(AND('Initial Capital Payment'!$C$14="Debt",
Z4&lt;('Initial Capital Payment'!$C$12+'Initial Capital Payment'!$F$7),
Z4&gt;='Initial Capital Payment'!$C$12),
-PMT('Interest Rate'!$J$16,'Initial Capital Payment'!$F$7,'Initial Capital Payment'!$C$10),0)</f>
        <v>3069577.1454296578</v>
      </c>
      <c r="AA53" s="783">
        <f>IF(AND('Initial Capital Payment'!$C$14="Debt",
AA4&lt;('Initial Capital Payment'!$C$12+'Initial Capital Payment'!$F$7),
AA4&gt;='Initial Capital Payment'!$C$12),
-PMT('Interest Rate'!$J$16,'Initial Capital Payment'!$F$7,'Initial Capital Payment'!$C$10),0)</f>
        <v>3069577.1454296578</v>
      </c>
      <c r="AB53" s="783">
        <f>IF(AND('Initial Capital Payment'!$C$14="Debt",
AB4&lt;('Initial Capital Payment'!$C$12+'Initial Capital Payment'!$F$7),
AB4&gt;='Initial Capital Payment'!$C$12),
-PMT('Interest Rate'!$J$16,'Initial Capital Payment'!$F$7,'Initial Capital Payment'!$C$10),0)</f>
        <v>3069577.1454296578</v>
      </c>
      <c r="AC53" s="783">
        <f>IF(AND('Initial Capital Payment'!$C$14="Debt",
AC4&lt;('Initial Capital Payment'!$C$12+'Initial Capital Payment'!$F$7),
AC4&gt;='Initial Capital Payment'!$C$12),
-PMT('Interest Rate'!$J$16,'Initial Capital Payment'!$F$7,'Initial Capital Payment'!$C$10),0)</f>
        <v>3069577.1454296578</v>
      </c>
      <c r="AD53" s="783">
        <f>IF(AND('Initial Capital Payment'!$C$14="Debt",
AD4&lt;('Initial Capital Payment'!$C$12+'Initial Capital Payment'!$F$7),
AD4&gt;='Initial Capital Payment'!$C$12),
-PMT('Interest Rate'!$J$16,'Initial Capital Payment'!$F$7,'Initial Capital Payment'!$C$10),0)</f>
        <v>3069577.1454296578</v>
      </c>
      <c r="AE53" s="783">
        <f>IF(AND('Initial Capital Payment'!$C$14="Debt",
AE4&lt;('Initial Capital Payment'!$C$12+'Initial Capital Payment'!$F$7),
AE4&gt;='Initial Capital Payment'!$C$12),
-PMT('Interest Rate'!$J$16,'Initial Capital Payment'!$F$7,'Initial Capital Payment'!$C$10),0)</f>
        <v>3069577.1454296578</v>
      </c>
      <c r="AF53" s="783">
        <f>IF(AND('Initial Capital Payment'!$C$14="Debt",
AF4&lt;('Initial Capital Payment'!$C$12+'Initial Capital Payment'!$F$7),
AF4&gt;='Initial Capital Payment'!$C$12),
-PMT('Interest Rate'!$J$16,'Initial Capital Payment'!$F$7,'Initial Capital Payment'!$C$10),0)</f>
        <v>3069577.1454296578</v>
      </c>
      <c r="AG53" s="783">
        <f>IF(AND('Initial Capital Payment'!$C$14="Debt",
AG4&lt;('Initial Capital Payment'!$C$12+'Initial Capital Payment'!$F$7),
AG4&gt;='Initial Capital Payment'!$C$12),
-PMT('Interest Rate'!$J$16,'Initial Capital Payment'!$F$7,'Initial Capital Payment'!$C$10),0)</f>
        <v>3069577.1454296578</v>
      </c>
      <c r="AH53" s="783">
        <f>IF(AND('Initial Capital Payment'!$C$14="Debt",
AH4&lt;('Initial Capital Payment'!$C$12+'Initial Capital Payment'!$F$7),
AH4&gt;='Initial Capital Payment'!$C$12),
-PMT('Interest Rate'!$J$16,'Initial Capital Payment'!$F$7,'Initial Capital Payment'!$C$10),0)</f>
        <v>3069577.1454296578</v>
      </c>
      <c r="AI53" s="783">
        <f>IF(AND('Initial Capital Payment'!$C$14="Debt",
AI4&lt;('Initial Capital Payment'!$C$12+'Initial Capital Payment'!$F$7),
AI4&gt;='Initial Capital Payment'!$C$12),
-PMT('Interest Rate'!$J$16,'Initial Capital Payment'!$F$7,'Initial Capital Payment'!$C$10),0)</f>
        <v>0</v>
      </c>
      <c r="AJ53" s="783">
        <f>IF(AND('Initial Capital Payment'!$C$14="Debt",
AJ4&lt;('Initial Capital Payment'!$C$12+'Initial Capital Payment'!$F$7),
AJ4&gt;='Initial Capital Payment'!$C$12),
-PMT('Interest Rate'!$J$16,'Initial Capital Payment'!$F$7,'Initial Capital Payment'!$C$10),0)</f>
        <v>0</v>
      </c>
      <c r="AK53" s="783">
        <f>IF(AND('Initial Capital Payment'!$C$14="Debt",
AK4&lt;('Initial Capital Payment'!$C$12+'Initial Capital Payment'!$F$7),
AK4&gt;='Initial Capital Payment'!$C$12),
-PMT('Interest Rate'!$J$16,'Initial Capital Payment'!$F$7,'Initial Capital Payment'!$C$10),0)</f>
        <v>0</v>
      </c>
      <c r="AL53" s="783">
        <f>IF(AND('Initial Capital Payment'!$C$14="Debt",
AL4&lt;('Initial Capital Payment'!$C$12+'Initial Capital Payment'!$F$7),
AL4&gt;='Initial Capital Payment'!$C$12),
-PMT('Interest Rate'!$J$16,'Initial Capital Payment'!$F$7,'Initial Capital Payment'!$C$10),0)</f>
        <v>0</v>
      </c>
      <c r="AM53" s="783">
        <f>IF(AND('Initial Capital Payment'!$C$14="Debt",
AM4&lt;('Initial Capital Payment'!$C$12+'Initial Capital Payment'!$F$7),
AM4&gt;='Initial Capital Payment'!$C$12),
-PMT('Interest Rate'!$J$16,'Initial Capital Payment'!$F$7,'Initial Capital Payment'!$C$10),0)</f>
        <v>0</v>
      </c>
      <c r="AN53" s="783">
        <f>IF(AND('Initial Capital Payment'!$C$14="Debt",
AN4&lt;('Initial Capital Payment'!$C$12+'Initial Capital Payment'!$F$7),
AN4&gt;='Initial Capital Payment'!$C$12),
-PMT('Interest Rate'!$J$16,'Initial Capital Payment'!$F$7,'Initial Capital Payment'!$C$10),0)</f>
        <v>0</v>
      </c>
      <c r="AO53" s="783">
        <f>IF(AND('Initial Capital Payment'!$C$14="Debt",
AO4&lt;('Initial Capital Payment'!$C$12+'Initial Capital Payment'!$F$7),
AO4&gt;='Initial Capital Payment'!$C$12),
-PMT('Interest Rate'!$J$16,'Initial Capital Payment'!$F$7,'Initial Capital Payment'!$C$10),0)</f>
        <v>0</v>
      </c>
      <c r="AP53" s="783">
        <f>IF(AND('Initial Capital Payment'!$C$14="Debt",
AP4&lt;('Initial Capital Payment'!$C$12+'Initial Capital Payment'!$F$7),
AP4&gt;='Initial Capital Payment'!$C$12),
-PMT('Interest Rate'!$J$16,'Initial Capital Payment'!$F$7,'Initial Capital Payment'!$C$10),0)</f>
        <v>0</v>
      </c>
      <c r="AQ53" s="783">
        <f>IF(AND('Initial Capital Payment'!$C$14="Debt",
AQ4&lt;('Initial Capital Payment'!$C$12+'Initial Capital Payment'!$F$7),
AQ4&gt;='Initial Capital Payment'!$C$12),
-PMT('Interest Rate'!$J$16,'Initial Capital Payment'!$F$7,'Initial Capital Payment'!$C$10),0)</f>
        <v>0</v>
      </c>
      <c r="AR53" s="783">
        <f>IF(AND('Initial Capital Payment'!$C$14="Debt",
AR4&lt;('Initial Capital Payment'!$C$12+'Initial Capital Payment'!$F$7),
AR4&gt;='Initial Capital Payment'!$C$12),
-PMT('Interest Rate'!$J$16,'Initial Capital Payment'!$F$7,'Initial Capital Payment'!$C$10),0)</f>
        <v>0</v>
      </c>
      <c r="AS53" s="783">
        <f>IF(AND('Initial Capital Payment'!$C$14="Debt",
AS4&lt;('Initial Capital Payment'!$C$12+'Initial Capital Payment'!$F$7),
AS4&gt;='Initial Capital Payment'!$C$12),
-PMT('Interest Rate'!$J$16,'Initial Capital Payment'!$F$7,'Initial Capital Payment'!$C$10),0)</f>
        <v>0</v>
      </c>
      <c r="AT53" s="783">
        <f>IF(AND('Initial Capital Payment'!$C$14="Debt",
AT4&lt;('Initial Capital Payment'!$C$12+'Initial Capital Payment'!$F$7),
AT4&gt;='Initial Capital Payment'!$C$12),
-PMT('Interest Rate'!$J$16,'Initial Capital Payment'!$F$7,'Initial Capital Payment'!$C$10),0)</f>
        <v>0</v>
      </c>
      <c r="AU53" s="783">
        <f>IF(AND('Initial Capital Payment'!$C$14="Debt",
AU4&lt;('Initial Capital Payment'!$C$12+'Initial Capital Payment'!$F$7),
AU4&gt;='Initial Capital Payment'!$C$12),
-PMT('Interest Rate'!$J$16,'Initial Capital Payment'!$F$7,'Initial Capital Payment'!$C$10),0)</f>
        <v>0</v>
      </c>
      <c r="AV53" s="783">
        <f>IF(AND('Initial Capital Payment'!$C$14="Debt",
AV4&lt;('Initial Capital Payment'!$C$12+'Initial Capital Payment'!$F$7),
AV4&gt;='Initial Capital Payment'!$C$12),
-PMT('Interest Rate'!$J$16,'Initial Capital Payment'!$F$7,'Initial Capital Payment'!$C$10),0)</f>
        <v>0</v>
      </c>
      <c r="AW53" s="783">
        <f>IF(AND('Initial Capital Payment'!$C$14="Debt",
AW4&lt;('Initial Capital Payment'!$C$12+'Initial Capital Payment'!$F$7),
AW4&gt;='Initial Capital Payment'!$C$12),
-PMT('Interest Rate'!$J$16,'Initial Capital Payment'!$F$7,'Initial Capital Payment'!$C$10),0)</f>
        <v>0</v>
      </c>
      <c r="AX53" s="783">
        <f>IF(AND('Initial Capital Payment'!$C$14="Debt",
AX4&lt;('Initial Capital Payment'!$C$12+'Initial Capital Payment'!$F$7),
AX4&gt;='Initial Capital Payment'!$C$12),
-PMT('Interest Rate'!$J$16,'Initial Capital Payment'!$F$7,'Initial Capital Payment'!$C$10),0)</f>
        <v>0</v>
      </c>
      <c r="AY53" s="783">
        <f>IF(AND('Initial Capital Payment'!$C$14="Debt",
AY4&lt;('Initial Capital Payment'!$C$12+'Initial Capital Payment'!$F$7),
AY4&gt;='Initial Capital Payment'!$C$12),
-PMT('Interest Rate'!$J$16,'Initial Capital Payment'!$F$7,'Initial Capital Payment'!$C$10),0)</f>
        <v>0</v>
      </c>
      <c r="AZ53" s="783">
        <f>IF(AND('Initial Capital Payment'!$C$14="Debt",
AZ4&lt;('Initial Capital Payment'!$C$12+'Initial Capital Payment'!$F$7),
AZ4&gt;='Initial Capital Payment'!$C$12),
-PMT('Interest Rate'!$J$16,'Initial Capital Payment'!$F$7,'Initial Capital Payment'!$C$10),0)</f>
        <v>0</v>
      </c>
      <c r="BA53" s="783">
        <f>IF(AND('Initial Capital Payment'!$C$14="Debt",
BA4&lt;('Initial Capital Payment'!$C$12+'Initial Capital Payment'!$F$7),
BA4&gt;='Initial Capital Payment'!$C$12),
-PMT('Interest Rate'!$J$16,'Initial Capital Payment'!$F$7,'Initial Capital Payment'!$C$10),0)</f>
        <v>0</v>
      </c>
      <c r="BB53" s="783">
        <f>IF(AND('Initial Capital Payment'!$C$14="Debt",
BB4&lt;('Initial Capital Payment'!$C$12+'Initial Capital Payment'!$F$7),
BB4&gt;='Initial Capital Payment'!$C$12),
-PMT('Interest Rate'!$J$16,'Initial Capital Payment'!$F$7,'Initial Capital Payment'!$C$10),0)</f>
        <v>0</v>
      </c>
      <c r="BC53" s="783">
        <f>IF(AND('Initial Capital Payment'!$C$14="Debt",
BC4&lt;('Initial Capital Payment'!$C$12+'Initial Capital Payment'!$F$7),
BC4&gt;='Initial Capital Payment'!$C$12),
-PMT('Interest Rate'!$J$16,'Initial Capital Payment'!$F$7,'Initial Capital Payment'!$C$10),0)</f>
        <v>0</v>
      </c>
      <c r="BD53" s="783">
        <f>IF(AND('Initial Capital Payment'!$C$14="Debt",
BD4&lt;('Initial Capital Payment'!$C$12+'Initial Capital Payment'!$F$7),
BD4&gt;='Initial Capital Payment'!$C$12),
-PMT('Interest Rate'!$J$16,'Initial Capital Payment'!$F$7,'Initial Capital Payment'!$C$10),0)</f>
        <v>0</v>
      </c>
      <c r="BE53" s="783">
        <f>IF(AND('Initial Capital Payment'!$C$14="Debt",
BE4&lt;('Initial Capital Payment'!$C$12+'Initial Capital Payment'!$F$7),
BE4&gt;='Initial Capital Payment'!$C$12),
-PMT('Interest Rate'!$J$16,'Initial Capital Payment'!$F$7,'Initial Capital Payment'!$C$10),0)</f>
        <v>0</v>
      </c>
      <c r="BF53" s="783">
        <f>IF(AND('Initial Capital Payment'!$C$14="Debt",
BF4&lt;('Initial Capital Payment'!$C$12+'Initial Capital Payment'!$F$7),
BF4&gt;='Initial Capital Payment'!$C$12),
-PMT('Interest Rate'!$J$16,'Initial Capital Payment'!$F$7,'Initial Capital Payment'!$C$10),0)</f>
        <v>0</v>
      </c>
      <c r="BG53" s="783">
        <f>IF(AND('Initial Capital Payment'!$C$14="Debt",
BG4&lt;('Initial Capital Payment'!$C$12+'Initial Capital Payment'!$F$7),
BG4&gt;='Initial Capital Payment'!$C$12),
-PMT('Interest Rate'!$J$16,'Initial Capital Payment'!$F$7,'Initial Capital Payment'!$C$10),0)</f>
        <v>0</v>
      </c>
      <c r="BH53" s="783">
        <f>IF(AND('Initial Capital Payment'!$C$14="Debt",
BH4&lt;('Initial Capital Payment'!$C$12+'Initial Capital Payment'!$F$7),
BH4&gt;='Initial Capital Payment'!$C$12),
-PMT('Interest Rate'!$J$16,'Initial Capital Payment'!$F$7,'Initial Capital Payment'!$C$10),0)</f>
        <v>0</v>
      </c>
      <c r="BI53" s="783">
        <f>IF(AND('Initial Capital Payment'!$C$14="Debt",
BI4&lt;('Initial Capital Payment'!$C$12+'Initial Capital Payment'!$F$7),
BI4&gt;='Initial Capital Payment'!$C$12),
-PMT('Interest Rate'!$J$16,'Initial Capital Payment'!$F$7,'Initial Capital Payment'!$C$10),0)</f>
        <v>0</v>
      </c>
      <c r="BJ53" s="783">
        <f>IF(AND('Initial Capital Payment'!$C$14="Debt",
BJ4&lt;('Initial Capital Payment'!$C$12+'Initial Capital Payment'!$F$7),
BJ4&gt;='Initial Capital Payment'!$C$12),
-PMT('Interest Rate'!$J$16,'Initial Capital Payment'!$F$7,'Initial Capital Payment'!$C$10),0)</f>
        <v>0</v>
      </c>
      <c r="BK53" s="783">
        <f>IF(AND('Initial Capital Payment'!$C$14="Debt",
BK4&lt;('Initial Capital Payment'!$C$12+'Initial Capital Payment'!$F$7),
BK4&gt;='Initial Capital Payment'!$C$12),
-PMT('Interest Rate'!$J$16,'Initial Capital Payment'!$F$7,'Initial Capital Payment'!$C$10),0)</f>
        <v>0</v>
      </c>
      <c r="BL53" s="783">
        <f>IF(AND('Initial Capital Payment'!$C$14="Debt",
BL4&lt;('Initial Capital Payment'!$C$12+'Initial Capital Payment'!$F$7),
BL4&gt;='Initial Capital Payment'!$C$12),
-PMT('Interest Rate'!$J$16,'Initial Capital Payment'!$F$7,'Initial Capital Payment'!$C$10),0)</f>
        <v>0</v>
      </c>
      <c r="BM53" s="783">
        <f>IF(AND('Initial Capital Payment'!$C$14="Debt",
BM4&lt;('Initial Capital Payment'!$C$12+'Initial Capital Payment'!$F$7),
BM4&gt;='Initial Capital Payment'!$C$12),
-PMT('Interest Rate'!$J$16,'Initial Capital Payment'!$F$7,'Initial Capital Payment'!$C$10),0)</f>
        <v>0</v>
      </c>
      <c r="BN53" s="783">
        <f>IF(AND('Initial Capital Payment'!$C$14="Debt",
BN4&lt;('Initial Capital Payment'!$C$12+'Initial Capital Payment'!$F$7),
BN4&gt;='Initial Capital Payment'!$C$12),
-PMT('Interest Rate'!$J$16,'Initial Capital Payment'!$F$7,'Initial Capital Payment'!$C$10),0)</f>
        <v>0</v>
      </c>
      <c r="BO53" s="783">
        <f>IF(AND('Initial Capital Payment'!$C$14="Debt",
BO4&lt;('Initial Capital Payment'!$C$12+'Initial Capital Payment'!$F$7),
BO4&gt;='Initial Capital Payment'!$C$12),
-PMT('Interest Rate'!$J$16,'Initial Capital Payment'!$F$7,'Initial Capital Payment'!$C$10),0)</f>
        <v>0</v>
      </c>
      <c r="BP53" s="783">
        <f>IF(AND('Initial Capital Payment'!$C$14="Debt",
BP4&lt;('Initial Capital Payment'!$C$12+'Initial Capital Payment'!$F$7),
BP4&gt;='Initial Capital Payment'!$C$12),
-PMT('Interest Rate'!$J$16,'Initial Capital Payment'!$F$7,'Initial Capital Payment'!$C$10),0)</f>
        <v>0</v>
      </c>
      <c r="BQ53" s="783">
        <f>IF(AND('Initial Capital Payment'!$C$14="Debt",
BQ4&lt;('Initial Capital Payment'!$C$12+'Initial Capital Payment'!$F$7),
BQ4&gt;='Initial Capital Payment'!$C$12),
-PMT('Interest Rate'!$J$16,'Initial Capital Payment'!$F$7,'Initial Capital Payment'!$C$10),0)</f>
        <v>0</v>
      </c>
      <c r="BR53" s="783">
        <f>IF(AND('Initial Capital Payment'!$C$14="Debt",
BR4&lt;('Initial Capital Payment'!$C$12+'Initial Capital Payment'!$F$7),
BR4&gt;='Initial Capital Payment'!$C$12),
-PMT('Interest Rate'!$J$16,'Initial Capital Payment'!$F$7,'Initial Capital Payment'!$C$10),0)</f>
        <v>0</v>
      </c>
      <c r="BS53" s="783">
        <f>IF(AND('Initial Capital Payment'!$C$14="Debt",
BS4&lt;('Initial Capital Payment'!$C$12+'Initial Capital Payment'!$F$7),
BS4&gt;='Initial Capital Payment'!$C$12),
-PMT('Interest Rate'!$J$16,'Initial Capital Payment'!$F$7,'Initial Capital Payment'!$C$10),0)</f>
        <v>0</v>
      </c>
      <c r="BT53" s="783">
        <f>IF(AND('Initial Capital Payment'!$C$14="Debt",
BT4&lt;('Initial Capital Payment'!$C$12+'Initial Capital Payment'!$F$7),
BT4&gt;='Initial Capital Payment'!$C$12),
-PMT('Interest Rate'!$J$16,'Initial Capital Payment'!$F$7,'Initial Capital Payment'!$C$10),0)</f>
        <v>0</v>
      </c>
      <c r="BU53" s="783">
        <f>IF(AND('Initial Capital Payment'!$C$14="Debt",
BU4&lt;('Initial Capital Payment'!$C$12+'Initial Capital Payment'!$F$7),
BU4&gt;='Initial Capital Payment'!$C$12),
-PMT('Interest Rate'!$J$16,'Initial Capital Payment'!$F$7,'Initial Capital Payment'!$C$10),0)</f>
        <v>0</v>
      </c>
      <c r="BV53" s="783">
        <f>IF(AND('Initial Capital Payment'!$C$14="Debt",
BV4&lt;('Initial Capital Payment'!$C$12+'Initial Capital Payment'!$F$7),
BV4&gt;='Initial Capital Payment'!$C$12),
-PMT('Interest Rate'!$J$16,'Initial Capital Payment'!$F$7,'Initial Capital Payment'!$C$10),0)</f>
        <v>0</v>
      </c>
      <c r="BW53" s="783">
        <f>IF(AND('Initial Capital Payment'!$C$14="Debt",
BW4&lt;('Initial Capital Payment'!$C$12+'Initial Capital Payment'!$F$7),
BW4&gt;='Initial Capital Payment'!$C$12),
-PMT('Interest Rate'!$J$16,'Initial Capital Payment'!$F$7,'Initial Capital Payment'!$C$10),0)</f>
        <v>0</v>
      </c>
      <c r="BX53" s="783">
        <f>IF(AND('Initial Capital Payment'!$C$14="Debt",
BX4&lt;('Initial Capital Payment'!$C$12+'Initial Capital Payment'!$F$7),
BX4&gt;='Initial Capital Payment'!$C$12),
-PMT('Interest Rate'!$J$16,'Initial Capital Payment'!$F$7,'Initial Capital Payment'!$C$10),0)</f>
        <v>0</v>
      </c>
      <c r="BY53" s="783">
        <f>IF(AND('Initial Capital Payment'!$C$14="Debt",
BY4&lt;('Initial Capital Payment'!$C$12+'Initial Capital Payment'!$F$7),
BY4&gt;='Initial Capital Payment'!$C$12),
-PMT('Interest Rate'!$J$16,'Initial Capital Payment'!$F$7,'Initial Capital Payment'!$C$10),0)</f>
        <v>0</v>
      </c>
      <c r="BZ53" s="783">
        <f>IF(AND('Initial Capital Payment'!$C$14="Debt",
BZ4&lt;('Initial Capital Payment'!$C$12+'Initial Capital Payment'!$F$7),
BZ4&gt;='Initial Capital Payment'!$C$12),
-PMT('Interest Rate'!$J$16,'Initial Capital Payment'!$F$7,'Initial Capital Payment'!$C$10),0)</f>
        <v>0</v>
      </c>
      <c r="CA53" s="783">
        <f>IF(AND('Initial Capital Payment'!$C$14="Debt",
CA4&lt;('Initial Capital Payment'!$C$12+'Initial Capital Payment'!$F$7),
CA4&gt;='Initial Capital Payment'!$C$12),
-PMT('Interest Rate'!$J$16,'Initial Capital Payment'!$F$7,'Initial Capital Payment'!$C$10),0)</f>
        <v>0</v>
      </c>
      <c r="CB53" s="783">
        <f>IF(AND('Initial Capital Payment'!$C$14="Debt",
CB4&lt;('Initial Capital Payment'!$C$12+'Initial Capital Payment'!$F$7),
CB4&gt;='Initial Capital Payment'!$C$12),
-PMT('Interest Rate'!$J$16,'Initial Capital Payment'!$F$7,'Initial Capital Payment'!$C$10),0)</f>
        <v>0</v>
      </c>
      <c r="CC53" s="783">
        <f>IF(AND('Initial Capital Payment'!$C$14="Debt",
CC4&lt;('Initial Capital Payment'!$C$12+'Initial Capital Payment'!$F$7),
CC4&gt;='Initial Capital Payment'!$C$12),
-PMT('Interest Rate'!$J$16,'Initial Capital Payment'!$F$7,'Initial Capital Payment'!$C$10),0)</f>
        <v>0</v>
      </c>
      <c r="CD53" s="783">
        <f>IF(AND('Initial Capital Payment'!$C$14="Debt",
CD4&lt;('Initial Capital Payment'!$C$12+'Initial Capital Payment'!$F$7),
CD4&gt;='Initial Capital Payment'!$C$12),
-PMT('Interest Rate'!$J$16,'Initial Capital Payment'!$F$7,'Initial Capital Payment'!$C$10),0)</f>
        <v>0</v>
      </c>
      <c r="CE53" s="783">
        <f>IF(AND('Initial Capital Payment'!$C$14="Debt",
CE4&lt;('Initial Capital Payment'!$C$12+'Initial Capital Payment'!$F$7),
CE4&gt;='Initial Capital Payment'!$C$12),
-PMT('Interest Rate'!$J$16,'Initial Capital Payment'!$F$7,'Initial Capital Payment'!$C$10),0)</f>
        <v>0</v>
      </c>
      <c r="CF53" s="783">
        <f>IF(AND('Initial Capital Payment'!$C$14="Debt",
CF4&lt;('Initial Capital Payment'!$C$12+'Initial Capital Payment'!$F$7),
CF4&gt;='Initial Capital Payment'!$C$12),
-PMT('Interest Rate'!$J$16,'Initial Capital Payment'!$F$7,'Initial Capital Payment'!$C$10),0)</f>
        <v>0</v>
      </c>
      <c r="CG53" s="783">
        <f>IF(AND('Initial Capital Payment'!$C$14="Debt",
CG4&lt;('Initial Capital Payment'!$C$12+'Initial Capital Payment'!$F$7),
CG4&gt;='Initial Capital Payment'!$C$12),
-PMT('Interest Rate'!$J$16,'Initial Capital Payment'!$F$7,'Initial Capital Payment'!$C$10),0)</f>
        <v>0</v>
      </c>
      <c r="CH53" s="783">
        <f>IF(AND('Initial Capital Payment'!$C$14="Debt",
CH4&lt;('Initial Capital Payment'!$C$12+'Initial Capital Payment'!$F$7),
CH4&gt;='Initial Capital Payment'!$C$12),
-PMT('Interest Rate'!$J$16,'Initial Capital Payment'!$F$7,'Initial Capital Payment'!$C$10),0)</f>
        <v>0</v>
      </c>
      <c r="CI53" s="783">
        <f>IF(AND('Initial Capital Payment'!$C$14="Debt",
CI4&lt;('Initial Capital Payment'!$C$12+'Initial Capital Payment'!$F$7),
CI4&gt;='Initial Capital Payment'!$C$12),
-PMT('Interest Rate'!$J$16,'Initial Capital Payment'!$F$7,'Initial Capital Payment'!$C$10),0)</f>
        <v>0</v>
      </c>
      <c r="CJ53" s="783">
        <f>IF(AND('Initial Capital Payment'!$C$14="Debt",
CJ4&lt;('Initial Capital Payment'!$C$12+'Initial Capital Payment'!$F$7),
CJ4&gt;='Initial Capital Payment'!$C$12),
-PMT('Interest Rate'!$J$16,'Initial Capital Payment'!$F$7,'Initial Capital Payment'!$C$10),0)</f>
        <v>0</v>
      </c>
      <c r="CK53" s="783">
        <f>IF(AND('Initial Capital Payment'!$C$14="Debt",
CK4&lt;('Initial Capital Payment'!$C$12+'Initial Capital Payment'!$F$7),
CK4&gt;='Initial Capital Payment'!$C$12),
-PMT('Interest Rate'!$J$16,'Initial Capital Payment'!$F$7,'Initial Capital Payment'!$C$10),0)</f>
        <v>0</v>
      </c>
      <c r="CL53" s="783">
        <f>IF(AND('Initial Capital Payment'!$C$14="Debt",
CL4&lt;('Initial Capital Payment'!$C$12+'Initial Capital Payment'!$F$7),
CL4&gt;='Initial Capital Payment'!$C$12),
-PMT('Interest Rate'!$J$16,'Initial Capital Payment'!$F$7,'Initial Capital Payment'!$C$10),0)</f>
        <v>0</v>
      </c>
      <c r="CM53" s="783">
        <f>IF(AND('Initial Capital Payment'!$C$14="Debt",
CM4&lt;('Initial Capital Payment'!$C$12+'Initial Capital Payment'!$F$7),
CM4&gt;='Initial Capital Payment'!$C$12),
-PMT('Interest Rate'!$J$16,'Initial Capital Payment'!$F$7,'Initial Capital Payment'!$C$10),0)</f>
        <v>0</v>
      </c>
      <c r="CN53" s="783">
        <f>IF(AND('Initial Capital Payment'!$C$14="Debt",
CN4&lt;('Initial Capital Payment'!$C$12+'Initial Capital Payment'!$F$7),
CN4&gt;='Initial Capital Payment'!$C$12),
-PMT('Interest Rate'!$J$16,'Initial Capital Payment'!$F$7,'Initial Capital Payment'!$C$10),0)</f>
        <v>0</v>
      </c>
      <c r="CO53" s="783">
        <f>IF(AND('Initial Capital Payment'!$C$14="Debt",
CO4&lt;('Initial Capital Payment'!$C$12+'Initial Capital Payment'!$F$7),
CO4&gt;='Initial Capital Payment'!$C$12),
-PMT('Interest Rate'!$J$16,'Initial Capital Payment'!$F$7,'Initial Capital Payment'!$C$10),0)</f>
        <v>0</v>
      </c>
      <c r="CP53" s="783">
        <f>IF(AND('Initial Capital Payment'!$C$14="Debt",
CP4&lt;('Initial Capital Payment'!$C$12+'Initial Capital Payment'!$F$7),
CP4&gt;='Initial Capital Payment'!$C$12),
-PMT('Interest Rate'!$J$16,'Initial Capital Payment'!$F$7,'Initial Capital Payment'!$C$10),0)</f>
        <v>0</v>
      </c>
      <c r="CQ53" s="783">
        <f>IF(AND('Initial Capital Payment'!$C$14="Debt",
CQ4&lt;('Initial Capital Payment'!$C$12+'Initial Capital Payment'!$F$7),
CQ4&gt;='Initial Capital Payment'!$C$12),
-PMT('Interest Rate'!$J$16,'Initial Capital Payment'!$F$7,'Initial Capital Payment'!$C$10),0)</f>
        <v>0</v>
      </c>
      <c r="CR53" s="783">
        <f>IF(AND('Initial Capital Payment'!$C$14="Debt",
CR4&lt;('Initial Capital Payment'!$C$12+'Initial Capital Payment'!$F$7),
CR4&gt;='Initial Capital Payment'!$C$12),
-PMT('Interest Rate'!$J$16,'Initial Capital Payment'!$F$7,'Initial Capital Payment'!$C$10),0)</f>
        <v>0</v>
      </c>
      <c r="CS53" s="783">
        <f>IF(AND('Initial Capital Payment'!$C$14="Debt",
CS4&lt;('Initial Capital Payment'!$C$12+'Initial Capital Payment'!$F$7),
CS4&gt;='Initial Capital Payment'!$C$12),
-PMT('Interest Rate'!$J$16,'Initial Capital Payment'!$F$7,'Initial Capital Payment'!$C$10),0)</f>
        <v>0</v>
      </c>
      <c r="CT53" s="783">
        <f>IF(AND('Initial Capital Payment'!$C$14="Debt",
CT4&lt;('Initial Capital Payment'!$C$12+'Initial Capital Payment'!$F$7),
CT4&gt;='Initial Capital Payment'!$C$12),
-PMT('Interest Rate'!$J$16,'Initial Capital Payment'!$F$7,'Initial Capital Payment'!$C$10),0)</f>
        <v>0</v>
      </c>
      <c r="CU53" s="783">
        <f>IF(AND('Initial Capital Payment'!$C$14="Debt",
CU4&lt;('Initial Capital Payment'!$C$12+'Initial Capital Payment'!$F$7),
CU4&gt;='Initial Capital Payment'!$C$12),
-PMT('Interest Rate'!$J$16,'Initial Capital Payment'!$F$7,'Initial Capital Payment'!$C$10),0)</f>
        <v>0</v>
      </c>
      <c r="CV53" s="783">
        <f>IF(AND('Initial Capital Payment'!$C$14="Debt",
CV4&lt;('Initial Capital Payment'!$C$12+'Initial Capital Payment'!$F$7),
CV4&gt;='Initial Capital Payment'!$C$12),
-PMT('Interest Rate'!$J$16,'Initial Capital Payment'!$F$7,'Initial Capital Payment'!$C$10),0)</f>
        <v>0</v>
      </c>
      <c r="CW53" s="783">
        <f>IF(AND('Initial Capital Payment'!$C$14="Debt",
CW4&lt;('Initial Capital Payment'!$C$12+'Initial Capital Payment'!$F$7),
CW4&gt;='Initial Capital Payment'!$C$12),
-PMT('Interest Rate'!$J$16,'Initial Capital Payment'!$F$7,'Initial Capital Payment'!$C$10),0)</f>
        <v>0</v>
      </c>
      <c r="CX53" s="783">
        <f>IF(AND('Initial Capital Payment'!$C$14="Debt",
CX4&lt;('Initial Capital Payment'!$C$12+'Initial Capital Payment'!$F$7),
CX4&gt;='Initial Capital Payment'!$C$12),
-PMT('Interest Rate'!$J$16,'Initial Capital Payment'!$F$7,'Initial Capital Payment'!$C$10),0)</f>
        <v>0</v>
      </c>
      <c r="CY53" s="783">
        <f>IF(AND('Initial Capital Payment'!$C$14="Debt",
CY4&lt;('Initial Capital Payment'!$C$12+'Initial Capital Payment'!$F$7),
CY4&gt;='Initial Capital Payment'!$C$12),
-PMT('Interest Rate'!$J$16,'Initial Capital Payment'!$F$7,'Initial Capital Payment'!$C$10),0)</f>
        <v>0</v>
      </c>
      <c r="CZ53" s="783">
        <f>IF(AND('Initial Capital Payment'!$C$14="Debt",
CZ4&lt;('Initial Capital Payment'!$C$12+'Initial Capital Payment'!$F$7),
CZ4&gt;='Initial Capital Payment'!$C$12),
-PMT('Interest Rate'!$J$16,'Initial Capital Payment'!$F$7,'Initial Capital Payment'!$C$10),0)</f>
        <v>0</v>
      </c>
    </row>
    <row r="54" spans="1:104" x14ac:dyDescent="0.25">
      <c r="B54" s="480" t="str">
        <f>CONCATENATE("Series ",D54,"A Bonds (at ",'Interest Rate'!$J$16*100,"% Interest)")</f>
        <v>Series 2032A Bonds (at 4.5% Interest)</v>
      </c>
      <c r="C54" s="480"/>
      <c r="D54" s="492">
        <f>'Construction Timing'!I20+'Construction Timing'!I17</f>
        <v>2032</v>
      </c>
      <c r="E54" s="783">
        <f>IF('Incremental Repayments'!$R$22="Debt",IF(AND(E$4&gt;=$D54,E$4&lt;$D54+'Incremental Repayments'!$I$31),-PMT('Interest Rate'!$J$16,'Incremental Repayments'!$I$31,(HLOOKUP($D54,$E$4:$CZ$32,28,FALSE)*'Incremental Repayments'!$I$22)),0),0)</f>
        <v>0</v>
      </c>
      <c r="F54" s="783">
        <f>IF('Incremental Repayments'!$R$22="Debt",IF(AND(F$4&gt;=$D54,F$4&lt;$D54+'Incremental Repayments'!$I$31),-PMT('Interest Rate'!$J$16,'Incremental Repayments'!$I$31,(HLOOKUP($D54,$E$4:$CZ$32,28,FALSE)*'Incremental Repayments'!$I$22)),0),0)</f>
        <v>0</v>
      </c>
      <c r="G54" s="783">
        <f>IF('Incremental Repayments'!$R$22="Debt",IF(AND(G$4&gt;=$D54,G$4&lt;$D54+'Incremental Repayments'!$I$31),-PMT('Interest Rate'!$J$16,'Incremental Repayments'!$I$31,(HLOOKUP($D54,$E$4:$CZ$32,28,FALSE)*'Incremental Repayments'!$I$22)),0),0)</f>
        <v>0</v>
      </c>
      <c r="H54" s="783">
        <f>IF('Incremental Repayments'!$R$22="Debt",IF(AND(H$4&gt;=$D54,H$4&lt;$D54+'Incremental Repayments'!$I$31),-PMT('Interest Rate'!$J$16,'Incremental Repayments'!$I$31,(HLOOKUP($D54,$E$4:$CZ$32,28,FALSE)*'Incremental Repayments'!$I$22)),0),0)</f>
        <v>0</v>
      </c>
      <c r="I54" s="783">
        <f>IF('Incremental Repayments'!$R$22="Debt",IF(AND(I$4&gt;=$D54,I$4&lt;$D54+'Incremental Repayments'!$I$31),-PMT('Interest Rate'!$J$16,'Incremental Repayments'!$I$31,(HLOOKUP($D54,$E$4:$CZ$32,28,FALSE)*'Incremental Repayments'!$I$22)),0),0)</f>
        <v>0</v>
      </c>
      <c r="J54" s="783">
        <f>IF('Incremental Repayments'!$R$22="Debt",IF(AND(J$4&gt;=$D54,J$4&lt;$D54+'Incremental Repayments'!$I$31),-PMT('Interest Rate'!$J$16,'Incremental Repayments'!$I$31,(HLOOKUP($D54,$E$4:$CZ$32,28,FALSE)*'Incremental Repayments'!$I$22)),0),0)</f>
        <v>0</v>
      </c>
      <c r="K54" s="783">
        <f>IF('Incremental Repayments'!$R$22="Debt",IF(AND(K$4&gt;=$D54,K$4&lt;$D54+'Incremental Repayments'!$I$31),-PMT('Interest Rate'!$J$16,'Incremental Repayments'!$I$31,(HLOOKUP($D54,$E$4:$CZ$32,28,FALSE)*'Incremental Repayments'!$I$22)),0),0)</f>
        <v>0</v>
      </c>
      <c r="L54" s="783">
        <f>IF('Incremental Repayments'!$R$22="Debt",IF(AND(L$4&gt;=$D54,L$4&lt;$D54+'Incremental Repayments'!$I$31),-PMT('Interest Rate'!$J$16,'Incremental Repayments'!$I$31,(HLOOKUP($D54,$E$4:$CZ$32,28,FALSE)*'Incremental Repayments'!$I$22)),0),0)</f>
        <v>0</v>
      </c>
      <c r="M54" s="783">
        <f>IF('Incremental Repayments'!$R$22="Debt",IF(AND(M$4&gt;=$D54,M$4&lt;$D54+'Incremental Repayments'!$I$31),-PMT('Interest Rate'!$J$16,'Incremental Repayments'!$I$31,(HLOOKUP($D54,$E$4:$CZ$32,28,FALSE)*'Incremental Repayments'!$I$22)),0),0)</f>
        <v>0</v>
      </c>
      <c r="N54" s="783">
        <f>IF('Incremental Repayments'!$R$22="Debt",IF(AND(N$4&gt;=$D54,N$4&lt;$D54+'Incremental Repayments'!$I$31),-PMT('Interest Rate'!$J$16,'Incremental Repayments'!$I$31,(HLOOKUP($D54,$E$4:$CZ$32,28,FALSE)*'Incremental Repayments'!$I$22)),0),0)</f>
        <v>0</v>
      </c>
      <c r="O54" s="783">
        <f>IF('Incremental Repayments'!$R$22="Debt",IF(AND(O$4&gt;=$D54,O$4&lt;$D54+'Incremental Repayments'!$I$31),-PMT('Interest Rate'!$J$16,'Incremental Repayments'!$I$31,(HLOOKUP($D54,$E$4:$CZ$32,28,FALSE)*'Incremental Repayments'!$I$22)),0),0)</f>
        <v>0</v>
      </c>
      <c r="P54" s="783">
        <f>IF('Incremental Repayments'!$R$22="Debt",IF(AND(P$4&gt;=$D54,P$4&lt;$D54+'Incremental Repayments'!$I$31),-PMT('Interest Rate'!$J$16,'Incremental Repayments'!$I$31,(HLOOKUP($D54,$E$4:$CZ$32,28,FALSE)*'Incremental Repayments'!$I$22)),0),0)</f>
        <v>0</v>
      </c>
      <c r="Q54" s="783">
        <f>IF('Incremental Repayments'!$R$22="Debt",IF(AND(Q$4&gt;=$D54,Q$4&lt;$D54+'Incremental Repayments'!$I$31),-PMT('Interest Rate'!$J$16,'Incremental Repayments'!$I$31,(HLOOKUP($D54,$E$4:$CZ$32,28,FALSE)*'Incremental Repayments'!$I$22)),0),0)</f>
        <v>0</v>
      </c>
      <c r="R54" s="783">
        <f>IF('Incremental Repayments'!$R$22="Debt",IF(AND(R$4&gt;=$D54,R$4&lt;$D54+'Incremental Repayments'!$I$31),-PMT('Interest Rate'!$J$16,'Incremental Repayments'!$I$31,(HLOOKUP($D54,$E$4:$CZ$32,28,FALSE)*'Incremental Repayments'!$I$22)),0),0)</f>
        <v>0</v>
      </c>
      <c r="S54" s="783">
        <f>IF('Incremental Repayments'!$R$22="Debt",IF(AND(S$4&gt;=$D54,S$4&lt;$D54+'Incremental Repayments'!$I$31),-PMT('Interest Rate'!$J$16,'Incremental Repayments'!$I$31,(HLOOKUP($D54,$E$4:$CZ$32,28,FALSE)*'Incremental Repayments'!$I$22)),0),0)</f>
        <v>0</v>
      </c>
      <c r="T54" s="783">
        <f>IF('Incremental Repayments'!$R$22="Debt",IF(AND(T$4&gt;=$D54,T$4&lt;$D54+'Incremental Repayments'!$I$31),-PMT('Interest Rate'!$J$16,'Incremental Repayments'!$I$31,(HLOOKUP($D54,$E$4:$CZ$32,28,FALSE)*'Incremental Repayments'!$I$22)),0),0)</f>
        <v>0</v>
      </c>
      <c r="U54" s="783">
        <f>IF('Incremental Repayments'!$R$22="Debt",IF(AND(U$4&gt;=$D54,U$4&lt;$D54+'Incremental Repayments'!$I$31),-PMT('Interest Rate'!$J$16,'Incremental Repayments'!$I$31,(HLOOKUP($D54,$E$4:$CZ$32,28,FALSE)*'Incremental Repayments'!$I$22)),0),0)</f>
        <v>0</v>
      </c>
      <c r="V54" s="783">
        <f>IF('Incremental Repayments'!$R$22="Debt",IF(AND(V$4&gt;=$D54,V$4&lt;$D54+'Incremental Repayments'!$I$31),-PMT('Interest Rate'!$J$16,'Incremental Repayments'!$I$31,(HLOOKUP($D54,$E$4:$CZ$32,28,FALSE)*'Incremental Repayments'!$I$22)),0),0)</f>
        <v>0</v>
      </c>
      <c r="W54" s="783">
        <f>IF('Incremental Repayments'!$R$22="Debt",IF(AND(W$4&gt;=$D54,W$4&lt;$D54+'Incremental Repayments'!$I$31),-PMT('Interest Rate'!$J$16,'Incremental Repayments'!$I$31,(HLOOKUP($D54,$E$4:$CZ$32,28,FALSE)*'Incremental Repayments'!$I$22)),0),0)</f>
        <v>729340.65180937422</v>
      </c>
      <c r="X54" s="783">
        <f>IF('Incremental Repayments'!$R$22="Debt",IF(AND(X$4&gt;=$D54,X$4&lt;$D54+'Incremental Repayments'!$I$31),-PMT('Interest Rate'!$J$16,'Incremental Repayments'!$I$31,(HLOOKUP($D54,$E$4:$CZ$32,28,FALSE)*'Incremental Repayments'!$I$22)),0),0)</f>
        <v>729340.65180937422</v>
      </c>
      <c r="Y54" s="783">
        <f>IF('Incremental Repayments'!$R$22="Debt",IF(AND(Y$4&gt;=$D54,Y$4&lt;$D54+'Incremental Repayments'!$I$31),-PMT('Interest Rate'!$J$16,'Incremental Repayments'!$I$31,(HLOOKUP($D54,$E$4:$CZ$32,28,FALSE)*'Incremental Repayments'!$I$22)),0),0)</f>
        <v>729340.65180937422</v>
      </c>
      <c r="Z54" s="783">
        <f>IF('Incremental Repayments'!$R$22="Debt",IF(AND(Z$4&gt;=$D54,Z$4&lt;$D54+'Incremental Repayments'!$I$31),-PMT('Interest Rate'!$J$16,'Incremental Repayments'!$I$31,(HLOOKUP($D54,$E$4:$CZ$32,28,FALSE)*'Incremental Repayments'!$I$22)),0),0)</f>
        <v>729340.65180937422</v>
      </c>
      <c r="AA54" s="783">
        <f>IF('Incremental Repayments'!$R$22="Debt",IF(AND(AA$4&gt;=$D54,AA$4&lt;$D54+'Incremental Repayments'!$I$31),-PMT('Interest Rate'!$J$16,'Incremental Repayments'!$I$31,(HLOOKUP($D54,$E$4:$CZ$32,28,FALSE)*'Incremental Repayments'!$I$22)),0),0)</f>
        <v>729340.65180937422</v>
      </c>
      <c r="AB54" s="783">
        <f>IF('Incremental Repayments'!$R$22="Debt",IF(AND(AB$4&gt;=$D54,AB$4&lt;$D54+'Incremental Repayments'!$I$31),-PMT('Interest Rate'!$J$16,'Incremental Repayments'!$I$31,(HLOOKUP($D54,$E$4:$CZ$32,28,FALSE)*'Incremental Repayments'!$I$22)),0),0)</f>
        <v>729340.65180937422</v>
      </c>
      <c r="AC54" s="783">
        <f>IF('Incremental Repayments'!$R$22="Debt",IF(AND(AC$4&gt;=$D54,AC$4&lt;$D54+'Incremental Repayments'!$I$31),-PMT('Interest Rate'!$J$16,'Incremental Repayments'!$I$31,(HLOOKUP($D54,$E$4:$CZ$32,28,FALSE)*'Incremental Repayments'!$I$22)),0),0)</f>
        <v>729340.65180937422</v>
      </c>
      <c r="AD54" s="783">
        <f>IF('Incremental Repayments'!$R$22="Debt",IF(AND(AD$4&gt;=$D54,AD$4&lt;$D54+'Incremental Repayments'!$I$31),-PMT('Interest Rate'!$J$16,'Incremental Repayments'!$I$31,(HLOOKUP($D54,$E$4:$CZ$32,28,FALSE)*'Incremental Repayments'!$I$22)),0),0)</f>
        <v>729340.65180937422</v>
      </c>
      <c r="AE54" s="783">
        <f>IF('Incremental Repayments'!$R$22="Debt",IF(AND(AE$4&gt;=$D54,AE$4&lt;$D54+'Incremental Repayments'!$I$31),-PMT('Interest Rate'!$J$16,'Incremental Repayments'!$I$31,(HLOOKUP($D54,$E$4:$CZ$32,28,FALSE)*'Incremental Repayments'!$I$22)),0),0)</f>
        <v>729340.65180937422</v>
      </c>
      <c r="AF54" s="783">
        <f>IF('Incremental Repayments'!$R$22="Debt",IF(AND(AF$4&gt;=$D54,AF$4&lt;$D54+'Incremental Repayments'!$I$31),-PMT('Interest Rate'!$J$16,'Incremental Repayments'!$I$31,(HLOOKUP($D54,$E$4:$CZ$32,28,FALSE)*'Incremental Repayments'!$I$22)),0),0)</f>
        <v>729340.65180937422</v>
      </c>
      <c r="AG54" s="783">
        <f>IF('Incremental Repayments'!$R$22="Debt",IF(AND(AG$4&gt;=$D54,AG$4&lt;$D54+'Incremental Repayments'!$I$31),-PMT('Interest Rate'!$J$16,'Incremental Repayments'!$I$31,(HLOOKUP($D54,$E$4:$CZ$32,28,FALSE)*'Incremental Repayments'!$I$22)),0),0)</f>
        <v>729340.65180937422</v>
      </c>
      <c r="AH54" s="783">
        <f>IF('Incremental Repayments'!$R$22="Debt",IF(AND(AH$4&gt;=$D54,AH$4&lt;$D54+'Incremental Repayments'!$I$31),-PMT('Interest Rate'!$J$16,'Incremental Repayments'!$I$31,(HLOOKUP($D54,$E$4:$CZ$32,28,FALSE)*'Incremental Repayments'!$I$22)),0),0)</f>
        <v>729340.65180937422</v>
      </c>
      <c r="AI54" s="783">
        <f>IF('Incremental Repayments'!$R$22="Debt",IF(AND(AI$4&gt;=$D54,AI$4&lt;$D54+'Incremental Repayments'!$I$31),-PMT('Interest Rate'!$J$16,'Incremental Repayments'!$I$31,(HLOOKUP($D54,$E$4:$CZ$32,28,FALSE)*'Incremental Repayments'!$I$22)),0),0)</f>
        <v>729340.65180937422</v>
      </c>
      <c r="AJ54" s="783">
        <f>IF('Incremental Repayments'!$R$22="Debt",IF(AND(AJ$4&gt;=$D54,AJ$4&lt;$D54+'Incremental Repayments'!$I$31),-PMT('Interest Rate'!$J$16,'Incremental Repayments'!$I$31,(HLOOKUP($D54,$E$4:$CZ$32,28,FALSE)*'Incremental Repayments'!$I$22)),0),0)</f>
        <v>729340.65180937422</v>
      </c>
      <c r="AK54" s="783">
        <f>IF('Incremental Repayments'!$R$22="Debt",IF(AND(AK$4&gt;=$D54,AK$4&lt;$D54+'Incremental Repayments'!$I$31),-PMT('Interest Rate'!$J$16,'Incremental Repayments'!$I$31,(HLOOKUP($D54,$E$4:$CZ$32,28,FALSE)*'Incremental Repayments'!$I$22)),0),0)</f>
        <v>729340.65180937422</v>
      </c>
      <c r="AL54" s="783">
        <f>IF('Incremental Repayments'!$R$22="Debt",IF(AND(AL$4&gt;=$D54,AL$4&lt;$D54+'Incremental Repayments'!$I$31),-PMT('Interest Rate'!$J$16,'Incremental Repayments'!$I$31,(HLOOKUP($D54,$E$4:$CZ$32,28,FALSE)*'Incremental Repayments'!$I$22)),0),0)</f>
        <v>729340.65180937422</v>
      </c>
      <c r="AM54" s="783">
        <f>IF('Incremental Repayments'!$R$22="Debt",IF(AND(AM$4&gt;=$D54,AM$4&lt;$D54+'Incremental Repayments'!$I$31),-PMT('Interest Rate'!$J$16,'Incremental Repayments'!$I$31,(HLOOKUP($D54,$E$4:$CZ$32,28,FALSE)*'Incremental Repayments'!$I$22)),0),0)</f>
        <v>729340.65180937422</v>
      </c>
      <c r="AN54" s="783">
        <f>IF('Incremental Repayments'!$R$22="Debt",IF(AND(AN$4&gt;=$D54,AN$4&lt;$D54+'Incremental Repayments'!$I$31),-PMT('Interest Rate'!$J$16,'Incremental Repayments'!$I$31,(HLOOKUP($D54,$E$4:$CZ$32,28,FALSE)*'Incremental Repayments'!$I$22)),0),0)</f>
        <v>729340.65180937422</v>
      </c>
      <c r="AO54" s="783">
        <f>IF('Incremental Repayments'!$R$22="Debt",IF(AND(AO$4&gt;=$D54,AO$4&lt;$D54+'Incremental Repayments'!$I$31),-PMT('Interest Rate'!$J$16,'Incremental Repayments'!$I$31,(HLOOKUP($D54,$E$4:$CZ$32,28,FALSE)*'Incremental Repayments'!$I$22)),0),0)</f>
        <v>729340.65180937422</v>
      </c>
      <c r="AP54" s="783">
        <f>IF('Incremental Repayments'!$R$22="Debt",IF(AND(AP$4&gt;=$D54,AP$4&lt;$D54+'Incremental Repayments'!$I$31),-PMT('Interest Rate'!$J$16,'Incremental Repayments'!$I$31,(HLOOKUP($D54,$E$4:$CZ$32,28,FALSE)*'Incremental Repayments'!$I$22)),0),0)</f>
        <v>729340.65180937422</v>
      </c>
      <c r="AQ54" s="783">
        <f>IF('Incremental Repayments'!$R$22="Debt",IF(AND(AQ$4&gt;=$D54,AQ$4&lt;$D54+'Incremental Repayments'!$I$31),-PMT('Interest Rate'!$J$16,'Incremental Repayments'!$I$31,(HLOOKUP($D54,$E$4:$CZ$32,28,FALSE)*'Incremental Repayments'!$I$22)),0),0)</f>
        <v>729340.65180937422</v>
      </c>
      <c r="AR54" s="783">
        <f>IF('Incremental Repayments'!$R$22="Debt",IF(AND(AR$4&gt;=$D54,AR$4&lt;$D54+'Incremental Repayments'!$I$31),-PMT('Interest Rate'!$J$16,'Incremental Repayments'!$I$31,(HLOOKUP($D54,$E$4:$CZ$32,28,FALSE)*'Incremental Repayments'!$I$22)),0),0)</f>
        <v>729340.65180937422</v>
      </c>
      <c r="AS54" s="783">
        <f>IF('Incremental Repayments'!$R$22="Debt",IF(AND(AS$4&gt;=$D54,AS$4&lt;$D54+'Incremental Repayments'!$I$31),-PMT('Interest Rate'!$J$16,'Incremental Repayments'!$I$31,(HLOOKUP($D54,$E$4:$CZ$32,28,FALSE)*'Incremental Repayments'!$I$22)),0),0)</f>
        <v>729340.65180937422</v>
      </c>
      <c r="AT54" s="783">
        <f>IF('Incremental Repayments'!$R$22="Debt",IF(AND(AT$4&gt;=$D54,AT$4&lt;$D54+'Incremental Repayments'!$I$31),-PMT('Interest Rate'!$J$16,'Incremental Repayments'!$I$31,(HLOOKUP($D54,$E$4:$CZ$32,28,FALSE)*'Incremental Repayments'!$I$22)),0),0)</f>
        <v>729340.65180937422</v>
      </c>
      <c r="AU54" s="783">
        <f>IF('Incremental Repayments'!$R$22="Debt",IF(AND(AU$4&gt;=$D54,AU$4&lt;$D54+'Incremental Repayments'!$I$31),-PMT('Interest Rate'!$J$16,'Incremental Repayments'!$I$31,(HLOOKUP($D54,$E$4:$CZ$32,28,FALSE)*'Incremental Repayments'!$I$22)),0),0)</f>
        <v>729340.65180937422</v>
      </c>
      <c r="AV54" s="783">
        <f>IF('Incremental Repayments'!$R$22="Debt",IF(AND(AV$4&gt;=$D54,AV$4&lt;$D54+'Incremental Repayments'!$I$31),-PMT('Interest Rate'!$J$16,'Incremental Repayments'!$I$31,(HLOOKUP($D54,$E$4:$CZ$32,28,FALSE)*'Incremental Repayments'!$I$22)),0),0)</f>
        <v>729340.65180937422</v>
      </c>
      <c r="AW54" s="783">
        <f>IF('Incremental Repayments'!$R$22="Debt",IF(AND(AW$4&gt;=$D54,AW$4&lt;$D54+'Incremental Repayments'!$I$31),-PMT('Interest Rate'!$J$16,'Incremental Repayments'!$I$31,(HLOOKUP($D54,$E$4:$CZ$32,28,FALSE)*'Incremental Repayments'!$I$22)),0),0)</f>
        <v>729340.65180937422</v>
      </c>
      <c r="AX54" s="783">
        <f>IF('Incremental Repayments'!$R$22="Debt",IF(AND(AX$4&gt;=$D54,AX$4&lt;$D54+'Incremental Repayments'!$I$31),-PMT('Interest Rate'!$J$16,'Incremental Repayments'!$I$31,(HLOOKUP($D54,$E$4:$CZ$32,28,FALSE)*'Incremental Repayments'!$I$22)),0),0)</f>
        <v>729340.65180937422</v>
      </c>
      <c r="AY54" s="783">
        <f>IF('Incremental Repayments'!$R$22="Debt",IF(AND(AY$4&gt;=$D54,AY$4&lt;$D54+'Incremental Repayments'!$I$31),-PMT('Interest Rate'!$J$16,'Incremental Repayments'!$I$31,(HLOOKUP($D54,$E$4:$CZ$32,28,FALSE)*'Incremental Repayments'!$I$22)),0),0)</f>
        <v>729340.65180937422</v>
      </c>
      <c r="AZ54" s="783">
        <f>IF('Incremental Repayments'!$R$22="Debt",IF(AND(AZ$4&gt;=$D54,AZ$4&lt;$D54+'Incremental Repayments'!$I$31),-PMT('Interest Rate'!$J$16,'Incremental Repayments'!$I$31,(HLOOKUP($D54,$E$4:$CZ$32,28,FALSE)*'Incremental Repayments'!$I$22)),0),0)</f>
        <v>729340.65180937422</v>
      </c>
      <c r="BA54" s="783">
        <f>IF('Incremental Repayments'!$R$22="Debt",IF(AND(BA$4&gt;=$D54,BA$4&lt;$D54+'Incremental Repayments'!$I$31),-PMT('Interest Rate'!$J$16,'Incremental Repayments'!$I$31,(HLOOKUP($D54,$E$4:$CZ$32,28,FALSE)*'Incremental Repayments'!$I$22)),0),0)</f>
        <v>0</v>
      </c>
      <c r="BB54" s="783">
        <f>IF('Incremental Repayments'!$R$22="Debt",IF(AND(BB$4&gt;=$D54,BB$4&lt;$D54+'Incremental Repayments'!$I$31),-PMT('Interest Rate'!$J$16,'Incremental Repayments'!$I$31,(HLOOKUP($D54,$E$4:$CZ$32,28,FALSE)*'Incremental Repayments'!$I$22)),0),0)</f>
        <v>0</v>
      </c>
      <c r="BC54" s="783">
        <f>IF('Incremental Repayments'!$R$22="Debt",IF(AND(BC$4&gt;=$D54,BC$4&lt;$D54+'Incremental Repayments'!$I$31),-PMT('Interest Rate'!$J$16,'Incremental Repayments'!$I$31,(HLOOKUP($D54,$E$4:$CZ$32,28,FALSE)*'Incremental Repayments'!$I$22)),0),0)</f>
        <v>0</v>
      </c>
      <c r="BD54" s="783">
        <f>IF('Incremental Repayments'!$R$22="Debt",IF(AND(BD$4&gt;=$D54,BD$4&lt;$D54+'Incremental Repayments'!$I$31),-PMT('Interest Rate'!$J$16,'Incremental Repayments'!$I$31,(HLOOKUP($D54,$E$4:$CZ$32,28,FALSE)*'Incremental Repayments'!$I$22)),0),0)</f>
        <v>0</v>
      </c>
      <c r="BE54" s="783">
        <f>IF('Incremental Repayments'!$R$22="Debt",IF(AND(BE$4&gt;=$D54,BE$4&lt;$D54+'Incremental Repayments'!$I$31),-PMT('Interest Rate'!$J$16,'Incremental Repayments'!$I$31,(HLOOKUP($D54,$E$4:$CZ$32,28,FALSE)*'Incremental Repayments'!$I$22)),0),0)</f>
        <v>0</v>
      </c>
      <c r="BF54" s="783">
        <f>IF('Incremental Repayments'!$R$22="Debt",IF(AND(BF$4&gt;=$D54,BF$4&lt;$D54+'Incremental Repayments'!$I$31),-PMT('Interest Rate'!$J$16,'Incremental Repayments'!$I$31,(HLOOKUP($D54,$E$4:$CZ$32,28,FALSE)*'Incremental Repayments'!$I$22)),0),0)</f>
        <v>0</v>
      </c>
      <c r="BG54" s="783">
        <f>IF('Incremental Repayments'!$R$22="Debt",IF(AND(BG$4&gt;=$D54,BG$4&lt;$D54+'Incremental Repayments'!$I$31),-PMT('Interest Rate'!$J$16,'Incremental Repayments'!$I$31,(HLOOKUP($D54,$E$4:$CZ$32,28,FALSE)*'Incremental Repayments'!$I$22)),0),0)</f>
        <v>0</v>
      </c>
      <c r="BH54" s="783">
        <f>IF('Incremental Repayments'!$R$22="Debt",IF(AND(BH$4&gt;=$D54,BH$4&lt;$D54+'Incremental Repayments'!$I$31),-PMT('Interest Rate'!$J$16,'Incremental Repayments'!$I$31,(HLOOKUP($D54,$E$4:$CZ$32,28,FALSE)*'Incremental Repayments'!$I$22)),0),0)</f>
        <v>0</v>
      </c>
      <c r="BI54" s="783">
        <f>IF('Incremental Repayments'!$R$22="Debt",IF(AND(BI$4&gt;=$D54,BI$4&lt;$D54+'Incremental Repayments'!$I$31),-PMT('Interest Rate'!$J$16,'Incremental Repayments'!$I$31,(HLOOKUP($D54,$E$4:$CZ$32,28,FALSE)*'Incremental Repayments'!$I$22)),0),0)</f>
        <v>0</v>
      </c>
      <c r="BJ54" s="783">
        <f>IF('Incremental Repayments'!$R$22="Debt",IF(AND(BJ$4&gt;=$D54,BJ$4&lt;$D54+'Incremental Repayments'!$I$31),-PMT('Interest Rate'!$J$16,'Incremental Repayments'!$I$31,(HLOOKUP($D54,$E$4:$CZ$32,28,FALSE)*'Incremental Repayments'!$I$22)),0),0)</f>
        <v>0</v>
      </c>
      <c r="BK54" s="783">
        <f>IF('Incremental Repayments'!$R$22="Debt",IF(AND(BK$4&gt;=$D54,BK$4&lt;$D54+'Incremental Repayments'!$I$31),-PMT('Interest Rate'!$J$16,'Incremental Repayments'!$I$31,(HLOOKUP($D54,$E$4:$CZ$32,28,FALSE)*'Incremental Repayments'!$I$22)),0),0)</f>
        <v>0</v>
      </c>
      <c r="BL54" s="783">
        <f>IF('Incremental Repayments'!$R$22="Debt",IF(AND(BL$4&gt;=$D54,BL$4&lt;$D54+'Incremental Repayments'!$I$31),-PMT('Interest Rate'!$J$16,'Incremental Repayments'!$I$31,(HLOOKUP($D54,$E$4:$CZ$32,28,FALSE)*'Incremental Repayments'!$I$22)),0),0)</f>
        <v>0</v>
      </c>
      <c r="BM54" s="783">
        <f>IF('Incremental Repayments'!$R$22="Debt",IF(AND(BM$4&gt;=$D54,BM$4&lt;$D54+'Incremental Repayments'!$I$31),-PMT('Interest Rate'!$J$16,'Incremental Repayments'!$I$31,(HLOOKUP($D54,$E$4:$CZ$32,28,FALSE)*'Incremental Repayments'!$I$22)),0),0)</f>
        <v>0</v>
      </c>
      <c r="BN54" s="783">
        <f>IF('Incremental Repayments'!$R$22="Debt",IF(AND(BN$4&gt;=$D54,BN$4&lt;$D54+'Incremental Repayments'!$I$31),-PMT('Interest Rate'!$J$16,'Incremental Repayments'!$I$31,(HLOOKUP($D54,$E$4:$CZ$32,28,FALSE)*'Incremental Repayments'!$I$22)),0),0)</f>
        <v>0</v>
      </c>
      <c r="BO54" s="783">
        <f>IF('Incremental Repayments'!$R$22="Debt",IF(AND(BO$4&gt;=$D54,BO$4&lt;$D54+'Incremental Repayments'!$I$31),-PMT('Interest Rate'!$J$16,'Incremental Repayments'!$I$31,(HLOOKUP($D54,$E$4:$CZ$32,28,FALSE)*'Incremental Repayments'!$I$22)),0),0)</f>
        <v>0</v>
      </c>
      <c r="BP54" s="783">
        <f>IF('Incremental Repayments'!$R$22="Debt",IF(AND(BP$4&gt;=$D54,BP$4&lt;$D54+'Incremental Repayments'!$I$31),-PMT('Interest Rate'!$J$16,'Incremental Repayments'!$I$31,(HLOOKUP($D54,$E$4:$CZ$32,28,FALSE)*'Incremental Repayments'!$I$22)),0),0)</f>
        <v>0</v>
      </c>
      <c r="BQ54" s="783">
        <f>IF('Incremental Repayments'!$R$22="Debt",IF(AND(BQ$4&gt;=$D54,BQ$4&lt;$D54+'Incremental Repayments'!$I$31),-PMT('Interest Rate'!$J$16,'Incremental Repayments'!$I$31,(HLOOKUP($D54,$E$4:$CZ$32,28,FALSE)*'Incremental Repayments'!$I$22)),0),0)</f>
        <v>0</v>
      </c>
      <c r="BR54" s="783">
        <f>IF('Incremental Repayments'!$R$22="Debt",IF(AND(BR$4&gt;=$D54,BR$4&lt;$D54+'Incremental Repayments'!$I$31),-PMT('Interest Rate'!$J$16,'Incremental Repayments'!$I$31,(HLOOKUP($D54,$E$4:$CZ$32,28,FALSE)*'Incremental Repayments'!$I$22)),0),0)</f>
        <v>0</v>
      </c>
      <c r="BS54" s="783">
        <f>IF('Incremental Repayments'!$R$22="Debt",IF(AND(BS$4&gt;=$D54,BS$4&lt;$D54+'Incremental Repayments'!$I$31),-PMT('Interest Rate'!$J$16,'Incremental Repayments'!$I$31,(HLOOKUP($D54,$E$4:$CZ$32,28,FALSE)*'Incremental Repayments'!$I$22)),0),0)</f>
        <v>0</v>
      </c>
      <c r="BT54" s="783">
        <f>IF('Incremental Repayments'!$R$22="Debt",IF(AND(BT$4&gt;=$D54,BT$4&lt;$D54+'Incremental Repayments'!$I$31),-PMT('Interest Rate'!$J$16,'Incremental Repayments'!$I$31,(HLOOKUP($D54,$E$4:$CZ$32,28,FALSE)*'Incremental Repayments'!$I$22)),0),0)</f>
        <v>0</v>
      </c>
      <c r="BU54" s="783">
        <f>IF('Incremental Repayments'!$R$22="Debt",IF(AND(BU$4&gt;=$D54,BU$4&lt;$D54+'Incremental Repayments'!$I$31),-PMT('Interest Rate'!$J$16,'Incremental Repayments'!$I$31,(HLOOKUP($D54,$E$4:$CZ$32,28,FALSE)*'Incremental Repayments'!$I$22)),0),0)</f>
        <v>0</v>
      </c>
      <c r="BV54" s="783">
        <f>IF('Incremental Repayments'!$R$22="Debt",IF(AND(BV$4&gt;=$D54,BV$4&lt;$D54+'Incremental Repayments'!$I$31),-PMT('Interest Rate'!$J$16,'Incremental Repayments'!$I$31,(HLOOKUP($D54,$E$4:$CZ$32,28,FALSE)*'Incremental Repayments'!$I$22)),0),0)</f>
        <v>0</v>
      </c>
      <c r="BW54" s="783">
        <f>IF('Incremental Repayments'!$R$22="Debt",IF(AND(BW$4&gt;=$D54,BW$4&lt;$D54+'Incremental Repayments'!$I$31),-PMT('Interest Rate'!$J$16,'Incremental Repayments'!$I$31,(HLOOKUP($D54,$E$4:$CZ$32,28,FALSE)*'Incremental Repayments'!$I$22)),0),0)</f>
        <v>0</v>
      </c>
      <c r="BX54" s="783">
        <f>IF('Incremental Repayments'!$R$22="Debt",IF(AND(BX$4&gt;=$D54,BX$4&lt;$D54+'Incremental Repayments'!$I$31),-PMT('Interest Rate'!$J$16,'Incremental Repayments'!$I$31,(HLOOKUP($D54,$E$4:$CZ$32,28,FALSE)*'Incremental Repayments'!$I$22)),0),0)</f>
        <v>0</v>
      </c>
      <c r="BY54" s="783">
        <f>IF('Incremental Repayments'!$R$22="Debt",IF(AND(BY$4&gt;=$D54,BY$4&lt;$D54+'Incremental Repayments'!$I$31),-PMT('Interest Rate'!$J$16,'Incremental Repayments'!$I$31,(HLOOKUP($D54,$E$4:$CZ$32,28,FALSE)*'Incremental Repayments'!$I$22)),0),0)</f>
        <v>0</v>
      </c>
      <c r="BZ54" s="783">
        <f>IF('Incremental Repayments'!$R$22="Debt",IF(AND(BZ$4&gt;=$D54,BZ$4&lt;$D54+'Incremental Repayments'!$I$31),-PMT('Interest Rate'!$J$16,'Incremental Repayments'!$I$31,(HLOOKUP($D54,$E$4:$CZ$32,28,FALSE)*'Incremental Repayments'!$I$22)),0),0)</f>
        <v>0</v>
      </c>
      <c r="CA54" s="783">
        <f>IF('Incremental Repayments'!$R$22="Debt",IF(AND(CA$4&gt;=$D54,CA$4&lt;$D54+'Incremental Repayments'!$I$31),-PMT('Interest Rate'!$J$16,'Incremental Repayments'!$I$31,(HLOOKUP($D54,$E$4:$CZ$32,28,FALSE)*'Incremental Repayments'!$I$22)),0),0)</f>
        <v>0</v>
      </c>
      <c r="CB54" s="783">
        <f>IF('Incremental Repayments'!$R$22="Debt",IF(AND(CB$4&gt;=$D54,CB$4&lt;$D54+'Incremental Repayments'!$I$31),-PMT('Interest Rate'!$J$16,'Incremental Repayments'!$I$31,(HLOOKUP($D54,$E$4:$CZ$32,28,FALSE)*'Incremental Repayments'!$I$22)),0),0)</f>
        <v>0</v>
      </c>
      <c r="CC54" s="783">
        <f>IF('Incremental Repayments'!$R$22="Debt",IF(AND(CC$4&gt;=$D54,CC$4&lt;$D54+'Incremental Repayments'!$I$31),-PMT('Interest Rate'!$J$16,'Incremental Repayments'!$I$31,(HLOOKUP($D54,$E$4:$CZ$32,28,FALSE)*'Incremental Repayments'!$I$22)),0),0)</f>
        <v>0</v>
      </c>
      <c r="CD54" s="783">
        <f>IF('Incremental Repayments'!$R$22="Debt",IF(AND(CD$4&gt;=$D54,CD$4&lt;$D54+'Incremental Repayments'!$I$31),-PMT('Interest Rate'!$J$16,'Incremental Repayments'!$I$31,(HLOOKUP($D54,$E$4:$CZ$32,28,FALSE)*'Incremental Repayments'!$I$22)),0),0)</f>
        <v>0</v>
      </c>
      <c r="CE54" s="783">
        <f>IF('Incremental Repayments'!$R$22="Debt",IF(AND(CE$4&gt;=$D54,CE$4&lt;$D54+'Incremental Repayments'!$I$31),-PMT('Interest Rate'!$J$16,'Incremental Repayments'!$I$31,(HLOOKUP($D54,$E$4:$CZ$32,28,FALSE)*'Incremental Repayments'!$I$22)),0),0)</f>
        <v>0</v>
      </c>
      <c r="CF54" s="783">
        <f>IF('Incremental Repayments'!$R$22="Debt",IF(AND(CF$4&gt;=$D54,CF$4&lt;$D54+'Incremental Repayments'!$I$31),-PMT('Interest Rate'!$J$16,'Incremental Repayments'!$I$31,(HLOOKUP($D54,$E$4:$CZ$32,28,FALSE)*'Incremental Repayments'!$I$22)),0),0)</f>
        <v>0</v>
      </c>
      <c r="CG54" s="783">
        <f>IF('Incremental Repayments'!$R$22="Debt",IF(AND(CG$4&gt;=$D54,CG$4&lt;$D54+'Incremental Repayments'!$I$31),-PMT('Interest Rate'!$J$16,'Incremental Repayments'!$I$31,(HLOOKUP($D54,$E$4:$CZ$32,28,FALSE)*'Incremental Repayments'!$I$22)),0),0)</f>
        <v>0</v>
      </c>
      <c r="CH54" s="783">
        <f>IF('Incremental Repayments'!$R$22="Debt",IF(AND(CH$4&gt;=$D54,CH$4&lt;$D54+'Incremental Repayments'!$I$31),-PMT('Interest Rate'!$J$16,'Incremental Repayments'!$I$31,(HLOOKUP($D54,$E$4:$CZ$32,28,FALSE)*'Incremental Repayments'!$I$22)),0),0)</f>
        <v>0</v>
      </c>
      <c r="CI54" s="783">
        <f>IF('Incremental Repayments'!$R$22="Debt",IF(AND(CI$4&gt;=$D54,CI$4&lt;$D54+'Incremental Repayments'!$I$31),-PMT('Interest Rate'!$J$16,'Incremental Repayments'!$I$31,(HLOOKUP($D54,$E$4:$CZ$32,28,FALSE)*'Incremental Repayments'!$I$22)),0),0)</f>
        <v>0</v>
      </c>
      <c r="CJ54" s="783">
        <f>IF('Incremental Repayments'!$R$22="Debt",IF(AND(CJ$4&gt;=$D54,CJ$4&lt;$D54+'Incremental Repayments'!$I$31),-PMT('Interest Rate'!$J$16,'Incremental Repayments'!$I$31,(HLOOKUP($D54,$E$4:$CZ$32,28,FALSE)*'Incremental Repayments'!$I$22)),0),0)</f>
        <v>0</v>
      </c>
      <c r="CK54" s="783">
        <f>IF('Incremental Repayments'!$R$22="Debt",IF(AND(CK$4&gt;=$D54,CK$4&lt;$D54+'Incremental Repayments'!$I$31),-PMT('Interest Rate'!$J$16,'Incremental Repayments'!$I$31,(HLOOKUP($D54,$E$4:$CZ$32,28,FALSE)*'Incremental Repayments'!$I$22)),0),0)</f>
        <v>0</v>
      </c>
      <c r="CL54" s="783">
        <f>IF('Incremental Repayments'!$R$22="Debt",IF(AND(CL$4&gt;=$D54,CL$4&lt;$D54+'Incremental Repayments'!$I$31),-PMT('Interest Rate'!$J$16,'Incremental Repayments'!$I$31,(HLOOKUP($D54,$E$4:$CZ$32,28,FALSE)*'Incremental Repayments'!$I$22)),0),0)</f>
        <v>0</v>
      </c>
      <c r="CM54" s="783">
        <f>IF('Incremental Repayments'!$R$22="Debt",IF(AND(CM$4&gt;=$D54,CM$4&lt;$D54+'Incremental Repayments'!$I$31),-PMT('Interest Rate'!$J$16,'Incremental Repayments'!$I$31,(HLOOKUP($D54,$E$4:$CZ$32,28,FALSE)*'Incremental Repayments'!$I$22)),0),0)</f>
        <v>0</v>
      </c>
      <c r="CN54" s="783">
        <f>IF('Incremental Repayments'!$R$22="Debt",IF(AND(CN$4&gt;=$D54,CN$4&lt;$D54+'Incremental Repayments'!$I$31),-PMT('Interest Rate'!$J$16,'Incremental Repayments'!$I$31,(HLOOKUP($D54,$E$4:$CZ$32,28,FALSE)*'Incremental Repayments'!$I$22)),0),0)</f>
        <v>0</v>
      </c>
      <c r="CO54" s="783">
        <f>IF('Incremental Repayments'!$R$22="Debt",IF(AND(CO$4&gt;=$D54,CO$4&lt;$D54+'Incremental Repayments'!$I$31),-PMT('Interest Rate'!$J$16,'Incremental Repayments'!$I$31,(HLOOKUP($D54,$E$4:$CZ$32,28,FALSE)*'Incremental Repayments'!$I$22)),0),0)</f>
        <v>0</v>
      </c>
      <c r="CP54" s="783">
        <f>IF('Incremental Repayments'!$R$22="Debt",IF(AND(CP$4&gt;=$D54,CP$4&lt;$D54+'Incremental Repayments'!$I$31),-PMT('Interest Rate'!$J$16,'Incremental Repayments'!$I$31,(HLOOKUP($D54,$E$4:$CZ$32,28,FALSE)*'Incremental Repayments'!$I$22)),0),0)</f>
        <v>0</v>
      </c>
      <c r="CQ54" s="783">
        <f>IF('Incremental Repayments'!$R$22="Debt",IF(AND(CQ$4&gt;=$D54,CQ$4&lt;$D54+'Incremental Repayments'!$I$31),-PMT('Interest Rate'!$J$16,'Incremental Repayments'!$I$31,(HLOOKUP($D54,$E$4:$CZ$32,28,FALSE)*'Incremental Repayments'!$I$22)),0),0)</f>
        <v>0</v>
      </c>
      <c r="CR54" s="783">
        <f>IF('Incremental Repayments'!$R$22="Debt",IF(AND(CR$4&gt;=$D54,CR$4&lt;$D54+'Incremental Repayments'!$I$31),-PMT('Interest Rate'!$J$16,'Incremental Repayments'!$I$31,(HLOOKUP($D54,$E$4:$CZ$32,28,FALSE)*'Incremental Repayments'!$I$22)),0),0)</f>
        <v>0</v>
      </c>
      <c r="CS54" s="783">
        <f>IF('Incremental Repayments'!$R$22="Debt",IF(AND(CS$4&gt;=$D54,CS$4&lt;$D54+'Incremental Repayments'!$I$31),-PMT('Interest Rate'!$J$16,'Incremental Repayments'!$I$31,(HLOOKUP($D54,$E$4:$CZ$32,28,FALSE)*'Incremental Repayments'!$I$22)),0),0)</f>
        <v>0</v>
      </c>
      <c r="CT54" s="783">
        <f>IF('Incremental Repayments'!$R$22="Debt",IF(AND(CT$4&gt;=$D54,CT$4&lt;$D54+'Incremental Repayments'!$I$31),-PMT('Interest Rate'!$J$16,'Incremental Repayments'!$I$31,(HLOOKUP($D54,$E$4:$CZ$32,28,FALSE)*'Incremental Repayments'!$I$22)),0),0)</f>
        <v>0</v>
      </c>
      <c r="CU54" s="783">
        <f>IF('Incremental Repayments'!$R$22="Debt",IF(AND(CU$4&gt;=$D54,CU$4&lt;$D54+'Incremental Repayments'!$I$31),-PMT('Interest Rate'!$J$16,'Incremental Repayments'!$I$31,(HLOOKUP($D54,$E$4:$CZ$32,28,FALSE)*'Incremental Repayments'!$I$22)),0),0)</f>
        <v>0</v>
      </c>
      <c r="CV54" s="783">
        <f>IF('Incremental Repayments'!$R$22="Debt",IF(AND(CV$4&gt;=$D54,CV$4&lt;$D54+'Incremental Repayments'!$I$31),-PMT('Interest Rate'!$J$16,'Incremental Repayments'!$I$31,(HLOOKUP($D54,$E$4:$CZ$32,28,FALSE)*'Incremental Repayments'!$I$22)),0),0)</f>
        <v>0</v>
      </c>
      <c r="CW54" s="783">
        <f>IF('Incremental Repayments'!$R$22="Debt",IF(AND(CW$4&gt;=$D54,CW$4&lt;$D54+'Incremental Repayments'!$I$31),-PMT('Interest Rate'!$J$16,'Incremental Repayments'!$I$31,(HLOOKUP($D54,$E$4:$CZ$32,28,FALSE)*'Incremental Repayments'!$I$22)),0),0)</f>
        <v>0</v>
      </c>
      <c r="CX54" s="783">
        <f>IF('Incremental Repayments'!$R$22="Debt",IF(AND(CX$4&gt;=$D54,CX$4&lt;$D54+'Incremental Repayments'!$I$31),-PMT('Interest Rate'!$J$16,'Incremental Repayments'!$I$31,(HLOOKUP($D54,$E$4:$CZ$32,28,FALSE)*'Incremental Repayments'!$I$22)),0),0)</f>
        <v>0</v>
      </c>
      <c r="CY54" s="783">
        <f>IF('Incremental Repayments'!$R$22="Debt",IF(AND(CY$4&gt;=$D54,CY$4&lt;$D54+'Incremental Repayments'!$I$31),-PMT('Interest Rate'!$J$16,'Incremental Repayments'!$I$31,(HLOOKUP($D54,$E$4:$CZ$32,28,FALSE)*'Incremental Repayments'!$I$22)),0),0)</f>
        <v>0</v>
      </c>
      <c r="CZ54" s="783">
        <f>IF('Incremental Repayments'!$R$22="Debt",IF(AND(CZ$4&gt;=$D54,CZ$4&lt;$D54+'Incremental Repayments'!$I$31),-PMT('Interest Rate'!$J$16,'Incremental Repayments'!$I$31,(HLOOKUP($D54,$E$4:$CZ$32,28,FALSE)*'Incremental Repayments'!$I$22)),0),0)</f>
        <v>0</v>
      </c>
    </row>
    <row r="55" spans="1:104" x14ac:dyDescent="0.25">
      <c r="B55" s="480" t="str">
        <f>CONCATENATE("Series ",D55,"A Bonds (at ",'Interest Rate'!$J$16*100,"% Interest)")</f>
        <v>Series 2033A Bonds (at 4.5% Interest)</v>
      </c>
      <c r="C55" s="480"/>
      <c r="D55" s="492">
        <f>D54+1</f>
        <v>2033</v>
      </c>
      <c r="E55" s="783">
        <f>IF('Incremental Repayments'!$R$22="Debt",IF(AND(E$4&gt;=$D55,E$4&lt;$D55+'Incremental Repayments'!$I$31),-PMT('Interest Rate'!$J$16,'Incremental Repayments'!$I$31,(HLOOKUP($D55,$E$4:$CZ$32,28,FALSE)*'Incremental Repayments'!$I$22)),0),0)</f>
        <v>0</v>
      </c>
      <c r="F55" s="783">
        <f>IF('Incremental Repayments'!$R$22="Debt",IF(AND(F$4&gt;=$D55,F$4&lt;$D55+'Incremental Repayments'!$I$31),-PMT('Interest Rate'!$J$16,'Incremental Repayments'!$I$31,(HLOOKUP($D55,$E$4:$CZ$32,28,FALSE)*'Incremental Repayments'!$I$22)),0),0)</f>
        <v>0</v>
      </c>
      <c r="G55" s="783">
        <f>IF('Incremental Repayments'!$R$22="Debt",IF(AND(G$4&gt;=$D55,G$4&lt;$D55+'Incremental Repayments'!$I$31),-PMT('Interest Rate'!$J$16,'Incremental Repayments'!$I$31,(HLOOKUP($D55,$E$4:$CZ$32,28,FALSE)*'Incremental Repayments'!$I$22)),0),0)</f>
        <v>0</v>
      </c>
      <c r="H55" s="783">
        <f>IF('Incremental Repayments'!$R$22="Debt",IF(AND(H$4&gt;=$D55,H$4&lt;$D55+'Incremental Repayments'!$I$31),-PMT('Interest Rate'!$J$16,'Incremental Repayments'!$I$31,(HLOOKUP($D55,$E$4:$CZ$32,28,FALSE)*'Incremental Repayments'!$I$22)),0),0)</f>
        <v>0</v>
      </c>
      <c r="I55" s="783">
        <f>IF('Incremental Repayments'!$R$22="Debt",IF(AND(I$4&gt;=$D55,I$4&lt;$D55+'Incremental Repayments'!$I$31),-PMT('Interest Rate'!$J$16,'Incremental Repayments'!$I$31,(HLOOKUP($D55,$E$4:$CZ$32,28,FALSE)*'Incremental Repayments'!$I$22)),0),0)</f>
        <v>0</v>
      </c>
      <c r="J55" s="783">
        <f>IF('Incremental Repayments'!$R$22="Debt",IF(AND(J$4&gt;=$D55,J$4&lt;$D55+'Incremental Repayments'!$I$31),-PMT('Interest Rate'!$J$16,'Incremental Repayments'!$I$31,(HLOOKUP($D55,$E$4:$CZ$32,28,FALSE)*'Incremental Repayments'!$I$22)),0),0)</f>
        <v>0</v>
      </c>
      <c r="K55" s="783">
        <f>IF('Incremental Repayments'!$R$22="Debt",IF(AND(K$4&gt;=$D55,K$4&lt;$D55+'Incremental Repayments'!$I$31),-PMT('Interest Rate'!$J$16,'Incremental Repayments'!$I$31,(HLOOKUP($D55,$E$4:$CZ$32,28,FALSE)*'Incremental Repayments'!$I$22)),0),0)</f>
        <v>0</v>
      </c>
      <c r="L55" s="783">
        <f>IF('Incremental Repayments'!$R$22="Debt",IF(AND(L$4&gt;=$D55,L$4&lt;$D55+'Incremental Repayments'!$I$31),-PMT('Interest Rate'!$J$16,'Incremental Repayments'!$I$31,(HLOOKUP($D55,$E$4:$CZ$32,28,FALSE)*'Incremental Repayments'!$I$22)),0),0)</f>
        <v>0</v>
      </c>
      <c r="M55" s="783">
        <f>IF('Incremental Repayments'!$R$22="Debt",IF(AND(M$4&gt;=$D55,M$4&lt;$D55+'Incremental Repayments'!$I$31),-PMT('Interest Rate'!$J$16,'Incremental Repayments'!$I$31,(HLOOKUP($D55,$E$4:$CZ$32,28,FALSE)*'Incremental Repayments'!$I$22)),0),0)</f>
        <v>0</v>
      </c>
      <c r="N55" s="783">
        <f>IF('Incremental Repayments'!$R$22="Debt",IF(AND(N$4&gt;=$D55,N$4&lt;$D55+'Incremental Repayments'!$I$31),-PMT('Interest Rate'!$J$16,'Incremental Repayments'!$I$31,(HLOOKUP($D55,$E$4:$CZ$32,28,FALSE)*'Incremental Repayments'!$I$22)),0),0)</f>
        <v>0</v>
      </c>
      <c r="O55" s="783">
        <f>IF('Incremental Repayments'!$R$22="Debt",IF(AND(O$4&gt;=$D55,O$4&lt;$D55+'Incremental Repayments'!$I$31),-PMT('Interest Rate'!$J$16,'Incremental Repayments'!$I$31,(HLOOKUP($D55,$E$4:$CZ$32,28,FALSE)*'Incremental Repayments'!$I$22)),0),0)</f>
        <v>0</v>
      </c>
      <c r="P55" s="783">
        <f>IF('Incremental Repayments'!$R$22="Debt",IF(AND(P$4&gt;=$D55,P$4&lt;$D55+'Incremental Repayments'!$I$31),-PMT('Interest Rate'!$J$16,'Incremental Repayments'!$I$31,(HLOOKUP($D55,$E$4:$CZ$32,28,FALSE)*'Incremental Repayments'!$I$22)),0),0)</f>
        <v>0</v>
      </c>
      <c r="Q55" s="783">
        <f>IF('Incremental Repayments'!$R$22="Debt",IF(AND(Q$4&gt;=$D55,Q$4&lt;$D55+'Incremental Repayments'!$I$31),-PMT('Interest Rate'!$J$16,'Incremental Repayments'!$I$31,(HLOOKUP($D55,$E$4:$CZ$32,28,FALSE)*'Incremental Repayments'!$I$22)),0),0)</f>
        <v>0</v>
      </c>
      <c r="R55" s="783">
        <f>IF('Incremental Repayments'!$R$22="Debt",IF(AND(R$4&gt;=$D55,R$4&lt;$D55+'Incremental Repayments'!$I$31),-PMT('Interest Rate'!$J$16,'Incremental Repayments'!$I$31,(HLOOKUP($D55,$E$4:$CZ$32,28,FALSE)*'Incremental Repayments'!$I$22)),0),0)</f>
        <v>0</v>
      </c>
      <c r="S55" s="783">
        <f>IF('Incremental Repayments'!$R$22="Debt",IF(AND(S$4&gt;=$D55,S$4&lt;$D55+'Incremental Repayments'!$I$31),-PMT('Interest Rate'!$J$16,'Incremental Repayments'!$I$31,(HLOOKUP($D55,$E$4:$CZ$32,28,FALSE)*'Incremental Repayments'!$I$22)),0),0)</f>
        <v>0</v>
      </c>
      <c r="T55" s="783">
        <f>IF('Incremental Repayments'!$R$22="Debt",IF(AND(T$4&gt;=$D55,T$4&lt;$D55+'Incremental Repayments'!$I$31),-PMT('Interest Rate'!$J$16,'Incremental Repayments'!$I$31,(HLOOKUP($D55,$E$4:$CZ$32,28,FALSE)*'Incremental Repayments'!$I$22)),0),0)</f>
        <v>0</v>
      </c>
      <c r="U55" s="783">
        <f>IF('Incremental Repayments'!$R$22="Debt",IF(AND(U$4&gt;=$D55,U$4&lt;$D55+'Incremental Repayments'!$I$31),-PMT('Interest Rate'!$J$16,'Incremental Repayments'!$I$31,(HLOOKUP($D55,$E$4:$CZ$32,28,FALSE)*'Incremental Repayments'!$I$22)),0),0)</f>
        <v>0</v>
      </c>
      <c r="V55" s="783">
        <f>IF('Incremental Repayments'!$R$22="Debt",IF(AND(V$4&gt;=$D55,V$4&lt;$D55+'Incremental Repayments'!$I$31),-PMT('Interest Rate'!$J$16,'Incremental Repayments'!$I$31,(HLOOKUP($D55,$E$4:$CZ$32,28,FALSE)*'Incremental Repayments'!$I$22)),0),0)</f>
        <v>0</v>
      </c>
      <c r="W55" s="783">
        <f>IF('Incremental Repayments'!$R$22="Debt",IF(AND(W$4&gt;=$D55,W$4&lt;$D55+'Incremental Repayments'!$I$31),-PMT('Interest Rate'!$J$16,'Incremental Repayments'!$I$31,(HLOOKUP($D55,$E$4:$CZ$32,28,FALSE)*'Incremental Repayments'!$I$22)),0),0)</f>
        <v>0</v>
      </c>
      <c r="X55" s="783">
        <f>IF('Incremental Repayments'!$R$22="Debt",IF(AND(X$4&gt;=$D55,X$4&lt;$D55+'Incremental Repayments'!$I$31),-PMT('Interest Rate'!$J$16,'Incremental Repayments'!$I$31,(HLOOKUP($D55,$E$4:$CZ$32,28,FALSE)*'Incremental Repayments'!$I$22)),0),0)</f>
        <v>2204972.8947963663</v>
      </c>
      <c r="Y55" s="783">
        <f>IF('Incremental Repayments'!$R$22="Debt",IF(AND(Y$4&gt;=$D55,Y$4&lt;$D55+'Incremental Repayments'!$I$31),-PMT('Interest Rate'!$J$16,'Incremental Repayments'!$I$31,(HLOOKUP($D55,$E$4:$CZ$32,28,FALSE)*'Incremental Repayments'!$I$22)),0),0)</f>
        <v>2204972.8947963663</v>
      </c>
      <c r="Z55" s="783">
        <f>IF('Incremental Repayments'!$R$22="Debt",IF(AND(Z$4&gt;=$D55,Z$4&lt;$D55+'Incremental Repayments'!$I$31),-PMT('Interest Rate'!$J$16,'Incremental Repayments'!$I$31,(HLOOKUP($D55,$E$4:$CZ$32,28,FALSE)*'Incremental Repayments'!$I$22)),0),0)</f>
        <v>2204972.8947963663</v>
      </c>
      <c r="AA55" s="783">
        <f>IF('Incremental Repayments'!$R$22="Debt",IF(AND(AA$4&gt;=$D55,AA$4&lt;$D55+'Incremental Repayments'!$I$31),-PMT('Interest Rate'!$J$16,'Incremental Repayments'!$I$31,(HLOOKUP($D55,$E$4:$CZ$32,28,FALSE)*'Incremental Repayments'!$I$22)),0),0)</f>
        <v>2204972.8947963663</v>
      </c>
      <c r="AB55" s="783">
        <f>IF('Incremental Repayments'!$R$22="Debt",IF(AND(AB$4&gt;=$D55,AB$4&lt;$D55+'Incremental Repayments'!$I$31),-PMT('Interest Rate'!$J$16,'Incremental Repayments'!$I$31,(HLOOKUP($D55,$E$4:$CZ$32,28,FALSE)*'Incremental Repayments'!$I$22)),0),0)</f>
        <v>2204972.8947963663</v>
      </c>
      <c r="AC55" s="783">
        <f>IF('Incremental Repayments'!$R$22="Debt",IF(AND(AC$4&gt;=$D55,AC$4&lt;$D55+'Incremental Repayments'!$I$31),-PMT('Interest Rate'!$J$16,'Incremental Repayments'!$I$31,(HLOOKUP($D55,$E$4:$CZ$32,28,FALSE)*'Incremental Repayments'!$I$22)),0),0)</f>
        <v>2204972.8947963663</v>
      </c>
      <c r="AD55" s="783">
        <f>IF('Incremental Repayments'!$R$22="Debt",IF(AND(AD$4&gt;=$D55,AD$4&lt;$D55+'Incremental Repayments'!$I$31),-PMT('Interest Rate'!$J$16,'Incremental Repayments'!$I$31,(HLOOKUP($D55,$E$4:$CZ$32,28,FALSE)*'Incremental Repayments'!$I$22)),0),0)</f>
        <v>2204972.8947963663</v>
      </c>
      <c r="AE55" s="783">
        <f>IF('Incremental Repayments'!$R$22="Debt",IF(AND(AE$4&gt;=$D55,AE$4&lt;$D55+'Incremental Repayments'!$I$31),-PMT('Interest Rate'!$J$16,'Incremental Repayments'!$I$31,(HLOOKUP($D55,$E$4:$CZ$32,28,FALSE)*'Incremental Repayments'!$I$22)),0),0)</f>
        <v>2204972.8947963663</v>
      </c>
      <c r="AF55" s="783">
        <f>IF('Incremental Repayments'!$R$22="Debt",IF(AND(AF$4&gt;=$D55,AF$4&lt;$D55+'Incremental Repayments'!$I$31),-PMT('Interest Rate'!$J$16,'Incremental Repayments'!$I$31,(HLOOKUP($D55,$E$4:$CZ$32,28,FALSE)*'Incremental Repayments'!$I$22)),0),0)</f>
        <v>2204972.8947963663</v>
      </c>
      <c r="AG55" s="783">
        <f>IF('Incremental Repayments'!$R$22="Debt",IF(AND(AG$4&gt;=$D55,AG$4&lt;$D55+'Incremental Repayments'!$I$31),-PMT('Interest Rate'!$J$16,'Incremental Repayments'!$I$31,(HLOOKUP($D55,$E$4:$CZ$32,28,FALSE)*'Incremental Repayments'!$I$22)),0),0)</f>
        <v>2204972.8947963663</v>
      </c>
      <c r="AH55" s="783">
        <f>IF('Incremental Repayments'!$R$22="Debt",IF(AND(AH$4&gt;=$D55,AH$4&lt;$D55+'Incremental Repayments'!$I$31),-PMT('Interest Rate'!$J$16,'Incremental Repayments'!$I$31,(HLOOKUP($D55,$E$4:$CZ$32,28,FALSE)*'Incremental Repayments'!$I$22)),0),0)</f>
        <v>2204972.8947963663</v>
      </c>
      <c r="AI55" s="783">
        <f>IF('Incremental Repayments'!$R$22="Debt",IF(AND(AI$4&gt;=$D55,AI$4&lt;$D55+'Incremental Repayments'!$I$31),-PMT('Interest Rate'!$J$16,'Incremental Repayments'!$I$31,(HLOOKUP($D55,$E$4:$CZ$32,28,FALSE)*'Incremental Repayments'!$I$22)),0),0)</f>
        <v>2204972.8947963663</v>
      </c>
      <c r="AJ55" s="783">
        <f>IF('Incremental Repayments'!$R$22="Debt",IF(AND(AJ$4&gt;=$D55,AJ$4&lt;$D55+'Incremental Repayments'!$I$31),-PMT('Interest Rate'!$J$16,'Incremental Repayments'!$I$31,(HLOOKUP($D55,$E$4:$CZ$32,28,FALSE)*'Incremental Repayments'!$I$22)),0),0)</f>
        <v>2204972.8947963663</v>
      </c>
      <c r="AK55" s="783">
        <f>IF('Incremental Repayments'!$R$22="Debt",IF(AND(AK$4&gt;=$D55,AK$4&lt;$D55+'Incremental Repayments'!$I$31),-PMT('Interest Rate'!$J$16,'Incremental Repayments'!$I$31,(HLOOKUP($D55,$E$4:$CZ$32,28,FALSE)*'Incremental Repayments'!$I$22)),0),0)</f>
        <v>2204972.8947963663</v>
      </c>
      <c r="AL55" s="783">
        <f>IF('Incremental Repayments'!$R$22="Debt",IF(AND(AL$4&gt;=$D55,AL$4&lt;$D55+'Incremental Repayments'!$I$31),-PMT('Interest Rate'!$J$16,'Incremental Repayments'!$I$31,(HLOOKUP($D55,$E$4:$CZ$32,28,FALSE)*'Incremental Repayments'!$I$22)),0),0)</f>
        <v>2204972.8947963663</v>
      </c>
      <c r="AM55" s="783">
        <f>IF('Incremental Repayments'!$R$22="Debt",IF(AND(AM$4&gt;=$D55,AM$4&lt;$D55+'Incremental Repayments'!$I$31),-PMT('Interest Rate'!$J$16,'Incremental Repayments'!$I$31,(HLOOKUP($D55,$E$4:$CZ$32,28,FALSE)*'Incremental Repayments'!$I$22)),0),0)</f>
        <v>2204972.8947963663</v>
      </c>
      <c r="AN55" s="783">
        <f>IF('Incremental Repayments'!$R$22="Debt",IF(AND(AN$4&gt;=$D55,AN$4&lt;$D55+'Incremental Repayments'!$I$31),-PMT('Interest Rate'!$J$16,'Incremental Repayments'!$I$31,(HLOOKUP($D55,$E$4:$CZ$32,28,FALSE)*'Incremental Repayments'!$I$22)),0),0)</f>
        <v>2204972.8947963663</v>
      </c>
      <c r="AO55" s="783">
        <f>IF('Incremental Repayments'!$R$22="Debt",IF(AND(AO$4&gt;=$D55,AO$4&lt;$D55+'Incremental Repayments'!$I$31),-PMT('Interest Rate'!$J$16,'Incremental Repayments'!$I$31,(HLOOKUP($D55,$E$4:$CZ$32,28,FALSE)*'Incremental Repayments'!$I$22)),0),0)</f>
        <v>2204972.8947963663</v>
      </c>
      <c r="AP55" s="783">
        <f>IF('Incremental Repayments'!$R$22="Debt",IF(AND(AP$4&gt;=$D55,AP$4&lt;$D55+'Incremental Repayments'!$I$31),-PMT('Interest Rate'!$J$16,'Incremental Repayments'!$I$31,(HLOOKUP($D55,$E$4:$CZ$32,28,FALSE)*'Incremental Repayments'!$I$22)),0),0)</f>
        <v>2204972.8947963663</v>
      </c>
      <c r="AQ55" s="783">
        <f>IF('Incremental Repayments'!$R$22="Debt",IF(AND(AQ$4&gt;=$D55,AQ$4&lt;$D55+'Incremental Repayments'!$I$31),-PMT('Interest Rate'!$J$16,'Incremental Repayments'!$I$31,(HLOOKUP($D55,$E$4:$CZ$32,28,FALSE)*'Incremental Repayments'!$I$22)),0),0)</f>
        <v>2204972.8947963663</v>
      </c>
      <c r="AR55" s="783">
        <f>IF('Incremental Repayments'!$R$22="Debt",IF(AND(AR$4&gt;=$D55,AR$4&lt;$D55+'Incremental Repayments'!$I$31),-PMT('Interest Rate'!$J$16,'Incremental Repayments'!$I$31,(HLOOKUP($D55,$E$4:$CZ$32,28,FALSE)*'Incremental Repayments'!$I$22)),0),0)</f>
        <v>2204972.8947963663</v>
      </c>
      <c r="AS55" s="783">
        <f>IF('Incremental Repayments'!$R$22="Debt",IF(AND(AS$4&gt;=$D55,AS$4&lt;$D55+'Incremental Repayments'!$I$31),-PMT('Interest Rate'!$J$16,'Incremental Repayments'!$I$31,(HLOOKUP($D55,$E$4:$CZ$32,28,FALSE)*'Incremental Repayments'!$I$22)),0),0)</f>
        <v>2204972.8947963663</v>
      </c>
      <c r="AT55" s="783">
        <f>IF('Incremental Repayments'!$R$22="Debt",IF(AND(AT$4&gt;=$D55,AT$4&lt;$D55+'Incremental Repayments'!$I$31),-PMT('Interest Rate'!$J$16,'Incremental Repayments'!$I$31,(HLOOKUP($D55,$E$4:$CZ$32,28,FALSE)*'Incremental Repayments'!$I$22)),0),0)</f>
        <v>2204972.8947963663</v>
      </c>
      <c r="AU55" s="783">
        <f>IF('Incremental Repayments'!$R$22="Debt",IF(AND(AU$4&gt;=$D55,AU$4&lt;$D55+'Incremental Repayments'!$I$31),-PMT('Interest Rate'!$J$16,'Incremental Repayments'!$I$31,(HLOOKUP($D55,$E$4:$CZ$32,28,FALSE)*'Incremental Repayments'!$I$22)),0),0)</f>
        <v>2204972.8947963663</v>
      </c>
      <c r="AV55" s="783">
        <f>IF('Incremental Repayments'!$R$22="Debt",IF(AND(AV$4&gt;=$D55,AV$4&lt;$D55+'Incremental Repayments'!$I$31),-PMT('Interest Rate'!$J$16,'Incremental Repayments'!$I$31,(HLOOKUP($D55,$E$4:$CZ$32,28,FALSE)*'Incremental Repayments'!$I$22)),0),0)</f>
        <v>2204972.8947963663</v>
      </c>
      <c r="AW55" s="783">
        <f>IF('Incremental Repayments'!$R$22="Debt",IF(AND(AW$4&gt;=$D55,AW$4&lt;$D55+'Incremental Repayments'!$I$31),-PMT('Interest Rate'!$J$16,'Incremental Repayments'!$I$31,(HLOOKUP($D55,$E$4:$CZ$32,28,FALSE)*'Incremental Repayments'!$I$22)),0),0)</f>
        <v>2204972.8947963663</v>
      </c>
      <c r="AX55" s="783">
        <f>IF('Incremental Repayments'!$R$22="Debt",IF(AND(AX$4&gt;=$D55,AX$4&lt;$D55+'Incremental Repayments'!$I$31),-PMT('Interest Rate'!$J$16,'Incremental Repayments'!$I$31,(HLOOKUP($D55,$E$4:$CZ$32,28,FALSE)*'Incremental Repayments'!$I$22)),0),0)</f>
        <v>2204972.8947963663</v>
      </c>
      <c r="AY55" s="783">
        <f>IF('Incremental Repayments'!$R$22="Debt",IF(AND(AY$4&gt;=$D55,AY$4&lt;$D55+'Incremental Repayments'!$I$31),-PMT('Interest Rate'!$J$16,'Incremental Repayments'!$I$31,(HLOOKUP($D55,$E$4:$CZ$32,28,FALSE)*'Incremental Repayments'!$I$22)),0),0)</f>
        <v>2204972.8947963663</v>
      </c>
      <c r="AZ55" s="783">
        <f>IF('Incremental Repayments'!$R$22="Debt",IF(AND(AZ$4&gt;=$D55,AZ$4&lt;$D55+'Incremental Repayments'!$I$31),-PMT('Interest Rate'!$J$16,'Incremental Repayments'!$I$31,(HLOOKUP($D55,$E$4:$CZ$32,28,FALSE)*'Incremental Repayments'!$I$22)),0),0)</f>
        <v>2204972.8947963663</v>
      </c>
      <c r="BA55" s="783">
        <f>IF('Incremental Repayments'!$R$22="Debt",IF(AND(BA$4&gt;=$D55,BA$4&lt;$D55+'Incremental Repayments'!$I$31),-PMT('Interest Rate'!$J$16,'Incremental Repayments'!$I$31,(HLOOKUP($D55,$E$4:$CZ$32,28,FALSE)*'Incremental Repayments'!$I$22)),0),0)</f>
        <v>2204972.8947963663</v>
      </c>
      <c r="BB55" s="783">
        <f>IF('Incremental Repayments'!$R$22="Debt",IF(AND(BB$4&gt;=$D55,BB$4&lt;$D55+'Incremental Repayments'!$I$31),-PMT('Interest Rate'!$J$16,'Incremental Repayments'!$I$31,(HLOOKUP($D55,$E$4:$CZ$32,28,FALSE)*'Incremental Repayments'!$I$22)),0),0)</f>
        <v>0</v>
      </c>
      <c r="BC55" s="783">
        <f>IF('Incremental Repayments'!$R$22="Debt",IF(AND(BC$4&gt;=$D55,BC$4&lt;$D55+'Incremental Repayments'!$I$31),-PMT('Interest Rate'!$J$16,'Incremental Repayments'!$I$31,(HLOOKUP($D55,$E$4:$CZ$32,28,FALSE)*'Incremental Repayments'!$I$22)),0),0)</f>
        <v>0</v>
      </c>
      <c r="BD55" s="783">
        <f>IF('Incremental Repayments'!$R$22="Debt",IF(AND(BD$4&gt;=$D55,BD$4&lt;$D55+'Incremental Repayments'!$I$31),-PMT('Interest Rate'!$J$16,'Incremental Repayments'!$I$31,(HLOOKUP($D55,$E$4:$CZ$32,28,FALSE)*'Incremental Repayments'!$I$22)),0),0)</f>
        <v>0</v>
      </c>
      <c r="BE55" s="783">
        <f>IF('Incremental Repayments'!$R$22="Debt",IF(AND(BE$4&gt;=$D55,BE$4&lt;$D55+'Incremental Repayments'!$I$31),-PMT('Interest Rate'!$J$16,'Incremental Repayments'!$I$31,(HLOOKUP($D55,$E$4:$CZ$32,28,FALSE)*'Incremental Repayments'!$I$22)),0),0)</f>
        <v>0</v>
      </c>
      <c r="BF55" s="783">
        <f>IF('Incremental Repayments'!$R$22="Debt",IF(AND(BF$4&gt;=$D55,BF$4&lt;$D55+'Incremental Repayments'!$I$31),-PMT('Interest Rate'!$J$16,'Incremental Repayments'!$I$31,(HLOOKUP($D55,$E$4:$CZ$32,28,FALSE)*'Incremental Repayments'!$I$22)),0),0)</f>
        <v>0</v>
      </c>
      <c r="BG55" s="783">
        <f>IF('Incremental Repayments'!$R$22="Debt",IF(AND(BG$4&gt;=$D55,BG$4&lt;$D55+'Incremental Repayments'!$I$31),-PMT('Interest Rate'!$J$16,'Incremental Repayments'!$I$31,(HLOOKUP($D55,$E$4:$CZ$32,28,FALSE)*'Incremental Repayments'!$I$22)),0),0)</f>
        <v>0</v>
      </c>
      <c r="BH55" s="783">
        <f>IF('Incremental Repayments'!$R$22="Debt",IF(AND(BH$4&gt;=$D55,BH$4&lt;$D55+'Incremental Repayments'!$I$31),-PMT('Interest Rate'!$J$16,'Incremental Repayments'!$I$31,(HLOOKUP($D55,$E$4:$CZ$32,28,FALSE)*'Incremental Repayments'!$I$22)),0),0)</f>
        <v>0</v>
      </c>
      <c r="BI55" s="783">
        <f>IF('Incremental Repayments'!$R$22="Debt",IF(AND(BI$4&gt;=$D55,BI$4&lt;$D55+'Incremental Repayments'!$I$31),-PMT('Interest Rate'!$J$16,'Incremental Repayments'!$I$31,(HLOOKUP($D55,$E$4:$CZ$32,28,FALSE)*'Incremental Repayments'!$I$22)),0),0)</f>
        <v>0</v>
      </c>
      <c r="BJ55" s="783">
        <f>IF('Incremental Repayments'!$R$22="Debt",IF(AND(BJ$4&gt;=$D55,BJ$4&lt;$D55+'Incremental Repayments'!$I$31),-PMT('Interest Rate'!$J$16,'Incremental Repayments'!$I$31,(HLOOKUP($D55,$E$4:$CZ$32,28,FALSE)*'Incremental Repayments'!$I$22)),0),0)</f>
        <v>0</v>
      </c>
      <c r="BK55" s="783">
        <f>IF('Incremental Repayments'!$R$22="Debt",IF(AND(BK$4&gt;=$D55,BK$4&lt;$D55+'Incremental Repayments'!$I$31),-PMT('Interest Rate'!$J$16,'Incremental Repayments'!$I$31,(HLOOKUP($D55,$E$4:$CZ$32,28,FALSE)*'Incremental Repayments'!$I$22)),0),0)</f>
        <v>0</v>
      </c>
      <c r="BL55" s="783">
        <f>IF('Incremental Repayments'!$R$22="Debt",IF(AND(BL$4&gt;=$D55,BL$4&lt;$D55+'Incremental Repayments'!$I$31),-PMT('Interest Rate'!$J$16,'Incremental Repayments'!$I$31,(HLOOKUP($D55,$E$4:$CZ$32,28,FALSE)*'Incremental Repayments'!$I$22)),0),0)</f>
        <v>0</v>
      </c>
      <c r="BM55" s="783">
        <f>IF('Incremental Repayments'!$R$22="Debt",IF(AND(BM$4&gt;=$D55,BM$4&lt;$D55+'Incremental Repayments'!$I$31),-PMT('Interest Rate'!$J$16,'Incremental Repayments'!$I$31,(HLOOKUP($D55,$E$4:$CZ$32,28,FALSE)*'Incremental Repayments'!$I$22)),0),0)</f>
        <v>0</v>
      </c>
      <c r="BN55" s="783">
        <f>IF('Incremental Repayments'!$R$22="Debt",IF(AND(BN$4&gt;=$D55,BN$4&lt;$D55+'Incremental Repayments'!$I$31),-PMT('Interest Rate'!$J$16,'Incremental Repayments'!$I$31,(HLOOKUP($D55,$E$4:$CZ$32,28,FALSE)*'Incremental Repayments'!$I$22)),0),0)</f>
        <v>0</v>
      </c>
      <c r="BO55" s="783">
        <f>IF('Incremental Repayments'!$R$22="Debt",IF(AND(BO$4&gt;=$D55,BO$4&lt;$D55+'Incremental Repayments'!$I$31),-PMT('Interest Rate'!$J$16,'Incremental Repayments'!$I$31,(HLOOKUP($D55,$E$4:$CZ$32,28,FALSE)*'Incremental Repayments'!$I$22)),0),0)</f>
        <v>0</v>
      </c>
      <c r="BP55" s="783">
        <f>IF('Incremental Repayments'!$R$22="Debt",IF(AND(BP$4&gt;=$D55,BP$4&lt;$D55+'Incremental Repayments'!$I$31),-PMT('Interest Rate'!$J$16,'Incremental Repayments'!$I$31,(HLOOKUP($D55,$E$4:$CZ$32,28,FALSE)*'Incremental Repayments'!$I$22)),0),0)</f>
        <v>0</v>
      </c>
      <c r="BQ55" s="783">
        <f>IF('Incremental Repayments'!$R$22="Debt",IF(AND(BQ$4&gt;=$D55,BQ$4&lt;$D55+'Incremental Repayments'!$I$31),-PMT('Interest Rate'!$J$16,'Incremental Repayments'!$I$31,(HLOOKUP($D55,$E$4:$CZ$32,28,FALSE)*'Incremental Repayments'!$I$22)),0),0)</f>
        <v>0</v>
      </c>
      <c r="BR55" s="783">
        <f>IF('Incremental Repayments'!$R$22="Debt",IF(AND(BR$4&gt;=$D55,BR$4&lt;$D55+'Incremental Repayments'!$I$31),-PMT('Interest Rate'!$J$16,'Incremental Repayments'!$I$31,(HLOOKUP($D55,$E$4:$CZ$32,28,FALSE)*'Incremental Repayments'!$I$22)),0),0)</f>
        <v>0</v>
      </c>
      <c r="BS55" s="783">
        <f>IF('Incremental Repayments'!$R$22="Debt",IF(AND(BS$4&gt;=$D55,BS$4&lt;$D55+'Incremental Repayments'!$I$31),-PMT('Interest Rate'!$J$16,'Incremental Repayments'!$I$31,(HLOOKUP($D55,$E$4:$CZ$32,28,FALSE)*'Incremental Repayments'!$I$22)),0),0)</f>
        <v>0</v>
      </c>
      <c r="BT55" s="783">
        <f>IF('Incremental Repayments'!$R$22="Debt",IF(AND(BT$4&gt;=$D55,BT$4&lt;$D55+'Incremental Repayments'!$I$31),-PMT('Interest Rate'!$J$16,'Incremental Repayments'!$I$31,(HLOOKUP($D55,$E$4:$CZ$32,28,FALSE)*'Incremental Repayments'!$I$22)),0),0)</f>
        <v>0</v>
      </c>
      <c r="BU55" s="783">
        <f>IF('Incremental Repayments'!$R$22="Debt",IF(AND(BU$4&gt;=$D55,BU$4&lt;$D55+'Incremental Repayments'!$I$31),-PMT('Interest Rate'!$J$16,'Incremental Repayments'!$I$31,(HLOOKUP($D55,$E$4:$CZ$32,28,FALSE)*'Incremental Repayments'!$I$22)),0),0)</f>
        <v>0</v>
      </c>
      <c r="BV55" s="783">
        <f>IF('Incremental Repayments'!$R$22="Debt",IF(AND(BV$4&gt;=$D55,BV$4&lt;$D55+'Incremental Repayments'!$I$31),-PMT('Interest Rate'!$J$16,'Incremental Repayments'!$I$31,(HLOOKUP($D55,$E$4:$CZ$32,28,FALSE)*'Incremental Repayments'!$I$22)),0),0)</f>
        <v>0</v>
      </c>
      <c r="BW55" s="783">
        <f>IF('Incremental Repayments'!$R$22="Debt",IF(AND(BW$4&gt;=$D55,BW$4&lt;$D55+'Incremental Repayments'!$I$31),-PMT('Interest Rate'!$J$16,'Incremental Repayments'!$I$31,(HLOOKUP($D55,$E$4:$CZ$32,28,FALSE)*'Incremental Repayments'!$I$22)),0),0)</f>
        <v>0</v>
      </c>
      <c r="BX55" s="783">
        <f>IF('Incremental Repayments'!$R$22="Debt",IF(AND(BX$4&gt;=$D55,BX$4&lt;$D55+'Incremental Repayments'!$I$31),-PMT('Interest Rate'!$J$16,'Incremental Repayments'!$I$31,(HLOOKUP($D55,$E$4:$CZ$32,28,FALSE)*'Incremental Repayments'!$I$22)),0),0)</f>
        <v>0</v>
      </c>
      <c r="BY55" s="783">
        <f>IF('Incremental Repayments'!$R$22="Debt",IF(AND(BY$4&gt;=$D55,BY$4&lt;$D55+'Incremental Repayments'!$I$31),-PMT('Interest Rate'!$J$16,'Incremental Repayments'!$I$31,(HLOOKUP($D55,$E$4:$CZ$32,28,FALSE)*'Incremental Repayments'!$I$22)),0),0)</f>
        <v>0</v>
      </c>
      <c r="BZ55" s="783">
        <f>IF('Incremental Repayments'!$R$22="Debt",IF(AND(BZ$4&gt;=$D55,BZ$4&lt;$D55+'Incremental Repayments'!$I$31),-PMT('Interest Rate'!$J$16,'Incremental Repayments'!$I$31,(HLOOKUP($D55,$E$4:$CZ$32,28,FALSE)*'Incremental Repayments'!$I$22)),0),0)</f>
        <v>0</v>
      </c>
      <c r="CA55" s="783">
        <f>IF('Incremental Repayments'!$R$22="Debt",IF(AND(CA$4&gt;=$D55,CA$4&lt;$D55+'Incremental Repayments'!$I$31),-PMT('Interest Rate'!$J$16,'Incremental Repayments'!$I$31,(HLOOKUP($D55,$E$4:$CZ$32,28,FALSE)*'Incremental Repayments'!$I$22)),0),0)</f>
        <v>0</v>
      </c>
      <c r="CB55" s="783">
        <f>IF('Incremental Repayments'!$R$22="Debt",IF(AND(CB$4&gt;=$D55,CB$4&lt;$D55+'Incremental Repayments'!$I$31),-PMT('Interest Rate'!$J$16,'Incremental Repayments'!$I$31,(HLOOKUP($D55,$E$4:$CZ$32,28,FALSE)*'Incremental Repayments'!$I$22)),0),0)</f>
        <v>0</v>
      </c>
      <c r="CC55" s="783">
        <f>IF('Incremental Repayments'!$R$22="Debt",IF(AND(CC$4&gt;=$D55,CC$4&lt;$D55+'Incremental Repayments'!$I$31),-PMT('Interest Rate'!$J$16,'Incremental Repayments'!$I$31,(HLOOKUP($D55,$E$4:$CZ$32,28,FALSE)*'Incremental Repayments'!$I$22)),0),0)</f>
        <v>0</v>
      </c>
      <c r="CD55" s="783">
        <f>IF('Incremental Repayments'!$R$22="Debt",IF(AND(CD$4&gt;=$D55,CD$4&lt;$D55+'Incremental Repayments'!$I$31),-PMT('Interest Rate'!$J$16,'Incremental Repayments'!$I$31,(HLOOKUP($D55,$E$4:$CZ$32,28,FALSE)*'Incremental Repayments'!$I$22)),0),0)</f>
        <v>0</v>
      </c>
      <c r="CE55" s="783">
        <f>IF('Incremental Repayments'!$R$22="Debt",IF(AND(CE$4&gt;=$D55,CE$4&lt;$D55+'Incremental Repayments'!$I$31),-PMT('Interest Rate'!$J$16,'Incremental Repayments'!$I$31,(HLOOKUP($D55,$E$4:$CZ$32,28,FALSE)*'Incremental Repayments'!$I$22)),0),0)</f>
        <v>0</v>
      </c>
      <c r="CF55" s="783">
        <f>IF('Incremental Repayments'!$R$22="Debt",IF(AND(CF$4&gt;=$D55,CF$4&lt;$D55+'Incremental Repayments'!$I$31),-PMT('Interest Rate'!$J$16,'Incremental Repayments'!$I$31,(HLOOKUP($D55,$E$4:$CZ$32,28,FALSE)*'Incremental Repayments'!$I$22)),0),0)</f>
        <v>0</v>
      </c>
      <c r="CG55" s="783">
        <f>IF('Incremental Repayments'!$R$22="Debt",IF(AND(CG$4&gt;=$D55,CG$4&lt;$D55+'Incremental Repayments'!$I$31),-PMT('Interest Rate'!$J$16,'Incremental Repayments'!$I$31,(HLOOKUP($D55,$E$4:$CZ$32,28,FALSE)*'Incremental Repayments'!$I$22)),0),0)</f>
        <v>0</v>
      </c>
      <c r="CH55" s="783">
        <f>IF('Incremental Repayments'!$R$22="Debt",IF(AND(CH$4&gt;=$D55,CH$4&lt;$D55+'Incremental Repayments'!$I$31),-PMT('Interest Rate'!$J$16,'Incremental Repayments'!$I$31,(HLOOKUP($D55,$E$4:$CZ$32,28,FALSE)*'Incremental Repayments'!$I$22)),0),0)</f>
        <v>0</v>
      </c>
      <c r="CI55" s="783">
        <f>IF('Incremental Repayments'!$R$22="Debt",IF(AND(CI$4&gt;=$D55,CI$4&lt;$D55+'Incremental Repayments'!$I$31),-PMT('Interest Rate'!$J$16,'Incremental Repayments'!$I$31,(HLOOKUP($D55,$E$4:$CZ$32,28,FALSE)*'Incremental Repayments'!$I$22)),0),0)</f>
        <v>0</v>
      </c>
      <c r="CJ55" s="783">
        <f>IF('Incremental Repayments'!$R$22="Debt",IF(AND(CJ$4&gt;=$D55,CJ$4&lt;$D55+'Incremental Repayments'!$I$31),-PMT('Interest Rate'!$J$16,'Incremental Repayments'!$I$31,(HLOOKUP($D55,$E$4:$CZ$32,28,FALSE)*'Incremental Repayments'!$I$22)),0),0)</f>
        <v>0</v>
      </c>
      <c r="CK55" s="783">
        <f>IF('Incremental Repayments'!$R$22="Debt",IF(AND(CK$4&gt;=$D55,CK$4&lt;$D55+'Incremental Repayments'!$I$31),-PMT('Interest Rate'!$J$16,'Incremental Repayments'!$I$31,(HLOOKUP($D55,$E$4:$CZ$32,28,FALSE)*'Incremental Repayments'!$I$22)),0),0)</f>
        <v>0</v>
      </c>
      <c r="CL55" s="783">
        <f>IF('Incremental Repayments'!$R$22="Debt",IF(AND(CL$4&gt;=$D55,CL$4&lt;$D55+'Incremental Repayments'!$I$31),-PMT('Interest Rate'!$J$16,'Incremental Repayments'!$I$31,(HLOOKUP($D55,$E$4:$CZ$32,28,FALSE)*'Incremental Repayments'!$I$22)),0),0)</f>
        <v>0</v>
      </c>
      <c r="CM55" s="783">
        <f>IF('Incremental Repayments'!$R$22="Debt",IF(AND(CM$4&gt;=$D55,CM$4&lt;$D55+'Incremental Repayments'!$I$31),-PMT('Interest Rate'!$J$16,'Incremental Repayments'!$I$31,(HLOOKUP($D55,$E$4:$CZ$32,28,FALSE)*'Incremental Repayments'!$I$22)),0),0)</f>
        <v>0</v>
      </c>
      <c r="CN55" s="783">
        <f>IF('Incremental Repayments'!$R$22="Debt",IF(AND(CN$4&gt;=$D55,CN$4&lt;$D55+'Incremental Repayments'!$I$31),-PMT('Interest Rate'!$J$16,'Incremental Repayments'!$I$31,(HLOOKUP($D55,$E$4:$CZ$32,28,FALSE)*'Incremental Repayments'!$I$22)),0),0)</f>
        <v>0</v>
      </c>
      <c r="CO55" s="783">
        <f>IF('Incremental Repayments'!$R$22="Debt",IF(AND(CO$4&gt;=$D55,CO$4&lt;$D55+'Incremental Repayments'!$I$31),-PMT('Interest Rate'!$J$16,'Incremental Repayments'!$I$31,(HLOOKUP($D55,$E$4:$CZ$32,28,FALSE)*'Incremental Repayments'!$I$22)),0),0)</f>
        <v>0</v>
      </c>
      <c r="CP55" s="783">
        <f>IF('Incremental Repayments'!$R$22="Debt",IF(AND(CP$4&gt;=$D55,CP$4&lt;$D55+'Incremental Repayments'!$I$31),-PMT('Interest Rate'!$J$16,'Incremental Repayments'!$I$31,(HLOOKUP($D55,$E$4:$CZ$32,28,FALSE)*'Incremental Repayments'!$I$22)),0),0)</f>
        <v>0</v>
      </c>
      <c r="CQ55" s="783">
        <f>IF('Incremental Repayments'!$R$22="Debt",IF(AND(CQ$4&gt;=$D55,CQ$4&lt;$D55+'Incremental Repayments'!$I$31),-PMT('Interest Rate'!$J$16,'Incremental Repayments'!$I$31,(HLOOKUP($D55,$E$4:$CZ$32,28,FALSE)*'Incremental Repayments'!$I$22)),0),0)</f>
        <v>0</v>
      </c>
      <c r="CR55" s="783">
        <f>IF('Incremental Repayments'!$R$22="Debt",IF(AND(CR$4&gt;=$D55,CR$4&lt;$D55+'Incremental Repayments'!$I$31),-PMT('Interest Rate'!$J$16,'Incremental Repayments'!$I$31,(HLOOKUP($D55,$E$4:$CZ$32,28,FALSE)*'Incremental Repayments'!$I$22)),0),0)</f>
        <v>0</v>
      </c>
      <c r="CS55" s="783">
        <f>IF('Incremental Repayments'!$R$22="Debt",IF(AND(CS$4&gt;=$D55,CS$4&lt;$D55+'Incremental Repayments'!$I$31),-PMT('Interest Rate'!$J$16,'Incremental Repayments'!$I$31,(HLOOKUP($D55,$E$4:$CZ$32,28,FALSE)*'Incremental Repayments'!$I$22)),0),0)</f>
        <v>0</v>
      </c>
      <c r="CT55" s="783">
        <f>IF('Incremental Repayments'!$R$22="Debt",IF(AND(CT$4&gt;=$D55,CT$4&lt;$D55+'Incremental Repayments'!$I$31),-PMT('Interest Rate'!$J$16,'Incremental Repayments'!$I$31,(HLOOKUP($D55,$E$4:$CZ$32,28,FALSE)*'Incremental Repayments'!$I$22)),0),0)</f>
        <v>0</v>
      </c>
      <c r="CU55" s="783">
        <f>IF('Incremental Repayments'!$R$22="Debt",IF(AND(CU$4&gt;=$D55,CU$4&lt;$D55+'Incremental Repayments'!$I$31),-PMT('Interest Rate'!$J$16,'Incremental Repayments'!$I$31,(HLOOKUP($D55,$E$4:$CZ$32,28,FALSE)*'Incremental Repayments'!$I$22)),0),0)</f>
        <v>0</v>
      </c>
      <c r="CV55" s="783">
        <f>IF('Incremental Repayments'!$R$22="Debt",IF(AND(CV$4&gt;=$D55,CV$4&lt;$D55+'Incremental Repayments'!$I$31),-PMT('Interest Rate'!$J$16,'Incremental Repayments'!$I$31,(HLOOKUP($D55,$E$4:$CZ$32,28,FALSE)*'Incremental Repayments'!$I$22)),0),0)</f>
        <v>0</v>
      </c>
      <c r="CW55" s="783">
        <f>IF('Incremental Repayments'!$R$22="Debt",IF(AND(CW$4&gt;=$D55,CW$4&lt;$D55+'Incremental Repayments'!$I$31),-PMT('Interest Rate'!$J$16,'Incremental Repayments'!$I$31,(HLOOKUP($D55,$E$4:$CZ$32,28,FALSE)*'Incremental Repayments'!$I$22)),0),0)</f>
        <v>0</v>
      </c>
      <c r="CX55" s="783">
        <f>IF('Incremental Repayments'!$R$22="Debt",IF(AND(CX$4&gt;=$D55,CX$4&lt;$D55+'Incremental Repayments'!$I$31),-PMT('Interest Rate'!$J$16,'Incremental Repayments'!$I$31,(HLOOKUP($D55,$E$4:$CZ$32,28,FALSE)*'Incremental Repayments'!$I$22)),0),0)</f>
        <v>0</v>
      </c>
      <c r="CY55" s="783">
        <f>IF('Incremental Repayments'!$R$22="Debt",IF(AND(CY$4&gt;=$D55,CY$4&lt;$D55+'Incremental Repayments'!$I$31),-PMT('Interest Rate'!$J$16,'Incremental Repayments'!$I$31,(HLOOKUP($D55,$E$4:$CZ$32,28,FALSE)*'Incremental Repayments'!$I$22)),0),0)</f>
        <v>0</v>
      </c>
      <c r="CZ55" s="783">
        <f>IF('Incremental Repayments'!$R$22="Debt",IF(AND(CZ$4&gt;=$D55,CZ$4&lt;$D55+'Incremental Repayments'!$I$31),-PMT('Interest Rate'!$J$16,'Incremental Repayments'!$I$31,(HLOOKUP($D55,$E$4:$CZ$32,28,FALSE)*'Incremental Repayments'!$I$22)),0),0)</f>
        <v>0</v>
      </c>
    </row>
    <row r="56" spans="1:104" x14ac:dyDescent="0.25">
      <c r="B56" s="480" t="str">
        <f>CONCATENATE("Series ",D56,"A Bonds (at ",'Interest Rate'!$J$16*100,"% Interest)")</f>
        <v>Series 2034A Bonds (at 4.5% Interest)</v>
      </c>
      <c r="C56" s="480"/>
      <c r="D56" s="492">
        <f t="shared" ref="D56:D119" si="47">D55+1</f>
        <v>2034</v>
      </c>
      <c r="E56" s="783">
        <f>IF('Incremental Repayments'!$R$22="Debt",IF(AND(E$4&gt;=$D56,E$4&lt;$D56+'Incremental Repayments'!$I$31),-PMT('Interest Rate'!$J$16,'Incremental Repayments'!$I$31,(HLOOKUP($D56,$E$4:$CZ$32,28,FALSE)*'Incremental Repayments'!$I$22)),0),0)</f>
        <v>0</v>
      </c>
      <c r="F56" s="783">
        <f>IF('Incremental Repayments'!$R$22="Debt",IF(AND(F$4&gt;=$D56,F$4&lt;$D56+'Incremental Repayments'!$I$31),-PMT('Interest Rate'!$J$16,'Incremental Repayments'!$I$31,(HLOOKUP($D56,$E$4:$CZ$32,28,FALSE)*'Incremental Repayments'!$I$22)),0),0)</f>
        <v>0</v>
      </c>
      <c r="G56" s="783">
        <f>IF('Incremental Repayments'!$R$22="Debt",IF(AND(G$4&gt;=$D56,G$4&lt;$D56+'Incremental Repayments'!$I$31),-PMT('Interest Rate'!$J$16,'Incremental Repayments'!$I$31,(HLOOKUP($D56,$E$4:$CZ$32,28,FALSE)*'Incremental Repayments'!$I$22)),0),0)</f>
        <v>0</v>
      </c>
      <c r="H56" s="783">
        <f>IF('Incremental Repayments'!$R$22="Debt",IF(AND(H$4&gt;=$D56,H$4&lt;$D56+'Incremental Repayments'!$I$31),-PMT('Interest Rate'!$J$16,'Incremental Repayments'!$I$31,(HLOOKUP($D56,$E$4:$CZ$32,28,FALSE)*'Incremental Repayments'!$I$22)),0),0)</f>
        <v>0</v>
      </c>
      <c r="I56" s="783">
        <f>IF('Incremental Repayments'!$R$22="Debt",IF(AND(I$4&gt;=$D56,I$4&lt;$D56+'Incremental Repayments'!$I$31),-PMT('Interest Rate'!$J$16,'Incremental Repayments'!$I$31,(HLOOKUP($D56,$E$4:$CZ$32,28,FALSE)*'Incremental Repayments'!$I$22)),0),0)</f>
        <v>0</v>
      </c>
      <c r="J56" s="783">
        <f>IF('Incremental Repayments'!$R$22="Debt",IF(AND(J$4&gt;=$D56,J$4&lt;$D56+'Incremental Repayments'!$I$31),-PMT('Interest Rate'!$J$16,'Incremental Repayments'!$I$31,(HLOOKUP($D56,$E$4:$CZ$32,28,FALSE)*'Incremental Repayments'!$I$22)),0),0)</f>
        <v>0</v>
      </c>
      <c r="K56" s="783">
        <f>IF('Incremental Repayments'!$R$22="Debt",IF(AND(K$4&gt;=$D56,K$4&lt;$D56+'Incremental Repayments'!$I$31),-PMT('Interest Rate'!$J$16,'Incremental Repayments'!$I$31,(HLOOKUP($D56,$E$4:$CZ$32,28,FALSE)*'Incremental Repayments'!$I$22)),0),0)</f>
        <v>0</v>
      </c>
      <c r="L56" s="783">
        <f>IF('Incremental Repayments'!$R$22="Debt",IF(AND(L$4&gt;=$D56,L$4&lt;$D56+'Incremental Repayments'!$I$31),-PMT('Interest Rate'!$J$16,'Incremental Repayments'!$I$31,(HLOOKUP($D56,$E$4:$CZ$32,28,FALSE)*'Incremental Repayments'!$I$22)),0),0)</f>
        <v>0</v>
      </c>
      <c r="M56" s="783">
        <f>IF('Incremental Repayments'!$R$22="Debt",IF(AND(M$4&gt;=$D56,M$4&lt;$D56+'Incremental Repayments'!$I$31),-PMT('Interest Rate'!$J$16,'Incremental Repayments'!$I$31,(HLOOKUP($D56,$E$4:$CZ$32,28,FALSE)*'Incremental Repayments'!$I$22)),0),0)</f>
        <v>0</v>
      </c>
      <c r="N56" s="783">
        <f>IF('Incremental Repayments'!$R$22="Debt",IF(AND(N$4&gt;=$D56,N$4&lt;$D56+'Incremental Repayments'!$I$31),-PMT('Interest Rate'!$J$16,'Incremental Repayments'!$I$31,(HLOOKUP($D56,$E$4:$CZ$32,28,FALSE)*'Incremental Repayments'!$I$22)),0),0)</f>
        <v>0</v>
      </c>
      <c r="O56" s="783">
        <f>IF('Incremental Repayments'!$R$22="Debt",IF(AND(O$4&gt;=$D56,O$4&lt;$D56+'Incremental Repayments'!$I$31),-PMT('Interest Rate'!$J$16,'Incremental Repayments'!$I$31,(HLOOKUP($D56,$E$4:$CZ$32,28,FALSE)*'Incremental Repayments'!$I$22)),0),0)</f>
        <v>0</v>
      </c>
      <c r="P56" s="783">
        <f>IF('Incremental Repayments'!$R$22="Debt",IF(AND(P$4&gt;=$D56,P$4&lt;$D56+'Incremental Repayments'!$I$31),-PMT('Interest Rate'!$J$16,'Incremental Repayments'!$I$31,(HLOOKUP($D56,$E$4:$CZ$32,28,FALSE)*'Incremental Repayments'!$I$22)),0),0)</f>
        <v>0</v>
      </c>
      <c r="Q56" s="783">
        <f>IF('Incremental Repayments'!$R$22="Debt",IF(AND(Q$4&gt;=$D56,Q$4&lt;$D56+'Incremental Repayments'!$I$31),-PMT('Interest Rate'!$J$16,'Incremental Repayments'!$I$31,(HLOOKUP($D56,$E$4:$CZ$32,28,FALSE)*'Incremental Repayments'!$I$22)),0),0)</f>
        <v>0</v>
      </c>
      <c r="R56" s="783">
        <f>IF('Incremental Repayments'!$R$22="Debt",IF(AND(R$4&gt;=$D56,R$4&lt;$D56+'Incremental Repayments'!$I$31),-PMT('Interest Rate'!$J$16,'Incremental Repayments'!$I$31,(HLOOKUP($D56,$E$4:$CZ$32,28,FALSE)*'Incremental Repayments'!$I$22)),0),0)</f>
        <v>0</v>
      </c>
      <c r="S56" s="783">
        <f>IF('Incremental Repayments'!$R$22="Debt",IF(AND(S$4&gt;=$D56,S$4&lt;$D56+'Incremental Repayments'!$I$31),-PMT('Interest Rate'!$J$16,'Incremental Repayments'!$I$31,(HLOOKUP($D56,$E$4:$CZ$32,28,FALSE)*'Incremental Repayments'!$I$22)),0),0)</f>
        <v>0</v>
      </c>
      <c r="T56" s="783">
        <f>IF('Incremental Repayments'!$R$22="Debt",IF(AND(T$4&gt;=$D56,T$4&lt;$D56+'Incremental Repayments'!$I$31),-PMT('Interest Rate'!$J$16,'Incremental Repayments'!$I$31,(HLOOKUP($D56,$E$4:$CZ$32,28,FALSE)*'Incremental Repayments'!$I$22)),0),0)</f>
        <v>0</v>
      </c>
      <c r="U56" s="783">
        <f>IF('Incremental Repayments'!$R$22="Debt",IF(AND(U$4&gt;=$D56,U$4&lt;$D56+'Incremental Repayments'!$I$31),-PMT('Interest Rate'!$J$16,'Incremental Repayments'!$I$31,(HLOOKUP($D56,$E$4:$CZ$32,28,FALSE)*'Incremental Repayments'!$I$22)),0),0)</f>
        <v>0</v>
      </c>
      <c r="V56" s="783">
        <f>IF('Incremental Repayments'!$R$22="Debt",IF(AND(V$4&gt;=$D56,V$4&lt;$D56+'Incremental Repayments'!$I$31),-PMT('Interest Rate'!$J$16,'Incremental Repayments'!$I$31,(HLOOKUP($D56,$E$4:$CZ$32,28,FALSE)*'Incremental Repayments'!$I$22)),0),0)</f>
        <v>0</v>
      </c>
      <c r="W56" s="783">
        <f>IF('Incremental Repayments'!$R$22="Debt",IF(AND(W$4&gt;=$D56,W$4&lt;$D56+'Incremental Repayments'!$I$31),-PMT('Interest Rate'!$J$16,'Incremental Repayments'!$I$31,(HLOOKUP($D56,$E$4:$CZ$32,28,FALSE)*'Incremental Repayments'!$I$22)),0),0)</f>
        <v>0</v>
      </c>
      <c r="X56" s="783">
        <f>IF('Incremental Repayments'!$R$22="Debt",IF(AND(X$4&gt;=$D56,X$4&lt;$D56+'Incremental Repayments'!$I$31),-PMT('Interest Rate'!$J$16,'Incremental Repayments'!$I$31,(HLOOKUP($D56,$E$4:$CZ$32,28,FALSE)*'Incremental Repayments'!$I$22)),0),0)</f>
        <v>0</v>
      </c>
      <c r="Y56" s="783">
        <f>IF('Incremental Repayments'!$R$22="Debt",IF(AND(Y$4&gt;=$D56,Y$4&lt;$D56+'Incremental Repayments'!$I$31),-PMT('Interest Rate'!$J$16,'Incremental Repayments'!$I$31,(HLOOKUP($D56,$E$4:$CZ$32,28,FALSE)*'Incremental Repayments'!$I$22)),0),0)</f>
        <v>3727813.6513424655</v>
      </c>
      <c r="Z56" s="783">
        <f>IF('Incremental Repayments'!$R$22="Debt",IF(AND(Z$4&gt;=$D56,Z$4&lt;$D56+'Incremental Repayments'!$I$31),-PMT('Interest Rate'!$J$16,'Incremental Repayments'!$I$31,(HLOOKUP($D56,$E$4:$CZ$32,28,FALSE)*'Incremental Repayments'!$I$22)),0),0)</f>
        <v>3727813.6513424655</v>
      </c>
      <c r="AA56" s="783">
        <f>IF('Incremental Repayments'!$R$22="Debt",IF(AND(AA$4&gt;=$D56,AA$4&lt;$D56+'Incremental Repayments'!$I$31),-PMT('Interest Rate'!$J$16,'Incremental Repayments'!$I$31,(HLOOKUP($D56,$E$4:$CZ$32,28,FALSE)*'Incremental Repayments'!$I$22)),0),0)</f>
        <v>3727813.6513424655</v>
      </c>
      <c r="AB56" s="783">
        <f>IF('Incremental Repayments'!$R$22="Debt",IF(AND(AB$4&gt;=$D56,AB$4&lt;$D56+'Incremental Repayments'!$I$31),-PMT('Interest Rate'!$J$16,'Incremental Repayments'!$I$31,(HLOOKUP($D56,$E$4:$CZ$32,28,FALSE)*'Incremental Repayments'!$I$22)),0),0)</f>
        <v>3727813.6513424655</v>
      </c>
      <c r="AC56" s="783">
        <f>IF('Incremental Repayments'!$R$22="Debt",IF(AND(AC$4&gt;=$D56,AC$4&lt;$D56+'Incremental Repayments'!$I$31),-PMT('Interest Rate'!$J$16,'Incremental Repayments'!$I$31,(HLOOKUP($D56,$E$4:$CZ$32,28,FALSE)*'Incremental Repayments'!$I$22)),0),0)</f>
        <v>3727813.6513424655</v>
      </c>
      <c r="AD56" s="783">
        <f>IF('Incremental Repayments'!$R$22="Debt",IF(AND(AD$4&gt;=$D56,AD$4&lt;$D56+'Incremental Repayments'!$I$31),-PMT('Interest Rate'!$J$16,'Incremental Repayments'!$I$31,(HLOOKUP($D56,$E$4:$CZ$32,28,FALSE)*'Incremental Repayments'!$I$22)),0),0)</f>
        <v>3727813.6513424655</v>
      </c>
      <c r="AE56" s="783">
        <f>IF('Incremental Repayments'!$R$22="Debt",IF(AND(AE$4&gt;=$D56,AE$4&lt;$D56+'Incremental Repayments'!$I$31),-PMT('Interest Rate'!$J$16,'Incremental Repayments'!$I$31,(HLOOKUP($D56,$E$4:$CZ$32,28,FALSE)*'Incremental Repayments'!$I$22)),0),0)</f>
        <v>3727813.6513424655</v>
      </c>
      <c r="AF56" s="783">
        <f>IF('Incremental Repayments'!$R$22="Debt",IF(AND(AF$4&gt;=$D56,AF$4&lt;$D56+'Incremental Repayments'!$I$31),-PMT('Interest Rate'!$J$16,'Incremental Repayments'!$I$31,(HLOOKUP($D56,$E$4:$CZ$32,28,FALSE)*'Incremental Repayments'!$I$22)),0),0)</f>
        <v>3727813.6513424655</v>
      </c>
      <c r="AG56" s="783">
        <f>IF('Incremental Repayments'!$R$22="Debt",IF(AND(AG$4&gt;=$D56,AG$4&lt;$D56+'Incremental Repayments'!$I$31),-PMT('Interest Rate'!$J$16,'Incremental Repayments'!$I$31,(HLOOKUP($D56,$E$4:$CZ$32,28,FALSE)*'Incremental Repayments'!$I$22)),0),0)</f>
        <v>3727813.6513424655</v>
      </c>
      <c r="AH56" s="783">
        <f>IF('Incremental Repayments'!$R$22="Debt",IF(AND(AH$4&gt;=$D56,AH$4&lt;$D56+'Incremental Repayments'!$I$31),-PMT('Interest Rate'!$J$16,'Incremental Repayments'!$I$31,(HLOOKUP($D56,$E$4:$CZ$32,28,FALSE)*'Incremental Repayments'!$I$22)),0),0)</f>
        <v>3727813.6513424655</v>
      </c>
      <c r="AI56" s="783">
        <f>IF('Incremental Repayments'!$R$22="Debt",IF(AND(AI$4&gt;=$D56,AI$4&lt;$D56+'Incremental Repayments'!$I$31),-PMT('Interest Rate'!$J$16,'Incremental Repayments'!$I$31,(HLOOKUP($D56,$E$4:$CZ$32,28,FALSE)*'Incremental Repayments'!$I$22)),0),0)</f>
        <v>3727813.6513424655</v>
      </c>
      <c r="AJ56" s="783">
        <f>IF('Incremental Repayments'!$R$22="Debt",IF(AND(AJ$4&gt;=$D56,AJ$4&lt;$D56+'Incremental Repayments'!$I$31),-PMT('Interest Rate'!$J$16,'Incremental Repayments'!$I$31,(HLOOKUP($D56,$E$4:$CZ$32,28,FALSE)*'Incremental Repayments'!$I$22)),0),0)</f>
        <v>3727813.6513424655</v>
      </c>
      <c r="AK56" s="783">
        <f>IF('Incremental Repayments'!$R$22="Debt",IF(AND(AK$4&gt;=$D56,AK$4&lt;$D56+'Incremental Repayments'!$I$31),-PMT('Interest Rate'!$J$16,'Incremental Repayments'!$I$31,(HLOOKUP($D56,$E$4:$CZ$32,28,FALSE)*'Incremental Repayments'!$I$22)),0),0)</f>
        <v>3727813.6513424655</v>
      </c>
      <c r="AL56" s="783">
        <f>IF('Incremental Repayments'!$R$22="Debt",IF(AND(AL$4&gt;=$D56,AL$4&lt;$D56+'Incremental Repayments'!$I$31),-PMT('Interest Rate'!$J$16,'Incremental Repayments'!$I$31,(HLOOKUP($D56,$E$4:$CZ$32,28,FALSE)*'Incremental Repayments'!$I$22)),0),0)</f>
        <v>3727813.6513424655</v>
      </c>
      <c r="AM56" s="783">
        <f>IF('Incremental Repayments'!$R$22="Debt",IF(AND(AM$4&gt;=$D56,AM$4&lt;$D56+'Incremental Repayments'!$I$31),-PMT('Interest Rate'!$J$16,'Incremental Repayments'!$I$31,(HLOOKUP($D56,$E$4:$CZ$32,28,FALSE)*'Incremental Repayments'!$I$22)),0),0)</f>
        <v>3727813.6513424655</v>
      </c>
      <c r="AN56" s="783">
        <f>IF('Incremental Repayments'!$R$22="Debt",IF(AND(AN$4&gt;=$D56,AN$4&lt;$D56+'Incremental Repayments'!$I$31),-PMT('Interest Rate'!$J$16,'Incremental Repayments'!$I$31,(HLOOKUP($D56,$E$4:$CZ$32,28,FALSE)*'Incremental Repayments'!$I$22)),0),0)</f>
        <v>3727813.6513424655</v>
      </c>
      <c r="AO56" s="783">
        <f>IF('Incremental Repayments'!$R$22="Debt",IF(AND(AO$4&gt;=$D56,AO$4&lt;$D56+'Incremental Repayments'!$I$31),-PMT('Interest Rate'!$J$16,'Incremental Repayments'!$I$31,(HLOOKUP($D56,$E$4:$CZ$32,28,FALSE)*'Incremental Repayments'!$I$22)),0),0)</f>
        <v>3727813.6513424655</v>
      </c>
      <c r="AP56" s="783">
        <f>IF('Incremental Repayments'!$R$22="Debt",IF(AND(AP$4&gt;=$D56,AP$4&lt;$D56+'Incremental Repayments'!$I$31),-PMT('Interest Rate'!$J$16,'Incremental Repayments'!$I$31,(HLOOKUP($D56,$E$4:$CZ$32,28,FALSE)*'Incremental Repayments'!$I$22)),0),0)</f>
        <v>3727813.6513424655</v>
      </c>
      <c r="AQ56" s="783">
        <f>IF('Incremental Repayments'!$R$22="Debt",IF(AND(AQ$4&gt;=$D56,AQ$4&lt;$D56+'Incremental Repayments'!$I$31),-PMT('Interest Rate'!$J$16,'Incremental Repayments'!$I$31,(HLOOKUP($D56,$E$4:$CZ$32,28,FALSE)*'Incremental Repayments'!$I$22)),0),0)</f>
        <v>3727813.6513424655</v>
      </c>
      <c r="AR56" s="783">
        <f>IF('Incremental Repayments'!$R$22="Debt",IF(AND(AR$4&gt;=$D56,AR$4&lt;$D56+'Incremental Repayments'!$I$31),-PMT('Interest Rate'!$J$16,'Incremental Repayments'!$I$31,(HLOOKUP($D56,$E$4:$CZ$32,28,FALSE)*'Incremental Repayments'!$I$22)),0),0)</f>
        <v>3727813.6513424655</v>
      </c>
      <c r="AS56" s="783">
        <f>IF('Incremental Repayments'!$R$22="Debt",IF(AND(AS$4&gt;=$D56,AS$4&lt;$D56+'Incremental Repayments'!$I$31),-PMT('Interest Rate'!$J$16,'Incremental Repayments'!$I$31,(HLOOKUP($D56,$E$4:$CZ$32,28,FALSE)*'Incremental Repayments'!$I$22)),0),0)</f>
        <v>3727813.6513424655</v>
      </c>
      <c r="AT56" s="783">
        <f>IF('Incremental Repayments'!$R$22="Debt",IF(AND(AT$4&gt;=$D56,AT$4&lt;$D56+'Incremental Repayments'!$I$31),-PMT('Interest Rate'!$J$16,'Incremental Repayments'!$I$31,(HLOOKUP($D56,$E$4:$CZ$32,28,FALSE)*'Incremental Repayments'!$I$22)),0),0)</f>
        <v>3727813.6513424655</v>
      </c>
      <c r="AU56" s="783">
        <f>IF('Incremental Repayments'!$R$22="Debt",IF(AND(AU$4&gt;=$D56,AU$4&lt;$D56+'Incremental Repayments'!$I$31),-PMT('Interest Rate'!$J$16,'Incremental Repayments'!$I$31,(HLOOKUP($D56,$E$4:$CZ$32,28,FALSE)*'Incremental Repayments'!$I$22)),0),0)</f>
        <v>3727813.6513424655</v>
      </c>
      <c r="AV56" s="783">
        <f>IF('Incremental Repayments'!$R$22="Debt",IF(AND(AV$4&gt;=$D56,AV$4&lt;$D56+'Incremental Repayments'!$I$31),-PMT('Interest Rate'!$J$16,'Incremental Repayments'!$I$31,(HLOOKUP($D56,$E$4:$CZ$32,28,FALSE)*'Incremental Repayments'!$I$22)),0),0)</f>
        <v>3727813.6513424655</v>
      </c>
      <c r="AW56" s="783">
        <f>IF('Incremental Repayments'!$R$22="Debt",IF(AND(AW$4&gt;=$D56,AW$4&lt;$D56+'Incremental Repayments'!$I$31),-PMT('Interest Rate'!$J$16,'Incremental Repayments'!$I$31,(HLOOKUP($D56,$E$4:$CZ$32,28,FALSE)*'Incremental Repayments'!$I$22)),0),0)</f>
        <v>3727813.6513424655</v>
      </c>
      <c r="AX56" s="783">
        <f>IF('Incremental Repayments'!$R$22="Debt",IF(AND(AX$4&gt;=$D56,AX$4&lt;$D56+'Incremental Repayments'!$I$31),-PMT('Interest Rate'!$J$16,'Incremental Repayments'!$I$31,(HLOOKUP($D56,$E$4:$CZ$32,28,FALSE)*'Incremental Repayments'!$I$22)),0),0)</f>
        <v>3727813.6513424655</v>
      </c>
      <c r="AY56" s="783">
        <f>IF('Incremental Repayments'!$R$22="Debt",IF(AND(AY$4&gt;=$D56,AY$4&lt;$D56+'Incremental Repayments'!$I$31),-PMT('Interest Rate'!$J$16,'Incremental Repayments'!$I$31,(HLOOKUP($D56,$E$4:$CZ$32,28,FALSE)*'Incremental Repayments'!$I$22)),0),0)</f>
        <v>3727813.6513424655</v>
      </c>
      <c r="AZ56" s="783">
        <f>IF('Incremental Repayments'!$R$22="Debt",IF(AND(AZ$4&gt;=$D56,AZ$4&lt;$D56+'Incremental Repayments'!$I$31),-PMT('Interest Rate'!$J$16,'Incremental Repayments'!$I$31,(HLOOKUP($D56,$E$4:$CZ$32,28,FALSE)*'Incremental Repayments'!$I$22)),0),0)</f>
        <v>3727813.6513424655</v>
      </c>
      <c r="BA56" s="783">
        <f>IF('Incremental Repayments'!$R$22="Debt",IF(AND(BA$4&gt;=$D56,BA$4&lt;$D56+'Incremental Repayments'!$I$31),-PMT('Interest Rate'!$J$16,'Incremental Repayments'!$I$31,(HLOOKUP($D56,$E$4:$CZ$32,28,FALSE)*'Incremental Repayments'!$I$22)),0),0)</f>
        <v>3727813.6513424655</v>
      </c>
      <c r="BB56" s="783">
        <f>IF('Incremental Repayments'!$R$22="Debt",IF(AND(BB$4&gt;=$D56,BB$4&lt;$D56+'Incremental Repayments'!$I$31),-PMT('Interest Rate'!$J$16,'Incremental Repayments'!$I$31,(HLOOKUP($D56,$E$4:$CZ$32,28,FALSE)*'Incremental Repayments'!$I$22)),0),0)</f>
        <v>3727813.6513424655</v>
      </c>
      <c r="BC56" s="783">
        <f>IF('Incremental Repayments'!$R$22="Debt",IF(AND(BC$4&gt;=$D56,BC$4&lt;$D56+'Incremental Repayments'!$I$31),-PMT('Interest Rate'!$J$16,'Incremental Repayments'!$I$31,(HLOOKUP($D56,$E$4:$CZ$32,28,FALSE)*'Incremental Repayments'!$I$22)),0),0)</f>
        <v>0</v>
      </c>
      <c r="BD56" s="783">
        <f>IF('Incremental Repayments'!$R$22="Debt",IF(AND(BD$4&gt;=$D56,BD$4&lt;$D56+'Incremental Repayments'!$I$31),-PMT('Interest Rate'!$J$16,'Incremental Repayments'!$I$31,(HLOOKUP($D56,$E$4:$CZ$32,28,FALSE)*'Incremental Repayments'!$I$22)),0),0)</f>
        <v>0</v>
      </c>
      <c r="BE56" s="783">
        <f>IF('Incremental Repayments'!$R$22="Debt",IF(AND(BE$4&gt;=$D56,BE$4&lt;$D56+'Incremental Repayments'!$I$31),-PMT('Interest Rate'!$J$16,'Incremental Repayments'!$I$31,(HLOOKUP($D56,$E$4:$CZ$32,28,FALSE)*'Incremental Repayments'!$I$22)),0),0)</f>
        <v>0</v>
      </c>
      <c r="BF56" s="783">
        <f>IF('Incremental Repayments'!$R$22="Debt",IF(AND(BF$4&gt;=$D56,BF$4&lt;$D56+'Incremental Repayments'!$I$31),-PMT('Interest Rate'!$J$16,'Incremental Repayments'!$I$31,(HLOOKUP($D56,$E$4:$CZ$32,28,FALSE)*'Incremental Repayments'!$I$22)),0),0)</f>
        <v>0</v>
      </c>
      <c r="BG56" s="783">
        <f>IF('Incremental Repayments'!$R$22="Debt",IF(AND(BG$4&gt;=$D56,BG$4&lt;$D56+'Incremental Repayments'!$I$31),-PMT('Interest Rate'!$J$16,'Incremental Repayments'!$I$31,(HLOOKUP($D56,$E$4:$CZ$32,28,FALSE)*'Incremental Repayments'!$I$22)),0),0)</f>
        <v>0</v>
      </c>
      <c r="BH56" s="783">
        <f>IF('Incremental Repayments'!$R$22="Debt",IF(AND(BH$4&gt;=$D56,BH$4&lt;$D56+'Incremental Repayments'!$I$31),-PMT('Interest Rate'!$J$16,'Incremental Repayments'!$I$31,(HLOOKUP($D56,$E$4:$CZ$32,28,FALSE)*'Incremental Repayments'!$I$22)),0),0)</f>
        <v>0</v>
      </c>
      <c r="BI56" s="783">
        <f>IF('Incremental Repayments'!$R$22="Debt",IF(AND(BI$4&gt;=$D56,BI$4&lt;$D56+'Incremental Repayments'!$I$31),-PMT('Interest Rate'!$J$16,'Incremental Repayments'!$I$31,(HLOOKUP($D56,$E$4:$CZ$32,28,FALSE)*'Incremental Repayments'!$I$22)),0),0)</f>
        <v>0</v>
      </c>
      <c r="BJ56" s="783">
        <f>IF('Incremental Repayments'!$R$22="Debt",IF(AND(BJ$4&gt;=$D56,BJ$4&lt;$D56+'Incremental Repayments'!$I$31),-PMT('Interest Rate'!$J$16,'Incremental Repayments'!$I$31,(HLOOKUP($D56,$E$4:$CZ$32,28,FALSE)*'Incremental Repayments'!$I$22)),0),0)</f>
        <v>0</v>
      </c>
      <c r="BK56" s="783">
        <f>IF('Incremental Repayments'!$R$22="Debt",IF(AND(BK$4&gt;=$D56,BK$4&lt;$D56+'Incremental Repayments'!$I$31),-PMT('Interest Rate'!$J$16,'Incremental Repayments'!$I$31,(HLOOKUP($D56,$E$4:$CZ$32,28,FALSE)*'Incremental Repayments'!$I$22)),0),0)</f>
        <v>0</v>
      </c>
      <c r="BL56" s="783">
        <f>IF('Incremental Repayments'!$R$22="Debt",IF(AND(BL$4&gt;=$D56,BL$4&lt;$D56+'Incremental Repayments'!$I$31),-PMT('Interest Rate'!$J$16,'Incremental Repayments'!$I$31,(HLOOKUP($D56,$E$4:$CZ$32,28,FALSE)*'Incremental Repayments'!$I$22)),0),0)</f>
        <v>0</v>
      </c>
      <c r="BM56" s="783">
        <f>IF('Incremental Repayments'!$R$22="Debt",IF(AND(BM$4&gt;=$D56,BM$4&lt;$D56+'Incremental Repayments'!$I$31),-PMT('Interest Rate'!$J$16,'Incremental Repayments'!$I$31,(HLOOKUP($D56,$E$4:$CZ$32,28,FALSE)*'Incremental Repayments'!$I$22)),0),0)</f>
        <v>0</v>
      </c>
      <c r="BN56" s="783">
        <f>IF('Incremental Repayments'!$R$22="Debt",IF(AND(BN$4&gt;=$D56,BN$4&lt;$D56+'Incremental Repayments'!$I$31),-PMT('Interest Rate'!$J$16,'Incremental Repayments'!$I$31,(HLOOKUP($D56,$E$4:$CZ$32,28,FALSE)*'Incremental Repayments'!$I$22)),0),0)</f>
        <v>0</v>
      </c>
      <c r="BO56" s="783">
        <f>IF('Incremental Repayments'!$R$22="Debt",IF(AND(BO$4&gt;=$D56,BO$4&lt;$D56+'Incremental Repayments'!$I$31),-PMT('Interest Rate'!$J$16,'Incremental Repayments'!$I$31,(HLOOKUP($D56,$E$4:$CZ$32,28,FALSE)*'Incremental Repayments'!$I$22)),0),0)</f>
        <v>0</v>
      </c>
      <c r="BP56" s="783">
        <f>IF('Incremental Repayments'!$R$22="Debt",IF(AND(BP$4&gt;=$D56,BP$4&lt;$D56+'Incremental Repayments'!$I$31),-PMT('Interest Rate'!$J$16,'Incremental Repayments'!$I$31,(HLOOKUP($D56,$E$4:$CZ$32,28,FALSE)*'Incremental Repayments'!$I$22)),0),0)</f>
        <v>0</v>
      </c>
      <c r="BQ56" s="783">
        <f>IF('Incremental Repayments'!$R$22="Debt",IF(AND(BQ$4&gt;=$D56,BQ$4&lt;$D56+'Incremental Repayments'!$I$31),-PMT('Interest Rate'!$J$16,'Incremental Repayments'!$I$31,(HLOOKUP($D56,$E$4:$CZ$32,28,FALSE)*'Incremental Repayments'!$I$22)),0),0)</f>
        <v>0</v>
      </c>
      <c r="BR56" s="783">
        <f>IF('Incremental Repayments'!$R$22="Debt",IF(AND(BR$4&gt;=$D56,BR$4&lt;$D56+'Incremental Repayments'!$I$31),-PMT('Interest Rate'!$J$16,'Incremental Repayments'!$I$31,(HLOOKUP($D56,$E$4:$CZ$32,28,FALSE)*'Incremental Repayments'!$I$22)),0),0)</f>
        <v>0</v>
      </c>
      <c r="BS56" s="783">
        <f>IF('Incremental Repayments'!$R$22="Debt",IF(AND(BS$4&gt;=$D56,BS$4&lt;$D56+'Incremental Repayments'!$I$31),-PMT('Interest Rate'!$J$16,'Incremental Repayments'!$I$31,(HLOOKUP($D56,$E$4:$CZ$32,28,FALSE)*'Incremental Repayments'!$I$22)),0),0)</f>
        <v>0</v>
      </c>
      <c r="BT56" s="783">
        <f>IF('Incremental Repayments'!$R$22="Debt",IF(AND(BT$4&gt;=$D56,BT$4&lt;$D56+'Incremental Repayments'!$I$31),-PMT('Interest Rate'!$J$16,'Incremental Repayments'!$I$31,(HLOOKUP($D56,$E$4:$CZ$32,28,FALSE)*'Incremental Repayments'!$I$22)),0),0)</f>
        <v>0</v>
      </c>
      <c r="BU56" s="783">
        <f>IF('Incremental Repayments'!$R$22="Debt",IF(AND(BU$4&gt;=$D56,BU$4&lt;$D56+'Incremental Repayments'!$I$31),-PMT('Interest Rate'!$J$16,'Incremental Repayments'!$I$31,(HLOOKUP($D56,$E$4:$CZ$32,28,FALSE)*'Incremental Repayments'!$I$22)),0),0)</f>
        <v>0</v>
      </c>
      <c r="BV56" s="783">
        <f>IF('Incremental Repayments'!$R$22="Debt",IF(AND(BV$4&gt;=$D56,BV$4&lt;$D56+'Incremental Repayments'!$I$31),-PMT('Interest Rate'!$J$16,'Incremental Repayments'!$I$31,(HLOOKUP($D56,$E$4:$CZ$32,28,FALSE)*'Incremental Repayments'!$I$22)),0),0)</f>
        <v>0</v>
      </c>
      <c r="BW56" s="783">
        <f>IF('Incremental Repayments'!$R$22="Debt",IF(AND(BW$4&gt;=$D56,BW$4&lt;$D56+'Incremental Repayments'!$I$31),-PMT('Interest Rate'!$J$16,'Incremental Repayments'!$I$31,(HLOOKUP($D56,$E$4:$CZ$32,28,FALSE)*'Incremental Repayments'!$I$22)),0),0)</f>
        <v>0</v>
      </c>
      <c r="BX56" s="783">
        <f>IF('Incremental Repayments'!$R$22="Debt",IF(AND(BX$4&gt;=$D56,BX$4&lt;$D56+'Incremental Repayments'!$I$31),-PMT('Interest Rate'!$J$16,'Incremental Repayments'!$I$31,(HLOOKUP($D56,$E$4:$CZ$32,28,FALSE)*'Incremental Repayments'!$I$22)),0),0)</f>
        <v>0</v>
      </c>
      <c r="BY56" s="783">
        <f>IF('Incremental Repayments'!$R$22="Debt",IF(AND(BY$4&gt;=$D56,BY$4&lt;$D56+'Incremental Repayments'!$I$31),-PMT('Interest Rate'!$J$16,'Incremental Repayments'!$I$31,(HLOOKUP($D56,$E$4:$CZ$32,28,FALSE)*'Incremental Repayments'!$I$22)),0),0)</f>
        <v>0</v>
      </c>
      <c r="BZ56" s="783">
        <f>IF('Incremental Repayments'!$R$22="Debt",IF(AND(BZ$4&gt;=$D56,BZ$4&lt;$D56+'Incremental Repayments'!$I$31),-PMT('Interest Rate'!$J$16,'Incremental Repayments'!$I$31,(HLOOKUP($D56,$E$4:$CZ$32,28,FALSE)*'Incremental Repayments'!$I$22)),0),0)</f>
        <v>0</v>
      </c>
      <c r="CA56" s="783">
        <f>IF('Incremental Repayments'!$R$22="Debt",IF(AND(CA$4&gt;=$D56,CA$4&lt;$D56+'Incremental Repayments'!$I$31),-PMT('Interest Rate'!$J$16,'Incremental Repayments'!$I$31,(HLOOKUP($D56,$E$4:$CZ$32,28,FALSE)*'Incremental Repayments'!$I$22)),0),0)</f>
        <v>0</v>
      </c>
      <c r="CB56" s="783">
        <f>IF('Incremental Repayments'!$R$22="Debt",IF(AND(CB$4&gt;=$D56,CB$4&lt;$D56+'Incremental Repayments'!$I$31),-PMT('Interest Rate'!$J$16,'Incremental Repayments'!$I$31,(HLOOKUP($D56,$E$4:$CZ$32,28,FALSE)*'Incremental Repayments'!$I$22)),0),0)</f>
        <v>0</v>
      </c>
      <c r="CC56" s="783">
        <f>IF('Incremental Repayments'!$R$22="Debt",IF(AND(CC$4&gt;=$D56,CC$4&lt;$D56+'Incremental Repayments'!$I$31),-PMT('Interest Rate'!$J$16,'Incremental Repayments'!$I$31,(HLOOKUP($D56,$E$4:$CZ$32,28,FALSE)*'Incremental Repayments'!$I$22)),0),0)</f>
        <v>0</v>
      </c>
      <c r="CD56" s="783">
        <f>IF('Incremental Repayments'!$R$22="Debt",IF(AND(CD$4&gt;=$D56,CD$4&lt;$D56+'Incremental Repayments'!$I$31),-PMT('Interest Rate'!$J$16,'Incremental Repayments'!$I$31,(HLOOKUP($D56,$E$4:$CZ$32,28,FALSE)*'Incremental Repayments'!$I$22)),0),0)</f>
        <v>0</v>
      </c>
      <c r="CE56" s="783">
        <f>IF('Incremental Repayments'!$R$22="Debt",IF(AND(CE$4&gt;=$D56,CE$4&lt;$D56+'Incremental Repayments'!$I$31),-PMT('Interest Rate'!$J$16,'Incremental Repayments'!$I$31,(HLOOKUP($D56,$E$4:$CZ$32,28,FALSE)*'Incremental Repayments'!$I$22)),0),0)</f>
        <v>0</v>
      </c>
      <c r="CF56" s="783">
        <f>IF('Incremental Repayments'!$R$22="Debt",IF(AND(CF$4&gt;=$D56,CF$4&lt;$D56+'Incremental Repayments'!$I$31),-PMT('Interest Rate'!$J$16,'Incremental Repayments'!$I$31,(HLOOKUP($D56,$E$4:$CZ$32,28,FALSE)*'Incremental Repayments'!$I$22)),0),0)</f>
        <v>0</v>
      </c>
      <c r="CG56" s="783">
        <f>IF('Incremental Repayments'!$R$22="Debt",IF(AND(CG$4&gt;=$D56,CG$4&lt;$D56+'Incremental Repayments'!$I$31),-PMT('Interest Rate'!$J$16,'Incremental Repayments'!$I$31,(HLOOKUP($D56,$E$4:$CZ$32,28,FALSE)*'Incremental Repayments'!$I$22)),0),0)</f>
        <v>0</v>
      </c>
      <c r="CH56" s="783">
        <f>IF('Incremental Repayments'!$R$22="Debt",IF(AND(CH$4&gt;=$D56,CH$4&lt;$D56+'Incremental Repayments'!$I$31),-PMT('Interest Rate'!$J$16,'Incremental Repayments'!$I$31,(HLOOKUP($D56,$E$4:$CZ$32,28,FALSE)*'Incremental Repayments'!$I$22)),0),0)</f>
        <v>0</v>
      </c>
      <c r="CI56" s="783">
        <f>IF('Incremental Repayments'!$R$22="Debt",IF(AND(CI$4&gt;=$D56,CI$4&lt;$D56+'Incremental Repayments'!$I$31),-PMT('Interest Rate'!$J$16,'Incremental Repayments'!$I$31,(HLOOKUP($D56,$E$4:$CZ$32,28,FALSE)*'Incremental Repayments'!$I$22)),0),0)</f>
        <v>0</v>
      </c>
      <c r="CJ56" s="783">
        <f>IF('Incremental Repayments'!$R$22="Debt",IF(AND(CJ$4&gt;=$D56,CJ$4&lt;$D56+'Incremental Repayments'!$I$31),-PMT('Interest Rate'!$J$16,'Incremental Repayments'!$I$31,(HLOOKUP($D56,$E$4:$CZ$32,28,FALSE)*'Incremental Repayments'!$I$22)),0),0)</f>
        <v>0</v>
      </c>
      <c r="CK56" s="783">
        <f>IF('Incremental Repayments'!$R$22="Debt",IF(AND(CK$4&gt;=$D56,CK$4&lt;$D56+'Incremental Repayments'!$I$31),-PMT('Interest Rate'!$J$16,'Incremental Repayments'!$I$31,(HLOOKUP($D56,$E$4:$CZ$32,28,FALSE)*'Incremental Repayments'!$I$22)),0),0)</f>
        <v>0</v>
      </c>
      <c r="CL56" s="783">
        <f>IF('Incremental Repayments'!$R$22="Debt",IF(AND(CL$4&gt;=$D56,CL$4&lt;$D56+'Incremental Repayments'!$I$31),-PMT('Interest Rate'!$J$16,'Incremental Repayments'!$I$31,(HLOOKUP($D56,$E$4:$CZ$32,28,FALSE)*'Incremental Repayments'!$I$22)),0),0)</f>
        <v>0</v>
      </c>
      <c r="CM56" s="783">
        <f>IF('Incremental Repayments'!$R$22="Debt",IF(AND(CM$4&gt;=$D56,CM$4&lt;$D56+'Incremental Repayments'!$I$31),-PMT('Interest Rate'!$J$16,'Incremental Repayments'!$I$31,(HLOOKUP($D56,$E$4:$CZ$32,28,FALSE)*'Incremental Repayments'!$I$22)),0),0)</f>
        <v>0</v>
      </c>
      <c r="CN56" s="783">
        <f>IF('Incremental Repayments'!$R$22="Debt",IF(AND(CN$4&gt;=$D56,CN$4&lt;$D56+'Incremental Repayments'!$I$31),-PMT('Interest Rate'!$J$16,'Incremental Repayments'!$I$31,(HLOOKUP($D56,$E$4:$CZ$32,28,FALSE)*'Incremental Repayments'!$I$22)),0),0)</f>
        <v>0</v>
      </c>
      <c r="CO56" s="783">
        <f>IF('Incremental Repayments'!$R$22="Debt",IF(AND(CO$4&gt;=$D56,CO$4&lt;$D56+'Incremental Repayments'!$I$31),-PMT('Interest Rate'!$J$16,'Incremental Repayments'!$I$31,(HLOOKUP($D56,$E$4:$CZ$32,28,FALSE)*'Incremental Repayments'!$I$22)),0),0)</f>
        <v>0</v>
      </c>
      <c r="CP56" s="783">
        <f>IF('Incremental Repayments'!$R$22="Debt",IF(AND(CP$4&gt;=$D56,CP$4&lt;$D56+'Incremental Repayments'!$I$31),-PMT('Interest Rate'!$J$16,'Incremental Repayments'!$I$31,(HLOOKUP($D56,$E$4:$CZ$32,28,FALSE)*'Incremental Repayments'!$I$22)),0),0)</f>
        <v>0</v>
      </c>
      <c r="CQ56" s="783">
        <f>IF('Incremental Repayments'!$R$22="Debt",IF(AND(CQ$4&gt;=$D56,CQ$4&lt;$D56+'Incremental Repayments'!$I$31),-PMT('Interest Rate'!$J$16,'Incremental Repayments'!$I$31,(HLOOKUP($D56,$E$4:$CZ$32,28,FALSE)*'Incremental Repayments'!$I$22)),0),0)</f>
        <v>0</v>
      </c>
      <c r="CR56" s="783">
        <f>IF('Incremental Repayments'!$R$22="Debt",IF(AND(CR$4&gt;=$D56,CR$4&lt;$D56+'Incremental Repayments'!$I$31),-PMT('Interest Rate'!$J$16,'Incremental Repayments'!$I$31,(HLOOKUP($D56,$E$4:$CZ$32,28,FALSE)*'Incremental Repayments'!$I$22)),0),0)</f>
        <v>0</v>
      </c>
      <c r="CS56" s="783">
        <f>IF('Incremental Repayments'!$R$22="Debt",IF(AND(CS$4&gt;=$D56,CS$4&lt;$D56+'Incremental Repayments'!$I$31),-PMT('Interest Rate'!$J$16,'Incremental Repayments'!$I$31,(HLOOKUP($D56,$E$4:$CZ$32,28,FALSE)*'Incremental Repayments'!$I$22)),0),0)</f>
        <v>0</v>
      </c>
      <c r="CT56" s="783">
        <f>IF('Incremental Repayments'!$R$22="Debt",IF(AND(CT$4&gt;=$D56,CT$4&lt;$D56+'Incremental Repayments'!$I$31),-PMT('Interest Rate'!$J$16,'Incremental Repayments'!$I$31,(HLOOKUP($D56,$E$4:$CZ$32,28,FALSE)*'Incremental Repayments'!$I$22)),0),0)</f>
        <v>0</v>
      </c>
      <c r="CU56" s="783">
        <f>IF('Incremental Repayments'!$R$22="Debt",IF(AND(CU$4&gt;=$D56,CU$4&lt;$D56+'Incremental Repayments'!$I$31),-PMT('Interest Rate'!$J$16,'Incremental Repayments'!$I$31,(HLOOKUP($D56,$E$4:$CZ$32,28,FALSE)*'Incremental Repayments'!$I$22)),0),0)</f>
        <v>0</v>
      </c>
      <c r="CV56" s="783">
        <f>IF('Incremental Repayments'!$R$22="Debt",IF(AND(CV$4&gt;=$D56,CV$4&lt;$D56+'Incremental Repayments'!$I$31),-PMT('Interest Rate'!$J$16,'Incremental Repayments'!$I$31,(HLOOKUP($D56,$E$4:$CZ$32,28,FALSE)*'Incremental Repayments'!$I$22)),0),0)</f>
        <v>0</v>
      </c>
      <c r="CW56" s="783">
        <f>IF('Incremental Repayments'!$R$22="Debt",IF(AND(CW$4&gt;=$D56,CW$4&lt;$D56+'Incremental Repayments'!$I$31),-PMT('Interest Rate'!$J$16,'Incremental Repayments'!$I$31,(HLOOKUP($D56,$E$4:$CZ$32,28,FALSE)*'Incremental Repayments'!$I$22)),0),0)</f>
        <v>0</v>
      </c>
      <c r="CX56" s="783">
        <f>IF('Incremental Repayments'!$R$22="Debt",IF(AND(CX$4&gt;=$D56,CX$4&lt;$D56+'Incremental Repayments'!$I$31),-PMT('Interest Rate'!$J$16,'Incremental Repayments'!$I$31,(HLOOKUP($D56,$E$4:$CZ$32,28,FALSE)*'Incremental Repayments'!$I$22)),0),0)</f>
        <v>0</v>
      </c>
      <c r="CY56" s="783">
        <f>IF('Incremental Repayments'!$R$22="Debt",IF(AND(CY$4&gt;=$D56,CY$4&lt;$D56+'Incremental Repayments'!$I$31),-PMT('Interest Rate'!$J$16,'Incremental Repayments'!$I$31,(HLOOKUP($D56,$E$4:$CZ$32,28,FALSE)*'Incremental Repayments'!$I$22)),0),0)</f>
        <v>0</v>
      </c>
      <c r="CZ56" s="783">
        <f>IF('Incremental Repayments'!$R$22="Debt",IF(AND(CZ$4&gt;=$D56,CZ$4&lt;$D56+'Incremental Repayments'!$I$31),-PMT('Interest Rate'!$J$16,'Incremental Repayments'!$I$31,(HLOOKUP($D56,$E$4:$CZ$32,28,FALSE)*'Incremental Repayments'!$I$22)),0),0)</f>
        <v>0</v>
      </c>
    </row>
    <row r="57" spans="1:104" x14ac:dyDescent="0.25">
      <c r="B57" s="480" t="str">
        <f>CONCATENATE("Series ",D57,"A Bonds (at ",'Interest Rate'!$J$16*100,"% Interest)")</f>
        <v>Series 2035A Bonds (at 4.5% Interest)</v>
      </c>
      <c r="C57" s="480"/>
      <c r="D57" s="492">
        <f t="shared" si="47"/>
        <v>2035</v>
      </c>
      <c r="E57" s="783">
        <f>IF('Incremental Repayments'!$R$22="Debt",IF(AND(E$4&gt;=$D57,E$4&lt;$D57+'Incremental Repayments'!$I$31),-PMT('Interest Rate'!$J$16,'Incremental Repayments'!$I$31,(HLOOKUP($D57,$E$4:$CZ$32,28,FALSE)*'Incremental Repayments'!$I$22)),0),0)</f>
        <v>0</v>
      </c>
      <c r="F57" s="783">
        <f>IF('Incremental Repayments'!$R$22="Debt",IF(AND(F$4&gt;=$D57,F$4&lt;$D57+'Incremental Repayments'!$I$31),-PMT('Interest Rate'!$J$16,'Incremental Repayments'!$I$31,(HLOOKUP($D57,$E$4:$CZ$32,28,FALSE)*'Incremental Repayments'!$I$22)),0),0)</f>
        <v>0</v>
      </c>
      <c r="G57" s="783">
        <f>IF('Incremental Repayments'!$R$22="Debt",IF(AND(G$4&gt;=$D57,G$4&lt;$D57+'Incremental Repayments'!$I$31),-PMT('Interest Rate'!$J$16,'Incremental Repayments'!$I$31,(HLOOKUP($D57,$E$4:$CZ$32,28,FALSE)*'Incremental Repayments'!$I$22)),0),0)</f>
        <v>0</v>
      </c>
      <c r="H57" s="783">
        <f>IF('Incremental Repayments'!$R$22="Debt",IF(AND(H$4&gt;=$D57,H$4&lt;$D57+'Incremental Repayments'!$I$31),-PMT('Interest Rate'!$J$16,'Incremental Repayments'!$I$31,(HLOOKUP($D57,$E$4:$CZ$32,28,FALSE)*'Incremental Repayments'!$I$22)),0),0)</f>
        <v>0</v>
      </c>
      <c r="I57" s="783">
        <f>IF('Incremental Repayments'!$R$22="Debt",IF(AND(I$4&gt;=$D57,I$4&lt;$D57+'Incremental Repayments'!$I$31),-PMT('Interest Rate'!$J$16,'Incremental Repayments'!$I$31,(HLOOKUP($D57,$E$4:$CZ$32,28,FALSE)*'Incremental Repayments'!$I$22)),0),0)</f>
        <v>0</v>
      </c>
      <c r="J57" s="783">
        <f>IF('Incremental Repayments'!$R$22="Debt",IF(AND(J$4&gt;=$D57,J$4&lt;$D57+'Incremental Repayments'!$I$31),-PMT('Interest Rate'!$J$16,'Incremental Repayments'!$I$31,(HLOOKUP($D57,$E$4:$CZ$32,28,FALSE)*'Incremental Repayments'!$I$22)),0),0)</f>
        <v>0</v>
      </c>
      <c r="K57" s="783">
        <f>IF('Incremental Repayments'!$R$22="Debt",IF(AND(K$4&gt;=$D57,K$4&lt;$D57+'Incremental Repayments'!$I$31),-PMT('Interest Rate'!$J$16,'Incremental Repayments'!$I$31,(HLOOKUP($D57,$E$4:$CZ$32,28,FALSE)*'Incremental Repayments'!$I$22)),0),0)</f>
        <v>0</v>
      </c>
      <c r="L57" s="783">
        <f>IF('Incremental Repayments'!$R$22="Debt",IF(AND(L$4&gt;=$D57,L$4&lt;$D57+'Incremental Repayments'!$I$31),-PMT('Interest Rate'!$J$16,'Incremental Repayments'!$I$31,(HLOOKUP($D57,$E$4:$CZ$32,28,FALSE)*'Incremental Repayments'!$I$22)),0),0)</f>
        <v>0</v>
      </c>
      <c r="M57" s="783">
        <f>IF('Incremental Repayments'!$R$22="Debt",IF(AND(M$4&gt;=$D57,M$4&lt;$D57+'Incremental Repayments'!$I$31),-PMT('Interest Rate'!$J$16,'Incremental Repayments'!$I$31,(HLOOKUP($D57,$E$4:$CZ$32,28,FALSE)*'Incremental Repayments'!$I$22)),0),0)</f>
        <v>0</v>
      </c>
      <c r="N57" s="783">
        <f>IF('Incremental Repayments'!$R$22="Debt",IF(AND(N$4&gt;=$D57,N$4&lt;$D57+'Incremental Repayments'!$I$31),-PMT('Interest Rate'!$J$16,'Incremental Repayments'!$I$31,(HLOOKUP($D57,$E$4:$CZ$32,28,FALSE)*'Incremental Repayments'!$I$22)),0),0)</f>
        <v>0</v>
      </c>
      <c r="O57" s="783">
        <f>IF('Incremental Repayments'!$R$22="Debt",IF(AND(O$4&gt;=$D57,O$4&lt;$D57+'Incremental Repayments'!$I$31),-PMT('Interest Rate'!$J$16,'Incremental Repayments'!$I$31,(HLOOKUP($D57,$E$4:$CZ$32,28,FALSE)*'Incremental Repayments'!$I$22)),0),0)</f>
        <v>0</v>
      </c>
      <c r="P57" s="783">
        <f>IF('Incremental Repayments'!$R$22="Debt",IF(AND(P$4&gt;=$D57,P$4&lt;$D57+'Incremental Repayments'!$I$31),-PMT('Interest Rate'!$J$16,'Incremental Repayments'!$I$31,(HLOOKUP($D57,$E$4:$CZ$32,28,FALSE)*'Incremental Repayments'!$I$22)),0),0)</f>
        <v>0</v>
      </c>
      <c r="Q57" s="783">
        <f>IF('Incremental Repayments'!$R$22="Debt",IF(AND(Q$4&gt;=$D57,Q$4&lt;$D57+'Incremental Repayments'!$I$31),-PMT('Interest Rate'!$J$16,'Incremental Repayments'!$I$31,(HLOOKUP($D57,$E$4:$CZ$32,28,FALSE)*'Incremental Repayments'!$I$22)),0),0)</f>
        <v>0</v>
      </c>
      <c r="R57" s="783">
        <f>IF('Incremental Repayments'!$R$22="Debt",IF(AND(R$4&gt;=$D57,R$4&lt;$D57+'Incremental Repayments'!$I$31),-PMT('Interest Rate'!$J$16,'Incremental Repayments'!$I$31,(HLOOKUP($D57,$E$4:$CZ$32,28,FALSE)*'Incremental Repayments'!$I$22)),0),0)</f>
        <v>0</v>
      </c>
      <c r="S57" s="783">
        <f>IF('Incremental Repayments'!$R$22="Debt",IF(AND(S$4&gt;=$D57,S$4&lt;$D57+'Incremental Repayments'!$I$31),-PMT('Interest Rate'!$J$16,'Incremental Repayments'!$I$31,(HLOOKUP($D57,$E$4:$CZ$32,28,FALSE)*'Incremental Repayments'!$I$22)),0),0)</f>
        <v>0</v>
      </c>
      <c r="T57" s="783">
        <f>IF('Incremental Repayments'!$R$22="Debt",IF(AND(T$4&gt;=$D57,T$4&lt;$D57+'Incremental Repayments'!$I$31),-PMT('Interest Rate'!$J$16,'Incremental Repayments'!$I$31,(HLOOKUP($D57,$E$4:$CZ$32,28,FALSE)*'Incremental Repayments'!$I$22)),0),0)</f>
        <v>0</v>
      </c>
      <c r="U57" s="783">
        <f>IF('Incremental Repayments'!$R$22="Debt",IF(AND(U$4&gt;=$D57,U$4&lt;$D57+'Incremental Repayments'!$I$31),-PMT('Interest Rate'!$J$16,'Incremental Repayments'!$I$31,(HLOOKUP($D57,$E$4:$CZ$32,28,FALSE)*'Incremental Repayments'!$I$22)),0),0)</f>
        <v>0</v>
      </c>
      <c r="V57" s="783">
        <f>IF('Incremental Repayments'!$R$22="Debt",IF(AND(V$4&gt;=$D57,V$4&lt;$D57+'Incremental Repayments'!$I$31),-PMT('Interest Rate'!$J$16,'Incremental Repayments'!$I$31,(HLOOKUP($D57,$E$4:$CZ$32,28,FALSE)*'Incremental Repayments'!$I$22)),0),0)</f>
        <v>0</v>
      </c>
      <c r="W57" s="783">
        <f>IF('Incremental Repayments'!$R$22="Debt",IF(AND(W$4&gt;=$D57,W$4&lt;$D57+'Incremental Repayments'!$I$31),-PMT('Interest Rate'!$J$16,'Incremental Repayments'!$I$31,(HLOOKUP($D57,$E$4:$CZ$32,28,FALSE)*'Incremental Repayments'!$I$22)),0),0)</f>
        <v>0</v>
      </c>
      <c r="X57" s="783">
        <f>IF('Incremental Repayments'!$R$22="Debt",IF(AND(X$4&gt;=$D57,X$4&lt;$D57+'Incremental Repayments'!$I$31),-PMT('Interest Rate'!$J$16,'Incremental Repayments'!$I$31,(HLOOKUP($D57,$E$4:$CZ$32,28,FALSE)*'Incremental Repayments'!$I$22)),0),0)</f>
        <v>0</v>
      </c>
      <c r="Y57" s="783">
        <f>IF('Incremental Repayments'!$R$22="Debt",IF(AND(Y$4&gt;=$D57,Y$4&lt;$D57+'Incremental Repayments'!$I$31),-PMT('Interest Rate'!$J$16,'Incremental Repayments'!$I$31,(HLOOKUP($D57,$E$4:$CZ$32,28,FALSE)*'Incremental Repayments'!$I$22)),0),0)</f>
        <v>0</v>
      </c>
      <c r="Z57" s="783">
        <f>IF('Incremental Repayments'!$R$22="Debt",IF(AND(Z$4&gt;=$D57,Z$4&lt;$D57+'Incremental Repayments'!$I$31),-PMT('Interest Rate'!$J$16,'Incremental Repayments'!$I$31,(HLOOKUP($D57,$E$4:$CZ$32,28,FALSE)*'Incremental Repayments'!$I$22)),0),0)</f>
        <v>5189850.2317559309</v>
      </c>
      <c r="AA57" s="783">
        <f>IF('Incremental Repayments'!$R$22="Debt",IF(AND(AA$4&gt;=$D57,AA$4&lt;$D57+'Incremental Repayments'!$I$31),-PMT('Interest Rate'!$J$16,'Incremental Repayments'!$I$31,(HLOOKUP($D57,$E$4:$CZ$32,28,FALSE)*'Incremental Repayments'!$I$22)),0),0)</f>
        <v>5189850.2317559309</v>
      </c>
      <c r="AB57" s="783">
        <f>IF('Incremental Repayments'!$R$22="Debt",IF(AND(AB$4&gt;=$D57,AB$4&lt;$D57+'Incremental Repayments'!$I$31),-PMT('Interest Rate'!$J$16,'Incremental Repayments'!$I$31,(HLOOKUP($D57,$E$4:$CZ$32,28,FALSE)*'Incremental Repayments'!$I$22)),0),0)</f>
        <v>5189850.2317559309</v>
      </c>
      <c r="AC57" s="783">
        <f>IF('Incremental Repayments'!$R$22="Debt",IF(AND(AC$4&gt;=$D57,AC$4&lt;$D57+'Incremental Repayments'!$I$31),-PMT('Interest Rate'!$J$16,'Incremental Repayments'!$I$31,(HLOOKUP($D57,$E$4:$CZ$32,28,FALSE)*'Incremental Repayments'!$I$22)),0),0)</f>
        <v>5189850.2317559309</v>
      </c>
      <c r="AD57" s="783">
        <f>IF('Incremental Repayments'!$R$22="Debt",IF(AND(AD$4&gt;=$D57,AD$4&lt;$D57+'Incremental Repayments'!$I$31),-PMT('Interest Rate'!$J$16,'Incremental Repayments'!$I$31,(HLOOKUP($D57,$E$4:$CZ$32,28,FALSE)*'Incremental Repayments'!$I$22)),0),0)</f>
        <v>5189850.2317559309</v>
      </c>
      <c r="AE57" s="783">
        <f>IF('Incremental Repayments'!$R$22="Debt",IF(AND(AE$4&gt;=$D57,AE$4&lt;$D57+'Incremental Repayments'!$I$31),-PMT('Interest Rate'!$J$16,'Incremental Repayments'!$I$31,(HLOOKUP($D57,$E$4:$CZ$32,28,FALSE)*'Incremental Repayments'!$I$22)),0),0)</f>
        <v>5189850.2317559309</v>
      </c>
      <c r="AF57" s="783">
        <f>IF('Incremental Repayments'!$R$22="Debt",IF(AND(AF$4&gt;=$D57,AF$4&lt;$D57+'Incremental Repayments'!$I$31),-PMT('Interest Rate'!$J$16,'Incremental Repayments'!$I$31,(HLOOKUP($D57,$E$4:$CZ$32,28,FALSE)*'Incremental Repayments'!$I$22)),0),0)</f>
        <v>5189850.2317559309</v>
      </c>
      <c r="AG57" s="783">
        <f>IF('Incremental Repayments'!$R$22="Debt",IF(AND(AG$4&gt;=$D57,AG$4&lt;$D57+'Incremental Repayments'!$I$31),-PMT('Interest Rate'!$J$16,'Incremental Repayments'!$I$31,(HLOOKUP($D57,$E$4:$CZ$32,28,FALSE)*'Incremental Repayments'!$I$22)),0),0)</f>
        <v>5189850.2317559309</v>
      </c>
      <c r="AH57" s="783">
        <f>IF('Incremental Repayments'!$R$22="Debt",IF(AND(AH$4&gt;=$D57,AH$4&lt;$D57+'Incremental Repayments'!$I$31),-PMT('Interest Rate'!$J$16,'Incremental Repayments'!$I$31,(HLOOKUP($D57,$E$4:$CZ$32,28,FALSE)*'Incremental Repayments'!$I$22)),0),0)</f>
        <v>5189850.2317559309</v>
      </c>
      <c r="AI57" s="783">
        <f>IF('Incremental Repayments'!$R$22="Debt",IF(AND(AI$4&gt;=$D57,AI$4&lt;$D57+'Incremental Repayments'!$I$31),-PMT('Interest Rate'!$J$16,'Incremental Repayments'!$I$31,(HLOOKUP($D57,$E$4:$CZ$32,28,FALSE)*'Incremental Repayments'!$I$22)),0),0)</f>
        <v>5189850.2317559309</v>
      </c>
      <c r="AJ57" s="783">
        <f>IF('Incremental Repayments'!$R$22="Debt",IF(AND(AJ$4&gt;=$D57,AJ$4&lt;$D57+'Incremental Repayments'!$I$31),-PMT('Interest Rate'!$J$16,'Incremental Repayments'!$I$31,(HLOOKUP($D57,$E$4:$CZ$32,28,FALSE)*'Incremental Repayments'!$I$22)),0),0)</f>
        <v>5189850.2317559309</v>
      </c>
      <c r="AK57" s="783">
        <f>IF('Incremental Repayments'!$R$22="Debt",IF(AND(AK$4&gt;=$D57,AK$4&lt;$D57+'Incremental Repayments'!$I$31),-PMT('Interest Rate'!$J$16,'Incremental Repayments'!$I$31,(HLOOKUP($D57,$E$4:$CZ$32,28,FALSE)*'Incremental Repayments'!$I$22)),0),0)</f>
        <v>5189850.2317559309</v>
      </c>
      <c r="AL57" s="783">
        <f>IF('Incremental Repayments'!$R$22="Debt",IF(AND(AL$4&gt;=$D57,AL$4&lt;$D57+'Incremental Repayments'!$I$31),-PMT('Interest Rate'!$J$16,'Incremental Repayments'!$I$31,(HLOOKUP($D57,$E$4:$CZ$32,28,FALSE)*'Incremental Repayments'!$I$22)),0),0)</f>
        <v>5189850.2317559309</v>
      </c>
      <c r="AM57" s="783">
        <f>IF('Incremental Repayments'!$R$22="Debt",IF(AND(AM$4&gt;=$D57,AM$4&lt;$D57+'Incremental Repayments'!$I$31),-PMT('Interest Rate'!$J$16,'Incremental Repayments'!$I$31,(HLOOKUP($D57,$E$4:$CZ$32,28,FALSE)*'Incremental Repayments'!$I$22)),0),0)</f>
        <v>5189850.2317559309</v>
      </c>
      <c r="AN57" s="783">
        <f>IF('Incremental Repayments'!$R$22="Debt",IF(AND(AN$4&gt;=$D57,AN$4&lt;$D57+'Incremental Repayments'!$I$31),-PMT('Interest Rate'!$J$16,'Incremental Repayments'!$I$31,(HLOOKUP($D57,$E$4:$CZ$32,28,FALSE)*'Incremental Repayments'!$I$22)),0),0)</f>
        <v>5189850.2317559309</v>
      </c>
      <c r="AO57" s="783">
        <f>IF('Incremental Repayments'!$R$22="Debt",IF(AND(AO$4&gt;=$D57,AO$4&lt;$D57+'Incremental Repayments'!$I$31),-PMT('Interest Rate'!$J$16,'Incremental Repayments'!$I$31,(HLOOKUP($D57,$E$4:$CZ$32,28,FALSE)*'Incremental Repayments'!$I$22)),0),0)</f>
        <v>5189850.2317559309</v>
      </c>
      <c r="AP57" s="783">
        <f>IF('Incremental Repayments'!$R$22="Debt",IF(AND(AP$4&gt;=$D57,AP$4&lt;$D57+'Incremental Repayments'!$I$31),-PMT('Interest Rate'!$J$16,'Incremental Repayments'!$I$31,(HLOOKUP($D57,$E$4:$CZ$32,28,FALSE)*'Incremental Repayments'!$I$22)),0),0)</f>
        <v>5189850.2317559309</v>
      </c>
      <c r="AQ57" s="783">
        <f>IF('Incremental Repayments'!$R$22="Debt",IF(AND(AQ$4&gt;=$D57,AQ$4&lt;$D57+'Incremental Repayments'!$I$31),-PMT('Interest Rate'!$J$16,'Incremental Repayments'!$I$31,(HLOOKUP($D57,$E$4:$CZ$32,28,FALSE)*'Incremental Repayments'!$I$22)),0),0)</f>
        <v>5189850.2317559309</v>
      </c>
      <c r="AR57" s="783">
        <f>IF('Incremental Repayments'!$R$22="Debt",IF(AND(AR$4&gt;=$D57,AR$4&lt;$D57+'Incremental Repayments'!$I$31),-PMT('Interest Rate'!$J$16,'Incremental Repayments'!$I$31,(HLOOKUP($D57,$E$4:$CZ$32,28,FALSE)*'Incremental Repayments'!$I$22)),0),0)</f>
        <v>5189850.2317559309</v>
      </c>
      <c r="AS57" s="783">
        <f>IF('Incremental Repayments'!$R$22="Debt",IF(AND(AS$4&gt;=$D57,AS$4&lt;$D57+'Incremental Repayments'!$I$31),-PMT('Interest Rate'!$J$16,'Incremental Repayments'!$I$31,(HLOOKUP($D57,$E$4:$CZ$32,28,FALSE)*'Incremental Repayments'!$I$22)),0),0)</f>
        <v>5189850.2317559309</v>
      </c>
      <c r="AT57" s="783">
        <f>IF('Incremental Repayments'!$R$22="Debt",IF(AND(AT$4&gt;=$D57,AT$4&lt;$D57+'Incremental Repayments'!$I$31),-PMT('Interest Rate'!$J$16,'Incremental Repayments'!$I$31,(HLOOKUP($D57,$E$4:$CZ$32,28,FALSE)*'Incremental Repayments'!$I$22)),0),0)</f>
        <v>5189850.2317559309</v>
      </c>
      <c r="AU57" s="783">
        <f>IF('Incremental Repayments'!$R$22="Debt",IF(AND(AU$4&gt;=$D57,AU$4&lt;$D57+'Incremental Repayments'!$I$31),-PMT('Interest Rate'!$J$16,'Incremental Repayments'!$I$31,(HLOOKUP($D57,$E$4:$CZ$32,28,FALSE)*'Incremental Repayments'!$I$22)),0),0)</f>
        <v>5189850.2317559309</v>
      </c>
      <c r="AV57" s="783">
        <f>IF('Incremental Repayments'!$R$22="Debt",IF(AND(AV$4&gt;=$D57,AV$4&lt;$D57+'Incremental Repayments'!$I$31),-PMT('Interest Rate'!$J$16,'Incremental Repayments'!$I$31,(HLOOKUP($D57,$E$4:$CZ$32,28,FALSE)*'Incremental Repayments'!$I$22)),0),0)</f>
        <v>5189850.2317559309</v>
      </c>
      <c r="AW57" s="783">
        <f>IF('Incremental Repayments'!$R$22="Debt",IF(AND(AW$4&gt;=$D57,AW$4&lt;$D57+'Incremental Repayments'!$I$31),-PMT('Interest Rate'!$J$16,'Incremental Repayments'!$I$31,(HLOOKUP($D57,$E$4:$CZ$32,28,FALSE)*'Incremental Repayments'!$I$22)),0),0)</f>
        <v>5189850.2317559309</v>
      </c>
      <c r="AX57" s="783">
        <f>IF('Incremental Repayments'!$R$22="Debt",IF(AND(AX$4&gt;=$D57,AX$4&lt;$D57+'Incremental Repayments'!$I$31),-PMT('Interest Rate'!$J$16,'Incremental Repayments'!$I$31,(HLOOKUP($D57,$E$4:$CZ$32,28,FALSE)*'Incremental Repayments'!$I$22)),0),0)</f>
        <v>5189850.2317559309</v>
      </c>
      <c r="AY57" s="783">
        <f>IF('Incremental Repayments'!$R$22="Debt",IF(AND(AY$4&gt;=$D57,AY$4&lt;$D57+'Incremental Repayments'!$I$31),-PMT('Interest Rate'!$J$16,'Incremental Repayments'!$I$31,(HLOOKUP($D57,$E$4:$CZ$32,28,FALSE)*'Incremental Repayments'!$I$22)),0),0)</f>
        <v>5189850.2317559309</v>
      </c>
      <c r="AZ57" s="783">
        <f>IF('Incremental Repayments'!$R$22="Debt",IF(AND(AZ$4&gt;=$D57,AZ$4&lt;$D57+'Incremental Repayments'!$I$31),-PMT('Interest Rate'!$J$16,'Incremental Repayments'!$I$31,(HLOOKUP($D57,$E$4:$CZ$32,28,FALSE)*'Incremental Repayments'!$I$22)),0),0)</f>
        <v>5189850.2317559309</v>
      </c>
      <c r="BA57" s="783">
        <f>IF('Incremental Repayments'!$R$22="Debt",IF(AND(BA$4&gt;=$D57,BA$4&lt;$D57+'Incremental Repayments'!$I$31),-PMT('Interest Rate'!$J$16,'Incremental Repayments'!$I$31,(HLOOKUP($D57,$E$4:$CZ$32,28,FALSE)*'Incremental Repayments'!$I$22)),0),0)</f>
        <v>5189850.2317559309</v>
      </c>
      <c r="BB57" s="783">
        <f>IF('Incremental Repayments'!$R$22="Debt",IF(AND(BB$4&gt;=$D57,BB$4&lt;$D57+'Incremental Repayments'!$I$31),-PMT('Interest Rate'!$J$16,'Incremental Repayments'!$I$31,(HLOOKUP($D57,$E$4:$CZ$32,28,FALSE)*'Incremental Repayments'!$I$22)),0),0)</f>
        <v>5189850.2317559309</v>
      </c>
      <c r="BC57" s="783">
        <f>IF('Incremental Repayments'!$R$22="Debt",IF(AND(BC$4&gt;=$D57,BC$4&lt;$D57+'Incremental Repayments'!$I$31),-PMT('Interest Rate'!$J$16,'Incremental Repayments'!$I$31,(HLOOKUP($D57,$E$4:$CZ$32,28,FALSE)*'Incremental Repayments'!$I$22)),0),0)</f>
        <v>5189850.2317559309</v>
      </c>
      <c r="BD57" s="783">
        <f>IF('Incremental Repayments'!$R$22="Debt",IF(AND(BD$4&gt;=$D57,BD$4&lt;$D57+'Incremental Repayments'!$I$31),-PMT('Interest Rate'!$J$16,'Incremental Repayments'!$I$31,(HLOOKUP($D57,$E$4:$CZ$32,28,FALSE)*'Incremental Repayments'!$I$22)),0),0)</f>
        <v>0</v>
      </c>
      <c r="BE57" s="783">
        <f>IF('Incremental Repayments'!$R$22="Debt",IF(AND(BE$4&gt;=$D57,BE$4&lt;$D57+'Incremental Repayments'!$I$31),-PMT('Interest Rate'!$J$16,'Incremental Repayments'!$I$31,(HLOOKUP($D57,$E$4:$CZ$32,28,FALSE)*'Incremental Repayments'!$I$22)),0),0)</f>
        <v>0</v>
      </c>
      <c r="BF57" s="783">
        <f>IF('Incremental Repayments'!$R$22="Debt",IF(AND(BF$4&gt;=$D57,BF$4&lt;$D57+'Incremental Repayments'!$I$31),-PMT('Interest Rate'!$J$16,'Incremental Repayments'!$I$31,(HLOOKUP($D57,$E$4:$CZ$32,28,FALSE)*'Incremental Repayments'!$I$22)),0),0)</f>
        <v>0</v>
      </c>
      <c r="BG57" s="783">
        <f>IF('Incremental Repayments'!$R$22="Debt",IF(AND(BG$4&gt;=$D57,BG$4&lt;$D57+'Incremental Repayments'!$I$31),-PMT('Interest Rate'!$J$16,'Incremental Repayments'!$I$31,(HLOOKUP($D57,$E$4:$CZ$32,28,FALSE)*'Incremental Repayments'!$I$22)),0),0)</f>
        <v>0</v>
      </c>
      <c r="BH57" s="783">
        <f>IF('Incremental Repayments'!$R$22="Debt",IF(AND(BH$4&gt;=$D57,BH$4&lt;$D57+'Incremental Repayments'!$I$31),-PMT('Interest Rate'!$J$16,'Incremental Repayments'!$I$31,(HLOOKUP($D57,$E$4:$CZ$32,28,FALSE)*'Incremental Repayments'!$I$22)),0),0)</f>
        <v>0</v>
      </c>
      <c r="BI57" s="783">
        <f>IF('Incremental Repayments'!$R$22="Debt",IF(AND(BI$4&gt;=$D57,BI$4&lt;$D57+'Incremental Repayments'!$I$31),-PMT('Interest Rate'!$J$16,'Incremental Repayments'!$I$31,(HLOOKUP($D57,$E$4:$CZ$32,28,FALSE)*'Incremental Repayments'!$I$22)),0),0)</f>
        <v>0</v>
      </c>
      <c r="BJ57" s="783">
        <f>IF('Incremental Repayments'!$R$22="Debt",IF(AND(BJ$4&gt;=$D57,BJ$4&lt;$D57+'Incremental Repayments'!$I$31),-PMT('Interest Rate'!$J$16,'Incremental Repayments'!$I$31,(HLOOKUP($D57,$E$4:$CZ$32,28,FALSE)*'Incremental Repayments'!$I$22)),0),0)</f>
        <v>0</v>
      </c>
      <c r="BK57" s="783">
        <f>IF('Incremental Repayments'!$R$22="Debt",IF(AND(BK$4&gt;=$D57,BK$4&lt;$D57+'Incremental Repayments'!$I$31),-PMT('Interest Rate'!$J$16,'Incremental Repayments'!$I$31,(HLOOKUP($D57,$E$4:$CZ$32,28,FALSE)*'Incremental Repayments'!$I$22)),0),0)</f>
        <v>0</v>
      </c>
      <c r="BL57" s="783">
        <f>IF('Incremental Repayments'!$R$22="Debt",IF(AND(BL$4&gt;=$D57,BL$4&lt;$D57+'Incremental Repayments'!$I$31),-PMT('Interest Rate'!$J$16,'Incremental Repayments'!$I$31,(HLOOKUP($D57,$E$4:$CZ$32,28,FALSE)*'Incremental Repayments'!$I$22)),0),0)</f>
        <v>0</v>
      </c>
      <c r="BM57" s="783">
        <f>IF('Incremental Repayments'!$R$22="Debt",IF(AND(BM$4&gt;=$D57,BM$4&lt;$D57+'Incremental Repayments'!$I$31),-PMT('Interest Rate'!$J$16,'Incremental Repayments'!$I$31,(HLOOKUP($D57,$E$4:$CZ$32,28,FALSE)*'Incremental Repayments'!$I$22)),0),0)</f>
        <v>0</v>
      </c>
      <c r="BN57" s="783">
        <f>IF('Incremental Repayments'!$R$22="Debt",IF(AND(BN$4&gt;=$D57,BN$4&lt;$D57+'Incremental Repayments'!$I$31),-PMT('Interest Rate'!$J$16,'Incremental Repayments'!$I$31,(HLOOKUP($D57,$E$4:$CZ$32,28,FALSE)*'Incremental Repayments'!$I$22)),0),0)</f>
        <v>0</v>
      </c>
      <c r="BO57" s="783">
        <f>IF('Incremental Repayments'!$R$22="Debt",IF(AND(BO$4&gt;=$D57,BO$4&lt;$D57+'Incremental Repayments'!$I$31),-PMT('Interest Rate'!$J$16,'Incremental Repayments'!$I$31,(HLOOKUP($D57,$E$4:$CZ$32,28,FALSE)*'Incremental Repayments'!$I$22)),0),0)</f>
        <v>0</v>
      </c>
      <c r="BP57" s="783">
        <f>IF('Incremental Repayments'!$R$22="Debt",IF(AND(BP$4&gt;=$D57,BP$4&lt;$D57+'Incremental Repayments'!$I$31),-PMT('Interest Rate'!$J$16,'Incremental Repayments'!$I$31,(HLOOKUP($D57,$E$4:$CZ$32,28,FALSE)*'Incremental Repayments'!$I$22)),0),0)</f>
        <v>0</v>
      </c>
      <c r="BQ57" s="783">
        <f>IF('Incremental Repayments'!$R$22="Debt",IF(AND(BQ$4&gt;=$D57,BQ$4&lt;$D57+'Incremental Repayments'!$I$31),-PMT('Interest Rate'!$J$16,'Incremental Repayments'!$I$31,(HLOOKUP($D57,$E$4:$CZ$32,28,FALSE)*'Incremental Repayments'!$I$22)),0),0)</f>
        <v>0</v>
      </c>
      <c r="BR57" s="783">
        <f>IF('Incremental Repayments'!$R$22="Debt",IF(AND(BR$4&gt;=$D57,BR$4&lt;$D57+'Incremental Repayments'!$I$31),-PMT('Interest Rate'!$J$16,'Incremental Repayments'!$I$31,(HLOOKUP($D57,$E$4:$CZ$32,28,FALSE)*'Incremental Repayments'!$I$22)),0),0)</f>
        <v>0</v>
      </c>
      <c r="BS57" s="783">
        <f>IF('Incremental Repayments'!$R$22="Debt",IF(AND(BS$4&gt;=$D57,BS$4&lt;$D57+'Incremental Repayments'!$I$31),-PMT('Interest Rate'!$J$16,'Incremental Repayments'!$I$31,(HLOOKUP($D57,$E$4:$CZ$32,28,FALSE)*'Incremental Repayments'!$I$22)),0),0)</f>
        <v>0</v>
      </c>
      <c r="BT57" s="783">
        <f>IF('Incremental Repayments'!$R$22="Debt",IF(AND(BT$4&gt;=$D57,BT$4&lt;$D57+'Incremental Repayments'!$I$31),-PMT('Interest Rate'!$J$16,'Incremental Repayments'!$I$31,(HLOOKUP($D57,$E$4:$CZ$32,28,FALSE)*'Incremental Repayments'!$I$22)),0),0)</f>
        <v>0</v>
      </c>
      <c r="BU57" s="783">
        <f>IF('Incremental Repayments'!$R$22="Debt",IF(AND(BU$4&gt;=$D57,BU$4&lt;$D57+'Incremental Repayments'!$I$31),-PMT('Interest Rate'!$J$16,'Incremental Repayments'!$I$31,(HLOOKUP($D57,$E$4:$CZ$32,28,FALSE)*'Incremental Repayments'!$I$22)),0),0)</f>
        <v>0</v>
      </c>
      <c r="BV57" s="783">
        <f>IF('Incremental Repayments'!$R$22="Debt",IF(AND(BV$4&gt;=$D57,BV$4&lt;$D57+'Incremental Repayments'!$I$31),-PMT('Interest Rate'!$J$16,'Incremental Repayments'!$I$31,(HLOOKUP($D57,$E$4:$CZ$32,28,FALSE)*'Incremental Repayments'!$I$22)),0),0)</f>
        <v>0</v>
      </c>
      <c r="BW57" s="783">
        <f>IF('Incremental Repayments'!$R$22="Debt",IF(AND(BW$4&gt;=$D57,BW$4&lt;$D57+'Incremental Repayments'!$I$31),-PMT('Interest Rate'!$J$16,'Incremental Repayments'!$I$31,(HLOOKUP($D57,$E$4:$CZ$32,28,FALSE)*'Incremental Repayments'!$I$22)),0),0)</f>
        <v>0</v>
      </c>
      <c r="BX57" s="783">
        <f>IF('Incremental Repayments'!$R$22="Debt",IF(AND(BX$4&gt;=$D57,BX$4&lt;$D57+'Incremental Repayments'!$I$31),-PMT('Interest Rate'!$J$16,'Incremental Repayments'!$I$31,(HLOOKUP($D57,$E$4:$CZ$32,28,FALSE)*'Incremental Repayments'!$I$22)),0),0)</f>
        <v>0</v>
      </c>
      <c r="BY57" s="783">
        <f>IF('Incremental Repayments'!$R$22="Debt",IF(AND(BY$4&gt;=$D57,BY$4&lt;$D57+'Incremental Repayments'!$I$31),-PMT('Interest Rate'!$J$16,'Incremental Repayments'!$I$31,(HLOOKUP($D57,$E$4:$CZ$32,28,FALSE)*'Incremental Repayments'!$I$22)),0),0)</f>
        <v>0</v>
      </c>
      <c r="BZ57" s="783">
        <f>IF('Incremental Repayments'!$R$22="Debt",IF(AND(BZ$4&gt;=$D57,BZ$4&lt;$D57+'Incremental Repayments'!$I$31),-PMT('Interest Rate'!$J$16,'Incremental Repayments'!$I$31,(HLOOKUP($D57,$E$4:$CZ$32,28,FALSE)*'Incremental Repayments'!$I$22)),0),0)</f>
        <v>0</v>
      </c>
      <c r="CA57" s="783">
        <f>IF('Incremental Repayments'!$R$22="Debt",IF(AND(CA$4&gt;=$D57,CA$4&lt;$D57+'Incremental Repayments'!$I$31),-PMT('Interest Rate'!$J$16,'Incremental Repayments'!$I$31,(HLOOKUP($D57,$E$4:$CZ$32,28,FALSE)*'Incremental Repayments'!$I$22)),0),0)</f>
        <v>0</v>
      </c>
      <c r="CB57" s="783">
        <f>IF('Incremental Repayments'!$R$22="Debt",IF(AND(CB$4&gt;=$D57,CB$4&lt;$D57+'Incremental Repayments'!$I$31),-PMT('Interest Rate'!$J$16,'Incremental Repayments'!$I$31,(HLOOKUP($D57,$E$4:$CZ$32,28,FALSE)*'Incremental Repayments'!$I$22)),0),0)</f>
        <v>0</v>
      </c>
      <c r="CC57" s="783">
        <f>IF('Incremental Repayments'!$R$22="Debt",IF(AND(CC$4&gt;=$D57,CC$4&lt;$D57+'Incremental Repayments'!$I$31),-PMT('Interest Rate'!$J$16,'Incremental Repayments'!$I$31,(HLOOKUP($D57,$E$4:$CZ$32,28,FALSE)*'Incremental Repayments'!$I$22)),0),0)</f>
        <v>0</v>
      </c>
      <c r="CD57" s="783">
        <f>IF('Incremental Repayments'!$R$22="Debt",IF(AND(CD$4&gt;=$D57,CD$4&lt;$D57+'Incremental Repayments'!$I$31),-PMT('Interest Rate'!$J$16,'Incremental Repayments'!$I$31,(HLOOKUP($D57,$E$4:$CZ$32,28,FALSE)*'Incremental Repayments'!$I$22)),0),0)</f>
        <v>0</v>
      </c>
      <c r="CE57" s="783">
        <f>IF('Incremental Repayments'!$R$22="Debt",IF(AND(CE$4&gt;=$D57,CE$4&lt;$D57+'Incremental Repayments'!$I$31),-PMT('Interest Rate'!$J$16,'Incremental Repayments'!$I$31,(HLOOKUP($D57,$E$4:$CZ$32,28,FALSE)*'Incremental Repayments'!$I$22)),0),0)</f>
        <v>0</v>
      </c>
      <c r="CF57" s="783">
        <f>IF('Incremental Repayments'!$R$22="Debt",IF(AND(CF$4&gt;=$D57,CF$4&lt;$D57+'Incremental Repayments'!$I$31),-PMT('Interest Rate'!$J$16,'Incremental Repayments'!$I$31,(HLOOKUP($D57,$E$4:$CZ$32,28,FALSE)*'Incremental Repayments'!$I$22)),0),0)</f>
        <v>0</v>
      </c>
      <c r="CG57" s="783">
        <f>IF('Incremental Repayments'!$R$22="Debt",IF(AND(CG$4&gt;=$D57,CG$4&lt;$D57+'Incremental Repayments'!$I$31),-PMT('Interest Rate'!$J$16,'Incremental Repayments'!$I$31,(HLOOKUP($D57,$E$4:$CZ$32,28,FALSE)*'Incremental Repayments'!$I$22)),0),0)</f>
        <v>0</v>
      </c>
      <c r="CH57" s="783">
        <f>IF('Incremental Repayments'!$R$22="Debt",IF(AND(CH$4&gt;=$D57,CH$4&lt;$D57+'Incremental Repayments'!$I$31),-PMT('Interest Rate'!$J$16,'Incremental Repayments'!$I$31,(HLOOKUP($D57,$E$4:$CZ$32,28,FALSE)*'Incremental Repayments'!$I$22)),0),0)</f>
        <v>0</v>
      </c>
      <c r="CI57" s="783">
        <f>IF('Incremental Repayments'!$R$22="Debt",IF(AND(CI$4&gt;=$D57,CI$4&lt;$D57+'Incremental Repayments'!$I$31),-PMT('Interest Rate'!$J$16,'Incremental Repayments'!$I$31,(HLOOKUP($D57,$E$4:$CZ$32,28,FALSE)*'Incremental Repayments'!$I$22)),0),0)</f>
        <v>0</v>
      </c>
      <c r="CJ57" s="783">
        <f>IF('Incremental Repayments'!$R$22="Debt",IF(AND(CJ$4&gt;=$D57,CJ$4&lt;$D57+'Incremental Repayments'!$I$31),-PMT('Interest Rate'!$J$16,'Incremental Repayments'!$I$31,(HLOOKUP($D57,$E$4:$CZ$32,28,FALSE)*'Incremental Repayments'!$I$22)),0),0)</f>
        <v>0</v>
      </c>
      <c r="CK57" s="783">
        <f>IF('Incremental Repayments'!$R$22="Debt",IF(AND(CK$4&gt;=$D57,CK$4&lt;$D57+'Incremental Repayments'!$I$31),-PMT('Interest Rate'!$J$16,'Incremental Repayments'!$I$31,(HLOOKUP($D57,$E$4:$CZ$32,28,FALSE)*'Incremental Repayments'!$I$22)),0),0)</f>
        <v>0</v>
      </c>
      <c r="CL57" s="783">
        <f>IF('Incremental Repayments'!$R$22="Debt",IF(AND(CL$4&gt;=$D57,CL$4&lt;$D57+'Incremental Repayments'!$I$31),-PMT('Interest Rate'!$J$16,'Incremental Repayments'!$I$31,(HLOOKUP($D57,$E$4:$CZ$32,28,FALSE)*'Incremental Repayments'!$I$22)),0),0)</f>
        <v>0</v>
      </c>
      <c r="CM57" s="783">
        <f>IF('Incremental Repayments'!$R$22="Debt",IF(AND(CM$4&gt;=$D57,CM$4&lt;$D57+'Incremental Repayments'!$I$31),-PMT('Interest Rate'!$J$16,'Incremental Repayments'!$I$31,(HLOOKUP($D57,$E$4:$CZ$32,28,FALSE)*'Incremental Repayments'!$I$22)),0),0)</f>
        <v>0</v>
      </c>
      <c r="CN57" s="783">
        <f>IF('Incremental Repayments'!$R$22="Debt",IF(AND(CN$4&gt;=$D57,CN$4&lt;$D57+'Incremental Repayments'!$I$31),-PMT('Interest Rate'!$J$16,'Incremental Repayments'!$I$31,(HLOOKUP($D57,$E$4:$CZ$32,28,FALSE)*'Incremental Repayments'!$I$22)),0),0)</f>
        <v>0</v>
      </c>
      <c r="CO57" s="783">
        <f>IF('Incremental Repayments'!$R$22="Debt",IF(AND(CO$4&gt;=$D57,CO$4&lt;$D57+'Incremental Repayments'!$I$31),-PMT('Interest Rate'!$J$16,'Incremental Repayments'!$I$31,(HLOOKUP($D57,$E$4:$CZ$32,28,FALSE)*'Incremental Repayments'!$I$22)),0),0)</f>
        <v>0</v>
      </c>
      <c r="CP57" s="783">
        <f>IF('Incremental Repayments'!$R$22="Debt",IF(AND(CP$4&gt;=$D57,CP$4&lt;$D57+'Incremental Repayments'!$I$31),-PMT('Interest Rate'!$J$16,'Incremental Repayments'!$I$31,(HLOOKUP($D57,$E$4:$CZ$32,28,FALSE)*'Incremental Repayments'!$I$22)),0),0)</f>
        <v>0</v>
      </c>
      <c r="CQ57" s="783">
        <f>IF('Incremental Repayments'!$R$22="Debt",IF(AND(CQ$4&gt;=$D57,CQ$4&lt;$D57+'Incremental Repayments'!$I$31),-PMT('Interest Rate'!$J$16,'Incremental Repayments'!$I$31,(HLOOKUP($D57,$E$4:$CZ$32,28,FALSE)*'Incremental Repayments'!$I$22)),0),0)</f>
        <v>0</v>
      </c>
      <c r="CR57" s="783">
        <f>IF('Incremental Repayments'!$R$22="Debt",IF(AND(CR$4&gt;=$D57,CR$4&lt;$D57+'Incremental Repayments'!$I$31),-PMT('Interest Rate'!$J$16,'Incremental Repayments'!$I$31,(HLOOKUP($D57,$E$4:$CZ$32,28,FALSE)*'Incremental Repayments'!$I$22)),0),0)</f>
        <v>0</v>
      </c>
      <c r="CS57" s="783">
        <f>IF('Incremental Repayments'!$R$22="Debt",IF(AND(CS$4&gt;=$D57,CS$4&lt;$D57+'Incremental Repayments'!$I$31),-PMT('Interest Rate'!$J$16,'Incremental Repayments'!$I$31,(HLOOKUP($D57,$E$4:$CZ$32,28,FALSE)*'Incremental Repayments'!$I$22)),0),0)</f>
        <v>0</v>
      </c>
      <c r="CT57" s="783">
        <f>IF('Incremental Repayments'!$R$22="Debt",IF(AND(CT$4&gt;=$D57,CT$4&lt;$D57+'Incremental Repayments'!$I$31),-PMT('Interest Rate'!$J$16,'Incremental Repayments'!$I$31,(HLOOKUP($D57,$E$4:$CZ$32,28,FALSE)*'Incremental Repayments'!$I$22)),0),0)</f>
        <v>0</v>
      </c>
      <c r="CU57" s="783">
        <f>IF('Incremental Repayments'!$R$22="Debt",IF(AND(CU$4&gt;=$D57,CU$4&lt;$D57+'Incremental Repayments'!$I$31),-PMT('Interest Rate'!$J$16,'Incremental Repayments'!$I$31,(HLOOKUP($D57,$E$4:$CZ$32,28,FALSE)*'Incremental Repayments'!$I$22)),0),0)</f>
        <v>0</v>
      </c>
      <c r="CV57" s="783">
        <f>IF('Incremental Repayments'!$R$22="Debt",IF(AND(CV$4&gt;=$D57,CV$4&lt;$D57+'Incremental Repayments'!$I$31),-PMT('Interest Rate'!$J$16,'Incremental Repayments'!$I$31,(HLOOKUP($D57,$E$4:$CZ$32,28,FALSE)*'Incremental Repayments'!$I$22)),0),0)</f>
        <v>0</v>
      </c>
      <c r="CW57" s="783">
        <f>IF('Incremental Repayments'!$R$22="Debt",IF(AND(CW$4&gt;=$D57,CW$4&lt;$D57+'Incremental Repayments'!$I$31),-PMT('Interest Rate'!$J$16,'Incremental Repayments'!$I$31,(HLOOKUP($D57,$E$4:$CZ$32,28,FALSE)*'Incremental Repayments'!$I$22)),0),0)</f>
        <v>0</v>
      </c>
      <c r="CX57" s="783">
        <f>IF('Incremental Repayments'!$R$22="Debt",IF(AND(CX$4&gt;=$D57,CX$4&lt;$D57+'Incremental Repayments'!$I$31),-PMT('Interest Rate'!$J$16,'Incremental Repayments'!$I$31,(HLOOKUP($D57,$E$4:$CZ$32,28,FALSE)*'Incremental Repayments'!$I$22)),0),0)</f>
        <v>0</v>
      </c>
      <c r="CY57" s="783">
        <f>IF('Incremental Repayments'!$R$22="Debt",IF(AND(CY$4&gt;=$D57,CY$4&lt;$D57+'Incremental Repayments'!$I$31),-PMT('Interest Rate'!$J$16,'Incremental Repayments'!$I$31,(HLOOKUP($D57,$E$4:$CZ$32,28,FALSE)*'Incremental Repayments'!$I$22)),0),0)</f>
        <v>0</v>
      </c>
      <c r="CZ57" s="783">
        <f>IF('Incremental Repayments'!$R$22="Debt",IF(AND(CZ$4&gt;=$D57,CZ$4&lt;$D57+'Incremental Repayments'!$I$31),-PMT('Interest Rate'!$J$16,'Incremental Repayments'!$I$31,(HLOOKUP($D57,$E$4:$CZ$32,28,FALSE)*'Incremental Repayments'!$I$22)),0),0)</f>
        <v>0</v>
      </c>
    </row>
    <row r="58" spans="1:104" x14ac:dyDescent="0.25">
      <c r="B58" s="480" t="str">
        <f>CONCATENATE("Series ",D58,"A Bonds (at ",'Interest Rate'!$J$16*100,"% Interest)")</f>
        <v>Series 2036A Bonds (at 4.5% Interest)</v>
      </c>
      <c r="C58" s="480"/>
      <c r="D58" s="492">
        <f t="shared" si="47"/>
        <v>2036</v>
      </c>
      <c r="E58" s="783">
        <f>IF('Incremental Repayments'!$R$22="Debt",IF(AND(E$4&gt;=$D58,E$4&lt;$D58+'Incremental Repayments'!$I$31),-PMT('Interest Rate'!$J$16,'Incremental Repayments'!$I$31,(HLOOKUP($D58,$E$4:$CZ$32,28,FALSE)*'Incremental Repayments'!$I$22)),0),0)</f>
        <v>0</v>
      </c>
      <c r="F58" s="783">
        <f>IF('Incremental Repayments'!$R$22="Debt",IF(AND(F$4&gt;=$D58,F$4&lt;$D58+'Incremental Repayments'!$I$31),-PMT('Interest Rate'!$J$16,'Incremental Repayments'!$I$31,(HLOOKUP($D58,$E$4:$CZ$32,28,FALSE)*'Incremental Repayments'!$I$22)),0),0)</f>
        <v>0</v>
      </c>
      <c r="G58" s="783">
        <f>IF('Incremental Repayments'!$R$22="Debt",IF(AND(G$4&gt;=$D58,G$4&lt;$D58+'Incremental Repayments'!$I$31),-PMT('Interest Rate'!$J$16,'Incremental Repayments'!$I$31,(HLOOKUP($D58,$E$4:$CZ$32,28,FALSE)*'Incremental Repayments'!$I$22)),0),0)</f>
        <v>0</v>
      </c>
      <c r="H58" s="783">
        <f>IF('Incremental Repayments'!$R$22="Debt",IF(AND(H$4&gt;=$D58,H$4&lt;$D58+'Incremental Repayments'!$I$31),-PMT('Interest Rate'!$J$16,'Incremental Repayments'!$I$31,(HLOOKUP($D58,$E$4:$CZ$32,28,FALSE)*'Incremental Repayments'!$I$22)),0),0)</f>
        <v>0</v>
      </c>
      <c r="I58" s="783">
        <f>IF('Incremental Repayments'!$R$22="Debt",IF(AND(I$4&gt;=$D58,I$4&lt;$D58+'Incremental Repayments'!$I$31),-PMT('Interest Rate'!$J$16,'Incremental Repayments'!$I$31,(HLOOKUP($D58,$E$4:$CZ$32,28,FALSE)*'Incremental Repayments'!$I$22)),0),0)</f>
        <v>0</v>
      </c>
      <c r="J58" s="783">
        <f>IF('Incremental Repayments'!$R$22="Debt",IF(AND(J$4&gt;=$D58,J$4&lt;$D58+'Incremental Repayments'!$I$31),-PMT('Interest Rate'!$J$16,'Incremental Repayments'!$I$31,(HLOOKUP($D58,$E$4:$CZ$32,28,FALSE)*'Incremental Repayments'!$I$22)),0),0)</f>
        <v>0</v>
      </c>
      <c r="K58" s="783">
        <f>IF('Incremental Repayments'!$R$22="Debt",IF(AND(K$4&gt;=$D58,K$4&lt;$D58+'Incremental Repayments'!$I$31),-PMT('Interest Rate'!$J$16,'Incremental Repayments'!$I$31,(HLOOKUP($D58,$E$4:$CZ$32,28,FALSE)*'Incremental Repayments'!$I$22)),0),0)</f>
        <v>0</v>
      </c>
      <c r="L58" s="783">
        <f>IF('Incremental Repayments'!$R$22="Debt",IF(AND(L$4&gt;=$D58,L$4&lt;$D58+'Incremental Repayments'!$I$31),-PMT('Interest Rate'!$J$16,'Incremental Repayments'!$I$31,(HLOOKUP($D58,$E$4:$CZ$32,28,FALSE)*'Incremental Repayments'!$I$22)),0),0)</f>
        <v>0</v>
      </c>
      <c r="M58" s="783">
        <f>IF('Incremental Repayments'!$R$22="Debt",IF(AND(M$4&gt;=$D58,M$4&lt;$D58+'Incremental Repayments'!$I$31),-PMT('Interest Rate'!$J$16,'Incremental Repayments'!$I$31,(HLOOKUP($D58,$E$4:$CZ$32,28,FALSE)*'Incremental Repayments'!$I$22)),0),0)</f>
        <v>0</v>
      </c>
      <c r="N58" s="783">
        <f>IF('Incremental Repayments'!$R$22="Debt",IF(AND(N$4&gt;=$D58,N$4&lt;$D58+'Incremental Repayments'!$I$31),-PMT('Interest Rate'!$J$16,'Incremental Repayments'!$I$31,(HLOOKUP($D58,$E$4:$CZ$32,28,FALSE)*'Incremental Repayments'!$I$22)),0),0)</f>
        <v>0</v>
      </c>
      <c r="O58" s="783">
        <f>IF('Incremental Repayments'!$R$22="Debt",IF(AND(O$4&gt;=$D58,O$4&lt;$D58+'Incremental Repayments'!$I$31),-PMT('Interest Rate'!$J$16,'Incremental Repayments'!$I$31,(HLOOKUP($D58,$E$4:$CZ$32,28,FALSE)*'Incremental Repayments'!$I$22)),0),0)</f>
        <v>0</v>
      </c>
      <c r="P58" s="783">
        <f>IF('Incremental Repayments'!$R$22="Debt",IF(AND(P$4&gt;=$D58,P$4&lt;$D58+'Incremental Repayments'!$I$31),-PMT('Interest Rate'!$J$16,'Incremental Repayments'!$I$31,(HLOOKUP($D58,$E$4:$CZ$32,28,FALSE)*'Incremental Repayments'!$I$22)),0),0)</f>
        <v>0</v>
      </c>
      <c r="Q58" s="783">
        <f>IF('Incremental Repayments'!$R$22="Debt",IF(AND(Q$4&gt;=$D58,Q$4&lt;$D58+'Incremental Repayments'!$I$31),-PMT('Interest Rate'!$J$16,'Incremental Repayments'!$I$31,(HLOOKUP($D58,$E$4:$CZ$32,28,FALSE)*'Incremental Repayments'!$I$22)),0),0)</f>
        <v>0</v>
      </c>
      <c r="R58" s="783">
        <f>IF('Incremental Repayments'!$R$22="Debt",IF(AND(R$4&gt;=$D58,R$4&lt;$D58+'Incremental Repayments'!$I$31),-PMT('Interest Rate'!$J$16,'Incremental Repayments'!$I$31,(HLOOKUP($D58,$E$4:$CZ$32,28,FALSE)*'Incremental Repayments'!$I$22)),0),0)</f>
        <v>0</v>
      </c>
      <c r="S58" s="783">
        <f>IF('Incremental Repayments'!$R$22="Debt",IF(AND(S$4&gt;=$D58,S$4&lt;$D58+'Incremental Repayments'!$I$31),-PMT('Interest Rate'!$J$16,'Incremental Repayments'!$I$31,(HLOOKUP($D58,$E$4:$CZ$32,28,FALSE)*'Incremental Repayments'!$I$22)),0),0)</f>
        <v>0</v>
      </c>
      <c r="T58" s="783">
        <f>IF('Incremental Repayments'!$R$22="Debt",IF(AND(T$4&gt;=$D58,T$4&lt;$D58+'Incremental Repayments'!$I$31),-PMT('Interest Rate'!$J$16,'Incremental Repayments'!$I$31,(HLOOKUP($D58,$E$4:$CZ$32,28,FALSE)*'Incremental Repayments'!$I$22)),0),0)</f>
        <v>0</v>
      </c>
      <c r="U58" s="783">
        <f>IF('Incremental Repayments'!$R$22="Debt",IF(AND(U$4&gt;=$D58,U$4&lt;$D58+'Incremental Repayments'!$I$31),-PMT('Interest Rate'!$J$16,'Incremental Repayments'!$I$31,(HLOOKUP($D58,$E$4:$CZ$32,28,FALSE)*'Incremental Repayments'!$I$22)),0),0)</f>
        <v>0</v>
      </c>
      <c r="V58" s="783">
        <f>IF('Incremental Repayments'!$R$22="Debt",IF(AND(V$4&gt;=$D58,V$4&lt;$D58+'Incremental Repayments'!$I$31),-PMT('Interest Rate'!$J$16,'Incremental Repayments'!$I$31,(HLOOKUP($D58,$E$4:$CZ$32,28,FALSE)*'Incremental Repayments'!$I$22)),0),0)</f>
        <v>0</v>
      </c>
      <c r="W58" s="783">
        <f>IF('Incremental Repayments'!$R$22="Debt",IF(AND(W$4&gt;=$D58,W$4&lt;$D58+'Incremental Repayments'!$I$31),-PMT('Interest Rate'!$J$16,'Incremental Repayments'!$I$31,(HLOOKUP($D58,$E$4:$CZ$32,28,FALSE)*'Incremental Repayments'!$I$22)),0),0)</f>
        <v>0</v>
      </c>
      <c r="X58" s="783">
        <f>IF('Incremental Repayments'!$R$22="Debt",IF(AND(X$4&gt;=$D58,X$4&lt;$D58+'Incremental Repayments'!$I$31),-PMT('Interest Rate'!$J$16,'Incremental Repayments'!$I$31,(HLOOKUP($D58,$E$4:$CZ$32,28,FALSE)*'Incremental Repayments'!$I$22)),0),0)</f>
        <v>0</v>
      </c>
      <c r="Y58" s="783">
        <f>IF('Incremental Repayments'!$R$22="Debt",IF(AND(Y$4&gt;=$D58,Y$4&lt;$D58+'Incremental Repayments'!$I$31),-PMT('Interest Rate'!$J$16,'Incremental Repayments'!$I$31,(HLOOKUP($D58,$E$4:$CZ$32,28,FALSE)*'Incremental Repayments'!$I$22)),0),0)</f>
        <v>0</v>
      </c>
      <c r="Z58" s="783">
        <f>IF('Incremental Repayments'!$R$22="Debt",IF(AND(Z$4&gt;=$D58,Z$4&lt;$D58+'Incremental Repayments'!$I$31),-PMT('Interest Rate'!$J$16,'Incremental Repayments'!$I$31,(HLOOKUP($D58,$E$4:$CZ$32,28,FALSE)*'Incremental Repayments'!$I$22)),0),0)</f>
        <v>0</v>
      </c>
      <c r="AA58" s="783">
        <f>IF('Incremental Repayments'!$R$22="Debt",IF(AND(AA$4&gt;=$D58,AA$4&lt;$D58+'Incremental Repayments'!$I$31),-PMT('Interest Rate'!$J$16,'Incremental Repayments'!$I$31,(HLOOKUP($D58,$E$4:$CZ$32,28,FALSE)*'Incremental Repayments'!$I$22)),0),0)</f>
        <v>6478136.9661668027</v>
      </c>
      <c r="AB58" s="783">
        <f>IF('Incremental Repayments'!$R$22="Debt",IF(AND(AB$4&gt;=$D58,AB$4&lt;$D58+'Incremental Repayments'!$I$31),-PMT('Interest Rate'!$J$16,'Incremental Repayments'!$I$31,(HLOOKUP($D58,$E$4:$CZ$32,28,FALSE)*'Incremental Repayments'!$I$22)),0),0)</f>
        <v>6478136.9661668027</v>
      </c>
      <c r="AC58" s="783">
        <f>IF('Incremental Repayments'!$R$22="Debt",IF(AND(AC$4&gt;=$D58,AC$4&lt;$D58+'Incremental Repayments'!$I$31),-PMT('Interest Rate'!$J$16,'Incremental Repayments'!$I$31,(HLOOKUP($D58,$E$4:$CZ$32,28,FALSE)*'Incremental Repayments'!$I$22)),0),0)</f>
        <v>6478136.9661668027</v>
      </c>
      <c r="AD58" s="783">
        <f>IF('Incremental Repayments'!$R$22="Debt",IF(AND(AD$4&gt;=$D58,AD$4&lt;$D58+'Incremental Repayments'!$I$31),-PMT('Interest Rate'!$J$16,'Incremental Repayments'!$I$31,(HLOOKUP($D58,$E$4:$CZ$32,28,FALSE)*'Incremental Repayments'!$I$22)),0),0)</f>
        <v>6478136.9661668027</v>
      </c>
      <c r="AE58" s="783">
        <f>IF('Incremental Repayments'!$R$22="Debt",IF(AND(AE$4&gt;=$D58,AE$4&lt;$D58+'Incremental Repayments'!$I$31),-PMT('Interest Rate'!$J$16,'Incremental Repayments'!$I$31,(HLOOKUP($D58,$E$4:$CZ$32,28,FALSE)*'Incremental Repayments'!$I$22)),0),0)</f>
        <v>6478136.9661668027</v>
      </c>
      <c r="AF58" s="783">
        <f>IF('Incremental Repayments'!$R$22="Debt",IF(AND(AF$4&gt;=$D58,AF$4&lt;$D58+'Incremental Repayments'!$I$31),-PMT('Interest Rate'!$J$16,'Incremental Repayments'!$I$31,(HLOOKUP($D58,$E$4:$CZ$32,28,FALSE)*'Incremental Repayments'!$I$22)),0),0)</f>
        <v>6478136.9661668027</v>
      </c>
      <c r="AG58" s="783">
        <f>IF('Incremental Repayments'!$R$22="Debt",IF(AND(AG$4&gt;=$D58,AG$4&lt;$D58+'Incremental Repayments'!$I$31),-PMT('Interest Rate'!$J$16,'Incremental Repayments'!$I$31,(HLOOKUP($D58,$E$4:$CZ$32,28,FALSE)*'Incremental Repayments'!$I$22)),0),0)</f>
        <v>6478136.9661668027</v>
      </c>
      <c r="AH58" s="783">
        <f>IF('Incremental Repayments'!$R$22="Debt",IF(AND(AH$4&gt;=$D58,AH$4&lt;$D58+'Incremental Repayments'!$I$31),-PMT('Interest Rate'!$J$16,'Incremental Repayments'!$I$31,(HLOOKUP($D58,$E$4:$CZ$32,28,FALSE)*'Incremental Repayments'!$I$22)),0),0)</f>
        <v>6478136.9661668027</v>
      </c>
      <c r="AI58" s="783">
        <f>IF('Incremental Repayments'!$R$22="Debt",IF(AND(AI$4&gt;=$D58,AI$4&lt;$D58+'Incremental Repayments'!$I$31),-PMT('Interest Rate'!$J$16,'Incremental Repayments'!$I$31,(HLOOKUP($D58,$E$4:$CZ$32,28,FALSE)*'Incremental Repayments'!$I$22)),0),0)</f>
        <v>6478136.9661668027</v>
      </c>
      <c r="AJ58" s="783">
        <f>IF('Incremental Repayments'!$R$22="Debt",IF(AND(AJ$4&gt;=$D58,AJ$4&lt;$D58+'Incremental Repayments'!$I$31),-PMT('Interest Rate'!$J$16,'Incremental Repayments'!$I$31,(HLOOKUP($D58,$E$4:$CZ$32,28,FALSE)*'Incremental Repayments'!$I$22)),0),0)</f>
        <v>6478136.9661668027</v>
      </c>
      <c r="AK58" s="783">
        <f>IF('Incremental Repayments'!$R$22="Debt",IF(AND(AK$4&gt;=$D58,AK$4&lt;$D58+'Incremental Repayments'!$I$31),-PMT('Interest Rate'!$J$16,'Incremental Repayments'!$I$31,(HLOOKUP($D58,$E$4:$CZ$32,28,FALSE)*'Incremental Repayments'!$I$22)),0),0)</f>
        <v>6478136.9661668027</v>
      </c>
      <c r="AL58" s="783">
        <f>IF('Incremental Repayments'!$R$22="Debt",IF(AND(AL$4&gt;=$D58,AL$4&lt;$D58+'Incremental Repayments'!$I$31),-PMT('Interest Rate'!$J$16,'Incremental Repayments'!$I$31,(HLOOKUP($D58,$E$4:$CZ$32,28,FALSE)*'Incremental Repayments'!$I$22)),0),0)</f>
        <v>6478136.9661668027</v>
      </c>
      <c r="AM58" s="783">
        <f>IF('Incremental Repayments'!$R$22="Debt",IF(AND(AM$4&gt;=$D58,AM$4&lt;$D58+'Incremental Repayments'!$I$31),-PMT('Interest Rate'!$J$16,'Incremental Repayments'!$I$31,(HLOOKUP($D58,$E$4:$CZ$32,28,FALSE)*'Incremental Repayments'!$I$22)),0),0)</f>
        <v>6478136.9661668027</v>
      </c>
      <c r="AN58" s="783">
        <f>IF('Incremental Repayments'!$R$22="Debt",IF(AND(AN$4&gt;=$D58,AN$4&lt;$D58+'Incremental Repayments'!$I$31),-PMT('Interest Rate'!$J$16,'Incremental Repayments'!$I$31,(HLOOKUP($D58,$E$4:$CZ$32,28,FALSE)*'Incremental Repayments'!$I$22)),0),0)</f>
        <v>6478136.9661668027</v>
      </c>
      <c r="AO58" s="783">
        <f>IF('Incremental Repayments'!$R$22="Debt",IF(AND(AO$4&gt;=$D58,AO$4&lt;$D58+'Incremental Repayments'!$I$31),-PMT('Interest Rate'!$J$16,'Incremental Repayments'!$I$31,(HLOOKUP($D58,$E$4:$CZ$32,28,FALSE)*'Incremental Repayments'!$I$22)),0),0)</f>
        <v>6478136.9661668027</v>
      </c>
      <c r="AP58" s="783">
        <f>IF('Incremental Repayments'!$R$22="Debt",IF(AND(AP$4&gt;=$D58,AP$4&lt;$D58+'Incremental Repayments'!$I$31),-PMT('Interest Rate'!$J$16,'Incremental Repayments'!$I$31,(HLOOKUP($D58,$E$4:$CZ$32,28,FALSE)*'Incremental Repayments'!$I$22)),0),0)</f>
        <v>6478136.9661668027</v>
      </c>
      <c r="AQ58" s="783">
        <f>IF('Incremental Repayments'!$R$22="Debt",IF(AND(AQ$4&gt;=$D58,AQ$4&lt;$D58+'Incremental Repayments'!$I$31),-PMT('Interest Rate'!$J$16,'Incremental Repayments'!$I$31,(HLOOKUP($D58,$E$4:$CZ$32,28,FALSE)*'Incremental Repayments'!$I$22)),0),0)</f>
        <v>6478136.9661668027</v>
      </c>
      <c r="AR58" s="783">
        <f>IF('Incremental Repayments'!$R$22="Debt",IF(AND(AR$4&gt;=$D58,AR$4&lt;$D58+'Incremental Repayments'!$I$31),-PMT('Interest Rate'!$J$16,'Incremental Repayments'!$I$31,(HLOOKUP($D58,$E$4:$CZ$32,28,FALSE)*'Incremental Repayments'!$I$22)),0),0)</f>
        <v>6478136.9661668027</v>
      </c>
      <c r="AS58" s="783">
        <f>IF('Incremental Repayments'!$R$22="Debt",IF(AND(AS$4&gt;=$D58,AS$4&lt;$D58+'Incremental Repayments'!$I$31),-PMT('Interest Rate'!$J$16,'Incremental Repayments'!$I$31,(HLOOKUP($D58,$E$4:$CZ$32,28,FALSE)*'Incremental Repayments'!$I$22)),0),0)</f>
        <v>6478136.9661668027</v>
      </c>
      <c r="AT58" s="783">
        <f>IF('Incremental Repayments'!$R$22="Debt",IF(AND(AT$4&gt;=$D58,AT$4&lt;$D58+'Incremental Repayments'!$I$31),-PMT('Interest Rate'!$J$16,'Incremental Repayments'!$I$31,(HLOOKUP($D58,$E$4:$CZ$32,28,FALSE)*'Incremental Repayments'!$I$22)),0),0)</f>
        <v>6478136.9661668027</v>
      </c>
      <c r="AU58" s="783">
        <f>IF('Incremental Repayments'!$R$22="Debt",IF(AND(AU$4&gt;=$D58,AU$4&lt;$D58+'Incremental Repayments'!$I$31),-PMT('Interest Rate'!$J$16,'Incremental Repayments'!$I$31,(HLOOKUP($D58,$E$4:$CZ$32,28,FALSE)*'Incremental Repayments'!$I$22)),0),0)</f>
        <v>6478136.9661668027</v>
      </c>
      <c r="AV58" s="783">
        <f>IF('Incremental Repayments'!$R$22="Debt",IF(AND(AV$4&gt;=$D58,AV$4&lt;$D58+'Incremental Repayments'!$I$31),-PMT('Interest Rate'!$J$16,'Incremental Repayments'!$I$31,(HLOOKUP($D58,$E$4:$CZ$32,28,FALSE)*'Incremental Repayments'!$I$22)),0),0)</f>
        <v>6478136.9661668027</v>
      </c>
      <c r="AW58" s="783">
        <f>IF('Incremental Repayments'!$R$22="Debt",IF(AND(AW$4&gt;=$D58,AW$4&lt;$D58+'Incremental Repayments'!$I$31),-PMT('Interest Rate'!$J$16,'Incremental Repayments'!$I$31,(HLOOKUP($D58,$E$4:$CZ$32,28,FALSE)*'Incremental Repayments'!$I$22)),0),0)</f>
        <v>6478136.9661668027</v>
      </c>
      <c r="AX58" s="783">
        <f>IF('Incremental Repayments'!$R$22="Debt",IF(AND(AX$4&gt;=$D58,AX$4&lt;$D58+'Incremental Repayments'!$I$31),-PMT('Interest Rate'!$J$16,'Incremental Repayments'!$I$31,(HLOOKUP($D58,$E$4:$CZ$32,28,FALSE)*'Incremental Repayments'!$I$22)),0),0)</f>
        <v>6478136.9661668027</v>
      </c>
      <c r="AY58" s="783">
        <f>IF('Incremental Repayments'!$R$22="Debt",IF(AND(AY$4&gt;=$D58,AY$4&lt;$D58+'Incremental Repayments'!$I$31),-PMT('Interest Rate'!$J$16,'Incremental Repayments'!$I$31,(HLOOKUP($D58,$E$4:$CZ$32,28,FALSE)*'Incremental Repayments'!$I$22)),0),0)</f>
        <v>6478136.9661668027</v>
      </c>
      <c r="AZ58" s="783">
        <f>IF('Incremental Repayments'!$R$22="Debt",IF(AND(AZ$4&gt;=$D58,AZ$4&lt;$D58+'Incremental Repayments'!$I$31),-PMT('Interest Rate'!$J$16,'Incremental Repayments'!$I$31,(HLOOKUP($D58,$E$4:$CZ$32,28,FALSE)*'Incremental Repayments'!$I$22)),0),0)</f>
        <v>6478136.9661668027</v>
      </c>
      <c r="BA58" s="783">
        <f>IF('Incremental Repayments'!$R$22="Debt",IF(AND(BA$4&gt;=$D58,BA$4&lt;$D58+'Incremental Repayments'!$I$31),-PMT('Interest Rate'!$J$16,'Incremental Repayments'!$I$31,(HLOOKUP($D58,$E$4:$CZ$32,28,FALSE)*'Incremental Repayments'!$I$22)),0),0)</f>
        <v>6478136.9661668027</v>
      </c>
      <c r="BB58" s="783">
        <f>IF('Incremental Repayments'!$R$22="Debt",IF(AND(BB$4&gt;=$D58,BB$4&lt;$D58+'Incremental Repayments'!$I$31),-PMT('Interest Rate'!$J$16,'Incremental Repayments'!$I$31,(HLOOKUP($D58,$E$4:$CZ$32,28,FALSE)*'Incremental Repayments'!$I$22)),0),0)</f>
        <v>6478136.9661668027</v>
      </c>
      <c r="BC58" s="783">
        <f>IF('Incremental Repayments'!$R$22="Debt",IF(AND(BC$4&gt;=$D58,BC$4&lt;$D58+'Incremental Repayments'!$I$31),-PMT('Interest Rate'!$J$16,'Incremental Repayments'!$I$31,(HLOOKUP($D58,$E$4:$CZ$32,28,FALSE)*'Incremental Repayments'!$I$22)),0),0)</f>
        <v>6478136.9661668027</v>
      </c>
      <c r="BD58" s="783">
        <f>IF('Incremental Repayments'!$R$22="Debt",IF(AND(BD$4&gt;=$D58,BD$4&lt;$D58+'Incremental Repayments'!$I$31),-PMT('Interest Rate'!$J$16,'Incremental Repayments'!$I$31,(HLOOKUP($D58,$E$4:$CZ$32,28,FALSE)*'Incremental Repayments'!$I$22)),0),0)</f>
        <v>6478136.9661668027</v>
      </c>
      <c r="BE58" s="783">
        <f>IF('Incremental Repayments'!$R$22="Debt",IF(AND(BE$4&gt;=$D58,BE$4&lt;$D58+'Incremental Repayments'!$I$31),-PMT('Interest Rate'!$J$16,'Incremental Repayments'!$I$31,(HLOOKUP($D58,$E$4:$CZ$32,28,FALSE)*'Incremental Repayments'!$I$22)),0),0)</f>
        <v>0</v>
      </c>
      <c r="BF58" s="783">
        <f>IF('Incremental Repayments'!$R$22="Debt",IF(AND(BF$4&gt;=$D58,BF$4&lt;$D58+'Incremental Repayments'!$I$31),-PMT('Interest Rate'!$J$16,'Incremental Repayments'!$I$31,(HLOOKUP($D58,$E$4:$CZ$32,28,FALSE)*'Incremental Repayments'!$I$22)),0),0)</f>
        <v>0</v>
      </c>
      <c r="BG58" s="783">
        <f>IF('Incremental Repayments'!$R$22="Debt",IF(AND(BG$4&gt;=$D58,BG$4&lt;$D58+'Incremental Repayments'!$I$31),-PMT('Interest Rate'!$J$16,'Incremental Repayments'!$I$31,(HLOOKUP($D58,$E$4:$CZ$32,28,FALSE)*'Incremental Repayments'!$I$22)),0),0)</f>
        <v>0</v>
      </c>
      <c r="BH58" s="783">
        <f>IF('Incremental Repayments'!$R$22="Debt",IF(AND(BH$4&gt;=$D58,BH$4&lt;$D58+'Incremental Repayments'!$I$31),-PMT('Interest Rate'!$J$16,'Incremental Repayments'!$I$31,(HLOOKUP($D58,$E$4:$CZ$32,28,FALSE)*'Incremental Repayments'!$I$22)),0),0)</f>
        <v>0</v>
      </c>
      <c r="BI58" s="783">
        <f>IF('Incremental Repayments'!$R$22="Debt",IF(AND(BI$4&gt;=$D58,BI$4&lt;$D58+'Incremental Repayments'!$I$31),-PMT('Interest Rate'!$J$16,'Incremental Repayments'!$I$31,(HLOOKUP($D58,$E$4:$CZ$32,28,FALSE)*'Incremental Repayments'!$I$22)),0),0)</f>
        <v>0</v>
      </c>
      <c r="BJ58" s="783">
        <f>IF('Incremental Repayments'!$R$22="Debt",IF(AND(BJ$4&gt;=$D58,BJ$4&lt;$D58+'Incremental Repayments'!$I$31),-PMT('Interest Rate'!$J$16,'Incremental Repayments'!$I$31,(HLOOKUP($D58,$E$4:$CZ$32,28,FALSE)*'Incremental Repayments'!$I$22)),0),0)</f>
        <v>0</v>
      </c>
      <c r="BK58" s="783">
        <f>IF('Incremental Repayments'!$R$22="Debt",IF(AND(BK$4&gt;=$D58,BK$4&lt;$D58+'Incremental Repayments'!$I$31),-PMT('Interest Rate'!$J$16,'Incremental Repayments'!$I$31,(HLOOKUP($D58,$E$4:$CZ$32,28,FALSE)*'Incremental Repayments'!$I$22)),0),0)</f>
        <v>0</v>
      </c>
      <c r="BL58" s="783">
        <f>IF('Incremental Repayments'!$R$22="Debt",IF(AND(BL$4&gt;=$D58,BL$4&lt;$D58+'Incremental Repayments'!$I$31),-PMT('Interest Rate'!$J$16,'Incremental Repayments'!$I$31,(HLOOKUP($D58,$E$4:$CZ$32,28,FALSE)*'Incremental Repayments'!$I$22)),0),0)</f>
        <v>0</v>
      </c>
      <c r="BM58" s="783">
        <f>IF('Incremental Repayments'!$R$22="Debt",IF(AND(BM$4&gt;=$D58,BM$4&lt;$D58+'Incremental Repayments'!$I$31),-PMT('Interest Rate'!$J$16,'Incremental Repayments'!$I$31,(HLOOKUP($D58,$E$4:$CZ$32,28,FALSE)*'Incremental Repayments'!$I$22)),0),0)</f>
        <v>0</v>
      </c>
      <c r="BN58" s="783">
        <f>IF('Incremental Repayments'!$R$22="Debt",IF(AND(BN$4&gt;=$D58,BN$4&lt;$D58+'Incremental Repayments'!$I$31),-PMT('Interest Rate'!$J$16,'Incremental Repayments'!$I$31,(HLOOKUP($D58,$E$4:$CZ$32,28,FALSE)*'Incremental Repayments'!$I$22)),0),0)</f>
        <v>0</v>
      </c>
      <c r="BO58" s="783">
        <f>IF('Incremental Repayments'!$R$22="Debt",IF(AND(BO$4&gt;=$D58,BO$4&lt;$D58+'Incremental Repayments'!$I$31),-PMT('Interest Rate'!$J$16,'Incremental Repayments'!$I$31,(HLOOKUP($D58,$E$4:$CZ$32,28,FALSE)*'Incremental Repayments'!$I$22)),0),0)</f>
        <v>0</v>
      </c>
      <c r="BP58" s="783">
        <f>IF('Incremental Repayments'!$R$22="Debt",IF(AND(BP$4&gt;=$D58,BP$4&lt;$D58+'Incremental Repayments'!$I$31),-PMT('Interest Rate'!$J$16,'Incremental Repayments'!$I$31,(HLOOKUP($D58,$E$4:$CZ$32,28,FALSE)*'Incremental Repayments'!$I$22)),0),0)</f>
        <v>0</v>
      </c>
      <c r="BQ58" s="783">
        <f>IF('Incremental Repayments'!$R$22="Debt",IF(AND(BQ$4&gt;=$D58,BQ$4&lt;$D58+'Incremental Repayments'!$I$31),-PMT('Interest Rate'!$J$16,'Incremental Repayments'!$I$31,(HLOOKUP($D58,$E$4:$CZ$32,28,FALSE)*'Incremental Repayments'!$I$22)),0),0)</f>
        <v>0</v>
      </c>
      <c r="BR58" s="783">
        <f>IF('Incremental Repayments'!$R$22="Debt",IF(AND(BR$4&gt;=$D58,BR$4&lt;$D58+'Incremental Repayments'!$I$31),-PMT('Interest Rate'!$J$16,'Incremental Repayments'!$I$31,(HLOOKUP($D58,$E$4:$CZ$32,28,FALSE)*'Incremental Repayments'!$I$22)),0),0)</f>
        <v>0</v>
      </c>
      <c r="BS58" s="783">
        <f>IF('Incremental Repayments'!$R$22="Debt",IF(AND(BS$4&gt;=$D58,BS$4&lt;$D58+'Incremental Repayments'!$I$31),-PMT('Interest Rate'!$J$16,'Incremental Repayments'!$I$31,(HLOOKUP($D58,$E$4:$CZ$32,28,FALSE)*'Incremental Repayments'!$I$22)),0),0)</f>
        <v>0</v>
      </c>
      <c r="BT58" s="783">
        <f>IF('Incremental Repayments'!$R$22="Debt",IF(AND(BT$4&gt;=$D58,BT$4&lt;$D58+'Incremental Repayments'!$I$31),-PMT('Interest Rate'!$J$16,'Incremental Repayments'!$I$31,(HLOOKUP($D58,$E$4:$CZ$32,28,FALSE)*'Incremental Repayments'!$I$22)),0),0)</f>
        <v>0</v>
      </c>
      <c r="BU58" s="783">
        <f>IF('Incremental Repayments'!$R$22="Debt",IF(AND(BU$4&gt;=$D58,BU$4&lt;$D58+'Incremental Repayments'!$I$31),-PMT('Interest Rate'!$J$16,'Incremental Repayments'!$I$31,(HLOOKUP($D58,$E$4:$CZ$32,28,FALSE)*'Incremental Repayments'!$I$22)),0),0)</f>
        <v>0</v>
      </c>
      <c r="BV58" s="783">
        <f>IF('Incremental Repayments'!$R$22="Debt",IF(AND(BV$4&gt;=$D58,BV$4&lt;$D58+'Incremental Repayments'!$I$31),-PMT('Interest Rate'!$J$16,'Incremental Repayments'!$I$31,(HLOOKUP($D58,$E$4:$CZ$32,28,FALSE)*'Incremental Repayments'!$I$22)),0),0)</f>
        <v>0</v>
      </c>
      <c r="BW58" s="783">
        <f>IF('Incremental Repayments'!$R$22="Debt",IF(AND(BW$4&gt;=$D58,BW$4&lt;$D58+'Incremental Repayments'!$I$31),-PMT('Interest Rate'!$J$16,'Incremental Repayments'!$I$31,(HLOOKUP($D58,$E$4:$CZ$32,28,FALSE)*'Incremental Repayments'!$I$22)),0),0)</f>
        <v>0</v>
      </c>
      <c r="BX58" s="783">
        <f>IF('Incremental Repayments'!$R$22="Debt",IF(AND(BX$4&gt;=$D58,BX$4&lt;$D58+'Incremental Repayments'!$I$31),-PMT('Interest Rate'!$J$16,'Incremental Repayments'!$I$31,(HLOOKUP($D58,$E$4:$CZ$32,28,FALSE)*'Incremental Repayments'!$I$22)),0),0)</f>
        <v>0</v>
      </c>
      <c r="BY58" s="783">
        <f>IF('Incremental Repayments'!$R$22="Debt",IF(AND(BY$4&gt;=$D58,BY$4&lt;$D58+'Incremental Repayments'!$I$31),-PMT('Interest Rate'!$J$16,'Incremental Repayments'!$I$31,(HLOOKUP($D58,$E$4:$CZ$32,28,FALSE)*'Incremental Repayments'!$I$22)),0),0)</f>
        <v>0</v>
      </c>
      <c r="BZ58" s="783">
        <f>IF('Incremental Repayments'!$R$22="Debt",IF(AND(BZ$4&gt;=$D58,BZ$4&lt;$D58+'Incremental Repayments'!$I$31),-PMT('Interest Rate'!$J$16,'Incremental Repayments'!$I$31,(HLOOKUP($D58,$E$4:$CZ$32,28,FALSE)*'Incremental Repayments'!$I$22)),0),0)</f>
        <v>0</v>
      </c>
      <c r="CA58" s="783">
        <f>IF('Incremental Repayments'!$R$22="Debt",IF(AND(CA$4&gt;=$D58,CA$4&lt;$D58+'Incremental Repayments'!$I$31),-PMT('Interest Rate'!$J$16,'Incremental Repayments'!$I$31,(HLOOKUP($D58,$E$4:$CZ$32,28,FALSE)*'Incremental Repayments'!$I$22)),0),0)</f>
        <v>0</v>
      </c>
      <c r="CB58" s="783">
        <f>IF('Incremental Repayments'!$R$22="Debt",IF(AND(CB$4&gt;=$D58,CB$4&lt;$D58+'Incremental Repayments'!$I$31),-PMT('Interest Rate'!$J$16,'Incremental Repayments'!$I$31,(HLOOKUP($D58,$E$4:$CZ$32,28,FALSE)*'Incremental Repayments'!$I$22)),0),0)</f>
        <v>0</v>
      </c>
      <c r="CC58" s="783">
        <f>IF('Incremental Repayments'!$R$22="Debt",IF(AND(CC$4&gt;=$D58,CC$4&lt;$D58+'Incremental Repayments'!$I$31),-PMT('Interest Rate'!$J$16,'Incremental Repayments'!$I$31,(HLOOKUP($D58,$E$4:$CZ$32,28,FALSE)*'Incremental Repayments'!$I$22)),0),0)</f>
        <v>0</v>
      </c>
      <c r="CD58" s="783">
        <f>IF('Incremental Repayments'!$R$22="Debt",IF(AND(CD$4&gt;=$D58,CD$4&lt;$D58+'Incremental Repayments'!$I$31),-PMT('Interest Rate'!$J$16,'Incremental Repayments'!$I$31,(HLOOKUP($D58,$E$4:$CZ$32,28,FALSE)*'Incremental Repayments'!$I$22)),0),0)</f>
        <v>0</v>
      </c>
      <c r="CE58" s="783">
        <f>IF('Incremental Repayments'!$R$22="Debt",IF(AND(CE$4&gt;=$D58,CE$4&lt;$D58+'Incremental Repayments'!$I$31),-PMT('Interest Rate'!$J$16,'Incremental Repayments'!$I$31,(HLOOKUP($D58,$E$4:$CZ$32,28,FALSE)*'Incremental Repayments'!$I$22)),0),0)</f>
        <v>0</v>
      </c>
      <c r="CF58" s="783">
        <f>IF('Incremental Repayments'!$R$22="Debt",IF(AND(CF$4&gt;=$D58,CF$4&lt;$D58+'Incremental Repayments'!$I$31),-PMT('Interest Rate'!$J$16,'Incremental Repayments'!$I$31,(HLOOKUP($D58,$E$4:$CZ$32,28,FALSE)*'Incremental Repayments'!$I$22)),0),0)</f>
        <v>0</v>
      </c>
      <c r="CG58" s="783">
        <f>IF('Incremental Repayments'!$R$22="Debt",IF(AND(CG$4&gt;=$D58,CG$4&lt;$D58+'Incremental Repayments'!$I$31),-PMT('Interest Rate'!$J$16,'Incremental Repayments'!$I$31,(HLOOKUP($D58,$E$4:$CZ$32,28,FALSE)*'Incremental Repayments'!$I$22)),0),0)</f>
        <v>0</v>
      </c>
      <c r="CH58" s="783">
        <f>IF('Incremental Repayments'!$R$22="Debt",IF(AND(CH$4&gt;=$D58,CH$4&lt;$D58+'Incremental Repayments'!$I$31),-PMT('Interest Rate'!$J$16,'Incremental Repayments'!$I$31,(HLOOKUP($D58,$E$4:$CZ$32,28,FALSE)*'Incremental Repayments'!$I$22)),0),0)</f>
        <v>0</v>
      </c>
      <c r="CI58" s="783">
        <f>IF('Incremental Repayments'!$R$22="Debt",IF(AND(CI$4&gt;=$D58,CI$4&lt;$D58+'Incremental Repayments'!$I$31),-PMT('Interest Rate'!$J$16,'Incremental Repayments'!$I$31,(HLOOKUP($D58,$E$4:$CZ$32,28,FALSE)*'Incremental Repayments'!$I$22)),0),0)</f>
        <v>0</v>
      </c>
      <c r="CJ58" s="783">
        <f>IF('Incremental Repayments'!$R$22="Debt",IF(AND(CJ$4&gt;=$D58,CJ$4&lt;$D58+'Incremental Repayments'!$I$31),-PMT('Interest Rate'!$J$16,'Incremental Repayments'!$I$31,(HLOOKUP($D58,$E$4:$CZ$32,28,FALSE)*'Incremental Repayments'!$I$22)),0),0)</f>
        <v>0</v>
      </c>
      <c r="CK58" s="783">
        <f>IF('Incremental Repayments'!$R$22="Debt",IF(AND(CK$4&gt;=$D58,CK$4&lt;$D58+'Incremental Repayments'!$I$31),-PMT('Interest Rate'!$J$16,'Incremental Repayments'!$I$31,(HLOOKUP($D58,$E$4:$CZ$32,28,FALSE)*'Incremental Repayments'!$I$22)),0),0)</f>
        <v>0</v>
      </c>
      <c r="CL58" s="783">
        <f>IF('Incremental Repayments'!$R$22="Debt",IF(AND(CL$4&gt;=$D58,CL$4&lt;$D58+'Incremental Repayments'!$I$31),-PMT('Interest Rate'!$J$16,'Incremental Repayments'!$I$31,(HLOOKUP($D58,$E$4:$CZ$32,28,FALSE)*'Incremental Repayments'!$I$22)),0),0)</f>
        <v>0</v>
      </c>
      <c r="CM58" s="783">
        <f>IF('Incremental Repayments'!$R$22="Debt",IF(AND(CM$4&gt;=$D58,CM$4&lt;$D58+'Incremental Repayments'!$I$31),-PMT('Interest Rate'!$J$16,'Incremental Repayments'!$I$31,(HLOOKUP($D58,$E$4:$CZ$32,28,FALSE)*'Incremental Repayments'!$I$22)),0),0)</f>
        <v>0</v>
      </c>
      <c r="CN58" s="783">
        <f>IF('Incremental Repayments'!$R$22="Debt",IF(AND(CN$4&gt;=$D58,CN$4&lt;$D58+'Incremental Repayments'!$I$31),-PMT('Interest Rate'!$J$16,'Incremental Repayments'!$I$31,(HLOOKUP($D58,$E$4:$CZ$32,28,FALSE)*'Incremental Repayments'!$I$22)),0),0)</f>
        <v>0</v>
      </c>
      <c r="CO58" s="783">
        <f>IF('Incremental Repayments'!$R$22="Debt",IF(AND(CO$4&gt;=$D58,CO$4&lt;$D58+'Incremental Repayments'!$I$31),-PMT('Interest Rate'!$J$16,'Incremental Repayments'!$I$31,(HLOOKUP($D58,$E$4:$CZ$32,28,FALSE)*'Incremental Repayments'!$I$22)),0),0)</f>
        <v>0</v>
      </c>
      <c r="CP58" s="783">
        <f>IF('Incremental Repayments'!$R$22="Debt",IF(AND(CP$4&gt;=$D58,CP$4&lt;$D58+'Incremental Repayments'!$I$31),-PMT('Interest Rate'!$J$16,'Incremental Repayments'!$I$31,(HLOOKUP($D58,$E$4:$CZ$32,28,FALSE)*'Incremental Repayments'!$I$22)),0),0)</f>
        <v>0</v>
      </c>
      <c r="CQ58" s="783">
        <f>IF('Incremental Repayments'!$R$22="Debt",IF(AND(CQ$4&gt;=$D58,CQ$4&lt;$D58+'Incremental Repayments'!$I$31),-PMT('Interest Rate'!$J$16,'Incremental Repayments'!$I$31,(HLOOKUP($D58,$E$4:$CZ$32,28,FALSE)*'Incremental Repayments'!$I$22)),0),0)</f>
        <v>0</v>
      </c>
      <c r="CR58" s="783">
        <f>IF('Incremental Repayments'!$R$22="Debt",IF(AND(CR$4&gt;=$D58,CR$4&lt;$D58+'Incremental Repayments'!$I$31),-PMT('Interest Rate'!$J$16,'Incremental Repayments'!$I$31,(HLOOKUP($D58,$E$4:$CZ$32,28,FALSE)*'Incremental Repayments'!$I$22)),0),0)</f>
        <v>0</v>
      </c>
      <c r="CS58" s="783">
        <f>IF('Incremental Repayments'!$R$22="Debt",IF(AND(CS$4&gt;=$D58,CS$4&lt;$D58+'Incremental Repayments'!$I$31),-PMT('Interest Rate'!$J$16,'Incremental Repayments'!$I$31,(HLOOKUP($D58,$E$4:$CZ$32,28,FALSE)*'Incremental Repayments'!$I$22)),0),0)</f>
        <v>0</v>
      </c>
      <c r="CT58" s="783">
        <f>IF('Incremental Repayments'!$R$22="Debt",IF(AND(CT$4&gt;=$D58,CT$4&lt;$D58+'Incremental Repayments'!$I$31),-PMT('Interest Rate'!$J$16,'Incremental Repayments'!$I$31,(HLOOKUP($D58,$E$4:$CZ$32,28,FALSE)*'Incremental Repayments'!$I$22)),0),0)</f>
        <v>0</v>
      </c>
      <c r="CU58" s="783">
        <f>IF('Incremental Repayments'!$R$22="Debt",IF(AND(CU$4&gt;=$D58,CU$4&lt;$D58+'Incremental Repayments'!$I$31),-PMT('Interest Rate'!$J$16,'Incremental Repayments'!$I$31,(HLOOKUP($D58,$E$4:$CZ$32,28,FALSE)*'Incremental Repayments'!$I$22)),0),0)</f>
        <v>0</v>
      </c>
      <c r="CV58" s="783">
        <f>IF('Incremental Repayments'!$R$22="Debt",IF(AND(CV$4&gt;=$D58,CV$4&lt;$D58+'Incremental Repayments'!$I$31),-PMT('Interest Rate'!$J$16,'Incremental Repayments'!$I$31,(HLOOKUP($D58,$E$4:$CZ$32,28,FALSE)*'Incremental Repayments'!$I$22)),0),0)</f>
        <v>0</v>
      </c>
      <c r="CW58" s="783">
        <f>IF('Incremental Repayments'!$R$22="Debt",IF(AND(CW$4&gt;=$D58,CW$4&lt;$D58+'Incremental Repayments'!$I$31),-PMT('Interest Rate'!$J$16,'Incremental Repayments'!$I$31,(HLOOKUP($D58,$E$4:$CZ$32,28,FALSE)*'Incremental Repayments'!$I$22)),0),0)</f>
        <v>0</v>
      </c>
      <c r="CX58" s="783">
        <f>IF('Incremental Repayments'!$R$22="Debt",IF(AND(CX$4&gt;=$D58,CX$4&lt;$D58+'Incremental Repayments'!$I$31),-PMT('Interest Rate'!$J$16,'Incremental Repayments'!$I$31,(HLOOKUP($D58,$E$4:$CZ$32,28,FALSE)*'Incremental Repayments'!$I$22)),0),0)</f>
        <v>0</v>
      </c>
      <c r="CY58" s="783">
        <f>IF('Incremental Repayments'!$R$22="Debt",IF(AND(CY$4&gt;=$D58,CY$4&lt;$D58+'Incremental Repayments'!$I$31),-PMT('Interest Rate'!$J$16,'Incremental Repayments'!$I$31,(HLOOKUP($D58,$E$4:$CZ$32,28,FALSE)*'Incremental Repayments'!$I$22)),0),0)</f>
        <v>0</v>
      </c>
      <c r="CZ58" s="783">
        <f>IF('Incremental Repayments'!$R$22="Debt",IF(AND(CZ$4&gt;=$D58,CZ$4&lt;$D58+'Incremental Repayments'!$I$31),-PMT('Interest Rate'!$J$16,'Incremental Repayments'!$I$31,(HLOOKUP($D58,$E$4:$CZ$32,28,FALSE)*'Incremental Repayments'!$I$22)),0),0)</f>
        <v>0</v>
      </c>
    </row>
    <row r="59" spans="1:104" x14ac:dyDescent="0.25">
      <c r="B59" s="480" t="str">
        <f>CONCATENATE("Series ",D59,"A Bonds (at ",'Interest Rate'!$J$16*100,"% Interest)")</f>
        <v>Series 2037A Bonds (at 4.5% Interest)</v>
      </c>
      <c r="C59" s="480"/>
      <c r="D59" s="492">
        <f t="shared" si="47"/>
        <v>2037</v>
      </c>
      <c r="E59" s="783">
        <f>IF('Incremental Repayments'!$R$22="Debt",IF(AND(E$4&gt;=$D59,E$4&lt;$D59+'Incremental Repayments'!$I$31),-PMT('Interest Rate'!$J$16,'Incremental Repayments'!$I$31,(HLOOKUP($D59,$E$4:$CZ$32,28,FALSE)*'Incremental Repayments'!$I$22)),0),0)</f>
        <v>0</v>
      </c>
      <c r="F59" s="783">
        <f>IF('Incremental Repayments'!$R$22="Debt",IF(AND(F$4&gt;=$D59,F$4&lt;$D59+'Incremental Repayments'!$I$31),-PMT('Interest Rate'!$J$16,'Incremental Repayments'!$I$31,(HLOOKUP($D59,$E$4:$CZ$32,28,FALSE)*'Incremental Repayments'!$I$22)),0),0)</f>
        <v>0</v>
      </c>
      <c r="G59" s="783">
        <f>IF('Incremental Repayments'!$R$22="Debt",IF(AND(G$4&gt;=$D59,G$4&lt;$D59+'Incremental Repayments'!$I$31),-PMT('Interest Rate'!$J$16,'Incremental Repayments'!$I$31,(HLOOKUP($D59,$E$4:$CZ$32,28,FALSE)*'Incremental Repayments'!$I$22)),0),0)</f>
        <v>0</v>
      </c>
      <c r="H59" s="783">
        <f>IF('Incremental Repayments'!$R$22="Debt",IF(AND(H$4&gt;=$D59,H$4&lt;$D59+'Incremental Repayments'!$I$31),-PMT('Interest Rate'!$J$16,'Incremental Repayments'!$I$31,(HLOOKUP($D59,$E$4:$CZ$32,28,FALSE)*'Incremental Repayments'!$I$22)),0),0)</f>
        <v>0</v>
      </c>
      <c r="I59" s="783">
        <f>IF('Incremental Repayments'!$R$22="Debt",IF(AND(I$4&gt;=$D59,I$4&lt;$D59+'Incremental Repayments'!$I$31),-PMT('Interest Rate'!$J$16,'Incremental Repayments'!$I$31,(HLOOKUP($D59,$E$4:$CZ$32,28,FALSE)*'Incremental Repayments'!$I$22)),0),0)</f>
        <v>0</v>
      </c>
      <c r="J59" s="783">
        <f>IF('Incremental Repayments'!$R$22="Debt",IF(AND(J$4&gt;=$D59,J$4&lt;$D59+'Incremental Repayments'!$I$31),-PMT('Interest Rate'!$J$16,'Incremental Repayments'!$I$31,(HLOOKUP($D59,$E$4:$CZ$32,28,FALSE)*'Incremental Repayments'!$I$22)),0),0)</f>
        <v>0</v>
      </c>
      <c r="K59" s="783">
        <f>IF('Incremental Repayments'!$R$22="Debt",IF(AND(K$4&gt;=$D59,K$4&lt;$D59+'Incremental Repayments'!$I$31),-PMT('Interest Rate'!$J$16,'Incremental Repayments'!$I$31,(HLOOKUP($D59,$E$4:$CZ$32,28,FALSE)*'Incremental Repayments'!$I$22)),0),0)</f>
        <v>0</v>
      </c>
      <c r="L59" s="783">
        <f>IF('Incremental Repayments'!$R$22="Debt",IF(AND(L$4&gt;=$D59,L$4&lt;$D59+'Incremental Repayments'!$I$31),-PMT('Interest Rate'!$J$16,'Incremental Repayments'!$I$31,(HLOOKUP($D59,$E$4:$CZ$32,28,FALSE)*'Incremental Repayments'!$I$22)),0),0)</f>
        <v>0</v>
      </c>
      <c r="M59" s="783">
        <f>IF('Incremental Repayments'!$R$22="Debt",IF(AND(M$4&gt;=$D59,M$4&lt;$D59+'Incremental Repayments'!$I$31),-PMT('Interest Rate'!$J$16,'Incremental Repayments'!$I$31,(HLOOKUP($D59,$E$4:$CZ$32,28,FALSE)*'Incremental Repayments'!$I$22)),0),0)</f>
        <v>0</v>
      </c>
      <c r="N59" s="783">
        <f>IF('Incremental Repayments'!$R$22="Debt",IF(AND(N$4&gt;=$D59,N$4&lt;$D59+'Incremental Repayments'!$I$31),-PMT('Interest Rate'!$J$16,'Incremental Repayments'!$I$31,(HLOOKUP($D59,$E$4:$CZ$32,28,FALSE)*'Incremental Repayments'!$I$22)),0),0)</f>
        <v>0</v>
      </c>
      <c r="O59" s="783">
        <f>IF('Incremental Repayments'!$R$22="Debt",IF(AND(O$4&gt;=$D59,O$4&lt;$D59+'Incremental Repayments'!$I$31),-PMT('Interest Rate'!$J$16,'Incremental Repayments'!$I$31,(HLOOKUP($D59,$E$4:$CZ$32,28,FALSE)*'Incremental Repayments'!$I$22)),0),0)</f>
        <v>0</v>
      </c>
      <c r="P59" s="783">
        <f>IF('Incremental Repayments'!$R$22="Debt",IF(AND(P$4&gt;=$D59,P$4&lt;$D59+'Incremental Repayments'!$I$31),-PMT('Interest Rate'!$J$16,'Incremental Repayments'!$I$31,(HLOOKUP($D59,$E$4:$CZ$32,28,FALSE)*'Incremental Repayments'!$I$22)),0),0)</f>
        <v>0</v>
      </c>
      <c r="Q59" s="783">
        <f>IF('Incremental Repayments'!$R$22="Debt",IF(AND(Q$4&gt;=$D59,Q$4&lt;$D59+'Incremental Repayments'!$I$31),-PMT('Interest Rate'!$J$16,'Incremental Repayments'!$I$31,(HLOOKUP($D59,$E$4:$CZ$32,28,FALSE)*'Incremental Repayments'!$I$22)),0),0)</f>
        <v>0</v>
      </c>
      <c r="R59" s="783">
        <f>IF('Incremental Repayments'!$R$22="Debt",IF(AND(R$4&gt;=$D59,R$4&lt;$D59+'Incremental Repayments'!$I$31),-PMT('Interest Rate'!$J$16,'Incremental Repayments'!$I$31,(HLOOKUP($D59,$E$4:$CZ$32,28,FALSE)*'Incremental Repayments'!$I$22)),0),0)</f>
        <v>0</v>
      </c>
      <c r="S59" s="783">
        <f>IF('Incremental Repayments'!$R$22="Debt",IF(AND(S$4&gt;=$D59,S$4&lt;$D59+'Incremental Repayments'!$I$31),-PMT('Interest Rate'!$J$16,'Incremental Repayments'!$I$31,(HLOOKUP($D59,$E$4:$CZ$32,28,FALSE)*'Incremental Repayments'!$I$22)),0),0)</f>
        <v>0</v>
      </c>
      <c r="T59" s="783">
        <f>IF('Incremental Repayments'!$R$22="Debt",IF(AND(T$4&gt;=$D59,T$4&lt;$D59+'Incremental Repayments'!$I$31),-PMT('Interest Rate'!$J$16,'Incremental Repayments'!$I$31,(HLOOKUP($D59,$E$4:$CZ$32,28,FALSE)*'Incremental Repayments'!$I$22)),0),0)</f>
        <v>0</v>
      </c>
      <c r="U59" s="783">
        <f>IF('Incremental Repayments'!$R$22="Debt",IF(AND(U$4&gt;=$D59,U$4&lt;$D59+'Incremental Repayments'!$I$31),-PMT('Interest Rate'!$J$16,'Incremental Repayments'!$I$31,(HLOOKUP($D59,$E$4:$CZ$32,28,FALSE)*'Incremental Repayments'!$I$22)),0),0)</f>
        <v>0</v>
      </c>
      <c r="V59" s="783">
        <f>IF('Incremental Repayments'!$R$22="Debt",IF(AND(V$4&gt;=$D59,V$4&lt;$D59+'Incremental Repayments'!$I$31),-PMT('Interest Rate'!$J$16,'Incremental Repayments'!$I$31,(HLOOKUP($D59,$E$4:$CZ$32,28,FALSE)*'Incremental Repayments'!$I$22)),0),0)</f>
        <v>0</v>
      </c>
      <c r="W59" s="783">
        <f>IF('Incremental Repayments'!$R$22="Debt",IF(AND(W$4&gt;=$D59,W$4&lt;$D59+'Incremental Repayments'!$I$31),-PMT('Interest Rate'!$J$16,'Incremental Repayments'!$I$31,(HLOOKUP($D59,$E$4:$CZ$32,28,FALSE)*'Incremental Repayments'!$I$22)),0),0)</f>
        <v>0</v>
      </c>
      <c r="X59" s="783">
        <f>IF('Incremental Repayments'!$R$22="Debt",IF(AND(X$4&gt;=$D59,X$4&lt;$D59+'Incremental Repayments'!$I$31),-PMT('Interest Rate'!$J$16,'Incremental Repayments'!$I$31,(HLOOKUP($D59,$E$4:$CZ$32,28,FALSE)*'Incremental Repayments'!$I$22)),0),0)</f>
        <v>0</v>
      </c>
      <c r="Y59" s="783">
        <f>IF('Incremental Repayments'!$R$22="Debt",IF(AND(Y$4&gt;=$D59,Y$4&lt;$D59+'Incremental Repayments'!$I$31),-PMT('Interest Rate'!$J$16,'Incremental Repayments'!$I$31,(HLOOKUP($D59,$E$4:$CZ$32,28,FALSE)*'Incremental Repayments'!$I$22)),0),0)</f>
        <v>0</v>
      </c>
      <c r="Z59" s="783">
        <f>IF('Incremental Repayments'!$R$22="Debt",IF(AND(Z$4&gt;=$D59,Z$4&lt;$D59+'Incremental Repayments'!$I$31),-PMT('Interest Rate'!$J$16,'Incremental Repayments'!$I$31,(HLOOKUP($D59,$E$4:$CZ$32,28,FALSE)*'Incremental Repayments'!$I$22)),0),0)</f>
        <v>0</v>
      </c>
      <c r="AA59" s="783">
        <f>IF('Incremental Repayments'!$R$22="Debt",IF(AND(AA$4&gt;=$D59,AA$4&lt;$D59+'Incremental Repayments'!$I$31),-PMT('Interest Rate'!$J$16,'Incremental Repayments'!$I$31,(HLOOKUP($D59,$E$4:$CZ$32,28,FALSE)*'Incremental Repayments'!$I$22)),0),0)</f>
        <v>0</v>
      </c>
      <c r="AB59" s="783">
        <f>IF('Incremental Repayments'!$R$22="Debt",IF(AND(AB$4&gt;=$D59,AB$4&lt;$D59+'Incremental Repayments'!$I$31),-PMT('Interest Rate'!$J$16,'Incremental Repayments'!$I$31,(HLOOKUP($D59,$E$4:$CZ$32,28,FALSE)*'Incremental Repayments'!$I$22)),0),0)</f>
        <v>7488613.0569840074</v>
      </c>
      <c r="AC59" s="783">
        <f>IF('Incremental Repayments'!$R$22="Debt",IF(AND(AC$4&gt;=$D59,AC$4&lt;$D59+'Incremental Repayments'!$I$31),-PMT('Interest Rate'!$J$16,'Incremental Repayments'!$I$31,(HLOOKUP($D59,$E$4:$CZ$32,28,FALSE)*'Incremental Repayments'!$I$22)),0),0)</f>
        <v>7488613.0569840074</v>
      </c>
      <c r="AD59" s="783">
        <f>IF('Incremental Repayments'!$R$22="Debt",IF(AND(AD$4&gt;=$D59,AD$4&lt;$D59+'Incremental Repayments'!$I$31),-PMT('Interest Rate'!$J$16,'Incremental Repayments'!$I$31,(HLOOKUP($D59,$E$4:$CZ$32,28,FALSE)*'Incremental Repayments'!$I$22)),0),0)</f>
        <v>7488613.0569840074</v>
      </c>
      <c r="AE59" s="783">
        <f>IF('Incremental Repayments'!$R$22="Debt",IF(AND(AE$4&gt;=$D59,AE$4&lt;$D59+'Incremental Repayments'!$I$31),-PMT('Interest Rate'!$J$16,'Incremental Repayments'!$I$31,(HLOOKUP($D59,$E$4:$CZ$32,28,FALSE)*'Incremental Repayments'!$I$22)),0),0)</f>
        <v>7488613.0569840074</v>
      </c>
      <c r="AF59" s="783">
        <f>IF('Incremental Repayments'!$R$22="Debt",IF(AND(AF$4&gt;=$D59,AF$4&lt;$D59+'Incremental Repayments'!$I$31),-PMT('Interest Rate'!$J$16,'Incremental Repayments'!$I$31,(HLOOKUP($D59,$E$4:$CZ$32,28,FALSE)*'Incremental Repayments'!$I$22)),0),0)</f>
        <v>7488613.0569840074</v>
      </c>
      <c r="AG59" s="783">
        <f>IF('Incremental Repayments'!$R$22="Debt",IF(AND(AG$4&gt;=$D59,AG$4&lt;$D59+'Incremental Repayments'!$I$31),-PMT('Interest Rate'!$J$16,'Incremental Repayments'!$I$31,(HLOOKUP($D59,$E$4:$CZ$32,28,FALSE)*'Incremental Repayments'!$I$22)),0),0)</f>
        <v>7488613.0569840074</v>
      </c>
      <c r="AH59" s="783">
        <f>IF('Incremental Repayments'!$R$22="Debt",IF(AND(AH$4&gt;=$D59,AH$4&lt;$D59+'Incremental Repayments'!$I$31),-PMT('Interest Rate'!$J$16,'Incremental Repayments'!$I$31,(HLOOKUP($D59,$E$4:$CZ$32,28,FALSE)*'Incremental Repayments'!$I$22)),0),0)</f>
        <v>7488613.0569840074</v>
      </c>
      <c r="AI59" s="783">
        <f>IF('Incremental Repayments'!$R$22="Debt",IF(AND(AI$4&gt;=$D59,AI$4&lt;$D59+'Incremental Repayments'!$I$31),-PMT('Interest Rate'!$J$16,'Incremental Repayments'!$I$31,(HLOOKUP($D59,$E$4:$CZ$32,28,FALSE)*'Incremental Repayments'!$I$22)),0),0)</f>
        <v>7488613.0569840074</v>
      </c>
      <c r="AJ59" s="783">
        <f>IF('Incremental Repayments'!$R$22="Debt",IF(AND(AJ$4&gt;=$D59,AJ$4&lt;$D59+'Incremental Repayments'!$I$31),-PMT('Interest Rate'!$J$16,'Incremental Repayments'!$I$31,(HLOOKUP($D59,$E$4:$CZ$32,28,FALSE)*'Incremental Repayments'!$I$22)),0),0)</f>
        <v>7488613.0569840074</v>
      </c>
      <c r="AK59" s="783">
        <f>IF('Incremental Repayments'!$R$22="Debt",IF(AND(AK$4&gt;=$D59,AK$4&lt;$D59+'Incremental Repayments'!$I$31),-PMT('Interest Rate'!$J$16,'Incremental Repayments'!$I$31,(HLOOKUP($D59,$E$4:$CZ$32,28,FALSE)*'Incremental Repayments'!$I$22)),0),0)</f>
        <v>7488613.0569840074</v>
      </c>
      <c r="AL59" s="783">
        <f>IF('Incremental Repayments'!$R$22="Debt",IF(AND(AL$4&gt;=$D59,AL$4&lt;$D59+'Incremental Repayments'!$I$31),-PMT('Interest Rate'!$J$16,'Incremental Repayments'!$I$31,(HLOOKUP($D59,$E$4:$CZ$32,28,FALSE)*'Incremental Repayments'!$I$22)),0),0)</f>
        <v>7488613.0569840074</v>
      </c>
      <c r="AM59" s="783">
        <f>IF('Incremental Repayments'!$R$22="Debt",IF(AND(AM$4&gt;=$D59,AM$4&lt;$D59+'Incremental Repayments'!$I$31),-PMT('Interest Rate'!$J$16,'Incremental Repayments'!$I$31,(HLOOKUP($D59,$E$4:$CZ$32,28,FALSE)*'Incremental Repayments'!$I$22)),0),0)</f>
        <v>7488613.0569840074</v>
      </c>
      <c r="AN59" s="783">
        <f>IF('Incremental Repayments'!$R$22="Debt",IF(AND(AN$4&gt;=$D59,AN$4&lt;$D59+'Incremental Repayments'!$I$31),-PMT('Interest Rate'!$J$16,'Incremental Repayments'!$I$31,(HLOOKUP($D59,$E$4:$CZ$32,28,FALSE)*'Incremental Repayments'!$I$22)),0),0)</f>
        <v>7488613.0569840074</v>
      </c>
      <c r="AO59" s="783">
        <f>IF('Incremental Repayments'!$R$22="Debt",IF(AND(AO$4&gt;=$D59,AO$4&lt;$D59+'Incremental Repayments'!$I$31),-PMT('Interest Rate'!$J$16,'Incremental Repayments'!$I$31,(HLOOKUP($D59,$E$4:$CZ$32,28,FALSE)*'Incremental Repayments'!$I$22)),0),0)</f>
        <v>7488613.0569840074</v>
      </c>
      <c r="AP59" s="783">
        <f>IF('Incremental Repayments'!$R$22="Debt",IF(AND(AP$4&gt;=$D59,AP$4&lt;$D59+'Incremental Repayments'!$I$31),-PMT('Interest Rate'!$J$16,'Incremental Repayments'!$I$31,(HLOOKUP($D59,$E$4:$CZ$32,28,FALSE)*'Incremental Repayments'!$I$22)),0),0)</f>
        <v>7488613.0569840074</v>
      </c>
      <c r="AQ59" s="783">
        <f>IF('Incremental Repayments'!$R$22="Debt",IF(AND(AQ$4&gt;=$D59,AQ$4&lt;$D59+'Incremental Repayments'!$I$31),-PMT('Interest Rate'!$J$16,'Incremental Repayments'!$I$31,(HLOOKUP($D59,$E$4:$CZ$32,28,FALSE)*'Incremental Repayments'!$I$22)),0),0)</f>
        <v>7488613.0569840074</v>
      </c>
      <c r="AR59" s="783">
        <f>IF('Incremental Repayments'!$R$22="Debt",IF(AND(AR$4&gt;=$D59,AR$4&lt;$D59+'Incremental Repayments'!$I$31),-PMT('Interest Rate'!$J$16,'Incremental Repayments'!$I$31,(HLOOKUP($D59,$E$4:$CZ$32,28,FALSE)*'Incremental Repayments'!$I$22)),0),0)</f>
        <v>7488613.0569840074</v>
      </c>
      <c r="AS59" s="783">
        <f>IF('Incremental Repayments'!$R$22="Debt",IF(AND(AS$4&gt;=$D59,AS$4&lt;$D59+'Incremental Repayments'!$I$31),-PMT('Interest Rate'!$J$16,'Incremental Repayments'!$I$31,(HLOOKUP($D59,$E$4:$CZ$32,28,FALSE)*'Incremental Repayments'!$I$22)),0),0)</f>
        <v>7488613.0569840074</v>
      </c>
      <c r="AT59" s="783">
        <f>IF('Incremental Repayments'!$R$22="Debt",IF(AND(AT$4&gt;=$D59,AT$4&lt;$D59+'Incremental Repayments'!$I$31),-PMT('Interest Rate'!$J$16,'Incremental Repayments'!$I$31,(HLOOKUP($D59,$E$4:$CZ$32,28,FALSE)*'Incremental Repayments'!$I$22)),0),0)</f>
        <v>7488613.0569840074</v>
      </c>
      <c r="AU59" s="783">
        <f>IF('Incremental Repayments'!$R$22="Debt",IF(AND(AU$4&gt;=$D59,AU$4&lt;$D59+'Incremental Repayments'!$I$31),-PMT('Interest Rate'!$J$16,'Incremental Repayments'!$I$31,(HLOOKUP($D59,$E$4:$CZ$32,28,FALSE)*'Incremental Repayments'!$I$22)),0),0)</f>
        <v>7488613.0569840074</v>
      </c>
      <c r="AV59" s="783">
        <f>IF('Incremental Repayments'!$R$22="Debt",IF(AND(AV$4&gt;=$D59,AV$4&lt;$D59+'Incremental Repayments'!$I$31),-PMT('Interest Rate'!$J$16,'Incremental Repayments'!$I$31,(HLOOKUP($D59,$E$4:$CZ$32,28,FALSE)*'Incremental Repayments'!$I$22)),0),0)</f>
        <v>7488613.0569840074</v>
      </c>
      <c r="AW59" s="783">
        <f>IF('Incremental Repayments'!$R$22="Debt",IF(AND(AW$4&gt;=$D59,AW$4&lt;$D59+'Incremental Repayments'!$I$31),-PMT('Interest Rate'!$J$16,'Incremental Repayments'!$I$31,(HLOOKUP($D59,$E$4:$CZ$32,28,FALSE)*'Incremental Repayments'!$I$22)),0),0)</f>
        <v>7488613.0569840074</v>
      </c>
      <c r="AX59" s="783">
        <f>IF('Incremental Repayments'!$R$22="Debt",IF(AND(AX$4&gt;=$D59,AX$4&lt;$D59+'Incremental Repayments'!$I$31),-PMT('Interest Rate'!$J$16,'Incremental Repayments'!$I$31,(HLOOKUP($D59,$E$4:$CZ$32,28,FALSE)*'Incremental Repayments'!$I$22)),0),0)</f>
        <v>7488613.0569840074</v>
      </c>
      <c r="AY59" s="783">
        <f>IF('Incremental Repayments'!$R$22="Debt",IF(AND(AY$4&gt;=$D59,AY$4&lt;$D59+'Incremental Repayments'!$I$31),-PMT('Interest Rate'!$J$16,'Incremental Repayments'!$I$31,(HLOOKUP($D59,$E$4:$CZ$32,28,FALSE)*'Incremental Repayments'!$I$22)),0),0)</f>
        <v>7488613.0569840074</v>
      </c>
      <c r="AZ59" s="783">
        <f>IF('Incremental Repayments'!$R$22="Debt",IF(AND(AZ$4&gt;=$D59,AZ$4&lt;$D59+'Incremental Repayments'!$I$31),-PMT('Interest Rate'!$J$16,'Incremental Repayments'!$I$31,(HLOOKUP($D59,$E$4:$CZ$32,28,FALSE)*'Incremental Repayments'!$I$22)),0),0)</f>
        <v>7488613.0569840074</v>
      </c>
      <c r="BA59" s="783">
        <f>IF('Incremental Repayments'!$R$22="Debt",IF(AND(BA$4&gt;=$D59,BA$4&lt;$D59+'Incremental Repayments'!$I$31),-PMT('Interest Rate'!$J$16,'Incremental Repayments'!$I$31,(HLOOKUP($D59,$E$4:$CZ$32,28,FALSE)*'Incremental Repayments'!$I$22)),0),0)</f>
        <v>7488613.0569840074</v>
      </c>
      <c r="BB59" s="783">
        <f>IF('Incremental Repayments'!$R$22="Debt",IF(AND(BB$4&gt;=$D59,BB$4&lt;$D59+'Incremental Repayments'!$I$31),-PMT('Interest Rate'!$J$16,'Incremental Repayments'!$I$31,(HLOOKUP($D59,$E$4:$CZ$32,28,FALSE)*'Incremental Repayments'!$I$22)),0),0)</f>
        <v>7488613.0569840074</v>
      </c>
      <c r="BC59" s="783">
        <f>IF('Incremental Repayments'!$R$22="Debt",IF(AND(BC$4&gt;=$D59,BC$4&lt;$D59+'Incremental Repayments'!$I$31),-PMT('Interest Rate'!$J$16,'Incremental Repayments'!$I$31,(HLOOKUP($D59,$E$4:$CZ$32,28,FALSE)*'Incremental Repayments'!$I$22)),0),0)</f>
        <v>7488613.0569840074</v>
      </c>
      <c r="BD59" s="783">
        <f>IF('Incremental Repayments'!$R$22="Debt",IF(AND(BD$4&gt;=$D59,BD$4&lt;$D59+'Incremental Repayments'!$I$31),-PMT('Interest Rate'!$J$16,'Incremental Repayments'!$I$31,(HLOOKUP($D59,$E$4:$CZ$32,28,FALSE)*'Incremental Repayments'!$I$22)),0),0)</f>
        <v>7488613.0569840074</v>
      </c>
      <c r="BE59" s="783">
        <f>IF('Incremental Repayments'!$R$22="Debt",IF(AND(BE$4&gt;=$D59,BE$4&lt;$D59+'Incremental Repayments'!$I$31),-PMT('Interest Rate'!$J$16,'Incremental Repayments'!$I$31,(HLOOKUP($D59,$E$4:$CZ$32,28,FALSE)*'Incremental Repayments'!$I$22)),0),0)</f>
        <v>7488613.0569840074</v>
      </c>
      <c r="BF59" s="783">
        <f>IF('Incremental Repayments'!$R$22="Debt",IF(AND(BF$4&gt;=$D59,BF$4&lt;$D59+'Incremental Repayments'!$I$31),-PMT('Interest Rate'!$J$16,'Incremental Repayments'!$I$31,(HLOOKUP($D59,$E$4:$CZ$32,28,FALSE)*'Incremental Repayments'!$I$22)),0),0)</f>
        <v>0</v>
      </c>
      <c r="BG59" s="783">
        <f>IF('Incremental Repayments'!$R$22="Debt",IF(AND(BG$4&gt;=$D59,BG$4&lt;$D59+'Incremental Repayments'!$I$31),-PMT('Interest Rate'!$J$16,'Incremental Repayments'!$I$31,(HLOOKUP($D59,$E$4:$CZ$32,28,FALSE)*'Incremental Repayments'!$I$22)),0),0)</f>
        <v>0</v>
      </c>
      <c r="BH59" s="783">
        <f>IF('Incremental Repayments'!$R$22="Debt",IF(AND(BH$4&gt;=$D59,BH$4&lt;$D59+'Incremental Repayments'!$I$31),-PMT('Interest Rate'!$J$16,'Incremental Repayments'!$I$31,(HLOOKUP($D59,$E$4:$CZ$32,28,FALSE)*'Incremental Repayments'!$I$22)),0),0)</f>
        <v>0</v>
      </c>
      <c r="BI59" s="783">
        <f>IF('Incremental Repayments'!$R$22="Debt",IF(AND(BI$4&gt;=$D59,BI$4&lt;$D59+'Incremental Repayments'!$I$31),-PMT('Interest Rate'!$J$16,'Incremental Repayments'!$I$31,(HLOOKUP($D59,$E$4:$CZ$32,28,FALSE)*'Incremental Repayments'!$I$22)),0),0)</f>
        <v>0</v>
      </c>
      <c r="BJ59" s="783">
        <f>IF('Incremental Repayments'!$R$22="Debt",IF(AND(BJ$4&gt;=$D59,BJ$4&lt;$D59+'Incremental Repayments'!$I$31),-PMT('Interest Rate'!$J$16,'Incremental Repayments'!$I$31,(HLOOKUP($D59,$E$4:$CZ$32,28,FALSE)*'Incremental Repayments'!$I$22)),0),0)</f>
        <v>0</v>
      </c>
      <c r="BK59" s="783">
        <f>IF('Incremental Repayments'!$R$22="Debt",IF(AND(BK$4&gt;=$D59,BK$4&lt;$D59+'Incremental Repayments'!$I$31),-PMT('Interest Rate'!$J$16,'Incremental Repayments'!$I$31,(HLOOKUP($D59,$E$4:$CZ$32,28,FALSE)*'Incremental Repayments'!$I$22)),0),0)</f>
        <v>0</v>
      </c>
      <c r="BL59" s="783">
        <f>IF('Incremental Repayments'!$R$22="Debt",IF(AND(BL$4&gt;=$D59,BL$4&lt;$D59+'Incremental Repayments'!$I$31),-PMT('Interest Rate'!$J$16,'Incremental Repayments'!$I$31,(HLOOKUP($D59,$E$4:$CZ$32,28,FALSE)*'Incremental Repayments'!$I$22)),0),0)</f>
        <v>0</v>
      </c>
      <c r="BM59" s="783">
        <f>IF('Incremental Repayments'!$R$22="Debt",IF(AND(BM$4&gt;=$D59,BM$4&lt;$D59+'Incremental Repayments'!$I$31),-PMT('Interest Rate'!$J$16,'Incremental Repayments'!$I$31,(HLOOKUP($D59,$E$4:$CZ$32,28,FALSE)*'Incremental Repayments'!$I$22)),0),0)</f>
        <v>0</v>
      </c>
      <c r="BN59" s="783">
        <f>IF('Incremental Repayments'!$R$22="Debt",IF(AND(BN$4&gt;=$D59,BN$4&lt;$D59+'Incremental Repayments'!$I$31),-PMT('Interest Rate'!$J$16,'Incremental Repayments'!$I$31,(HLOOKUP($D59,$E$4:$CZ$32,28,FALSE)*'Incremental Repayments'!$I$22)),0),0)</f>
        <v>0</v>
      </c>
      <c r="BO59" s="783">
        <f>IF('Incremental Repayments'!$R$22="Debt",IF(AND(BO$4&gt;=$D59,BO$4&lt;$D59+'Incremental Repayments'!$I$31),-PMT('Interest Rate'!$J$16,'Incremental Repayments'!$I$31,(HLOOKUP($D59,$E$4:$CZ$32,28,FALSE)*'Incremental Repayments'!$I$22)),0),0)</f>
        <v>0</v>
      </c>
      <c r="BP59" s="783">
        <f>IF('Incremental Repayments'!$R$22="Debt",IF(AND(BP$4&gt;=$D59,BP$4&lt;$D59+'Incremental Repayments'!$I$31),-PMT('Interest Rate'!$J$16,'Incremental Repayments'!$I$31,(HLOOKUP($D59,$E$4:$CZ$32,28,FALSE)*'Incremental Repayments'!$I$22)),0),0)</f>
        <v>0</v>
      </c>
      <c r="BQ59" s="783">
        <f>IF('Incremental Repayments'!$R$22="Debt",IF(AND(BQ$4&gt;=$D59,BQ$4&lt;$D59+'Incremental Repayments'!$I$31),-PMT('Interest Rate'!$J$16,'Incremental Repayments'!$I$31,(HLOOKUP($D59,$E$4:$CZ$32,28,FALSE)*'Incremental Repayments'!$I$22)),0),0)</f>
        <v>0</v>
      </c>
      <c r="BR59" s="783">
        <f>IF('Incremental Repayments'!$R$22="Debt",IF(AND(BR$4&gt;=$D59,BR$4&lt;$D59+'Incremental Repayments'!$I$31),-PMT('Interest Rate'!$J$16,'Incremental Repayments'!$I$31,(HLOOKUP($D59,$E$4:$CZ$32,28,FALSE)*'Incremental Repayments'!$I$22)),0),0)</f>
        <v>0</v>
      </c>
      <c r="BS59" s="783">
        <f>IF('Incremental Repayments'!$R$22="Debt",IF(AND(BS$4&gt;=$D59,BS$4&lt;$D59+'Incremental Repayments'!$I$31),-PMT('Interest Rate'!$J$16,'Incremental Repayments'!$I$31,(HLOOKUP($D59,$E$4:$CZ$32,28,FALSE)*'Incremental Repayments'!$I$22)),0),0)</f>
        <v>0</v>
      </c>
      <c r="BT59" s="783">
        <f>IF('Incremental Repayments'!$R$22="Debt",IF(AND(BT$4&gt;=$D59,BT$4&lt;$D59+'Incremental Repayments'!$I$31),-PMT('Interest Rate'!$J$16,'Incremental Repayments'!$I$31,(HLOOKUP($D59,$E$4:$CZ$32,28,FALSE)*'Incremental Repayments'!$I$22)),0),0)</f>
        <v>0</v>
      </c>
      <c r="BU59" s="783">
        <f>IF('Incremental Repayments'!$R$22="Debt",IF(AND(BU$4&gt;=$D59,BU$4&lt;$D59+'Incremental Repayments'!$I$31),-PMT('Interest Rate'!$J$16,'Incremental Repayments'!$I$31,(HLOOKUP($D59,$E$4:$CZ$32,28,FALSE)*'Incremental Repayments'!$I$22)),0),0)</f>
        <v>0</v>
      </c>
      <c r="BV59" s="783">
        <f>IF('Incremental Repayments'!$R$22="Debt",IF(AND(BV$4&gt;=$D59,BV$4&lt;$D59+'Incremental Repayments'!$I$31),-PMT('Interest Rate'!$J$16,'Incremental Repayments'!$I$31,(HLOOKUP($D59,$E$4:$CZ$32,28,FALSE)*'Incremental Repayments'!$I$22)),0),0)</f>
        <v>0</v>
      </c>
      <c r="BW59" s="783">
        <f>IF('Incremental Repayments'!$R$22="Debt",IF(AND(BW$4&gt;=$D59,BW$4&lt;$D59+'Incremental Repayments'!$I$31),-PMT('Interest Rate'!$J$16,'Incremental Repayments'!$I$31,(HLOOKUP($D59,$E$4:$CZ$32,28,FALSE)*'Incremental Repayments'!$I$22)),0),0)</f>
        <v>0</v>
      </c>
      <c r="BX59" s="783">
        <f>IF('Incremental Repayments'!$R$22="Debt",IF(AND(BX$4&gt;=$D59,BX$4&lt;$D59+'Incremental Repayments'!$I$31),-PMT('Interest Rate'!$J$16,'Incremental Repayments'!$I$31,(HLOOKUP($D59,$E$4:$CZ$32,28,FALSE)*'Incremental Repayments'!$I$22)),0),0)</f>
        <v>0</v>
      </c>
      <c r="BY59" s="783">
        <f>IF('Incremental Repayments'!$R$22="Debt",IF(AND(BY$4&gt;=$D59,BY$4&lt;$D59+'Incremental Repayments'!$I$31),-PMT('Interest Rate'!$J$16,'Incremental Repayments'!$I$31,(HLOOKUP($D59,$E$4:$CZ$32,28,FALSE)*'Incremental Repayments'!$I$22)),0),0)</f>
        <v>0</v>
      </c>
      <c r="BZ59" s="783">
        <f>IF('Incremental Repayments'!$R$22="Debt",IF(AND(BZ$4&gt;=$D59,BZ$4&lt;$D59+'Incremental Repayments'!$I$31),-PMT('Interest Rate'!$J$16,'Incremental Repayments'!$I$31,(HLOOKUP($D59,$E$4:$CZ$32,28,FALSE)*'Incremental Repayments'!$I$22)),0),0)</f>
        <v>0</v>
      </c>
      <c r="CA59" s="783">
        <f>IF('Incremental Repayments'!$R$22="Debt",IF(AND(CA$4&gt;=$D59,CA$4&lt;$D59+'Incremental Repayments'!$I$31),-PMT('Interest Rate'!$J$16,'Incremental Repayments'!$I$31,(HLOOKUP($D59,$E$4:$CZ$32,28,FALSE)*'Incremental Repayments'!$I$22)),0),0)</f>
        <v>0</v>
      </c>
      <c r="CB59" s="783">
        <f>IF('Incremental Repayments'!$R$22="Debt",IF(AND(CB$4&gt;=$D59,CB$4&lt;$D59+'Incremental Repayments'!$I$31),-PMT('Interest Rate'!$J$16,'Incremental Repayments'!$I$31,(HLOOKUP($D59,$E$4:$CZ$32,28,FALSE)*'Incremental Repayments'!$I$22)),0),0)</f>
        <v>0</v>
      </c>
      <c r="CC59" s="783">
        <f>IF('Incremental Repayments'!$R$22="Debt",IF(AND(CC$4&gt;=$D59,CC$4&lt;$D59+'Incremental Repayments'!$I$31),-PMT('Interest Rate'!$J$16,'Incremental Repayments'!$I$31,(HLOOKUP($D59,$E$4:$CZ$32,28,FALSE)*'Incremental Repayments'!$I$22)),0),0)</f>
        <v>0</v>
      </c>
      <c r="CD59" s="783">
        <f>IF('Incremental Repayments'!$R$22="Debt",IF(AND(CD$4&gt;=$D59,CD$4&lt;$D59+'Incremental Repayments'!$I$31),-PMT('Interest Rate'!$J$16,'Incremental Repayments'!$I$31,(HLOOKUP($D59,$E$4:$CZ$32,28,FALSE)*'Incremental Repayments'!$I$22)),0),0)</f>
        <v>0</v>
      </c>
      <c r="CE59" s="783">
        <f>IF('Incremental Repayments'!$R$22="Debt",IF(AND(CE$4&gt;=$D59,CE$4&lt;$D59+'Incremental Repayments'!$I$31),-PMT('Interest Rate'!$J$16,'Incremental Repayments'!$I$31,(HLOOKUP($D59,$E$4:$CZ$32,28,FALSE)*'Incremental Repayments'!$I$22)),0),0)</f>
        <v>0</v>
      </c>
      <c r="CF59" s="783">
        <f>IF('Incremental Repayments'!$R$22="Debt",IF(AND(CF$4&gt;=$D59,CF$4&lt;$D59+'Incremental Repayments'!$I$31),-PMT('Interest Rate'!$J$16,'Incremental Repayments'!$I$31,(HLOOKUP($D59,$E$4:$CZ$32,28,FALSE)*'Incremental Repayments'!$I$22)),0),0)</f>
        <v>0</v>
      </c>
      <c r="CG59" s="783">
        <f>IF('Incremental Repayments'!$R$22="Debt",IF(AND(CG$4&gt;=$D59,CG$4&lt;$D59+'Incremental Repayments'!$I$31),-PMT('Interest Rate'!$J$16,'Incremental Repayments'!$I$31,(HLOOKUP($D59,$E$4:$CZ$32,28,FALSE)*'Incremental Repayments'!$I$22)),0),0)</f>
        <v>0</v>
      </c>
      <c r="CH59" s="783">
        <f>IF('Incremental Repayments'!$R$22="Debt",IF(AND(CH$4&gt;=$D59,CH$4&lt;$D59+'Incremental Repayments'!$I$31),-PMT('Interest Rate'!$J$16,'Incremental Repayments'!$I$31,(HLOOKUP($D59,$E$4:$CZ$32,28,FALSE)*'Incremental Repayments'!$I$22)),0),0)</f>
        <v>0</v>
      </c>
      <c r="CI59" s="783">
        <f>IF('Incremental Repayments'!$R$22="Debt",IF(AND(CI$4&gt;=$D59,CI$4&lt;$D59+'Incremental Repayments'!$I$31),-PMT('Interest Rate'!$J$16,'Incremental Repayments'!$I$31,(HLOOKUP($D59,$E$4:$CZ$32,28,FALSE)*'Incremental Repayments'!$I$22)),0),0)</f>
        <v>0</v>
      </c>
      <c r="CJ59" s="783">
        <f>IF('Incremental Repayments'!$R$22="Debt",IF(AND(CJ$4&gt;=$D59,CJ$4&lt;$D59+'Incremental Repayments'!$I$31),-PMT('Interest Rate'!$J$16,'Incremental Repayments'!$I$31,(HLOOKUP($D59,$E$4:$CZ$32,28,FALSE)*'Incremental Repayments'!$I$22)),0),0)</f>
        <v>0</v>
      </c>
      <c r="CK59" s="783">
        <f>IF('Incremental Repayments'!$R$22="Debt",IF(AND(CK$4&gt;=$D59,CK$4&lt;$D59+'Incremental Repayments'!$I$31),-PMT('Interest Rate'!$J$16,'Incremental Repayments'!$I$31,(HLOOKUP($D59,$E$4:$CZ$32,28,FALSE)*'Incremental Repayments'!$I$22)),0),0)</f>
        <v>0</v>
      </c>
      <c r="CL59" s="783">
        <f>IF('Incremental Repayments'!$R$22="Debt",IF(AND(CL$4&gt;=$D59,CL$4&lt;$D59+'Incremental Repayments'!$I$31),-PMT('Interest Rate'!$J$16,'Incremental Repayments'!$I$31,(HLOOKUP($D59,$E$4:$CZ$32,28,FALSE)*'Incremental Repayments'!$I$22)),0),0)</f>
        <v>0</v>
      </c>
      <c r="CM59" s="783">
        <f>IF('Incremental Repayments'!$R$22="Debt",IF(AND(CM$4&gt;=$D59,CM$4&lt;$D59+'Incremental Repayments'!$I$31),-PMT('Interest Rate'!$J$16,'Incremental Repayments'!$I$31,(HLOOKUP($D59,$E$4:$CZ$32,28,FALSE)*'Incremental Repayments'!$I$22)),0),0)</f>
        <v>0</v>
      </c>
      <c r="CN59" s="783">
        <f>IF('Incremental Repayments'!$R$22="Debt",IF(AND(CN$4&gt;=$D59,CN$4&lt;$D59+'Incremental Repayments'!$I$31),-PMT('Interest Rate'!$J$16,'Incremental Repayments'!$I$31,(HLOOKUP($D59,$E$4:$CZ$32,28,FALSE)*'Incremental Repayments'!$I$22)),0),0)</f>
        <v>0</v>
      </c>
      <c r="CO59" s="783">
        <f>IF('Incremental Repayments'!$R$22="Debt",IF(AND(CO$4&gt;=$D59,CO$4&lt;$D59+'Incremental Repayments'!$I$31),-PMT('Interest Rate'!$J$16,'Incremental Repayments'!$I$31,(HLOOKUP($D59,$E$4:$CZ$32,28,FALSE)*'Incremental Repayments'!$I$22)),0),0)</f>
        <v>0</v>
      </c>
      <c r="CP59" s="783">
        <f>IF('Incremental Repayments'!$R$22="Debt",IF(AND(CP$4&gt;=$D59,CP$4&lt;$D59+'Incremental Repayments'!$I$31),-PMT('Interest Rate'!$J$16,'Incremental Repayments'!$I$31,(HLOOKUP($D59,$E$4:$CZ$32,28,FALSE)*'Incremental Repayments'!$I$22)),0),0)</f>
        <v>0</v>
      </c>
      <c r="CQ59" s="783">
        <f>IF('Incremental Repayments'!$R$22="Debt",IF(AND(CQ$4&gt;=$D59,CQ$4&lt;$D59+'Incremental Repayments'!$I$31),-PMT('Interest Rate'!$J$16,'Incremental Repayments'!$I$31,(HLOOKUP($D59,$E$4:$CZ$32,28,FALSE)*'Incremental Repayments'!$I$22)),0),0)</f>
        <v>0</v>
      </c>
      <c r="CR59" s="783">
        <f>IF('Incremental Repayments'!$R$22="Debt",IF(AND(CR$4&gt;=$D59,CR$4&lt;$D59+'Incremental Repayments'!$I$31),-PMT('Interest Rate'!$J$16,'Incremental Repayments'!$I$31,(HLOOKUP($D59,$E$4:$CZ$32,28,FALSE)*'Incremental Repayments'!$I$22)),0),0)</f>
        <v>0</v>
      </c>
      <c r="CS59" s="783">
        <f>IF('Incremental Repayments'!$R$22="Debt",IF(AND(CS$4&gt;=$D59,CS$4&lt;$D59+'Incremental Repayments'!$I$31),-PMT('Interest Rate'!$J$16,'Incremental Repayments'!$I$31,(HLOOKUP($D59,$E$4:$CZ$32,28,FALSE)*'Incremental Repayments'!$I$22)),0),0)</f>
        <v>0</v>
      </c>
      <c r="CT59" s="783">
        <f>IF('Incremental Repayments'!$R$22="Debt",IF(AND(CT$4&gt;=$D59,CT$4&lt;$D59+'Incremental Repayments'!$I$31),-PMT('Interest Rate'!$J$16,'Incremental Repayments'!$I$31,(HLOOKUP($D59,$E$4:$CZ$32,28,FALSE)*'Incremental Repayments'!$I$22)),0),0)</f>
        <v>0</v>
      </c>
      <c r="CU59" s="783">
        <f>IF('Incremental Repayments'!$R$22="Debt",IF(AND(CU$4&gt;=$D59,CU$4&lt;$D59+'Incremental Repayments'!$I$31),-PMT('Interest Rate'!$J$16,'Incremental Repayments'!$I$31,(HLOOKUP($D59,$E$4:$CZ$32,28,FALSE)*'Incremental Repayments'!$I$22)),0),0)</f>
        <v>0</v>
      </c>
      <c r="CV59" s="783">
        <f>IF('Incremental Repayments'!$R$22="Debt",IF(AND(CV$4&gt;=$D59,CV$4&lt;$D59+'Incremental Repayments'!$I$31),-PMT('Interest Rate'!$J$16,'Incremental Repayments'!$I$31,(HLOOKUP($D59,$E$4:$CZ$32,28,FALSE)*'Incremental Repayments'!$I$22)),0),0)</f>
        <v>0</v>
      </c>
      <c r="CW59" s="783">
        <f>IF('Incremental Repayments'!$R$22="Debt",IF(AND(CW$4&gt;=$D59,CW$4&lt;$D59+'Incremental Repayments'!$I$31),-PMT('Interest Rate'!$J$16,'Incremental Repayments'!$I$31,(HLOOKUP($D59,$E$4:$CZ$32,28,FALSE)*'Incremental Repayments'!$I$22)),0),0)</f>
        <v>0</v>
      </c>
      <c r="CX59" s="783">
        <f>IF('Incremental Repayments'!$R$22="Debt",IF(AND(CX$4&gt;=$D59,CX$4&lt;$D59+'Incremental Repayments'!$I$31),-PMT('Interest Rate'!$J$16,'Incremental Repayments'!$I$31,(HLOOKUP($D59,$E$4:$CZ$32,28,FALSE)*'Incremental Repayments'!$I$22)),0),0)</f>
        <v>0</v>
      </c>
      <c r="CY59" s="783">
        <f>IF('Incremental Repayments'!$R$22="Debt",IF(AND(CY$4&gt;=$D59,CY$4&lt;$D59+'Incremental Repayments'!$I$31),-PMT('Interest Rate'!$J$16,'Incremental Repayments'!$I$31,(HLOOKUP($D59,$E$4:$CZ$32,28,FALSE)*'Incremental Repayments'!$I$22)),0),0)</f>
        <v>0</v>
      </c>
      <c r="CZ59" s="783">
        <f>IF('Incremental Repayments'!$R$22="Debt",IF(AND(CZ$4&gt;=$D59,CZ$4&lt;$D59+'Incremental Repayments'!$I$31),-PMT('Interest Rate'!$J$16,'Incremental Repayments'!$I$31,(HLOOKUP($D59,$E$4:$CZ$32,28,FALSE)*'Incremental Repayments'!$I$22)),0),0)</f>
        <v>0</v>
      </c>
    </row>
    <row r="60" spans="1:104" x14ac:dyDescent="0.25">
      <c r="B60" s="480" t="str">
        <f>CONCATENATE("Series ",D60,"A Bonds (at ",'Interest Rate'!$J$16*100,"% Interest)")</f>
        <v>Series 2038A Bonds (at 4.5% Interest)</v>
      </c>
      <c r="C60" s="480"/>
      <c r="D60" s="492">
        <f t="shared" si="47"/>
        <v>2038</v>
      </c>
      <c r="E60" s="783">
        <f>IF('Incremental Repayments'!$R$22="Debt",IF(AND(E$4&gt;=$D60,E$4&lt;$D60+'Incremental Repayments'!$I$31),-PMT('Interest Rate'!$J$16,'Incremental Repayments'!$I$31,(HLOOKUP($D60,$E$4:$CZ$32,28,FALSE)*'Incremental Repayments'!$I$22)),0),0)</f>
        <v>0</v>
      </c>
      <c r="F60" s="783">
        <f>IF('Incremental Repayments'!$R$22="Debt",IF(AND(F$4&gt;=$D60,F$4&lt;$D60+'Incremental Repayments'!$I$31),-PMT('Interest Rate'!$J$16,'Incremental Repayments'!$I$31,(HLOOKUP($D60,$E$4:$CZ$32,28,FALSE)*'Incremental Repayments'!$I$22)),0),0)</f>
        <v>0</v>
      </c>
      <c r="G60" s="783">
        <f>IF('Incremental Repayments'!$R$22="Debt",IF(AND(G$4&gt;=$D60,G$4&lt;$D60+'Incremental Repayments'!$I$31),-PMT('Interest Rate'!$J$16,'Incremental Repayments'!$I$31,(HLOOKUP($D60,$E$4:$CZ$32,28,FALSE)*'Incremental Repayments'!$I$22)),0),0)</f>
        <v>0</v>
      </c>
      <c r="H60" s="783">
        <f>IF('Incremental Repayments'!$R$22="Debt",IF(AND(H$4&gt;=$D60,H$4&lt;$D60+'Incremental Repayments'!$I$31),-PMT('Interest Rate'!$J$16,'Incremental Repayments'!$I$31,(HLOOKUP($D60,$E$4:$CZ$32,28,FALSE)*'Incremental Repayments'!$I$22)),0),0)</f>
        <v>0</v>
      </c>
      <c r="I60" s="783">
        <f>IF('Incremental Repayments'!$R$22="Debt",IF(AND(I$4&gt;=$D60,I$4&lt;$D60+'Incremental Repayments'!$I$31),-PMT('Interest Rate'!$J$16,'Incremental Repayments'!$I$31,(HLOOKUP($D60,$E$4:$CZ$32,28,FALSE)*'Incremental Repayments'!$I$22)),0),0)</f>
        <v>0</v>
      </c>
      <c r="J60" s="783">
        <f>IF('Incremental Repayments'!$R$22="Debt",IF(AND(J$4&gt;=$D60,J$4&lt;$D60+'Incremental Repayments'!$I$31),-PMT('Interest Rate'!$J$16,'Incremental Repayments'!$I$31,(HLOOKUP($D60,$E$4:$CZ$32,28,FALSE)*'Incremental Repayments'!$I$22)),0),0)</f>
        <v>0</v>
      </c>
      <c r="K60" s="783">
        <f>IF('Incremental Repayments'!$R$22="Debt",IF(AND(K$4&gt;=$D60,K$4&lt;$D60+'Incremental Repayments'!$I$31),-PMT('Interest Rate'!$J$16,'Incremental Repayments'!$I$31,(HLOOKUP($D60,$E$4:$CZ$32,28,FALSE)*'Incremental Repayments'!$I$22)),0),0)</f>
        <v>0</v>
      </c>
      <c r="L60" s="783">
        <f>IF('Incremental Repayments'!$R$22="Debt",IF(AND(L$4&gt;=$D60,L$4&lt;$D60+'Incremental Repayments'!$I$31),-PMT('Interest Rate'!$J$16,'Incremental Repayments'!$I$31,(HLOOKUP($D60,$E$4:$CZ$32,28,FALSE)*'Incremental Repayments'!$I$22)),0),0)</f>
        <v>0</v>
      </c>
      <c r="M60" s="783">
        <f>IF('Incremental Repayments'!$R$22="Debt",IF(AND(M$4&gt;=$D60,M$4&lt;$D60+'Incremental Repayments'!$I$31),-PMT('Interest Rate'!$J$16,'Incremental Repayments'!$I$31,(HLOOKUP($D60,$E$4:$CZ$32,28,FALSE)*'Incremental Repayments'!$I$22)),0),0)</f>
        <v>0</v>
      </c>
      <c r="N60" s="783">
        <f>IF('Incremental Repayments'!$R$22="Debt",IF(AND(N$4&gt;=$D60,N$4&lt;$D60+'Incremental Repayments'!$I$31),-PMT('Interest Rate'!$J$16,'Incremental Repayments'!$I$31,(HLOOKUP($D60,$E$4:$CZ$32,28,FALSE)*'Incremental Repayments'!$I$22)),0),0)</f>
        <v>0</v>
      </c>
      <c r="O60" s="783">
        <f>IF('Incremental Repayments'!$R$22="Debt",IF(AND(O$4&gt;=$D60,O$4&lt;$D60+'Incremental Repayments'!$I$31),-PMT('Interest Rate'!$J$16,'Incremental Repayments'!$I$31,(HLOOKUP($D60,$E$4:$CZ$32,28,FALSE)*'Incremental Repayments'!$I$22)),0),0)</f>
        <v>0</v>
      </c>
      <c r="P60" s="783">
        <f>IF('Incremental Repayments'!$R$22="Debt",IF(AND(P$4&gt;=$D60,P$4&lt;$D60+'Incremental Repayments'!$I$31),-PMT('Interest Rate'!$J$16,'Incremental Repayments'!$I$31,(HLOOKUP($D60,$E$4:$CZ$32,28,FALSE)*'Incremental Repayments'!$I$22)),0),0)</f>
        <v>0</v>
      </c>
      <c r="Q60" s="783">
        <f>IF('Incremental Repayments'!$R$22="Debt",IF(AND(Q$4&gt;=$D60,Q$4&lt;$D60+'Incremental Repayments'!$I$31),-PMT('Interest Rate'!$J$16,'Incremental Repayments'!$I$31,(HLOOKUP($D60,$E$4:$CZ$32,28,FALSE)*'Incremental Repayments'!$I$22)),0),0)</f>
        <v>0</v>
      </c>
      <c r="R60" s="783">
        <f>IF('Incremental Repayments'!$R$22="Debt",IF(AND(R$4&gt;=$D60,R$4&lt;$D60+'Incremental Repayments'!$I$31),-PMT('Interest Rate'!$J$16,'Incremental Repayments'!$I$31,(HLOOKUP($D60,$E$4:$CZ$32,28,FALSE)*'Incremental Repayments'!$I$22)),0),0)</f>
        <v>0</v>
      </c>
      <c r="S60" s="783">
        <f>IF('Incremental Repayments'!$R$22="Debt",IF(AND(S$4&gt;=$D60,S$4&lt;$D60+'Incremental Repayments'!$I$31),-PMT('Interest Rate'!$J$16,'Incremental Repayments'!$I$31,(HLOOKUP($D60,$E$4:$CZ$32,28,FALSE)*'Incremental Repayments'!$I$22)),0),0)</f>
        <v>0</v>
      </c>
      <c r="T60" s="783">
        <f>IF('Incremental Repayments'!$R$22="Debt",IF(AND(T$4&gt;=$D60,T$4&lt;$D60+'Incremental Repayments'!$I$31),-PMT('Interest Rate'!$J$16,'Incremental Repayments'!$I$31,(HLOOKUP($D60,$E$4:$CZ$32,28,FALSE)*'Incremental Repayments'!$I$22)),0),0)</f>
        <v>0</v>
      </c>
      <c r="U60" s="783">
        <f>IF('Incremental Repayments'!$R$22="Debt",IF(AND(U$4&gt;=$D60,U$4&lt;$D60+'Incremental Repayments'!$I$31),-PMT('Interest Rate'!$J$16,'Incremental Repayments'!$I$31,(HLOOKUP($D60,$E$4:$CZ$32,28,FALSE)*'Incremental Repayments'!$I$22)),0),0)</f>
        <v>0</v>
      </c>
      <c r="V60" s="783">
        <f>IF('Incremental Repayments'!$R$22="Debt",IF(AND(V$4&gt;=$D60,V$4&lt;$D60+'Incremental Repayments'!$I$31),-PMT('Interest Rate'!$J$16,'Incremental Repayments'!$I$31,(HLOOKUP($D60,$E$4:$CZ$32,28,FALSE)*'Incremental Repayments'!$I$22)),0),0)</f>
        <v>0</v>
      </c>
      <c r="W60" s="783">
        <f>IF('Incremental Repayments'!$R$22="Debt",IF(AND(W$4&gt;=$D60,W$4&lt;$D60+'Incremental Repayments'!$I$31),-PMT('Interest Rate'!$J$16,'Incremental Repayments'!$I$31,(HLOOKUP($D60,$E$4:$CZ$32,28,FALSE)*'Incremental Repayments'!$I$22)),0),0)</f>
        <v>0</v>
      </c>
      <c r="X60" s="783">
        <f>IF('Incremental Repayments'!$R$22="Debt",IF(AND(X$4&gt;=$D60,X$4&lt;$D60+'Incremental Repayments'!$I$31),-PMT('Interest Rate'!$J$16,'Incremental Repayments'!$I$31,(HLOOKUP($D60,$E$4:$CZ$32,28,FALSE)*'Incremental Repayments'!$I$22)),0),0)</f>
        <v>0</v>
      </c>
      <c r="Y60" s="783">
        <f>IF('Incremental Repayments'!$R$22="Debt",IF(AND(Y$4&gt;=$D60,Y$4&lt;$D60+'Incremental Repayments'!$I$31),-PMT('Interest Rate'!$J$16,'Incremental Repayments'!$I$31,(HLOOKUP($D60,$E$4:$CZ$32,28,FALSE)*'Incremental Repayments'!$I$22)),0),0)</f>
        <v>0</v>
      </c>
      <c r="Z60" s="783">
        <f>IF('Incremental Repayments'!$R$22="Debt",IF(AND(Z$4&gt;=$D60,Z$4&lt;$D60+'Incremental Repayments'!$I$31),-PMT('Interest Rate'!$J$16,'Incremental Repayments'!$I$31,(HLOOKUP($D60,$E$4:$CZ$32,28,FALSE)*'Incremental Repayments'!$I$22)),0),0)</f>
        <v>0</v>
      </c>
      <c r="AA60" s="783">
        <f>IF('Incremental Repayments'!$R$22="Debt",IF(AND(AA$4&gt;=$D60,AA$4&lt;$D60+'Incremental Repayments'!$I$31),-PMT('Interest Rate'!$J$16,'Incremental Repayments'!$I$31,(HLOOKUP($D60,$E$4:$CZ$32,28,FALSE)*'Incremental Repayments'!$I$22)),0),0)</f>
        <v>0</v>
      </c>
      <c r="AB60" s="783">
        <f>IF('Incremental Repayments'!$R$22="Debt",IF(AND(AB$4&gt;=$D60,AB$4&lt;$D60+'Incremental Repayments'!$I$31),-PMT('Interest Rate'!$J$16,'Incremental Repayments'!$I$31,(HLOOKUP($D60,$E$4:$CZ$32,28,FALSE)*'Incremental Repayments'!$I$22)),0),0)</f>
        <v>0</v>
      </c>
      <c r="AC60" s="783">
        <f>IF('Incremental Repayments'!$R$22="Debt",IF(AND(AC$4&gt;=$D60,AC$4&lt;$D60+'Incremental Repayments'!$I$31),-PMT('Interest Rate'!$J$16,'Incremental Repayments'!$I$31,(HLOOKUP($D60,$E$4:$CZ$32,28,FALSE)*'Incremental Repayments'!$I$22)),0),0)</f>
        <v>8140260.9099320956</v>
      </c>
      <c r="AD60" s="783">
        <f>IF('Incremental Repayments'!$R$22="Debt",IF(AND(AD$4&gt;=$D60,AD$4&lt;$D60+'Incremental Repayments'!$I$31),-PMT('Interest Rate'!$J$16,'Incremental Repayments'!$I$31,(HLOOKUP($D60,$E$4:$CZ$32,28,FALSE)*'Incremental Repayments'!$I$22)),0),0)</f>
        <v>8140260.9099320956</v>
      </c>
      <c r="AE60" s="783">
        <f>IF('Incremental Repayments'!$R$22="Debt",IF(AND(AE$4&gt;=$D60,AE$4&lt;$D60+'Incremental Repayments'!$I$31),-PMT('Interest Rate'!$J$16,'Incremental Repayments'!$I$31,(HLOOKUP($D60,$E$4:$CZ$32,28,FALSE)*'Incremental Repayments'!$I$22)),0),0)</f>
        <v>8140260.9099320956</v>
      </c>
      <c r="AF60" s="783">
        <f>IF('Incremental Repayments'!$R$22="Debt",IF(AND(AF$4&gt;=$D60,AF$4&lt;$D60+'Incremental Repayments'!$I$31),-PMT('Interest Rate'!$J$16,'Incremental Repayments'!$I$31,(HLOOKUP($D60,$E$4:$CZ$32,28,FALSE)*'Incremental Repayments'!$I$22)),0),0)</f>
        <v>8140260.9099320956</v>
      </c>
      <c r="AG60" s="783">
        <f>IF('Incremental Repayments'!$R$22="Debt",IF(AND(AG$4&gt;=$D60,AG$4&lt;$D60+'Incremental Repayments'!$I$31),-PMT('Interest Rate'!$J$16,'Incremental Repayments'!$I$31,(HLOOKUP($D60,$E$4:$CZ$32,28,FALSE)*'Incremental Repayments'!$I$22)),0),0)</f>
        <v>8140260.9099320956</v>
      </c>
      <c r="AH60" s="783">
        <f>IF('Incremental Repayments'!$R$22="Debt",IF(AND(AH$4&gt;=$D60,AH$4&lt;$D60+'Incremental Repayments'!$I$31),-PMT('Interest Rate'!$J$16,'Incremental Repayments'!$I$31,(HLOOKUP($D60,$E$4:$CZ$32,28,FALSE)*'Incremental Repayments'!$I$22)),0),0)</f>
        <v>8140260.9099320956</v>
      </c>
      <c r="AI60" s="783">
        <f>IF('Incremental Repayments'!$R$22="Debt",IF(AND(AI$4&gt;=$D60,AI$4&lt;$D60+'Incremental Repayments'!$I$31),-PMT('Interest Rate'!$J$16,'Incremental Repayments'!$I$31,(HLOOKUP($D60,$E$4:$CZ$32,28,FALSE)*'Incremental Repayments'!$I$22)),0),0)</f>
        <v>8140260.9099320956</v>
      </c>
      <c r="AJ60" s="783">
        <f>IF('Incremental Repayments'!$R$22="Debt",IF(AND(AJ$4&gt;=$D60,AJ$4&lt;$D60+'Incremental Repayments'!$I$31),-PMT('Interest Rate'!$J$16,'Incremental Repayments'!$I$31,(HLOOKUP($D60,$E$4:$CZ$32,28,FALSE)*'Incremental Repayments'!$I$22)),0),0)</f>
        <v>8140260.9099320956</v>
      </c>
      <c r="AK60" s="783">
        <f>IF('Incremental Repayments'!$R$22="Debt",IF(AND(AK$4&gt;=$D60,AK$4&lt;$D60+'Incremental Repayments'!$I$31),-PMT('Interest Rate'!$J$16,'Incremental Repayments'!$I$31,(HLOOKUP($D60,$E$4:$CZ$32,28,FALSE)*'Incremental Repayments'!$I$22)),0),0)</f>
        <v>8140260.9099320956</v>
      </c>
      <c r="AL60" s="783">
        <f>IF('Incremental Repayments'!$R$22="Debt",IF(AND(AL$4&gt;=$D60,AL$4&lt;$D60+'Incremental Repayments'!$I$31),-PMT('Interest Rate'!$J$16,'Incremental Repayments'!$I$31,(HLOOKUP($D60,$E$4:$CZ$32,28,FALSE)*'Incremental Repayments'!$I$22)),0),0)</f>
        <v>8140260.9099320956</v>
      </c>
      <c r="AM60" s="783">
        <f>IF('Incremental Repayments'!$R$22="Debt",IF(AND(AM$4&gt;=$D60,AM$4&lt;$D60+'Incremental Repayments'!$I$31),-PMT('Interest Rate'!$J$16,'Incremental Repayments'!$I$31,(HLOOKUP($D60,$E$4:$CZ$32,28,FALSE)*'Incremental Repayments'!$I$22)),0),0)</f>
        <v>8140260.9099320956</v>
      </c>
      <c r="AN60" s="783">
        <f>IF('Incremental Repayments'!$R$22="Debt",IF(AND(AN$4&gt;=$D60,AN$4&lt;$D60+'Incremental Repayments'!$I$31),-PMT('Interest Rate'!$J$16,'Incremental Repayments'!$I$31,(HLOOKUP($D60,$E$4:$CZ$32,28,FALSE)*'Incremental Repayments'!$I$22)),0),0)</f>
        <v>8140260.9099320956</v>
      </c>
      <c r="AO60" s="783">
        <f>IF('Incremental Repayments'!$R$22="Debt",IF(AND(AO$4&gt;=$D60,AO$4&lt;$D60+'Incremental Repayments'!$I$31),-PMT('Interest Rate'!$J$16,'Incremental Repayments'!$I$31,(HLOOKUP($D60,$E$4:$CZ$32,28,FALSE)*'Incremental Repayments'!$I$22)),0),0)</f>
        <v>8140260.9099320956</v>
      </c>
      <c r="AP60" s="783">
        <f>IF('Incremental Repayments'!$R$22="Debt",IF(AND(AP$4&gt;=$D60,AP$4&lt;$D60+'Incremental Repayments'!$I$31),-PMT('Interest Rate'!$J$16,'Incremental Repayments'!$I$31,(HLOOKUP($D60,$E$4:$CZ$32,28,FALSE)*'Incremental Repayments'!$I$22)),0),0)</f>
        <v>8140260.9099320956</v>
      </c>
      <c r="AQ60" s="783">
        <f>IF('Incremental Repayments'!$R$22="Debt",IF(AND(AQ$4&gt;=$D60,AQ$4&lt;$D60+'Incremental Repayments'!$I$31),-PMT('Interest Rate'!$J$16,'Incremental Repayments'!$I$31,(HLOOKUP($D60,$E$4:$CZ$32,28,FALSE)*'Incremental Repayments'!$I$22)),0),0)</f>
        <v>8140260.9099320956</v>
      </c>
      <c r="AR60" s="783">
        <f>IF('Incremental Repayments'!$R$22="Debt",IF(AND(AR$4&gt;=$D60,AR$4&lt;$D60+'Incremental Repayments'!$I$31),-PMT('Interest Rate'!$J$16,'Incremental Repayments'!$I$31,(HLOOKUP($D60,$E$4:$CZ$32,28,FALSE)*'Incremental Repayments'!$I$22)),0),0)</f>
        <v>8140260.9099320956</v>
      </c>
      <c r="AS60" s="783">
        <f>IF('Incremental Repayments'!$R$22="Debt",IF(AND(AS$4&gt;=$D60,AS$4&lt;$D60+'Incremental Repayments'!$I$31),-PMT('Interest Rate'!$J$16,'Incremental Repayments'!$I$31,(HLOOKUP($D60,$E$4:$CZ$32,28,FALSE)*'Incremental Repayments'!$I$22)),0),0)</f>
        <v>8140260.9099320956</v>
      </c>
      <c r="AT60" s="783">
        <f>IF('Incremental Repayments'!$R$22="Debt",IF(AND(AT$4&gt;=$D60,AT$4&lt;$D60+'Incremental Repayments'!$I$31),-PMT('Interest Rate'!$J$16,'Incremental Repayments'!$I$31,(HLOOKUP($D60,$E$4:$CZ$32,28,FALSE)*'Incremental Repayments'!$I$22)),0),0)</f>
        <v>8140260.9099320956</v>
      </c>
      <c r="AU60" s="783">
        <f>IF('Incremental Repayments'!$R$22="Debt",IF(AND(AU$4&gt;=$D60,AU$4&lt;$D60+'Incremental Repayments'!$I$31),-PMT('Interest Rate'!$J$16,'Incremental Repayments'!$I$31,(HLOOKUP($D60,$E$4:$CZ$32,28,FALSE)*'Incremental Repayments'!$I$22)),0),0)</f>
        <v>8140260.9099320956</v>
      </c>
      <c r="AV60" s="783">
        <f>IF('Incremental Repayments'!$R$22="Debt",IF(AND(AV$4&gt;=$D60,AV$4&lt;$D60+'Incremental Repayments'!$I$31),-PMT('Interest Rate'!$J$16,'Incremental Repayments'!$I$31,(HLOOKUP($D60,$E$4:$CZ$32,28,FALSE)*'Incremental Repayments'!$I$22)),0),0)</f>
        <v>8140260.9099320956</v>
      </c>
      <c r="AW60" s="783">
        <f>IF('Incremental Repayments'!$R$22="Debt",IF(AND(AW$4&gt;=$D60,AW$4&lt;$D60+'Incremental Repayments'!$I$31),-PMT('Interest Rate'!$J$16,'Incremental Repayments'!$I$31,(HLOOKUP($D60,$E$4:$CZ$32,28,FALSE)*'Incremental Repayments'!$I$22)),0),0)</f>
        <v>8140260.9099320956</v>
      </c>
      <c r="AX60" s="783">
        <f>IF('Incremental Repayments'!$R$22="Debt",IF(AND(AX$4&gt;=$D60,AX$4&lt;$D60+'Incremental Repayments'!$I$31),-PMT('Interest Rate'!$J$16,'Incremental Repayments'!$I$31,(HLOOKUP($D60,$E$4:$CZ$32,28,FALSE)*'Incremental Repayments'!$I$22)),0),0)</f>
        <v>8140260.9099320956</v>
      </c>
      <c r="AY60" s="783">
        <f>IF('Incremental Repayments'!$R$22="Debt",IF(AND(AY$4&gt;=$D60,AY$4&lt;$D60+'Incremental Repayments'!$I$31),-PMT('Interest Rate'!$J$16,'Incremental Repayments'!$I$31,(HLOOKUP($D60,$E$4:$CZ$32,28,FALSE)*'Incremental Repayments'!$I$22)),0),0)</f>
        <v>8140260.9099320956</v>
      </c>
      <c r="AZ60" s="783">
        <f>IF('Incremental Repayments'!$R$22="Debt",IF(AND(AZ$4&gt;=$D60,AZ$4&lt;$D60+'Incremental Repayments'!$I$31),-PMT('Interest Rate'!$J$16,'Incremental Repayments'!$I$31,(HLOOKUP($D60,$E$4:$CZ$32,28,FALSE)*'Incremental Repayments'!$I$22)),0),0)</f>
        <v>8140260.9099320956</v>
      </c>
      <c r="BA60" s="783">
        <f>IF('Incremental Repayments'!$R$22="Debt",IF(AND(BA$4&gt;=$D60,BA$4&lt;$D60+'Incremental Repayments'!$I$31),-PMT('Interest Rate'!$J$16,'Incremental Repayments'!$I$31,(HLOOKUP($D60,$E$4:$CZ$32,28,FALSE)*'Incremental Repayments'!$I$22)),0),0)</f>
        <v>8140260.9099320956</v>
      </c>
      <c r="BB60" s="783">
        <f>IF('Incremental Repayments'!$R$22="Debt",IF(AND(BB$4&gt;=$D60,BB$4&lt;$D60+'Incremental Repayments'!$I$31),-PMT('Interest Rate'!$J$16,'Incremental Repayments'!$I$31,(HLOOKUP($D60,$E$4:$CZ$32,28,FALSE)*'Incremental Repayments'!$I$22)),0),0)</f>
        <v>8140260.9099320956</v>
      </c>
      <c r="BC60" s="783">
        <f>IF('Incremental Repayments'!$R$22="Debt",IF(AND(BC$4&gt;=$D60,BC$4&lt;$D60+'Incremental Repayments'!$I$31),-PMT('Interest Rate'!$J$16,'Incremental Repayments'!$I$31,(HLOOKUP($D60,$E$4:$CZ$32,28,FALSE)*'Incremental Repayments'!$I$22)),0),0)</f>
        <v>8140260.9099320956</v>
      </c>
      <c r="BD60" s="783">
        <f>IF('Incremental Repayments'!$R$22="Debt",IF(AND(BD$4&gt;=$D60,BD$4&lt;$D60+'Incremental Repayments'!$I$31),-PMT('Interest Rate'!$J$16,'Incremental Repayments'!$I$31,(HLOOKUP($D60,$E$4:$CZ$32,28,FALSE)*'Incremental Repayments'!$I$22)),0),0)</f>
        <v>8140260.9099320956</v>
      </c>
      <c r="BE60" s="783">
        <f>IF('Incremental Repayments'!$R$22="Debt",IF(AND(BE$4&gt;=$D60,BE$4&lt;$D60+'Incremental Repayments'!$I$31),-PMT('Interest Rate'!$J$16,'Incremental Repayments'!$I$31,(HLOOKUP($D60,$E$4:$CZ$32,28,FALSE)*'Incremental Repayments'!$I$22)),0),0)</f>
        <v>8140260.9099320956</v>
      </c>
      <c r="BF60" s="783">
        <f>IF('Incremental Repayments'!$R$22="Debt",IF(AND(BF$4&gt;=$D60,BF$4&lt;$D60+'Incremental Repayments'!$I$31),-PMT('Interest Rate'!$J$16,'Incremental Repayments'!$I$31,(HLOOKUP($D60,$E$4:$CZ$32,28,FALSE)*'Incremental Repayments'!$I$22)),0),0)</f>
        <v>8140260.9099320956</v>
      </c>
      <c r="BG60" s="783">
        <f>IF('Incremental Repayments'!$R$22="Debt",IF(AND(BG$4&gt;=$D60,BG$4&lt;$D60+'Incremental Repayments'!$I$31),-PMT('Interest Rate'!$J$16,'Incremental Repayments'!$I$31,(HLOOKUP($D60,$E$4:$CZ$32,28,FALSE)*'Incremental Repayments'!$I$22)),0),0)</f>
        <v>0</v>
      </c>
      <c r="BH60" s="783">
        <f>IF('Incremental Repayments'!$R$22="Debt",IF(AND(BH$4&gt;=$D60,BH$4&lt;$D60+'Incremental Repayments'!$I$31),-PMT('Interest Rate'!$J$16,'Incremental Repayments'!$I$31,(HLOOKUP($D60,$E$4:$CZ$32,28,FALSE)*'Incremental Repayments'!$I$22)),0),0)</f>
        <v>0</v>
      </c>
      <c r="BI60" s="783">
        <f>IF('Incremental Repayments'!$R$22="Debt",IF(AND(BI$4&gt;=$D60,BI$4&lt;$D60+'Incremental Repayments'!$I$31),-PMT('Interest Rate'!$J$16,'Incremental Repayments'!$I$31,(HLOOKUP($D60,$E$4:$CZ$32,28,FALSE)*'Incremental Repayments'!$I$22)),0),0)</f>
        <v>0</v>
      </c>
      <c r="BJ60" s="783">
        <f>IF('Incremental Repayments'!$R$22="Debt",IF(AND(BJ$4&gt;=$D60,BJ$4&lt;$D60+'Incremental Repayments'!$I$31),-PMT('Interest Rate'!$J$16,'Incremental Repayments'!$I$31,(HLOOKUP($D60,$E$4:$CZ$32,28,FALSE)*'Incremental Repayments'!$I$22)),0),0)</f>
        <v>0</v>
      </c>
      <c r="BK60" s="783">
        <f>IF('Incremental Repayments'!$R$22="Debt",IF(AND(BK$4&gt;=$D60,BK$4&lt;$D60+'Incremental Repayments'!$I$31),-PMT('Interest Rate'!$J$16,'Incremental Repayments'!$I$31,(HLOOKUP($D60,$E$4:$CZ$32,28,FALSE)*'Incremental Repayments'!$I$22)),0),0)</f>
        <v>0</v>
      </c>
      <c r="BL60" s="783">
        <f>IF('Incremental Repayments'!$R$22="Debt",IF(AND(BL$4&gt;=$D60,BL$4&lt;$D60+'Incremental Repayments'!$I$31),-PMT('Interest Rate'!$J$16,'Incremental Repayments'!$I$31,(HLOOKUP($D60,$E$4:$CZ$32,28,FALSE)*'Incremental Repayments'!$I$22)),0),0)</f>
        <v>0</v>
      </c>
      <c r="BM60" s="783">
        <f>IF('Incremental Repayments'!$R$22="Debt",IF(AND(BM$4&gt;=$D60,BM$4&lt;$D60+'Incremental Repayments'!$I$31),-PMT('Interest Rate'!$J$16,'Incremental Repayments'!$I$31,(HLOOKUP($D60,$E$4:$CZ$32,28,FALSE)*'Incremental Repayments'!$I$22)),0),0)</f>
        <v>0</v>
      </c>
      <c r="BN60" s="783">
        <f>IF('Incremental Repayments'!$R$22="Debt",IF(AND(BN$4&gt;=$D60,BN$4&lt;$D60+'Incremental Repayments'!$I$31),-PMT('Interest Rate'!$J$16,'Incremental Repayments'!$I$31,(HLOOKUP($D60,$E$4:$CZ$32,28,FALSE)*'Incremental Repayments'!$I$22)),0),0)</f>
        <v>0</v>
      </c>
      <c r="BO60" s="783">
        <f>IF('Incremental Repayments'!$R$22="Debt",IF(AND(BO$4&gt;=$D60,BO$4&lt;$D60+'Incremental Repayments'!$I$31),-PMT('Interest Rate'!$J$16,'Incremental Repayments'!$I$31,(HLOOKUP($D60,$E$4:$CZ$32,28,FALSE)*'Incremental Repayments'!$I$22)),0),0)</f>
        <v>0</v>
      </c>
      <c r="BP60" s="783">
        <f>IF('Incremental Repayments'!$R$22="Debt",IF(AND(BP$4&gt;=$D60,BP$4&lt;$D60+'Incremental Repayments'!$I$31),-PMT('Interest Rate'!$J$16,'Incremental Repayments'!$I$31,(HLOOKUP($D60,$E$4:$CZ$32,28,FALSE)*'Incremental Repayments'!$I$22)),0),0)</f>
        <v>0</v>
      </c>
      <c r="BQ60" s="783">
        <f>IF('Incremental Repayments'!$R$22="Debt",IF(AND(BQ$4&gt;=$D60,BQ$4&lt;$D60+'Incremental Repayments'!$I$31),-PMT('Interest Rate'!$J$16,'Incremental Repayments'!$I$31,(HLOOKUP($D60,$E$4:$CZ$32,28,FALSE)*'Incremental Repayments'!$I$22)),0),0)</f>
        <v>0</v>
      </c>
      <c r="BR60" s="783">
        <f>IF('Incremental Repayments'!$R$22="Debt",IF(AND(BR$4&gt;=$D60,BR$4&lt;$D60+'Incremental Repayments'!$I$31),-PMT('Interest Rate'!$J$16,'Incremental Repayments'!$I$31,(HLOOKUP($D60,$E$4:$CZ$32,28,FALSE)*'Incremental Repayments'!$I$22)),0),0)</f>
        <v>0</v>
      </c>
      <c r="BS60" s="783">
        <f>IF('Incremental Repayments'!$R$22="Debt",IF(AND(BS$4&gt;=$D60,BS$4&lt;$D60+'Incremental Repayments'!$I$31),-PMT('Interest Rate'!$J$16,'Incremental Repayments'!$I$31,(HLOOKUP($D60,$E$4:$CZ$32,28,FALSE)*'Incremental Repayments'!$I$22)),0),0)</f>
        <v>0</v>
      </c>
      <c r="BT60" s="783">
        <f>IF('Incremental Repayments'!$R$22="Debt",IF(AND(BT$4&gt;=$D60,BT$4&lt;$D60+'Incremental Repayments'!$I$31),-PMT('Interest Rate'!$J$16,'Incremental Repayments'!$I$31,(HLOOKUP($D60,$E$4:$CZ$32,28,FALSE)*'Incremental Repayments'!$I$22)),0),0)</f>
        <v>0</v>
      </c>
      <c r="BU60" s="783">
        <f>IF('Incremental Repayments'!$R$22="Debt",IF(AND(BU$4&gt;=$D60,BU$4&lt;$D60+'Incremental Repayments'!$I$31),-PMT('Interest Rate'!$J$16,'Incremental Repayments'!$I$31,(HLOOKUP($D60,$E$4:$CZ$32,28,FALSE)*'Incremental Repayments'!$I$22)),0),0)</f>
        <v>0</v>
      </c>
      <c r="BV60" s="783">
        <f>IF('Incremental Repayments'!$R$22="Debt",IF(AND(BV$4&gt;=$D60,BV$4&lt;$D60+'Incremental Repayments'!$I$31),-PMT('Interest Rate'!$J$16,'Incremental Repayments'!$I$31,(HLOOKUP($D60,$E$4:$CZ$32,28,FALSE)*'Incremental Repayments'!$I$22)),0),0)</f>
        <v>0</v>
      </c>
      <c r="BW60" s="783">
        <f>IF('Incremental Repayments'!$R$22="Debt",IF(AND(BW$4&gt;=$D60,BW$4&lt;$D60+'Incremental Repayments'!$I$31),-PMT('Interest Rate'!$J$16,'Incremental Repayments'!$I$31,(HLOOKUP($D60,$E$4:$CZ$32,28,FALSE)*'Incremental Repayments'!$I$22)),0),0)</f>
        <v>0</v>
      </c>
      <c r="BX60" s="783">
        <f>IF('Incremental Repayments'!$R$22="Debt",IF(AND(BX$4&gt;=$D60,BX$4&lt;$D60+'Incremental Repayments'!$I$31),-PMT('Interest Rate'!$J$16,'Incremental Repayments'!$I$31,(HLOOKUP($D60,$E$4:$CZ$32,28,FALSE)*'Incremental Repayments'!$I$22)),0),0)</f>
        <v>0</v>
      </c>
      <c r="BY60" s="783">
        <f>IF('Incremental Repayments'!$R$22="Debt",IF(AND(BY$4&gt;=$D60,BY$4&lt;$D60+'Incremental Repayments'!$I$31),-PMT('Interest Rate'!$J$16,'Incremental Repayments'!$I$31,(HLOOKUP($D60,$E$4:$CZ$32,28,FALSE)*'Incremental Repayments'!$I$22)),0),0)</f>
        <v>0</v>
      </c>
      <c r="BZ60" s="783">
        <f>IF('Incremental Repayments'!$R$22="Debt",IF(AND(BZ$4&gt;=$D60,BZ$4&lt;$D60+'Incremental Repayments'!$I$31),-PMT('Interest Rate'!$J$16,'Incremental Repayments'!$I$31,(HLOOKUP($D60,$E$4:$CZ$32,28,FALSE)*'Incremental Repayments'!$I$22)),0),0)</f>
        <v>0</v>
      </c>
      <c r="CA60" s="783">
        <f>IF('Incremental Repayments'!$R$22="Debt",IF(AND(CA$4&gt;=$D60,CA$4&lt;$D60+'Incremental Repayments'!$I$31),-PMT('Interest Rate'!$J$16,'Incremental Repayments'!$I$31,(HLOOKUP($D60,$E$4:$CZ$32,28,FALSE)*'Incremental Repayments'!$I$22)),0),0)</f>
        <v>0</v>
      </c>
      <c r="CB60" s="783">
        <f>IF('Incremental Repayments'!$R$22="Debt",IF(AND(CB$4&gt;=$D60,CB$4&lt;$D60+'Incremental Repayments'!$I$31),-PMT('Interest Rate'!$J$16,'Incremental Repayments'!$I$31,(HLOOKUP($D60,$E$4:$CZ$32,28,FALSE)*'Incremental Repayments'!$I$22)),0),0)</f>
        <v>0</v>
      </c>
      <c r="CC60" s="783">
        <f>IF('Incremental Repayments'!$R$22="Debt",IF(AND(CC$4&gt;=$D60,CC$4&lt;$D60+'Incremental Repayments'!$I$31),-PMT('Interest Rate'!$J$16,'Incremental Repayments'!$I$31,(HLOOKUP($D60,$E$4:$CZ$32,28,FALSE)*'Incremental Repayments'!$I$22)),0),0)</f>
        <v>0</v>
      </c>
      <c r="CD60" s="783">
        <f>IF('Incremental Repayments'!$R$22="Debt",IF(AND(CD$4&gt;=$D60,CD$4&lt;$D60+'Incremental Repayments'!$I$31),-PMT('Interest Rate'!$J$16,'Incremental Repayments'!$I$31,(HLOOKUP($D60,$E$4:$CZ$32,28,FALSE)*'Incremental Repayments'!$I$22)),0),0)</f>
        <v>0</v>
      </c>
      <c r="CE60" s="783">
        <f>IF('Incremental Repayments'!$R$22="Debt",IF(AND(CE$4&gt;=$D60,CE$4&lt;$D60+'Incremental Repayments'!$I$31),-PMT('Interest Rate'!$J$16,'Incremental Repayments'!$I$31,(HLOOKUP($D60,$E$4:$CZ$32,28,FALSE)*'Incremental Repayments'!$I$22)),0),0)</f>
        <v>0</v>
      </c>
      <c r="CF60" s="783">
        <f>IF('Incremental Repayments'!$R$22="Debt",IF(AND(CF$4&gt;=$D60,CF$4&lt;$D60+'Incremental Repayments'!$I$31),-PMT('Interest Rate'!$J$16,'Incremental Repayments'!$I$31,(HLOOKUP($D60,$E$4:$CZ$32,28,FALSE)*'Incremental Repayments'!$I$22)),0),0)</f>
        <v>0</v>
      </c>
      <c r="CG60" s="783">
        <f>IF('Incremental Repayments'!$R$22="Debt",IF(AND(CG$4&gt;=$D60,CG$4&lt;$D60+'Incremental Repayments'!$I$31),-PMT('Interest Rate'!$J$16,'Incremental Repayments'!$I$31,(HLOOKUP($D60,$E$4:$CZ$32,28,FALSE)*'Incremental Repayments'!$I$22)),0),0)</f>
        <v>0</v>
      </c>
      <c r="CH60" s="783">
        <f>IF('Incremental Repayments'!$R$22="Debt",IF(AND(CH$4&gt;=$D60,CH$4&lt;$D60+'Incremental Repayments'!$I$31),-PMT('Interest Rate'!$J$16,'Incremental Repayments'!$I$31,(HLOOKUP($D60,$E$4:$CZ$32,28,FALSE)*'Incremental Repayments'!$I$22)),0),0)</f>
        <v>0</v>
      </c>
      <c r="CI60" s="783">
        <f>IF('Incremental Repayments'!$R$22="Debt",IF(AND(CI$4&gt;=$D60,CI$4&lt;$D60+'Incremental Repayments'!$I$31),-PMT('Interest Rate'!$J$16,'Incremental Repayments'!$I$31,(HLOOKUP($D60,$E$4:$CZ$32,28,FALSE)*'Incremental Repayments'!$I$22)),0),0)</f>
        <v>0</v>
      </c>
      <c r="CJ60" s="783">
        <f>IF('Incremental Repayments'!$R$22="Debt",IF(AND(CJ$4&gt;=$D60,CJ$4&lt;$D60+'Incremental Repayments'!$I$31),-PMT('Interest Rate'!$J$16,'Incremental Repayments'!$I$31,(HLOOKUP($D60,$E$4:$CZ$32,28,FALSE)*'Incremental Repayments'!$I$22)),0),0)</f>
        <v>0</v>
      </c>
      <c r="CK60" s="783">
        <f>IF('Incremental Repayments'!$R$22="Debt",IF(AND(CK$4&gt;=$D60,CK$4&lt;$D60+'Incremental Repayments'!$I$31),-PMT('Interest Rate'!$J$16,'Incremental Repayments'!$I$31,(HLOOKUP($D60,$E$4:$CZ$32,28,FALSE)*'Incremental Repayments'!$I$22)),0),0)</f>
        <v>0</v>
      </c>
      <c r="CL60" s="783">
        <f>IF('Incremental Repayments'!$R$22="Debt",IF(AND(CL$4&gt;=$D60,CL$4&lt;$D60+'Incremental Repayments'!$I$31),-PMT('Interest Rate'!$J$16,'Incremental Repayments'!$I$31,(HLOOKUP($D60,$E$4:$CZ$32,28,FALSE)*'Incremental Repayments'!$I$22)),0),0)</f>
        <v>0</v>
      </c>
      <c r="CM60" s="783">
        <f>IF('Incremental Repayments'!$R$22="Debt",IF(AND(CM$4&gt;=$D60,CM$4&lt;$D60+'Incremental Repayments'!$I$31),-PMT('Interest Rate'!$J$16,'Incremental Repayments'!$I$31,(HLOOKUP($D60,$E$4:$CZ$32,28,FALSE)*'Incremental Repayments'!$I$22)),0),0)</f>
        <v>0</v>
      </c>
      <c r="CN60" s="783">
        <f>IF('Incremental Repayments'!$R$22="Debt",IF(AND(CN$4&gt;=$D60,CN$4&lt;$D60+'Incremental Repayments'!$I$31),-PMT('Interest Rate'!$J$16,'Incremental Repayments'!$I$31,(HLOOKUP($D60,$E$4:$CZ$32,28,FALSE)*'Incremental Repayments'!$I$22)),0),0)</f>
        <v>0</v>
      </c>
      <c r="CO60" s="783">
        <f>IF('Incremental Repayments'!$R$22="Debt",IF(AND(CO$4&gt;=$D60,CO$4&lt;$D60+'Incremental Repayments'!$I$31),-PMT('Interest Rate'!$J$16,'Incremental Repayments'!$I$31,(HLOOKUP($D60,$E$4:$CZ$32,28,FALSE)*'Incremental Repayments'!$I$22)),0),0)</f>
        <v>0</v>
      </c>
      <c r="CP60" s="783">
        <f>IF('Incremental Repayments'!$R$22="Debt",IF(AND(CP$4&gt;=$D60,CP$4&lt;$D60+'Incremental Repayments'!$I$31),-PMT('Interest Rate'!$J$16,'Incremental Repayments'!$I$31,(HLOOKUP($D60,$E$4:$CZ$32,28,FALSE)*'Incremental Repayments'!$I$22)),0),0)</f>
        <v>0</v>
      </c>
      <c r="CQ60" s="783">
        <f>IF('Incremental Repayments'!$R$22="Debt",IF(AND(CQ$4&gt;=$D60,CQ$4&lt;$D60+'Incremental Repayments'!$I$31),-PMT('Interest Rate'!$J$16,'Incremental Repayments'!$I$31,(HLOOKUP($D60,$E$4:$CZ$32,28,FALSE)*'Incremental Repayments'!$I$22)),0),0)</f>
        <v>0</v>
      </c>
      <c r="CR60" s="783">
        <f>IF('Incremental Repayments'!$R$22="Debt",IF(AND(CR$4&gt;=$D60,CR$4&lt;$D60+'Incremental Repayments'!$I$31),-PMT('Interest Rate'!$J$16,'Incremental Repayments'!$I$31,(HLOOKUP($D60,$E$4:$CZ$32,28,FALSE)*'Incremental Repayments'!$I$22)),0),0)</f>
        <v>0</v>
      </c>
      <c r="CS60" s="783">
        <f>IF('Incremental Repayments'!$R$22="Debt",IF(AND(CS$4&gt;=$D60,CS$4&lt;$D60+'Incremental Repayments'!$I$31),-PMT('Interest Rate'!$J$16,'Incremental Repayments'!$I$31,(HLOOKUP($D60,$E$4:$CZ$32,28,FALSE)*'Incremental Repayments'!$I$22)),0),0)</f>
        <v>0</v>
      </c>
      <c r="CT60" s="783">
        <f>IF('Incremental Repayments'!$R$22="Debt",IF(AND(CT$4&gt;=$D60,CT$4&lt;$D60+'Incremental Repayments'!$I$31),-PMT('Interest Rate'!$J$16,'Incremental Repayments'!$I$31,(HLOOKUP($D60,$E$4:$CZ$32,28,FALSE)*'Incremental Repayments'!$I$22)),0),0)</f>
        <v>0</v>
      </c>
      <c r="CU60" s="783">
        <f>IF('Incremental Repayments'!$R$22="Debt",IF(AND(CU$4&gt;=$D60,CU$4&lt;$D60+'Incremental Repayments'!$I$31),-PMT('Interest Rate'!$J$16,'Incremental Repayments'!$I$31,(HLOOKUP($D60,$E$4:$CZ$32,28,FALSE)*'Incremental Repayments'!$I$22)),0),0)</f>
        <v>0</v>
      </c>
      <c r="CV60" s="783">
        <f>IF('Incremental Repayments'!$R$22="Debt",IF(AND(CV$4&gt;=$D60,CV$4&lt;$D60+'Incremental Repayments'!$I$31),-PMT('Interest Rate'!$J$16,'Incremental Repayments'!$I$31,(HLOOKUP($D60,$E$4:$CZ$32,28,FALSE)*'Incremental Repayments'!$I$22)),0),0)</f>
        <v>0</v>
      </c>
      <c r="CW60" s="783">
        <f>IF('Incremental Repayments'!$R$22="Debt",IF(AND(CW$4&gt;=$D60,CW$4&lt;$D60+'Incremental Repayments'!$I$31),-PMT('Interest Rate'!$J$16,'Incremental Repayments'!$I$31,(HLOOKUP($D60,$E$4:$CZ$32,28,FALSE)*'Incremental Repayments'!$I$22)),0),0)</f>
        <v>0</v>
      </c>
      <c r="CX60" s="783">
        <f>IF('Incremental Repayments'!$R$22="Debt",IF(AND(CX$4&gt;=$D60,CX$4&lt;$D60+'Incremental Repayments'!$I$31),-PMT('Interest Rate'!$J$16,'Incremental Repayments'!$I$31,(HLOOKUP($D60,$E$4:$CZ$32,28,FALSE)*'Incremental Repayments'!$I$22)),0),0)</f>
        <v>0</v>
      </c>
      <c r="CY60" s="783">
        <f>IF('Incremental Repayments'!$R$22="Debt",IF(AND(CY$4&gt;=$D60,CY$4&lt;$D60+'Incremental Repayments'!$I$31),-PMT('Interest Rate'!$J$16,'Incremental Repayments'!$I$31,(HLOOKUP($D60,$E$4:$CZ$32,28,FALSE)*'Incremental Repayments'!$I$22)),0),0)</f>
        <v>0</v>
      </c>
      <c r="CZ60" s="783">
        <f>IF('Incremental Repayments'!$R$22="Debt",IF(AND(CZ$4&gt;=$D60,CZ$4&lt;$D60+'Incremental Repayments'!$I$31),-PMT('Interest Rate'!$J$16,'Incremental Repayments'!$I$31,(HLOOKUP($D60,$E$4:$CZ$32,28,FALSE)*'Incremental Repayments'!$I$22)),0),0)</f>
        <v>0</v>
      </c>
    </row>
    <row r="61" spans="1:104" x14ac:dyDescent="0.25">
      <c r="B61" s="480" t="str">
        <f>CONCATENATE("Series ",D61,"A Bonds (at ",'Interest Rate'!$J$16*100,"% Interest)")</f>
        <v>Series 2039A Bonds (at 4.5% Interest)</v>
      </c>
      <c r="C61" s="480"/>
      <c r="D61" s="492">
        <f t="shared" si="47"/>
        <v>2039</v>
      </c>
      <c r="E61" s="783">
        <f>IF('Incremental Repayments'!$R$22="Debt",IF(AND(E$4&gt;=$D61,E$4&lt;$D61+'Incremental Repayments'!$I$31),-PMT('Interest Rate'!$J$16,'Incremental Repayments'!$I$31,(HLOOKUP($D61,$E$4:$CZ$32,28,FALSE)*'Incremental Repayments'!$I$22)),0),0)</f>
        <v>0</v>
      </c>
      <c r="F61" s="783">
        <f>IF('Incremental Repayments'!$R$22="Debt",IF(AND(F$4&gt;=$D61,F$4&lt;$D61+'Incremental Repayments'!$I$31),-PMT('Interest Rate'!$J$16,'Incremental Repayments'!$I$31,(HLOOKUP($D61,$E$4:$CZ$32,28,FALSE)*'Incremental Repayments'!$I$22)),0),0)</f>
        <v>0</v>
      </c>
      <c r="G61" s="783">
        <f>IF('Incremental Repayments'!$R$22="Debt",IF(AND(G$4&gt;=$D61,G$4&lt;$D61+'Incremental Repayments'!$I$31),-PMT('Interest Rate'!$J$16,'Incremental Repayments'!$I$31,(HLOOKUP($D61,$E$4:$CZ$32,28,FALSE)*'Incremental Repayments'!$I$22)),0),0)</f>
        <v>0</v>
      </c>
      <c r="H61" s="783">
        <f>IF('Incremental Repayments'!$R$22="Debt",IF(AND(H$4&gt;=$D61,H$4&lt;$D61+'Incremental Repayments'!$I$31),-PMT('Interest Rate'!$J$16,'Incremental Repayments'!$I$31,(HLOOKUP($D61,$E$4:$CZ$32,28,FALSE)*'Incremental Repayments'!$I$22)),0),0)</f>
        <v>0</v>
      </c>
      <c r="I61" s="783">
        <f>IF('Incremental Repayments'!$R$22="Debt",IF(AND(I$4&gt;=$D61,I$4&lt;$D61+'Incremental Repayments'!$I$31),-PMT('Interest Rate'!$J$16,'Incremental Repayments'!$I$31,(HLOOKUP($D61,$E$4:$CZ$32,28,FALSE)*'Incremental Repayments'!$I$22)),0),0)</f>
        <v>0</v>
      </c>
      <c r="J61" s="783">
        <f>IF('Incremental Repayments'!$R$22="Debt",IF(AND(J$4&gt;=$D61,J$4&lt;$D61+'Incremental Repayments'!$I$31),-PMT('Interest Rate'!$J$16,'Incremental Repayments'!$I$31,(HLOOKUP($D61,$E$4:$CZ$32,28,FALSE)*'Incremental Repayments'!$I$22)),0),0)</f>
        <v>0</v>
      </c>
      <c r="K61" s="783">
        <f>IF('Incremental Repayments'!$R$22="Debt",IF(AND(K$4&gt;=$D61,K$4&lt;$D61+'Incremental Repayments'!$I$31),-PMT('Interest Rate'!$J$16,'Incremental Repayments'!$I$31,(HLOOKUP($D61,$E$4:$CZ$32,28,FALSE)*'Incremental Repayments'!$I$22)),0),0)</f>
        <v>0</v>
      </c>
      <c r="L61" s="783">
        <f>IF('Incremental Repayments'!$R$22="Debt",IF(AND(L$4&gt;=$D61,L$4&lt;$D61+'Incremental Repayments'!$I$31),-PMT('Interest Rate'!$J$16,'Incremental Repayments'!$I$31,(HLOOKUP($D61,$E$4:$CZ$32,28,FALSE)*'Incremental Repayments'!$I$22)),0),0)</f>
        <v>0</v>
      </c>
      <c r="M61" s="783">
        <f>IF('Incremental Repayments'!$R$22="Debt",IF(AND(M$4&gt;=$D61,M$4&lt;$D61+'Incremental Repayments'!$I$31),-PMT('Interest Rate'!$J$16,'Incremental Repayments'!$I$31,(HLOOKUP($D61,$E$4:$CZ$32,28,FALSE)*'Incremental Repayments'!$I$22)),0),0)</f>
        <v>0</v>
      </c>
      <c r="N61" s="783">
        <f>IF('Incremental Repayments'!$R$22="Debt",IF(AND(N$4&gt;=$D61,N$4&lt;$D61+'Incremental Repayments'!$I$31),-PMT('Interest Rate'!$J$16,'Incremental Repayments'!$I$31,(HLOOKUP($D61,$E$4:$CZ$32,28,FALSE)*'Incremental Repayments'!$I$22)),0),0)</f>
        <v>0</v>
      </c>
      <c r="O61" s="783">
        <f>IF('Incremental Repayments'!$R$22="Debt",IF(AND(O$4&gt;=$D61,O$4&lt;$D61+'Incremental Repayments'!$I$31),-PMT('Interest Rate'!$J$16,'Incremental Repayments'!$I$31,(HLOOKUP($D61,$E$4:$CZ$32,28,FALSE)*'Incremental Repayments'!$I$22)),0),0)</f>
        <v>0</v>
      </c>
      <c r="P61" s="783">
        <f>IF('Incremental Repayments'!$R$22="Debt",IF(AND(P$4&gt;=$D61,P$4&lt;$D61+'Incremental Repayments'!$I$31),-PMT('Interest Rate'!$J$16,'Incremental Repayments'!$I$31,(HLOOKUP($D61,$E$4:$CZ$32,28,FALSE)*'Incremental Repayments'!$I$22)),0),0)</f>
        <v>0</v>
      </c>
      <c r="Q61" s="783">
        <f>IF('Incremental Repayments'!$R$22="Debt",IF(AND(Q$4&gt;=$D61,Q$4&lt;$D61+'Incremental Repayments'!$I$31),-PMT('Interest Rate'!$J$16,'Incremental Repayments'!$I$31,(HLOOKUP($D61,$E$4:$CZ$32,28,FALSE)*'Incremental Repayments'!$I$22)),0),0)</f>
        <v>0</v>
      </c>
      <c r="R61" s="783">
        <f>IF('Incremental Repayments'!$R$22="Debt",IF(AND(R$4&gt;=$D61,R$4&lt;$D61+'Incremental Repayments'!$I$31),-PMT('Interest Rate'!$J$16,'Incremental Repayments'!$I$31,(HLOOKUP($D61,$E$4:$CZ$32,28,FALSE)*'Incremental Repayments'!$I$22)),0),0)</f>
        <v>0</v>
      </c>
      <c r="S61" s="783">
        <f>IF('Incremental Repayments'!$R$22="Debt",IF(AND(S$4&gt;=$D61,S$4&lt;$D61+'Incremental Repayments'!$I$31),-PMT('Interest Rate'!$J$16,'Incremental Repayments'!$I$31,(HLOOKUP($D61,$E$4:$CZ$32,28,FALSE)*'Incremental Repayments'!$I$22)),0),0)</f>
        <v>0</v>
      </c>
      <c r="T61" s="783">
        <f>IF('Incremental Repayments'!$R$22="Debt",IF(AND(T$4&gt;=$D61,T$4&lt;$D61+'Incremental Repayments'!$I$31),-PMT('Interest Rate'!$J$16,'Incremental Repayments'!$I$31,(HLOOKUP($D61,$E$4:$CZ$32,28,FALSE)*'Incremental Repayments'!$I$22)),0),0)</f>
        <v>0</v>
      </c>
      <c r="U61" s="783">
        <f>IF('Incremental Repayments'!$R$22="Debt",IF(AND(U$4&gt;=$D61,U$4&lt;$D61+'Incremental Repayments'!$I$31),-PMT('Interest Rate'!$J$16,'Incremental Repayments'!$I$31,(HLOOKUP($D61,$E$4:$CZ$32,28,FALSE)*'Incremental Repayments'!$I$22)),0),0)</f>
        <v>0</v>
      </c>
      <c r="V61" s="783">
        <f>IF('Incremental Repayments'!$R$22="Debt",IF(AND(V$4&gt;=$D61,V$4&lt;$D61+'Incremental Repayments'!$I$31),-PMT('Interest Rate'!$J$16,'Incremental Repayments'!$I$31,(HLOOKUP($D61,$E$4:$CZ$32,28,FALSE)*'Incremental Repayments'!$I$22)),0),0)</f>
        <v>0</v>
      </c>
      <c r="W61" s="783">
        <f>IF('Incremental Repayments'!$R$22="Debt",IF(AND(W$4&gt;=$D61,W$4&lt;$D61+'Incremental Repayments'!$I$31),-PMT('Interest Rate'!$J$16,'Incremental Repayments'!$I$31,(HLOOKUP($D61,$E$4:$CZ$32,28,FALSE)*'Incremental Repayments'!$I$22)),0),0)</f>
        <v>0</v>
      </c>
      <c r="X61" s="783">
        <f>IF('Incremental Repayments'!$R$22="Debt",IF(AND(X$4&gt;=$D61,X$4&lt;$D61+'Incremental Repayments'!$I$31),-PMT('Interest Rate'!$J$16,'Incremental Repayments'!$I$31,(HLOOKUP($D61,$E$4:$CZ$32,28,FALSE)*'Incremental Repayments'!$I$22)),0),0)</f>
        <v>0</v>
      </c>
      <c r="Y61" s="783">
        <f>IF('Incremental Repayments'!$R$22="Debt",IF(AND(Y$4&gt;=$D61,Y$4&lt;$D61+'Incremental Repayments'!$I$31),-PMT('Interest Rate'!$J$16,'Incremental Repayments'!$I$31,(HLOOKUP($D61,$E$4:$CZ$32,28,FALSE)*'Incremental Repayments'!$I$22)),0),0)</f>
        <v>0</v>
      </c>
      <c r="Z61" s="783">
        <f>IF('Incremental Repayments'!$R$22="Debt",IF(AND(Z$4&gt;=$D61,Z$4&lt;$D61+'Incremental Repayments'!$I$31),-PMT('Interest Rate'!$J$16,'Incremental Repayments'!$I$31,(HLOOKUP($D61,$E$4:$CZ$32,28,FALSE)*'Incremental Repayments'!$I$22)),0),0)</f>
        <v>0</v>
      </c>
      <c r="AA61" s="783">
        <f>IF('Incremental Repayments'!$R$22="Debt",IF(AND(AA$4&gt;=$D61,AA$4&lt;$D61+'Incremental Repayments'!$I$31),-PMT('Interest Rate'!$J$16,'Incremental Repayments'!$I$31,(HLOOKUP($D61,$E$4:$CZ$32,28,FALSE)*'Incremental Repayments'!$I$22)),0),0)</f>
        <v>0</v>
      </c>
      <c r="AB61" s="783">
        <f>IF('Incremental Repayments'!$R$22="Debt",IF(AND(AB$4&gt;=$D61,AB$4&lt;$D61+'Incremental Repayments'!$I$31),-PMT('Interest Rate'!$J$16,'Incremental Repayments'!$I$31,(HLOOKUP($D61,$E$4:$CZ$32,28,FALSE)*'Incremental Repayments'!$I$22)),0),0)</f>
        <v>0</v>
      </c>
      <c r="AC61" s="783">
        <f>IF('Incremental Repayments'!$R$22="Debt",IF(AND(AC$4&gt;=$D61,AC$4&lt;$D61+'Incremental Repayments'!$I$31),-PMT('Interest Rate'!$J$16,'Incremental Repayments'!$I$31,(HLOOKUP($D61,$E$4:$CZ$32,28,FALSE)*'Incremental Repayments'!$I$22)),0),0)</f>
        <v>0</v>
      </c>
      <c r="AD61" s="783">
        <f>IF('Incremental Repayments'!$R$22="Debt",IF(AND(AD$4&gt;=$D61,AD$4&lt;$D61+'Incremental Repayments'!$I$31),-PMT('Interest Rate'!$J$16,'Incremental Repayments'!$I$31,(HLOOKUP($D61,$E$4:$CZ$32,28,FALSE)*'Incremental Repayments'!$I$22)),0),0)</f>
        <v>8387050.5306735104</v>
      </c>
      <c r="AE61" s="783">
        <f>IF('Incremental Repayments'!$R$22="Debt",IF(AND(AE$4&gt;=$D61,AE$4&lt;$D61+'Incremental Repayments'!$I$31),-PMT('Interest Rate'!$J$16,'Incremental Repayments'!$I$31,(HLOOKUP($D61,$E$4:$CZ$32,28,FALSE)*'Incremental Repayments'!$I$22)),0),0)</f>
        <v>8387050.5306735104</v>
      </c>
      <c r="AF61" s="783">
        <f>IF('Incremental Repayments'!$R$22="Debt",IF(AND(AF$4&gt;=$D61,AF$4&lt;$D61+'Incremental Repayments'!$I$31),-PMT('Interest Rate'!$J$16,'Incremental Repayments'!$I$31,(HLOOKUP($D61,$E$4:$CZ$32,28,FALSE)*'Incremental Repayments'!$I$22)),0),0)</f>
        <v>8387050.5306735104</v>
      </c>
      <c r="AG61" s="783">
        <f>IF('Incremental Repayments'!$R$22="Debt",IF(AND(AG$4&gt;=$D61,AG$4&lt;$D61+'Incremental Repayments'!$I$31),-PMT('Interest Rate'!$J$16,'Incremental Repayments'!$I$31,(HLOOKUP($D61,$E$4:$CZ$32,28,FALSE)*'Incremental Repayments'!$I$22)),0),0)</f>
        <v>8387050.5306735104</v>
      </c>
      <c r="AH61" s="783">
        <f>IF('Incremental Repayments'!$R$22="Debt",IF(AND(AH$4&gt;=$D61,AH$4&lt;$D61+'Incremental Repayments'!$I$31),-PMT('Interest Rate'!$J$16,'Incremental Repayments'!$I$31,(HLOOKUP($D61,$E$4:$CZ$32,28,FALSE)*'Incremental Repayments'!$I$22)),0),0)</f>
        <v>8387050.5306735104</v>
      </c>
      <c r="AI61" s="783">
        <f>IF('Incremental Repayments'!$R$22="Debt",IF(AND(AI$4&gt;=$D61,AI$4&lt;$D61+'Incremental Repayments'!$I$31),-PMT('Interest Rate'!$J$16,'Incremental Repayments'!$I$31,(HLOOKUP($D61,$E$4:$CZ$32,28,FALSE)*'Incremental Repayments'!$I$22)),0),0)</f>
        <v>8387050.5306735104</v>
      </c>
      <c r="AJ61" s="783">
        <f>IF('Incremental Repayments'!$R$22="Debt",IF(AND(AJ$4&gt;=$D61,AJ$4&lt;$D61+'Incremental Repayments'!$I$31),-PMT('Interest Rate'!$J$16,'Incremental Repayments'!$I$31,(HLOOKUP($D61,$E$4:$CZ$32,28,FALSE)*'Incremental Repayments'!$I$22)),0),0)</f>
        <v>8387050.5306735104</v>
      </c>
      <c r="AK61" s="783">
        <f>IF('Incremental Repayments'!$R$22="Debt",IF(AND(AK$4&gt;=$D61,AK$4&lt;$D61+'Incremental Repayments'!$I$31),-PMT('Interest Rate'!$J$16,'Incremental Repayments'!$I$31,(HLOOKUP($D61,$E$4:$CZ$32,28,FALSE)*'Incremental Repayments'!$I$22)),0),0)</f>
        <v>8387050.5306735104</v>
      </c>
      <c r="AL61" s="783">
        <f>IF('Incremental Repayments'!$R$22="Debt",IF(AND(AL$4&gt;=$D61,AL$4&lt;$D61+'Incremental Repayments'!$I$31),-PMT('Interest Rate'!$J$16,'Incremental Repayments'!$I$31,(HLOOKUP($D61,$E$4:$CZ$32,28,FALSE)*'Incremental Repayments'!$I$22)),0),0)</f>
        <v>8387050.5306735104</v>
      </c>
      <c r="AM61" s="783">
        <f>IF('Incremental Repayments'!$R$22="Debt",IF(AND(AM$4&gt;=$D61,AM$4&lt;$D61+'Incremental Repayments'!$I$31),-PMT('Interest Rate'!$J$16,'Incremental Repayments'!$I$31,(HLOOKUP($D61,$E$4:$CZ$32,28,FALSE)*'Incremental Repayments'!$I$22)),0),0)</f>
        <v>8387050.5306735104</v>
      </c>
      <c r="AN61" s="783">
        <f>IF('Incremental Repayments'!$R$22="Debt",IF(AND(AN$4&gt;=$D61,AN$4&lt;$D61+'Incremental Repayments'!$I$31),-PMT('Interest Rate'!$J$16,'Incremental Repayments'!$I$31,(HLOOKUP($D61,$E$4:$CZ$32,28,FALSE)*'Incremental Repayments'!$I$22)),0),0)</f>
        <v>8387050.5306735104</v>
      </c>
      <c r="AO61" s="783">
        <f>IF('Incremental Repayments'!$R$22="Debt",IF(AND(AO$4&gt;=$D61,AO$4&lt;$D61+'Incremental Repayments'!$I$31),-PMT('Interest Rate'!$J$16,'Incremental Repayments'!$I$31,(HLOOKUP($D61,$E$4:$CZ$32,28,FALSE)*'Incremental Repayments'!$I$22)),0),0)</f>
        <v>8387050.5306735104</v>
      </c>
      <c r="AP61" s="783">
        <f>IF('Incremental Repayments'!$R$22="Debt",IF(AND(AP$4&gt;=$D61,AP$4&lt;$D61+'Incremental Repayments'!$I$31),-PMT('Interest Rate'!$J$16,'Incremental Repayments'!$I$31,(HLOOKUP($D61,$E$4:$CZ$32,28,FALSE)*'Incremental Repayments'!$I$22)),0),0)</f>
        <v>8387050.5306735104</v>
      </c>
      <c r="AQ61" s="783">
        <f>IF('Incremental Repayments'!$R$22="Debt",IF(AND(AQ$4&gt;=$D61,AQ$4&lt;$D61+'Incremental Repayments'!$I$31),-PMT('Interest Rate'!$J$16,'Incremental Repayments'!$I$31,(HLOOKUP($D61,$E$4:$CZ$32,28,FALSE)*'Incremental Repayments'!$I$22)),0),0)</f>
        <v>8387050.5306735104</v>
      </c>
      <c r="AR61" s="783">
        <f>IF('Incremental Repayments'!$R$22="Debt",IF(AND(AR$4&gt;=$D61,AR$4&lt;$D61+'Incremental Repayments'!$I$31),-PMT('Interest Rate'!$J$16,'Incremental Repayments'!$I$31,(HLOOKUP($D61,$E$4:$CZ$32,28,FALSE)*'Incremental Repayments'!$I$22)),0),0)</f>
        <v>8387050.5306735104</v>
      </c>
      <c r="AS61" s="783">
        <f>IF('Incremental Repayments'!$R$22="Debt",IF(AND(AS$4&gt;=$D61,AS$4&lt;$D61+'Incremental Repayments'!$I$31),-PMT('Interest Rate'!$J$16,'Incremental Repayments'!$I$31,(HLOOKUP($D61,$E$4:$CZ$32,28,FALSE)*'Incremental Repayments'!$I$22)),0),0)</f>
        <v>8387050.5306735104</v>
      </c>
      <c r="AT61" s="783">
        <f>IF('Incremental Repayments'!$R$22="Debt",IF(AND(AT$4&gt;=$D61,AT$4&lt;$D61+'Incremental Repayments'!$I$31),-PMT('Interest Rate'!$J$16,'Incremental Repayments'!$I$31,(HLOOKUP($D61,$E$4:$CZ$32,28,FALSE)*'Incremental Repayments'!$I$22)),0),0)</f>
        <v>8387050.5306735104</v>
      </c>
      <c r="AU61" s="783">
        <f>IF('Incremental Repayments'!$R$22="Debt",IF(AND(AU$4&gt;=$D61,AU$4&lt;$D61+'Incremental Repayments'!$I$31),-PMT('Interest Rate'!$J$16,'Incremental Repayments'!$I$31,(HLOOKUP($D61,$E$4:$CZ$32,28,FALSE)*'Incremental Repayments'!$I$22)),0),0)</f>
        <v>8387050.5306735104</v>
      </c>
      <c r="AV61" s="783">
        <f>IF('Incremental Repayments'!$R$22="Debt",IF(AND(AV$4&gt;=$D61,AV$4&lt;$D61+'Incremental Repayments'!$I$31),-PMT('Interest Rate'!$J$16,'Incremental Repayments'!$I$31,(HLOOKUP($D61,$E$4:$CZ$32,28,FALSE)*'Incremental Repayments'!$I$22)),0),0)</f>
        <v>8387050.5306735104</v>
      </c>
      <c r="AW61" s="783">
        <f>IF('Incremental Repayments'!$R$22="Debt",IF(AND(AW$4&gt;=$D61,AW$4&lt;$D61+'Incremental Repayments'!$I$31),-PMT('Interest Rate'!$J$16,'Incremental Repayments'!$I$31,(HLOOKUP($D61,$E$4:$CZ$32,28,FALSE)*'Incremental Repayments'!$I$22)),0),0)</f>
        <v>8387050.5306735104</v>
      </c>
      <c r="AX61" s="783">
        <f>IF('Incremental Repayments'!$R$22="Debt",IF(AND(AX$4&gt;=$D61,AX$4&lt;$D61+'Incremental Repayments'!$I$31),-PMT('Interest Rate'!$J$16,'Incremental Repayments'!$I$31,(HLOOKUP($D61,$E$4:$CZ$32,28,FALSE)*'Incremental Repayments'!$I$22)),0),0)</f>
        <v>8387050.5306735104</v>
      </c>
      <c r="AY61" s="783">
        <f>IF('Incremental Repayments'!$R$22="Debt",IF(AND(AY$4&gt;=$D61,AY$4&lt;$D61+'Incremental Repayments'!$I$31),-PMT('Interest Rate'!$J$16,'Incremental Repayments'!$I$31,(HLOOKUP($D61,$E$4:$CZ$32,28,FALSE)*'Incremental Repayments'!$I$22)),0),0)</f>
        <v>8387050.5306735104</v>
      </c>
      <c r="AZ61" s="783">
        <f>IF('Incremental Repayments'!$R$22="Debt",IF(AND(AZ$4&gt;=$D61,AZ$4&lt;$D61+'Incremental Repayments'!$I$31),-PMT('Interest Rate'!$J$16,'Incremental Repayments'!$I$31,(HLOOKUP($D61,$E$4:$CZ$32,28,FALSE)*'Incremental Repayments'!$I$22)),0),0)</f>
        <v>8387050.5306735104</v>
      </c>
      <c r="BA61" s="783">
        <f>IF('Incremental Repayments'!$R$22="Debt",IF(AND(BA$4&gt;=$D61,BA$4&lt;$D61+'Incremental Repayments'!$I$31),-PMT('Interest Rate'!$J$16,'Incremental Repayments'!$I$31,(HLOOKUP($D61,$E$4:$CZ$32,28,FALSE)*'Incremental Repayments'!$I$22)),0),0)</f>
        <v>8387050.5306735104</v>
      </c>
      <c r="BB61" s="783">
        <f>IF('Incremental Repayments'!$R$22="Debt",IF(AND(BB$4&gt;=$D61,BB$4&lt;$D61+'Incremental Repayments'!$I$31),-PMT('Interest Rate'!$J$16,'Incremental Repayments'!$I$31,(HLOOKUP($D61,$E$4:$CZ$32,28,FALSE)*'Incremental Repayments'!$I$22)),0),0)</f>
        <v>8387050.5306735104</v>
      </c>
      <c r="BC61" s="783">
        <f>IF('Incremental Repayments'!$R$22="Debt",IF(AND(BC$4&gt;=$D61,BC$4&lt;$D61+'Incremental Repayments'!$I$31),-PMT('Interest Rate'!$J$16,'Incremental Repayments'!$I$31,(HLOOKUP($D61,$E$4:$CZ$32,28,FALSE)*'Incremental Repayments'!$I$22)),0),0)</f>
        <v>8387050.5306735104</v>
      </c>
      <c r="BD61" s="783">
        <f>IF('Incremental Repayments'!$R$22="Debt",IF(AND(BD$4&gt;=$D61,BD$4&lt;$D61+'Incremental Repayments'!$I$31),-PMT('Interest Rate'!$J$16,'Incremental Repayments'!$I$31,(HLOOKUP($D61,$E$4:$CZ$32,28,FALSE)*'Incremental Repayments'!$I$22)),0),0)</f>
        <v>8387050.5306735104</v>
      </c>
      <c r="BE61" s="783">
        <f>IF('Incremental Repayments'!$R$22="Debt",IF(AND(BE$4&gt;=$D61,BE$4&lt;$D61+'Incremental Repayments'!$I$31),-PMT('Interest Rate'!$J$16,'Incremental Repayments'!$I$31,(HLOOKUP($D61,$E$4:$CZ$32,28,FALSE)*'Incremental Repayments'!$I$22)),0),0)</f>
        <v>8387050.5306735104</v>
      </c>
      <c r="BF61" s="783">
        <f>IF('Incremental Repayments'!$R$22="Debt",IF(AND(BF$4&gt;=$D61,BF$4&lt;$D61+'Incremental Repayments'!$I$31),-PMT('Interest Rate'!$J$16,'Incremental Repayments'!$I$31,(HLOOKUP($D61,$E$4:$CZ$32,28,FALSE)*'Incremental Repayments'!$I$22)),0),0)</f>
        <v>8387050.5306735104</v>
      </c>
      <c r="BG61" s="783">
        <f>IF('Incremental Repayments'!$R$22="Debt",IF(AND(BG$4&gt;=$D61,BG$4&lt;$D61+'Incremental Repayments'!$I$31),-PMT('Interest Rate'!$J$16,'Incremental Repayments'!$I$31,(HLOOKUP($D61,$E$4:$CZ$32,28,FALSE)*'Incremental Repayments'!$I$22)),0),0)</f>
        <v>8387050.5306735104</v>
      </c>
      <c r="BH61" s="783">
        <f>IF('Incremental Repayments'!$R$22="Debt",IF(AND(BH$4&gt;=$D61,BH$4&lt;$D61+'Incremental Repayments'!$I$31),-PMT('Interest Rate'!$J$16,'Incremental Repayments'!$I$31,(HLOOKUP($D61,$E$4:$CZ$32,28,FALSE)*'Incremental Repayments'!$I$22)),0),0)</f>
        <v>0</v>
      </c>
      <c r="BI61" s="783">
        <f>IF('Incremental Repayments'!$R$22="Debt",IF(AND(BI$4&gt;=$D61,BI$4&lt;$D61+'Incremental Repayments'!$I$31),-PMT('Interest Rate'!$J$16,'Incremental Repayments'!$I$31,(HLOOKUP($D61,$E$4:$CZ$32,28,FALSE)*'Incremental Repayments'!$I$22)),0),0)</f>
        <v>0</v>
      </c>
      <c r="BJ61" s="783">
        <f>IF('Incremental Repayments'!$R$22="Debt",IF(AND(BJ$4&gt;=$D61,BJ$4&lt;$D61+'Incremental Repayments'!$I$31),-PMT('Interest Rate'!$J$16,'Incremental Repayments'!$I$31,(HLOOKUP($D61,$E$4:$CZ$32,28,FALSE)*'Incremental Repayments'!$I$22)),0),0)</f>
        <v>0</v>
      </c>
      <c r="BK61" s="783">
        <f>IF('Incremental Repayments'!$R$22="Debt",IF(AND(BK$4&gt;=$D61,BK$4&lt;$D61+'Incremental Repayments'!$I$31),-PMT('Interest Rate'!$J$16,'Incremental Repayments'!$I$31,(HLOOKUP($D61,$E$4:$CZ$32,28,FALSE)*'Incremental Repayments'!$I$22)),0),0)</f>
        <v>0</v>
      </c>
      <c r="BL61" s="783">
        <f>IF('Incremental Repayments'!$R$22="Debt",IF(AND(BL$4&gt;=$D61,BL$4&lt;$D61+'Incremental Repayments'!$I$31),-PMT('Interest Rate'!$J$16,'Incremental Repayments'!$I$31,(HLOOKUP($D61,$E$4:$CZ$32,28,FALSE)*'Incremental Repayments'!$I$22)),0),0)</f>
        <v>0</v>
      </c>
      <c r="BM61" s="783">
        <f>IF('Incremental Repayments'!$R$22="Debt",IF(AND(BM$4&gt;=$D61,BM$4&lt;$D61+'Incremental Repayments'!$I$31),-PMT('Interest Rate'!$J$16,'Incremental Repayments'!$I$31,(HLOOKUP($D61,$E$4:$CZ$32,28,FALSE)*'Incremental Repayments'!$I$22)),0),0)</f>
        <v>0</v>
      </c>
      <c r="BN61" s="783">
        <f>IF('Incremental Repayments'!$R$22="Debt",IF(AND(BN$4&gt;=$D61,BN$4&lt;$D61+'Incremental Repayments'!$I$31),-PMT('Interest Rate'!$J$16,'Incremental Repayments'!$I$31,(HLOOKUP($D61,$E$4:$CZ$32,28,FALSE)*'Incremental Repayments'!$I$22)),0),0)</f>
        <v>0</v>
      </c>
      <c r="BO61" s="783">
        <f>IF('Incremental Repayments'!$R$22="Debt",IF(AND(BO$4&gt;=$D61,BO$4&lt;$D61+'Incremental Repayments'!$I$31),-PMT('Interest Rate'!$J$16,'Incremental Repayments'!$I$31,(HLOOKUP($D61,$E$4:$CZ$32,28,FALSE)*'Incremental Repayments'!$I$22)),0),0)</f>
        <v>0</v>
      </c>
      <c r="BP61" s="783">
        <f>IF('Incremental Repayments'!$R$22="Debt",IF(AND(BP$4&gt;=$D61,BP$4&lt;$D61+'Incremental Repayments'!$I$31),-PMT('Interest Rate'!$J$16,'Incremental Repayments'!$I$31,(HLOOKUP($D61,$E$4:$CZ$32,28,FALSE)*'Incremental Repayments'!$I$22)),0),0)</f>
        <v>0</v>
      </c>
      <c r="BQ61" s="783">
        <f>IF('Incremental Repayments'!$R$22="Debt",IF(AND(BQ$4&gt;=$D61,BQ$4&lt;$D61+'Incremental Repayments'!$I$31),-PMT('Interest Rate'!$J$16,'Incremental Repayments'!$I$31,(HLOOKUP($D61,$E$4:$CZ$32,28,FALSE)*'Incremental Repayments'!$I$22)),0),0)</f>
        <v>0</v>
      </c>
      <c r="BR61" s="783">
        <f>IF('Incremental Repayments'!$R$22="Debt",IF(AND(BR$4&gt;=$D61,BR$4&lt;$D61+'Incremental Repayments'!$I$31),-PMT('Interest Rate'!$J$16,'Incremental Repayments'!$I$31,(HLOOKUP($D61,$E$4:$CZ$32,28,FALSE)*'Incremental Repayments'!$I$22)),0),0)</f>
        <v>0</v>
      </c>
      <c r="BS61" s="783">
        <f>IF('Incremental Repayments'!$R$22="Debt",IF(AND(BS$4&gt;=$D61,BS$4&lt;$D61+'Incremental Repayments'!$I$31),-PMT('Interest Rate'!$J$16,'Incremental Repayments'!$I$31,(HLOOKUP($D61,$E$4:$CZ$32,28,FALSE)*'Incremental Repayments'!$I$22)),0),0)</f>
        <v>0</v>
      </c>
      <c r="BT61" s="783">
        <f>IF('Incremental Repayments'!$R$22="Debt",IF(AND(BT$4&gt;=$D61,BT$4&lt;$D61+'Incremental Repayments'!$I$31),-PMT('Interest Rate'!$J$16,'Incremental Repayments'!$I$31,(HLOOKUP($D61,$E$4:$CZ$32,28,FALSE)*'Incremental Repayments'!$I$22)),0),0)</f>
        <v>0</v>
      </c>
      <c r="BU61" s="783">
        <f>IF('Incremental Repayments'!$R$22="Debt",IF(AND(BU$4&gt;=$D61,BU$4&lt;$D61+'Incremental Repayments'!$I$31),-PMT('Interest Rate'!$J$16,'Incremental Repayments'!$I$31,(HLOOKUP($D61,$E$4:$CZ$32,28,FALSE)*'Incremental Repayments'!$I$22)),0),0)</f>
        <v>0</v>
      </c>
      <c r="BV61" s="783">
        <f>IF('Incremental Repayments'!$R$22="Debt",IF(AND(BV$4&gt;=$D61,BV$4&lt;$D61+'Incremental Repayments'!$I$31),-PMT('Interest Rate'!$J$16,'Incremental Repayments'!$I$31,(HLOOKUP($D61,$E$4:$CZ$32,28,FALSE)*'Incremental Repayments'!$I$22)),0),0)</f>
        <v>0</v>
      </c>
      <c r="BW61" s="783">
        <f>IF('Incremental Repayments'!$R$22="Debt",IF(AND(BW$4&gt;=$D61,BW$4&lt;$D61+'Incremental Repayments'!$I$31),-PMT('Interest Rate'!$J$16,'Incremental Repayments'!$I$31,(HLOOKUP($D61,$E$4:$CZ$32,28,FALSE)*'Incremental Repayments'!$I$22)),0),0)</f>
        <v>0</v>
      </c>
      <c r="BX61" s="783">
        <f>IF('Incremental Repayments'!$R$22="Debt",IF(AND(BX$4&gt;=$D61,BX$4&lt;$D61+'Incremental Repayments'!$I$31),-PMT('Interest Rate'!$J$16,'Incremental Repayments'!$I$31,(HLOOKUP($D61,$E$4:$CZ$32,28,FALSE)*'Incremental Repayments'!$I$22)),0),0)</f>
        <v>0</v>
      </c>
      <c r="BY61" s="783">
        <f>IF('Incremental Repayments'!$R$22="Debt",IF(AND(BY$4&gt;=$D61,BY$4&lt;$D61+'Incremental Repayments'!$I$31),-PMT('Interest Rate'!$J$16,'Incremental Repayments'!$I$31,(HLOOKUP($D61,$E$4:$CZ$32,28,FALSE)*'Incremental Repayments'!$I$22)),0),0)</f>
        <v>0</v>
      </c>
      <c r="BZ61" s="783">
        <f>IF('Incremental Repayments'!$R$22="Debt",IF(AND(BZ$4&gt;=$D61,BZ$4&lt;$D61+'Incremental Repayments'!$I$31),-PMT('Interest Rate'!$J$16,'Incremental Repayments'!$I$31,(HLOOKUP($D61,$E$4:$CZ$32,28,FALSE)*'Incremental Repayments'!$I$22)),0),0)</f>
        <v>0</v>
      </c>
      <c r="CA61" s="783">
        <f>IF('Incremental Repayments'!$R$22="Debt",IF(AND(CA$4&gt;=$D61,CA$4&lt;$D61+'Incremental Repayments'!$I$31),-PMT('Interest Rate'!$J$16,'Incremental Repayments'!$I$31,(HLOOKUP($D61,$E$4:$CZ$32,28,FALSE)*'Incremental Repayments'!$I$22)),0),0)</f>
        <v>0</v>
      </c>
      <c r="CB61" s="783">
        <f>IF('Incremental Repayments'!$R$22="Debt",IF(AND(CB$4&gt;=$D61,CB$4&lt;$D61+'Incremental Repayments'!$I$31),-PMT('Interest Rate'!$J$16,'Incremental Repayments'!$I$31,(HLOOKUP($D61,$E$4:$CZ$32,28,FALSE)*'Incremental Repayments'!$I$22)),0),0)</f>
        <v>0</v>
      </c>
      <c r="CC61" s="783">
        <f>IF('Incremental Repayments'!$R$22="Debt",IF(AND(CC$4&gt;=$D61,CC$4&lt;$D61+'Incremental Repayments'!$I$31),-PMT('Interest Rate'!$J$16,'Incremental Repayments'!$I$31,(HLOOKUP($D61,$E$4:$CZ$32,28,FALSE)*'Incremental Repayments'!$I$22)),0),0)</f>
        <v>0</v>
      </c>
      <c r="CD61" s="783">
        <f>IF('Incremental Repayments'!$R$22="Debt",IF(AND(CD$4&gt;=$D61,CD$4&lt;$D61+'Incremental Repayments'!$I$31),-PMT('Interest Rate'!$J$16,'Incremental Repayments'!$I$31,(HLOOKUP($D61,$E$4:$CZ$32,28,FALSE)*'Incremental Repayments'!$I$22)),0),0)</f>
        <v>0</v>
      </c>
      <c r="CE61" s="783">
        <f>IF('Incremental Repayments'!$R$22="Debt",IF(AND(CE$4&gt;=$D61,CE$4&lt;$D61+'Incremental Repayments'!$I$31),-PMT('Interest Rate'!$J$16,'Incremental Repayments'!$I$31,(HLOOKUP($D61,$E$4:$CZ$32,28,FALSE)*'Incremental Repayments'!$I$22)),0),0)</f>
        <v>0</v>
      </c>
      <c r="CF61" s="783">
        <f>IF('Incremental Repayments'!$R$22="Debt",IF(AND(CF$4&gt;=$D61,CF$4&lt;$D61+'Incremental Repayments'!$I$31),-PMT('Interest Rate'!$J$16,'Incremental Repayments'!$I$31,(HLOOKUP($D61,$E$4:$CZ$32,28,FALSE)*'Incremental Repayments'!$I$22)),0),0)</f>
        <v>0</v>
      </c>
      <c r="CG61" s="783">
        <f>IF('Incremental Repayments'!$R$22="Debt",IF(AND(CG$4&gt;=$D61,CG$4&lt;$D61+'Incremental Repayments'!$I$31),-PMT('Interest Rate'!$J$16,'Incremental Repayments'!$I$31,(HLOOKUP($D61,$E$4:$CZ$32,28,FALSE)*'Incremental Repayments'!$I$22)),0),0)</f>
        <v>0</v>
      </c>
      <c r="CH61" s="783">
        <f>IF('Incremental Repayments'!$R$22="Debt",IF(AND(CH$4&gt;=$D61,CH$4&lt;$D61+'Incremental Repayments'!$I$31),-PMT('Interest Rate'!$J$16,'Incremental Repayments'!$I$31,(HLOOKUP($D61,$E$4:$CZ$32,28,FALSE)*'Incremental Repayments'!$I$22)),0),0)</f>
        <v>0</v>
      </c>
      <c r="CI61" s="783">
        <f>IF('Incremental Repayments'!$R$22="Debt",IF(AND(CI$4&gt;=$D61,CI$4&lt;$D61+'Incremental Repayments'!$I$31),-PMT('Interest Rate'!$J$16,'Incremental Repayments'!$I$31,(HLOOKUP($D61,$E$4:$CZ$32,28,FALSE)*'Incremental Repayments'!$I$22)),0),0)</f>
        <v>0</v>
      </c>
      <c r="CJ61" s="783">
        <f>IF('Incremental Repayments'!$R$22="Debt",IF(AND(CJ$4&gt;=$D61,CJ$4&lt;$D61+'Incremental Repayments'!$I$31),-PMT('Interest Rate'!$J$16,'Incremental Repayments'!$I$31,(HLOOKUP($D61,$E$4:$CZ$32,28,FALSE)*'Incremental Repayments'!$I$22)),0),0)</f>
        <v>0</v>
      </c>
      <c r="CK61" s="783">
        <f>IF('Incremental Repayments'!$R$22="Debt",IF(AND(CK$4&gt;=$D61,CK$4&lt;$D61+'Incremental Repayments'!$I$31),-PMT('Interest Rate'!$J$16,'Incremental Repayments'!$I$31,(HLOOKUP($D61,$E$4:$CZ$32,28,FALSE)*'Incremental Repayments'!$I$22)),0),0)</f>
        <v>0</v>
      </c>
      <c r="CL61" s="783">
        <f>IF('Incremental Repayments'!$R$22="Debt",IF(AND(CL$4&gt;=$D61,CL$4&lt;$D61+'Incremental Repayments'!$I$31),-PMT('Interest Rate'!$J$16,'Incremental Repayments'!$I$31,(HLOOKUP($D61,$E$4:$CZ$32,28,FALSE)*'Incremental Repayments'!$I$22)),0),0)</f>
        <v>0</v>
      </c>
      <c r="CM61" s="783">
        <f>IF('Incremental Repayments'!$R$22="Debt",IF(AND(CM$4&gt;=$D61,CM$4&lt;$D61+'Incremental Repayments'!$I$31),-PMT('Interest Rate'!$J$16,'Incremental Repayments'!$I$31,(HLOOKUP($D61,$E$4:$CZ$32,28,FALSE)*'Incremental Repayments'!$I$22)),0),0)</f>
        <v>0</v>
      </c>
      <c r="CN61" s="783">
        <f>IF('Incremental Repayments'!$R$22="Debt",IF(AND(CN$4&gt;=$D61,CN$4&lt;$D61+'Incremental Repayments'!$I$31),-PMT('Interest Rate'!$J$16,'Incremental Repayments'!$I$31,(HLOOKUP($D61,$E$4:$CZ$32,28,FALSE)*'Incremental Repayments'!$I$22)),0),0)</f>
        <v>0</v>
      </c>
      <c r="CO61" s="783">
        <f>IF('Incremental Repayments'!$R$22="Debt",IF(AND(CO$4&gt;=$D61,CO$4&lt;$D61+'Incremental Repayments'!$I$31),-PMT('Interest Rate'!$J$16,'Incremental Repayments'!$I$31,(HLOOKUP($D61,$E$4:$CZ$32,28,FALSE)*'Incremental Repayments'!$I$22)),0),0)</f>
        <v>0</v>
      </c>
      <c r="CP61" s="783">
        <f>IF('Incremental Repayments'!$R$22="Debt",IF(AND(CP$4&gt;=$D61,CP$4&lt;$D61+'Incremental Repayments'!$I$31),-PMT('Interest Rate'!$J$16,'Incremental Repayments'!$I$31,(HLOOKUP($D61,$E$4:$CZ$32,28,FALSE)*'Incremental Repayments'!$I$22)),0),0)</f>
        <v>0</v>
      </c>
      <c r="CQ61" s="783">
        <f>IF('Incremental Repayments'!$R$22="Debt",IF(AND(CQ$4&gt;=$D61,CQ$4&lt;$D61+'Incremental Repayments'!$I$31),-PMT('Interest Rate'!$J$16,'Incremental Repayments'!$I$31,(HLOOKUP($D61,$E$4:$CZ$32,28,FALSE)*'Incremental Repayments'!$I$22)),0),0)</f>
        <v>0</v>
      </c>
      <c r="CR61" s="783">
        <f>IF('Incremental Repayments'!$R$22="Debt",IF(AND(CR$4&gt;=$D61,CR$4&lt;$D61+'Incremental Repayments'!$I$31),-PMT('Interest Rate'!$J$16,'Incremental Repayments'!$I$31,(HLOOKUP($D61,$E$4:$CZ$32,28,FALSE)*'Incremental Repayments'!$I$22)),0),0)</f>
        <v>0</v>
      </c>
      <c r="CS61" s="783">
        <f>IF('Incremental Repayments'!$R$22="Debt",IF(AND(CS$4&gt;=$D61,CS$4&lt;$D61+'Incremental Repayments'!$I$31),-PMT('Interest Rate'!$J$16,'Incremental Repayments'!$I$31,(HLOOKUP($D61,$E$4:$CZ$32,28,FALSE)*'Incremental Repayments'!$I$22)),0),0)</f>
        <v>0</v>
      </c>
      <c r="CT61" s="783">
        <f>IF('Incremental Repayments'!$R$22="Debt",IF(AND(CT$4&gt;=$D61,CT$4&lt;$D61+'Incremental Repayments'!$I$31),-PMT('Interest Rate'!$J$16,'Incremental Repayments'!$I$31,(HLOOKUP($D61,$E$4:$CZ$32,28,FALSE)*'Incremental Repayments'!$I$22)),0),0)</f>
        <v>0</v>
      </c>
      <c r="CU61" s="783">
        <f>IF('Incremental Repayments'!$R$22="Debt",IF(AND(CU$4&gt;=$D61,CU$4&lt;$D61+'Incremental Repayments'!$I$31),-PMT('Interest Rate'!$J$16,'Incremental Repayments'!$I$31,(HLOOKUP($D61,$E$4:$CZ$32,28,FALSE)*'Incremental Repayments'!$I$22)),0),0)</f>
        <v>0</v>
      </c>
      <c r="CV61" s="783">
        <f>IF('Incremental Repayments'!$R$22="Debt",IF(AND(CV$4&gt;=$D61,CV$4&lt;$D61+'Incremental Repayments'!$I$31),-PMT('Interest Rate'!$J$16,'Incremental Repayments'!$I$31,(HLOOKUP($D61,$E$4:$CZ$32,28,FALSE)*'Incremental Repayments'!$I$22)),0),0)</f>
        <v>0</v>
      </c>
      <c r="CW61" s="783">
        <f>IF('Incremental Repayments'!$R$22="Debt",IF(AND(CW$4&gt;=$D61,CW$4&lt;$D61+'Incremental Repayments'!$I$31),-PMT('Interest Rate'!$J$16,'Incremental Repayments'!$I$31,(HLOOKUP($D61,$E$4:$CZ$32,28,FALSE)*'Incremental Repayments'!$I$22)),0),0)</f>
        <v>0</v>
      </c>
      <c r="CX61" s="783">
        <f>IF('Incremental Repayments'!$R$22="Debt",IF(AND(CX$4&gt;=$D61,CX$4&lt;$D61+'Incremental Repayments'!$I$31),-PMT('Interest Rate'!$J$16,'Incremental Repayments'!$I$31,(HLOOKUP($D61,$E$4:$CZ$32,28,FALSE)*'Incremental Repayments'!$I$22)),0),0)</f>
        <v>0</v>
      </c>
      <c r="CY61" s="783">
        <f>IF('Incremental Repayments'!$R$22="Debt",IF(AND(CY$4&gt;=$D61,CY$4&lt;$D61+'Incremental Repayments'!$I$31),-PMT('Interest Rate'!$J$16,'Incremental Repayments'!$I$31,(HLOOKUP($D61,$E$4:$CZ$32,28,FALSE)*'Incremental Repayments'!$I$22)),0),0)</f>
        <v>0</v>
      </c>
      <c r="CZ61" s="783">
        <f>IF('Incremental Repayments'!$R$22="Debt",IF(AND(CZ$4&gt;=$D61,CZ$4&lt;$D61+'Incremental Repayments'!$I$31),-PMT('Interest Rate'!$J$16,'Incremental Repayments'!$I$31,(HLOOKUP($D61,$E$4:$CZ$32,28,FALSE)*'Incremental Repayments'!$I$22)),0),0)</f>
        <v>0</v>
      </c>
    </row>
    <row r="62" spans="1:104" x14ac:dyDescent="0.25">
      <c r="B62" s="480" t="str">
        <f>CONCATENATE("Series ",D62,"A Bonds (at ",'Interest Rate'!$J$16*100,"% Interest)")</f>
        <v>Series 2040A Bonds (at 4.5% Interest)</v>
      </c>
      <c r="C62" s="480"/>
      <c r="D62" s="492">
        <f t="shared" si="47"/>
        <v>2040</v>
      </c>
      <c r="E62" s="783">
        <f>IF('Incremental Repayments'!$R$22="Debt",IF(AND(E$4&gt;=$D62,E$4&lt;$D62+'Incremental Repayments'!$I$31),-PMT('Interest Rate'!$J$16,'Incremental Repayments'!$I$31,(HLOOKUP($D62,$E$4:$CZ$32,28,FALSE)*'Incremental Repayments'!$I$22)),0),0)</f>
        <v>0</v>
      </c>
      <c r="F62" s="783">
        <f>IF('Incremental Repayments'!$R$22="Debt",IF(AND(F$4&gt;=$D62,F$4&lt;$D62+'Incremental Repayments'!$I$31),-PMT('Interest Rate'!$J$16,'Incremental Repayments'!$I$31,(HLOOKUP($D62,$E$4:$CZ$32,28,FALSE)*'Incremental Repayments'!$I$22)),0),0)</f>
        <v>0</v>
      </c>
      <c r="G62" s="783">
        <f>IF('Incremental Repayments'!$R$22="Debt",IF(AND(G$4&gt;=$D62,G$4&lt;$D62+'Incremental Repayments'!$I$31),-PMT('Interest Rate'!$J$16,'Incremental Repayments'!$I$31,(HLOOKUP($D62,$E$4:$CZ$32,28,FALSE)*'Incremental Repayments'!$I$22)),0),0)</f>
        <v>0</v>
      </c>
      <c r="H62" s="783">
        <f>IF('Incremental Repayments'!$R$22="Debt",IF(AND(H$4&gt;=$D62,H$4&lt;$D62+'Incremental Repayments'!$I$31),-PMT('Interest Rate'!$J$16,'Incremental Repayments'!$I$31,(HLOOKUP($D62,$E$4:$CZ$32,28,FALSE)*'Incremental Repayments'!$I$22)),0),0)</f>
        <v>0</v>
      </c>
      <c r="I62" s="783">
        <f>IF('Incremental Repayments'!$R$22="Debt",IF(AND(I$4&gt;=$D62,I$4&lt;$D62+'Incremental Repayments'!$I$31),-PMT('Interest Rate'!$J$16,'Incremental Repayments'!$I$31,(HLOOKUP($D62,$E$4:$CZ$32,28,FALSE)*'Incremental Repayments'!$I$22)),0),0)</f>
        <v>0</v>
      </c>
      <c r="J62" s="783">
        <f>IF('Incremental Repayments'!$R$22="Debt",IF(AND(J$4&gt;=$D62,J$4&lt;$D62+'Incremental Repayments'!$I$31),-PMT('Interest Rate'!$J$16,'Incremental Repayments'!$I$31,(HLOOKUP($D62,$E$4:$CZ$32,28,FALSE)*'Incremental Repayments'!$I$22)),0),0)</f>
        <v>0</v>
      </c>
      <c r="K62" s="783">
        <f>IF('Incremental Repayments'!$R$22="Debt",IF(AND(K$4&gt;=$D62,K$4&lt;$D62+'Incremental Repayments'!$I$31),-PMT('Interest Rate'!$J$16,'Incremental Repayments'!$I$31,(HLOOKUP($D62,$E$4:$CZ$32,28,FALSE)*'Incremental Repayments'!$I$22)),0),0)</f>
        <v>0</v>
      </c>
      <c r="L62" s="783">
        <f>IF('Incremental Repayments'!$R$22="Debt",IF(AND(L$4&gt;=$D62,L$4&lt;$D62+'Incremental Repayments'!$I$31),-PMT('Interest Rate'!$J$16,'Incremental Repayments'!$I$31,(HLOOKUP($D62,$E$4:$CZ$32,28,FALSE)*'Incremental Repayments'!$I$22)),0),0)</f>
        <v>0</v>
      </c>
      <c r="M62" s="783">
        <f>IF('Incremental Repayments'!$R$22="Debt",IF(AND(M$4&gt;=$D62,M$4&lt;$D62+'Incremental Repayments'!$I$31),-PMT('Interest Rate'!$J$16,'Incremental Repayments'!$I$31,(HLOOKUP($D62,$E$4:$CZ$32,28,FALSE)*'Incremental Repayments'!$I$22)),0),0)</f>
        <v>0</v>
      </c>
      <c r="N62" s="783">
        <f>IF('Incremental Repayments'!$R$22="Debt",IF(AND(N$4&gt;=$D62,N$4&lt;$D62+'Incremental Repayments'!$I$31),-PMT('Interest Rate'!$J$16,'Incremental Repayments'!$I$31,(HLOOKUP($D62,$E$4:$CZ$32,28,FALSE)*'Incremental Repayments'!$I$22)),0),0)</f>
        <v>0</v>
      </c>
      <c r="O62" s="783">
        <f>IF('Incremental Repayments'!$R$22="Debt",IF(AND(O$4&gt;=$D62,O$4&lt;$D62+'Incremental Repayments'!$I$31),-PMT('Interest Rate'!$J$16,'Incremental Repayments'!$I$31,(HLOOKUP($D62,$E$4:$CZ$32,28,FALSE)*'Incremental Repayments'!$I$22)),0),0)</f>
        <v>0</v>
      </c>
      <c r="P62" s="783">
        <f>IF('Incremental Repayments'!$R$22="Debt",IF(AND(P$4&gt;=$D62,P$4&lt;$D62+'Incremental Repayments'!$I$31),-PMT('Interest Rate'!$J$16,'Incremental Repayments'!$I$31,(HLOOKUP($D62,$E$4:$CZ$32,28,FALSE)*'Incremental Repayments'!$I$22)),0),0)</f>
        <v>0</v>
      </c>
      <c r="Q62" s="783">
        <f>IF('Incremental Repayments'!$R$22="Debt",IF(AND(Q$4&gt;=$D62,Q$4&lt;$D62+'Incremental Repayments'!$I$31),-PMT('Interest Rate'!$J$16,'Incremental Repayments'!$I$31,(HLOOKUP($D62,$E$4:$CZ$32,28,FALSE)*'Incremental Repayments'!$I$22)),0),0)</f>
        <v>0</v>
      </c>
      <c r="R62" s="783">
        <f>IF('Incremental Repayments'!$R$22="Debt",IF(AND(R$4&gt;=$D62,R$4&lt;$D62+'Incremental Repayments'!$I$31),-PMT('Interest Rate'!$J$16,'Incremental Repayments'!$I$31,(HLOOKUP($D62,$E$4:$CZ$32,28,FALSE)*'Incremental Repayments'!$I$22)),0),0)</f>
        <v>0</v>
      </c>
      <c r="S62" s="783">
        <f>IF('Incremental Repayments'!$R$22="Debt",IF(AND(S$4&gt;=$D62,S$4&lt;$D62+'Incremental Repayments'!$I$31),-PMT('Interest Rate'!$J$16,'Incremental Repayments'!$I$31,(HLOOKUP($D62,$E$4:$CZ$32,28,FALSE)*'Incremental Repayments'!$I$22)),0),0)</f>
        <v>0</v>
      </c>
      <c r="T62" s="783">
        <f>IF('Incremental Repayments'!$R$22="Debt",IF(AND(T$4&gt;=$D62,T$4&lt;$D62+'Incremental Repayments'!$I$31),-PMT('Interest Rate'!$J$16,'Incremental Repayments'!$I$31,(HLOOKUP($D62,$E$4:$CZ$32,28,FALSE)*'Incremental Repayments'!$I$22)),0),0)</f>
        <v>0</v>
      </c>
      <c r="U62" s="783">
        <f>IF('Incremental Repayments'!$R$22="Debt",IF(AND(U$4&gt;=$D62,U$4&lt;$D62+'Incremental Repayments'!$I$31),-PMT('Interest Rate'!$J$16,'Incremental Repayments'!$I$31,(HLOOKUP($D62,$E$4:$CZ$32,28,FALSE)*'Incremental Repayments'!$I$22)),0),0)</f>
        <v>0</v>
      </c>
      <c r="V62" s="783">
        <f>IF('Incremental Repayments'!$R$22="Debt",IF(AND(V$4&gt;=$D62,V$4&lt;$D62+'Incremental Repayments'!$I$31),-PMT('Interest Rate'!$J$16,'Incremental Repayments'!$I$31,(HLOOKUP($D62,$E$4:$CZ$32,28,FALSE)*'Incremental Repayments'!$I$22)),0),0)</f>
        <v>0</v>
      </c>
      <c r="W62" s="783">
        <f>IF('Incremental Repayments'!$R$22="Debt",IF(AND(W$4&gt;=$D62,W$4&lt;$D62+'Incremental Repayments'!$I$31),-PMT('Interest Rate'!$J$16,'Incremental Repayments'!$I$31,(HLOOKUP($D62,$E$4:$CZ$32,28,FALSE)*'Incremental Repayments'!$I$22)),0),0)</f>
        <v>0</v>
      </c>
      <c r="X62" s="783">
        <f>IF('Incremental Repayments'!$R$22="Debt",IF(AND(X$4&gt;=$D62,X$4&lt;$D62+'Incremental Repayments'!$I$31),-PMT('Interest Rate'!$J$16,'Incremental Repayments'!$I$31,(HLOOKUP($D62,$E$4:$CZ$32,28,FALSE)*'Incremental Repayments'!$I$22)),0),0)</f>
        <v>0</v>
      </c>
      <c r="Y62" s="783">
        <f>IF('Incremental Repayments'!$R$22="Debt",IF(AND(Y$4&gt;=$D62,Y$4&lt;$D62+'Incremental Repayments'!$I$31),-PMT('Interest Rate'!$J$16,'Incremental Repayments'!$I$31,(HLOOKUP($D62,$E$4:$CZ$32,28,FALSE)*'Incremental Repayments'!$I$22)),0),0)</f>
        <v>0</v>
      </c>
      <c r="Z62" s="783">
        <f>IF('Incremental Repayments'!$R$22="Debt",IF(AND(Z$4&gt;=$D62,Z$4&lt;$D62+'Incremental Repayments'!$I$31),-PMT('Interest Rate'!$J$16,'Incremental Repayments'!$I$31,(HLOOKUP($D62,$E$4:$CZ$32,28,FALSE)*'Incremental Repayments'!$I$22)),0),0)</f>
        <v>0</v>
      </c>
      <c r="AA62" s="783">
        <f>IF('Incremental Repayments'!$R$22="Debt",IF(AND(AA$4&gt;=$D62,AA$4&lt;$D62+'Incremental Repayments'!$I$31),-PMT('Interest Rate'!$J$16,'Incremental Repayments'!$I$31,(HLOOKUP($D62,$E$4:$CZ$32,28,FALSE)*'Incremental Repayments'!$I$22)),0),0)</f>
        <v>0</v>
      </c>
      <c r="AB62" s="783">
        <f>IF('Incremental Repayments'!$R$22="Debt",IF(AND(AB$4&gt;=$D62,AB$4&lt;$D62+'Incremental Repayments'!$I$31),-PMT('Interest Rate'!$J$16,'Incremental Repayments'!$I$31,(HLOOKUP($D62,$E$4:$CZ$32,28,FALSE)*'Incremental Repayments'!$I$22)),0),0)</f>
        <v>0</v>
      </c>
      <c r="AC62" s="783">
        <f>IF('Incremental Repayments'!$R$22="Debt",IF(AND(AC$4&gt;=$D62,AC$4&lt;$D62+'Incremental Repayments'!$I$31),-PMT('Interest Rate'!$J$16,'Incremental Repayments'!$I$31,(HLOOKUP($D62,$E$4:$CZ$32,28,FALSE)*'Incremental Repayments'!$I$22)),0),0)</f>
        <v>0</v>
      </c>
      <c r="AD62" s="783">
        <f>IF('Incremental Repayments'!$R$22="Debt",IF(AND(AD$4&gt;=$D62,AD$4&lt;$D62+'Incremental Repayments'!$I$31),-PMT('Interest Rate'!$J$16,'Incremental Repayments'!$I$31,(HLOOKUP($D62,$E$4:$CZ$32,28,FALSE)*'Incremental Repayments'!$I$22)),0),0)</f>
        <v>0</v>
      </c>
      <c r="AE62" s="783">
        <f>IF('Incremental Repayments'!$R$22="Debt",IF(AND(AE$4&gt;=$D62,AE$4&lt;$D62+'Incremental Repayments'!$I$31),-PMT('Interest Rate'!$J$16,'Incremental Repayments'!$I$31,(HLOOKUP($D62,$E$4:$CZ$32,28,FALSE)*'Incremental Repayments'!$I$22)),0),0)</f>
        <v>8225201.9528154656</v>
      </c>
      <c r="AF62" s="783">
        <f>IF('Incremental Repayments'!$R$22="Debt",IF(AND(AF$4&gt;=$D62,AF$4&lt;$D62+'Incremental Repayments'!$I$31),-PMT('Interest Rate'!$J$16,'Incremental Repayments'!$I$31,(HLOOKUP($D62,$E$4:$CZ$32,28,FALSE)*'Incremental Repayments'!$I$22)),0),0)</f>
        <v>8225201.9528154656</v>
      </c>
      <c r="AG62" s="783">
        <f>IF('Incremental Repayments'!$R$22="Debt",IF(AND(AG$4&gt;=$D62,AG$4&lt;$D62+'Incremental Repayments'!$I$31),-PMT('Interest Rate'!$J$16,'Incremental Repayments'!$I$31,(HLOOKUP($D62,$E$4:$CZ$32,28,FALSE)*'Incremental Repayments'!$I$22)),0),0)</f>
        <v>8225201.9528154656</v>
      </c>
      <c r="AH62" s="783">
        <f>IF('Incremental Repayments'!$R$22="Debt",IF(AND(AH$4&gt;=$D62,AH$4&lt;$D62+'Incremental Repayments'!$I$31),-PMT('Interest Rate'!$J$16,'Incremental Repayments'!$I$31,(HLOOKUP($D62,$E$4:$CZ$32,28,FALSE)*'Incremental Repayments'!$I$22)),0),0)</f>
        <v>8225201.9528154656</v>
      </c>
      <c r="AI62" s="783">
        <f>IF('Incremental Repayments'!$R$22="Debt",IF(AND(AI$4&gt;=$D62,AI$4&lt;$D62+'Incremental Repayments'!$I$31),-PMT('Interest Rate'!$J$16,'Incremental Repayments'!$I$31,(HLOOKUP($D62,$E$4:$CZ$32,28,FALSE)*'Incremental Repayments'!$I$22)),0),0)</f>
        <v>8225201.9528154656</v>
      </c>
      <c r="AJ62" s="783">
        <f>IF('Incremental Repayments'!$R$22="Debt",IF(AND(AJ$4&gt;=$D62,AJ$4&lt;$D62+'Incremental Repayments'!$I$31),-PMT('Interest Rate'!$J$16,'Incremental Repayments'!$I$31,(HLOOKUP($D62,$E$4:$CZ$32,28,FALSE)*'Incremental Repayments'!$I$22)),0),0)</f>
        <v>8225201.9528154656</v>
      </c>
      <c r="AK62" s="783">
        <f>IF('Incremental Repayments'!$R$22="Debt",IF(AND(AK$4&gt;=$D62,AK$4&lt;$D62+'Incremental Repayments'!$I$31),-PMT('Interest Rate'!$J$16,'Incremental Repayments'!$I$31,(HLOOKUP($D62,$E$4:$CZ$32,28,FALSE)*'Incremental Repayments'!$I$22)),0),0)</f>
        <v>8225201.9528154656</v>
      </c>
      <c r="AL62" s="783">
        <f>IF('Incremental Repayments'!$R$22="Debt",IF(AND(AL$4&gt;=$D62,AL$4&lt;$D62+'Incremental Repayments'!$I$31),-PMT('Interest Rate'!$J$16,'Incremental Repayments'!$I$31,(HLOOKUP($D62,$E$4:$CZ$32,28,FALSE)*'Incremental Repayments'!$I$22)),0),0)</f>
        <v>8225201.9528154656</v>
      </c>
      <c r="AM62" s="783">
        <f>IF('Incremental Repayments'!$R$22="Debt",IF(AND(AM$4&gt;=$D62,AM$4&lt;$D62+'Incremental Repayments'!$I$31),-PMT('Interest Rate'!$J$16,'Incremental Repayments'!$I$31,(HLOOKUP($D62,$E$4:$CZ$32,28,FALSE)*'Incremental Repayments'!$I$22)),0),0)</f>
        <v>8225201.9528154656</v>
      </c>
      <c r="AN62" s="783">
        <f>IF('Incremental Repayments'!$R$22="Debt",IF(AND(AN$4&gt;=$D62,AN$4&lt;$D62+'Incremental Repayments'!$I$31),-PMT('Interest Rate'!$J$16,'Incremental Repayments'!$I$31,(HLOOKUP($D62,$E$4:$CZ$32,28,FALSE)*'Incremental Repayments'!$I$22)),0),0)</f>
        <v>8225201.9528154656</v>
      </c>
      <c r="AO62" s="783">
        <f>IF('Incremental Repayments'!$R$22="Debt",IF(AND(AO$4&gt;=$D62,AO$4&lt;$D62+'Incremental Repayments'!$I$31),-PMT('Interest Rate'!$J$16,'Incremental Repayments'!$I$31,(HLOOKUP($D62,$E$4:$CZ$32,28,FALSE)*'Incremental Repayments'!$I$22)),0),0)</f>
        <v>8225201.9528154656</v>
      </c>
      <c r="AP62" s="783">
        <f>IF('Incremental Repayments'!$R$22="Debt",IF(AND(AP$4&gt;=$D62,AP$4&lt;$D62+'Incremental Repayments'!$I$31),-PMT('Interest Rate'!$J$16,'Incremental Repayments'!$I$31,(HLOOKUP($D62,$E$4:$CZ$32,28,FALSE)*'Incremental Repayments'!$I$22)),0),0)</f>
        <v>8225201.9528154656</v>
      </c>
      <c r="AQ62" s="783">
        <f>IF('Incremental Repayments'!$R$22="Debt",IF(AND(AQ$4&gt;=$D62,AQ$4&lt;$D62+'Incremental Repayments'!$I$31),-PMT('Interest Rate'!$J$16,'Incremental Repayments'!$I$31,(HLOOKUP($D62,$E$4:$CZ$32,28,FALSE)*'Incremental Repayments'!$I$22)),0),0)</f>
        <v>8225201.9528154656</v>
      </c>
      <c r="AR62" s="783">
        <f>IF('Incremental Repayments'!$R$22="Debt",IF(AND(AR$4&gt;=$D62,AR$4&lt;$D62+'Incremental Repayments'!$I$31),-PMT('Interest Rate'!$J$16,'Incremental Repayments'!$I$31,(HLOOKUP($D62,$E$4:$CZ$32,28,FALSE)*'Incremental Repayments'!$I$22)),0),0)</f>
        <v>8225201.9528154656</v>
      </c>
      <c r="AS62" s="783">
        <f>IF('Incremental Repayments'!$R$22="Debt",IF(AND(AS$4&gt;=$D62,AS$4&lt;$D62+'Incremental Repayments'!$I$31),-PMT('Interest Rate'!$J$16,'Incremental Repayments'!$I$31,(HLOOKUP($D62,$E$4:$CZ$32,28,FALSE)*'Incremental Repayments'!$I$22)),0),0)</f>
        <v>8225201.9528154656</v>
      </c>
      <c r="AT62" s="783">
        <f>IF('Incremental Repayments'!$R$22="Debt",IF(AND(AT$4&gt;=$D62,AT$4&lt;$D62+'Incremental Repayments'!$I$31),-PMT('Interest Rate'!$J$16,'Incremental Repayments'!$I$31,(HLOOKUP($D62,$E$4:$CZ$32,28,FALSE)*'Incremental Repayments'!$I$22)),0),0)</f>
        <v>8225201.9528154656</v>
      </c>
      <c r="AU62" s="783">
        <f>IF('Incremental Repayments'!$R$22="Debt",IF(AND(AU$4&gt;=$D62,AU$4&lt;$D62+'Incremental Repayments'!$I$31),-PMT('Interest Rate'!$J$16,'Incremental Repayments'!$I$31,(HLOOKUP($D62,$E$4:$CZ$32,28,FALSE)*'Incremental Repayments'!$I$22)),0),0)</f>
        <v>8225201.9528154656</v>
      </c>
      <c r="AV62" s="783">
        <f>IF('Incremental Repayments'!$R$22="Debt",IF(AND(AV$4&gt;=$D62,AV$4&lt;$D62+'Incremental Repayments'!$I$31),-PMT('Interest Rate'!$J$16,'Incremental Repayments'!$I$31,(HLOOKUP($D62,$E$4:$CZ$32,28,FALSE)*'Incremental Repayments'!$I$22)),0),0)</f>
        <v>8225201.9528154656</v>
      </c>
      <c r="AW62" s="783">
        <f>IF('Incremental Repayments'!$R$22="Debt",IF(AND(AW$4&gt;=$D62,AW$4&lt;$D62+'Incremental Repayments'!$I$31),-PMT('Interest Rate'!$J$16,'Incremental Repayments'!$I$31,(HLOOKUP($D62,$E$4:$CZ$32,28,FALSE)*'Incremental Repayments'!$I$22)),0),0)</f>
        <v>8225201.9528154656</v>
      </c>
      <c r="AX62" s="783">
        <f>IF('Incremental Repayments'!$R$22="Debt",IF(AND(AX$4&gt;=$D62,AX$4&lt;$D62+'Incremental Repayments'!$I$31),-PMT('Interest Rate'!$J$16,'Incremental Repayments'!$I$31,(HLOOKUP($D62,$E$4:$CZ$32,28,FALSE)*'Incremental Repayments'!$I$22)),0),0)</f>
        <v>8225201.9528154656</v>
      </c>
      <c r="AY62" s="783">
        <f>IF('Incremental Repayments'!$R$22="Debt",IF(AND(AY$4&gt;=$D62,AY$4&lt;$D62+'Incremental Repayments'!$I$31),-PMT('Interest Rate'!$J$16,'Incremental Repayments'!$I$31,(HLOOKUP($D62,$E$4:$CZ$32,28,FALSE)*'Incremental Repayments'!$I$22)),0),0)</f>
        <v>8225201.9528154656</v>
      </c>
      <c r="AZ62" s="783">
        <f>IF('Incremental Repayments'!$R$22="Debt",IF(AND(AZ$4&gt;=$D62,AZ$4&lt;$D62+'Incremental Repayments'!$I$31),-PMT('Interest Rate'!$J$16,'Incremental Repayments'!$I$31,(HLOOKUP($D62,$E$4:$CZ$32,28,FALSE)*'Incremental Repayments'!$I$22)),0),0)</f>
        <v>8225201.9528154656</v>
      </c>
      <c r="BA62" s="783">
        <f>IF('Incremental Repayments'!$R$22="Debt",IF(AND(BA$4&gt;=$D62,BA$4&lt;$D62+'Incremental Repayments'!$I$31),-PMT('Interest Rate'!$J$16,'Incremental Repayments'!$I$31,(HLOOKUP($D62,$E$4:$CZ$32,28,FALSE)*'Incremental Repayments'!$I$22)),0),0)</f>
        <v>8225201.9528154656</v>
      </c>
      <c r="BB62" s="783">
        <f>IF('Incremental Repayments'!$R$22="Debt",IF(AND(BB$4&gt;=$D62,BB$4&lt;$D62+'Incremental Repayments'!$I$31),-PMT('Interest Rate'!$J$16,'Incremental Repayments'!$I$31,(HLOOKUP($D62,$E$4:$CZ$32,28,FALSE)*'Incremental Repayments'!$I$22)),0),0)</f>
        <v>8225201.9528154656</v>
      </c>
      <c r="BC62" s="783">
        <f>IF('Incremental Repayments'!$R$22="Debt",IF(AND(BC$4&gt;=$D62,BC$4&lt;$D62+'Incremental Repayments'!$I$31),-PMT('Interest Rate'!$J$16,'Incremental Repayments'!$I$31,(HLOOKUP($D62,$E$4:$CZ$32,28,FALSE)*'Incremental Repayments'!$I$22)),0),0)</f>
        <v>8225201.9528154656</v>
      </c>
      <c r="BD62" s="783">
        <f>IF('Incremental Repayments'!$R$22="Debt",IF(AND(BD$4&gt;=$D62,BD$4&lt;$D62+'Incremental Repayments'!$I$31),-PMT('Interest Rate'!$J$16,'Incremental Repayments'!$I$31,(HLOOKUP($D62,$E$4:$CZ$32,28,FALSE)*'Incremental Repayments'!$I$22)),0),0)</f>
        <v>8225201.9528154656</v>
      </c>
      <c r="BE62" s="783">
        <f>IF('Incremental Repayments'!$R$22="Debt",IF(AND(BE$4&gt;=$D62,BE$4&lt;$D62+'Incremental Repayments'!$I$31),-PMT('Interest Rate'!$J$16,'Incremental Repayments'!$I$31,(HLOOKUP($D62,$E$4:$CZ$32,28,FALSE)*'Incremental Repayments'!$I$22)),0),0)</f>
        <v>8225201.9528154656</v>
      </c>
      <c r="BF62" s="783">
        <f>IF('Incremental Repayments'!$R$22="Debt",IF(AND(BF$4&gt;=$D62,BF$4&lt;$D62+'Incremental Repayments'!$I$31),-PMT('Interest Rate'!$J$16,'Incremental Repayments'!$I$31,(HLOOKUP($D62,$E$4:$CZ$32,28,FALSE)*'Incremental Repayments'!$I$22)),0),0)</f>
        <v>8225201.9528154656</v>
      </c>
      <c r="BG62" s="783">
        <f>IF('Incremental Repayments'!$R$22="Debt",IF(AND(BG$4&gt;=$D62,BG$4&lt;$D62+'Incremental Repayments'!$I$31),-PMT('Interest Rate'!$J$16,'Incremental Repayments'!$I$31,(HLOOKUP($D62,$E$4:$CZ$32,28,FALSE)*'Incremental Repayments'!$I$22)),0),0)</f>
        <v>8225201.9528154656</v>
      </c>
      <c r="BH62" s="783">
        <f>IF('Incremental Repayments'!$R$22="Debt",IF(AND(BH$4&gt;=$D62,BH$4&lt;$D62+'Incremental Repayments'!$I$31),-PMT('Interest Rate'!$J$16,'Incremental Repayments'!$I$31,(HLOOKUP($D62,$E$4:$CZ$32,28,FALSE)*'Incremental Repayments'!$I$22)),0),0)</f>
        <v>8225201.9528154656</v>
      </c>
      <c r="BI62" s="783">
        <f>IF('Incremental Repayments'!$R$22="Debt",IF(AND(BI$4&gt;=$D62,BI$4&lt;$D62+'Incremental Repayments'!$I$31),-PMT('Interest Rate'!$J$16,'Incremental Repayments'!$I$31,(HLOOKUP($D62,$E$4:$CZ$32,28,FALSE)*'Incremental Repayments'!$I$22)),0),0)</f>
        <v>0</v>
      </c>
      <c r="BJ62" s="783">
        <f>IF('Incremental Repayments'!$R$22="Debt",IF(AND(BJ$4&gt;=$D62,BJ$4&lt;$D62+'Incremental Repayments'!$I$31),-PMT('Interest Rate'!$J$16,'Incremental Repayments'!$I$31,(HLOOKUP($D62,$E$4:$CZ$32,28,FALSE)*'Incremental Repayments'!$I$22)),0),0)</f>
        <v>0</v>
      </c>
      <c r="BK62" s="783">
        <f>IF('Incremental Repayments'!$R$22="Debt",IF(AND(BK$4&gt;=$D62,BK$4&lt;$D62+'Incremental Repayments'!$I$31),-PMT('Interest Rate'!$J$16,'Incremental Repayments'!$I$31,(HLOOKUP($D62,$E$4:$CZ$32,28,FALSE)*'Incremental Repayments'!$I$22)),0),0)</f>
        <v>0</v>
      </c>
      <c r="BL62" s="783">
        <f>IF('Incremental Repayments'!$R$22="Debt",IF(AND(BL$4&gt;=$D62,BL$4&lt;$D62+'Incremental Repayments'!$I$31),-PMT('Interest Rate'!$J$16,'Incremental Repayments'!$I$31,(HLOOKUP($D62,$E$4:$CZ$32,28,FALSE)*'Incremental Repayments'!$I$22)),0),0)</f>
        <v>0</v>
      </c>
      <c r="BM62" s="783">
        <f>IF('Incremental Repayments'!$R$22="Debt",IF(AND(BM$4&gt;=$D62,BM$4&lt;$D62+'Incremental Repayments'!$I$31),-PMT('Interest Rate'!$J$16,'Incremental Repayments'!$I$31,(HLOOKUP($D62,$E$4:$CZ$32,28,FALSE)*'Incremental Repayments'!$I$22)),0),0)</f>
        <v>0</v>
      </c>
      <c r="BN62" s="783">
        <f>IF('Incremental Repayments'!$R$22="Debt",IF(AND(BN$4&gt;=$D62,BN$4&lt;$D62+'Incremental Repayments'!$I$31),-PMT('Interest Rate'!$J$16,'Incremental Repayments'!$I$31,(HLOOKUP($D62,$E$4:$CZ$32,28,FALSE)*'Incremental Repayments'!$I$22)),0),0)</f>
        <v>0</v>
      </c>
      <c r="BO62" s="783">
        <f>IF('Incremental Repayments'!$R$22="Debt",IF(AND(BO$4&gt;=$D62,BO$4&lt;$D62+'Incremental Repayments'!$I$31),-PMT('Interest Rate'!$J$16,'Incremental Repayments'!$I$31,(HLOOKUP($D62,$E$4:$CZ$32,28,FALSE)*'Incremental Repayments'!$I$22)),0),0)</f>
        <v>0</v>
      </c>
      <c r="BP62" s="783">
        <f>IF('Incremental Repayments'!$R$22="Debt",IF(AND(BP$4&gt;=$D62,BP$4&lt;$D62+'Incremental Repayments'!$I$31),-PMT('Interest Rate'!$J$16,'Incremental Repayments'!$I$31,(HLOOKUP($D62,$E$4:$CZ$32,28,FALSE)*'Incremental Repayments'!$I$22)),0),0)</f>
        <v>0</v>
      </c>
      <c r="BQ62" s="783">
        <f>IF('Incremental Repayments'!$R$22="Debt",IF(AND(BQ$4&gt;=$D62,BQ$4&lt;$D62+'Incremental Repayments'!$I$31),-PMT('Interest Rate'!$J$16,'Incremental Repayments'!$I$31,(HLOOKUP($D62,$E$4:$CZ$32,28,FALSE)*'Incremental Repayments'!$I$22)),0),0)</f>
        <v>0</v>
      </c>
      <c r="BR62" s="783">
        <f>IF('Incremental Repayments'!$R$22="Debt",IF(AND(BR$4&gt;=$D62,BR$4&lt;$D62+'Incremental Repayments'!$I$31),-PMT('Interest Rate'!$J$16,'Incremental Repayments'!$I$31,(HLOOKUP($D62,$E$4:$CZ$32,28,FALSE)*'Incremental Repayments'!$I$22)),0),0)</f>
        <v>0</v>
      </c>
      <c r="BS62" s="783">
        <f>IF('Incremental Repayments'!$R$22="Debt",IF(AND(BS$4&gt;=$D62,BS$4&lt;$D62+'Incremental Repayments'!$I$31),-PMT('Interest Rate'!$J$16,'Incremental Repayments'!$I$31,(HLOOKUP($D62,$E$4:$CZ$32,28,FALSE)*'Incremental Repayments'!$I$22)),0),0)</f>
        <v>0</v>
      </c>
      <c r="BT62" s="783">
        <f>IF('Incremental Repayments'!$R$22="Debt",IF(AND(BT$4&gt;=$D62,BT$4&lt;$D62+'Incremental Repayments'!$I$31),-PMT('Interest Rate'!$J$16,'Incremental Repayments'!$I$31,(HLOOKUP($D62,$E$4:$CZ$32,28,FALSE)*'Incremental Repayments'!$I$22)),0),0)</f>
        <v>0</v>
      </c>
      <c r="BU62" s="783">
        <f>IF('Incremental Repayments'!$R$22="Debt",IF(AND(BU$4&gt;=$D62,BU$4&lt;$D62+'Incremental Repayments'!$I$31),-PMT('Interest Rate'!$J$16,'Incremental Repayments'!$I$31,(HLOOKUP($D62,$E$4:$CZ$32,28,FALSE)*'Incremental Repayments'!$I$22)),0),0)</f>
        <v>0</v>
      </c>
      <c r="BV62" s="783">
        <f>IF('Incremental Repayments'!$R$22="Debt",IF(AND(BV$4&gt;=$D62,BV$4&lt;$D62+'Incremental Repayments'!$I$31),-PMT('Interest Rate'!$J$16,'Incremental Repayments'!$I$31,(HLOOKUP($D62,$E$4:$CZ$32,28,FALSE)*'Incremental Repayments'!$I$22)),0),0)</f>
        <v>0</v>
      </c>
      <c r="BW62" s="783">
        <f>IF('Incremental Repayments'!$R$22="Debt",IF(AND(BW$4&gt;=$D62,BW$4&lt;$D62+'Incremental Repayments'!$I$31),-PMT('Interest Rate'!$J$16,'Incremental Repayments'!$I$31,(HLOOKUP($D62,$E$4:$CZ$32,28,FALSE)*'Incremental Repayments'!$I$22)),0),0)</f>
        <v>0</v>
      </c>
      <c r="BX62" s="783">
        <f>IF('Incremental Repayments'!$R$22="Debt",IF(AND(BX$4&gt;=$D62,BX$4&lt;$D62+'Incremental Repayments'!$I$31),-PMT('Interest Rate'!$J$16,'Incremental Repayments'!$I$31,(HLOOKUP($D62,$E$4:$CZ$32,28,FALSE)*'Incremental Repayments'!$I$22)),0),0)</f>
        <v>0</v>
      </c>
      <c r="BY62" s="783">
        <f>IF('Incremental Repayments'!$R$22="Debt",IF(AND(BY$4&gt;=$D62,BY$4&lt;$D62+'Incremental Repayments'!$I$31),-PMT('Interest Rate'!$J$16,'Incremental Repayments'!$I$31,(HLOOKUP($D62,$E$4:$CZ$32,28,FALSE)*'Incremental Repayments'!$I$22)),0),0)</f>
        <v>0</v>
      </c>
      <c r="BZ62" s="783">
        <f>IF('Incremental Repayments'!$R$22="Debt",IF(AND(BZ$4&gt;=$D62,BZ$4&lt;$D62+'Incremental Repayments'!$I$31),-PMT('Interest Rate'!$J$16,'Incremental Repayments'!$I$31,(HLOOKUP($D62,$E$4:$CZ$32,28,FALSE)*'Incremental Repayments'!$I$22)),0),0)</f>
        <v>0</v>
      </c>
      <c r="CA62" s="783">
        <f>IF('Incremental Repayments'!$R$22="Debt",IF(AND(CA$4&gt;=$D62,CA$4&lt;$D62+'Incremental Repayments'!$I$31),-PMT('Interest Rate'!$J$16,'Incremental Repayments'!$I$31,(HLOOKUP($D62,$E$4:$CZ$32,28,FALSE)*'Incremental Repayments'!$I$22)),0),0)</f>
        <v>0</v>
      </c>
      <c r="CB62" s="783">
        <f>IF('Incremental Repayments'!$R$22="Debt",IF(AND(CB$4&gt;=$D62,CB$4&lt;$D62+'Incremental Repayments'!$I$31),-PMT('Interest Rate'!$J$16,'Incremental Repayments'!$I$31,(HLOOKUP($D62,$E$4:$CZ$32,28,FALSE)*'Incremental Repayments'!$I$22)),0),0)</f>
        <v>0</v>
      </c>
      <c r="CC62" s="783">
        <f>IF('Incremental Repayments'!$R$22="Debt",IF(AND(CC$4&gt;=$D62,CC$4&lt;$D62+'Incremental Repayments'!$I$31),-PMT('Interest Rate'!$J$16,'Incremental Repayments'!$I$31,(HLOOKUP($D62,$E$4:$CZ$32,28,FALSE)*'Incremental Repayments'!$I$22)),0),0)</f>
        <v>0</v>
      </c>
      <c r="CD62" s="783">
        <f>IF('Incremental Repayments'!$R$22="Debt",IF(AND(CD$4&gt;=$D62,CD$4&lt;$D62+'Incremental Repayments'!$I$31),-PMT('Interest Rate'!$J$16,'Incremental Repayments'!$I$31,(HLOOKUP($D62,$E$4:$CZ$32,28,FALSE)*'Incremental Repayments'!$I$22)),0),0)</f>
        <v>0</v>
      </c>
      <c r="CE62" s="783">
        <f>IF('Incremental Repayments'!$R$22="Debt",IF(AND(CE$4&gt;=$D62,CE$4&lt;$D62+'Incremental Repayments'!$I$31),-PMT('Interest Rate'!$J$16,'Incremental Repayments'!$I$31,(HLOOKUP($D62,$E$4:$CZ$32,28,FALSE)*'Incremental Repayments'!$I$22)),0),0)</f>
        <v>0</v>
      </c>
      <c r="CF62" s="783">
        <f>IF('Incremental Repayments'!$R$22="Debt",IF(AND(CF$4&gt;=$D62,CF$4&lt;$D62+'Incremental Repayments'!$I$31),-PMT('Interest Rate'!$J$16,'Incremental Repayments'!$I$31,(HLOOKUP($D62,$E$4:$CZ$32,28,FALSE)*'Incremental Repayments'!$I$22)),0),0)</f>
        <v>0</v>
      </c>
      <c r="CG62" s="783">
        <f>IF('Incremental Repayments'!$R$22="Debt",IF(AND(CG$4&gt;=$D62,CG$4&lt;$D62+'Incremental Repayments'!$I$31),-PMT('Interest Rate'!$J$16,'Incremental Repayments'!$I$31,(HLOOKUP($D62,$E$4:$CZ$32,28,FALSE)*'Incremental Repayments'!$I$22)),0),0)</f>
        <v>0</v>
      </c>
      <c r="CH62" s="783">
        <f>IF('Incremental Repayments'!$R$22="Debt",IF(AND(CH$4&gt;=$D62,CH$4&lt;$D62+'Incremental Repayments'!$I$31),-PMT('Interest Rate'!$J$16,'Incremental Repayments'!$I$31,(HLOOKUP($D62,$E$4:$CZ$32,28,FALSE)*'Incremental Repayments'!$I$22)),0),0)</f>
        <v>0</v>
      </c>
      <c r="CI62" s="783">
        <f>IF('Incremental Repayments'!$R$22="Debt",IF(AND(CI$4&gt;=$D62,CI$4&lt;$D62+'Incremental Repayments'!$I$31),-PMT('Interest Rate'!$J$16,'Incremental Repayments'!$I$31,(HLOOKUP($D62,$E$4:$CZ$32,28,FALSE)*'Incremental Repayments'!$I$22)),0),0)</f>
        <v>0</v>
      </c>
      <c r="CJ62" s="783">
        <f>IF('Incremental Repayments'!$R$22="Debt",IF(AND(CJ$4&gt;=$D62,CJ$4&lt;$D62+'Incremental Repayments'!$I$31),-PMT('Interest Rate'!$J$16,'Incremental Repayments'!$I$31,(HLOOKUP($D62,$E$4:$CZ$32,28,FALSE)*'Incremental Repayments'!$I$22)),0),0)</f>
        <v>0</v>
      </c>
      <c r="CK62" s="783">
        <f>IF('Incremental Repayments'!$R$22="Debt",IF(AND(CK$4&gt;=$D62,CK$4&lt;$D62+'Incremental Repayments'!$I$31),-PMT('Interest Rate'!$J$16,'Incremental Repayments'!$I$31,(HLOOKUP($D62,$E$4:$CZ$32,28,FALSE)*'Incremental Repayments'!$I$22)),0),0)</f>
        <v>0</v>
      </c>
      <c r="CL62" s="783">
        <f>IF('Incremental Repayments'!$R$22="Debt",IF(AND(CL$4&gt;=$D62,CL$4&lt;$D62+'Incremental Repayments'!$I$31),-PMT('Interest Rate'!$J$16,'Incremental Repayments'!$I$31,(HLOOKUP($D62,$E$4:$CZ$32,28,FALSE)*'Incremental Repayments'!$I$22)),0),0)</f>
        <v>0</v>
      </c>
      <c r="CM62" s="783">
        <f>IF('Incremental Repayments'!$R$22="Debt",IF(AND(CM$4&gt;=$D62,CM$4&lt;$D62+'Incremental Repayments'!$I$31),-PMT('Interest Rate'!$J$16,'Incremental Repayments'!$I$31,(HLOOKUP($D62,$E$4:$CZ$32,28,FALSE)*'Incremental Repayments'!$I$22)),0),0)</f>
        <v>0</v>
      </c>
      <c r="CN62" s="783">
        <f>IF('Incremental Repayments'!$R$22="Debt",IF(AND(CN$4&gt;=$D62,CN$4&lt;$D62+'Incremental Repayments'!$I$31),-PMT('Interest Rate'!$J$16,'Incremental Repayments'!$I$31,(HLOOKUP($D62,$E$4:$CZ$32,28,FALSE)*'Incremental Repayments'!$I$22)),0),0)</f>
        <v>0</v>
      </c>
      <c r="CO62" s="783">
        <f>IF('Incremental Repayments'!$R$22="Debt",IF(AND(CO$4&gt;=$D62,CO$4&lt;$D62+'Incremental Repayments'!$I$31),-PMT('Interest Rate'!$J$16,'Incremental Repayments'!$I$31,(HLOOKUP($D62,$E$4:$CZ$32,28,FALSE)*'Incremental Repayments'!$I$22)),0),0)</f>
        <v>0</v>
      </c>
      <c r="CP62" s="783">
        <f>IF('Incremental Repayments'!$R$22="Debt",IF(AND(CP$4&gt;=$D62,CP$4&lt;$D62+'Incremental Repayments'!$I$31),-PMT('Interest Rate'!$J$16,'Incremental Repayments'!$I$31,(HLOOKUP($D62,$E$4:$CZ$32,28,FALSE)*'Incremental Repayments'!$I$22)),0),0)</f>
        <v>0</v>
      </c>
      <c r="CQ62" s="783">
        <f>IF('Incremental Repayments'!$R$22="Debt",IF(AND(CQ$4&gt;=$D62,CQ$4&lt;$D62+'Incremental Repayments'!$I$31),-PMT('Interest Rate'!$J$16,'Incremental Repayments'!$I$31,(HLOOKUP($D62,$E$4:$CZ$32,28,FALSE)*'Incremental Repayments'!$I$22)),0),0)</f>
        <v>0</v>
      </c>
      <c r="CR62" s="783">
        <f>IF('Incremental Repayments'!$R$22="Debt",IF(AND(CR$4&gt;=$D62,CR$4&lt;$D62+'Incremental Repayments'!$I$31),-PMT('Interest Rate'!$J$16,'Incremental Repayments'!$I$31,(HLOOKUP($D62,$E$4:$CZ$32,28,FALSE)*'Incremental Repayments'!$I$22)),0),0)</f>
        <v>0</v>
      </c>
      <c r="CS62" s="783">
        <f>IF('Incremental Repayments'!$R$22="Debt",IF(AND(CS$4&gt;=$D62,CS$4&lt;$D62+'Incremental Repayments'!$I$31),-PMT('Interest Rate'!$J$16,'Incremental Repayments'!$I$31,(HLOOKUP($D62,$E$4:$CZ$32,28,FALSE)*'Incremental Repayments'!$I$22)),0),0)</f>
        <v>0</v>
      </c>
      <c r="CT62" s="783">
        <f>IF('Incremental Repayments'!$R$22="Debt",IF(AND(CT$4&gt;=$D62,CT$4&lt;$D62+'Incremental Repayments'!$I$31),-PMT('Interest Rate'!$J$16,'Incremental Repayments'!$I$31,(HLOOKUP($D62,$E$4:$CZ$32,28,FALSE)*'Incremental Repayments'!$I$22)),0),0)</f>
        <v>0</v>
      </c>
      <c r="CU62" s="783">
        <f>IF('Incremental Repayments'!$R$22="Debt",IF(AND(CU$4&gt;=$D62,CU$4&lt;$D62+'Incremental Repayments'!$I$31),-PMT('Interest Rate'!$J$16,'Incremental Repayments'!$I$31,(HLOOKUP($D62,$E$4:$CZ$32,28,FALSE)*'Incremental Repayments'!$I$22)),0),0)</f>
        <v>0</v>
      </c>
      <c r="CV62" s="783">
        <f>IF('Incremental Repayments'!$R$22="Debt",IF(AND(CV$4&gt;=$D62,CV$4&lt;$D62+'Incremental Repayments'!$I$31),-PMT('Interest Rate'!$J$16,'Incremental Repayments'!$I$31,(HLOOKUP($D62,$E$4:$CZ$32,28,FALSE)*'Incremental Repayments'!$I$22)),0),0)</f>
        <v>0</v>
      </c>
      <c r="CW62" s="783">
        <f>IF('Incremental Repayments'!$R$22="Debt",IF(AND(CW$4&gt;=$D62,CW$4&lt;$D62+'Incremental Repayments'!$I$31),-PMT('Interest Rate'!$J$16,'Incremental Repayments'!$I$31,(HLOOKUP($D62,$E$4:$CZ$32,28,FALSE)*'Incremental Repayments'!$I$22)),0),0)</f>
        <v>0</v>
      </c>
      <c r="CX62" s="783">
        <f>IF('Incremental Repayments'!$R$22="Debt",IF(AND(CX$4&gt;=$D62,CX$4&lt;$D62+'Incremental Repayments'!$I$31),-PMT('Interest Rate'!$J$16,'Incremental Repayments'!$I$31,(HLOOKUP($D62,$E$4:$CZ$32,28,FALSE)*'Incremental Repayments'!$I$22)),0),0)</f>
        <v>0</v>
      </c>
      <c r="CY62" s="783">
        <f>IF('Incremental Repayments'!$R$22="Debt",IF(AND(CY$4&gt;=$D62,CY$4&lt;$D62+'Incremental Repayments'!$I$31),-PMT('Interest Rate'!$J$16,'Incremental Repayments'!$I$31,(HLOOKUP($D62,$E$4:$CZ$32,28,FALSE)*'Incremental Repayments'!$I$22)),0),0)</f>
        <v>0</v>
      </c>
      <c r="CZ62" s="783">
        <f>IF('Incremental Repayments'!$R$22="Debt",IF(AND(CZ$4&gt;=$D62,CZ$4&lt;$D62+'Incremental Repayments'!$I$31),-PMT('Interest Rate'!$J$16,'Incremental Repayments'!$I$31,(HLOOKUP($D62,$E$4:$CZ$32,28,FALSE)*'Incremental Repayments'!$I$22)),0),0)</f>
        <v>0</v>
      </c>
    </row>
    <row r="63" spans="1:104" x14ac:dyDescent="0.25">
      <c r="B63" s="480" t="str">
        <f>CONCATENATE("Series ",D63,"A Bonds (at ",'Interest Rate'!$J$16*100,"% Interest)")</f>
        <v>Series 2041A Bonds (at 4.5% Interest)</v>
      </c>
      <c r="C63" s="480"/>
      <c r="D63" s="492">
        <f t="shared" si="47"/>
        <v>2041</v>
      </c>
      <c r="E63" s="783">
        <f>IF('Incremental Repayments'!$R$22="Debt",IF(AND(E$4&gt;=$D63,E$4&lt;$D63+'Incremental Repayments'!$I$31),-PMT('Interest Rate'!$J$16,'Incremental Repayments'!$I$31,(HLOOKUP($D63,$E$4:$CZ$32,28,FALSE)*'Incremental Repayments'!$I$22)),0),0)</f>
        <v>0</v>
      </c>
      <c r="F63" s="783">
        <f>IF('Incremental Repayments'!$R$22="Debt",IF(AND(F$4&gt;=$D63,F$4&lt;$D63+'Incremental Repayments'!$I$31),-PMT('Interest Rate'!$J$16,'Incremental Repayments'!$I$31,(HLOOKUP($D63,$E$4:$CZ$32,28,FALSE)*'Incremental Repayments'!$I$22)),0),0)</f>
        <v>0</v>
      </c>
      <c r="G63" s="783">
        <f>IF('Incremental Repayments'!$R$22="Debt",IF(AND(G$4&gt;=$D63,G$4&lt;$D63+'Incremental Repayments'!$I$31),-PMT('Interest Rate'!$J$16,'Incremental Repayments'!$I$31,(HLOOKUP($D63,$E$4:$CZ$32,28,FALSE)*'Incremental Repayments'!$I$22)),0),0)</f>
        <v>0</v>
      </c>
      <c r="H63" s="783">
        <f>IF('Incremental Repayments'!$R$22="Debt",IF(AND(H$4&gt;=$D63,H$4&lt;$D63+'Incremental Repayments'!$I$31),-PMT('Interest Rate'!$J$16,'Incremental Repayments'!$I$31,(HLOOKUP($D63,$E$4:$CZ$32,28,FALSE)*'Incremental Repayments'!$I$22)),0),0)</f>
        <v>0</v>
      </c>
      <c r="I63" s="783">
        <f>IF('Incremental Repayments'!$R$22="Debt",IF(AND(I$4&gt;=$D63,I$4&lt;$D63+'Incremental Repayments'!$I$31),-PMT('Interest Rate'!$J$16,'Incremental Repayments'!$I$31,(HLOOKUP($D63,$E$4:$CZ$32,28,FALSE)*'Incremental Repayments'!$I$22)),0),0)</f>
        <v>0</v>
      </c>
      <c r="J63" s="783">
        <f>IF('Incremental Repayments'!$R$22="Debt",IF(AND(J$4&gt;=$D63,J$4&lt;$D63+'Incremental Repayments'!$I$31),-PMT('Interest Rate'!$J$16,'Incremental Repayments'!$I$31,(HLOOKUP($D63,$E$4:$CZ$32,28,FALSE)*'Incremental Repayments'!$I$22)),0),0)</f>
        <v>0</v>
      </c>
      <c r="K63" s="783">
        <f>IF('Incremental Repayments'!$R$22="Debt",IF(AND(K$4&gt;=$D63,K$4&lt;$D63+'Incremental Repayments'!$I$31),-PMT('Interest Rate'!$J$16,'Incremental Repayments'!$I$31,(HLOOKUP($D63,$E$4:$CZ$32,28,FALSE)*'Incremental Repayments'!$I$22)),0),0)</f>
        <v>0</v>
      </c>
      <c r="L63" s="783">
        <f>IF('Incremental Repayments'!$R$22="Debt",IF(AND(L$4&gt;=$D63,L$4&lt;$D63+'Incremental Repayments'!$I$31),-PMT('Interest Rate'!$J$16,'Incremental Repayments'!$I$31,(HLOOKUP($D63,$E$4:$CZ$32,28,FALSE)*'Incremental Repayments'!$I$22)),0),0)</f>
        <v>0</v>
      </c>
      <c r="M63" s="783">
        <f>IF('Incremental Repayments'!$R$22="Debt",IF(AND(M$4&gt;=$D63,M$4&lt;$D63+'Incremental Repayments'!$I$31),-PMT('Interest Rate'!$J$16,'Incremental Repayments'!$I$31,(HLOOKUP($D63,$E$4:$CZ$32,28,FALSE)*'Incremental Repayments'!$I$22)),0),0)</f>
        <v>0</v>
      </c>
      <c r="N63" s="783">
        <f>IF('Incremental Repayments'!$R$22="Debt",IF(AND(N$4&gt;=$D63,N$4&lt;$D63+'Incremental Repayments'!$I$31),-PMT('Interest Rate'!$J$16,'Incremental Repayments'!$I$31,(HLOOKUP($D63,$E$4:$CZ$32,28,FALSE)*'Incremental Repayments'!$I$22)),0),0)</f>
        <v>0</v>
      </c>
      <c r="O63" s="783">
        <f>IF('Incremental Repayments'!$R$22="Debt",IF(AND(O$4&gt;=$D63,O$4&lt;$D63+'Incremental Repayments'!$I$31),-PMT('Interest Rate'!$J$16,'Incremental Repayments'!$I$31,(HLOOKUP($D63,$E$4:$CZ$32,28,FALSE)*'Incremental Repayments'!$I$22)),0),0)</f>
        <v>0</v>
      </c>
      <c r="P63" s="783">
        <f>IF('Incremental Repayments'!$R$22="Debt",IF(AND(P$4&gt;=$D63,P$4&lt;$D63+'Incremental Repayments'!$I$31),-PMT('Interest Rate'!$J$16,'Incremental Repayments'!$I$31,(HLOOKUP($D63,$E$4:$CZ$32,28,FALSE)*'Incremental Repayments'!$I$22)),0),0)</f>
        <v>0</v>
      </c>
      <c r="Q63" s="783">
        <f>IF('Incremental Repayments'!$R$22="Debt",IF(AND(Q$4&gt;=$D63,Q$4&lt;$D63+'Incremental Repayments'!$I$31),-PMT('Interest Rate'!$J$16,'Incremental Repayments'!$I$31,(HLOOKUP($D63,$E$4:$CZ$32,28,FALSE)*'Incremental Repayments'!$I$22)),0),0)</f>
        <v>0</v>
      </c>
      <c r="R63" s="783">
        <f>IF('Incremental Repayments'!$R$22="Debt",IF(AND(R$4&gt;=$D63,R$4&lt;$D63+'Incremental Repayments'!$I$31),-PMT('Interest Rate'!$J$16,'Incremental Repayments'!$I$31,(HLOOKUP($D63,$E$4:$CZ$32,28,FALSE)*'Incremental Repayments'!$I$22)),0),0)</f>
        <v>0</v>
      </c>
      <c r="S63" s="783">
        <f>IF('Incremental Repayments'!$R$22="Debt",IF(AND(S$4&gt;=$D63,S$4&lt;$D63+'Incremental Repayments'!$I$31),-PMT('Interest Rate'!$J$16,'Incremental Repayments'!$I$31,(HLOOKUP($D63,$E$4:$CZ$32,28,FALSE)*'Incremental Repayments'!$I$22)),0),0)</f>
        <v>0</v>
      </c>
      <c r="T63" s="783">
        <f>IF('Incremental Repayments'!$R$22="Debt",IF(AND(T$4&gt;=$D63,T$4&lt;$D63+'Incremental Repayments'!$I$31),-PMT('Interest Rate'!$J$16,'Incremental Repayments'!$I$31,(HLOOKUP($D63,$E$4:$CZ$32,28,FALSE)*'Incremental Repayments'!$I$22)),0),0)</f>
        <v>0</v>
      </c>
      <c r="U63" s="783">
        <f>IF('Incremental Repayments'!$R$22="Debt",IF(AND(U$4&gt;=$D63,U$4&lt;$D63+'Incremental Repayments'!$I$31),-PMT('Interest Rate'!$J$16,'Incremental Repayments'!$I$31,(HLOOKUP($D63,$E$4:$CZ$32,28,FALSE)*'Incremental Repayments'!$I$22)),0),0)</f>
        <v>0</v>
      </c>
      <c r="V63" s="783">
        <f>IF('Incremental Repayments'!$R$22="Debt",IF(AND(V$4&gt;=$D63,V$4&lt;$D63+'Incremental Repayments'!$I$31),-PMT('Interest Rate'!$J$16,'Incremental Repayments'!$I$31,(HLOOKUP($D63,$E$4:$CZ$32,28,FALSE)*'Incremental Repayments'!$I$22)),0),0)</f>
        <v>0</v>
      </c>
      <c r="W63" s="783">
        <f>IF('Incremental Repayments'!$R$22="Debt",IF(AND(W$4&gt;=$D63,W$4&lt;$D63+'Incremental Repayments'!$I$31),-PMT('Interest Rate'!$J$16,'Incremental Repayments'!$I$31,(HLOOKUP($D63,$E$4:$CZ$32,28,FALSE)*'Incremental Repayments'!$I$22)),0),0)</f>
        <v>0</v>
      </c>
      <c r="X63" s="783">
        <f>IF('Incremental Repayments'!$R$22="Debt",IF(AND(X$4&gt;=$D63,X$4&lt;$D63+'Incremental Repayments'!$I$31),-PMT('Interest Rate'!$J$16,'Incremental Repayments'!$I$31,(HLOOKUP($D63,$E$4:$CZ$32,28,FALSE)*'Incremental Repayments'!$I$22)),0),0)</f>
        <v>0</v>
      </c>
      <c r="Y63" s="783">
        <f>IF('Incremental Repayments'!$R$22="Debt",IF(AND(Y$4&gt;=$D63,Y$4&lt;$D63+'Incremental Repayments'!$I$31),-PMT('Interest Rate'!$J$16,'Incremental Repayments'!$I$31,(HLOOKUP($D63,$E$4:$CZ$32,28,FALSE)*'Incremental Repayments'!$I$22)),0),0)</f>
        <v>0</v>
      </c>
      <c r="Z63" s="783">
        <f>IF('Incremental Repayments'!$R$22="Debt",IF(AND(Z$4&gt;=$D63,Z$4&lt;$D63+'Incremental Repayments'!$I$31),-PMT('Interest Rate'!$J$16,'Incremental Repayments'!$I$31,(HLOOKUP($D63,$E$4:$CZ$32,28,FALSE)*'Incremental Repayments'!$I$22)),0),0)</f>
        <v>0</v>
      </c>
      <c r="AA63" s="783">
        <f>IF('Incremental Repayments'!$R$22="Debt",IF(AND(AA$4&gt;=$D63,AA$4&lt;$D63+'Incremental Repayments'!$I$31),-PMT('Interest Rate'!$J$16,'Incremental Repayments'!$I$31,(HLOOKUP($D63,$E$4:$CZ$32,28,FALSE)*'Incremental Repayments'!$I$22)),0),0)</f>
        <v>0</v>
      </c>
      <c r="AB63" s="783">
        <f>IF('Incremental Repayments'!$R$22="Debt",IF(AND(AB$4&gt;=$D63,AB$4&lt;$D63+'Incremental Repayments'!$I$31),-PMT('Interest Rate'!$J$16,'Incremental Repayments'!$I$31,(HLOOKUP($D63,$E$4:$CZ$32,28,FALSE)*'Incremental Repayments'!$I$22)),0),0)</f>
        <v>0</v>
      </c>
      <c r="AC63" s="783">
        <f>IF('Incremental Repayments'!$R$22="Debt",IF(AND(AC$4&gt;=$D63,AC$4&lt;$D63+'Incremental Repayments'!$I$31),-PMT('Interest Rate'!$J$16,'Incremental Repayments'!$I$31,(HLOOKUP($D63,$E$4:$CZ$32,28,FALSE)*'Incremental Repayments'!$I$22)),0),0)</f>
        <v>0</v>
      </c>
      <c r="AD63" s="783">
        <f>IF('Incremental Repayments'!$R$22="Debt",IF(AND(AD$4&gt;=$D63,AD$4&lt;$D63+'Incremental Repayments'!$I$31),-PMT('Interest Rate'!$J$16,'Incremental Repayments'!$I$31,(HLOOKUP($D63,$E$4:$CZ$32,28,FALSE)*'Incremental Repayments'!$I$22)),0),0)</f>
        <v>0</v>
      </c>
      <c r="AE63" s="783">
        <f>IF('Incremental Repayments'!$R$22="Debt",IF(AND(AE$4&gt;=$D63,AE$4&lt;$D63+'Incremental Repayments'!$I$31),-PMT('Interest Rate'!$J$16,'Incremental Repayments'!$I$31,(HLOOKUP($D63,$E$4:$CZ$32,28,FALSE)*'Incremental Repayments'!$I$22)),0),0)</f>
        <v>0</v>
      </c>
      <c r="AF63" s="783">
        <f>IF('Incremental Repayments'!$R$22="Debt",IF(AND(AF$4&gt;=$D63,AF$4&lt;$D63+'Incremental Repayments'!$I$31),-PMT('Interest Rate'!$J$16,'Incremental Repayments'!$I$31,(HLOOKUP($D63,$E$4:$CZ$32,28,FALSE)*'Incremental Repayments'!$I$22)),0),0)</f>
        <v>7693999.3996719271</v>
      </c>
      <c r="AG63" s="783">
        <f>IF('Incremental Repayments'!$R$22="Debt",IF(AND(AG$4&gt;=$D63,AG$4&lt;$D63+'Incremental Repayments'!$I$31),-PMT('Interest Rate'!$J$16,'Incremental Repayments'!$I$31,(HLOOKUP($D63,$E$4:$CZ$32,28,FALSE)*'Incremental Repayments'!$I$22)),0),0)</f>
        <v>7693999.3996719271</v>
      </c>
      <c r="AH63" s="783">
        <f>IF('Incremental Repayments'!$R$22="Debt",IF(AND(AH$4&gt;=$D63,AH$4&lt;$D63+'Incremental Repayments'!$I$31),-PMT('Interest Rate'!$J$16,'Incremental Repayments'!$I$31,(HLOOKUP($D63,$E$4:$CZ$32,28,FALSE)*'Incremental Repayments'!$I$22)),0),0)</f>
        <v>7693999.3996719271</v>
      </c>
      <c r="AI63" s="783">
        <f>IF('Incremental Repayments'!$R$22="Debt",IF(AND(AI$4&gt;=$D63,AI$4&lt;$D63+'Incremental Repayments'!$I$31),-PMT('Interest Rate'!$J$16,'Incremental Repayments'!$I$31,(HLOOKUP($D63,$E$4:$CZ$32,28,FALSE)*'Incremental Repayments'!$I$22)),0),0)</f>
        <v>7693999.3996719271</v>
      </c>
      <c r="AJ63" s="783">
        <f>IF('Incremental Repayments'!$R$22="Debt",IF(AND(AJ$4&gt;=$D63,AJ$4&lt;$D63+'Incremental Repayments'!$I$31),-PMT('Interest Rate'!$J$16,'Incremental Repayments'!$I$31,(HLOOKUP($D63,$E$4:$CZ$32,28,FALSE)*'Incremental Repayments'!$I$22)),0),0)</f>
        <v>7693999.3996719271</v>
      </c>
      <c r="AK63" s="783">
        <f>IF('Incremental Repayments'!$R$22="Debt",IF(AND(AK$4&gt;=$D63,AK$4&lt;$D63+'Incremental Repayments'!$I$31),-PMT('Interest Rate'!$J$16,'Incremental Repayments'!$I$31,(HLOOKUP($D63,$E$4:$CZ$32,28,FALSE)*'Incremental Repayments'!$I$22)),0),0)</f>
        <v>7693999.3996719271</v>
      </c>
      <c r="AL63" s="783">
        <f>IF('Incremental Repayments'!$R$22="Debt",IF(AND(AL$4&gt;=$D63,AL$4&lt;$D63+'Incremental Repayments'!$I$31),-PMT('Interest Rate'!$J$16,'Incremental Repayments'!$I$31,(HLOOKUP($D63,$E$4:$CZ$32,28,FALSE)*'Incremental Repayments'!$I$22)),0),0)</f>
        <v>7693999.3996719271</v>
      </c>
      <c r="AM63" s="783">
        <f>IF('Incremental Repayments'!$R$22="Debt",IF(AND(AM$4&gt;=$D63,AM$4&lt;$D63+'Incremental Repayments'!$I$31),-PMT('Interest Rate'!$J$16,'Incremental Repayments'!$I$31,(HLOOKUP($D63,$E$4:$CZ$32,28,FALSE)*'Incremental Repayments'!$I$22)),0),0)</f>
        <v>7693999.3996719271</v>
      </c>
      <c r="AN63" s="783">
        <f>IF('Incremental Repayments'!$R$22="Debt",IF(AND(AN$4&gt;=$D63,AN$4&lt;$D63+'Incremental Repayments'!$I$31),-PMT('Interest Rate'!$J$16,'Incremental Repayments'!$I$31,(HLOOKUP($D63,$E$4:$CZ$32,28,FALSE)*'Incremental Repayments'!$I$22)),0),0)</f>
        <v>7693999.3996719271</v>
      </c>
      <c r="AO63" s="783">
        <f>IF('Incremental Repayments'!$R$22="Debt",IF(AND(AO$4&gt;=$D63,AO$4&lt;$D63+'Incremental Repayments'!$I$31),-PMT('Interest Rate'!$J$16,'Incremental Repayments'!$I$31,(HLOOKUP($D63,$E$4:$CZ$32,28,FALSE)*'Incremental Repayments'!$I$22)),0),0)</f>
        <v>7693999.3996719271</v>
      </c>
      <c r="AP63" s="783">
        <f>IF('Incremental Repayments'!$R$22="Debt",IF(AND(AP$4&gt;=$D63,AP$4&lt;$D63+'Incremental Repayments'!$I$31),-PMT('Interest Rate'!$J$16,'Incremental Repayments'!$I$31,(HLOOKUP($D63,$E$4:$CZ$32,28,FALSE)*'Incremental Repayments'!$I$22)),0),0)</f>
        <v>7693999.3996719271</v>
      </c>
      <c r="AQ63" s="783">
        <f>IF('Incremental Repayments'!$R$22="Debt",IF(AND(AQ$4&gt;=$D63,AQ$4&lt;$D63+'Incremental Repayments'!$I$31),-PMT('Interest Rate'!$J$16,'Incremental Repayments'!$I$31,(HLOOKUP($D63,$E$4:$CZ$32,28,FALSE)*'Incremental Repayments'!$I$22)),0),0)</f>
        <v>7693999.3996719271</v>
      </c>
      <c r="AR63" s="783">
        <f>IF('Incremental Repayments'!$R$22="Debt",IF(AND(AR$4&gt;=$D63,AR$4&lt;$D63+'Incremental Repayments'!$I$31),-PMT('Interest Rate'!$J$16,'Incremental Repayments'!$I$31,(HLOOKUP($D63,$E$4:$CZ$32,28,FALSE)*'Incremental Repayments'!$I$22)),0),0)</f>
        <v>7693999.3996719271</v>
      </c>
      <c r="AS63" s="783">
        <f>IF('Incremental Repayments'!$R$22="Debt",IF(AND(AS$4&gt;=$D63,AS$4&lt;$D63+'Incremental Repayments'!$I$31),-PMT('Interest Rate'!$J$16,'Incremental Repayments'!$I$31,(HLOOKUP($D63,$E$4:$CZ$32,28,FALSE)*'Incremental Repayments'!$I$22)),0),0)</f>
        <v>7693999.3996719271</v>
      </c>
      <c r="AT63" s="783">
        <f>IF('Incremental Repayments'!$R$22="Debt",IF(AND(AT$4&gt;=$D63,AT$4&lt;$D63+'Incremental Repayments'!$I$31),-PMT('Interest Rate'!$J$16,'Incremental Repayments'!$I$31,(HLOOKUP($D63,$E$4:$CZ$32,28,FALSE)*'Incremental Repayments'!$I$22)),0),0)</f>
        <v>7693999.3996719271</v>
      </c>
      <c r="AU63" s="783">
        <f>IF('Incremental Repayments'!$R$22="Debt",IF(AND(AU$4&gt;=$D63,AU$4&lt;$D63+'Incremental Repayments'!$I$31),-PMT('Interest Rate'!$J$16,'Incremental Repayments'!$I$31,(HLOOKUP($D63,$E$4:$CZ$32,28,FALSE)*'Incremental Repayments'!$I$22)),0),0)</f>
        <v>7693999.3996719271</v>
      </c>
      <c r="AV63" s="783">
        <f>IF('Incremental Repayments'!$R$22="Debt",IF(AND(AV$4&gt;=$D63,AV$4&lt;$D63+'Incremental Repayments'!$I$31),-PMT('Interest Rate'!$J$16,'Incremental Repayments'!$I$31,(HLOOKUP($D63,$E$4:$CZ$32,28,FALSE)*'Incremental Repayments'!$I$22)),0),0)</f>
        <v>7693999.3996719271</v>
      </c>
      <c r="AW63" s="783">
        <f>IF('Incremental Repayments'!$R$22="Debt",IF(AND(AW$4&gt;=$D63,AW$4&lt;$D63+'Incremental Repayments'!$I$31),-PMT('Interest Rate'!$J$16,'Incremental Repayments'!$I$31,(HLOOKUP($D63,$E$4:$CZ$32,28,FALSE)*'Incremental Repayments'!$I$22)),0),0)</f>
        <v>7693999.3996719271</v>
      </c>
      <c r="AX63" s="783">
        <f>IF('Incremental Repayments'!$R$22="Debt",IF(AND(AX$4&gt;=$D63,AX$4&lt;$D63+'Incremental Repayments'!$I$31),-PMT('Interest Rate'!$J$16,'Incremental Repayments'!$I$31,(HLOOKUP($D63,$E$4:$CZ$32,28,FALSE)*'Incremental Repayments'!$I$22)),0),0)</f>
        <v>7693999.3996719271</v>
      </c>
      <c r="AY63" s="783">
        <f>IF('Incremental Repayments'!$R$22="Debt",IF(AND(AY$4&gt;=$D63,AY$4&lt;$D63+'Incremental Repayments'!$I$31),-PMT('Interest Rate'!$J$16,'Incremental Repayments'!$I$31,(HLOOKUP($D63,$E$4:$CZ$32,28,FALSE)*'Incremental Repayments'!$I$22)),0),0)</f>
        <v>7693999.3996719271</v>
      </c>
      <c r="AZ63" s="783">
        <f>IF('Incremental Repayments'!$R$22="Debt",IF(AND(AZ$4&gt;=$D63,AZ$4&lt;$D63+'Incremental Repayments'!$I$31),-PMT('Interest Rate'!$J$16,'Incremental Repayments'!$I$31,(HLOOKUP($D63,$E$4:$CZ$32,28,FALSE)*'Incremental Repayments'!$I$22)),0),0)</f>
        <v>7693999.3996719271</v>
      </c>
      <c r="BA63" s="783">
        <f>IF('Incremental Repayments'!$R$22="Debt",IF(AND(BA$4&gt;=$D63,BA$4&lt;$D63+'Incremental Repayments'!$I$31),-PMT('Interest Rate'!$J$16,'Incremental Repayments'!$I$31,(HLOOKUP($D63,$E$4:$CZ$32,28,FALSE)*'Incremental Repayments'!$I$22)),0),0)</f>
        <v>7693999.3996719271</v>
      </c>
      <c r="BB63" s="783">
        <f>IF('Incremental Repayments'!$R$22="Debt",IF(AND(BB$4&gt;=$D63,BB$4&lt;$D63+'Incremental Repayments'!$I$31),-PMT('Interest Rate'!$J$16,'Incremental Repayments'!$I$31,(HLOOKUP($D63,$E$4:$CZ$32,28,FALSE)*'Incremental Repayments'!$I$22)),0),0)</f>
        <v>7693999.3996719271</v>
      </c>
      <c r="BC63" s="783">
        <f>IF('Incremental Repayments'!$R$22="Debt",IF(AND(BC$4&gt;=$D63,BC$4&lt;$D63+'Incremental Repayments'!$I$31),-PMT('Interest Rate'!$J$16,'Incremental Repayments'!$I$31,(HLOOKUP($D63,$E$4:$CZ$32,28,FALSE)*'Incremental Repayments'!$I$22)),0),0)</f>
        <v>7693999.3996719271</v>
      </c>
      <c r="BD63" s="783">
        <f>IF('Incremental Repayments'!$R$22="Debt",IF(AND(BD$4&gt;=$D63,BD$4&lt;$D63+'Incremental Repayments'!$I$31),-PMT('Interest Rate'!$J$16,'Incremental Repayments'!$I$31,(HLOOKUP($D63,$E$4:$CZ$32,28,FALSE)*'Incremental Repayments'!$I$22)),0),0)</f>
        <v>7693999.3996719271</v>
      </c>
      <c r="BE63" s="783">
        <f>IF('Incremental Repayments'!$R$22="Debt",IF(AND(BE$4&gt;=$D63,BE$4&lt;$D63+'Incremental Repayments'!$I$31),-PMT('Interest Rate'!$J$16,'Incremental Repayments'!$I$31,(HLOOKUP($D63,$E$4:$CZ$32,28,FALSE)*'Incremental Repayments'!$I$22)),0),0)</f>
        <v>7693999.3996719271</v>
      </c>
      <c r="BF63" s="783">
        <f>IF('Incremental Repayments'!$R$22="Debt",IF(AND(BF$4&gt;=$D63,BF$4&lt;$D63+'Incremental Repayments'!$I$31),-PMT('Interest Rate'!$J$16,'Incremental Repayments'!$I$31,(HLOOKUP($D63,$E$4:$CZ$32,28,FALSE)*'Incremental Repayments'!$I$22)),0),0)</f>
        <v>7693999.3996719271</v>
      </c>
      <c r="BG63" s="783">
        <f>IF('Incremental Repayments'!$R$22="Debt",IF(AND(BG$4&gt;=$D63,BG$4&lt;$D63+'Incremental Repayments'!$I$31),-PMT('Interest Rate'!$J$16,'Incremental Repayments'!$I$31,(HLOOKUP($D63,$E$4:$CZ$32,28,FALSE)*'Incremental Repayments'!$I$22)),0),0)</f>
        <v>7693999.3996719271</v>
      </c>
      <c r="BH63" s="783">
        <f>IF('Incremental Repayments'!$R$22="Debt",IF(AND(BH$4&gt;=$D63,BH$4&lt;$D63+'Incremental Repayments'!$I$31),-PMT('Interest Rate'!$J$16,'Incremental Repayments'!$I$31,(HLOOKUP($D63,$E$4:$CZ$32,28,FALSE)*'Incremental Repayments'!$I$22)),0),0)</f>
        <v>7693999.3996719271</v>
      </c>
      <c r="BI63" s="783">
        <f>IF('Incremental Repayments'!$R$22="Debt",IF(AND(BI$4&gt;=$D63,BI$4&lt;$D63+'Incremental Repayments'!$I$31),-PMT('Interest Rate'!$J$16,'Incremental Repayments'!$I$31,(HLOOKUP($D63,$E$4:$CZ$32,28,FALSE)*'Incremental Repayments'!$I$22)),0),0)</f>
        <v>7693999.3996719271</v>
      </c>
      <c r="BJ63" s="783">
        <f>IF('Incremental Repayments'!$R$22="Debt",IF(AND(BJ$4&gt;=$D63,BJ$4&lt;$D63+'Incremental Repayments'!$I$31),-PMT('Interest Rate'!$J$16,'Incremental Repayments'!$I$31,(HLOOKUP($D63,$E$4:$CZ$32,28,FALSE)*'Incremental Repayments'!$I$22)),0),0)</f>
        <v>0</v>
      </c>
      <c r="BK63" s="783">
        <f>IF('Incremental Repayments'!$R$22="Debt",IF(AND(BK$4&gt;=$D63,BK$4&lt;$D63+'Incremental Repayments'!$I$31),-PMT('Interest Rate'!$J$16,'Incremental Repayments'!$I$31,(HLOOKUP($D63,$E$4:$CZ$32,28,FALSE)*'Incremental Repayments'!$I$22)),0),0)</f>
        <v>0</v>
      </c>
      <c r="BL63" s="783">
        <f>IF('Incremental Repayments'!$R$22="Debt",IF(AND(BL$4&gt;=$D63,BL$4&lt;$D63+'Incremental Repayments'!$I$31),-PMT('Interest Rate'!$J$16,'Incremental Repayments'!$I$31,(HLOOKUP($D63,$E$4:$CZ$32,28,FALSE)*'Incremental Repayments'!$I$22)),0),0)</f>
        <v>0</v>
      </c>
      <c r="BM63" s="783">
        <f>IF('Incremental Repayments'!$R$22="Debt",IF(AND(BM$4&gt;=$D63,BM$4&lt;$D63+'Incremental Repayments'!$I$31),-PMT('Interest Rate'!$J$16,'Incremental Repayments'!$I$31,(HLOOKUP($D63,$E$4:$CZ$32,28,FALSE)*'Incremental Repayments'!$I$22)),0),0)</f>
        <v>0</v>
      </c>
      <c r="BN63" s="783">
        <f>IF('Incremental Repayments'!$R$22="Debt",IF(AND(BN$4&gt;=$D63,BN$4&lt;$D63+'Incremental Repayments'!$I$31),-PMT('Interest Rate'!$J$16,'Incremental Repayments'!$I$31,(HLOOKUP($D63,$E$4:$CZ$32,28,FALSE)*'Incremental Repayments'!$I$22)),0),0)</f>
        <v>0</v>
      </c>
      <c r="BO63" s="783">
        <f>IF('Incremental Repayments'!$R$22="Debt",IF(AND(BO$4&gt;=$D63,BO$4&lt;$D63+'Incremental Repayments'!$I$31),-PMT('Interest Rate'!$J$16,'Incremental Repayments'!$I$31,(HLOOKUP($D63,$E$4:$CZ$32,28,FALSE)*'Incremental Repayments'!$I$22)),0),0)</f>
        <v>0</v>
      </c>
      <c r="BP63" s="783">
        <f>IF('Incremental Repayments'!$R$22="Debt",IF(AND(BP$4&gt;=$D63,BP$4&lt;$D63+'Incremental Repayments'!$I$31),-PMT('Interest Rate'!$J$16,'Incremental Repayments'!$I$31,(HLOOKUP($D63,$E$4:$CZ$32,28,FALSE)*'Incremental Repayments'!$I$22)),0),0)</f>
        <v>0</v>
      </c>
      <c r="BQ63" s="783">
        <f>IF('Incremental Repayments'!$R$22="Debt",IF(AND(BQ$4&gt;=$D63,BQ$4&lt;$D63+'Incremental Repayments'!$I$31),-PMT('Interest Rate'!$J$16,'Incremental Repayments'!$I$31,(HLOOKUP($D63,$E$4:$CZ$32,28,FALSE)*'Incremental Repayments'!$I$22)),0),0)</f>
        <v>0</v>
      </c>
      <c r="BR63" s="783">
        <f>IF('Incremental Repayments'!$R$22="Debt",IF(AND(BR$4&gt;=$D63,BR$4&lt;$D63+'Incremental Repayments'!$I$31),-PMT('Interest Rate'!$J$16,'Incremental Repayments'!$I$31,(HLOOKUP($D63,$E$4:$CZ$32,28,FALSE)*'Incremental Repayments'!$I$22)),0),0)</f>
        <v>0</v>
      </c>
      <c r="BS63" s="783">
        <f>IF('Incremental Repayments'!$R$22="Debt",IF(AND(BS$4&gt;=$D63,BS$4&lt;$D63+'Incremental Repayments'!$I$31),-PMT('Interest Rate'!$J$16,'Incremental Repayments'!$I$31,(HLOOKUP($D63,$E$4:$CZ$32,28,FALSE)*'Incremental Repayments'!$I$22)),0),0)</f>
        <v>0</v>
      </c>
      <c r="BT63" s="783">
        <f>IF('Incremental Repayments'!$R$22="Debt",IF(AND(BT$4&gt;=$D63,BT$4&lt;$D63+'Incremental Repayments'!$I$31),-PMT('Interest Rate'!$J$16,'Incremental Repayments'!$I$31,(HLOOKUP($D63,$E$4:$CZ$32,28,FALSE)*'Incremental Repayments'!$I$22)),0),0)</f>
        <v>0</v>
      </c>
      <c r="BU63" s="783">
        <f>IF('Incremental Repayments'!$R$22="Debt",IF(AND(BU$4&gt;=$D63,BU$4&lt;$D63+'Incremental Repayments'!$I$31),-PMT('Interest Rate'!$J$16,'Incremental Repayments'!$I$31,(HLOOKUP($D63,$E$4:$CZ$32,28,FALSE)*'Incremental Repayments'!$I$22)),0),0)</f>
        <v>0</v>
      </c>
      <c r="BV63" s="783">
        <f>IF('Incremental Repayments'!$R$22="Debt",IF(AND(BV$4&gt;=$D63,BV$4&lt;$D63+'Incremental Repayments'!$I$31),-PMT('Interest Rate'!$J$16,'Incremental Repayments'!$I$31,(HLOOKUP($D63,$E$4:$CZ$32,28,FALSE)*'Incremental Repayments'!$I$22)),0),0)</f>
        <v>0</v>
      </c>
      <c r="BW63" s="783">
        <f>IF('Incremental Repayments'!$R$22="Debt",IF(AND(BW$4&gt;=$D63,BW$4&lt;$D63+'Incremental Repayments'!$I$31),-PMT('Interest Rate'!$J$16,'Incremental Repayments'!$I$31,(HLOOKUP($D63,$E$4:$CZ$32,28,FALSE)*'Incremental Repayments'!$I$22)),0),0)</f>
        <v>0</v>
      </c>
      <c r="BX63" s="783">
        <f>IF('Incremental Repayments'!$R$22="Debt",IF(AND(BX$4&gt;=$D63,BX$4&lt;$D63+'Incremental Repayments'!$I$31),-PMT('Interest Rate'!$J$16,'Incremental Repayments'!$I$31,(HLOOKUP($D63,$E$4:$CZ$32,28,FALSE)*'Incremental Repayments'!$I$22)),0),0)</f>
        <v>0</v>
      </c>
      <c r="BY63" s="783">
        <f>IF('Incremental Repayments'!$R$22="Debt",IF(AND(BY$4&gt;=$D63,BY$4&lt;$D63+'Incremental Repayments'!$I$31),-PMT('Interest Rate'!$J$16,'Incremental Repayments'!$I$31,(HLOOKUP($D63,$E$4:$CZ$32,28,FALSE)*'Incremental Repayments'!$I$22)),0),0)</f>
        <v>0</v>
      </c>
      <c r="BZ63" s="783">
        <f>IF('Incremental Repayments'!$R$22="Debt",IF(AND(BZ$4&gt;=$D63,BZ$4&lt;$D63+'Incremental Repayments'!$I$31),-PMT('Interest Rate'!$J$16,'Incremental Repayments'!$I$31,(HLOOKUP($D63,$E$4:$CZ$32,28,FALSE)*'Incremental Repayments'!$I$22)),0),0)</f>
        <v>0</v>
      </c>
      <c r="CA63" s="783">
        <f>IF('Incremental Repayments'!$R$22="Debt",IF(AND(CA$4&gt;=$D63,CA$4&lt;$D63+'Incremental Repayments'!$I$31),-PMT('Interest Rate'!$J$16,'Incremental Repayments'!$I$31,(HLOOKUP($D63,$E$4:$CZ$32,28,FALSE)*'Incremental Repayments'!$I$22)),0),0)</f>
        <v>0</v>
      </c>
      <c r="CB63" s="783">
        <f>IF('Incremental Repayments'!$R$22="Debt",IF(AND(CB$4&gt;=$D63,CB$4&lt;$D63+'Incremental Repayments'!$I$31),-PMT('Interest Rate'!$J$16,'Incremental Repayments'!$I$31,(HLOOKUP($D63,$E$4:$CZ$32,28,FALSE)*'Incremental Repayments'!$I$22)),0),0)</f>
        <v>0</v>
      </c>
      <c r="CC63" s="783">
        <f>IF('Incremental Repayments'!$R$22="Debt",IF(AND(CC$4&gt;=$D63,CC$4&lt;$D63+'Incremental Repayments'!$I$31),-PMT('Interest Rate'!$J$16,'Incremental Repayments'!$I$31,(HLOOKUP($D63,$E$4:$CZ$32,28,FALSE)*'Incremental Repayments'!$I$22)),0),0)</f>
        <v>0</v>
      </c>
      <c r="CD63" s="783">
        <f>IF('Incremental Repayments'!$R$22="Debt",IF(AND(CD$4&gt;=$D63,CD$4&lt;$D63+'Incremental Repayments'!$I$31),-PMT('Interest Rate'!$J$16,'Incremental Repayments'!$I$31,(HLOOKUP($D63,$E$4:$CZ$32,28,FALSE)*'Incremental Repayments'!$I$22)),0),0)</f>
        <v>0</v>
      </c>
      <c r="CE63" s="783">
        <f>IF('Incremental Repayments'!$R$22="Debt",IF(AND(CE$4&gt;=$D63,CE$4&lt;$D63+'Incremental Repayments'!$I$31),-PMT('Interest Rate'!$J$16,'Incremental Repayments'!$I$31,(HLOOKUP($D63,$E$4:$CZ$32,28,FALSE)*'Incremental Repayments'!$I$22)),0),0)</f>
        <v>0</v>
      </c>
      <c r="CF63" s="783">
        <f>IF('Incremental Repayments'!$R$22="Debt",IF(AND(CF$4&gt;=$D63,CF$4&lt;$D63+'Incremental Repayments'!$I$31),-PMT('Interest Rate'!$J$16,'Incremental Repayments'!$I$31,(HLOOKUP($D63,$E$4:$CZ$32,28,FALSE)*'Incremental Repayments'!$I$22)),0),0)</f>
        <v>0</v>
      </c>
      <c r="CG63" s="783">
        <f>IF('Incremental Repayments'!$R$22="Debt",IF(AND(CG$4&gt;=$D63,CG$4&lt;$D63+'Incremental Repayments'!$I$31),-PMT('Interest Rate'!$J$16,'Incremental Repayments'!$I$31,(HLOOKUP($D63,$E$4:$CZ$32,28,FALSE)*'Incremental Repayments'!$I$22)),0),0)</f>
        <v>0</v>
      </c>
      <c r="CH63" s="783">
        <f>IF('Incremental Repayments'!$R$22="Debt",IF(AND(CH$4&gt;=$D63,CH$4&lt;$D63+'Incremental Repayments'!$I$31),-PMT('Interest Rate'!$J$16,'Incremental Repayments'!$I$31,(HLOOKUP($D63,$E$4:$CZ$32,28,FALSE)*'Incremental Repayments'!$I$22)),0),0)</f>
        <v>0</v>
      </c>
      <c r="CI63" s="783">
        <f>IF('Incremental Repayments'!$R$22="Debt",IF(AND(CI$4&gt;=$D63,CI$4&lt;$D63+'Incremental Repayments'!$I$31),-PMT('Interest Rate'!$J$16,'Incremental Repayments'!$I$31,(HLOOKUP($D63,$E$4:$CZ$32,28,FALSE)*'Incremental Repayments'!$I$22)),0),0)</f>
        <v>0</v>
      </c>
      <c r="CJ63" s="783">
        <f>IF('Incremental Repayments'!$R$22="Debt",IF(AND(CJ$4&gt;=$D63,CJ$4&lt;$D63+'Incremental Repayments'!$I$31),-PMT('Interest Rate'!$J$16,'Incremental Repayments'!$I$31,(HLOOKUP($D63,$E$4:$CZ$32,28,FALSE)*'Incremental Repayments'!$I$22)),0),0)</f>
        <v>0</v>
      </c>
      <c r="CK63" s="783">
        <f>IF('Incremental Repayments'!$R$22="Debt",IF(AND(CK$4&gt;=$D63,CK$4&lt;$D63+'Incremental Repayments'!$I$31),-PMT('Interest Rate'!$J$16,'Incremental Repayments'!$I$31,(HLOOKUP($D63,$E$4:$CZ$32,28,FALSE)*'Incremental Repayments'!$I$22)),0),0)</f>
        <v>0</v>
      </c>
      <c r="CL63" s="783">
        <f>IF('Incremental Repayments'!$R$22="Debt",IF(AND(CL$4&gt;=$D63,CL$4&lt;$D63+'Incremental Repayments'!$I$31),-PMT('Interest Rate'!$J$16,'Incremental Repayments'!$I$31,(HLOOKUP($D63,$E$4:$CZ$32,28,FALSE)*'Incremental Repayments'!$I$22)),0),0)</f>
        <v>0</v>
      </c>
      <c r="CM63" s="783">
        <f>IF('Incremental Repayments'!$R$22="Debt",IF(AND(CM$4&gt;=$D63,CM$4&lt;$D63+'Incremental Repayments'!$I$31),-PMT('Interest Rate'!$J$16,'Incremental Repayments'!$I$31,(HLOOKUP($D63,$E$4:$CZ$32,28,FALSE)*'Incremental Repayments'!$I$22)),0),0)</f>
        <v>0</v>
      </c>
      <c r="CN63" s="783">
        <f>IF('Incremental Repayments'!$R$22="Debt",IF(AND(CN$4&gt;=$D63,CN$4&lt;$D63+'Incremental Repayments'!$I$31),-PMT('Interest Rate'!$J$16,'Incremental Repayments'!$I$31,(HLOOKUP($D63,$E$4:$CZ$32,28,FALSE)*'Incremental Repayments'!$I$22)),0),0)</f>
        <v>0</v>
      </c>
      <c r="CO63" s="783">
        <f>IF('Incremental Repayments'!$R$22="Debt",IF(AND(CO$4&gt;=$D63,CO$4&lt;$D63+'Incremental Repayments'!$I$31),-PMT('Interest Rate'!$J$16,'Incremental Repayments'!$I$31,(HLOOKUP($D63,$E$4:$CZ$32,28,FALSE)*'Incremental Repayments'!$I$22)),0),0)</f>
        <v>0</v>
      </c>
      <c r="CP63" s="783">
        <f>IF('Incremental Repayments'!$R$22="Debt",IF(AND(CP$4&gt;=$D63,CP$4&lt;$D63+'Incremental Repayments'!$I$31),-PMT('Interest Rate'!$J$16,'Incremental Repayments'!$I$31,(HLOOKUP($D63,$E$4:$CZ$32,28,FALSE)*'Incremental Repayments'!$I$22)),0),0)</f>
        <v>0</v>
      </c>
      <c r="CQ63" s="783">
        <f>IF('Incremental Repayments'!$R$22="Debt",IF(AND(CQ$4&gt;=$D63,CQ$4&lt;$D63+'Incremental Repayments'!$I$31),-PMT('Interest Rate'!$J$16,'Incremental Repayments'!$I$31,(HLOOKUP($D63,$E$4:$CZ$32,28,FALSE)*'Incremental Repayments'!$I$22)),0),0)</f>
        <v>0</v>
      </c>
      <c r="CR63" s="783">
        <f>IF('Incremental Repayments'!$R$22="Debt",IF(AND(CR$4&gt;=$D63,CR$4&lt;$D63+'Incremental Repayments'!$I$31),-PMT('Interest Rate'!$J$16,'Incremental Repayments'!$I$31,(HLOOKUP($D63,$E$4:$CZ$32,28,FALSE)*'Incremental Repayments'!$I$22)),0),0)</f>
        <v>0</v>
      </c>
      <c r="CS63" s="783">
        <f>IF('Incremental Repayments'!$R$22="Debt",IF(AND(CS$4&gt;=$D63,CS$4&lt;$D63+'Incremental Repayments'!$I$31),-PMT('Interest Rate'!$J$16,'Incremental Repayments'!$I$31,(HLOOKUP($D63,$E$4:$CZ$32,28,FALSE)*'Incremental Repayments'!$I$22)),0),0)</f>
        <v>0</v>
      </c>
      <c r="CT63" s="783">
        <f>IF('Incremental Repayments'!$R$22="Debt",IF(AND(CT$4&gt;=$D63,CT$4&lt;$D63+'Incremental Repayments'!$I$31),-PMT('Interest Rate'!$J$16,'Incremental Repayments'!$I$31,(HLOOKUP($D63,$E$4:$CZ$32,28,FALSE)*'Incremental Repayments'!$I$22)),0),0)</f>
        <v>0</v>
      </c>
      <c r="CU63" s="783">
        <f>IF('Incremental Repayments'!$R$22="Debt",IF(AND(CU$4&gt;=$D63,CU$4&lt;$D63+'Incremental Repayments'!$I$31),-PMT('Interest Rate'!$J$16,'Incremental Repayments'!$I$31,(HLOOKUP($D63,$E$4:$CZ$32,28,FALSE)*'Incremental Repayments'!$I$22)),0),0)</f>
        <v>0</v>
      </c>
      <c r="CV63" s="783">
        <f>IF('Incremental Repayments'!$R$22="Debt",IF(AND(CV$4&gt;=$D63,CV$4&lt;$D63+'Incremental Repayments'!$I$31),-PMT('Interest Rate'!$J$16,'Incremental Repayments'!$I$31,(HLOOKUP($D63,$E$4:$CZ$32,28,FALSE)*'Incremental Repayments'!$I$22)),0),0)</f>
        <v>0</v>
      </c>
      <c r="CW63" s="783">
        <f>IF('Incremental Repayments'!$R$22="Debt",IF(AND(CW$4&gt;=$D63,CW$4&lt;$D63+'Incremental Repayments'!$I$31),-PMT('Interest Rate'!$J$16,'Incremental Repayments'!$I$31,(HLOOKUP($D63,$E$4:$CZ$32,28,FALSE)*'Incremental Repayments'!$I$22)),0),0)</f>
        <v>0</v>
      </c>
      <c r="CX63" s="783">
        <f>IF('Incremental Repayments'!$R$22="Debt",IF(AND(CX$4&gt;=$D63,CX$4&lt;$D63+'Incremental Repayments'!$I$31),-PMT('Interest Rate'!$J$16,'Incremental Repayments'!$I$31,(HLOOKUP($D63,$E$4:$CZ$32,28,FALSE)*'Incremental Repayments'!$I$22)),0),0)</f>
        <v>0</v>
      </c>
      <c r="CY63" s="783">
        <f>IF('Incremental Repayments'!$R$22="Debt",IF(AND(CY$4&gt;=$D63,CY$4&lt;$D63+'Incremental Repayments'!$I$31),-PMT('Interest Rate'!$J$16,'Incremental Repayments'!$I$31,(HLOOKUP($D63,$E$4:$CZ$32,28,FALSE)*'Incremental Repayments'!$I$22)),0),0)</f>
        <v>0</v>
      </c>
      <c r="CZ63" s="783">
        <f>IF('Incremental Repayments'!$R$22="Debt",IF(AND(CZ$4&gt;=$D63,CZ$4&lt;$D63+'Incremental Repayments'!$I$31),-PMT('Interest Rate'!$J$16,'Incremental Repayments'!$I$31,(HLOOKUP($D63,$E$4:$CZ$32,28,FALSE)*'Incremental Repayments'!$I$22)),0),0)</f>
        <v>0</v>
      </c>
    </row>
    <row r="64" spans="1:104" x14ac:dyDescent="0.25">
      <c r="B64" s="480" t="str">
        <f>CONCATENATE("Series ",D64,"A Bonds (at ",'Interest Rate'!$J$16*100,"% Interest)")</f>
        <v>Series 2042A Bonds (at 4.5% Interest)</v>
      </c>
      <c r="C64" s="480"/>
      <c r="D64" s="492">
        <f t="shared" si="47"/>
        <v>2042</v>
      </c>
      <c r="E64" s="783">
        <f>IF('Incremental Repayments'!$R$22="Debt",IF(AND(E$4&gt;=$D64,E$4&lt;$D64+'Incremental Repayments'!$I$31),-PMT('Interest Rate'!$J$16,'Incremental Repayments'!$I$31,(HLOOKUP($D64,$E$4:$CZ$32,28,FALSE)*'Incremental Repayments'!$I$22)),0),0)</f>
        <v>0</v>
      </c>
      <c r="F64" s="783">
        <f>IF('Incremental Repayments'!$R$22="Debt",IF(AND(F$4&gt;=$D64,F$4&lt;$D64+'Incremental Repayments'!$I$31),-PMT('Interest Rate'!$J$16,'Incremental Repayments'!$I$31,(HLOOKUP($D64,$E$4:$CZ$32,28,FALSE)*'Incremental Repayments'!$I$22)),0),0)</f>
        <v>0</v>
      </c>
      <c r="G64" s="783">
        <f>IF('Incremental Repayments'!$R$22="Debt",IF(AND(G$4&gt;=$D64,G$4&lt;$D64+'Incremental Repayments'!$I$31),-PMT('Interest Rate'!$J$16,'Incremental Repayments'!$I$31,(HLOOKUP($D64,$E$4:$CZ$32,28,FALSE)*'Incremental Repayments'!$I$22)),0),0)</f>
        <v>0</v>
      </c>
      <c r="H64" s="783">
        <f>IF('Incremental Repayments'!$R$22="Debt",IF(AND(H$4&gt;=$D64,H$4&lt;$D64+'Incremental Repayments'!$I$31),-PMT('Interest Rate'!$J$16,'Incremental Repayments'!$I$31,(HLOOKUP($D64,$E$4:$CZ$32,28,FALSE)*'Incremental Repayments'!$I$22)),0),0)</f>
        <v>0</v>
      </c>
      <c r="I64" s="783">
        <f>IF('Incremental Repayments'!$R$22="Debt",IF(AND(I$4&gt;=$D64,I$4&lt;$D64+'Incremental Repayments'!$I$31),-PMT('Interest Rate'!$J$16,'Incremental Repayments'!$I$31,(HLOOKUP($D64,$E$4:$CZ$32,28,FALSE)*'Incremental Repayments'!$I$22)),0),0)</f>
        <v>0</v>
      </c>
      <c r="J64" s="783">
        <f>IF('Incremental Repayments'!$R$22="Debt",IF(AND(J$4&gt;=$D64,J$4&lt;$D64+'Incremental Repayments'!$I$31),-PMT('Interest Rate'!$J$16,'Incremental Repayments'!$I$31,(HLOOKUP($D64,$E$4:$CZ$32,28,FALSE)*'Incremental Repayments'!$I$22)),0),0)</f>
        <v>0</v>
      </c>
      <c r="K64" s="783">
        <f>IF('Incremental Repayments'!$R$22="Debt",IF(AND(K$4&gt;=$D64,K$4&lt;$D64+'Incremental Repayments'!$I$31),-PMT('Interest Rate'!$J$16,'Incremental Repayments'!$I$31,(HLOOKUP($D64,$E$4:$CZ$32,28,FALSE)*'Incremental Repayments'!$I$22)),0),0)</f>
        <v>0</v>
      </c>
      <c r="L64" s="783">
        <f>IF('Incremental Repayments'!$R$22="Debt",IF(AND(L$4&gt;=$D64,L$4&lt;$D64+'Incremental Repayments'!$I$31),-PMT('Interest Rate'!$J$16,'Incremental Repayments'!$I$31,(HLOOKUP($D64,$E$4:$CZ$32,28,FALSE)*'Incremental Repayments'!$I$22)),0),0)</f>
        <v>0</v>
      </c>
      <c r="M64" s="783">
        <f>IF('Incremental Repayments'!$R$22="Debt",IF(AND(M$4&gt;=$D64,M$4&lt;$D64+'Incremental Repayments'!$I$31),-PMT('Interest Rate'!$J$16,'Incremental Repayments'!$I$31,(HLOOKUP($D64,$E$4:$CZ$32,28,FALSE)*'Incremental Repayments'!$I$22)),0),0)</f>
        <v>0</v>
      </c>
      <c r="N64" s="783">
        <f>IF('Incremental Repayments'!$R$22="Debt",IF(AND(N$4&gt;=$D64,N$4&lt;$D64+'Incremental Repayments'!$I$31),-PMT('Interest Rate'!$J$16,'Incremental Repayments'!$I$31,(HLOOKUP($D64,$E$4:$CZ$32,28,FALSE)*'Incremental Repayments'!$I$22)),0),0)</f>
        <v>0</v>
      </c>
      <c r="O64" s="783">
        <f>IF('Incremental Repayments'!$R$22="Debt",IF(AND(O$4&gt;=$D64,O$4&lt;$D64+'Incremental Repayments'!$I$31),-PMT('Interest Rate'!$J$16,'Incremental Repayments'!$I$31,(HLOOKUP($D64,$E$4:$CZ$32,28,FALSE)*'Incremental Repayments'!$I$22)),0),0)</f>
        <v>0</v>
      </c>
      <c r="P64" s="783">
        <f>IF('Incremental Repayments'!$R$22="Debt",IF(AND(P$4&gt;=$D64,P$4&lt;$D64+'Incremental Repayments'!$I$31),-PMT('Interest Rate'!$J$16,'Incremental Repayments'!$I$31,(HLOOKUP($D64,$E$4:$CZ$32,28,FALSE)*'Incremental Repayments'!$I$22)),0),0)</f>
        <v>0</v>
      </c>
      <c r="Q64" s="783">
        <f>IF('Incremental Repayments'!$R$22="Debt",IF(AND(Q$4&gt;=$D64,Q$4&lt;$D64+'Incremental Repayments'!$I$31),-PMT('Interest Rate'!$J$16,'Incremental Repayments'!$I$31,(HLOOKUP($D64,$E$4:$CZ$32,28,FALSE)*'Incremental Repayments'!$I$22)),0),0)</f>
        <v>0</v>
      </c>
      <c r="R64" s="783">
        <f>IF('Incremental Repayments'!$R$22="Debt",IF(AND(R$4&gt;=$D64,R$4&lt;$D64+'Incremental Repayments'!$I$31),-PMT('Interest Rate'!$J$16,'Incremental Repayments'!$I$31,(HLOOKUP($D64,$E$4:$CZ$32,28,FALSE)*'Incremental Repayments'!$I$22)),0),0)</f>
        <v>0</v>
      </c>
      <c r="S64" s="783">
        <f>IF('Incremental Repayments'!$R$22="Debt",IF(AND(S$4&gt;=$D64,S$4&lt;$D64+'Incremental Repayments'!$I$31),-PMT('Interest Rate'!$J$16,'Incremental Repayments'!$I$31,(HLOOKUP($D64,$E$4:$CZ$32,28,FALSE)*'Incremental Repayments'!$I$22)),0),0)</f>
        <v>0</v>
      </c>
      <c r="T64" s="783">
        <f>IF('Incremental Repayments'!$R$22="Debt",IF(AND(T$4&gt;=$D64,T$4&lt;$D64+'Incremental Repayments'!$I$31),-PMT('Interest Rate'!$J$16,'Incremental Repayments'!$I$31,(HLOOKUP($D64,$E$4:$CZ$32,28,FALSE)*'Incremental Repayments'!$I$22)),0),0)</f>
        <v>0</v>
      </c>
      <c r="U64" s="783">
        <f>IF('Incremental Repayments'!$R$22="Debt",IF(AND(U$4&gt;=$D64,U$4&lt;$D64+'Incremental Repayments'!$I$31),-PMT('Interest Rate'!$J$16,'Incremental Repayments'!$I$31,(HLOOKUP($D64,$E$4:$CZ$32,28,FALSE)*'Incremental Repayments'!$I$22)),0),0)</f>
        <v>0</v>
      </c>
      <c r="V64" s="783">
        <f>IF('Incremental Repayments'!$R$22="Debt",IF(AND(V$4&gt;=$D64,V$4&lt;$D64+'Incremental Repayments'!$I$31),-PMT('Interest Rate'!$J$16,'Incremental Repayments'!$I$31,(HLOOKUP($D64,$E$4:$CZ$32,28,FALSE)*'Incremental Repayments'!$I$22)),0),0)</f>
        <v>0</v>
      </c>
      <c r="W64" s="783">
        <f>IF('Incremental Repayments'!$R$22="Debt",IF(AND(W$4&gt;=$D64,W$4&lt;$D64+'Incremental Repayments'!$I$31),-PMT('Interest Rate'!$J$16,'Incremental Repayments'!$I$31,(HLOOKUP($D64,$E$4:$CZ$32,28,FALSE)*'Incremental Repayments'!$I$22)),0),0)</f>
        <v>0</v>
      </c>
      <c r="X64" s="783">
        <f>IF('Incremental Repayments'!$R$22="Debt",IF(AND(X$4&gt;=$D64,X$4&lt;$D64+'Incremental Repayments'!$I$31),-PMT('Interest Rate'!$J$16,'Incremental Repayments'!$I$31,(HLOOKUP($D64,$E$4:$CZ$32,28,FALSE)*'Incremental Repayments'!$I$22)),0),0)</f>
        <v>0</v>
      </c>
      <c r="Y64" s="783">
        <f>IF('Incremental Repayments'!$R$22="Debt",IF(AND(Y$4&gt;=$D64,Y$4&lt;$D64+'Incremental Repayments'!$I$31),-PMT('Interest Rate'!$J$16,'Incremental Repayments'!$I$31,(HLOOKUP($D64,$E$4:$CZ$32,28,FALSE)*'Incremental Repayments'!$I$22)),0),0)</f>
        <v>0</v>
      </c>
      <c r="Z64" s="783">
        <f>IF('Incremental Repayments'!$R$22="Debt",IF(AND(Z$4&gt;=$D64,Z$4&lt;$D64+'Incremental Repayments'!$I$31),-PMT('Interest Rate'!$J$16,'Incremental Repayments'!$I$31,(HLOOKUP($D64,$E$4:$CZ$32,28,FALSE)*'Incremental Repayments'!$I$22)),0),0)</f>
        <v>0</v>
      </c>
      <c r="AA64" s="783">
        <f>IF('Incremental Repayments'!$R$22="Debt",IF(AND(AA$4&gt;=$D64,AA$4&lt;$D64+'Incremental Repayments'!$I$31),-PMT('Interest Rate'!$J$16,'Incremental Repayments'!$I$31,(HLOOKUP($D64,$E$4:$CZ$32,28,FALSE)*'Incremental Repayments'!$I$22)),0),0)</f>
        <v>0</v>
      </c>
      <c r="AB64" s="783">
        <f>IF('Incremental Repayments'!$R$22="Debt",IF(AND(AB$4&gt;=$D64,AB$4&lt;$D64+'Incremental Repayments'!$I$31),-PMT('Interest Rate'!$J$16,'Incremental Repayments'!$I$31,(HLOOKUP($D64,$E$4:$CZ$32,28,FALSE)*'Incremental Repayments'!$I$22)),0),0)</f>
        <v>0</v>
      </c>
      <c r="AC64" s="783">
        <f>IF('Incremental Repayments'!$R$22="Debt",IF(AND(AC$4&gt;=$D64,AC$4&lt;$D64+'Incremental Repayments'!$I$31),-PMT('Interest Rate'!$J$16,'Incremental Repayments'!$I$31,(HLOOKUP($D64,$E$4:$CZ$32,28,FALSE)*'Incremental Repayments'!$I$22)),0),0)</f>
        <v>0</v>
      </c>
      <c r="AD64" s="783">
        <f>IF('Incremental Repayments'!$R$22="Debt",IF(AND(AD$4&gt;=$D64,AD$4&lt;$D64+'Incremental Repayments'!$I$31),-PMT('Interest Rate'!$J$16,'Incremental Repayments'!$I$31,(HLOOKUP($D64,$E$4:$CZ$32,28,FALSE)*'Incremental Repayments'!$I$22)),0),0)</f>
        <v>0</v>
      </c>
      <c r="AE64" s="783">
        <f>IF('Incremental Repayments'!$R$22="Debt",IF(AND(AE$4&gt;=$D64,AE$4&lt;$D64+'Incremental Repayments'!$I$31),-PMT('Interest Rate'!$J$16,'Incremental Repayments'!$I$31,(HLOOKUP($D64,$E$4:$CZ$32,28,FALSE)*'Incremental Repayments'!$I$22)),0),0)</f>
        <v>0</v>
      </c>
      <c r="AF64" s="783">
        <f>IF('Incremental Repayments'!$R$22="Debt",IF(AND(AF$4&gt;=$D64,AF$4&lt;$D64+'Incremental Repayments'!$I$31),-PMT('Interest Rate'!$J$16,'Incremental Repayments'!$I$31,(HLOOKUP($D64,$E$4:$CZ$32,28,FALSE)*'Incremental Repayments'!$I$22)),0),0)</f>
        <v>0</v>
      </c>
      <c r="AG64" s="783">
        <f>IF('Incremental Repayments'!$R$22="Debt",IF(AND(AG$4&gt;=$D64,AG$4&lt;$D64+'Incremental Repayments'!$I$31),-PMT('Interest Rate'!$J$16,'Incremental Repayments'!$I$31,(HLOOKUP($D64,$E$4:$CZ$32,28,FALSE)*'Incremental Repayments'!$I$22)),0),0)</f>
        <v>6869625.7297557024</v>
      </c>
      <c r="AH64" s="783">
        <f>IF('Incremental Repayments'!$R$22="Debt",IF(AND(AH$4&gt;=$D64,AH$4&lt;$D64+'Incremental Repayments'!$I$31),-PMT('Interest Rate'!$J$16,'Incremental Repayments'!$I$31,(HLOOKUP($D64,$E$4:$CZ$32,28,FALSE)*'Incremental Repayments'!$I$22)),0),0)</f>
        <v>6869625.7297557024</v>
      </c>
      <c r="AI64" s="783">
        <f>IF('Incremental Repayments'!$R$22="Debt",IF(AND(AI$4&gt;=$D64,AI$4&lt;$D64+'Incremental Repayments'!$I$31),-PMT('Interest Rate'!$J$16,'Incremental Repayments'!$I$31,(HLOOKUP($D64,$E$4:$CZ$32,28,FALSE)*'Incremental Repayments'!$I$22)),0),0)</f>
        <v>6869625.7297557024</v>
      </c>
      <c r="AJ64" s="783">
        <f>IF('Incremental Repayments'!$R$22="Debt",IF(AND(AJ$4&gt;=$D64,AJ$4&lt;$D64+'Incremental Repayments'!$I$31),-PMT('Interest Rate'!$J$16,'Incremental Repayments'!$I$31,(HLOOKUP($D64,$E$4:$CZ$32,28,FALSE)*'Incremental Repayments'!$I$22)),0),0)</f>
        <v>6869625.7297557024</v>
      </c>
      <c r="AK64" s="783">
        <f>IF('Incremental Repayments'!$R$22="Debt",IF(AND(AK$4&gt;=$D64,AK$4&lt;$D64+'Incremental Repayments'!$I$31),-PMT('Interest Rate'!$J$16,'Incremental Repayments'!$I$31,(HLOOKUP($D64,$E$4:$CZ$32,28,FALSE)*'Incremental Repayments'!$I$22)),0),0)</f>
        <v>6869625.7297557024</v>
      </c>
      <c r="AL64" s="783">
        <f>IF('Incremental Repayments'!$R$22="Debt",IF(AND(AL$4&gt;=$D64,AL$4&lt;$D64+'Incremental Repayments'!$I$31),-PMT('Interest Rate'!$J$16,'Incremental Repayments'!$I$31,(HLOOKUP($D64,$E$4:$CZ$32,28,FALSE)*'Incremental Repayments'!$I$22)),0),0)</f>
        <v>6869625.7297557024</v>
      </c>
      <c r="AM64" s="783">
        <f>IF('Incremental Repayments'!$R$22="Debt",IF(AND(AM$4&gt;=$D64,AM$4&lt;$D64+'Incremental Repayments'!$I$31),-PMT('Interest Rate'!$J$16,'Incremental Repayments'!$I$31,(HLOOKUP($D64,$E$4:$CZ$32,28,FALSE)*'Incremental Repayments'!$I$22)),0),0)</f>
        <v>6869625.7297557024</v>
      </c>
      <c r="AN64" s="783">
        <f>IF('Incremental Repayments'!$R$22="Debt",IF(AND(AN$4&gt;=$D64,AN$4&lt;$D64+'Incremental Repayments'!$I$31),-PMT('Interest Rate'!$J$16,'Incremental Repayments'!$I$31,(HLOOKUP($D64,$E$4:$CZ$32,28,FALSE)*'Incremental Repayments'!$I$22)),0),0)</f>
        <v>6869625.7297557024</v>
      </c>
      <c r="AO64" s="783">
        <f>IF('Incremental Repayments'!$R$22="Debt",IF(AND(AO$4&gt;=$D64,AO$4&lt;$D64+'Incremental Repayments'!$I$31),-PMT('Interest Rate'!$J$16,'Incremental Repayments'!$I$31,(HLOOKUP($D64,$E$4:$CZ$32,28,FALSE)*'Incremental Repayments'!$I$22)),0),0)</f>
        <v>6869625.7297557024</v>
      </c>
      <c r="AP64" s="783">
        <f>IF('Incremental Repayments'!$R$22="Debt",IF(AND(AP$4&gt;=$D64,AP$4&lt;$D64+'Incremental Repayments'!$I$31),-PMT('Interest Rate'!$J$16,'Incremental Repayments'!$I$31,(HLOOKUP($D64,$E$4:$CZ$32,28,FALSE)*'Incremental Repayments'!$I$22)),0),0)</f>
        <v>6869625.7297557024</v>
      </c>
      <c r="AQ64" s="783">
        <f>IF('Incremental Repayments'!$R$22="Debt",IF(AND(AQ$4&gt;=$D64,AQ$4&lt;$D64+'Incremental Repayments'!$I$31),-PMT('Interest Rate'!$J$16,'Incremental Repayments'!$I$31,(HLOOKUP($D64,$E$4:$CZ$32,28,FALSE)*'Incremental Repayments'!$I$22)),0),0)</f>
        <v>6869625.7297557024</v>
      </c>
      <c r="AR64" s="783">
        <f>IF('Incremental Repayments'!$R$22="Debt",IF(AND(AR$4&gt;=$D64,AR$4&lt;$D64+'Incremental Repayments'!$I$31),-PMT('Interest Rate'!$J$16,'Incremental Repayments'!$I$31,(HLOOKUP($D64,$E$4:$CZ$32,28,FALSE)*'Incremental Repayments'!$I$22)),0),0)</f>
        <v>6869625.7297557024</v>
      </c>
      <c r="AS64" s="783">
        <f>IF('Incremental Repayments'!$R$22="Debt",IF(AND(AS$4&gt;=$D64,AS$4&lt;$D64+'Incremental Repayments'!$I$31),-PMT('Interest Rate'!$J$16,'Incremental Repayments'!$I$31,(HLOOKUP($D64,$E$4:$CZ$32,28,FALSE)*'Incremental Repayments'!$I$22)),0),0)</f>
        <v>6869625.7297557024</v>
      </c>
      <c r="AT64" s="783">
        <f>IF('Incremental Repayments'!$R$22="Debt",IF(AND(AT$4&gt;=$D64,AT$4&lt;$D64+'Incremental Repayments'!$I$31),-PMT('Interest Rate'!$J$16,'Incremental Repayments'!$I$31,(HLOOKUP($D64,$E$4:$CZ$32,28,FALSE)*'Incremental Repayments'!$I$22)),0),0)</f>
        <v>6869625.7297557024</v>
      </c>
      <c r="AU64" s="783">
        <f>IF('Incremental Repayments'!$R$22="Debt",IF(AND(AU$4&gt;=$D64,AU$4&lt;$D64+'Incremental Repayments'!$I$31),-PMT('Interest Rate'!$J$16,'Incremental Repayments'!$I$31,(HLOOKUP($D64,$E$4:$CZ$32,28,FALSE)*'Incremental Repayments'!$I$22)),0),0)</f>
        <v>6869625.7297557024</v>
      </c>
      <c r="AV64" s="783">
        <f>IF('Incremental Repayments'!$R$22="Debt",IF(AND(AV$4&gt;=$D64,AV$4&lt;$D64+'Incremental Repayments'!$I$31),-PMT('Interest Rate'!$J$16,'Incremental Repayments'!$I$31,(HLOOKUP($D64,$E$4:$CZ$32,28,FALSE)*'Incremental Repayments'!$I$22)),0),0)</f>
        <v>6869625.7297557024</v>
      </c>
      <c r="AW64" s="783">
        <f>IF('Incremental Repayments'!$R$22="Debt",IF(AND(AW$4&gt;=$D64,AW$4&lt;$D64+'Incremental Repayments'!$I$31),-PMT('Interest Rate'!$J$16,'Incremental Repayments'!$I$31,(HLOOKUP($D64,$E$4:$CZ$32,28,FALSE)*'Incremental Repayments'!$I$22)),0),0)</f>
        <v>6869625.7297557024</v>
      </c>
      <c r="AX64" s="783">
        <f>IF('Incremental Repayments'!$R$22="Debt",IF(AND(AX$4&gt;=$D64,AX$4&lt;$D64+'Incremental Repayments'!$I$31),-PMT('Interest Rate'!$J$16,'Incremental Repayments'!$I$31,(HLOOKUP($D64,$E$4:$CZ$32,28,FALSE)*'Incremental Repayments'!$I$22)),0),0)</f>
        <v>6869625.7297557024</v>
      </c>
      <c r="AY64" s="783">
        <f>IF('Incremental Repayments'!$R$22="Debt",IF(AND(AY$4&gt;=$D64,AY$4&lt;$D64+'Incremental Repayments'!$I$31),-PMT('Interest Rate'!$J$16,'Incremental Repayments'!$I$31,(HLOOKUP($D64,$E$4:$CZ$32,28,FALSE)*'Incremental Repayments'!$I$22)),0),0)</f>
        <v>6869625.7297557024</v>
      </c>
      <c r="AZ64" s="783">
        <f>IF('Incremental Repayments'!$R$22="Debt",IF(AND(AZ$4&gt;=$D64,AZ$4&lt;$D64+'Incremental Repayments'!$I$31),-PMT('Interest Rate'!$J$16,'Incremental Repayments'!$I$31,(HLOOKUP($D64,$E$4:$CZ$32,28,FALSE)*'Incremental Repayments'!$I$22)),0),0)</f>
        <v>6869625.7297557024</v>
      </c>
      <c r="BA64" s="783">
        <f>IF('Incremental Repayments'!$R$22="Debt",IF(AND(BA$4&gt;=$D64,BA$4&lt;$D64+'Incremental Repayments'!$I$31),-PMT('Interest Rate'!$J$16,'Incremental Repayments'!$I$31,(HLOOKUP($D64,$E$4:$CZ$32,28,FALSE)*'Incremental Repayments'!$I$22)),0),0)</f>
        <v>6869625.7297557024</v>
      </c>
      <c r="BB64" s="783">
        <f>IF('Incremental Repayments'!$R$22="Debt",IF(AND(BB$4&gt;=$D64,BB$4&lt;$D64+'Incremental Repayments'!$I$31),-PMT('Interest Rate'!$J$16,'Incremental Repayments'!$I$31,(HLOOKUP($D64,$E$4:$CZ$32,28,FALSE)*'Incremental Repayments'!$I$22)),0),0)</f>
        <v>6869625.7297557024</v>
      </c>
      <c r="BC64" s="783">
        <f>IF('Incremental Repayments'!$R$22="Debt",IF(AND(BC$4&gt;=$D64,BC$4&lt;$D64+'Incremental Repayments'!$I$31),-PMT('Interest Rate'!$J$16,'Incremental Repayments'!$I$31,(HLOOKUP($D64,$E$4:$CZ$32,28,FALSE)*'Incremental Repayments'!$I$22)),0),0)</f>
        <v>6869625.7297557024</v>
      </c>
      <c r="BD64" s="783">
        <f>IF('Incremental Repayments'!$R$22="Debt",IF(AND(BD$4&gt;=$D64,BD$4&lt;$D64+'Incremental Repayments'!$I$31),-PMT('Interest Rate'!$J$16,'Incremental Repayments'!$I$31,(HLOOKUP($D64,$E$4:$CZ$32,28,FALSE)*'Incremental Repayments'!$I$22)),0),0)</f>
        <v>6869625.7297557024</v>
      </c>
      <c r="BE64" s="783">
        <f>IF('Incremental Repayments'!$R$22="Debt",IF(AND(BE$4&gt;=$D64,BE$4&lt;$D64+'Incremental Repayments'!$I$31),-PMT('Interest Rate'!$J$16,'Incremental Repayments'!$I$31,(HLOOKUP($D64,$E$4:$CZ$32,28,FALSE)*'Incremental Repayments'!$I$22)),0),0)</f>
        <v>6869625.7297557024</v>
      </c>
      <c r="BF64" s="783">
        <f>IF('Incremental Repayments'!$R$22="Debt",IF(AND(BF$4&gt;=$D64,BF$4&lt;$D64+'Incremental Repayments'!$I$31),-PMT('Interest Rate'!$J$16,'Incremental Repayments'!$I$31,(HLOOKUP($D64,$E$4:$CZ$32,28,FALSE)*'Incremental Repayments'!$I$22)),0),0)</f>
        <v>6869625.7297557024</v>
      </c>
      <c r="BG64" s="783">
        <f>IF('Incremental Repayments'!$R$22="Debt",IF(AND(BG$4&gt;=$D64,BG$4&lt;$D64+'Incremental Repayments'!$I$31),-PMT('Interest Rate'!$J$16,'Incremental Repayments'!$I$31,(HLOOKUP($D64,$E$4:$CZ$32,28,FALSE)*'Incremental Repayments'!$I$22)),0),0)</f>
        <v>6869625.7297557024</v>
      </c>
      <c r="BH64" s="783">
        <f>IF('Incremental Repayments'!$R$22="Debt",IF(AND(BH$4&gt;=$D64,BH$4&lt;$D64+'Incremental Repayments'!$I$31),-PMT('Interest Rate'!$J$16,'Incremental Repayments'!$I$31,(HLOOKUP($D64,$E$4:$CZ$32,28,FALSE)*'Incremental Repayments'!$I$22)),0),0)</f>
        <v>6869625.7297557024</v>
      </c>
      <c r="BI64" s="783">
        <f>IF('Incremental Repayments'!$R$22="Debt",IF(AND(BI$4&gt;=$D64,BI$4&lt;$D64+'Incremental Repayments'!$I$31),-PMT('Interest Rate'!$J$16,'Incremental Repayments'!$I$31,(HLOOKUP($D64,$E$4:$CZ$32,28,FALSE)*'Incremental Repayments'!$I$22)),0),0)</f>
        <v>6869625.7297557024</v>
      </c>
      <c r="BJ64" s="783">
        <f>IF('Incremental Repayments'!$R$22="Debt",IF(AND(BJ$4&gt;=$D64,BJ$4&lt;$D64+'Incremental Repayments'!$I$31),-PMT('Interest Rate'!$J$16,'Incremental Repayments'!$I$31,(HLOOKUP($D64,$E$4:$CZ$32,28,FALSE)*'Incremental Repayments'!$I$22)),0),0)</f>
        <v>6869625.7297557024</v>
      </c>
      <c r="BK64" s="783">
        <f>IF('Incremental Repayments'!$R$22="Debt",IF(AND(BK$4&gt;=$D64,BK$4&lt;$D64+'Incremental Repayments'!$I$31),-PMT('Interest Rate'!$J$16,'Incremental Repayments'!$I$31,(HLOOKUP($D64,$E$4:$CZ$32,28,FALSE)*'Incremental Repayments'!$I$22)),0),0)</f>
        <v>0</v>
      </c>
      <c r="BL64" s="783">
        <f>IF('Incremental Repayments'!$R$22="Debt",IF(AND(BL$4&gt;=$D64,BL$4&lt;$D64+'Incremental Repayments'!$I$31),-PMT('Interest Rate'!$J$16,'Incremental Repayments'!$I$31,(HLOOKUP($D64,$E$4:$CZ$32,28,FALSE)*'Incremental Repayments'!$I$22)),0),0)</f>
        <v>0</v>
      </c>
      <c r="BM64" s="783">
        <f>IF('Incremental Repayments'!$R$22="Debt",IF(AND(BM$4&gt;=$D64,BM$4&lt;$D64+'Incremental Repayments'!$I$31),-PMT('Interest Rate'!$J$16,'Incremental Repayments'!$I$31,(HLOOKUP($D64,$E$4:$CZ$32,28,FALSE)*'Incremental Repayments'!$I$22)),0),0)</f>
        <v>0</v>
      </c>
      <c r="BN64" s="783">
        <f>IF('Incremental Repayments'!$R$22="Debt",IF(AND(BN$4&gt;=$D64,BN$4&lt;$D64+'Incremental Repayments'!$I$31),-PMT('Interest Rate'!$J$16,'Incremental Repayments'!$I$31,(HLOOKUP($D64,$E$4:$CZ$32,28,FALSE)*'Incremental Repayments'!$I$22)),0),0)</f>
        <v>0</v>
      </c>
      <c r="BO64" s="783">
        <f>IF('Incremental Repayments'!$R$22="Debt",IF(AND(BO$4&gt;=$D64,BO$4&lt;$D64+'Incremental Repayments'!$I$31),-PMT('Interest Rate'!$J$16,'Incremental Repayments'!$I$31,(HLOOKUP($D64,$E$4:$CZ$32,28,FALSE)*'Incremental Repayments'!$I$22)),0),0)</f>
        <v>0</v>
      </c>
      <c r="BP64" s="783">
        <f>IF('Incremental Repayments'!$R$22="Debt",IF(AND(BP$4&gt;=$D64,BP$4&lt;$D64+'Incremental Repayments'!$I$31),-PMT('Interest Rate'!$J$16,'Incremental Repayments'!$I$31,(HLOOKUP($D64,$E$4:$CZ$32,28,FALSE)*'Incremental Repayments'!$I$22)),0),0)</f>
        <v>0</v>
      </c>
      <c r="BQ64" s="783">
        <f>IF('Incremental Repayments'!$R$22="Debt",IF(AND(BQ$4&gt;=$D64,BQ$4&lt;$D64+'Incremental Repayments'!$I$31),-PMT('Interest Rate'!$J$16,'Incremental Repayments'!$I$31,(HLOOKUP($D64,$E$4:$CZ$32,28,FALSE)*'Incremental Repayments'!$I$22)),0),0)</f>
        <v>0</v>
      </c>
      <c r="BR64" s="783">
        <f>IF('Incremental Repayments'!$R$22="Debt",IF(AND(BR$4&gt;=$D64,BR$4&lt;$D64+'Incremental Repayments'!$I$31),-PMT('Interest Rate'!$J$16,'Incremental Repayments'!$I$31,(HLOOKUP($D64,$E$4:$CZ$32,28,FALSE)*'Incremental Repayments'!$I$22)),0),0)</f>
        <v>0</v>
      </c>
      <c r="BS64" s="783">
        <f>IF('Incremental Repayments'!$R$22="Debt",IF(AND(BS$4&gt;=$D64,BS$4&lt;$D64+'Incremental Repayments'!$I$31),-PMT('Interest Rate'!$J$16,'Incremental Repayments'!$I$31,(HLOOKUP($D64,$E$4:$CZ$32,28,FALSE)*'Incremental Repayments'!$I$22)),0),0)</f>
        <v>0</v>
      </c>
      <c r="BT64" s="783">
        <f>IF('Incremental Repayments'!$R$22="Debt",IF(AND(BT$4&gt;=$D64,BT$4&lt;$D64+'Incremental Repayments'!$I$31),-PMT('Interest Rate'!$J$16,'Incremental Repayments'!$I$31,(HLOOKUP($D64,$E$4:$CZ$32,28,FALSE)*'Incremental Repayments'!$I$22)),0),0)</f>
        <v>0</v>
      </c>
      <c r="BU64" s="783">
        <f>IF('Incremental Repayments'!$R$22="Debt",IF(AND(BU$4&gt;=$D64,BU$4&lt;$D64+'Incremental Repayments'!$I$31),-PMT('Interest Rate'!$J$16,'Incremental Repayments'!$I$31,(HLOOKUP($D64,$E$4:$CZ$32,28,FALSE)*'Incremental Repayments'!$I$22)),0),0)</f>
        <v>0</v>
      </c>
      <c r="BV64" s="783">
        <f>IF('Incremental Repayments'!$R$22="Debt",IF(AND(BV$4&gt;=$D64,BV$4&lt;$D64+'Incremental Repayments'!$I$31),-PMT('Interest Rate'!$J$16,'Incremental Repayments'!$I$31,(HLOOKUP($D64,$E$4:$CZ$32,28,FALSE)*'Incremental Repayments'!$I$22)),0),0)</f>
        <v>0</v>
      </c>
      <c r="BW64" s="783">
        <f>IF('Incremental Repayments'!$R$22="Debt",IF(AND(BW$4&gt;=$D64,BW$4&lt;$D64+'Incremental Repayments'!$I$31),-PMT('Interest Rate'!$J$16,'Incremental Repayments'!$I$31,(HLOOKUP($D64,$E$4:$CZ$32,28,FALSE)*'Incremental Repayments'!$I$22)),0),0)</f>
        <v>0</v>
      </c>
      <c r="BX64" s="783">
        <f>IF('Incremental Repayments'!$R$22="Debt",IF(AND(BX$4&gt;=$D64,BX$4&lt;$D64+'Incremental Repayments'!$I$31),-PMT('Interest Rate'!$J$16,'Incremental Repayments'!$I$31,(HLOOKUP($D64,$E$4:$CZ$32,28,FALSE)*'Incremental Repayments'!$I$22)),0),0)</f>
        <v>0</v>
      </c>
      <c r="BY64" s="783">
        <f>IF('Incremental Repayments'!$R$22="Debt",IF(AND(BY$4&gt;=$D64,BY$4&lt;$D64+'Incremental Repayments'!$I$31),-PMT('Interest Rate'!$J$16,'Incremental Repayments'!$I$31,(HLOOKUP($D64,$E$4:$CZ$32,28,FALSE)*'Incremental Repayments'!$I$22)),0),0)</f>
        <v>0</v>
      </c>
      <c r="BZ64" s="783">
        <f>IF('Incremental Repayments'!$R$22="Debt",IF(AND(BZ$4&gt;=$D64,BZ$4&lt;$D64+'Incremental Repayments'!$I$31),-PMT('Interest Rate'!$J$16,'Incremental Repayments'!$I$31,(HLOOKUP($D64,$E$4:$CZ$32,28,FALSE)*'Incremental Repayments'!$I$22)),0),0)</f>
        <v>0</v>
      </c>
      <c r="CA64" s="783">
        <f>IF('Incremental Repayments'!$R$22="Debt",IF(AND(CA$4&gt;=$D64,CA$4&lt;$D64+'Incremental Repayments'!$I$31),-PMT('Interest Rate'!$J$16,'Incremental Repayments'!$I$31,(HLOOKUP($D64,$E$4:$CZ$32,28,FALSE)*'Incremental Repayments'!$I$22)),0),0)</f>
        <v>0</v>
      </c>
      <c r="CB64" s="783">
        <f>IF('Incremental Repayments'!$R$22="Debt",IF(AND(CB$4&gt;=$D64,CB$4&lt;$D64+'Incremental Repayments'!$I$31),-PMT('Interest Rate'!$J$16,'Incremental Repayments'!$I$31,(HLOOKUP($D64,$E$4:$CZ$32,28,FALSE)*'Incremental Repayments'!$I$22)),0),0)</f>
        <v>0</v>
      </c>
      <c r="CC64" s="783">
        <f>IF('Incremental Repayments'!$R$22="Debt",IF(AND(CC$4&gt;=$D64,CC$4&lt;$D64+'Incremental Repayments'!$I$31),-PMT('Interest Rate'!$J$16,'Incremental Repayments'!$I$31,(HLOOKUP($D64,$E$4:$CZ$32,28,FALSE)*'Incremental Repayments'!$I$22)),0),0)</f>
        <v>0</v>
      </c>
      <c r="CD64" s="783">
        <f>IF('Incremental Repayments'!$R$22="Debt",IF(AND(CD$4&gt;=$D64,CD$4&lt;$D64+'Incremental Repayments'!$I$31),-PMT('Interest Rate'!$J$16,'Incremental Repayments'!$I$31,(HLOOKUP($D64,$E$4:$CZ$32,28,FALSE)*'Incremental Repayments'!$I$22)),0),0)</f>
        <v>0</v>
      </c>
      <c r="CE64" s="783">
        <f>IF('Incremental Repayments'!$R$22="Debt",IF(AND(CE$4&gt;=$D64,CE$4&lt;$D64+'Incremental Repayments'!$I$31),-PMT('Interest Rate'!$J$16,'Incremental Repayments'!$I$31,(HLOOKUP($D64,$E$4:$CZ$32,28,FALSE)*'Incremental Repayments'!$I$22)),0),0)</f>
        <v>0</v>
      </c>
      <c r="CF64" s="783">
        <f>IF('Incremental Repayments'!$R$22="Debt",IF(AND(CF$4&gt;=$D64,CF$4&lt;$D64+'Incremental Repayments'!$I$31),-PMT('Interest Rate'!$J$16,'Incremental Repayments'!$I$31,(HLOOKUP($D64,$E$4:$CZ$32,28,FALSE)*'Incremental Repayments'!$I$22)),0),0)</f>
        <v>0</v>
      </c>
      <c r="CG64" s="783">
        <f>IF('Incremental Repayments'!$R$22="Debt",IF(AND(CG$4&gt;=$D64,CG$4&lt;$D64+'Incremental Repayments'!$I$31),-PMT('Interest Rate'!$J$16,'Incremental Repayments'!$I$31,(HLOOKUP($D64,$E$4:$CZ$32,28,FALSE)*'Incremental Repayments'!$I$22)),0),0)</f>
        <v>0</v>
      </c>
      <c r="CH64" s="783">
        <f>IF('Incremental Repayments'!$R$22="Debt",IF(AND(CH$4&gt;=$D64,CH$4&lt;$D64+'Incremental Repayments'!$I$31),-PMT('Interest Rate'!$J$16,'Incremental Repayments'!$I$31,(HLOOKUP($D64,$E$4:$CZ$32,28,FALSE)*'Incremental Repayments'!$I$22)),0),0)</f>
        <v>0</v>
      </c>
      <c r="CI64" s="783">
        <f>IF('Incremental Repayments'!$R$22="Debt",IF(AND(CI$4&gt;=$D64,CI$4&lt;$D64+'Incremental Repayments'!$I$31),-PMT('Interest Rate'!$J$16,'Incremental Repayments'!$I$31,(HLOOKUP($D64,$E$4:$CZ$32,28,FALSE)*'Incremental Repayments'!$I$22)),0),0)</f>
        <v>0</v>
      </c>
      <c r="CJ64" s="783">
        <f>IF('Incremental Repayments'!$R$22="Debt",IF(AND(CJ$4&gt;=$D64,CJ$4&lt;$D64+'Incremental Repayments'!$I$31),-PMT('Interest Rate'!$J$16,'Incremental Repayments'!$I$31,(HLOOKUP($D64,$E$4:$CZ$32,28,FALSE)*'Incremental Repayments'!$I$22)),0),0)</f>
        <v>0</v>
      </c>
      <c r="CK64" s="783">
        <f>IF('Incremental Repayments'!$R$22="Debt",IF(AND(CK$4&gt;=$D64,CK$4&lt;$D64+'Incremental Repayments'!$I$31),-PMT('Interest Rate'!$J$16,'Incremental Repayments'!$I$31,(HLOOKUP($D64,$E$4:$CZ$32,28,FALSE)*'Incremental Repayments'!$I$22)),0),0)</f>
        <v>0</v>
      </c>
      <c r="CL64" s="783">
        <f>IF('Incremental Repayments'!$R$22="Debt",IF(AND(CL$4&gt;=$D64,CL$4&lt;$D64+'Incremental Repayments'!$I$31),-PMT('Interest Rate'!$J$16,'Incremental Repayments'!$I$31,(HLOOKUP($D64,$E$4:$CZ$32,28,FALSE)*'Incremental Repayments'!$I$22)),0),0)</f>
        <v>0</v>
      </c>
      <c r="CM64" s="783">
        <f>IF('Incremental Repayments'!$R$22="Debt",IF(AND(CM$4&gt;=$D64,CM$4&lt;$D64+'Incremental Repayments'!$I$31),-PMT('Interest Rate'!$J$16,'Incremental Repayments'!$I$31,(HLOOKUP($D64,$E$4:$CZ$32,28,FALSE)*'Incremental Repayments'!$I$22)),0),0)</f>
        <v>0</v>
      </c>
      <c r="CN64" s="783">
        <f>IF('Incremental Repayments'!$R$22="Debt",IF(AND(CN$4&gt;=$D64,CN$4&lt;$D64+'Incremental Repayments'!$I$31),-PMT('Interest Rate'!$J$16,'Incremental Repayments'!$I$31,(HLOOKUP($D64,$E$4:$CZ$32,28,FALSE)*'Incremental Repayments'!$I$22)),0),0)</f>
        <v>0</v>
      </c>
      <c r="CO64" s="783">
        <f>IF('Incremental Repayments'!$R$22="Debt",IF(AND(CO$4&gt;=$D64,CO$4&lt;$D64+'Incremental Repayments'!$I$31),-PMT('Interest Rate'!$J$16,'Incremental Repayments'!$I$31,(HLOOKUP($D64,$E$4:$CZ$32,28,FALSE)*'Incremental Repayments'!$I$22)),0),0)</f>
        <v>0</v>
      </c>
      <c r="CP64" s="783">
        <f>IF('Incremental Repayments'!$R$22="Debt",IF(AND(CP$4&gt;=$D64,CP$4&lt;$D64+'Incremental Repayments'!$I$31),-PMT('Interest Rate'!$J$16,'Incremental Repayments'!$I$31,(HLOOKUP($D64,$E$4:$CZ$32,28,FALSE)*'Incremental Repayments'!$I$22)),0),0)</f>
        <v>0</v>
      </c>
      <c r="CQ64" s="783">
        <f>IF('Incremental Repayments'!$R$22="Debt",IF(AND(CQ$4&gt;=$D64,CQ$4&lt;$D64+'Incremental Repayments'!$I$31),-PMT('Interest Rate'!$J$16,'Incremental Repayments'!$I$31,(HLOOKUP($D64,$E$4:$CZ$32,28,FALSE)*'Incremental Repayments'!$I$22)),0),0)</f>
        <v>0</v>
      </c>
      <c r="CR64" s="783">
        <f>IF('Incremental Repayments'!$R$22="Debt",IF(AND(CR$4&gt;=$D64,CR$4&lt;$D64+'Incremental Repayments'!$I$31),-PMT('Interest Rate'!$J$16,'Incremental Repayments'!$I$31,(HLOOKUP($D64,$E$4:$CZ$32,28,FALSE)*'Incremental Repayments'!$I$22)),0),0)</f>
        <v>0</v>
      </c>
      <c r="CS64" s="783">
        <f>IF('Incremental Repayments'!$R$22="Debt",IF(AND(CS$4&gt;=$D64,CS$4&lt;$D64+'Incremental Repayments'!$I$31),-PMT('Interest Rate'!$J$16,'Incremental Repayments'!$I$31,(HLOOKUP($D64,$E$4:$CZ$32,28,FALSE)*'Incremental Repayments'!$I$22)),0),0)</f>
        <v>0</v>
      </c>
      <c r="CT64" s="783">
        <f>IF('Incremental Repayments'!$R$22="Debt",IF(AND(CT$4&gt;=$D64,CT$4&lt;$D64+'Incremental Repayments'!$I$31),-PMT('Interest Rate'!$J$16,'Incremental Repayments'!$I$31,(HLOOKUP($D64,$E$4:$CZ$32,28,FALSE)*'Incremental Repayments'!$I$22)),0),0)</f>
        <v>0</v>
      </c>
      <c r="CU64" s="783">
        <f>IF('Incremental Repayments'!$R$22="Debt",IF(AND(CU$4&gt;=$D64,CU$4&lt;$D64+'Incremental Repayments'!$I$31),-PMT('Interest Rate'!$J$16,'Incremental Repayments'!$I$31,(HLOOKUP($D64,$E$4:$CZ$32,28,FALSE)*'Incremental Repayments'!$I$22)),0),0)</f>
        <v>0</v>
      </c>
      <c r="CV64" s="783">
        <f>IF('Incremental Repayments'!$R$22="Debt",IF(AND(CV$4&gt;=$D64,CV$4&lt;$D64+'Incremental Repayments'!$I$31),-PMT('Interest Rate'!$J$16,'Incremental Repayments'!$I$31,(HLOOKUP($D64,$E$4:$CZ$32,28,FALSE)*'Incremental Repayments'!$I$22)),0),0)</f>
        <v>0</v>
      </c>
      <c r="CW64" s="783">
        <f>IF('Incremental Repayments'!$R$22="Debt",IF(AND(CW$4&gt;=$D64,CW$4&lt;$D64+'Incremental Repayments'!$I$31),-PMT('Interest Rate'!$J$16,'Incremental Repayments'!$I$31,(HLOOKUP($D64,$E$4:$CZ$32,28,FALSE)*'Incremental Repayments'!$I$22)),0),0)</f>
        <v>0</v>
      </c>
      <c r="CX64" s="783">
        <f>IF('Incremental Repayments'!$R$22="Debt",IF(AND(CX$4&gt;=$D64,CX$4&lt;$D64+'Incremental Repayments'!$I$31),-PMT('Interest Rate'!$J$16,'Incremental Repayments'!$I$31,(HLOOKUP($D64,$E$4:$CZ$32,28,FALSE)*'Incremental Repayments'!$I$22)),0),0)</f>
        <v>0</v>
      </c>
      <c r="CY64" s="783">
        <f>IF('Incremental Repayments'!$R$22="Debt",IF(AND(CY$4&gt;=$D64,CY$4&lt;$D64+'Incremental Repayments'!$I$31),-PMT('Interest Rate'!$J$16,'Incremental Repayments'!$I$31,(HLOOKUP($D64,$E$4:$CZ$32,28,FALSE)*'Incremental Repayments'!$I$22)),0),0)</f>
        <v>0</v>
      </c>
      <c r="CZ64" s="783">
        <f>IF('Incremental Repayments'!$R$22="Debt",IF(AND(CZ$4&gt;=$D64,CZ$4&lt;$D64+'Incremental Repayments'!$I$31),-PMT('Interest Rate'!$J$16,'Incremental Repayments'!$I$31,(HLOOKUP($D64,$E$4:$CZ$32,28,FALSE)*'Incremental Repayments'!$I$22)),0),0)</f>
        <v>0</v>
      </c>
    </row>
    <row r="65" spans="2:104" x14ac:dyDescent="0.25">
      <c r="B65" s="480" t="str">
        <f>CONCATENATE("Series ",D65,"A Bonds (at ",'Interest Rate'!$J$16*100,"% Interest)")</f>
        <v>Series 2043A Bonds (at 4.5% Interest)</v>
      </c>
      <c r="C65" s="480"/>
      <c r="D65" s="492">
        <f t="shared" si="47"/>
        <v>2043</v>
      </c>
      <c r="E65" s="783">
        <f>IF('Incremental Repayments'!$R$22="Debt",IF(AND(E$4&gt;=$D65,E$4&lt;$D65+'Incremental Repayments'!$I$31),-PMT('Interest Rate'!$J$16,'Incremental Repayments'!$I$31,(HLOOKUP($D65,$E$4:$CZ$32,28,FALSE)*'Incremental Repayments'!$I$22)),0),0)</f>
        <v>0</v>
      </c>
      <c r="F65" s="783">
        <f>IF('Incremental Repayments'!$R$22="Debt",IF(AND(F$4&gt;=$D65,F$4&lt;$D65+'Incremental Repayments'!$I$31),-PMT('Interest Rate'!$J$16,'Incremental Repayments'!$I$31,(HLOOKUP($D65,$E$4:$CZ$32,28,FALSE)*'Incremental Repayments'!$I$22)),0),0)</f>
        <v>0</v>
      </c>
      <c r="G65" s="783">
        <f>IF('Incremental Repayments'!$R$22="Debt",IF(AND(G$4&gt;=$D65,G$4&lt;$D65+'Incremental Repayments'!$I$31),-PMT('Interest Rate'!$J$16,'Incremental Repayments'!$I$31,(HLOOKUP($D65,$E$4:$CZ$32,28,FALSE)*'Incremental Repayments'!$I$22)),0),0)</f>
        <v>0</v>
      </c>
      <c r="H65" s="783">
        <f>IF('Incremental Repayments'!$R$22="Debt",IF(AND(H$4&gt;=$D65,H$4&lt;$D65+'Incremental Repayments'!$I$31),-PMT('Interest Rate'!$J$16,'Incremental Repayments'!$I$31,(HLOOKUP($D65,$E$4:$CZ$32,28,FALSE)*'Incremental Repayments'!$I$22)),0),0)</f>
        <v>0</v>
      </c>
      <c r="I65" s="783">
        <f>IF('Incremental Repayments'!$R$22="Debt",IF(AND(I$4&gt;=$D65,I$4&lt;$D65+'Incremental Repayments'!$I$31),-PMT('Interest Rate'!$J$16,'Incremental Repayments'!$I$31,(HLOOKUP($D65,$E$4:$CZ$32,28,FALSE)*'Incremental Repayments'!$I$22)),0),0)</f>
        <v>0</v>
      </c>
      <c r="J65" s="783">
        <f>IF('Incremental Repayments'!$R$22="Debt",IF(AND(J$4&gt;=$D65,J$4&lt;$D65+'Incremental Repayments'!$I$31),-PMT('Interest Rate'!$J$16,'Incremental Repayments'!$I$31,(HLOOKUP($D65,$E$4:$CZ$32,28,FALSE)*'Incremental Repayments'!$I$22)),0),0)</f>
        <v>0</v>
      </c>
      <c r="K65" s="783">
        <f>IF('Incremental Repayments'!$R$22="Debt",IF(AND(K$4&gt;=$D65,K$4&lt;$D65+'Incremental Repayments'!$I$31),-PMT('Interest Rate'!$J$16,'Incremental Repayments'!$I$31,(HLOOKUP($D65,$E$4:$CZ$32,28,FALSE)*'Incremental Repayments'!$I$22)),0),0)</f>
        <v>0</v>
      </c>
      <c r="L65" s="783">
        <f>IF('Incremental Repayments'!$R$22="Debt",IF(AND(L$4&gt;=$D65,L$4&lt;$D65+'Incremental Repayments'!$I$31),-PMT('Interest Rate'!$J$16,'Incremental Repayments'!$I$31,(HLOOKUP($D65,$E$4:$CZ$32,28,FALSE)*'Incremental Repayments'!$I$22)),0),0)</f>
        <v>0</v>
      </c>
      <c r="M65" s="783">
        <f>IF('Incremental Repayments'!$R$22="Debt",IF(AND(M$4&gt;=$D65,M$4&lt;$D65+'Incremental Repayments'!$I$31),-PMT('Interest Rate'!$J$16,'Incremental Repayments'!$I$31,(HLOOKUP($D65,$E$4:$CZ$32,28,FALSE)*'Incremental Repayments'!$I$22)),0),0)</f>
        <v>0</v>
      </c>
      <c r="N65" s="783">
        <f>IF('Incremental Repayments'!$R$22="Debt",IF(AND(N$4&gt;=$D65,N$4&lt;$D65+'Incremental Repayments'!$I$31),-PMT('Interest Rate'!$J$16,'Incremental Repayments'!$I$31,(HLOOKUP($D65,$E$4:$CZ$32,28,FALSE)*'Incremental Repayments'!$I$22)),0),0)</f>
        <v>0</v>
      </c>
      <c r="O65" s="783">
        <f>IF('Incremental Repayments'!$R$22="Debt",IF(AND(O$4&gt;=$D65,O$4&lt;$D65+'Incremental Repayments'!$I$31),-PMT('Interest Rate'!$J$16,'Incremental Repayments'!$I$31,(HLOOKUP($D65,$E$4:$CZ$32,28,FALSE)*'Incremental Repayments'!$I$22)),0),0)</f>
        <v>0</v>
      </c>
      <c r="P65" s="783">
        <f>IF('Incremental Repayments'!$R$22="Debt",IF(AND(P$4&gt;=$D65,P$4&lt;$D65+'Incremental Repayments'!$I$31),-PMT('Interest Rate'!$J$16,'Incremental Repayments'!$I$31,(HLOOKUP($D65,$E$4:$CZ$32,28,FALSE)*'Incremental Repayments'!$I$22)),0),0)</f>
        <v>0</v>
      </c>
      <c r="Q65" s="783">
        <f>IF('Incremental Repayments'!$R$22="Debt",IF(AND(Q$4&gt;=$D65,Q$4&lt;$D65+'Incremental Repayments'!$I$31),-PMT('Interest Rate'!$J$16,'Incremental Repayments'!$I$31,(HLOOKUP($D65,$E$4:$CZ$32,28,FALSE)*'Incremental Repayments'!$I$22)),0),0)</f>
        <v>0</v>
      </c>
      <c r="R65" s="783">
        <f>IF('Incremental Repayments'!$R$22="Debt",IF(AND(R$4&gt;=$D65,R$4&lt;$D65+'Incremental Repayments'!$I$31),-PMT('Interest Rate'!$J$16,'Incremental Repayments'!$I$31,(HLOOKUP($D65,$E$4:$CZ$32,28,FALSE)*'Incremental Repayments'!$I$22)),0),0)</f>
        <v>0</v>
      </c>
      <c r="S65" s="783">
        <f>IF('Incremental Repayments'!$R$22="Debt",IF(AND(S$4&gt;=$D65,S$4&lt;$D65+'Incremental Repayments'!$I$31),-PMT('Interest Rate'!$J$16,'Incremental Repayments'!$I$31,(HLOOKUP($D65,$E$4:$CZ$32,28,FALSE)*'Incremental Repayments'!$I$22)),0),0)</f>
        <v>0</v>
      </c>
      <c r="T65" s="783">
        <f>IF('Incremental Repayments'!$R$22="Debt",IF(AND(T$4&gt;=$D65,T$4&lt;$D65+'Incremental Repayments'!$I$31),-PMT('Interest Rate'!$J$16,'Incremental Repayments'!$I$31,(HLOOKUP($D65,$E$4:$CZ$32,28,FALSE)*'Incremental Repayments'!$I$22)),0),0)</f>
        <v>0</v>
      </c>
      <c r="U65" s="783">
        <f>IF('Incremental Repayments'!$R$22="Debt",IF(AND(U$4&gt;=$D65,U$4&lt;$D65+'Incremental Repayments'!$I$31),-PMT('Interest Rate'!$J$16,'Incremental Repayments'!$I$31,(HLOOKUP($D65,$E$4:$CZ$32,28,FALSE)*'Incremental Repayments'!$I$22)),0),0)</f>
        <v>0</v>
      </c>
      <c r="V65" s="783">
        <f>IF('Incremental Repayments'!$R$22="Debt",IF(AND(V$4&gt;=$D65,V$4&lt;$D65+'Incremental Repayments'!$I$31),-PMT('Interest Rate'!$J$16,'Incremental Repayments'!$I$31,(HLOOKUP($D65,$E$4:$CZ$32,28,FALSE)*'Incremental Repayments'!$I$22)),0),0)</f>
        <v>0</v>
      </c>
      <c r="W65" s="783">
        <f>IF('Incremental Repayments'!$R$22="Debt",IF(AND(W$4&gt;=$D65,W$4&lt;$D65+'Incremental Repayments'!$I$31),-PMT('Interest Rate'!$J$16,'Incremental Repayments'!$I$31,(HLOOKUP($D65,$E$4:$CZ$32,28,FALSE)*'Incremental Repayments'!$I$22)),0),0)</f>
        <v>0</v>
      </c>
      <c r="X65" s="783">
        <f>IF('Incremental Repayments'!$R$22="Debt",IF(AND(X$4&gt;=$D65,X$4&lt;$D65+'Incremental Repayments'!$I$31),-PMT('Interest Rate'!$J$16,'Incremental Repayments'!$I$31,(HLOOKUP($D65,$E$4:$CZ$32,28,FALSE)*'Incremental Repayments'!$I$22)),0),0)</f>
        <v>0</v>
      </c>
      <c r="Y65" s="783">
        <f>IF('Incremental Repayments'!$R$22="Debt",IF(AND(Y$4&gt;=$D65,Y$4&lt;$D65+'Incremental Repayments'!$I$31),-PMT('Interest Rate'!$J$16,'Incremental Repayments'!$I$31,(HLOOKUP($D65,$E$4:$CZ$32,28,FALSE)*'Incremental Repayments'!$I$22)),0),0)</f>
        <v>0</v>
      </c>
      <c r="Z65" s="783">
        <f>IF('Incremental Repayments'!$R$22="Debt",IF(AND(Z$4&gt;=$D65,Z$4&lt;$D65+'Incremental Repayments'!$I$31),-PMT('Interest Rate'!$J$16,'Incremental Repayments'!$I$31,(HLOOKUP($D65,$E$4:$CZ$32,28,FALSE)*'Incremental Repayments'!$I$22)),0),0)</f>
        <v>0</v>
      </c>
      <c r="AA65" s="783">
        <f>IF('Incremental Repayments'!$R$22="Debt",IF(AND(AA$4&gt;=$D65,AA$4&lt;$D65+'Incremental Repayments'!$I$31),-PMT('Interest Rate'!$J$16,'Incremental Repayments'!$I$31,(HLOOKUP($D65,$E$4:$CZ$32,28,FALSE)*'Incremental Repayments'!$I$22)),0),0)</f>
        <v>0</v>
      </c>
      <c r="AB65" s="783">
        <f>IF('Incremental Repayments'!$R$22="Debt",IF(AND(AB$4&gt;=$D65,AB$4&lt;$D65+'Incremental Repayments'!$I$31),-PMT('Interest Rate'!$J$16,'Incremental Repayments'!$I$31,(HLOOKUP($D65,$E$4:$CZ$32,28,FALSE)*'Incremental Repayments'!$I$22)),0),0)</f>
        <v>0</v>
      </c>
      <c r="AC65" s="783">
        <f>IF('Incremental Repayments'!$R$22="Debt",IF(AND(AC$4&gt;=$D65,AC$4&lt;$D65+'Incremental Repayments'!$I$31),-PMT('Interest Rate'!$J$16,'Incremental Repayments'!$I$31,(HLOOKUP($D65,$E$4:$CZ$32,28,FALSE)*'Incremental Repayments'!$I$22)),0),0)</f>
        <v>0</v>
      </c>
      <c r="AD65" s="783">
        <f>IF('Incremental Repayments'!$R$22="Debt",IF(AND(AD$4&gt;=$D65,AD$4&lt;$D65+'Incremental Repayments'!$I$31),-PMT('Interest Rate'!$J$16,'Incremental Repayments'!$I$31,(HLOOKUP($D65,$E$4:$CZ$32,28,FALSE)*'Incremental Repayments'!$I$22)),0),0)</f>
        <v>0</v>
      </c>
      <c r="AE65" s="783">
        <f>IF('Incremental Repayments'!$R$22="Debt",IF(AND(AE$4&gt;=$D65,AE$4&lt;$D65+'Incremental Repayments'!$I$31),-PMT('Interest Rate'!$J$16,'Incremental Repayments'!$I$31,(HLOOKUP($D65,$E$4:$CZ$32,28,FALSE)*'Incremental Repayments'!$I$22)),0),0)</f>
        <v>0</v>
      </c>
      <c r="AF65" s="783">
        <f>IF('Incremental Repayments'!$R$22="Debt",IF(AND(AF$4&gt;=$D65,AF$4&lt;$D65+'Incremental Repayments'!$I$31),-PMT('Interest Rate'!$J$16,'Incremental Repayments'!$I$31,(HLOOKUP($D65,$E$4:$CZ$32,28,FALSE)*'Incremental Repayments'!$I$22)),0),0)</f>
        <v>0</v>
      </c>
      <c r="AG65" s="783">
        <f>IF('Incremental Repayments'!$R$22="Debt",IF(AND(AG$4&gt;=$D65,AG$4&lt;$D65+'Incremental Repayments'!$I$31),-PMT('Interest Rate'!$J$16,'Incremental Repayments'!$I$31,(HLOOKUP($D65,$E$4:$CZ$32,28,FALSE)*'Incremental Repayments'!$I$22)),0),0)</f>
        <v>0</v>
      </c>
      <c r="AH65" s="783">
        <f>IF('Incremental Repayments'!$R$22="Debt",IF(AND(AH$4&gt;=$D65,AH$4&lt;$D65+'Incremental Repayments'!$I$31),-PMT('Interest Rate'!$J$16,'Incremental Repayments'!$I$31,(HLOOKUP($D65,$E$4:$CZ$32,28,FALSE)*'Incremental Repayments'!$I$22)),0),0)</f>
        <v>5852991.7845910583</v>
      </c>
      <c r="AI65" s="783">
        <f>IF('Incremental Repayments'!$R$22="Debt",IF(AND(AI$4&gt;=$D65,AI$4&lt;$D65+'Incremental Repayments'!$I$31),-PMT('Interest Rate'!$J$16,'Incremental Repayments'!$I$31,(HLOOKUP($D65,$E$4:$CZ$32,28,FALSE)*'Incremental Repayments'!$I$22)),0),0)</f>
        <v>5852991.7845910583</v>
      </c>
      <c r="AJ65" s="783">
        <f>IF('Incremental Repayments'!$R$22="Debt",IF(AND(AJ$4&gt;=$D65,AJ$4&lt;$D65+'Incremental Repayments'!$I$31),-PMT('Interest Rate'!$J$16,'Incremental Repayments'!$I$31,(HLOOKUP($D65,$E$4:$CZ$32,28,FALSE)*'Incremental Repayments'!$I$22)),0),0)</f>
        <v>5852991.7845910583</v>
      </c>
      <c r="AK65" s="783">
        <f>IF('Incremental Repayments'!$R$22="Debt",IF(AND(AK$4&gt;=$D65,AK$4&lt;$D65+'Incremental Repayments'!$I$31),-PMT('Interest Rate'!$J$16,'Incremental Repayments'!$I$31,(HLOOKUP($D65,$E$4:$CZ$32,28,FALSE)*'Incremental Repayments'!$I$22)),0),0)</f>
        <v>5852991.7845910583</v>
      </c>
      <c r="AL65" s="783">
        <f>IF('Incremental Repayments'!$R$22="Debt",IF(AND(AL$4&gt;=$D65,AL$4&lt;$D65+'Incremental Repayments'!$I$31),-PMT('Interest Rate'!$J$16,'Incremental Repayments'!$I$31,(HLOOKUP($D65,$E$4:$CZ$32,28,FALSE)*'Incremental Repayments'!$I$22)),0),0)</f>
        <v>5852991.7845910583</v>
      </c>
      <c r="AM65" s="783">
        <f>IF('Incremental Repayments'!$R$22="Debt",IF(AND(AM$4&gt;=$D65,AM$4&lt;$D65+'Incremental Repayments'!$I$31),-PMT('Interest Rate'!$J$16,'Incremental Repayments'!$I$31,(HLOOKUP($D65,$E$4:$CZ$32,28,FALSE)*'Incremental Repayments'!$I$22)),0),0)</f>
        <v>5852991.7845910583</v>
      </c>
      <c r="AN65" s="783">
        <f>IF('Incremental Repayments'!$R$22="Debt",IF(AND(AN$4&gt;=$D65,AN$4&lt;$D65+'Incremental Repayments'!$I$31),-PMT('Interest Rate'!$J$16,'Incremental Repayments'!$I$31,(HLOOKUP($D65,$E$4:$CZ$32,28,FALSE)*'Incremental Repayments'!$I$22)),0),0)</f>
        <v>5852991.7845910583</v>
      </c>
      <c r="AO65" s="783">
        <f>IF('Incremental Repayments'!$R$22="Debt",IF(AND(AO$4&gt;=$D65,AO$4&lt;$D65+'Incremental Repayments'!$I$31),-PMT('Interest Rate'!$J$16,'Incremental Repayments'!$I$31,(HLOOKUP($D65,$E$4:$CZ$32,28,FALSE)*'Incremental Repayments'!$I$22)),0),0)</f>
        <v>5852991.7845910583</v>
      </c>
      <c r="AP65" s="783">
        <f>IF('Incremental Repayments'!$R$22="Debt",IF(AND(AP$4&gt;=$D65,AP$4&lt;$D65+'Incremental Repayments'!$I$31),-PMT('Interest Rate'!$J$16,'Incremental Repayments'!$I$31,(HLOOKUP($D65,$E$4:$CZ$32,28,FALSE)*'Incremental Repayments'!$I$22)),0),0)</f>
        <v>5852991.7845910583</v>
      </c>
      <c r="AQ65" s="783">
        <f>IF('Incremental Repayments'!$R$22="Debt",IF(AND(AQ$4&gt;=$D65,AQ$4&lt;$D65+'Incremental Repayments'!$I$31),-PMT('Interest Rate'!$J$16,'Incremental Repayments'!$I$31,(HLOOKUP($D65,$E$4:$CZ$32,28,FALSE)*'Incremental Repayments'!$I$22)),0),0)</f>
        <v>5852991.7845910583</v>
      </c>
      <c r="AR65" s="783">
        <f>IF('Incremental Repayments'!$R$22="Debt",IF(AND(AR$4&gt;=$D65,AR$4&lt;$D65+'Incremental Repayments'!$I$31),-PMT('Interest Rate'!$J$16,'Incremental Repayments'!$I$31,(HLOOKUP($D65,$E$4:$CZ$32,28,FALSE)*'Incremental Repayments'!$I$22)),0),0)</f>
        <v>5852991.7845910583</v>
      </c>
      <c r="AS65" s="783">
        <f>IF('Incremental Repayments'!$R$22="Debt",IF(AND(AS$4&gt;=$D65,AS$4&lt;$D65+'Incremental Repayments'!$I$31),-PMT('Interest Rate'!$J$16,'Incremental Repayments'!$I$31,(HLOOKUP($D65,$E$4:$CZ$32,28,FALSE)*'Incremental Repayments'!$I$22)),0),0)</f>
        <v>5852991.7845910583</v>
      </c>
      <c r="AT65" s="783">
        <f>IF('Incremental Repayments'!$R$22="Debt",IF(AND(AT$4&gt;=$D65,AT$4&lt;$D65+'Incremental Repayments'!$I$31),-PMT('Interest Rate'!$J$16,'Incremental Repayments'!$I$31,(HLOOKUP($D65,$E$4:$CZ$32,28,FALSE)*'Incremental Repayments'!$I$22)),0),0)</f>
        <v>5852991.7845910583</v>
      </c>
      <c r="AU65" s="783">
        <f>IF('Incremental Repayments'!$R$22="Debt",IF(AND(AU$4&gt;=$D65,AU$4&lt;$D65+'Incremental Repayments'!$I$31),-PMT('Interest Rate'!$J$16,'Incremental Repayments'!$I$31,(HLOOKUP($D65,$E$4:$CZ$32,28,FALSE)*'Incremental Repayments'!$I$22)),0),0)</f>
        <v>5852991.7845910583</v>
      </c>
      <c r="AV65" s="783">
        <f>IF('Incremental Repayments'!$R$22="Debt",IF(AND(AV$4&gt;=$D65,AV$4&lt;$D65+'Incremental Repayments'!$I$31),-PMT('Interest Rate'!$J$16,'Incremental Repayments'!$I$31,(HLOOKUP($D65,$E$4:$CZ$32,28,FALSE)*'Incremental Repayments'!$I$22)),0),0)</f>
        <v>5852991.7845910583</v>
      </c>
      <c r="AW65" s="783">
        <f>IF('Incremental Repayments'!$R$22="Debt",IF(AND(AW$4&gt;=$D65,AW$4&lt;$D65+'Incremental Repayments'!$I$31),-PMT('Interest Rate'!$J$16,'Incremental Repayments'!$I$31,(HLOOKUP($D65,$E$4:$CZ$32,28,FALSE)*'Incremental Repayments'!$I$22)),0),0)</f>
        <v>5852991.7845910583</v>
      </c>
      <c r="AX65" s="783">
        <f>IF('Incremental Repayments'!$R$22="Debt",IF(AND(AX$4&gt;=$D65,AX$4&lt;$D65+'Incremental Repayments'!$I$31),-PMT('Interest Rate'!$J$16,'Incremental Repayments'!$I$31,(HLOOKUP($D65,$E$4:$CZ$32,28,FALSE)*'Incremental Repayments'!$I$22)),0),0)</f>
        <v>5852991.7845910583</v>
      </c>
      <c r="AY65" s="783">
        <f>IF('Incremental Repayments'!$R$22="Debt",IF(AND(AY$4&gt;=$D65,AY$4&lt;$D65+'Incremental Repayments'!$I$31),-PMT('Interest Rate'!$J$16,'Incremental Repayments'!$I$31,(HLOOKUP($D65,$E$4:$CZ$32,28,FALSE)*'Incremental Repayments'!$I$22)),0),0)</f>
        <v>5852991.7845910583</v>
      </c>
      <c r="AZ65" s="783">
        <f>IF('Incremental Repayments'!$R$22="Debt",IF(AND(AZ$4&gt;=$D65,AZ$4&lt;$D65+'Incremental Repayments'!$I$31),-PMT('Interest Rate'!$J$16,'Incremental Repayments'!$I$31,(HLOOKUP($D65,$E$4:$CZ$32,28,FALSE)*'Incremental Repayments'!$I$22)),0),0)</f>
        <v>5852991.7845910583</v>
      </c>
      <c r="BA65" s="783">
        <f>IF('Incremental Repayments'!$R$22="Debt",IF(AND(BA$4&gt;=$D65,BA$4&lt;$D65+'Incremental Repayments'!$I$31),-PMT('Interest Rate'!$J$16,'Incremental Repayments'!$I$31,(HLOOKUP($D65,$E$4:$CZ$32,28,FALSE)*'Incremental Repayments'!$I$22)),0),0)</f>
        <v>5852991.7845910583</v>
      </c>
      <c r="BB65" s="783">
        <f>IF('Incremental Repayments'!$R$22="Debt",IF(AND(BB$4&gt;=$D65,BB$4&lt;$D65+'Incremental Repayments'!$I$31),-PMT('Interest Rate'!$J$16,'Incremental Repayments'!$I$31,(HLOOKUP($D65,$E$4:$CZ$32,28,FALSE)*'Incremental Repayments'!$I$22)),0),0)</f>
        <v>5852991.7845910583</v>
      </c>
      <c r="BC65" s="783">
        <f>IF('Incremental Repayments'!$R$22="Debt",IF(AND(BC$4&gt;=$D65,BC$4&lt;$D65+'Incremental Repayments'!$I$31),-PMT('Interest Rate'!$J$16,'Incremental Repayments'!$I$31,(HLOOKUP($D65,$E$4:$CZ$32,28,FALSE)*'Incremental Repayments'!$I$22)),0),0)</f>
        <v>5852991.7845910583</v>
      </c>
      <c r="BD65" s="783">
        <f>IF('Incremental Repayments'!$R$22="Debt",IF(AND(BD$4&gt;=$D65,BD$4&lt;$D65+'Incremental Repayments'!$I$31),-PMT('Interest Rate'!$J$16,'Incremental Repayments'!$I$31,(HLOOKUP($D65,$E$4:$CZ$32,28,FALSE)*'Incremental Repayments'!$I$22)),0),0)</f>
        <v>5852991.7845910583</v>
      </c>
      <c r="BE65" s="783">
        <f>IF('Incremental Repayments'!$R$22="Debt",IF(AND(BE$4&gt;=$D65,BE$4&lt;$D65+'Incremental Repayments'!$I$31),-PMT('Interest Rate'!$J$16,'Incremental Repayments'!$I$31,(HLOOKUP($D65,$E$4:$CZ$32,28,FALSE)*'Incremental Repayments'!$I$22)),0),0)</f>
        <v>5852991.7845910583</v>
      </c>
      <c r="BF65" s="783">
        <f>IF('Incremental Repayments'!$R$22="Debt",IF(AND(BF$4&gt;=$D65,BF$4&lt;$D65+'Incremental Repayments'!$I$31),-PMT('Interest Rate'!$J$16,'Incremental Repayments'!$I$31,(HLOOKUP($D65,$E$4:$CZ$32,28,FALSE)*'Incremental Repayments'!$I$22)),0),0)</f>
        <v>5852991.7845910583</v>
      </c>
      <c r="BG65" s="783">
        <f>IF('Incremental Repayments'!$R$22="Debt",IF(AND(BG$4&gt;=$D65,BG$4&lt;$D65+'Incremental Repayments'!$I$31),-PMT('Interest Rate'!$J$16,'Incremental Repayments'!$I$31,(HLOOKUP($D65,$E$4:$CZ$32,28,FALSE)*'Incremental Repayments'!$I$22)),0),0)</f>
        <v>5852991.7845910583</v>
      </c>
      <c r="BH65" s="783">
        <f>IF('Incremental Repayments'!$R$22="Debt",IF(AND(BH$4&gt;=$D65,BH$4&lt;$D65+'Incremental Repayments'!$I$31),-PMT('Interest Rate'!$J$16,'Incremental Repayments'!$I$31,(HLOOKUP($D65,$E$4:$CZ$32,28,FALSE)*'Incremental Repayments'!$I$22)),0),0)</f>
        <v>5852991.7845910583</v>
      </c>
      <c r="BI65" s="783">
        <f>IF('Incremental Repayments'!$R$22="Debt",IF(AND(BI$4&gt;=$D65,BI$4&lt;$D65+'Incremental Repayments'!$I$31),-PMT('Interest Rate'!$J$16,'Incremental Repayments'!$I$31,(HLOOKUP($D65,$E$4:$CZ$32,28,FALSE)*'Incremental Repayments'!$I$22)),0),0)</f>
        <v>5852991.7845910583</v>
      </c>
      <c r="BJ65" s="783">
        <f>IF('Incremental Repayments'!$R$22="Debt",IF(AND(BJ$4&gt;=$D65,BJ$4&lt;$D65+'Incremental Repayments'!$I$31),-PMT('Interest Rate'!$J$16,'Incremental Repayments'!$I$31,(HLOOKUP($D65,$E$4:$CZ$32,28,FALSE)*'Incremental Repayments'!$I$22)),0),0)</f>
        <v>5852991.7845910583</v>
      </c>
      <c r="BK65" s="783">
        <f>IF('Incremental Repayments'!$R$22="Debt",IF(AND(BK$4&gt;=$D65,BK$4&lt;$D65+'Incremental Repayments'!$I$31),-PMT('Interest Rate'!$J$16,'Incremental Repayments'!$I$31,(HLOOKUP($D65,$E$4:$CZ$32,28,FALSE)*'Incremental Repayments'!$I$22)),0),0)</f>
        <v>5852991.7845910583</v>
      </c>
      <c r="BL65" s="783">
        <f>IF('Incremental Repayments'!$R$22="Debt",IF(AND(BL$4&gt;=$D65,BL$4&lt;$D65+'Incremental Repayments'!$I$31),-PMT('Interest Rate'!$J$16,'Incremental Repayments'!$I$31,(HLOOKUP($D65,$E$4:$CZ$32,28,FALSE)*'Incremental Repayments'!$I$22)),0),0)</f>
        <v>0</v>
      </c>
      <c r="BM65" s="783">
        <f>IF('Incremental Repayments'!$R$22="Debt",IF(AND(BM$4&gt;=$D65,BM$4&lt;$D65+'Incremental Repayments'!$I$31),-PMT('Interest Rate'!$J$16,'Incremental Repayments'!$I$31,(HLOOKUP($D65,$E$4:$CZ$32,28,FALSE)*'Incremental Repayments'!$I$22)),0),0)</f>
        <v>0</v>
      </c>
      <c r="BN65" s="783">
        <f>IF('Incremental Repayments'!$R$22="Debt",IF(AND(BN$4&gt;=$D65,BN$4&lt;$D65+'Incremental Repayments'!$I$31),-PMT('Interest Rate'!$J$16,'Incremental Repayments'!$I$31,(HLOOKUP($D65,$E$4:$CZ$32,28,FALSE)*'Incremental Repayments'!$I$22)),0),0)</f>
        <v>0</v>
      </c>
      <c r="BO65" s="783">
        <f>IF('Incremental Repayments'!$R$22="Debt",IF(AND(BO$4&gt;=$D65,BO$4&lt;$D65+'Incremental Repayments'!$I$31),-PMT('Interest Rate'!$J$16,'Incremental Repayments'!$I$31,(HLOOKUP($D65,$E$4:$CZ$32,28,FALSE)*'Incremental Repayments'!$I$22)),0),0)</f>
        <v>0</v>
      </c>
      <c r="BP65" s="783">
        <f>IF('Incremental Repayments'!$R$22="Debt",IF(AND(BP$4&gt;=$D65,BP$4&lt;$D65+'Incremental Repayments'!$I$31),-PMT('Interest Rate'!$J$16,'Incremental Repayments'!$I$31,(HLOOKUP($D65,$E$4:$CZ$32,28,FALSE)*'Incremental Repayments'!$I$22)),0),0)</f>
        <v>0</v>
      </c>
      <c r="BQ65" s="783">
        <f>IF('Incremental Repayments'!$R$22="Debt",IF(AND(BQ$4&gt;=$D65,BQ$4&lt;$D65+'Incremental Repayments'!$I$31),-PMT('Interest Rate'!$J$16,'Incremental Repayments'!$I$31,(HLOOKUP($D65,$E$4:$CZ$32,28,FALSE)*'Incremental Repayments'!$I$22)),0),0)</f>
        <v>0</v>
      </c>
      <c r="BR65" s="783">
        <f>IF('Incremental Repayments'!$R$22="Debt",IF(AND(BR$4&gt;=$D65,BR$4&lt;$D65+'Incremental Repayments'!$I$31),-PMT('Interest Rate'!$J$16,'Incremental Repayments'!$I$31,(HLOOKUP($D65,$E$4:$CZ$32,28,FALSE)*'Incremental Repayments'!$I$22)),0),0)</f>
        <v>0</v>
      </c>
      <c r="BS65" s="783">
        <f>IF('Incremental Repayments'!$R$22="Debt",IF(AND(BS$4&gt;=$D65,BS$4&lt;$D65+'Incremental Repayments'!$I$31),-PMT('Interest Rate'!$J$16,'Incremental Repayments'!$I$31,(HLOOKUP($D65,$E$4:$CZ$32,28,FALSE)*'Incremental Repayments'!$I$22)),0),0)</f>
        <v>0</v>
      </c>
      <c r="BT65" s="783">
        <f>IF('Incremental Repayments'!$R$22="Debt",IF(AND(BT$4&gt;=$D65,BT$4&lt;$D65+'Incremental Repayments'!$I$31),-PMT('Interest Rate'!$J$16,'Incremental Repayments'!$I$31,(HLOOKUP($D65,$E$4:$CZ$32,28,FALSE)*'Incremental Repayments'!$I$22)),0),0)</f>
        <v>0</v>
      </c>
      <c r="BU65" s="783">
        <f>IF('Incremental Repayments'!$R$22="Debt",IF(AND(BU$4&gt;=$D65,BU$4&lt;$D65+'Incremental Repayments'!$I$31),-PMT('Interest Rate'!$J$16,'Incremental Repayments'!$I$31,(HLOOKUP($D65,$E$4:$CZ$32,28,FALSE)*'Incremental Repayments'!$I$22)),0),0)</f>
        <v>0</v>
      </c>
      <c r="BV65" s="783">
        <f>IF('Incremental Repayments'!$R$22="Debt",IF(AND(BV$4&gt;=$D65,BV$4&lt;$D65+'Incremental Repayments'!$I$31),-PMT('Interest Rate'!$J$16,'Incremental Repayments'!$I$31,(HLOOKUP($D65,$E$4:$CZ$32,28,FALSE)*'Incremental Repayments'!$I$22)),0),0)</f>
        <v>0</v>
      </c>
      <c r="BW65" s="783">
        <f>IF('Incremental Repayments'!$R$22="Debt",IF(AND(BW$4&gt;=$D65,BW$4&lt;$D65+'Incremental Repayments'!$I$31),-PMT('Interest Rate'!$J$16,'Incremental Repayments'!$I$31,(HLOOKUP($D65,$E$4:$CZ$32,28,FALSE)*'Incremental Repayments'!$I$22)),0),0)</f>
        <v>0</v>
      </c>
      <c r="BX65" s="783">
        <f>IF('Incremental Repayments'!$R$22="Debt",IF(AND(BX$4&gt;=$D65,BX$4&lt;$D65+'Incremental Repayments'!$I$31),-PMT('Interest Rate'!$J$16,'Incremental Repayments'!$I$31,(HLOOKUP($D65,$E$4:$CZ$32,28,FALSE)*'Incremental Repayments'!$I$22)),0),0)</f>
        <v>0</v>
      </c>
      <c r="BY65" s="783">
        <f>IF('Incremental Repayments'!$R$22="Debt",IF(AND(BY$4&gt;=$D65,BY$4&lt;$D65+'Incremental Repayments'!$I$31),-PMT('Interest Rate'!$J$16,'Incremental Repayments'!$I$31,(HLOOKUP($D65,$E$4:$CZ$32,28,FALSE)*'Incremental Repayments'!$I$22)),0),0)</f>
        <v>0</v>
      </c>
      <c r="BZ65" s="783">
        <f>IF('Incremental Repayments'!$R$22="Debt",IF(AND(BZ$4&gt;=$D65,BZ$4&lt;$D65+'Incremental Repayments'!$I$31),-PMT('Interest Rate'!$J$16,'Incremental Repayments'!$I$31,(HLOOKUP($D65,$E$4:$CZ$32,28,FALSE)*'Incremental Repayments'!$I$22)),0),0)</f>
        <v>0</v>
      </c>
      <c r="CA65" s="783">
        <f>IF('Incremental Repayments'!$R$22="Debt",IF(AND(CA$4&gt;=$D65,CA$4&lt;$D65+'Incremental Repayments'!$I$31),-PMT('Interest Rate'!$J$16,'Incremental Repayments'!$I$31,(HLOOKUP($D65,$E$4:$CZ$32,28,FALSE)*'Incremental Repayments'!$I$22)),0),0)</f>
        <v>0</v>
      </c>
      <c r="CB65" s="783">
        <f>IF('Incremental Repayments'!$R$22="Debt",IF(AND(CB$4&gt;=$D65,CB$4&lt;$D65+'Incremental Repayments'!$I$31),-PMT('Interest Rate'!$J$16,'Incremental Repayments'!$I$31,(HLOOKUP($D65,$E$4:$CZ$32,28,FALSE)*'Incremental Repayments'!$I$22)),0),0)</f>
        <v>0</v>
      </c>
      <c r="CC65" s="783">
        <f>IF('Incremental Repayments'!$R$22="Debt",IF(AND(CC$4&gt;=$D65,CC$4&lt;$D65+'Incremental Repayments'!$I$31),-PMT('Interest Rate'!$J$16,'Incremental Repayments'!$I$31,(HLOOKUP($D65,$E$4:$CZ$32,28,FALSE)*'Incremental Repayments'!$I$22)),0),0)</f>
        <v>0</v>
      </c>
      <c r="CD65" s="783">
        <f>IF('Incremental Repayments'!$R$22="Debt",IF(AND(CD$4&gt;=$D65,CD$4&lt;$D65+'Incremental Repayments'!$I$31),-PMT('Interest Rate'!$J$16,'Incremental Repayments'!$I$31,(HLOOKUP($D65,$E$4:$CZ$32,28,FALSE)*'Incremental Repayments'!$I$22)),0),0)</f>
        <v>0</v>
      </c>
      <c r="CE65" s="783">
        <f>IF('Incremental Repayments'!$R$22="Debt",IF(AND(CE$4&gt;=$D65,CE$4&lt;$D65+'Incremental Repayments'!$I$31),-PMT('Interest Rate'!$J$16,'Incremental Repayments'!$I$31,(HLOOKUP($D65,$E$4:$CZ$32,28,FALSE)*'Incremental Repayments'!$I$22)),0),0)</f>
        <v>0</v>
      </c>
      <c r="CF65" s="783">
        <f>IF('Incremental Repayments'!$R$22="Debt",IF(AND(CF$4&gt;=$D65,CF$4&lt;$D65+'Incremental Repayments'!$I$31),-PMT('Interest Rate'!$J$16,'Incremental Repayments'!$I$31,(HLOOKUP($D65,$E$4:$CZ$32,28,FALSE)*'Incremental Repayments'!$I$22)),0),0)</f>
        <v>0</v>
      </c>
      <c r="CG65" s="783">
        <f>IF('Incremental Repayments'!$R$22="Debt",IF(AND(CG$4&gt;=$D65,CG$4&lt;$D65+'Incremental Repayments'!$I$31),-PMT('Interest Rate'!$J$16,'Incremental Repayments'!$I$31,(HLOOKUP($D65,$E$4:$CZ$32,28,FALSE)*'Incremental Repayments'!$I$22)),0),0)</f>
        <v>0</v>
      </c>
      <c r="CH65" s="783">
        <f>IF('Incremental Repayments'!$R$22="Debt",IF(AND(CH$4&gt;=$D65,CH$4&lt;$D65+'Incremental Repayments'!$I$31),-PMT('Interest Rate'!$J$16,'Incremental Repayments'!$I$31,(HLOOKUP($D65,$E$4:$CZ$32,28,FALSE)*'Incremental Repayments'!$I$22)),0),0)</f>
        <v>0</v>
      </c>
      <c r="CI65" s="783">
        <f>IF('Incremental Repayments'!$R$22="Debt",IF(AND(CI$4&gt;=$D65,CI$4&lt;$D65+'Incremental Repayments'!$I$31),-PMT('Interest Rate'!$J$16,'Incremental Repayments'!$I$31,(HLOOKUP($D65,$E$4:$CZ$32,28,FALSE)*'Incremental Repayments'!$I$22)),0),0)</f>
        <v>0</v>
      </c>
      <c r="CJ65" s="783">
        <f>IF('Incremental Repayments'!$R$22="Debt",IF(AND(CJ$4&gt;=$D65,CJ$4&lt;$D65+'Incremental Repayments'!$I$31),-PMT('Interest Rate'!$J$16,'Incremental Repayments'!$I$31,(HLOOKUP($D65,$E$4:$CZ$32,28,FALSE)*'Incremental Repayments'!$I$22)),0),0)</f>
        <v>0</v>
      </c>
      <c r="CK65" s="783">
        <f>IF('Incremental Repayments'!$R$22="Debt",IF(AND(CK$4&gt;=$D65,CK$4&lt;$D65+'Incremental Repayments'!$I$31),-PMT('Interest Rate'!$J$16,'Incremental Repayments'!$I$31,(HLOOKUP($D65,$E$4:$CZ$32,28,FALSE)*'Incremental Repayments'!$I$22)),0),0)</f>
        <v>0</v>
      </c>
      <c r="CL65" s="783">
        <f>IF('Incremental Repayments'!$R$22="Debt",IF(AND(CL$4&gt;=$D65,CL$4&lt;$D65+'Incremental Repayments'!$I$31),-PMT('Interest Rate'!$J$16,'Incremental Repayments'!$I$31,(HLOOKUP($D65,$E$4:$CZ$32,28,FALSE)*'Incremental Repayments'!$I$22)),0),0)</f>
        <v>0</v>
      </c>
      <c r="CM65" s="783">
        <f>IF('Incremental Repayments'!$R$22="Debt",IF(AND(CM$4&gt;=$D65,CM$4&lt;$D65+'Incremental Repayments'!$I$31),-PMT('Interest Rate'!$J$16,'Incremental Repayments'!$I$31,(HLOOKUP($D65,$E$4:$CZ$32,28,FALSE)*'Incremental Repayments'!$I$22)),0),0)</f>
        <v>0</v>
      </c>
      <c r="CN65" s="783">
        <f>IF('Incremental Repayments'!$R$22="Debt",IF(AND(CN$4&gt;=$D65,CN$4&lt;$D65+'Incremental Repayments'!$I$31),-PMT('Interest Rate'!$J$16,'Incremental Repayments'!$I$31,(HLOOKUP($D65,$E$4:$CZ$32,28,FALSE)*'Incremental Repayments'!$I$22)),0),0)</f>
        <v>0</v>
      </c>
      <c r="CO65" s="783">
        <f>IF('Incremental Repayments'!$R$22="Debt",IF(AND(CO$4&gt;=$D65,CO$4&lt;$D65+'Incremental Repayments'!$I$31),-PMT('Interest Rate'!$J$16,'Incremental Repayments'!$I$31,(HLOOKUP($D65,$E$4:$CZ$32,28,FALSE)*'Incremental Repayments'!$I$22)),0),0)</f>
        <v>0</v>
      </c>
      <c r="CP65" s="783">
        <f>IF('Incremental Repayments'!$R$22="Debt",IF(AND(CP$4&gt;=$D65,CP$4&lt;$D65+'Incremental Repayments'!$I$31),-PMT('Interest Rate'!$J$16,'Incremental Repayments'!$I$31,(HLOOKUP($D65,$E$4:$CZ$32,28,FALSE)*'Incremental Repayments'!$I$22)),0),0)</f>
        <v>0</v>
      </c>
      <c r="CQ65" s="783">
        <f>IF('Incremental Repayments'!$R$22="Debt",IF(AND(CQ$4&gt;=$D65,CQ$4&lt;$D65+'Incremental Repayments'!$I$31),-PMT('Interest Rate'!$J$16,'Incremental Repayments'!$I$31,(HLOOKUP($D65,$E$4:$CZ$32,28,FALSE)*'Incremental Repayments'!$I$22)),0),0)</f>
        <v>0</v>
      </c>
      <c r="CR65" s="783">
        <f>IF('Incremental Repayments'!$R$22="Debt",IF(AND(CR$4&gt;=$D65,CR$4&lt;$D65+'Incremental Repayments'!$I$31),-PMT('Interest Rate'!$J$16,'Incremental Repayments'!$I$31,(HLOOKUP($D65,$E$4:$CZ$32,28,FALSE)*'Incremental Repayments'!$I$22)),0),0)</f>
        <v>0</v>
      </c>
      <c r="CS65" s="783">
        <f>IF('Incremental Repayments'!$R$22="Debt",IF(AND(CS$4&gt;=$D65,CS$4&lt;$D65+'Incremental Repayments'!$I$31),-PMT('Interest Rate'!$J$16,'Incremental Repayments'!$I$31,(HLOOKUP($D65,$E$4:$CZ$32,28,FALSE)*'Incremental Repayments'!$I$22)),0),0)</f>
        <v>0</v>
      </c>
      <c r="CT65" s="783">
        <f>IF('Incremental Repayments'!$R$22="Debt",IF(AND(CT$4&gt;=$D65,CT$4&lt;$D65+'Incremental Repayments'!$I$31),-PMT('Interest Rate'!$J$16,'Incremental Repayments'!$I$31,(HLOOKUP($D65,$E$4:$CZ$32,28,FALSE)*'Incremental Repayments'!$I$22)),0),0)</f>
        <v>0</v>
      </c>
      <c r="CU65" s="783">
        <f>IF('Incremental Repayments'!$R$22="Debt",IF(AND(CU$4&gt;=$D65,CU$4&lt;$D65+'Incremental Repayments'!$I$31),-PMT('Interest Rate'!$J$16,'Incremental Repayments'!$I$31,(HLOOKUP($D65,$E$4:$CZ$32,28,FALSE)*'Incremental Repayments'!$I$22)),0),0)</f>
        <v>0</v>
      </c>
      <c r="CV65" s="783">
        <f>IF('Incremental Repayments'!$R$22="Debt",IF(AND(CV$4&gt;=$D65,CV$4&lt;$D65+'Incremental Repayments'!$I$31),-PMT('Interest Rate'!$J$16,'Incremental Repayments'!$I$31,(HLOOKUP($D65,$E$4:$CZ$32,28,FALSE)*'Incremental Repayments'!$I$22)),0),0)</f>
        <v>0</v>
      </c>
      <c r="CW65" s="783">
        <f>IF('Incremental Repayments'!$R$22="Debt",IF(AND(CW$4&gt;=$D65,CW$4&lt;$D65+'Incremental Repayments'!$I$31),-PMT('Interest Rate'!$J$16,'Incremental Repayments'!$I$31,(HLOOKUP($D65,$E$4:$CZ$32,28,FALSE)*'Incremental Repayments'!$I$22)),0),0)</f>
        <v>0</v>
      </c>
      <c r="CX65" s="783">
        <f>IF('Incremental Repayments'!$R$22="Debt",IF(AND(CX$4&gt;=$D65,CX$4&lt;$D65+'Incremental Repayments'!$I$31),-PMT('Interest Rate'!$J$16,'Incremental Repayments'!$I$31,(HLOOKUP($D65,$E$4:$CZ$32,28,FALSE)*'Incremental Repayments'!$I$22)),0),0)</f>
        <v>0</v>
      </c>
      <c r="CY65" s="783">
        <f>IF('Incremental Repayments'!$R$22="Debt",IF(AND(CY$4&gt;=$D65,CY$4&lt;$D65+'Incremental Repayments'!$I$31),-PMT('Interest Rate'!$J$16,'Incremental Repayments'!$I$31,(HLOOKUP($D65,$E$4:$CZ$32,28,FALSE)*'Incremental Repayments'!$I$22)),0),0)</f>
        <v>0</v>
      </c>
      <c r="CZ65" s="783">
        <f>IF('Incremental Repayments'!$R$22="Debt",IF(AND(CZ$4&gt;=$D65,CZ$4&lt;$D65+'Incremental Repayments'!$I$31),-PMT('Interest Rate'!$J$16,'Incremental Repayments'!$I$31,(HLOOKUP($D65,$E$4:$CZ$32,28,FALSE)*'Incremental Repayments'!$I$22)),0),0)</f>
        <v>0</v>
      </c>
    </row>
    <row r="66" spans="2:104" x14ac:dyDescent="0.25">
      <c r="B66" s="480" t="str">
        <f>CONCATENATE("Series ",D66,"A Bonds (at ",'Interest Rate'!$J$16*100,"% Interest)")</f>
        <v>Series 2044A Bonds (at 4.5% Interest)</v>
      </c>
      <c r="C66" s="480"/>
      <c r="D66" s="492">
        <f t="shared" si="47"/>
        <v>2044</v>
      </c>
      <c r="E66" s="783">
        <f>IF('Incremental Repayments'!$R$22="Debt",IF(AND(E$4&gt;=$D66,E$4&lt;$D66+'Incremental Repayments'!$I$31),-PMT('Interest Rate'!$J$16,'Incremental Repayments'!$I$31,(HLOOKUP($D66,$E$4:$CZ$32,28,FALSE)*'Incremental Repayments'!$I$22)),0),0)</f>
        <v>0</v>
      </c>
      <c r="F66" s="783">
        <f>IF('Incremental Repayments'!$R$22="Debt",IF(AND(F$4&gt;=$D66,F$4&lt;$D66+'Incremental Repayments'!$I$31),-PMT('Interest Rate'!$J$16,'Incremental Repayments'!$I$31,(HLOOKUP($D66,$E$4:$CZ$32,28,FALSE)*'Incremental Repayments'!$I$22)),0),0)</f>
        <v>0</v>
      </c>
      <c r="G66" s="783">
        <f>IF('Incremental Repayments'!$R$22="Debt",IF(AND(G$4&gt;=$D66,G$4&lt;$D66+'Incremental Repayments'!$I$31),-PMT('Interest Rate'!$J$16,'Incremental Repayments'!$I$31,(HLOOKUP($D66,$E$4:$CZ$32,28,FALSE)*'Incremental Repayments'!$I$22)),0),0)</f>
        <v>0</v>
      </c>
      <c r="H66" s="783">
        <f>IF('Incremental Repayments'!$R$22="Debt",IF(AND(H$4&gt;=$D66,H$4&lt;$D66+'Incremental Repayments'!$I$31),-PMT('Interest Rate'!$J$16,'Incremental Repayments'!$I$31,(HLOOKUP($D66,$E$4:$CZ$32,28,FALSE)*'Incremental Repayments'!$I$22)),0),0)</f>
        <v>0</v>
      </c>
      <c r="I66" s="783">
        <f>IF('Incremental Repayments'!$R$22="Debt",IF(AND(I$4&gt;=$D66,I$4&lt;$D66+'Incremental Repayments'!$I$31),-PMT('Interest Rate'!$J$16,'Incremental Repayments'!$I$31,(HLOOKUP($D66,$E$4:$CZ$32,28,FALSE)*'Incremental Repayments'!$I$22)),0),0)</f>
        <v>0</v>
      </c>
      <c r="J66" s="783">
        <f>IF('Incremental Repayments'!$R$22="Debt",IF(AND(J$4&gt;=$D66,J$4&lt;$D66+'Incremental Repayments'!$I$31),-PMT('Interest Rate'!$J$16,'Incremental Repayments'!$I$31,(HLOOKUP($D66,$E$4:$CZ$32,28,FALSE)*'Incremental Repayments'!$I$22)),0),0)</f>
        <v>0</v>
      </c>
      <c r="K66" s="783">
        <f>IF('Incremental Repayments'!$R$22="Debt",IF(AND(K$4&gt;=$D66,K$4&lt;$D66+'Incremental Repayments'!$I$31),-PMT('Interest Rate'!$J$16,'Incremental Repayments'!$I$31,(HLOOKUP($D66,$E$4:$CZ$32,28,FALSE)*'Incremental Repayments'!$I$22)),0),0)</f>
        <v>0</v>
      </c>
      <c r="L66" s="783">
        <f>IF('Incremental Repayments'!$R$22="Debt",IF(AND(L$4&gt;=$D66,L$4&lt;$D66+'Incremental Repayments'!$I$31),-PMT('Interest Rate'!$J$16,'Incremental Repayments'!$I$31,(HLOOKUP($D66,$E$4:$CZ$32,28,FALSE)*'Incremental Repayments'!$I$22)),0),0)</f>
        <v>0</v>
      </c>
      <c r="M66" s="783">
        <f>IF('Incremental Repayments'!$R$22="Debt",IF(AND(M$4&gt;=$D66,M$4&lt;$D66+'Incremental Repayments'!$I$31),-PMT('Interest Rate'!$J$16,'Incremental Repayments'!$I$31,(HLOOKUP($D66,$E$4:$CZ$32,28,FALSE)*'Incremental Repayments'!$I$22)),0),0)</f>
        <v>0</v>
      </c>
      <c r="N66" s="783">
        <f>IF('Incremental Repayments'!$R$22="Debt",IF(AND(N$4&gt;=$D66,N$4&lt;$D66+'Incremental Repayments'!$I$31),-PMT('Interest Rate'!$J$16,'Incremental Repayments'!$I$31,(HLOOKUP($D66,$E$4:$CZ$32,28,FALSE)*'Incremental Repayments'!$I$22)),0),0)</f>
        <v>0</v>
      </c>
      <c r="O66" s="783">
        <f>IF('Incremental Repayments'!$R$22="Debt",IF(AND(O$4&gt;=$D66,O$4&lt;$D66+'Incremental Repayments'!$I$31),-PMT('Interest Rate'!$J$16,'Incremental Repayments'!$I$31,(HLOOKUP($D66,$E$4:$CZ$32,28,FALSE)*'Incremental Repayments'!$I$22)),0),0)</f>
        <v>0</v>
      </c>
      <c r="P66" s="783">
        <f>IF('Incremental Repayments'!$R$22="Debt",IF(AND(P$4&gt;=$D66,P$4&lt;$D66+'Incremental Repayments'!$I$31),-PMT('Interest Rate'!$J$16,'Incremental Repayments'!$I$31,(HLOOKUP($D66,$E$4:$CZ$32,28,FALSE)*'Incremental Repayments'!$I$22)),0),0)</f>
        <v>0</v>
      </c>
      <c r="Q66" s="783">
        <f>IF('Incremental Repayments'!$R$22="Debt",IF(AND(Q$4&gt;=$D66,Q$4&lt;$D66+'Incremental Repayments'!$I$31),-PMT('Interest Rate'!$J$16,'Incremental Repayments'!$I$31,(HLOOKUP($D66,$E$4:$CZ$32,28,FALSE)*'Incremental Repayments'!$I$22)),0),0)</f>
        <v>0</v>
      </c>
      <c r="R66" s="783">
        <f>IF('Incremental Repayments'!$R$22="Debt",IF(AND(R$4&gt;=$D66,R$4&lt;$D66+'Incremental Repayments'!$I$31),-PMT('Interest Rate'!$J$16,'Incremental Repayments'!$I$31,(HLOOKUP($D66,$E$4:$CZ$32,28,FALSE)*'Incremental Repayments'!$I$22)),0),0)</f>
        <v>0</v>
      </c>
      <c r="S66" s="783">
        <f>IF('Incremental Repayments'!$R$22="Debt",IF(AND(S$4&gt;=$D66,S$4&lt;$D66+'Incremental Repayments'!$I$31),-PMT('Interest Rate'!$J$16,'Incremental Repayments'!$I$31,(HLOOKUP($D66,$E$4:$CZ$32,28,FALSE)*'Incremental Repayments'!$I$22)),0),0)</f>
        <v>0</v>
      </c>
      <c r="T66" s="783">
        <f>IF('Incremental Repayments'!$R$22="Debt",IF(AND(T$4&gt;=$D66,T$4&lt;$D66+'Incremental Repayments'!$I$31),-PMT('Interest Rate'!$J$16,'Incremental Repayments'!$I$31,(HLOOKUP($D66,$E$4:$CZ$32,28,FALSE)*'Incremental Repayments'!$I$22)),0),0)</f>
        <v>0</v>
      </c>
      <c r="U66" s="783">
        <f>IF('Incremental Repayments'!$R$22="Debt",IF(AND(U$4&gt;=$D66,U$4&lt;$D66+'Incremental Repayments'!$I$31),-PMT('Interest Rate'!$J$16,'Incremental Repayments'!$I$31,(HLOOKUP($D66,$E$4:$CZ$32,28,FALSE)*'Incremental Repayments'!$I$22)),0),0)</f>
        <v>0</v>
      </c>
      <c r="V66" s="783">
        <f>IF('Incremental Repayments'!$R$22="Debt",IF(AND(V$4&gt;=$D66,V$4&lt;$D66+'Incremental Repayments'!$I$31),-PMT('Interest Rate'!$J$16,'Incremental Repayments'!$I$31,(HLOOKUP($D66,$E$4:$CZ$32,28,FALSE)*'Incremental Repayments'!$I$22)),0),0)</f>
        <v>0</v>
      </c>
      <c r="W66" s="783">
        <f>IF('Incremental Repayments'!$R$22="Debt",IF(AND(W$4&gt;=$D66,W$4&lt;$D66+'Incremental Repayments'!$I$31),-PMT('Interest Rate'!$J$16,'Incremental Repayments'!$I$31,(HLOOKUP($D66,$E$4:$CZ$32,28,FALSE)*'Incremental Repayments'!$I$22)),0),0)</f>
        <v>0</v>
      </c>
      <c r="X66" s="783">
        <f>IF('Incremental Repayments'!$R$22="Debt",IF(AND(X$4&gt;=$D66,X$4&lt;$D66+'Incremental Repayments'!$I$31),-PMT('Interest Rate'!$J$16,'Incremental Repayments'!$I$31,(HLOOKUP($D66,$E$4:$CZ$32,28,FALSE)*'Incremental Repayments'!$I$22)),0),0)</f>
        <v>0</v>
      </c>
      <c r="Y66" s="783">
        <f>IF('Incremental Repayments'!$R$22="Debt",IF(AND(Y$4&gt;=$D66,Y$4&lt;$D66+'Incremental Repayments'!$I$31),-PMT('Interest Rate'!$J$16,'Incremental Repayments'!$I$31,(HLOOKUP($D66,$E$4:$CZ$32,28,FALSE)*'Incremental Repayments'!$I$22)),0),0)</f>
        <v>0</v>
      </c>
      <c r="Z66" s="783">
        <f>IF('Incremental Repayments'!$R$22="Debt",IF(AND(Z$4&gt;=$D66,Z$4&lt;$D66+'Incremental Repayments'!$I$31),-PMT('Interest Rate'!$J$16,'Incremental Repayments'!$I$31,(HLOOKUP($D66,$E$4:$CZ$32,28,FALSE)*'Incremental Repayments'!$I$22)),0),0)</f>
        <v>0</v>
      </c>
      <c r="AA66" s="783">
        <f>IF('Incremental Repayments'!$R$22="Debt",IF(AND(AA$4&gt;=$D66,AA$4&lt;$D66+'Incremental Repayments'!$I$31),-PMT('Interest Rate'!$J$16,'Incremental Repayments'!$I$31,(HLOOKUP($D66,$E$4:$CZ$32,28,FALSE)*'Incremental Repayments'!$I$22)),0),0)</f>
        <v>0</v>
      </c>
      <c r="AB66" s="783">
        <f>IF('Incremental Repayments'!$R$22="Debt",IF(AND(AB$4&gt;=$D66,AB$4&lt;$D66+'Incremental Repayments'!$I$31),-PMT('Interest Rate'!$J$16,'Incremental Repayments'!$I$31,(HLOOKUP($D66,$E$4:$CZ$32,28,FALSE)*'Incremental Repayments'!$I$22)),0),0)</f>
        <v>0</v>
      </c>
      <c r="AC66" s="783">
        <f>IF('Incremental Repayments'!$R$22="Debt",IF(AND(AC$4&gt;=$D66,AC$4&lt;$D66+'Incremental Repayments'!$I$31),-PMT('Interest Rate'!$J$16,'Incremental Repayments'!$I$31,(HLOOKUP($D66,$E$4:$CZ$32,28,FALSE)*'Incremental Repayments'!$I$22)),0),0)</f>
        <v>0</v>
      </c>
      <c r="AD66" s="783">
        <f>IF('Incremental Repayments'!$R$22="Debt",IF(AND(AD$4&gt;=$D66,AD$4&lt;$D66+'Incremental Repayments'!$I$31),-PMT('Interest Rate'!$J$16,'Incremental Repayments'!$I$31,(HLOOKUP($D66,$E$4:$CZ$32,28,FALSE)*'Incremental Repayments'!$I$22)),0),0)</f>
        <v>0</v>
      </c>
      <c r="AE66" s="783">
        <f>IF('Incremental Repayments'!$R$22="Debt",IF(AND(AE$4&gt;=$D66,AE$4&lt;$D66+'Incremental Repayments'!$I$31),-PMT('Interest Rate'!$J$16,'Incremental Repayments'!$I$31,(HLOOKUP($D66,$E$4:$CZ$32,28,FALSE)*'Incremental Repayments'!$I$22)),0),0)</f>
        <v>0</v>
      </c>
      <c r="AF66" s="783">
        <f>IF('Incremental Repayments'!$R$22="Debt",IF(AND(AF$4&gt;=$D66,AF$4&lt;$D66+'Incremental Repayments'!$I$31),-PMT('Interest Rate'!$J$16,'Incremental Repayments'!$I$31,(HLOOKUP($D66,$E$4:$CZ$32,28,FALSE)*'Incremental Repayments'!$I$22)),0),0)</f>
        <v>0</v>
      </c>
      <c r="AG66" s="783">
        <f>IF('Incremental Repayments'!$R$22="Debt",IF(AND(AG$4&gt;=$D66,AG$4&lt;$D66+'Incremental Repayments'!$I$31),-PMT('Interest Rate'!$J$16,'Incremental Repayments'!$I$31,(HLOOKUP($D66,$E$4:$CZ$32,28,FALSE)*'Incremental Repayments'!$I$22)),0),0)</f>
        <v>0</v>
      </c>
      <c r="AH66" s="783">
        <f>IF('Incremental Repayments'!$R$22="Debt",IF(AND(AH$4&gt;=$D66,AH$4&lt;$D66+'Incremental Repayments'!$I$31),-PMT('Interest Rate'!$J$16,'Incremental Repayments'!$I$31,(HLOOKUP($D66,$E$4:$CZ$32,28,FALSE)*'Incremental Repayments'!$I$22)),0),0)</f>
        <v>0</v>
      </c>
      <c r="AI66" s="783">
        <f>IF('Incremental Repayments'!$R$22="Debt",IF(AND(AI$4&gt;=$D66,AI$4&lt;$D66+'Incremental Repayments'!$I$31),-PMT('Interest Rate'!$J$16,'Incremental Repayments'!$I$31,(HLOOKUP($D66,$E$4:$CZ$32,28,FALSE)*'Incremental Repayments'!$I$22)),0),0)</f>
        <v>4753922.3428418441</v>
      </c>
      <c r="AJ66" s="783">
        <f>IF('Incremental Repayments'!$R$22="Debt",IF(AND(AJ$4&gt;=$D66,AJ$4&lt;$D66+'Incremental Repayments'!$I$31),-PMT('Interest Rate'!$J$16,'Incremental Repayments'!$I$31,(HLOOKUP($D66,$E$4:$CZ$32,28,FALSE)*'Incremental Repayments'!$I$22)),0),0)</f>
        <v>4753922.3428418441</v>
      </c>
      <c r="AK66" s="783">
        <f>IF('Incremental Repayments'!$R$22="Debt",IF(AND(AK$4&gt;=$D66,AK$4&lt;$D66+'Incremental Repayments'!$I$31),-PMT('Interest Rate'!$J$16,'Incremental Repayments'!$I$31,(HLOOKUP($D66,$E$4:$CZ$32,28,FALSE)*'Incremental Repayments'!$I$22)),0),0)</f>
        <v>4753922.3428418441</v>
      </c>
      <c r="AL66" s="783">
        <f>IF('Incremental Repayments'!$R$22="Debt",IF(AND(AL$4&gt;=$D66,AL$4&lt;$D66+'Incremental Repayments'!$I$31),-PMT('Interest Rate'!$J$16,'Incremental Repayments'!$I$31,(HLOOKUP($D66,$E$4:$CZ$32,28,FALSE)*'Incremental Repayments'!$I$22)),0),0)</f>
        <v>4753922.3428418441</v>
      </c>
      <c r="AM66" s="783">
        <f>IF('Incremental Repayments'!$R$22="Debt",IF(AND(AM$4&gt;=$D66,AM$4&lt;$D66+'Incremental Repayments'!$I$31),-PMT('Interest Rate'!$J$16,'Incremental Repayments'!$I$31,(HLOOKUP($D66,$E$4:$CZ$32,28,FALSE)*'Incremental Repayments'!$I$22)),0),0)</f>
        <v>4753922.3428418441</v>
      </c>
      <c r="AN66" s="783">
        <f>IF('Incremental Repayments'!$R$22="Debt",IF(AND(AN$4&gt;=$D66,AN$4&lt;$D66+'Incremental Repayments'!$I$31),-PMT('Interest Rate'!$J$16,'Incremental Repayments'!$I$31,(HLOOKUP($D66,$E$4:$CZ$32,28,FALSE)*'Incremental Repayments'!$I$22)),0),0)</f>
        <v>4753922.3428418441</v>
      </c>
      <c r="AO66" s="783">
        <f>IF('Incremental Repayments'!$R$22="Debt",IF(AND(AO$4&gt;=$D66,AO$4&lt;$D66+'Incremental Repayments'!$I$31),-PMT('Interest Rate'!$J$16,'Incremental Repayments'!$I$31,(HLOOKUP($D66,$E$4:$CZ$32,28,FALSE)*'Incremental Repayments'!$I$22)),0),0)</f>
        <v>4753922.3428418441</v>
      </c>
      <c r="AP66" s="783">
        <f>IF('Incremental Repayments'!$R$22="Debt",IF(AND(AP$4&gt;=$D66,AP$4&lt;$D66+'Incremental Repayments'!$I$31),-PMT('Interest Rate'!$J$16,'Incremental Repayments'!$I$31,(HLOOKUP($D66,$E$4:$CZ$32,28,FALSE)*'Incremental Repayments'!$I$22)),0),0)</f>
        <v>4753922.3428418441</v>
      </c>
      <c r="AQ66" s="783">
        <f>IF('Incremental Repayments'!$R$22="Debt",IF(AND(AQ$4&gt;=$D66,AQ$4&lt;$D66+'Incremental Repayments'!$I$31),-PMT('Interest Rate'!$J$16,'Incremental Repayments'!$I$31,(HLOOKUP($D66,$E$4:$CZ$32,28,FALSE)*'Incremental Repayments'!$I$22)),0),0)</f>
        <v>4753922.3428418441</v>
      </c>
      <c r="AR66" s="783">
        <f>IF('Incremental Repayments'!$R$22="Debt",IF(AND(AR$4&gt;=$D66,AR$4&lt;$D66+'Incremental Repayments'!$I$31),-PMT('Interest Rate'!$J$16,'Incremental Repayments'!$I$31,(HLOOKUP($D66,$E$4:$CZ$32,28,FALSE)*'Incremental Repayments'!$I$22)),0),0)</f>
        <v>4753922.3428418441</v>
      </c>
      <c r="AS66" s="783">
        <f>IF('Incremental Repayments'!$R$22="Debt",IF(AND(AS$4&gt;=$D66,AS$4&lt;$D66+'Incremental Repayments'!$I$31),-PMT('Interest Rate'!$J$16,'Incremental Repayments'!$I$31,(HLOOKUP($D66,$E$4:$CZ$32,28,FALSE)*'Incremental Repayments'!$I$22)),0),0)</f>
        <v>4753922.3428418441</v>
      </c>
      <c r="AT66" s="783">
        <f>IF('Incremental Repayments'!$R$22="Debt",IF(AND(AT$4&gt;=$D66,AT$4&lt;$D66+'Incremental Repayments'!$I$31),-PMT('Interest Rate'!$J$16,'Incremental Repayments'!$I$31,(HLOOKUP($D66,$E$4:$CZ$32,28,FALSE)*'Incremental Repayments'!$I$22)),0),0)</f>
        <v>4753922.3428418441</v>
      </c>
      <c r="AU66" s="783">
        <f>IF('Incremental Repayments'!$R$22="Debt",IF(AND(AU$4&gt;=$D66,AU$4&lt;$D66+'Incremental Repayments'!$I$31),-PMT('Interest Rate'!$J$16,'Incremental Repayments'!$I$31,(HLOOKUP($D66,$E$4:$CZ$32,28,FALSE)*'Incremental Repayments'!$I$22)),0),0)</f>
        <v>4753922.3428418441</v>
      </c>
      <c r="AV66" s="783">
        <f>IF('Incremental Repayments'!$R$22="Debt",IF(AND(AV$4&gt;=$D66,AV$4&lt;$D66+'Incremental Repayments'!$I$31),-PMT('Interest Rate'!$J$16,'Incremental Repayments'!$I$31,(HLOOKUP($D66,$E$4:$CZ$32,28,FALSE)*'Incremental Repayments'!$I$22)),0),0)</f>
        <v>4753922.3428418441</v>
      </c>
      <c r="AW66" s="783">
        <f>IF('Incremental Repayments'!$R$22="Debt",IF(AND(AW$4&gt;=$D66,AW$4&lt;$D66+'Incremental Repayments'!$I$31),-PMT('Interest Rate'!$J$16,'Incremental Repayments'!$I$31,(HLOOKUP($D66,$E$4:$CZ$32,28,FALSE)*'Incremental Repayments'!$I$22)),0),0)</f>
        <v>4753922.3428418441</v>
      </c>
      <c r="AX66" s="783">
        <f>IF('Incremental Repayments'!$R$22="Debt",IF(AND(AX$4&gt;=$D66,AX$4&lt;$D66+'Incremental Repayments'!$I$31),-PMT('Interest Rate'!$J$16,'Incremental Repayments'!$I$31,(HLOOKUP($D66,$E$4:$CZ$32,28,FALSE)*'Incremental Repayments'!$I$22)),0),0)</f>
        <v>4753922.3428418441</v>
      </c>
      <c r="AY66" s="783">
        <f>IF('Incremental Repayments'!$R$22="Debt",IF(AND(AY$4&gt;=$D66,AY$4&lt;$D66+'Incremental Repayments'!$I$31),-PMT('Interest Rate'!$J$16,'Incremental Repayments'!$I$31,(HLOOKUP($D66,$E$4:$CZ$32,28,FALSE)*'Incremental Repayments'!$I$22)),0),0)</f>
        <v>4753922.3428418441</v>
      </c>
      <c r="AZ66" s="783">
        <f>IF('Incremental Repayments'!$R$22="Debt",IF(AND(AZ$4&gt;=$D66,AZ$4&lt;$D66+'Incremental Repayments'!$I$31),-PMT('Interest Rate'!$J$16,'Incremental Repayments'!$I$31,(HLOOKUP($D66,$E$4:$CZ$32,28,FALSE)*'Incremental Repayments'!$I$22)),0),0)</f>
        <v>4753922.3428418441</v>
      </c>
      <c r="BA66" s="783">
        <f>IF('Incremental Repayments'!$R$22="Debt",IF(AND(BA$4&gt;=$D66,BA$4&lt;$D66+'Incremental Repayments'!$I$31),-PMT('Interest Rate'!$J$16,'Incremental Repayments'!$I$31,(HLOOKUP($D66,$E$4:$CZ$32,28,FALSE)*'Incremental Repayments'!$I$22)),0),0)</f>
        <v>4753922.3428418441</v>
      </c>
      <c r="BB66" s="783">
        <f>IF('Incremental Repayments'!$R$22="Debt",IF(AND(BB$4&gt;=$D66,BB$4&lt;$D66+'Incremental Repayments'!$I$31),-PMT('Interest Rate'!$J$16,'Incremental Repayments'!$I$31,(HLOOKUP($D66,$E$4:$CZ$32,28,FALSE)*'Incremental Repayments'!$I$22)),0),0)</f>
        <v>4753922.3428418441</v>
      </c>
      <c r="BC66" s="783">
        <f>IF('Incremental Repayments'!$R$22="Debt",IF(AND(BC$4&gt;=$D66,BC$4&lt;$D66+'Incremental Repayments'!$I$31),-PMT('Interest Rate'!$J$16,'Incremental Repayments'!$I$31,(HLOOKUP($D66,$E$4:$CZ$32,28,FALSE)*'Incremental Repayments'!$I$22)),0),0)</f>
        <v>4753922.3428418441</v>
      </c>
      <c r="BD66" s="783">
        <f>IF('Incremental Repayments'!$R$22="Debt",IF(AND(BD$4&gt;=$D66,BD$4&lt;$D66+'Incremental Repayments'!$I$31),-PMT('Interest Rate'!$J$16,'Incremental Repayments'!$I$31,(HLOOKUP($D66,$E$4:$CZ$32,28,FALSE)*'Incremental Repayments'!$I$22)),0),0)</f>
        <v>4753922.3428418441</v>
      </c>
      <c r="BE66" s="783">
        <f>IF('Incremental Repayments'!$R$22="Debt",IF(AND(BE$4&gt;=$D66,BE$4&lt;$D66+'Incremental Repayments'!$I$31),-PMT('Interest Rate'!$J$16,'Incremental Repayments'!$I$31,(HLOOKUP($D66,$E$4:$CZ$32,28,FALSE)*'Incremental Repayments'!$I$22)),0),0)</f>
        <v>4753922.3428418441</v>
      </c>
      <c r="BF66" s="783">
        <f>IF('Incremental Repayments'!$R$22="Debt",IF(AND(BF$4&gt;=$D66,BF$4&lt;$D66+'Incremental Repayments'!$I$31),-PMT('Interest Rate'!$J$16,'Incremental Repayments'!$I$31,(HLOOKUP($D66,$E$4:$CZ$32,28,FALSE)*'Incremental Repayments'!$I$22)),0),0)</f>
        <v>4753922.3428418441</v>
      </c>
      <c r="BG66" s="783">
        <f>IF('Incremental Repayments'!$R$22="Debt",IF(AND(BG$4&gt;=$D66,BG$4&lt;$D66+'Incremental Repayments'!$I$31),-PMT('Interest Rate'!$J$16,'Incremental Repayments'!$I$31,(HLOOKUP($D66,$E$4:$CZ$32,28,FALSE)*'Incremental Repayments'!$I$22)),0),0)</f>
        <v>4753922.3428418441</v>
      </c>
      <c r="BH66" s="783">
        <f>IF('Incremental Repayments'!$R$22="Debt",IF(AND(BH$4&gt;=$D66,BH$4&lt;$D66+'Incremental Repayments'!$I$31),-PMT('Interest Rate'!$J$16,'Incremental Repayments'!$I$31,(HLOOKUP($D66,$E$4:$CZ$32,28,FALSE)*'Incremental Repayments'!$I$22)),0),0)</f>
        <v>4753922.3428418441</v>
      </c>
      <c r="BI66" s="783">
        <f>IF('Incremental Repayments'!$R$22="Debt",IF(AND(BI$4&gt;=$D66,BI$4&lt;$D66+'Incremental Repayments'!$I$31),-PMT('Interest Rate'!$J$16,'Incremental Repayments'!$I$31,(HLOOKUP($D66,$E$4:$CZ$32,28,FALSE)*'Incremental Repayments'!$I$22)),0),0)</f>
        <v>4753922.3428418441</v>
      </c>
      <c r="BJ66" s="783">
        <f>IF('Incremental Repayments'!$R$22="Debt",IF(AND(BJ$4&gt;=$D66,BJ$4&lt;$D66+'Incremental Repayments'!$I$31),-PMT('Interest Rate'!$J$16,'Incremental Repayments'!$I$31,(HLOOKUP($D66,$E$4:$CZ$32,28,FALSE)*'Incremental Repayments'!$I$22)),0),0)</f>
        <v>4753922.3428418441</v>
      </c>
      <c r="BK66" s="783">
        <f>IF('Incremental Repayments'!$R$22="Debt",IF(AND(BK$4&gt;=$D66,BK$4&lt;$D66+'Incremental Repayments'!$I$31),-PMT('Interest Rate'!$J$16,'Incremental Repayments'!$I$31,(HLOOKUP($D66,$E$4:$CZ$32,28,FALSE)*'Incremental Repayments'!$I$22)),0),0)</f>
        <v>4753922.3428418441</v>
      </c>
      <c r="BL66" s="783">
        <f>IF('Incremental Repayments'!$R$22="Debt",IF(AND(BL$4&gt;=$D66,BL$4&lt;$D66+'Incremental Repayments'!$I$31),-PMT('Interest Rate'!$J$16,'Incremental Repayments'!$I$31,(HLOOKUP($D66,$E$4:$CZ$32,28,FALSE)*'Incremental Repayments'!$I$22)),0),0)</f>
        <v>4753922.3428418441</v>
      </c>
      <c r="BM66" s="783">
        <f>IF('Incremental Repayments'!$R$22="Debt",IF(AND(BM$4&gt;=$D66,BM$4&lt;$D66+'Incremental Repayments'!$I$31),-PMT('Interest Rate'!$J$16,'Incremental Repayments'!$I$31,(HLOOKUP($D66,$E$4:$CZ$32,28,FALSE)*'Incremental Repayments'!$I$22)),0),0)</f>
        <v>0</v>
      </c>
      <c r="BN66" s="783">
        <f>IF('Incremental Repayments'!$R$22="Debt",IF(AND(BN$4&gt;=$D66,BN$4&lt;$D66+'Incremental Repayments'!$I$31),-PMT('Interest Rate'!$J$16,'Incremental Repayments'!$I$31,(HLOOKUP($D66,$E$4:$CZ$32,28,FALSE)*'Incremental Repayments'!$I$22)),0),0)</f>
        <v>0</v>
      </c>
      <c r="BO66" s="783">
        <f>IF('Incremental Repayments'!$R$22="Debt",IF(AND(BO$4&gt;=$D66,BO$4&lt;$D66+'Incremental Repayments'!$I$31),-PMT('Interest Rate'!$J$16,'Incremental Repayments'!$I$31,(HLOOKUP($D66,$E$4:$CZ$32,28,FALSE)*'Incremental Repayments'!$I$22)),0),0)</f>
        <v>0</v>
      </c>
      <c r="BP66" s="783">
        <f>IF('Incremental Repayments'!$R$22="Debt",IF(AND(BP$4&gt;=$D66,BP$4&lt;$D66+'Incremental Repayments'!$I$31),-PMT('Interest Rate'!$J$16,'Incremental Repayments'!$I$31,(HLOOKUP($D66,$E$4:$CZ$32,28,FALSE)*'Incremental Repayments'!$I$22)),0),0)</f>
        <v>0</v>
      </c>
      <c r="BQ66" s="783">
        <f>IF('Incremental Repayments'!$R$22="Debt",IF(AND(BQ$4&gt;=$D66,BQ$4&lt;$D66+'Incremental Repayments'!$I$31),-PMT('Interest Rate'!$J$16,'Incremental Repayments'!$I$31,(HLOOKUP($D66,$E$4:$CZ$32,28,FALSE)*'Incremental Repayments'!$I$22)),0),0)</f>
        <v>0</v>
      </c>
      <c r="BR66" s="783">
        <f>IF('Incremental Repayments'!$R$22="Debt",IF(AND(BR$4&gt;=$D66,BR$4&lt;$D66+'Incremental Repayments'!$I$31),-PMT('Interest Rate'!$J$16,'Incremental Repayments'!$I$31,(HLOOKUP($D66,$E$4:$CZ$32,28,FALSE)*'Incremental Repayments'!$I$22)),0),0)</f>
        <v>0</v>
      </c>
      <c r="BS66" s="783">
        <f>IF('Incremental Repayments'!$R$22="Debt",IF(AND(BS$4&gt;=$D66,BS$4&lt;$D66+'Incremental Repayments'!$I$31),-PMT('Interest Rate'!$J$16,'Incremental Repayments'!$I$31,(HLOOKUP($D66,$E$4:$CZ$32,28,FALSE)*'Incremental Repayments'!$I$22)),0),0)</f>
        <v>0</v>
      </c>
      <c r="BT66" s="783">
        <f>IF('Incremental Repayments'!$R$22="Debt",IF(AND(BT$4&gt;=$D66,BT$4&lt;$D66+'Incremental Repayments'!$I$31),-PMT('Interest Rate'!$J$16,'Incremental Repayments'!$I$31,(HLOOKUP($D66,$E$4:$CZ$32,28,FALSE)*'Incremental Repayments'!$I$22)),0),0)</f>
        <v>0</v>
      </c>
      <c r="BU66" s="783">
        <f>IF('Incremental Repayments'!$R$22="Debt",IF(AND(BU$4&gt;=$D66,BU$4&lt;$D66+'Incremental Repayments'!$I$31),-PMT('Interest Rate'!$J$16,'Incremental Repayments'!$I$31,(HLOOKUP($D66,$E$4:$CZ$32,28,FALSE)*'Incremental Repayments'!$I$22)),0),0)</f>
        <v>0</v>
      </c>
      <c r="BV66" s="783">
        <f>IF('Incremental Repayments'!$R$22="Debt",IF(AND(BV$4&gt;=$D66,BV$4&lt;$D66+'Incremental Repayments'!$I$31),-PMT('Interest Rate'!$J$16,'Incremental Repayments'!$I$31,(HLOOKUP($D66,$E$4:$CZ$32,28,FALSE)*'Incremental Repayments'!$I$22)),0),0)</f>
        <v>0</v>
      </c>
      <c r="BW66" s="783">
        <f>IF('Incremental Repayments'!$R$22="Debt",IF(AND(BW$4&gt;=$D66,BW$4&lt;$D66+'Incremental Repayments'!$I$31),-PMT('Interest Rate'!$J$16,'Incremental Repayments'!$I$31,(HLOOKUP($D66,$E$4:$CZ$32,28,FALSE)*'Incremental Repayments'!$I$22)),0),0)</f>
        <v>0</v>
      </c>
      <c r="BX66" s="783">
        <f>IF('Incremental Repayments'!$R$22="Debt",IF(AND(BX$4&gt;=$D66,BX$4&lt;$D66+'Incremental Repayments'!$I$31),-PMT('Interest Rate'!$J$16,'Incremental Repayments'!$I$31,(HLOOKUP($D66,$E$4:$CZ$32,28,FALSE)*'Incremental Repayments'!$I$22)),0),0)</f>
        <v>0</v>
      </c>
      <c r="BY66" s="783">
        <f>IF('Incremental Repayments'!$R$22="Debt",IF(AND(BY$4&gt;=$D66,BY$4&lt;$D66+'Incremental Repayments'!$I$31),-PMT('Interest Rate'!$J$16,'Incremental Repayments'!$I$31,(HLOOKUP($D66,$E$4:$CZ$32,28,FALSE)*'Incremental Repayments'!$I$22)),0),0)</f>
        <v>0</v>
      </c>
      <c r="BZ66" s="783">
        <f>IF('Incremental Repayments'!$R$22="Debt",IF(AND(BZ$4&gt;=$D66,BZ$4&lt;$D66+'Incremental Repayments'!$I$31),-PMT('Interest Rate'!$J$16,'Incremental Repayments'!$I$31,(HLOOKUP($D66,$E$4:$CZ$32,28,FALSE)*'Incremental Repayments'!$I$22)),0),0)</f>
        <v>0</v>
      </c>
      <c r="CA66" s="783">
        <f>IF('Incremental Repayments'!$R$22="Debt",IF(AND(CA$4&gt;=$D66,CA$4&lt;$D66+'Incremental Repayments'!$I$31),-PMT('Interest Rate'!$J$16,'Incremental Repayments'!$I$31,(HLOOKUP($D66,$E$4:$CZ$32,28,FALSE)*'Incremental Repayments'!$I$22)),0),0)</f>
        <v>0</v>
      </c>
      <c r="CB66" s="783">
        <f>IF('Incremental Repayments'!$R$22="Debt",IF(AND(CB$4&gt;=$D66,CB$4&lt;$D66+'Incremental Repayments'!$I$31),-PMT('Interest Rate'!$J$16,'Incremental Repayments'!$I$31,(HLOOKUP($D66,$E$4:$CZ$32,28,FALSE)*'Incremental Repayments'!$I$22)),0),0)</f>
        <v>0</v>
      </c>
      <c r="CC66" s="783">
        <f>IF('Incremental Repayments'!$R$22="Debt",IF(AND(CC$4&gt;=$D66,CC$4&lt;$D66+'Incremental Repayments'!$I$31),-PMT('Interest Rate'!$J$16,'Incremental Repayments'!$I$31,(HLOOKUP($D66,$E$4:$CZ$32,28,FALSE)*'Incremental Repayments'!$I$22)),0),0)</f>
        <v>0</v>
      </c>
      <c r="CD66" s="783">
        <f>IF('Incremental Repayments'!$R$22="Debt",IF(AND(CD$4&gt;=$D66,CD$4&lt;$D66+'Incremental Repayments'!$I$31),-PMT('Interest Rate'!$J$16,'Incremental Repayments'!$I$31,(HLOOKUP($D66,$E$4:$CZ$32,28,FALSE)*'Incremental Repayments'!$I$22)),0),0)</f>
        <v>0</v>
      </c>
      <c r="CE66" s="783">
        <f>IF('Incremental Repayments'!$R$22="Debt",IF(AND(CE$4&gt;=$D66,CE$4&lt;$D66+'Incremental Repayments'!$I$31),-PMT('Interest Rate'!$J$16,'Incremental Repayments'!$I$31,(HLOOKUP($D66,$E$4:$CZ$32,28,FALSE)*'Incremental Repayments'!$I$22)),0),0)</f>
        <v>0</v>
      </c>
      <c r="CF66" s="783">
        <f>IF('Incremental Repayments'!$R$22="Debt",IF(AND(CF$4&gt;=$D66,CF$4&lt;$D66+'Incremental Repayments'!$I$31),-PMT('Interest Rate'!$J$16,'Incremental Repayments'!$I$31,(HLOOKUP($D66,$E$4:$CZ$32,28,FALSE)*'Incremental Repayments'!$I$22)),0),0)</f>
        <v>0</v>
      </c>
      <c r="CG66" s="783">
        <f>IF('Incremental Repayments'!$R$22="Debt",IF(AND(CG$4&gt;=$D66,CG$4&lt;$D66+'Incremental Repayments'!$I$31),-PMT('Interest Rate'!$J$16,'Incremental Repayments'!$I$31,(HLOOKUP($D66,$E$4:$CZ$32,28,FALSE)*'Incremental Repayments'!$I$22)),0),0)</f>
        <v>0</v>
      </c>
      <c r="CH66" s="783">
        <f>IF('Incremental Repayments'!$R$22="Debt",IF(AND(CH$4&gt;=$D66,CH$4&lt;$D66+'Incremental Repayments'!$I$31),-PMT('Interest Rate'!$J$16,'Incremental Repayments'!$I$31,(HLOOKUP($D66,$E$4:$CZ$32,28,FALSE)*'Incremental Repayments'!$I$22)),0),0)</f>
        <v>0</v>
      </c>
      <c r="CI66" s="783">
        <f>IF('Incremental Repayments'!$R$22="Debt",IF(AND(CI$4&gt;=$D66,CI$4&lt;$D66+'Incremental Repayments'!$I$31),-PMT('Interest Rate'!$J$16,'Incremental Repayments'!$I$31,(HLOOKUP($D66,$E$4:$CZ$32,28,FALSE)*'Incremental Repayments'!$I$22)),0),0)</f>
        <v>0</v>
      </c>
      <c r="CJ66" s="783">
        <f>IF('Incremental Repayments'!$R$22="Debt",IF(AND(CJ$4&gt;=$D66,CJ$4&lt;$D66+'Incremental Repayments'!$I$31),-PMT('Interest Rate'!$J$16,'Incremental Repayments'!$I$31,(HLOOKUP($D66,$E$4:$CZ$32,28,FALSE)*'Incremental Repayments'!$I$22)),0),0)</f>
        <v>0</v>
      </c>
      <c r="CK66" s="783">
        <f>IF('Incremental Repayments'!$R$22="Debt",IF(AND(CK$4&gt;=$D66,CK$4&lt;$D66+'Incremental Repayments'!$I$31),-PMT('Interest Rate'!$J$16,'Incremental Repayments'!$I$31,(HLOOKUP($D66,$E$4:$CZ$32,28,FALSE)*'Incremental Repayments'!$I$22)),0),0)</f>
        <v>0</v>
      </c>
      <c r="CL66" s="783">
        <f>IF('Incremental Repayments'!$R$22="Debt",IF(AND(CL$4&gt;=$D66,CL$4&lt;$D66+'Incremental Repayments'!$I$31),-PMT('Interest Rate'!$J$16,'Incremental Repayments'!$I$31,(HLOOKUP($D66,$E$4:$CZ$32,28,FALSE)*'Incremental Repayments'!$I$22)),0),0)</f>
        <v>0</v>
      </c>
      <c r="CM66" s="783">
        <f>IF('Incremental Repayments'!$R$22="Debt",IF(AND(CM$4&gt;=$D66,CM$4&lt;$D66+'Incremental Repayments'!$I$31),-PMT('Interest Rate'!$J$16,'Incremental Repayments'!$I$31,(HLOOKUP($D66,$E$4:$CZ$32,28,FALSE)*'Incremental Repayments'!$I$22)),0),0)</f>
        <v>0</v>
      </c>
      <c r="CN66" s="783">
        <f>IF('Incremental Repayments'!$R$22="Debt",IF(AND(CN$4&gt;=$D66,CN$4&lt;$D66+'Incremental Repayments'!$I$31),-PMT('Interest Rate'!$J$16,'Incremental Repayments'!$I$31,(HLOOKUP($D66,$E$4:$CZ$32,28,FALSE)*'Incremental Repayments'!$I$22)),0),0)</f>
        <v>0</v>
      </c>
      <c r="CO66" s="783">
        <f>IF('Incremental Repayments'!$R$22="Debt",IF(AND(CO$4&gt;=$D66,CO$4&lt;$D66+'Incremental Repayments'!$I$31),-PMT('Interest Rate'!$J$16,'Incremental Repayments'!$I$31,(HLOOKUP($D66,$E$4:$CZ$32,28,FALSE)*'Incremental Repayments'!$I$22)),0),0)</f>
        <v>0</v>
      </c>
      <c r="CP66" s="783">
        <f>IF('Incremental Repayments'!$R$22="Debt",IF(AND(CP$4&gt;=$D66,CP$4&lt;$D66+'Incremental Repayments'!$I$31),-PMT('Interest Rate'!$J$16,'Incremental Repayments'!$I$31,(HLOOKUP($D66,$E$4:$CZ$32,28,FALSE)*'Incremental Repayments'!$I$22)),0),0)</f>
        <v>0</v>
      </c>
      <c r="CQ66" s="783">
        <f>IF('Incremental Repayments'!$R$22="Debt",IF(AND(CQ$4&gt;=$D66,CQ$4&lt;$D66+'Incremental Repayments'!$I$31),-PMT('Interest Rate'!$J$16,'Incremental Repayments'!$I$31,(HLOOKUP($D66,$E$4:$CZ$32,28,FALSE)*'Incremental Repayments'!$I$22)),0),0)</f>
        <v>0</v>
      </c>
      <c r="CR66" s="783">
        <f>IF('Incremental Repayments'!$R$22="Debt",IF(AND(CR$4&gt;=$D66,CR$4&lt;$D66+'Incremental Repayments'!$I$31),-PMT('Interest Rate'!$J$16,'Incremental Repayments'!$I$31,(HLOOKUP($D66,$E$4:$CZ$32,28,FALSE)*'Incremental Repayments'!$I$22)),0),0)</f>
        <v>0</v>
      </c>
      <c r="CS66" s="783">
        <f>IF('Incremental Repayments'!$R$22="Debt",IF(AND(CS$4&gt;=$D66,CS$4&lt;$D66+'Incremental Repayments'!$I$31),-PMT('Interest Rate'!$J$16,'Incremental Repayments'!$I$31,(HLOOKUP($D66,$E$4:$CZ$32,28,FALSE)*'Incremental Repayments'!$I$22)),0),0)</f>
        <v>0</v>
      </c>
      <c r="CT66" s="783">
        <f>IF('Incremental Repayments'!$R$22="Debt",IF(AND(CT$4&gt;=$D66,CT$4&lt;$D66+'Incremental Repayments'!$I$31),-PMT('Interest Rate'!$J$16,'Incremental Repayments'!$I$31,(HLOOKUP($D66,$E$4:$CZ$32,28,FALSE)*'Incremental Repayments'!$I$22)),0),0)</f>
        <v>0</v>
      </c>
      <c r="CU66" s="783">
        <f>IF('Incremental Repayments'!$R$22="Debt",IF(AND(CU$4&gt;=$D66,CU$4&lt;$D66+'Incremental Repayments'!$I$31),-PMT('Interest Rate'!$J$16,'Incremental Repayments'!$I$31,(HLOOKUP($D66,$E$4:$CZ$32,28,FALSE)*'Incremental Repayments'!$I$22)),0),0)</f>
        <v>0</v>
      </c>
      <c r="CV66" s="783">
        <f>IF('Incremental Repayments'!$R$22="Debt",IF(AND(CV$4&gt;=$D66,CV$4&lt;$D66+'Incremental Repayments'!$I$31),-PMT('Interest Rate'!$J$16,'Incremental Repayments'!$I$31,(HLOOKUP($D66,$E$4:$CZ$32,28,FALSE)*'Incremental Repayments'!$I$22)),0),0)</f>
        <v>0</v>
      </c>
      <c r="CW66" s="783">
        <f>IF('Incremental Repayments'!$R$22="Debt",IF(AND(CW$4&gt;=$D66,CW$4&lt;$D66+'Incremental Repayments'!$I$31),-PMT('Interest Rate'!$J$16,'Incremental Repayments'!$I$31,(HLOOKUP($D66,$E$4:$CZ$32,28,FALSE)*'Incremental Repayments'!$I$22)),0),0)</f>
        <v>0</v>
      </c>
      <c r="CX66" s="783">
        <f>IF('Incremental Repayments'!$R$22="Debt",IF(AND(CX$4&gt;=$D66,CX$4&lt;$D66+'Incremental Repayments'!$I$31),-PMT('Interest Rate'!$J$16,'Incremental Repayments'!$I$31,(HLOOKUP($D66,$E$4:$CZ$32,28,FALSE)*'Incremental Repayments'!$I$22)),0),0)</f>
        <v>0</v>
      </c>
      <c r="CY66" s="783">
        <f>IF('Incremental Repayments'!$R$22="Debt",IF(AND(CY$4&gt;=$D66,CY$4&lt;$D66+'Incremental Repayments'!$I$31),-PMT('Interest Rate'!$J$16,'Incremental Repayments'!$I$31,(HLOOKUP($D66,$E$4:$CZ$32,28,FALSE)*'Incremental Repayments'!$I$22)),0),0)</f>
        <v>0</v>
      </c>
      <c r="CZ66" s="783">
        <f>IF('Incremental Repayments'!$R$22="Debt",IF(AND(CZ$4&gt;=$D66,CZ$4&lt;$D66+'Incremental Repayments'!$I$31),-PMT('Interest Rate'!$J$16,'Incremental Repayments'!$I$31,(HLOOKUP($D66,$E$4:$CZ$32,28,FALSE)*'Incremental Repayments'!$I$22)),0),0)</f>
        <v>0</v>
      </c>
    </row>
    <row r="67" spans="2:104" x14ac:dyDescent="0.25">
      <c r="B67" s="480" t="str">
        <f>CONCATENATE("Series ",D67,"A Bonds (at ",'Interest Rate'!$J$16*100,"% Interest)")</f>
        <v>Series 2045A Bonds (at 4.5% Interest)</v>
      </c>
      <c r="C67" s="480"/>
      <c r="D67" s="492">
        <f t="shared" si="47"/>
        <v>2045</v>
      </c>
      <c r="E67" s="783">
        <f>IF('Incremental Repayments'!$R$22="Debt",IF(AND(E$4&gt;=$D67,E$4&lt;$D67+'Incremental Repayments'!$I$31),-PMT('Interest Rate'!$J$16,'Incremental Repayments'!$I$31,(HLOOKUP($D67,$E$4:$CZ$32,28,FALSE)*'Incremental Repayments'!$I$22)),0),0)</f>
        <v>0</v>
      </c>
      <c r="F67" s="783">
        <f>IF('Incremental Repayments'!$R$22="Debt",IF(AND(F$4&gt;=$D67,F$4&lt;$D67+'Incremental Repayments'!$I$31),-PMT('Interest Rate'!$J$16,'Incremental Repayments'!$I$31,(HLOOKUP($D67,$E$4:$CZ$32,28,FALSE)*'Incremental Repayments'!$I$22)),0),0)</f>
        <v>0</v>
      </c>
      <c r="G67" s="783">
        <f>IF('Incremental Repayments'!$R$22="Debt",IF(AND(G$4&gt;=$D67,G$4&lt;$D67+'Incremental Repayments'!$I$31),-PMT('Interest Rate'!$J$16,'Incremental Repayments'!$I$31,(HLOOKUP($D67,$E$4:$CZ$32,28,FALSE)*'Incremental Repayments'!$I$22)),0),0)</f>
        <v>0</v>
      </c>
      <c r="H67" s="783">
        <f>IF('Incremental Repayments'!$R$22="Debt",IF(AND(H$4&gt;=$D67,H$4&lt;$D67+'Incremental Repayments'!$I$31),-PMT('Interest Rate'!$J$16,'Incremental Repayments'!$I$31,(HLOOKUP($D67,$E$4:$CZ$32,28,FALSE)*'Incremental Repayments'!$I$22)),0),0)</f>
        <v>0</v>
      </c>
      <c r="I67" s="783">
        <f>IF('Incremental Repayments'!$R$22="Debt",IF(AND(I$4&gt;=$D67,I$4&lt;$D67+'Incremental Repayments'!$I$31),-PMT('Interest Rate'!$J$16,'Incremental Repayments'!$I$31,(HLOOKUP($D67,$E$4:$CZ$32,28,FALSE)*'Incremental Repayments'!$I$22)),0),0)</f>
        <v>0</v>
      </c>
      <c r="J67" s="783">
        <f>IF('Incremental Repayments'!$R$22="Debt",IF(AND(J$4&gt;=$D67,J$4&lt;$D67+'Incremental Repayments'!$I$31),-PMT('Interest Rate'!$J$16,'Incremental Repayments'!$I$31,(HLOOKUP($D67,$E$4:$CZ$32,28,FALSE)*'Incremental Repayments'!$I$22)),0),0)</f>
        <v>0</v>
      </c>
      <c r="K67" s="783">
        <f>IF('Incremental Repayments'!$R$22="Debt",IF(AND(K$4&gt;=$D67,K$4&lt;$D67+'Incremental Repayments'!$I$31),-PMT('Interest Rate'!$J$16,'Incremental Repayments'!$I$31,(HLOOKUP($D67,$E$4:$CZ$32,28,FALSE)*'Incremental Repayments'!$I$22)),0),0)</f>
        <v>0</v>
      </c>
      <c r="L67" s="783">
        <f>IF('Incremental Repayments'!$R$22="Debt",IF(AND(L$4&gt;=$D67,L$4&lt;$D67+'Incremental Repayments'!$I$31),-PMT('Interest Rate'!$J$16,'Incremental Repayments'!$I$31,(HLOOKUP($D67,$E$4:$CZ$32,28,FALSE)*'Incremental Repayments'!$I$22)),0),0)</f>
        <v>0</v>
      </c>
      <c r="M67" s="783">
        <f>IF('Incremental Repayments'!$R$22="Debt",IF(AND(M$4&gt;=$D67,M$4&lt;$D67+'Incremental Repayments'!$I$31),-PMT('Interest Rate'!$J$16,'Incremental Repayments'!$I$31,(HLOOKUP($D67,$E$4:$CZ$32,28,FALSE)*'Incremental Repayments'!$I$22)),0),0)</f>
        <v>0</v>
      </c>
      <c r="N67" s="783">
        <f>IF('Incremental Repayments'!$R$22="Debt",IF(AND(N$4&gt;=$D67,N$4&lt;$D67+'Incremental Repayments'!$I$31),-PMT('Interest Rate'!$J$16,'Incremental Repayments'!$I$31,(HLOOKUP($D67,$E$4:$CZ$32,28,FALSE)*'Incremental Repayments'!$I$22)),0),0)</f>
        <v>0</v>
      </c>
      <c r="O67" s="783">
        <f>IF('Incremental Repayments'!$R$22="Debt",IF(AND(O$4&gt;=$D67,O$4&lt;$D67+'Incremental Repayments'!$I$31),-PMT('Interest Rate'!$J$16,'Incremental Repayments'!$I$31,(HLOOKUP($D67,$E$4:$CZ$32,28,FALSE)*'Incremental Repayments'!$I$22)),0),0)</f>
        <v>0</v>
      </c>
      <c r="P67" s="783">
        <f>IF('Incremental Repayments'!$R$22="Debt",IF(AND(P$4&gt;=$D67,P$4&lt;$D67+'Incremental Repayments'!$I$31),-PMT('Interest Rate'!$J$16,'Incremental Repayments'!$I$31,(HLOOKUP($D67,$E$4:$CZ$32,28,FALSE)*'Incremental Repayments'!$I$22)),0),0)</f>
        <v>0</v>
      </c>
      <c r="Q67" s="783">
        <f>IF('Incremental Repayments'!$R$22="Debt",IF(AND(Q$4&gt;=$D67,Q$4&lt;$D67+'Incremental Repayments'!$I$31),-PMT('Interest Rate'!$J$16,'Incremental Repayments'!$I$31,(HLOOKUP($D67,$E$4:$CZ$32,28,FALSE)*'Incremental Repayments'!$I$22)),0),0)</f>
        <v>0</v>
      </c>
      <c r="R67" s="783">
        <f>IF('Incremental Repayments'!$R$22="Debt",IF(AND(R$4&gt;=$D67,R$4&lt;$D67+'Incremental Repayments'!$I$31),-PMT('Interest Rate'!$J$16,'Incremental Repayments'!$I$31,(HLOOKUP($D67,$E$4:$CZ$32,28,FALSE)*'Incremental Repayments'!$I$22)),0),0)</f>
        <v>0</v>
      </c>
      <c r="S67" s="783">
        <f>IF('Incremental Repayments'!$R$22="Debt",IF(AND(S$4&gt;=$D67,S$4&lt;$D67+'Incremental Repayments'!$I$31),-PMT('Interest Rate'!$J$16,'Incremental Repayments'!$I$31,(HLOOKUP($D67,$E$4:$CZ$32,28,FALSE)*'Incremental Repayments'!$I$22)),0),0)</f>
        <v>0</v>
      </c>
      <c r="T67" s="783">
        <f>IF('Incremental Repayments'!$R$22="Debt",IF(AND(T$4&gt;=$D67,T$4&lt;$D67+'Incremental Repayments'!$I$31),-PMT('Interest Rate'!$J$16,'Incremental Repayments'!$I$31,(HLOOKUP($D67,$E$4:$CZ$32,28,FALSE)*'Incremental Repayments'!$I$22)),0),0)</f>
        <v>0</v>
      </c>
      <c r="U67" s="783">
        <f>IF('Incremental Repayments'!$R$22="Debt",IF(AND(U$4&gt;=$D67,U$4&lt;$D67+'Incremental Repayments'!$I$31),-PMT('Interest Rate'!$J$16,'Incremental Repayments'!$I$31,(HLOOKUP($D67,$E$4:$CZ$32,28,FALSE)*'Incremental Repayments'!$I$22)),0),0)</f>
        <v>0</v>
      </c>
      <c r="V67" s="783">
        <f>IF('Incremental Repayments'!$R$22="Debt",IF(AND(V$4&gt;=$D67,V$4&lt;$D67+'Incremental Repayments'!$I$31),-PMT('Interest Rate'!$J$16,'Incremental Repayments'!$I$31,(HLOOKUP($D67,$E$4:$CZ$32,28,FALSE)*'Incremental Repayments'!$I$22)),0),0)</f>
        <v>0</v>
      </c>
      <c r="W67" s="783">
        <f>IF('Incremental Repayments'!$R$22="Debt",IF(AND(W$4&gt;=$D67,W$4&lt;$D67+'Incremental Repayments'!$I$31),-PMT('Interest Rate'!$J$16,'Incremental Repayments'!$I$31,(HLOOKUP($D67,$E$4:$CZ$32,28,FALSE)*'Incremental Repayments'!$I$22)),0),0)</f>
        <v>0</v>
      </c>
      <c r="X67" s="783">
        <f>IF('Incremental Repayments'!$R$22="Debt",IF(AND(X$4&gt;=$D67,X$4&lt;$D67+'Incremental Repayments'!$I$31),-PMT('Interest Rate'!$J$16,'Incremental Repayments'!$I$31,(HLOOKUP($D67,$E$4:$CZ$32,28,FALSE)*'Incremental Repayments'!$I$22)),0),0)</f>
        <v>0</v>
      </c>
      <c r="Y67" s="783">
        <f>IF('Incremental Repayments'!$R$22="Debt",IF(AND(Y$4&gt;=$D67,Y$4&lt;$D67+'Incremental Repayments'!$I$31),-PMT('Interest Rate'!$J$16,'Incremental Repayments'!$I$31,(HLOOKUP($D67,$E$4:$CZ$32,28,FALSE)*'Incremental Repayments'!$I$22)),0),0)</f>
        <v>0</v>
      </c>
      <c r="Z67" s="783">
        <f>IF('Incremental Repayments'!$R$22="Debt",IF(AND(Z$4&gt;=$D67,Z$4&lt;$D67+'Incremental Repayments'!$I$31),-PMT('Interest Rate'!$J$16,'Incremental Repayments'!$I$31,(HLOOKUP($D67,$E$4:$CZ$32,28,FALSE)*'Incremental Repayments'!$I$22)),0),0)</f>
        <v>0</v>
      </c>
      <c r="AA67" s="783">
        <f>IF('Incremental Repayments'!$R$22="Debt",IF(AND(AA$4&gt;=$D67,AA$4&lt;$D67+'Incremental Repayments'!$I$31),-PMT('Interest Rate'!$J$16,'Incremental Repayments'!$I$31,(HLOOKUP($D67,$E$4:$CZ$32,28,FALSE)*'Incremental Repayments'!$I$22)),0),0)</f>
        <v>0</v>
      </c>
      <c r="AB67" s="783">
        <f>IF('Incremental Repayments'!$R$22="Debt",IF(AND(AB$4&gt;=$D67,AB$4&lt;$D67+'Incremental Repayments'!$I$31),-PMT('Interest Rate'!$J$16,'Incremental Repayments'!$I$31,(HLOOKUP($D67,$E$4:$CZ$32,28,FALSE)*'Incremental Repayments'!$I$22)),0),0)</f>
        <v>0</v>
      </c>
      <c r="AC67" s="783">
        <f>IF('Incremental Repayments'!$R$22="Debt",IF(AND(AC$4&gt;=$D67,AC$4&lt;$D67+'Incremental Repayments'!$I$31),-PMT('Interest Rate'!$J$16,'Incremental Repayments'!$I$31,(HLOOKUP($D67,$E$4:$CZ$32,28,FALSE)*'Incremental Repayments'!$I$22)),0),0)</f>
        <v>0</v>
      </c>
      <c r="AD67" s="783">
        <f>IF('Incremental Repayments'!$R$22="Debt",IF(AND(AD$4&gt;=$D67,AD$4&lt;$D67+'Incremental Repayments'!$I$31),-PMT('Interest Rate'!$J$16,'Incremental Repayments'!$I$31,(HLOOKUP($D67,$E$4:$CZ$32,28,FALSE)*'Incremental Repayments'!$I$22)),0),0)</f>
        <v>0</v>
      </c>
      <c r="AE67" s="783">
        <f>IF('Incremental Repayments'!$R$22="Debt",IF(AND(AE$4&gt;=$D67,AE$4&lt;$D67+'Incremental Repayments'!$I$31),-PMT('Interest Rate'!$J$16,'Incremental Repayments'!$I$31,(HLOOKUP($D67,$E$4:$CZ$32,28,FALSE)*'Incremental Repayments'!$I$22)),0),0)</f>
        <v>0</v>
      </c>
      <c r="AF67" s="783">
        <f>IF('Incremental Repayments'!$R$22="Debt",IF(AND(AF$4&gt;=$D67,AF$4&lt;$D67+'Incremental Repayments'!$I$31),-PMT('Interest Rate'!$J$16,'Incremental Repayments'!$I$31,(HLOOKUP($D67,$E$4:$CZ$32,28,FALSE)*'Incremental Repayments'!$I$22)),0),0)</f>
        <v>0</v>
      </c>
      <c r="AG67" s="783">
        <f>IF('Incremental Repayments'!$R$22="Debt",IF(AND(AG$4&gt;=$D67,AG$4&lt;$D67+'Incremental Repayments'!$I$31),-PMT('Interest Rate'!$J$16,'Incremental Repayments'!$I$31,(HLOOKUP($D67,$E$4:$CZ$32,28,FALSE)*'Incremental Repayments'!$I$22)),0),0)</f>
        <v>0</v>
      </c>
      <c r="AH67" s="783">
        <f>IF('Incremental Repayments'!$R$22="Debt",IF(AND(AH$4&gt;=$D67,AH$4&lt;$D67+'Incremental Repayments'!$I$31),-PMT('Interest Rate'!$J$16,'Incremental Repayments'!$I$31,(HLOOKUP($D67,$E$4:$CZ$32,28,FALSE)*'Incremental Repayments'!$I$22)),0),0)</f>
        <v>0</v>
      </c>
      <c r="AI67" s="783">
        <f>IF('Incremental Repayments'!$R$22="Debt",IF(AND(AI$4&gt;=$D67,AI$4&lt;$D67+'Incremental Repayments'!$I$31),-PMT('Interest Rate'!$J$16,'Incremental Repayments'!$I$31,(HLOOKUP($D67,$E$4:$CZ$32,28,FALSE)*'Incremental Repayments'!$I$22)),0),0)</f>
        <v>0</v>
      </c>
      <c r="AJ67" s="783">
        <f>IF('Incremental Repayments'!$R$22="Debt",IF(AND(AJ$4&gt;=$D67,AJ$4&lt;$D67+'Incremental Repayments'!$I$31),-PMT('Interest Rate'!$J$16,'Incremental Repayments'!$I$31,(HLOOKUP($D67,$E$4:$CZ$32,28,FALSE)*'Incremental Repayments'!$I$22)),0),0)</f>
        <v>3674920.8776175412</v>
      </c>
      <c r="AK67" s="783">
        <f>IF('Incremental Repayments'!$R$22="Debt",IF(AND(AK$4&gt;=$D67,AK$4&lt;$D67+'Incremental Repayments'!$I$31),-PMT('Interest Rate'!$J$16,'Incremental Repayments'!$I$31,(HLOOKUP($D67,$E$4:$CZ$32,28,FALSE)*'Incremental Repayments'!$I$22)),0),0)</f>
        <v>3674920.8776175412</v>
      </c>
      <c r="AL67" s="783">
        <f>IF('Incremental Repayments'!$R$22="Debt",IF(AND(AL$4&gt;=$D67,AL$4&lt;$D67+'Incremental Repayments'!$I$31),-PMT('Interest Rate'!$J$16,'Incremental Repayments'!$I$31,(HLOOKUP($D67,$E$4:$CZ$32,28,FALSE)*'Incremental Repayments'!$I$22)),0),0)</f>
        <v>3674920.8776175412</v>
      </c>
      <c r="AM67" s="783">
        <f>IF('Incremental Repayments'!$R$22="Debt",IF(AND(AM$4&gt;=$D67,AM$4&lt;$D67+'Incremental Repayments'!$I$31),-PMT('Interest Rate'!$J$16,'Incremental Repayments'!$I$31,(HLOOKUP($D67,$E$4:$CZ$32,28,FALSE)*'Incremental Repayments'!$I$22)),0),0)</f>
        <v>3674920.8776175412</v>
      </c>
      <c r="AN67" s="783">
        <f>IF('Incremental Repayments'!$R$22="Debt",IF(AND(AN$4&gt;=$D67,AN$4&lt;$D67+'Incremental Repayments'!$I$31),-PMT('Interest Rate'!$J$16,'Incremental Repayments'!$I$31,(HLOOKUP($D67,$E$4:$CZ$32,28,FALSE)*'Incremental Repayments'!$I$22)),0),0)</f>
        <v>3674920.8776175412</v>
      </c>
      <c r="AO67" s="783">
        <f>IF('Incremental Repayments'!$R$22="Debt",IF(AND(AO$4&gt;=$D67,AO$4&lt;$D67+'Incremental Repayments'!$I$31),-PMT('Interest Rate'!$J$16,'Incremental Repayments'!$I$31,(HLOOKUP($D67,$E$4:$CZ$32,28,FALSE)*'Incremental Repayments'!$I$22)),0),0)</f>
        <v>3674920.8776175412</v>
      </c>
      <c r="AP67" s="783">
        <f>IF('Incremental Repayments'!$R$22="Debt",IF(AND(AP$4&gt;=$D67,AP$4&lt;$D67+'Incremental Repayments'!$I$31),-PMT('Interest Rate'!$J$16,'Incremental Repayments'!$I$31,(HLOOKUP($D67,$E$4:$CZ$32,28,FALSE)*'Incremental Repayments'!$I$22)),0),0)</f>
        <v>3674920.8776175412</v>
      </c>
      <c r="AQ67" s="783">
        <f>IF('Incremental Repayments'!$R$22="Debt",IF(AND(AQ$4&gt;=$D67,AQ$4&lt;$D67+'Incremental Repayments'!$I$31),-PMT('Interest Rate'!$J$16,'Incremental Repayments'!$I$31,(HLOOKUP($D67,$E$4:$CZ$32,28,FALSE)*'Incremental Repayments'!$I$22)),0),0)</f>
        <v>3674920.8776175412</v>
      </c>
      <c r="AR67" s="783">
        <f>IF('Incremental Repayments'!$R$22="Debt",IF(AND(AR$4&gt;=$D67,AR$4&lt;$D67+'Incremental Repayments'!$I$31),-PMT('Interest Rate'!$J$16,'Incremental Repayments'!$I$31,(HLOOKUP($D67,$E$4:$CZ$32,28,FALSE)*'Incremental Repayments'!$I$22)),0),0)</f>
        <v>3674920.8776175412</v>
      </c>
      <c r="AS67" s="783">
        <f>IF('Incremental Repayments'!$R$22="Debt",IF(AND(AS$4&gt;=$D67,AS$4&lt;$D67+'Incremental Repayments'!$I$31),-PMT('Interest Rate'!$J$16,'Incremental Repayments'!$I$31,(HLOOKUP($D67,$E$4:$CZ$32,28,FALSE)*'Incremental Repayments'!$I$22)),0),0)</f>
        <v>3674920.8776175412</v>
      </c>
      <c r="AT67" s="783">
        <f>IF('Incremental Repayments'!$R$22="Debt",IF(AND(AT$4&gt;=$D67,AT$4&lt;$D67+'Incremental Repayments'!$I$31),-PMT('Interest Rate'!$J$16,'Incremental Repayments'!$I$31,(HLOOKUP($D67,$E$4:$CZ$32,28,FALSE)*'Incremental Repayments'!$I$22)),0),0)</f>
        <v>3674920.8776175412</v>
      </c>
      <c r="AU67" s="783">
        <f>IF('Incremental Repayments'!$R$22="Debt",IF(AND(AU$4&gt;=$D67,AU$4&lt;$D67+'Incremental Repayments'!$I$31),-PMT('Interest Rate'!$J$16,'Incremental Repayments'!$I$31,(HLOOKUP($D67,$E$4:$CZ$32,28,FALSE)*'Incremental Repayments'!$I$22)),0),0)</f>
        <v>3674920.8776175412</v>
      </c>
      <c r="AV67" s="783">
        <f>IF('Incremental Repayments'!$R$22="Debt",IF(AND(AV$4&gt;=$D67,AV$4&lt;$D67+'Incremental Repayments'!$I$31),-PMT('Interest Rate'!$J$16,'Incremental Repayments'!$I$31,(HLOOKUP($D67,$E$4:$CZ$32,28,FALSE)*'Incremental Repayments'!$I$22)),0),0)</f>
        <v>3674920.8776175412</v>
      </c>
      <c r="AW67" s="783">
        <f>IF('Incremental Repayments'!$R$22="Debt",IF(AND(AW$4&gt;=$D67,AW$4&lt;$D67+'Incremental Repayments'!$I$31),-PMT('Interest Rate'!$J$16,'Incremental Repayments'!$I$31,(HLOOKUP($D67,$E$4:$CZ$32,28,FALSE)*'Incremental Repayments'!$I$22)),0),0)</f>
        <v>3674920.8776175412</v>
      </c>
      <c r="AX67" s="783">
        <f>IF('Incremental Repayments'!$R$22="Debt",IF(AND(AX$4&gt;=$D67,AX$4&lt;$D67+'Incremental Repayments'!$I$31),-PMT('Interest Rate'!$J$16,'Incremental Repayments'!$I$31,(HLOOKUP($D67,$E$4:$CZ$32,28,FALSE)*'Incremental Repayments'!$I$22)),0),0)</f>
        <v>3674920.8776175412</v>
      </c>
      <c r="AY67" s="783">
        <f>IF('Incremental Repayments'!$R$22="Debt",IF(AND(AY$4&gt;=$D67,AY$4&lt;$D67+'Incremental Repayments'!$I$31),-PMT('Interest Rate'!$J$16,'Incremental Repayments'!$I$31,(HLOOKUP($D67,$E$4:$CZ$32,28,FALSE)*'Incremental Repayments'!$I$22)),0),0)</f>
        <v>3674920.8776175412</v>
      </c>
      <c r="AZ67" s="783">
        <f>IF('Incremental Repayments'!$R$22="Debt",IF(AND(AZ$4&gt;=$D67,AZ$4&lt;$D67+'Incremental Repayments'!$I$31),-PMT('Interest Rate'!$J$16,'Incremental Repayments'!$I$31,(HLOOKUP($D67,$E$4:$CZ$32,28,FALSE)*'Incremental Repayments'!$I$22)),0),0)</f>
        <v>3674920.8776175412</v>
      </c>
      <c r="BA67" s="783">
        <f>IF('Incremental Repayments'!$R$22="Debt",IF(AND(BA$4&gt;=$D67,BA$4&lt;$D67+'Incremental Repayments'!$I$31),-PMT('Interest Rate'!$J$16,'Incremental Repayments'!$I$31,(HLOOKUP($D67,$E$4:$CZ$32,28,FALSE)*'Incremental Repayments'!$I$22)),0),0)</f>
        <v>3674920.8776175412</v>
      </c>
      <c r="BB67" s="783">
        <f>IF('Incremental Repayments'!$R$22="Debt",IF(AND(BB$4&gt;=$D67,BB$4&lt;$D67+'Incremental Repayments'!$I$31),-PMT('Interest Rate'!$J$16,'Incremental Repayments'!$I$31,(HLOOKUP($D67,$E$4:$CZ$32,28,FALSE)*'Incremental Repayments'!$I$22)),0),0)</f>
        <v>3674920.8776175412</v>
      </c>
      <c r="BC67" s="783">
        <f>IF('Incremental Repayments'!$R$22="Debt",IF(AND(BC$4&gt;=$D67,BC$4&lt;$D67+'Incremental Repayments'!$I$31),-PMT('Interest Rate'!$J$16,'Incremental Repayments'!$I$31,(HLOOKUP($D67,$E$4:$CZ$32,28,FALSE)*'Incremental Repayments'!$I$22)),0),0)</f>
        <v>3674920.8776175412</v>
      </c>
      <c r="BD67" s="783">
        <f>IF('Incremental Repayments'!$R$22="Debt",IF(AND(BD$4&gt;=$D67,BD$4&lt;$D67+'Incremental Repayments'!$I$31),-PMT('Interest Rate'!$J$16,'Incremental Repayments'!$I$31,(HLOOKUP($D67,$E$4:$CZ$32,28,FALSE)*'Incremental Repayments'!$I$22)),0),0)</f>
        <v>3674920.8776175412</v>
      </c>
      <c r="BE67" s="783">
        <f>IF('Incremental Repayments'!$R$22="Debt",IF(AND(BE$4&gt;=$D67,BE$4&lt;$D67+'Incremental Repayments'!$I$31),-PMT('Interest Rate'!$J$16,'Incremental Repayments'!$I$31,(HLOOKUP($D67,$E$4:$CZ$32,28,FALSE)*'Incremental Repayments'!$I$22)),0),0)</f>
        <v>3674920.8776175412</v>
      </c>
      <c r="BF67" s="783">
        <f>IF('Incremental Repayments'!$R$22="Debt",IF(AND(BF$4&gt;=$D67,BF$4&lt;$D67+'Incremental Repayments'!$I$31),-PMT('Interest Rate'!$J$16,'Incremental Repayments'!$I$31,(HLOOKUP($D67,$E$4:$CZ$32,28,FALSE)*'Incremental Repayments'!$I$22)),0),0)</f>
        <v>3674920.8776175412</v>
      </c>
      <c r="BG67" s="783">
        <f>IF('Incremental Repayments'!$R$22="Debt",IF(AND(BG$4&gt;=$D67,BG$4&lt;$D67+'Incremental Repayments'!$I$31),-PMT('Interest Rate'!$J$16,'Incremental Repayments'!$I$31,(HLOOKUP($D67,$E$4:$CZ$32,28,FALSE)*'Incremental Repayments'!$I$22)),0),0)</f>
        <v>3674920.8776175412</v>
      </c>
      <c r="BH67" s="783">
        <f>IF('Incremental Repayments'!$R$22="Debt",IF(AND(BH$4&gt;=$D67,BH$4&lt;$D67+'Incremental Repayments'!$I$31),-PMT('Interest Rate'!$J$16,'Incremental Repayments'!$I$31,(HLOOKUP($D67,$E$4:$CZ$32,28,FALSE)*'Incremental Repayments'!$I$22)),0),0)</f>
        <v>3674920.8776175412</v>
      </c>
      <c r="BI67" s="783">
        <f>IF('Incremental Repayments'!$R$22="Debt",IF(AND(BI$4&gt;=$D67,BI$4&lt;$D67+'Incremental Repayments'!$I$31),-PMT('Interest Rate'!$J$16,'Incremental Repayments'!$I$31,(HLOOKUP($D67,$E$4:$CZ$32,28,FALSE)*'Incremental Repayments'!$I$22)),0),0)</f>
        <v>3674920.8776175412</v>
      </c>
      <c r="BJ67" s="783">
        <f>IF('Incremental Repayments'!$R$22="Debt",IF(AND(BJ$4&gt;=$D67,BJ$4&lt;$D67+'Incremental Repayments'!$I$31),-PMT('Interest Rate'!$J$16,'Incremental Repayments'!$I$31,(HLOOKUP($D67,$E$4:$CZ$32,28,FALSE)*'Incremental Repayments'!$I$22)),0),0)</f>
        <v>3674920.8776175412</v>
      </c>
      <c r="BK67" s="783">
        <f>IF('Incremental Repayments'!$R$22="Debt",IF(AND(BK$4&gt;=$D67,BK$4&lt;$D67+'Incremental Repayments'!$I$31),-PMT('Interest Rate'!$J$16,'Incremental Repayments'!$I$31,(HLOOKUP($D67,$E$4:$CZ$32,28,FALSE)*'Incremental Repayments'!$I$22)),0),0)</f>
        <v>3674920.8776175412</v>
      </c>
      <c r="BL67" s="783">
        <f>IF('Incremental Repayments'!$R$22="Debt",IF(AND(BL$4&gt;=$D67,BL$4&lt;$D67+'Incremental Repayments'!$I$31),-PMT('Interest Rate'!$J$16,'Incremental Repayments'!$I$31,(HLOOKUP($D67,$E$4:$CZ$32,28,FALSE)*'Incremental Repayments'!$I$22)),0),0)</f>
        <v>3674920.8776175412</v>
      </c>
      <c r="BM67" s="783">
        <f>IF('Incremental Repayments'!$R$22="Debt",IF(AND(BM$4&gt;=$D67,BM$4&lt;$D67+'Incremental Repayments'!$I$31),-PMT('Interest Rate'!$J$16,'Incremental Repayments'!$I$31,(HLOOKUP($D67,$E$4:$CZ$32,28,FALSE)*'Incremental Repayments'!$I$22)),0),0)</f>
        <v>3674920.8776175412</v>
      </c>
      <c r="BN67" s="783">
        <f>IF('Incremental Repayments'!$R$22="Debt",IF(AND(BN$4&gt;=$D67,BN$4&lt;$D67+'Incremental Repayments'!$I$31),-PMT('Interest Rate'!$J$16,'Incremental Repayments'!$I$31,(HLOOKUP($D67,$E$4:$CZ$32,28,FALSE)*'Incremental Repayments'!$I$22)),0),0)</f>
        <v>0</v>
      </c>
      <c r="BO67" s="783">
        <f>IF('Incremental Repayments'!$R$22="Debt",IF(AND(BO$4&gt;=$D67,BO$4&lt;$D67+'Incremental Repayments'!$I$31),-PMT('Interest Rate'!$J$16,'Incremental Repayments'!$I$31,(HLOOKUP($D67,$E$4:$CZ$32,28,FALSE)*'Incremental Repayments'!$I$22)),0),0)</f>
        <v>0</v>
      </c>
      <c r="BP67" s="783">
        <f>IF('Incremental Repayments'!$R$22="Debt",IF(AND(BP$4&gt;=$D67,BP$4&lt;$D67+'Incremental Repayments'!$I$31),-PMT('Interest Rate'!$J$16,'Incremental Repayments'!$I$31,(HLOOKUP($D67,$E$4:$CZ$32,28,FALSE)*'Incremental Repayments'!$I$22)),0),0)</f>
        <v>0</v>
      </c>
      <c r="BQ67" s="783">
        <f>IF('Incremental Repayments'!$R$22="Debt",IF(AND(BQ$4&gt;=$D67,BQ$4&lt;$D67+'Incremental Repayments'!$I$31),-PMT('Interest Rate'!$J$16,'Incremental Repayments'!$I$31,(HLOOKUP($D67,$E$4:$CZ$32,28,FALSE)*'Incremental Repayments'!$I$22)),0),0)</f>
        <v>0</v>
      </c>
      <c r="BR67" s="783">
        <f>IF('Incremental Repayments'!$R$22="Debt",IF(AND(BR$4&gt;=$D67,BR$4&lt;$D67+'Incremental Repayments'!$I$31),-PMT('Interest Rate'!$J$16,'Incremental Repayments'!$I$31,(HLOOKUP($D67,$E$4:$CZ$32,28,FALSE)*'Incremental Repayments'!$I$22)),0),0)</f>
        <v>0</v>
      </c>
      <c r="BS67" s="783">
        <f>IF('Incremental Repayments'!$R$22="Debt",IF(AND(BS$4&gt;=$D67,BS$4&lt;$D67+'Incremental Repayments'!$I$31),-PMT('Interest Rate'!$J$16,'Incremental Repayments'!$I$31,(HLOOKUP($D67,$E$4:$CZ$32,28,FALSE)*'Incremental Repayments'!$I$22)),0),0)</f>
        <v>0</v>
      </c>
      <c r="BT67" s="783">
        <f>IF('Incremental Repayments'!$R$22="Debt",IF(AND(BT$4&gt;=$D67,BT$4&lt;$D67+'Incremental Repayments'!$I$31),-PMT('Interest Rate'!$J$16,'Incremental Repayments'!$I$31,(HLOOKUP($D67,$E$4:$CZ$32,28,FALSE)*'Incremental Repayments'!$I$22)),0),0)</f>
        <v>0</v>
      </c>
      <c r="BU67" s="783">
        <f>IF('Incremental Repayments'!$R$22="Debt",IF(AND(BU$4&gt;=$D67,BU$4&lt;$D67+'Incremental Repayments'!$I$31),-PMT('Interest Rate'!$J$16,'Incremental Repayments'!$I$31,(HLOOKUP($D67,$E$4:$CZ$32,28,FALSE)*'Incremental Repayments'!$I$22)),0),0)</f>
        <v>0</v>
      </c>
      <c r="BV67" s="783">
        <f>IF('Incremental Repayments'!$R$22="Debt",IF(AND(BV$4&gt;=$D67,BV$4&lt;$D67+'Incremental Repayments'!$I$31),-PMT('Interest Rate'!$J$16,'Incremental Repayments'!$I$31,(HLOOKUP($D67,$E$4:$CZ$32,28,FALSE)*'Incremental Repayments'!$I$22)),0),0)</f>
        <v>0</v>
      </c>
      <c r="BW67" s="783">
        <f>IF('Incremental Repayments'!$R$22="Debt",IF(AND(BW$4&gt;=$D67,BW$4&lt;$D67+'Incremental Repayments'!$I$31),-PMT('Interest Rate'!$J$16,'Incremental Repayments'!$I$31,(HLOOKUP($D67,$E$4:$CZ$32,28,FALSE)*'Incremental Repayments'!$I$22)),0),0)</f>
        <v>0</v>
      </c>
      <c r="BX67" s="783">
        <f>IF('Incremental Repayments'!$R$22="Debt",IF(AND(BX$4&gt;=$D67,BX$4&lt;$D67+'Incremental Repayments'!$I$31),-PMT('Interest Rate'!$J$16,'Incremental Repayments'!$I$31,(HLOOKUP($D67,$E$4:$CZ$32,28,FALSE)*'Incremental Repayments'!$I$22)),0),0)</f>
        <v>0</v>
      </c>
      <c r="BY67" s="783">
        <f>IF('Incremental Repayments'!$R$22="Debt",IF(AND(BY$4&gt;=$D67,BY$4&lt;$D67+'Incremental Repayments'!$I$31),-PMT('Interest Rate'!$J$16,'Incremental Repayments'!$I$31,(HLOOKUP($D67,$E$4:$CZ$32,28,FALSE)*'Incremental Repayments'!$I$22)),0),0)</f>
        <v>0</v>
      </c>
      <c r="BZ67" s="783">
        <f>IF('Incremental Repayments'!$R$22="Debt",IF(AND(BZ$4&gt;=$D67,BZ$4&lt;$D67+'Incremental Repayments'!$I$31),-PMT('Interest Rate'!$J$16,'Incremental Repayments'!$I$31,(HLOOKUP($D67,$E$4:$CZ$32,28,FALSE)*'Incremental Repayments'!$I$22)),0),0)</f>
        <v>0</v>
      </c>
      <c r="CA67" s="783">
        <f>IF('Incremental Repayments'!$R$22="Debt",IF(AND(CA$4&gt;=$D67,CA$4&lt;$D67+'Incremental Repayments'!$I$31),-PMT('Interest Rate'!$J$16,'Incremental Repayments'!$I$31,(HLOOKUP($D67,$E$4:$CZ$32,28,FALSE)*'Incremental Repayments'!$I$22)),0),0)</f>
        <v>0</v>
      </c>
      <c r="CB67" s="783">
        <f>IF('Incremental Repayments'!$R$22="Debt",IF(AND(CB$4&gt;=$D67,CB$4&lt;$D67+'Incremental Repayments'!$I$31),-PMT('Interest Rate'!$J$16,'Incremental Repayments'!$I$31,(HLOOKUP($D67,$E$4:$CZ$32,28,FALSE)*'Incremental Repayments'!$I$22)),0),0)</f>
        <v>0</v>
      </c>
      <c r="CC67" s="783">
        <f>IF('Incremental Repayments'!$R$22="Debt",IF(AND(CC$4&gt;=$D67,CC$4&lt;$D67+'Incremental Repayments'!$I$31),-PMT('Interest Rate'!$J$16,'Incremental Repayments'!$I$31,(HLOOKUP($D67,$E$4:$CZ$32,28,FALSE)*'Incremental Repayments'!$I$22)),0),0)</f>
        <v>0</v>
      </c>
      <c r="CD67" s="783">
        <f>IF('Incremental Repayments'!$R$22="Debt",IF(AND(CD$4&gt;=$D67,CD$4&lt;$D67+'Incremental Repayments'!$I$31),-PMT('Interest Rate'!$J$16,'Incremental Repayments'!$I$31,(HLOOKUP($D67,$E$4:$CZ$32,28,FALSE)*'Incremental Repayments'!$I$22)),0),0)</f>
        <v>0</v>
      </c>
      <c r="CE67" s="783">
        <f>IF('Incremental Repayments'!$R$22="Debt",IF(AND(CE$4&gt;=$D67,CE$4&lt;$D67+'Incremental Repayments'!$I$31),-PMT('Interest Rate'!$J$16,'Incremental Repayments'!$I$31,(HLOOKUP($D67,$E$4:$CZ$32,28,FALSE)*'Incremental Repayments'!$I$22)),0),0)</f>
        <v>0</v>
      </c>
      <c r="CF67" s="783">
        <f>IF('Incremental Repayments'!$R$22="Debt",IF(AND(CF$4&gt;=$D67,CF$4&lt;$D67+'Incremental Repayments'!$I$31),-PMT('Interest Rate'!$J$16,'Incremental Repayments'!$I$31,(HLOOKUP($D67,$E$4:$CZ$32,28,FALSE)*'Incremental Repayments'!$I$22)),0),0)</f>
        <v>0</v>
      </c>
      <c r="CG67" s="783">
        <f>IF('Incremental Repayments'!$R$22="Debt",IF(AND(CG$4&gt;=$D67,CG$4&lt;$D67+'Incremental Repayments'!$I$31),-PMT('Interest Rate'!$J$16,'Incremental Repayments'!$I$31,(HLOOKUP($D67,$E$4:$CZ$32,28,FALSE)*'Incremental Repayments'!$I$22)),0),0)</f>
        <v>0</v>
      </c>
      <c r="CH67" s="783">
        <f>IF('Incremental Repayments'!$R$22="Debt",IF(AND(CH$4&gt;=$D67,CH$4&lt;$D67+'Incremental Repayments'!$I$31),-PMT('Interest Rate'!$J$16,'Incremental Repayments'!$I$31,(HLOOKUP($D67,$E$4:$CZ$32,28,FALSE)*'Incremental Repayments'!$I$22)),0),0)</f>
        <v>0</v>
      </c>
      <c r="CI67" s="783">
        <f>IF('Incremental Repayments'!$R$22="Debt",IF(AND(CI$4&gt;=$D67,CI$4&lt;$D67+'Incremental Repayments'!$I$31),-PMT('Interest Rate'!$J$16,'Incremental Repayments'!$I$31,(HLOOKUP($D67,$E$4:$CZ$32,28,FALSE)*'Incremental Repayments'!$I$22)),0),0)</f>
        <v>0</v>
      </c>
      <c r="CJ67" s="783">
        <f>IF('Incremental Repayments'!$R$22="Debt",IF(AND(CJ$4&gt;=$D67,CJ$4&lt;$D67+'Incremental Repayments'!$I$31),-PMT('Interest Rate'!$J$16,'Incremental Repayments'!$I$31,(HLOOKUP($D67,$E$4:$CZ$32,28,FALSE)*'Incremental Repayments'!$I$22)),0),0)</f>
        <v>0</v>
      </c>
      <c r="CK67" s="783">
        <f>IF('Incremental Repayments'!$R$22="Debt",IF(AND(CK$4&gt;=$D67,CK$4&lt;$D67+'Incremental Repayments'!$I$31),-PMT('Interest Rate'!$J$16,'Incremental Repayments'!$I$31,(HLOOKUP($D67,$E$4:$CZ$32,28,FALSE)*'Incremental Repayments'!$I$22)),0),0)</f>
        <v>0</v>
      </c>
      <c r="CL67" s="783">
        <f>IF('Incremental Repayments'!$R$22="Debt",IF(AND(CL$4&gt;=$D67,CL$4&lt;$D67+'Incremental Repayments'!$I$31),-PMT('Interest Rate'!$J$16,'Incremental Repayments'!$I$31,(HLOOKUP($D67,$E$4:$CZ$32,28,FALSE)*'Incremental Repayments'!$I$22)),0),0)</f>
        <v>0</v>
      </c>
      <c r="CM67" s="783">
        <f>IF('Incremental Repayments'!$R$22="Debt",IF(AND(CM$4&gt;=$D67,CM$4&lt;$D67+'Incremental Repayments'!$I$31),-PMT('Interest Rate'!$J$16,'Incremental Repayments'!$I$31,(HLOOKUP($D67,$E$4:$CZ$32,28,FALSE)*'Incremental Repayments'!$I$22)),0),0)</f>
        <v>0</v>
      </c>
      <c r="CN67" s="783">
        <f>IF('Incremental Repayments'!$R$22="Debt",IF(AND(CN$4&gt;=$D67,CN$4&lt;$D67+'Incremental Repayments'!$I$31),-PMT('Interest Rate'!$J$16,'Incremental Repayments'!$I$31,(HLOOKUP($D67,$E$4:$CZ$32,28,FALSE)*'Incremental Repayments'!$I$22)),0),0)</f>
        <v>0</v>
      </c>
      <c r="CO67" s="783">
        <f>IF('Incremental Repayments'!$R$22="Debt",IF(AND(CO$4&gt;=$D67,CO$4&lt;$D67+'Incremental Repayments'!$I$31),-PMT('Interest Rate'!$J$16,'Incremental Repayments'!$I$31,(HLOOKUP($D67,$E$4:$CZ$32,28,FALSE)*'Incremental Repayments'!$I$22)),0),0)</f>
        <v>0</v>
      </c>
      <c r="CP67" s="783">
        <f>IF('Incremental Repayments'!$R$22="Debt",IF(AND(CP$4&gt;=$D67,CP$4&lt;$D67+'Incremental Repayments'!$I$31),-PMT('Interest Rate'!$J$16,'Incremental Repayments'!$I$31,(HLOOKUP($D67,$E$4:$CZ$32,28,FALSE)*'Incremental Repayments'!$I$22)),0),0)</f>
        <v>0</v>
      </c>
      <c r="CQ67" s="783">
        <f>IF('Incremental Repayments'!$R$22="Debt",IF(AND(CQ$4&gt;=$D67,CQ$4&lt;$D67+'Incremental Repayments'!$I$31),-PMT('Interest Rate'!$J$16,'Incremental Repayments'!$I$31,(HLOOKUP($D67,$E$4:$CZ$32,28,FALSE)*'Incremental Repayments'!$I$22)),0),0)</f>
        <v>0</v>
      </c>
      <c r="CR67" s="783">
        <f>IF('Incremental Repayments'!$R$22="Debt",IF(AND(CR$4&gt;=$D67,CR$4&lt;$D67+'Incremental Repayments'!$I$31),-PMT('Interest Rate'!$J$16,'Incremental Repayments'!$I$31,(HLOOKUP($D67,$E$4:$CZ$32,28,FALSE)*'Incremental Repayments'!$I$22)),0),0)</f>
        <v>0</v>
      </c>
      <c r="CS67" s="783">
        <f>IF('Incremental Repayments'!$R$22="Debt",IF(AND(CS$4&gt;=$D67,CS$4&lt;$D67+'Incremental Repayments'!$I$31),-PMT('Interest Rate'!$J$16,'Incremental Repayments'!$I$31,(HLOOKUP($D67,$E$4:$CZ$32,28,FALSE)*'Incremental Repayments'!$I$22)),0),0)</f>
        <v>0</v>
      </c>
      <c r="CT67" s="783">
        <f>IF('Incremental Repayments'!$R$22="Debt",IF(AND(CT$4&gt;=$D67,CT$4&lt;$D67+'Incremental Repayments'!$I$31),-PMT('Interest Rate'!$J$16,'Incremental Repayments'!$I$31,(HLOOKUP($D67,$E$4:$CZ$32,28,FALSE)*'Incremental Repayments'!$I$22)),0),0)</f>
        <v>0</v>
      </c>
      <c r="CU67" s="783">
        <f>IF('Incremental Repayments'!$R$22="Debt",IF(AND(CU$4&gt;=$D67,CU$4&lt;$D67+'Incremental Repayments'!$I$31),-PMT('Interest Rate'!$J$16,'Incremental Repayments'!$I$31,(HLOOKUP($D67,$E$4:$CZ$32,28,FALSE)*'Incremental Repayments'!$I$22)),0),0)</f>
        <v>0</v>
      </c>
      <c r="CV67" s="783">
        <f>IF('Incremental Repayments'!$R$22="Debt",IF(AND(CV$4&gt;=$D67,CV$4&lt;$D67+'Incremental Repayments'!$I$31),-PMT('Interest Rate'!$J$16,'Incremental Repayments'!$I$31,(HLOOKUP($D67,$E$4:$CZ$32,28,FALSE)*'Incremental Repayments'!$I$22)),0),0)</f>
        <v>0</v>
      </c>
      <c r="CW67" s="783">
        <f>IF('Incremental Repayments'!$R$22="Debt",IF(AND(CW$4&gt;=$D67,CW$4&lt;$D67+'Incremental Repayments'!$I$31),-PMT('Interest Rate'!$J$16,'Incremental Repayments'!$I$31,(HLOOKUP($D67,$E$4:$CZ$32,28,FALSE)*'Incremental Repayments'!$I$22)),0),0)</f>
        <v>0</v>
      </c>
      <c r="CX67" s="783">
        <f>IF('Incremental Repayments'!$R$22="Debt",IF(AND(CX$4&gt;=$D67,CX$4&lt;$D67+'Incremental Repayments'!$I$31),-PMT('Interest Rate'!$J$16,'Incremental Repayments'!$I$31,(HLOOKUP($D67,$E$4:$CZ$32,28,FALSE)*'Incremental Repayments'!$I$22)),0),0)</f>
        <v>0</v>
      </c>
      <c r="CY67" s="783">
        <f>IF('Incremental Repayments'!$R$22="Debt",IF(AND(CY$4&gt;=$D67,CY$4&lt;$D67+'Incremental Repayments'!$I$31),-PMT('Interest Rate'!$J$16,'Incremental Repayments'!$I$31,(HLOOKUP($D67,$E$4:$CZ$32,28,FALSE)*'Incremental Repayments'!$I$22)),0),0)</f>
        <v>0</v>
      </c>
      <c r="CZ67" s="783">
        <f>IF('Incremental Repayments'!$R$22="Debt",IF(AND(CZ$4&gt;=$D67,CZ$4&lt;$D67+'Incremental Repayments'!$I$31),-PMT('Interest Rate'!$J$16,'Incremental Repayments'!$I$31,(HLOOKUP($D67,$E$4:$CZ$32,28,FALSE)*'Incremental Repayments'!$I$22)),0),0)</f>
        <v>0</v>
      </c>
    </row>
    <row r="68" spans="2:104" x14ac:dyDescent="0.25">
      <c r="B68" s="480" t="str">
        <f>CONCATENATE("Series ",D68,"A Bonds (at ",'Interest Rate'!$J$16*100,"% Interest)")</f>
        <v>Series 2046A Bonds (at 4.5% Interest)</v>
      </c>
      <c r="C68" s="480"/>
      <c r="D68" s="492">
        <f t="shared" si="47"/>
        <v>2046</v>
      </c>
      <c r="E68" s="783">
        <f>IF('Incremental Repayments'!$R$22="Debt",IF(AND(E$4&gt;=$D68,E$4&lt;$D68+'Incremental Repayments'!$I$31),-PMT('Interest Rate'!$J$16,'Incremental Repayments'!$I$31,(HLOOKUP($D68,$E$4:$CZ$32,28,FALSE)*'Incremental Repayments'!$I$22)),0),0)</f>
        <v>0</v>
      </c>
      <c r="F68" s="783">
        <f>IF('Incremental Repayments'!$R$22="Debt",IF(AND(F$4&gt;=$D68,F$4&lt;$D68+'Incremental Repayments'!$I$31),-PMT('Interest Rate'!$J$16,'Incremental Repayments'!$I$31,(HLOOKUP($D68,$E$4:$CZ$32,28,FALSE)*'Incremental Repayments'!$I$22)),0),0)</f>
        <v>0</v>
      </c>
      <c r="G68" s="783">
        <f>IF('Incremental Repayments'!$R$22="Debt",IF(AND(G$4&gt;=$D68,G$4&lt;$D68+'Incremental Repayments'!$I$31),-PMT('Interest Rate'!$J$16,'Incremental Repayments'!$I$31,(HLOOKUP($D68,$E$4:$CZ$32,28,FALSE)*'Incremental Repayments'!$I$22)),0),0)</f>
        <v>0</v>
      </c>
      <c r="H68" s="783">
        <f>IF('Incremental Repayments'!$R$22="Debt",IF(AND(H$4&gt;=$D68,H$4&lt;$D68+'Incremental Repayments'!$I$31),-PMT('Interest Rate'!$J$16,'Incremental Repayments'!$I$31,(HLOOKUP($D68,$E$4:$CZ$32,28,FALSE)*'Incremental Repayments'!$I$22)),0),0)</f>
        <v>0</v>
      </c>
      <c r="I68" s="783">
        <f>IF('Incremental Repayments'!$R$22="Debt",IF(AND(I$4&gt;=$D68,I$4&lt;$D68+'Incremental Repayments'!$I$31),-PMT('Interest Rate'!$J$16,'Incremental Repayments'!$I$31,(HLOOKUP($D68,$E$4:$CZ$32,28,FALSE)*'Incremental Repayments'!$I$22)),0),0)</f>
        <v>0</v>
      </c>
      <c r="J68" s="783">
        <f>IF('Incremental Repayments'!$R$22="Debt",IF(AND(J$4&gt;=$D68,J$4&lt;$D68+'Incremental Repayments'!$I$31),-PMT('Interest Rate'!$J$16,'Incremental Repayments'!$I$31,(HLOOKUP($D68,$E$4:$CZ$32,28,FALSE)*'Incremental Repayments'!$I$22)),0),0)</f>
        <v>0</v>
      </c>
      <c r="K68" s="783">
        <f>IF('Incremental Repayments'!$R$22="Debt",IF(AND(K$4&gt;=$D68,K$4&lt;$D68+'Incremental Repayments'!$I$31),-PMT('Interest Rate'!$J$16,'Incremental Repayments'!$I$31,(HLOOKUP($D68,$E$4:$CZ$32,28,FALSE)*'Incremental Repayments'!$I$22)),0),0)</f>
        <v>0</v>
      </c>
      <c r="L68" s="783">
        <f>IF('Incremental Repayments'!$R$22="Debt",IF(AND(L$4&gt;=$D68,L$4&lt;$D68+'Incremental Repayments'!$I$31),-PMT('Interest Rate'!$J$16,'Incremental Repayments'!$I$31,(HLOOKUP($D68,$E$4:$CZ$32,28,FALSE)*'Incremental Repayments'!$I$22)),0),0)</f>
        <v>0</v>
      </c>
      <c r="M68" s="783">
        <f>IF('Incremental Repayments'!$R$22="Debt",IF(AND(M$4&gt;=$D68,M$4&lt;$D68+'Incremental Repayments'!$I$31),-PMT('Interest Rate'!$J$16,'Incremental Repayments'!$I$31,(HLOOKUP($D68,$E$4:$CZ$32,28,FALSE)*'Incremental Repayments'!$I$22)),0),0)</f>
        <v>0</v>
      </c>
      <c r="N68" s="783">
        <f>IF('Incremental Repayments'!$R$22="Debt",IF(AND(N$4&gt;=$D68,N$4&lt;$D68+'Incremental Repayments'!$I$31),-PMT('Interest Rate'!$J$16,'Incremental Repayments'!$I$31,(HLOOKUP($D68,$E$4:$CZ$32,28,FALSE)*'Incremental Repayments'!$I$22)),0),0)</f>
        <v>0</v>
      </c>
      <c r="O68" s="783">
        <f>IF('Incremental Repayments'!$R$22="Debt",IF(AND(O$4&gt;=$D68,O$4&lt;$D68+'Incremental Repayments'!$I$31),-PMT('Interest Rate'!$J$16,'Incremental Repayments'!$I$31,(HLOOKUP($D68,$E$4:$CZ$32,28,FALSE)*'Incremental Repayments'!$I$22)),0),0)</f>
        <v>0</v>
      </c>
      <c r="P68" s="783">
        <f>IF('Incremental Repayments'!$R$22="Debt",IF(AND(P$4&gt;=$D68,P$4&lt;$D68+'Incremental Repayments'!$I$31),-PMT('Interest Rate'!$J$16,'Incremental Repayments'!$I$31,(HLOOKUP($D68,$E$4:$CZ$32,28,FALSE)*'Incremental Repayments'!$I$22)),0),0)</f>
        <v>0</v>
      </c>
      <c r="Q68" s="783">
        <f>IF('Incremental Repayments'!$R$22="Debt",IF(AND(Q$4&gt;=$D68,Q$4&lt;$D68+'Incremental Repayments'!$I$31),-PMT('Interest Rate'!$J$16,'Incremental Repayments'!$I$31,(HLOOKUP($D68,$E$4:$CZ$32,28,FALSE)*'Incremental Repayments'!$I$22)),0),0)</f>
        <v>0</v>
      </c>
      <c r="R68" s="783">
        <f>IF('Incremental Repayments'!$R$22="Debt",IF(AND(R$4&gt;=$D68,R$4&lt;$D68+'Incremental Repayments'!$I$31),-PMT('Interest Rate'!$J$16,'Incremental Repayments'!$I$31,(HLOOKUP($D68,$E$4:$CZ$32,28,FALSE)*'Incremental Repayments'!$I$22)),0),0)</f>
        <v>0</v>
      </c>
      <c r="S68" s="783">
        <f>IF('Incremental Repayments'!$R$22="Debt",IF(AND(S$4&gt;=$D68,S$4&lt;$D68+'Incremental Repayments'!$I$31),-PMT('Interest Rate'!$J$16,'Incremental Repayments'!$I$31,(HLOOKUP($D68,$E$4:$CZ$32,28,FALSE)*'Incremental Repayments'!$I$22)),0),0)</f>
        <v>0</v>
      </c>
      <c r="T68" s="783">
        <f>IF('Incremental Repayments'!$R$22="Debt",IF(AND(T$4&gt;=$D68,T$4&lt;$D68+'Incremental Repayments'!$I$31),-PMT('Interest Rate'!$J$16,'Incremental Repayments'!$I$31,(HLOOKUP($D68,$E$4:$CZ$32,28,FALSE)*'Incremental Repayments'!$I$22)),0),0)</f>
        <v>0</v>
      </c>
      <c r="U68" s="783">
        <f>IF('Incremental Repayments'!$R$22="Debt",IF(AND(U$4&gt;=$D68,U$4&lt;$D68+'Incremental Repayments'!$I$31),-PMT('Interest Rate'!$J$16,'Incremental Repayments'!$I$31,(HLOOKUP($D68,$E$4:$CZ$32,28,FALSE)*'Incremental Repayments'!$I$22)),0),0)</f>
        <v>0</v>
      </c>
      <c r="V68" s="783">
        <f>IF('Incremental Repayments'!$R$22="Debt",IF(AND(V$4&gt;=$D68,V$4&lt;$D68+'Incremental Repayments'!$I$31),-PMT('Interest Rate'!$J$16,'Incremental Repayments'!$I$31,(HLOOKUP($D68,$E$4:$CZ$32,28,FALSE)*'Incremental Repayments'!$I$22)),0),0)</f>
        <v>0</v>
      </c>
      <c r="W68" s="783">
        <f>IF('Incremental Repayments'!$R$22="Debt",IF(AND(W$4&gt;=$D68,W$4&lt;$D68+'Incremental Repayments'!$I$31),-PMT('Interest Rate'!$J$16,'Incremental Repayments'!$I$31,(HLOOKUP($D68,$E$4:$CZ$32,28,FALSE)*'Incremental Repayments'!$I$22)),0),0)</f>
        <v>0</v>
      </c>
      <c r="X68" s="783">
        <f>IF('Incremental Repayments'!$R$22="Debt",IF(AND(X$4&gt;=$D68,X$4&lt;$D68+'Incremental Repayments'!$I$31),-PMT('Interest Rate'!$J$16,'Incremental Repayments'!$I$31,(HLOOKUP($D68,$E$4:$CZ$32,28,FALSE)*'Incremental Repayments'!$I$22)),0),0)</f>
        <v>0</v>
      </c>
      <c r="Y68" s="783">
        <f>IF('Incremental Repayments'!$R$22="Debt",IF(AND(Y$4&gt;=$D68,Y$4&lt;$D68+'Incremental Repayments'!$I$31),-PMT('Interest Rate'!$J$16,'Incremental Repayments'!$I$31,(HLOOKUP($D68,$E$4:$CZ$32,28,FALSE)*'Incremental Repayments'!$I$22)),0),0)</f>
        <v>0</v>
      </c>
      <c r="Z68" s="783">
        <f>IF('Incremental Repayments'!$R$22="Debt",IF(AND(Z$4&gt;=$D68,Z$4&lt;$D68+'Incremental Repayments'!$I$31),-PMT('Interest Rate'!$J$16,'Incremental Repayments'!$I$31,(HLOOKUP($D68,$E$4:$CZ$32,28,FALSE)*'Incremental Repayments'!$I$22)),0),0)</f>
        <v>0</v>
      </c>
      <c r="AA68" s="783">
        <f>IF('Incremental Repayments'!$R$22="Debt",IF(AND(AA$4&gt;=$D68,AA$4&lt;$D68+'Incremental Repayments'!$I$31),-PMT('Interest Rate'!$J$16,'Incremental Repayments'!$I$31,(HLOOKUP($D68,$E$4:$CZ$32,28,FALSE)*'Incremental Repayments'!$I$22)),0),0)</f>
        <v>0</v>
      </c>
      <c r="AB68" s="783">
        <f>IF('Incremental Repayments'!$R$22="Debt",IF(AND(AB$4&gt;=$D68,AB$4&lt;$D68+'Incremental Repayments'!$I$31),-PMT('Interest Rate'!$J$16,'Incremental Repayments'!$I$31,(HLOOKUP($D68,$E$4:$CZ$32,28,FALSE)*'Incremental Repayments'!$I$22)),0),0)</f>
        <v>0</v>
      </c>
      <c r="AC68" s="783">
        <f>IF('Incremental Repayments'!$R$22="Debt",IF(AND(AC$4&gt;=$D68,AC$4&lt;$D68+'Incremental Repayments'!$I$31),-PMT('Interest Rate'!$J$16,'Incremental Repayments'!$I$31,(HLOOKUP($D68,$E$4:$CZ$32,28,FALSE)*'Incremental Repayments'!$I$22)),0),0)</f>
        <v>0</v>
      </c>
      <c r="AD68" s="783">
        <f>IF('Incremental Repayments'!$R$22="Debt",IF(AND(AD$4&gt;=$D68,AD$4&lt;$D68+'Incremental Repayments'!$I$31),-PMT('Interest Rate'!$J$16,'Incremental Repayments'!$I$31,(HLOOKUP($D68,$E$4:$CZ$32,28,FALSE)*'Incremental Repayments'!$I$22)),0),0)</f>
        <v>0</v>
      </c>
      <c r="AE68" s="783">
        <f>IF('Incremental Repayments'!$R$22="Debt",IF(AND(AE$4&gt;=$D68,AE$4&lt;$D68+'Incremental Repayments'!$I$31),-PMT('Interest Rate'!$J$16,'Incremental Repayments'!$I$31,(HLOOKUP($D68,$E$4:$CZ$32,28,FALSE)*'Incremental Repayments'!$I$22)),0),0)</f>
        <v>0</v>
      </c>
      <c r="AF68" s="783">
        <f>IF('Incremental Repayments'!$R$22="Debt",IF(AND(AF$4&gt;=$D68,AF$4&lt;$D68+'Incremental Repayments'!$I$31),-PMT('Interest Rate'!$J$16,'Incremental Repayments'!$I$31,(HLOOKUP($D68,$E$4:$CZ$32,28,FALSE)*'Incremental Repayments'!$I$22)),0),0)</f>
        <v>0</v>
      </c>
      <c r="AG68" s="783">
        <f>IF('Incremental Repayments'!$R$22="Debt",IF(AND(AG$4&gt;=$D68,AG$4&lt;$D68+'Incremental Repayments'!$I$31),-PMT('Interest Rate'!$J$16,'Incremental Repayments'!$I$31,(HLOOKUP($D68,$E$4:$CZ$32,28,FALSE)*'Incremental Repayments'!$I$22)),0),0)</f>
        <v>0</v>
      </c>
      <c r="AH68" s="783">
        <f>IF('Incremental Repayments'!$R$22="Debt",IF(AND(AH$4&gt;=$D68,AH$4&lt;$D68+'Incremental Repayments'!$I$31),-PMT('Interest Rate'!$J$16,'Incremental Repayments'!$I$31,(HLOOKUP($D68,$E$4:$CZ$32,28,FALSE)*'Incremental Repayments'!$I$22)),0),0)</f>
        <v>0</v>
      </c>
      <c r="AI68" s="783">
        <f>IF('Incremental Repayments'!$R$22="Debt",IF(AND(AI$4&gt;=$D68,AI$4&lt;$D68+'Incremental Repayments'!$I$31),-PMT('Interest Rate'!$J$16,'Incremental Repayments'!$I$31,(HLOOKUP($D68,$E$4:$CZ$32,28,FALSE)*'Incremental Repayments'!$I$22)),0),0)</f>
        <v>0</v>
      </c>
      <c r="AJ68" s="783">
        <f>IF('Incremental Repayments'!$R$22="Debt",IF(AND(AJ$4&gt;=$D68,AJ$4&lt;$D68+'Incremental Repayments'!$I$31),-PMT('Interest Rate'!$J$16,'Incremental Repayments'!$I$31,(HLOOKUP($D68,$E$4:$CZ$32,28,FALSE)*'Incremental Repayments'!$I$22)),0),0)</f>
        <v>0</v>
      </c>
      <c r="AK68" s="783">
        <f>IF('Incremental Repayments'!$R$22="Debt",IF(AND(AK$4&gt;=$D68,AK$4&lt;$D68+'Incremental Repayments'!$I$31),-PMT('Interest Rate'!$J$16,'Incremental Repayments'!$I$31,(HLOOKUP($D68,$E$4:$CZ$32,28,FALSE)*'Incremental Repayments'!$I$22)),0),0)</f>
        <v>2697783.707465773</v>
      </c>
      <c r="AL68" s="783">
        <f>IF('Incremental Repayments'!$R$22="Debt",IF(AND(AL$4&gt;=$D68,AL$4&lt;$D68+'Incremental Repayments'!$I$31),-PMT('Interest Rate'!$J$16,'Incremental Repayments'!$I$31,(HLOOKUP($D68,$E$4:$CZ$32,28,FALSE)*'Incremental Repayments'!$I$22)),0),0)</f>
        <v>2697783.707465773</v>
      </c>
      <c r="AM68" s="783">
        <f>IF('Incremental Repayments'!$R$22="Debt",IF(AND(AM$4&gt;=$D68,AM$4&lt;$D68+'Incremental Repayments'!$I$31),-PMT('Interest Rate'!$J$16,'Incremental Repayments'!$I$31,(HLOOKUP($D68,$E$4:$CZ$32,28,FALSE)*'Incremental Repayments'!$I$22)),0),0)</f>
        <v>2697783.707465773</v>
      </c>
      <c r="AN68" s="783">
        <f>IF('Incremental Repayments'!$R$22="Debt",IF(AND(AN$4&gt;=$D68,AN$4&lt;$D68+'Incremental Repayments'!$I$31),-PMT('Interest Rate'!$J$16,'Incremental Repayments'!$I$31,(HLOOKUP($D68,$E$4:$CZ$32,28,FALSE)*'Incremental Repayments'!$I$22)),0),0)</f>
        <v>2697783.707465773</v>
      </c>
      <c r="AO68" s="783">
        <f>IF('Incremental Repayments'!$R$22="Debt",IF(AND(AO$4&gt;=$D68,AO$4&lt;$D68+'Incremental Repayments'!$I$31),-PMT('Interest Rate'!$J$16,'Incremental Repayments'!$I$31,(HLOOKUP($D68,$E$4:$CZ$32,28,FALSE)*'Incremental Repayments'!$I$22)),0),0)</f>
        <v>2697783.707465773</v>
      </c>
      <c r="AP68" s="783">
        <f>IF('Incremental Repayments'!$R$22="Debt",IF(AND(AP$4&gt;=$D68,AP$4&lt;$D68+'Incremental Repayments'!$I$31),-PMT('Interest Rate'!$J$16,'Incremental Repayments'!$I$31,(HLOOKUP($D68,$E$4:$CZ$32,28,FALSE)*'Incremental Repayments'!$I$22)),0),0)</f>
        <v>2697783.707465773</v>
      </c>
      <c r="AQ68" s="783">
        <f>IF('Incremental Repayments'!$R$22="Debt",IF(AND(AQ$4&gt;=$D68,AQ$4&lt;$D68+'Incremental Repayments'!$I$31),-PMT('Interest Rate'!$J$16,'Incremental Repayments'!$I$31,(HLOOKUP($D68,$E$4:$CZ$32,28,FALSE)*'Incremental Repayments'!$I$22)),0),0)</f>
        <v>2697783.707465773</v>
      </c>
      <c r="AR68" s="783">
        <f>IF('Incremental Repayments'!$R$22="Debt",IF(AND(AR$4&gt;=$D68,AR$4&lt;$D68+'Incremental Repayments'!$I$31),-PMT('Interest Rate'!$J$16,'Incremental Repayments'!$I$31,(HLOOKUP($D68,$E$4:$CZ$32,28,FALSE)*'Incremental Repayments'!$I$22)),0),0)</f>
        <v>2697783.707465773</v>
      </c>
      <c r="AS68" s="783">
        <f>IF('Incremental Repayments'!$R$22="Debt",IF(AND(AS$4&gt;=$D68,AS$4&lt;$D68+'Incremental Repayments'!$I$31),-PMT('Interest Rate'!$J$16,'Incremental Repayments'!$I$31,(HLOOKUP($D68,$E$4:$CZ$32,28,FALSE)*'Incremental Repayments'!$I$22)),0),0)</f>
        <v>2697783.707465773</v>
      </c>
      <c r="AT68" s="783">
        <f>IF('Incremental Repayments'!$R$22="Debt",IF(AND(AT$4&gt;=$D68,AT$4&lt;$D68+'Incremental Repayments'!$I$31),-PMT('Interest Rate'!$J$16,'Incremental Repayments'!$I$31,(HLOOKUP($D68,$E$4:$CZ$32,28,FALSE)*'Incremental Repayments'!$I$22)),0),0)</f>
        <v>2697783.707465773</v>
      </c>
      <c r="AU68" s="783">
        <f>IF('Incremental Repayments'!$R$22="Debt",IF(AND(AU$4&gt;=$D68,AU$4&lt;$D68+'Incremental Repayments'!$I$31),-PMT('Interest Rate'!$J$16,'Incremental Repayments'!$I$31,(HLOOKUP($D68,$E$4:$CZ$32,28,FALSE)*'Incremental Repayments'!$I$22)),0),0)</f>
        <v>2697783.707465773</v>
      </c>
      <c r="AV68" s="783">
        <f>IF('Incremental Repayments'!$R$22="Debt",IF(AND(AV$4&gt;=$D68,AV$4&lt;$D68+'Incremental Repayments'!$I$31),-PMT('Interest Rate'!$J$16,'Incremental Repayments'!$I$31,(HLOOKUP($D68,$E$4:$CZ$32,28,FALSE)*'Incremental Repayments'!$I$22)),0),0)</f>
        <v>2697783.707465773</v>
      </c>
      <c r="AW68" s="783">
        <f>IF('Incremental Repayments'!$R$22="Debt",IF(AND(AW$4&gt;=$D68,AW$4&lt;$D68+'Incremental Repayments'!$I$31),-PMT('Interest Rate'!$J$16,'Incremental Repayments'!$I$31,(HLOOKUP($D68,$E$4:$CZ$32,28,FALSE)*'Incremental Repayments'!$I$22)),0),0)</f>
        <v>2697783.707465773</v>
      </c>
      <c r="AX68" s="783">
        <f>IF('Incremental Repayments'!$R$22="Debt",IF(AND(AX$4&gt;=$D68,AX$4&lt;$D68+'Incremental Repayments'!$I$31),-PMT('Interest Rate'!$J$16,'Incremental Repayments'!$I$31,(HLOOKUP($D68,$E$4:$CZ$32,28,FALSE)*'Incremental Repayments'!$I$22)),0),0)</f>
        <v>2697783.707465773</v>
      </c>
      <c r="AY68" s="783">
        <f>IF('Incremental Repayments'!$R$22="Debt",IF(AND(AY$4&gt;=$D68,AY$4&lt;$D68+'Incremental Repayments'!$I$31),-PMT('Interest Rate'!$J$16,'Incremental Repayments'!$I$31,(HLOOKUP($D68,$E$4:$CZ$32,28,FALSE)*'Incremental Repayments'!$I$22)),0),0)</f>
        <v>2697783.707465773</v>
      </c>
      <c r="AZ68" s="783">
        <f>IF('Incremental Repayments'!$R$22="Debt",IF(AND(AZ$4&gt;=$D68,AZ$4&lt;$D68+'Incremental Repayments'!$I$31),-PMT('Interest Rate'!$J$16,'Incremental Repayments'!$I$31,(HLOOKUP($D68,$E$4:$CZ$32,28,FALSE)*'Incremental Repayments'!$I$22)),0),0)</f>
        <v>2697783.707465773</v>
      </c>
      <c r="BA68" s="783">
        <f>IF('Incremental Repayments'!$R$22="Debt",IF(AND(BA$4&gt;=$D68,BA$4&lt;$D68+'Incremental Repayments'!$I$31),-PMT('Interest Rate'!$J$16,'Incremental Repayments'!$I$31,(HLOOKUP($D68,$E$4:$CZ$32,28,FALSE)*'Incremental Repayments'!$I$22)),0),0)</f>
        <v>2697783.707465773</v>
      </c>
      <c r="BB68" s="783">
        <f>IF('Incremental Repayments'!$R$22="Debt",IF(AND(BB$4&gt;=$D68,BB$4&lt;$D68+'Incremental Repayments'!$I$31),-PMT('Interest Rate'!$J$16,'Incremental Repayments'!$I$31,(HLOOKUP($D68,$E$4:$CZ$32,28,FALSE)*'Incremental Repayments'!$I$22)),0),0)</f>
        <v>2697783.707465773</v>
      </c>
      <c r="BC68" s="783">
        <f>IF('Incremental Repayments'!$R$22="Debt",IF(AND(BC$4&gt;=$D68,BC$4&lt;$D68+'Incremental Repayments'!$I$31),-PMT('Interest Rate'!$J$16,'Incremental Repayments'!$I$31,(HLOOKUP($D68,$E$4:$CZ$32,28,FALSE)*'Incremental Repayments'!$I$22)),0),0)</f>
        <v>2697783.707465773</v>
      </c>
      <c r="BD68" s="783">
        <f>IF('Incremental Repayments'!$R$22="Debt",IF(AND(BD$4&gt;=$D68,BD$4&lt;$D68+'Incremental Repayments'!$I$31),-PMT('Interest Rate'!$J$16,'Incremental Repayments'!$I$31,(HLOOKUP($D68,$E$4:$CZ$32,28,FALSE)*'Incremental Repayments'!$I$22)),0),0)</f>
        <v>2697783.707465773</v>
      </c>
      <c r="BE68" s="783">
        <f>IF('Incremental Repayments'!$R$22="Debt",IF(AND(BE$4&gt;=$D68,BE$4&lt;$D68+'Incremental Repayments'!$I$31),-PMT('Interest Rate'!$J$16,'Incremental Repayments'!$I$31,(HLOOKUP($D68,$E$4:$CZ$32,28,FALSE)*'Incremental Repayments'!$I$22)),0),0)</f>
        <v>2697783.707465773</v>
      </c>
      <c r="BF68" s="783">
        <f>IF('Incremental Repayments'!$R$22="Debt",IF(AND(BF$4&gt;=$D68,BF$4&lt;$D68+'Incremental Repayments'!$I$31),-PMT('Interest Rate'!$J$16,'Incremental Repayments'!$I$31,(HLOOKUP($D68,$E$4:$CZ$32,28,FALSE)*'Incremental Repayments'!$I$22)),0),0)</f>
        <v>2697783.707465773</v>
      </c>
      <c r="BG68" s="783">
        <f>IF('Incremental Repayments'!$R$22="Debt",IF(AND(BG$4&gt;=$D68,BG$4&lt;$D68+'Incremental Repayments'!$I$31),-PMT('Interest Rate'!$J$16,'Incremental Repayments'!$I$31,(HLOOKUP($D68,$E$4:$CZ$32,28,FALSE)*'Incremental Repayments'!$I$22)),0),0)</f>
        <v>2697783.707465773</v>
      </c>
      <c r="BH68" s="783">
        <f>IF('Incremental Repayments'!$R$22="Debt",IF(AND(BH$4&gt;=$D68,BH$4&lt;$D68+'Incremental Repayments'!$I$31),-PMT('Interest Rate'!$J$16,'Incremental Repayments'!$I$31,(HLOOKUP($D68,$E$4:$CZ$32,28,FALSE)*'Incremental Repayments'!$I$22)),0),0)</f>
        <v>2697783.707465773</v>
      </c>
      <c r="BI68" s="783">
        <f>IF('Incremental Repayments'!$R$22="Debt",IF(AND(BI$4&gt;=$D68,BI$4&lt;$D68+'Incremental Repayments'!$I$31),-PMT('Interest Rate'!$J$16,'Incremental Repayments'!$I$31,(HLOOKUP($D68,$E$4:$CZ$32,28,FALSE)*'Incremental Repayments'!$I$22)),0),0)</f>
        <v>2697783.707465773</v>
      </c>
      <c r="BJ68" s="783">
        <f>IF('Incremental Repayments'!$R$22="Debt",IF(AND(BJ$4&gt;=$D68,BJ$4&lt;$D68+'Incremental Repayments'!$I$31),-PMT('Interest Rate'!$J$16,'Incremental Repayments'!$I$31,(HLOOKUP($D68,$E$4:$CZ$32,28,FALSE)*'Incremental Repayments'!$I$22)),0),0)</f>
        <v>2697783.707465773</v>
      </c>
      <c r="BK68" s="783">
        <f>IF('Incremental Repayments'!$R$22="Debt",IF(AND(BK$4&gt;=$D68,BK$4&lt;$D68+'Incremental Repayments'!$I$31),-PMT('Interest Rate'!$J$16,'Incremental Repayments'!$I$31,(HLOOKUP($D68,$E$4:$CZ$32,28,FALSE)*'Incremental Repayments'!$I$22)),0),0)</f>
        <v>2697783.707465773</v>
      </c>
      <c r="BL68" s="783">
        <f>IF('Incremental Repayments'!$R$22="Debt",IF(AND(BL$4&gt;=$D68,BL$4&lt;$D68+'Incremental Repayments'!$I$31),-PMT('Interest Rate'!$J$16,'Incremental Repayments'!$I$31,(HLOOKUP($D68,$E$4:$CZ$32,28,FALSE)*'Incremental Repayments'!$I$22)),0),0)</f>
        <v>2697783.707465773</v>
      </c>
      <c r="BM68" s="783">
        <f>IF('Incremental Repayments'!$R$22="Debt",IF(AND(BM$4&gt;=$D68,BM$4&lt;$D68+'Incremental Repayments'!$I$31),-PMT('Interest Rate'!$J$16,'Incremental Repayments'!$I$31,(HLOOKUP($D68,$E$4:$CZ$32,28,FALSE)*'Incremental Repayments'!$I$22)),0),0)</f>
        <v>2697783.707465773</v>
      </c>
      <c r="BN68" s="783">
        <f>IF('Incremental Repayments'!$R$22="Debt",IF(AND(BN$4&gt;=$D68,BN$4&lt;$D68+'Incremental Repayments'!$I$31),-PMT('Interest Rate'!$J$16,'Incremental Repayments'!$I$31,(HLOOKUP($D68,$E$4:$CZ$32,28,FALSE)*'Incremental Repayments'!$I$22)),0),0)</f>
        <v>2697783.707465773</v>
      </c>
      <c r="BO68" s="783">
        <f>IF('Incremental Repayments'!$R$22="Debt",IF(AND(BO$4&gt;=$D68,BO$4&lt;$D68+'Incremental Repayments'!$I$31),-PMT('Interest Rate'!$J$16,'Incremental Repayments'!$I$31,(HLOOKUP($D68,$E$4:$CZ$32,28,FALSE)*'Incremental Repayments'!$I$22)),0),0)</f>
        <v>0</v>
      </c>
      <c r="BP68" s="783">
        <f>IF('Incremental Repayments'!$R$22="Debt",IF(AND(BP$4&gt;=$D68,BP$4&lt;$D68+'Incremental Repayments'!$I$31),-PMT('Interest Rate'!$J$16,'Incremental Repayments'!$I$31,(HLOOKUP($D68,$E$4:$CZ$32,28,FALSE)*'Incremental Repayments'!$I$22)),0),0)</f>
        <v>0</v>
      </c>
      <c r="BQ68" s="783">
        <f>IF('Incremental Repayments'!$R$22="Debt",IF(AND(BQ$4&gt;=$D68,BQ$4&lt;$D68+'Incremental Repayments'!$I$31),-PMT('Interest Rate'!$J$16,'Incremental Repayments'!$I$31,(HLOOKUP($D68,$E$4:$CZ$32,28,FALSE)*'Incremental Repayments'!$I$22)),0),0)</f>
        <v>0</v>
      </c>
      <c r="BR68" s="783">
        <f>IF('Incremental Repayments'!$R$22="Debt",IF(AND(BR$4&gt;=$D68,BR$4&lt;$D68+'Incremental Repayments'!$I$31),-PMT('Interest Rate'!$J$16,'Incremental Repayments'!$I$31,(HLOOKUP($D68,$E$4:$CZ$32,28,FALSE)*'Incremental Repayments'!$I$22)),0),0)</f>
        <v>0</v>
      </c>
      <c r="BS68" s="783">
        <f>IF('Incremental Repayments'!$R$22="Debt",IF(AND(BS$4&gt;=$D68,BS$4&lt;$D68+'Incremental Repayments'!$I$31),-PMT('Interest Rate'!$J$16,'Incremental Repayments'!$I$31,(HLOOKUP($D68,$E$4:$CZ$32,28,FALSE)*'Incremental Repayments'!$I$22)),0),0)</f>
        <v>0</v>
      </c>
      <c r="BT68" s="783">
        <f>IF('Incremental Repayments'!$R$22="Debt",IF(AND(BT$4&gt;=$D68,BT$4&lt;$D68+'Incremental Repayments'!$I$31),-PMT('Interest Rate'!$J$16,'Incremental Repayments'!$I$31,(HLOOKUP($D68,$E$4:$CZ$32,28,FALSE)*'Incremental Repayments'!$I$22)),0),0)</f>
        <v>0</v>
      </c>
      <c r="BU68" s="783">
        <f>IF('Incremental Repayments'!$R$22="Debt",IF(AND(BU$4&gt;=$D68,BU$4&lt;$D68+'Incremental Repayments'!$I$31),-PMT('Interest Rate'!$J$16,'Incremental Repayments'!$I$31,(HLOOKUP($D68,$E$4:$CZ$32,28,FALSE)*'Incremental Repayments'!$I$22)),0),0)</f>
        <v>0</v>
      </c>
      <c r="BV68" s="783">
        <f>IF('Incremental Repayments'!$R$22="Debt",IF(AND(BV$4&gt;=$D68,BV$4&lt;$D68+'Incremental Repayments'!$I$31),-PMT('Interest Rate'!$J$16,'Incremental Repayments'!$I$31,(HLOOKUP($D68,$E$4:$CZ$32,28,FALSE)*'Incremental Repayments'!$I$22)),0),0)</f>
        <v>0</v>
      </c>
      <c r="BW68" s="783">
        <f>IF('Incremental Repayments'!$R$22="Debt",IF(AND(BW$4&gt;=$D68,BW$4&lt;$D68+'Incremental Repayments'!$I$31),-PMT('Interest Rate'!$J$16,'Incremental Repayments'!$I$31,(HLOOKUP($D68,$E$4:$CZ$32,28,FALSE)*'Incremental Repayments'!$I$22)),0),0)</f>
        <v>0</v>
      </c>
      <c r="BX68" s="783">
        <f>IF('Incremental Repayments'!$R$22="Debt",IF(AND(BX$4&gt;=$D68,BX$4&lt;$D68+'Incremental Repayments'!$I$31),-PMT('Interest Rate'!$J$16,'Incremental Repayments'!$I$31,(HLOOKUP($D68,$E$4:$CZ$32,28,FALSE)*'Incremental Repayments'!$I$22)),0),0)</f>
        <v>0</v>
      </c>
      <c r="BY68" s="783">
        <f>IF('Incremental Repayments'!$R$22="Debt",IF(AND(BY$4&gt;=$D68,BY$4&lt;$D68+'Incremental Repayments'!$I$31),-PMT('Interest Rate'!$J$16,'Incremental Repayments'!$I$31,(HLOOKUP($D68,$E$4:$CZ$32,28,FALSE)*'Incremental Repayments'!$I$22)),0),0)</f>
        <v>0</v>
      </c>
      <c r="BZ68" s="783">
        <f>IF('Incremental Repayments'!$R$22="Debt",IF(AND(BZ$4&gt;=$D68,BZ$4&lt;$D68+'Incremental Repayments'!$I$31),-PMT('Interest Rate'!$J$16,'Incremental Repayments'!$I$31,(HLOOKUP($D68,$E$4:$CZ$32,28,FALSE)*'Incremental Repayments'!$I$22)),0),0)</f>
        <v>0</v>
      </c>
      <c r="CA68" s="783">
        <f>IF('Incremental Repayments'!$R$22="Debt",IF(AND(CA$4&gt;=$D68,CA$4&lt;$D68+'Incremental Repayments'!$I$31),-PMT('Interest Rate'!$J$16,'Incremental Repayments'!$I$31,(HLOOKUP($D68,$E$4:$CZ$32,28,FALSE)*'Incremental Repayments'!$I$22)),0),0)</f>
        <v>0</v>
      </c>
      <c r="CB68" s="783">
        <f>IF('Incremental Repayments'!$R$22="Debt",IF(AND(CB$4&gt;=$D68,CB$4&lt;$D68+'Incremental Repayments'!$I$31),-PMT('Interest Rate'!$J$16,'Incremental Repayments'!$I$31,(HLOOKUP($D68,$E$4:$CZ$32,28,FALSE)*'Incremental Repayments'!$I$22)),0),0)</f>
        <v>0</v>
      </c>
      <c r="CC68" s="783">
        <f>IF('Incremental Repayments'!$R$22="Debt",IF(AND(CC$4&gt;=$D68,CC$4&lt;$D68+'Incremental Repayments'!$I$31),-PMT('Interest Rate'!$J$16,'Incremental Repayments'!$I$31,(HLOOKUP($D68,$E$4:$CZ$32,28,FALSE)*'Incremental Repayments'!$I$22)),0),0)</f>
        <v>0</v>
      </c>
      <c r="CD68" s="783">
        <f>IF('Incremental Repayments'!$R$22="Debt",IF(AND(CD$4&gt;=$D68,CD$4&lt;$D68+'Incremental Repayments'!$I$31),-PMT('Interest Rate'!$J$16,'Incremental Repayments'!$I$31,(HLOOKUP($D68,$E$4:$CZ$32,28,FALSE)*'Incremental Repayments'!$I$22)),0),0)</f>
        <v>0</v>
      </c>
      <c r="CE68" s="783">
        <f>IF('Incremental Repayments'!$R$22="Debt",IF(AND(CE$4&gt;=$D68,CE$4&lt;$D68+'Incremental Repayments'!$I$31),-PMT('Interest Rate'!$J$16,'Incremental Repayments'!$I$31,(HLOOKUP($D68,$E$4:$CZ$32,28,FALSE)*'Incremental Repayments'!$I$22)),0),0)</f>
        <v>0</v>
      </c>
      <c r="CF68" s="783">
        <f>IF('Incremental Repayments'!$R$22="Debt",IF(AND(CF$4&gt;=$D68,CF$4&lt;$D68+'Incremental Repayments'!$I$31),-PMT('Interest Rate'!$J$16,'Incremental Repayments'!$I$31,(HLOOKUP($D68,$E$4:$CZ$32,28,FALSE)*'Incremental Repayments'!$I$22)),0),0)</f>
        <v>0</v>
      </c>
      <c r="CG68" s="783">
        <f>IF('Incremental Repayments'!$R$22="Debt",IF(AND(CG$4&gt;=$D68,CG$4&lt;$D68+'Incremental Repayments'!$I$31),-PMT('Interest Rate'!$J$16,'Incremental Repayments'!$I$31,(HLOOKUP($D68,$E$4:$CZ$32,28,FALSE)*'Incremental Repayments'!$I$22)),0),0)</f>
        <v>0</v>
      </c>
      <c r="CH68" s="783">
        <f>IF('Incremental Repayments'!$R$22="Debt",IF(AND(CH$4&gt;=$D68,CH$4&lt;$D68+'Incremental Repayments'!$I$31),-PMT('Interest Rate'!$J$16,'Incremental Repayments'!$I$31,(HLOOKUP($D68,$E$4:$CZ$32,28,FALSE)*'Incremental Repayments'!$I$22)),0),0)</f>
        <v>0</v>
      </c>
      <c r="CI68" s="783">
        <f>IF('Incremental Repayments'!$R$22="Debt",IF(AND(CI$4&gt;=$D68,CI$4&lt;$D68+'Incremental Repayments'!$I$31),-PMT('Interest Rate'!$J$16,'Incremental Repayments'!$I$31,(HLOOKUP($D68,$E$4:$CZ$32,28,FALSE)*'Incremental Repayments'!$I$22)),0),0)</f>
        <v>0</v>
      </c>
      <c r="CJ68" s="783">
        <f>IF('Incremental Repayments'!$R$22="Debt",IF(AND(CJ$4&gt;=$D68,CJ$4&lt;$D68+'Incremental Repayments'!$I$31),-PMT('Interest Rate'!$J$16,'Incremental Repayments'!$I$31,(HLOOKUP($D68,$E$4:$CZ$32,28,FALSE)*'Incremental Repayments'!$I$22)),0),0)</f>
        <v>0</v>
      </c>
      <c r="CK68" s="783">
        <f>IF('Incremental Repayments'!$R$22="Debt",IF(AND(CK$4&gt;=$D68,CK$4&lt;$D68+'Incremental Repayments'!$I$31),-PMT('Interest Rate'!$J$16,'Incremental Repayments'!$I$31,(HLOOKUP($D68,$E$4:$CZ$32,28,FALSE)*'Incremental Repayments'!$I$22)),0),0)</f>
        <v>0</v>
      </c>
      <c r="CL68" s="783">
        <f>IF('Incremental Repayments'!$R$22="Debt",IF(AND(CL$4&gt;=$D68,CL$4&lt;$D68+'Incremental Repayments'!$I$31),-PMT('Interest Rate'!$J$16,'Incremental Repayments'!$I$31,(HLOOKUP($D68,$E$4:$CZ$32,28,FALSE)*'Incremental Repayments'!$I$22)),0),0)</f>
        <v>0</v>
      </c>
      <c r="CM68" s="783">
        <f>IF('Incremental Repayments'!$R$22="Debt",IF(AND(CM$4&gt;=$D68,CM$4&lt;$D68+'Incremental Repayments'!$I$31),-PMT('Interest Rate'!$J$16,'Incremental Repayments'!$I$31,(HLOOKUP($D68,$E$4:$CZ$32,28,FALSE)*'Incremental Repayments'!$I$22)),0),0)</f>
        <v>0</v>
      </c>
      <c r="CN68" s="783">
        <f>IF('Incremental Repayments'!$R$22="Debt",IF(AND(CN$4&gt;=$D68,CN$4&lt;$D68+'Incremental Repayments'!$I$31),-PMT('Interest Rate'!$J$16,'Incremental Repayments'!$I$31,(HLOOKUP($D68,$E$4:$CZ$32,28,FALSE)*'Incremental Repayments'!$I$22)),0),0)</f>
        <v>0</v>
      </c>
      <c r="CO68" s="783">
        <f>IF('Incremental Repayments'!$R$22="Debt",IF(AND(CO$4&gt;=$D68,CO$4&lt;$D68+'Incremental Repayments'!$I$31),-PMT('Interest Rate'!$J$16,'Incremental Repayments'!$I$31,(HLOOKUP($D68,$E$4:$CZ$32,28,FALSE)*'Incremental Repayments'!$I$22)),0),0)</f>
        <v>0</v>
      </c>
      <c r="CP68" s="783">
        <f>IF('Incremental Repayments'!$R$22="Debt",IF(AND(CP$4&gt;=$D68,CP$4&lt;$D68+'Incremental Repayments'!$I$31),-PMT('Interest Rate'!$J$16,'Incremental Repayments'!$I$31,(HLOOKUP($D68,$E$4:$CZ$32,28,FALSE)*'Incremental Repayments'!$I$22)),0),0)</f>
        <v>0</v>
      </c>
      <c r="CQ68" s="783">
        <f>IF('Incremental Repayments'!$R$22="Debt",IF(AND(CQ$4&gt;=$D68,CQ$4&lt;$D68+'Incremental Repayments'!$I$31),-PMT('Interest Rate'!$J$16,'Incremental Repayments'!$I$31,(HLOOKUP($D68,$E$4:$CZ$32,28,FALSE)*'Incremental Repayments'!$I$22)),0),0)</f>
        <v>0</v>
      </c>
      <c r="CR68" s="783">
        <f>IF('Incremental Repayments'!$R$22="Debt",IF(AND(CR$4&gt;=$D68,CR$4&lt;$D68+'Incremental Repayments'!$I$31),-PMT('Interest Rate'!$J$16,'Incremental Repayments'!$I$31,(HLOOKUP($D68,$E$4:$CZ$32,28,FALSE)*'Incremental Repayments'!$I$22)),0),0)</f>
        <v>0</v>
      </c>
      <c r="CS68" s="783">
        <f>IF('Incremental Repayments'!$R$22="Debt",IF(AND(CS$4&gt;=$D68,CS$4&lt;$D68+'Incremental Repayments'!$I$31),-PMT('Interest Rate'!$J$16,'Incremental Repayments'!$I$31,(HLOOKUP($D68,$E$4:$CZ$32,28,FALSE)*'Incremental Repayments'!$I$22)),0),0)</f>
        <v>0</v>
      </c>
      <c r="CT68" s="783">
        <f>IF('Incremental Repayments'!$R$22="Debt",IF(AND(CT$4&gt;=$D68,CT$4&lt;$D68+'Incremental Repayments'!$I$31),-PMT('Interest Rate'!$J$16,'Incremental Repayments'!$I$31,(HLOOKUP($D68,$E$4:$CZ$32,28,FALSE)*'Incremental Repayments'!$I$22)),0),0)</f>
        <v>0</v>
      </c>
      <c r="CU68" s="783">
        <f>IF('Incremental Repayments'!$R$22="Debt",IF(AND(CU$4&gt;=$D68,CU$4&lt;$D68+'Incremental Repayments'!$I$31),-PMT('Interest Rate'!$J$16,'Incremental Repayments'!$I$31,(HLOOKUP($D68,$E$4:$CZ$32,28,FALSE)*'Incremental Repayments'!$I$22)),0),0)</f>
        <v>0</v>
      </c>
      <c r="CV68" s="783">
        <f>IF('Incremental Repayments'!$R$22="Debt",IF(AND(CV$4&gt;=$D68,CV$4&lt;$D68+'Incremental Repayments'!$I$31),-PMT('Interest Rate'!$J$16,'Incremental Repayments'!$I$31,(HLOOKUP($D68,$E$4:$CZ$32,28,FALSE)*'Incremental Repayments'!$I$22)),0),0)</f>
        <v>0</v>
      </c>
      <c r="CW68" s="783">
        <f>IF('Incremental Repayments'!$R$22="Debt",IF(AND(CW$4&gt;=$D68,CW$4&lt;$D68+'Incremental Repayments'!$I$31),-PMT('Interest Rate'!$J$16,'Incremental Repayments'!$I$31,(HLOOKUP($D68,$E$4:$CZ$32,28,FALSE)*'Incremental Repayments'!$I$22)),0),0)</f>
        <v>0</v>
      </c>
      <c r="CX68" s="783">
        <f>IF('Incremental Repayments'!$R$22="Debt",IF(AND(CX$4&gt;=$D68,CX$4&lt;$D68+'Incremental Repayments'!$I$31),-PMT('Interest Rate'!$J$16,'Incremental Repayments'!$I$31,(HLOOKUP($D68,$E$4:$CZ$32,28,FALSE)*'Incremental Repayments'!$I$22)),0),0)</f>
        <v>0</v>
      </c>
      <c r="CY68" s="783">
        <f>IF('Incremental Repayments'!$R$22="Debt",IF(AND(CY$4&gt;=$D68,CY$4&lt;$D68+'Incremental Repayments'!$I$31),-PMT('Interest Rate'!$J$16,'Incremental Repayments'!$I$31,(HLOOKUP($D68,$E$4:$CZ$32,28,FALSE)*'Incremental Repayments'!$I$22)),0),0)</f>
        <v>0</v>
      </c>
      <c r="CZ68" s="783">
        <f>IF('Incremental Repayments'!$R$22="Debt",IF(AND(CZ$4&gt;=$D68,CZ$4&lt;$D68+'Incremental Repayments'!$I$31),-PMT('Interest Rate'!$J$16,'Incremental Repayments'!$I$31,(HLOOKUP($D68,$E$4:$CZ$32,28,FALSE)*'Incremental Repayments'!$I$22)),0),0)</f>
        <v>0</v>
      </c>
    </row>
    <row r="69" spans="2:104" x14ac:dyDescent="0.25">
      <c r="B69" s="480" t="str">
        <f>CONCATENATE("Series ",D69,"A Bonds (at ",'Interest Rate'!$J$16*100,"% Interest)")</f>
        <v>Series 2047A Bonds (at 4.5% Interest)</v>
      </c>
      <c r="C69" s="480"/>
      <c r="D69" s="492">
        <f t="shared" si="47"/>
        <v>2047</v>
      </c>
      <c r="E69" s="783">
        <f>IF('Incremental Repayments'!$R$22="Debt",IF(AND(E$4&gt;=$D69,E$4&lt;$D69+'Incremental Repayments'!$I$31),-PMT('Interest Rate'!$J$16,'Incremental Repayments'!$I$31,(HLOOKUP($D69,$E$4:$CZ$32,28,FALSE)*'Incremental Repayments'!$I$22)),0),0)</f>
        <v>0</v>
      </c>
      <c r="F69" s="783">
        <f>IF('Incremental Repayments'!$R$22="Debt",IF(AND(F$4&gt;=$D69,F$4&lt;$D69+'Incremental Repayments'!$I$31),-PMT('Interest Rate'!$J$16,'Incremental Repayments'!$I$31,(HLOOKUP($D69,$E$4:$CZ$32,28,FALSE)*'Incremental Repayments'!$I$22)),0),0)</f>
        <v>0</v>
      </c>
      <c r="G69" s="783">
        <f>IF('Incremental Repayments'!$R$22="Debt",IF(AND(G$4&gt;=$D69,G$4&lt;$D69+'Incremental Repayments'!$I$31),-PMT('Interest Rate'!$J$16,'Incremental Repayments'!$I$31,(HLOOKUP($D69,$E$4:$CZ$32,28,FALSE)*'Incremental Repayments'!$I$22)),0),0)</f>
        <v>0</v>
      </c>
      <c r="H69" s="783">
        <f>IF('Incremental Repayments'!$R$22="Debt",IF(AND(H$4&gt;=$D69,H$4&lt;$D69+'Incremental Repayments'!$I$31),-PMT('Interest Rate'!$J$16,'Incremental Repayments'!$I$31,(HLOOKUP($D69,$E$4:$CZ$32,28,FALSE)*'Incremental Repayments'!$I$22)),0),0)</f>
        <v>0</v>
      </c>
      <c r="I69" s="783">
        <f>IF('Incremental Repayments'!$R$22="Debt",IF(AND(I$4&gt;=$D69,I$4&lt;$D69+'Incremental Repayments'!$I$31),-PMT('Interest Rate'!$J$16,'Incremental Repayments'!$I$31,(HLOOKUP($D69,$E$4:$CZ$32,28,FALSE)*'Incremental Repayments'!$I$22)),0),0)</f>
        <v>0</v>
      </c>
      <c r="J69" s="783">
        <f>IF('Incremental Repayments'!$R$22="Debt",IF(AND(J$4&gt;=$D69,J$4&lt;$D69+'Incremental Repayments'!$I$31),-PMT('Interest Rate'!$J$16,'Incremental Repayments'!$I$31,(HLOOKUP($D69,$E$4:$CZ$32,28,FALSE)*'Incremental Repayments'!$I$22)),0),0)</f>
        <v>0</v>
      </c>
      <c r="K69" s="783">
        <f>IF('Incremental Repayments'!$R$22="Debt",IF(AND(K$4&gt;=$D69,K$4&lt;$D69+'Incremental Repayments'!$I$31),-PMT('Interest Rate'!$J$16,'Incremental Repayments'!$I$31,(HLOOKUP($D69,$E$4:$CZ$32,28,FALSE)*'Incremental Repayments'!$I$22)),0),0)</f>
        <v>0</v>
      </c>
      <c r="L69" s="783">
        <f>IF('Incremental Repayments'!$R$22="Debt",IF(AND(L$4&gt;=$D69,L$4&lt;$D69+'Incremental Repayments'!$I$31),-PMT('Interest Rate'!$J$16,'Incremental Repayments'!$I$31,(HLOOKUP($D69,$E$4:$CZ$32,28,FALSE)*'Incremental Repayments'!$I$22)),0),0)</f>
        <v>0</v>
      </c>
      <c r="M69" s="783">
        <f>IF('Incremental Repayments'!$R$22="Debt",IF(AND(M$4&gt;=$D69,M$4&lt;$D69+'Incremental Repayments'!$I$31),-PMT('Interest Rate'!$J$16,'Incremental Repayments'!$I$31,(HLOOKUP($D69,$E$4:$CZ$32,28,FALSE)*'Incremental Repayments'!$I$22)),0),0)</f>
        <v>0</v>
      </c>
      <c r="N69" s="783">
        <f>IF('Incremental Repayments'!$R$22="Debt",IF(AND(N$4&gt;=$D69,N$4&lt;$D69+'Incremental Repayments'!$I$31),-PMT('Interest Rate'!$J$16,'Incremental Repayments'!$I$31,(HLOOKUP($D69,$E$4:$CZ$32,28,FALSE)*'Incremental Repayments'!$I$22)),0),0)</f>
        <v>0</v>
      </c>
      <c r="O69" s="783">
        <f>IF('Incremental Repayments'!$R$22="Debt",IF(AND(O$4&gt;=$D69,O$4&lt;$D69+'Incremental Repayments'!$I$31),-PMT('Interest Rate'!$J$16,'Incremental Repayments'!$I$31,(HLOOKUP($D69,$E$4:$CZ$32,28,FALSE)*'Incremental Repayments'!$I$22)),0),0)</f>
        <v>0</v>
      </c>
      <c r="P69" s="783">
        <f>IF('Incremental Repayments'!$R$22="Debt",IF(AND(P$4&gt;=$D69,P$4&lt;$D69+'Incremental Repayments'!$I$31),-PMT('Interest Rate'!$J$16,'Incremental Repayments'!$I$31,(HLOOKUP($D69,$E$4:$CZ$32,28,FALSE)*'Incremental Repayments'!$I$22)),0),0)</f>
        <v>0</v>
      </c>
      <c r="Q69" s="783">
        <f>IF('Incremental Repayments'!$R$22="Debt",IF(AND(Q$4&gt;=$D69,Q$4&lt;$D69+'Incremental Repayments'!$I$31),-PMT('Interest Rate'!$J$16,'Incremental Repayments'!$I$31,(HLOOKUP($D69,$E$4:$CZ$32,28,FALSE)*'Incremental Repayments'!$I$22)),0),0)</f>
        <v>0</v>
      </c>
      <c r="R69" s="783">
        <f>IF('Incremental Repayments'!$R$22="Debt",IF(AND(R$4&gt;=$D69,R$4&lt;$D69+'Incremental Repayments'!$I$31),-PMT('Interest Rate'!$J$16,'Incremental Repayments'!$I$31,(HLOOKUP($D69,$E$4:$CZ$32,28,FALSE)*'Incremental Repayments'!$I$22)),0),0)</f>
        <v>0</v>
      </c>
      <c r="S69" s="783">
        <f>IF('Incremental Repayments'!$R$22="Debt",IF(AND(S$4&gt;=$D69,S$4&lt;$D69+'Incremental Repayments'!$I$31),-PMT('Interest Rate'!$J$16,'Incremental Repayments'!$I$31,(HLOOKUP($D69,$E$4:$CZ$32,28,FALSE)*'Incremental Repayments'!$I$22)),0),0)</f>
        <v>0</v>
      </c>
      <c r="T69" s="783">
        <f>IF('Incremental Repayments'!$R$22="Debt",IF(AND(T$4&gt;=$D69,T$4&lt;$D69+'Incremental Repayments'!$I$31),-PMT('Interest Rate'!$J$16,'Incremental Repayments'!$I$31,(HLOOKUP($D69,$E$4:$CZ$32,28,FALSE)*'Incremental Repayments'!$I$22)),0),0)</f>
        <v>0</v>
      </c>
      <c r="U69" s="783">
        <f>IF('Incremental Repayments'!$R$22="Debt",IF(AND(U$4&gt;=$D69,U$4&lt;$D69+'Incremental Repayments'!$I$31),-PMT('Interest Rate'!$J$16,'Incremental Repayments'!$I$31,(HLOOKUP($D69,$E$4:$CZ$32,28,FALSE)*'Incremental Repayments'!$I$22)),0),0)</f>
        <v>0</v>
      </c>
      <c r="V69" s="783">
        <f>IF('Incremental Repayments'!$R$22="Debt",IF(AND(V$4&gt;=$D69,V$4&lt;$D69+'Incremental Repayments'!$I$31),-PMT('Interest Rate'!$J$16,'Incremental Repayments'!$I$31,(HLOOKUP($D69,$E$4:$CZ$32,28,FALSE)*'Incremental Repayments'!$I$22)),0),0)</f>
        <v>0</v>
      </c>
      <c r="W69" s="783">
        <f>IF('Incremental Repayments'!$R$22="Debt",IF(AND(W$4&gt;=$D69,W$4&lt;$D69+'Incremental Repayments'!$I$31),-PMT('Interest Rate'!$J$16,'Incremental Repayments'!$I$31,(HLOOKUP($D69,$E$4:$CZ$32,28,FALSE)*'Incremental Repayments'!$I$22)),0),0)</f>
        <v>0</v>
      </c>
      <c r="X69" s="783">
        <f>IF('Incremental Repayments'!$R$22="Debt",IF(AND(X$4&gt;=$D69,X$4&lt;$D69+'Incremental Repayments'!$I$31),-PMT('Interest Rate'!$J$16,'Incremental Repayments'!$I$31,(HLOOKUP($D69,$E$4:$CZ$32,28,FALSE)*'Incremental Repayments'!$I$22)),0),0)</f>
        <v>0</v>
      </c>
      <c r="Y69" s="783">
        <f>IF('Incremental Repayments'!$R$22="Debt",IF(AND(Y$4&gt;=$D69,Y$4&lt;$D69+'Incremental Repayments'!$I$31),-PMT('Interest Rate'!$J$16,'Incremental Repayments'!$I$31,(HLOOKUP($D69,$E$4:$CZ$32,28,FALSE)*'Incremental Repayments'!$I$22)),0),0)</f>
        <v>0</v>
      </c>
      <c r="Z69" s="783">
        <f>IF('Incremental Repayments'!$R$22="Debt",IF(AND(Z$4&gt;=$D69,Z$4&lt;$D69+'Incremental Repayments'!$I$31),-PMT('Interest Rate'!$J$16,'Incremental Repayments'!$I$31,(HLOOKUP($D69,$E$4:$CZ$32,28,FALSE)*'Incremental Repayments'!$I$22)),0),0)</f>
        <v>0</v>
      </c>
      <c r="AA69" s="783">
        <f>IF('Incremental Repayments'!$R$22="Debt",IF(AND(AA$4&gt;=$D69,AA$4&lt;$D69+'Incremental Repayments'!$I$31),-PMT('Interest Rate'!$J$16,'Incremental Repayments'!$I$31,(HLOOKUP($D69,$E$4:$CZ$32,28,FALSE)*'Incremental Repayments'!$I$22)),0),0)</f>
        <v>0</v>
      </c>
      <c r="AB69" s="783">
        <f>IF('Incremental Repayments'!$R$22="Debt",IF(AND(AB$4&gt;=$D69,AB$4&lt;$D69+'Incremental Repayments'!$I$31),-PMT('Interest Rate'!$J$16,'Incremental Repayments'!$I$31,(HLOOKUP($D69,$E$4:$CZ$32,28,FALSE)*'Incremental Repayments'!$I$22)),0),0)</f>
        <v>0</v>
      </c>
      <c r="AC69" s="783">
        <f>IF('Incremental Repayments'!$R$22="Debt",IF(AND(AC$4&gt;=$D69,AC$4&lt;$D69+'Incremental Repayments'!$I$31),-PMT('Interest Rate'!$J$16,'Incremental Repayments'!$I$31,(HLOOKUP($D69,$E$4:$CZ$32,28,FALSE)*'Incremental Repayments'!$I$22)),0),0)</f>
        <v>0</v>
      </c>
      <c r="AD69" s="783">
        <f>IF('Incremental Repayments'!$R$22="Debt",IF(AND(AD$4&gt;=$D69,AD$4&lt;$D69+'Incremental Repayments'!$I$31),-PMT('Interest Rate'!$J$16,'Incremental Repayments'!$I$31,(HLOOKUP($D69,$E$4:$CZ$32,28,FALSE)*'Incremental Repayments'!$I$22)),0),0)</f>
        <v>0</v>
      </c>
      <c r="AE69" s="783">
        <f>IF('Incremental Repayments'!$R$22="Debt",IF(AND(AE$4&gt;=$D69,AE$4&lt;$D69+'Incremental Repayments'!$I$31),-PMT('Interest Rate'!$J$16,'Incremental Repayments'!$I$31,(HLOOKUP($D69,$E$4:$CZ$32,28,FALSE)*'Incremental Repayments'!$I$22)),0),0)</f>
        <v>0</v>
      </c>
      <c r="AF69" s="783">
        <f>IF('Incremental Repayments'!$R$22="Debt",IF(AND(AF$4&gt;=$D69,AF$4&lt;$D69+'Incremental Repayments'!$I$31),-PMT('Interest Rate'!$J$16,'Incremental Repayments'!$I$31,(HLOOKUP($D69,$E$4:$CZ$32,28,FALSE)*'Incremental Repayments'!$I$22)),0),0)</f>
        <v>0</v>
      </c>
      <c r="AG69" s="783">
        <f>IF('Incremental Repayments'!$R$22="Debt",IF(AND(AG$4&gt;=$D69,AG$4&lt;$D69+'Incremental Repayments'!$I$31),-PMT('Interest Rate'!$J$16,'Incremental Repayments'!$I$31,(HLOOKUP($D69,$E$4:$CZ$32,28,FALSE)*'Incremental Repayments'!$I$22)),0),0)</f>
        <v>0</v>
      </c>
      <c r="AH69" s="783">
        <f>IF('Incremental Repayments'!$R$22="Debt",IF(AND(AH$4&gt;=$D69,AH$4&lt;$D69+'Incremental Repayments'!$I$31),-PMT('Interest Rate'!$J$16,'Incremental Repayments'!$I$31,(HLOOKUP($D69,$E$4:$CZ$32,28,FALSE)*'Incremental Repayments'!$I$22)),0),0)</f>
        <v>0</v>
      </c>
      <c r="AI69" s="783">
        <f>IF('Incremental Repayments'!$R$22="Debt",IF(AND(AI$4&gt;=$D69,AI$4&lt;$D69+'Incremental Repayments'!$I$31),-PMT('Interest Rate'!$J$16,'Incremental Repayments'!$I$31,(HLOOKUP($D69,$E$4:$CZ$32,28,FALSE)*'Incremental Repayments'!$I$22)),0),0)</f>
        <v>0</v>
      </c>
      <c r="AJ69" s="783">
        <f>IF('Incremental Repayments'!$R$22="Debt",IF(AND(AJ$4&gt;=$D69,AJ$4&lt;$D69+'Incremental Repayments'!$I$31),-PMT('Interest Rate'!$J$16,'Incremental Repayments'!$I$31,(HLOOKUP($D69,$E$4:$CZ$32,28,FALSE)*'Incremental Repayments'!$I$22)),0),0)</f>
        <v>0</v>
      </c>
      <c r="AK69" s="783">
        <f>IF('Incremental Repayments'!$R$22="Debt",IF(AND(AK$4&gt;=$D69,AK$4&lt;$D69+'Incremental Repayments'!$I$31),-PMT('Interest Rate'!$J$16,'Incremental Repayments'!$I$31,(HLOOKUP($D69,$E$4:$CZ$32,28,FALSE)*'Incremental Repayments'!$I$22)),0),0)</f>
        <v>0</v>
      </c>
      <c r="AL69" s="783">
        <f>IF('Incremental Repayments'!$R$22="Debt",IF(AND(AL$4&gt;=$D69,AL$4&lt;$D69+'Incremental Repayments'!$I$31),-PMT('Interest Rate'!$J$16,'Incremental Repayments'!$I$31,(HLOOKUP($D69,$E$4:$CZ$32,28,FALSE)*'Incremental Repayments'!$I$22)),0),0)</f>
        <v>1875523.4271327767</v>
      </c>
      <c r="AM69" s="783">
        <f>IF('Incremental Repayments'!$R$22="Debt",IF(AND(AM$4&gt;=$D69,AM$4&lt;$D69+'Incremental Repayments'!$I$31),-PMT('Interest Rate'!$J$16,'Incremental Repayments'!$I$31,(HLOOKUP($D69,$E$4:$CZ$32,28,FALSE)*'Incremental Repayments'!$I$22)),0),0)</f>
        <v>1875523.4271327767</v>
      </c>
      <c r="AN69" s="783">
        <f>IF('Incremental Repayments'!$R$22="Debt",IF(AND(AN$4&gt;=$D69,AN$4&lt;$D69+'Incremental Repayments'!$I$31),-PMT('Interest Rate'!$J$16,'Incremental Repayments'!$I$31,(HLOOKUP($D69,$E$4:$CZ$32,28,FALSE)*'Incremental Repayments'!$I$22)),0),0)</f>
        <v>1875523.4271327767</v>
      </c>
      <c r="AO69" s="783">
        <f>IF('Incremental Repayments'!$R$22="Debt",IF(AND(AO$4&gt;=$D69,AO$4&lt;$D69+'Incremental Repayments'!$I$31),-PMT('Interest Rate'!$J$16,'Incremental Repayments'!$I$31,(HLOOKUP($D69,$E$4:$CZ$32,28,FALSE)*'Incremental Repayments'!$I$22)),0),0)</f>
        <v>1875523.4271327767</v>
      </c>
      <c r="AP69" s="783">
        <f>IF('Incremental Repayments'!$R$22="Debt",IF(AND(AP$4&gt;=$D69,AP$4&lt;$D69+'Incremental Repayments'!$I$31),-PMT('Interest Rate'!$J$16,'Incremental Repayments'!$I$31,(HLOOKUP($D69,$E$4:$CZ$32,28,FALSE)*'Incremental Repayments'!$I$22)),0),0)</f>
        <v>1875523.4271327767</v>
      </c>
      <c r="AQ69" s="783">
        <f>IF('Incremental Repayments'!$R$22="Debt",IF(AND(AQ$4&gt;=$D69,AQ$4&lt;$D69+'Incremental Repayments'!$I$31),-PMT('Interest Rate'!$J$16,'Incremental Repayments'!$I$31,(HLOOKUP($D69,$E$4:$CZ$32,28,FALSE)*'Incremental Repayments'!$I$22)),0),0)</f>
        <v>1875523.4271327767</v>
      </c>
      <c r="AR69" s="783">
        <f>IF('Incremental Repayments'!$R$22="Debt",IF(AND(AR$4&gt;=$D69,AR$4&lt;$D69+'Incremental Repayments'!$I$31),-PMT('Interest Rate'!$J$16,'Incremental Repayments'!$I$31,(HLOOKUP($D69,$E$4:$CZ$32,28,FALSE)*'Incremental Repayments'!$I$22)),0),0)</f>
        <v>1875523.4271327767</v>
      </c>
      <c r="AS69" s="783">
        <f>IF('Incremental Repayments'!$R$22="Debt",IF(AND(AS$4&gt;=$D69,AS$4&lt;$D69+'Incremental Repayments'!$I$31),-PMT('Interest Rate'!$J$16,'Incremental Repayments'!$I$31,(HLOOKUP($D69,$E$4:$CZ$32,28,FALSE)*'Incremental Repayments'!$I$22)),0),0)</f>
        <v>1875523.4271327767</v>
      </c>
      <c r="AT69" s="783">
        <f>IF('Incremental Repayments'!$R$22="Debt",IF(AND(AT$4&gt;=$D69,AT$4&lt;$D69+'Incremental Repayments'!$I$31),-PMT('Interest Rate'!$J$16,'Incremental Repayments'!$I$31,(HLOOKUP($D69,$E$4:$CZ$32,28,FALSE)*'Incremental Repayments'!$I$22)),0),0)</f>
        <v>1875523.4271327767</v>
      </c>
      <c r="AU69" s="783">
        <f>IF('Incremental Repayments'!$R$22="Debt",IF(AND(AU$4&gt;=$D69,AU$4&lt;$D69+'Incremental Repayments'!$I$31),-PMT('Interest Rate'!$J$16,'Incremental Repayments'!$I$31,(HLOOKUP($D69,$E$4:$CZ$32,28,FALSE)*'Incremental Repayments'!$I$22)),0),0)</f>
        <v>1875523.4271327767</v>
      </c>
      <c r="AV69" s="783">
        <f>IF('Incremental Repayments'!$R$22="Debt",IF(AND(AV$4&gt;=$D69,AV$4&lt;$D69+'Incremental Repayments'!$I$31),-PMT('Interest Rate'!$J$16,'Incremental Repayments'!$I$31,(HLOOKUP($D69,$E$4:$CZ$32,28,FALSE)*'Incremental Repayments'!$I$22)),0),0)</f>
        <v>1875523.4271327767</v>
      </c>
      <c r="AW69" s="783">
        <f>IF('Incremental Repayments'!$R$22="Debt",IF(AND(AW$4&gt;=$D69,AW$4&lt;$D69+'Incremental Repayments'!$I$31),-PMT('Interest Rate'!$J$16,'Incremental Repayments'!$I$31,(HLOOKUP($D69,$E$4:$CZ$32,28,FALSE)*'Incremental Repayments'!$I$22)),0),0)</f>
        <v>1875523.4271327767</v>
      </c>
      <c r="AX69" s="783">
        <f>IF('Incremental Repayments'!$R$22="Debt",IF(AND(AX$4&gt;=$D69,AX$4&lt;$D69+'Incremental Repayments'!$I$31),-PMT('Interest Rate'!$J$16,'Incremental Repayments'!$I$31,(HLOOKUP($D69,$E$4:$CZ$32,28,FALSE)*'Incremental Repayments'!$I$22)),0),0)</f>
        <v>1875523.4271327767</v>
      </c>
      <c r="AY69" s="783">
        <f>IF('Incremental Repayments'!$R$22="Debt",IF(AND(AY$4&gt;=$D69,AY$4&lt;$D69+'Incremental Repayments'!$I$31),-PMT('Interest Rate'!$J$16,'Incremental Repayments'!$I$31,(HLOOKUP($D69,$E$4:$CZ$32,28,FALSE)*'Incremental Repayments'!$I$22)),0),0)</f>
        <v>1875523.4271327767</v>
      </c>
      <c r="AZ69" s="783">
        <f>IF('Incremental Repayments'!$R$22="Debt",IF(AND(AZ$4&gt;=$D69,AZ$4&lt;$D69+'Incremental Repayments'!$I$31),-PMT('Interest Rate'!$J$16,'Incremental Repayments'!$I$31,(HLOOKUP($D69,$E$4:$CZ$32,28,FALSE)*'Incremental Repayments'!$I$22)),0),0)</f>
        <v>1875523.4271327767</v>
      </c>
      <c r="BA69" s="783">
        <f>IF('Incremental Repayments'!$R$22="Debt",IF(AND(BA$4&gt;=$D69,BA$4&lt;$D69+'Incremental Repayments'!$I$31),-PMT('Interest Rate'!$J$16,'Incremental Repayments'!$I$31,(HLOOKUP($D69,$E$4:$CZ$32,28,FALSE)*'Incremental Repayments'!$I$22)),0),0)</f>
        <v>1875523.4271327767</v>
      </c>
      <c r="BB69" s="783">
        <f>IF('Incremental Repayments'!$R$22="Debt",IF(AND(BB$4&gt;=$D69,BB$4&lt;$D69+'Incremental Repayments'!$I$31),-PMT('Interest Rate'!$J$16,'Incremental Repayments'!$I$31,(HLOOKUP($D69,$E$4:$CZ$32,28,FALSE)*'Incremental Repayments'!$I$22)),0),0)</f>
        <v>1875523.4271327767</v>
      </c>
      <c r="BC69" s="783">
        <f>IF('Incremental Repayments'!$R$22="Debt",IF(AND(BC$4&gt;=$D69,BC$4&lt;$D69+'Incremental Repayments'!$I$31),-PMT('Interest Rate'!$J$16,'Incremental Repayments'!$I$31,(HLOOKUP($D69,$E$4:$CZ$32,28,FALSE)*'Incremental Repayments'!$I$22)),0),0)</f>
        <v>1875523.4271327767</v>
      </c>
      <c r="BD69" s="783">
        <f>IF('Incremental Repayments'!$R$22="Debt",IF(AND(BD$4&gt;=$D69,BD$4&lt;$D69+'Incremental Repayments'!$I$31),-PMT('Interest Rate'!$J$16,'Incremental Repayments'!$I$31,(HLOOKUP($D69,$E$4:$CZ$32,28,FALSE)*'Incremental Repayments'!$I$22)),0),0)</f>
        <v>1875523.4271327767</v>
      </c>
      <c r="BE69" s="783">
        <f>IF('Incremental Repayments'!$R$22="Debt",IF(AND(BE$4&gt;=$D69,BE$4&lt;$D69+'Incremental Repayments'!$I$31),-PMT('Interest Rate'!$J$16,'Incremental Repayments'!$I$31,(HLOOKUP($D69,$E$4:$CZ$32,28,FALSE)*'Incremental Repayments'!$I$22)),0),0)</f>
        <v>1875523.4271327767</v>
      </c>
      <c r="BF69" s="783">
        <f>IF('Incremental Repayments'!$R$22="Debt",IF(AND(BF$4&gt;=$D69,BF$4&lt;$D69+'Incremental Repayments'!$I$31),-PMT('Interest Rate'!$J$16,'Incremental Repayments'!$I$31,(HLOOKUP($D69,$E$4:$CZ$32,28,FALSE)*'Incremental Repayments'!$I$22)),0),0)</f>
        <v>1875523.4271327767</v>
      </c>
      <c r="BG69" s="783">
        <f>IF('Incremental Repayments'!$R$22="Debt",IF(AND(BG$4&gt;=$D69,BG$4&lt;$D69+'Incremental Repayments'!$I$31),-PMT('Interest Rate'!$J$16,'Incremental Repayments'!$I$31,(HLOOKUP($D69,$E$4:$CZ$32,28,FALSE)*'Incremental Repayments'!$I$22)),0),0)</f>
        <v>1875523.4271327767</v>
      </c>
      <c r="BH69" s="783">
        <f>IF('Incremental Repayments'!$R$22="Debt",IF(AND(BH$4&gt;=$D69,BH$4&lt;$D69+'Incremental Repayments'!$I$31),-PMT('Interest Rate'!$J$16,'Incremental Repayments'!$I$31,(HLOOKUP($D69,$E$4:$CZ$32,28,FALSE)*'Incremental Repayments'!$I$22)),0),0)</f>
        <v>1875523.4271327767</v>
      </c>
      <c r="BI69" s="783">
        <f>IF('Incremental Repayments'!$R$22="Debt",IF(AND(BI$4&gt;=$D69,BI$4&lt;$D69+'Incremental Repayments'!$I$31),-PMT('Interest Rate'!$J$16,'Incremental Repayments'!$I$31,(HLOOKUP($D69,$E$4:$CZ$32,28,FALSE)*'Incremental Repayments'!$I$22)),0),0)</f>
        <v>1875523.4271327767</v>
      </c>
      <c r="BJ69" s="783">
        <f>IF('Incremental Repayments'!$R$22="Debt",IF(AND(BJ$4&gt;=$D69,BJ$4&lt;$D69+'Incremental Repayments'!$I$31),-PMT('Interest Rate'!$J$16,'Incremental Repayments'!$I$31,(HLOOKUP($D69,$E$4:$CZ$32,28,FALSE)*'Incremental Repayments'!$I$22)),0),0)</f>
        <v>1875523.4271327767</v>
      </c>
      <c r="BK69" s="783">
        <f>IF('Incremental Repayments'!$R$22="Debt",IF(AND(BK$4&gt;=$D69,BK$4&lt;$D69+'Incremental Repayments'!$I$31),-PMT('Interest Rate'!$J$16,'Incremental Repayments'!$I$31,(HLOOKUP($D69,$E$4:$CZ$32,28,FALSE)*'Incremental Repayments'!$I$22)),0),0)</f>
        <v>1875523.4271327767</v>
      </c>
      <c r="BL69" s="783">
        <f>IF('Incremental Repayments'!$R$22="Debt",IF(AND(BL$4&gt;=$D69,BL$4&lt;$D69+'Incremental Repayments'!$I$31),-PMT('Interest Rate'!$J$16,'Incremental Repayments'!$I$31,(HLOOKUP($D69,$E$4:$CZ$32,28,FALSE)*'Incremental Repayments'!$I$22)),0),0)</f>
        <v>1875523.4271327767</v>
      </c>
      <c r="BM69" s="783">
        <f>IF('Incremental Repayments'!$R$22="Debt",IF(AND(BM$4&gt;=$D69,BM$4&lt;$D69+'Incremental Repayments'!$I$31),-PMT('Interest Rate'!$J$16,'Incremental Repayments'!$I$31,(HLOOKUP($D69,$E$4:$CZ$32,28,FALSE)*'Incremental Repayments'!$I$22)),0),0)</f>
        <v>1875523.4271327767</v>
      </c>
      <c r="BN69" s="783">
        <f>IF('Incremental Repayments'!$R$22="Debt",IF(AND(BN$4&gt;=$D69,BN$4&lt;$D69+'Incremental Repayments'!$I$31),-PMT('Interest Rate'!$J$16,'Incremental Repayments'!$I$31,(HLOOKUP($D69,$E$4:$CZ$32,28,FALSE)*'Incremental Repayments'!$I$22)),0),0)</f>
        <v>1875523.4271327767</v>
      </c>
      <c r="BO69" s="783">
        <f>IF('Incremental Repayments'!$R$22="Debt",IF(AND(BO$4&gt;=$D69,BO$4&lt;$D69+'Incremental Repayments'!$I$31),-PMT('Interest Rate'!$J$16,'Incremental Repayments'!$I$31,(HLOOKUP($D69,$E$4:$CZ$32,28,FALSE)*'Incremental Repayments'!$I$22)),0),0)</f>
        <v>1875523.4271327767</v>
      </c>
      <c r="BP69" s="783">
        <f>IF('Incremental Repayments'!$R$22="Debt",IF(AND(BP$4&gt;=$D69,BP$4&lt;$D69+'Incremental Repayments'!$I$31),-PMT('Interest Rate'!$J$16,'Incremental Repayments'!$I$31,(HLOOKUP($D69,$E$4:$CZ$32,28,FALSE)*'Incremental Repayments'!$I$22)),0),0)</f>
        <v>0</v>
      </c>
      <c r="BQ69" s="783">
        <f>IF('Incremental Repayments'!$R$22="Debt",IF(AND(BQ$4&gt;=$D69,BQ$4&lt;$D69+'Incremental Repayments'!$I$31),-PMT('Interest Rate'!$J$16,'Incremental Repayments'!$I$31,(HLOOKUP($D69,$E$4:$CZ$32,28,FALSE)*'Incremental Repayments'!$I$22)),0),0)</f>
        <v>0</v>
      </c>
      <c r="BR69" s="783">
        <f>IF('Incremental Repayments'!$R$22="Debt",IF(AND(BR$4&gt;=$D69,BR$4&lt;$D69+'Incremental Repayments'!$I$31),-PMT('Interest Rate'!$J$16,'Incremental Repayments'!$I$31,(HLOOKUP($D69,$E$4:$CZ$32,28,FALSE)*'Incremental Repayments'!$I$22)),0),0)</f>
        <v>0</v>
      </c>
      <c r="BS69" s="783">
        <f>IF('Incremental Repayments'!$R$22="Debt",IF(AND(BS$4&gt;=$D69,BS$4&lt;$D69+'Incremental Repayments'!$I$31),-PMT('Interest Rate'!$J$16,'Incremental Repayments'!$I$31,(HLOOKUP($D69,$E$4:$CZ$32,28,FALSE)*'Incremental Repayments'!$I$22)),0),0)</f>
        <v>0</v>
      </c>
      <c r="BT69" s="783">
        <f>IF('Incremental Repayments'!$R$22="Debt",IF(AND(BT$4&gt;=$D69,BT$4&lt;$D69+'Incremental Repayments'!$I$31),-PMT('Interest Rate'!$J$16,'Incremental Repayments'!$I$31,(HLOOKUP($D69,$E$4:$CZ$32,28,FALSE)*'Incremental Repayments'!$I$22)),0),0)</f>
        <v>0</v>
      </c>
      <c r="BU69" s="783">
        <f>IF('Incremental Repayments'!$R$22="Debt",IF(AND(BU$4&gt;=$D69,BU$4&lt;$D69+'Incremental Repayments'!$I$31),-PMT('Interest Rate'!$J$16,'Incremental Repayments'!$I$31,(HLOOKUP($D69,$E$4:$CZ$32,28,FALSE)*'Incremental Repayments'!$I$22)),0),0)</f>
        <v>0</v>
      </c>
      <c r="BV69" s="783">
        <f>IF('Incremental Repayments'!$R$22="Debt",IF(AND(BV$4&gt;=$D69,BV$4&lt;$D69+'Incremental Repayments'!$I$31),-PMT('Interest Rate'!$J$16,'Incremental Repayments'!$I$31,(HLOOKUP($D69,$E$4:$CZ$32,28,FALSE)*'Incremental Repayments'!$I$22)),0),0)</f>
        <v>0</v>
      </c>
      <c r="BW69" s="783">
        <f>IF('Incremental Repayments'!$R$22="Debt",IF(AND(BW$4&gt;=$D69,BW$4&lt;$D69+'Incremental Repayments'!$I$31),-PMT('Interest Rate'!$J$16,'Incremental Repayments'!$I$31,(HLOOKUP($D69,$E$4:$CZ$32,28,FALSE)*'Incremental Repayments'!$I$22)),0),0)</f>
        <v>0</v>
      </c>
      <c r="BX69" s="783">
        <f>IF('Incremental Repayments'!$R$22="Debt",IF(AND(BX$4&gt;=$D69,BX$4&lt;$D69+'Incremental Repayments'!$I$31),-PMT('Interest Rate'!$J$16,'Incremental Repayments'!$I$31,(HLOOKUP($D69,$E$4:$CZ$32,28,FALSE)*'Incremental Repayments'!$I$22)),0),0)</f>
        <v>0</v>
      </c>
      <c r="BY69" s="783">
        <f>IF('Incremental Repayments'!$R$22="Debt",IF(AND(BY$4&gt;=$D69,BY$4&lt;$D69+'Incremental Repayments'!$I$31),-PMT('Interest Rate'!$J$16,'Incremental Repayments'!$I$31,(HLOOKUP($D69,$E$4:$CZ$32,28,FALSE)*'Incremental Repayments'!$I$22)),0),0)</f>
        <v>0</v>
      </c>
      <c r="BZ69" s="783">
        <f>IF('Incremental Repayments'!$R$22="Debt",IF(AND(BZ$4&gt;=$D69,BZ$4&lt;$D69+'Incremental Repayments'!$I$31),-PMT('Interest Rate'!$J$16,'Incremental Repayments'!$I$31,(HLOOKUP($D69,$E$4:$CZ$32,28,FALSE)*'Incremental Repayments'!$I$22)),0),0)</f>
        <v>0</v>
      </c>
      <c r="CA69" s="783">
        <f>IF('Incremental Repayments'!$R$22="Debt",IF(AND(CA$4&gt;=$D69,CA$4&lt;$D69+'Incremental Repayments'!$I$31),-PMT('Interest Rate'!$J$16,'Incremental Repayments'!$I$31,(HLOOKUP($D69,$E$4:$CZ$32,28,FALSE)*'Incremental Repayments'!$I$22)),0),0)</f>
        <v>0</v>
      </c>
      <c r="CB69" s="783">
        <f>IF('Incremental Repayments'!$R$22="Debt",IF(AND(CB$4&gt;=$D69,CB$4&lt;$D69+'Incremental Repayments'!$I$31),-PMT('Interest Rate'!$J$16,'Incremental Repayments'!$I$31,(HLOOKUP($D69,$E$4:$CZ$32,28,FALSE)*'Incremental Repayments'!$I$22)),0),0)</f>
        <v>0</v>
      </c>
      <c r="CC69" s="783">
        <f>IF('Incremental Repayments'!$R$22="Debt",IF(AND(CC$4&gt;=$D69,CC$4&lt;$D69+'Incremental Repayments'!$I$31),-PMT('Interest Rate'!$J$16,'Incremental Repayments'!$I$31,(HLOOKUP($D69,$E$4:$CZ$32,28,FALSE)*'Incremental Repayments'!$I$22)),0),0)</f>
        <v>0</v>
      </c>
      <c r="CD69" s="783">
        <f>IF('Incremental Repayments'!$R$22="Debt",IF(AND(CD$4&gt;=$D69,CD$4&lt;$D69+'Incremental Repayments'!$I$31),-PMT('Interest Rate'!$J$16,'Incremental Repayments'!$I$31,(HLOOKUP($D69,$E$4:$CZ$32,28,FALSE)*'Incremental Repayments'!$I$22)),0),0)</f>
        <v>0</v>
      </c>
      <c r="CE69" s="783">
        <f>IF('Incremental Repayments'!$R$22="Debt",IF(AND(CE$4&gt;=$D69,CE$4&lt;$D69+'Incremental Repayments'!$I$31),-PMT('Interest Rate'!$J$16,'Incremental Repayments'!$I$31,(HLOOKUP($D69,$E$4:$CZ$32,28,FALSE)*'Incremental Repayments'!$I$22)),0),0)</f>
        <v>0</v>
      </c>
      <c r="CF69" s="783">
        <f>IF('Incremental Repayments'!$R$22="Debt",IF(AND(CF$4&gt;=$D69,CF$4&lt;$D69+'Incremental Repayments'!$I$31),-PMT('Interest Rate'!$J$16,'Incremental Repayments'!$I$31,(HLOOKUP($D69,$E$4:$CZ$32,28,FALSE)*'Incremental Repayments'!$I$22)),0),0)</f>
        <v>0</v>
      </c>
      <c r="CG69" s="783">
        <f>IF('Incremental Repayments'!$R$22="Debt",IF(AND(CG$4&gt;=$D69,CG$4&lt;$D69+'Incremental Repayments'!$I$31),-PMT('Interest Rate'!$J$16,'Incremental Repayments'!$I$31,(HLOOKUP($D69,$E$4:$CZ$32,28,FALSE)*'Incremental Repayments'!$I$22)),0),0)</f>
        <v>0</v>
      </c>
      <c r="CH69" s="783">
        <f>IF('Incremental Repayments'!$R$22="Debt",IF(AND(CH$4&gt;=$D69,CH$4&lt;$D69+'Incremental Repayments'!$I$31),-PMT('Interest Rate'!$J$16,'Incremental Repayments'!$I$31,(HLOOKUP($D69,$E$4:$CZ$32,28,FALSE)*'Incremental Repayments'!$I$22)),0),0)</f>
        <v>0</v>
      </c>
      <c r="CI69" s="783">
        <f>IF('Incremental Repayments'!$R$22="Debt",IF(AND(CI$4&gt;=$D69,CI$4&lt;$D69+'Incremental Repayments'!$I$31),-PMT('Interest Rate'!$J$16,'Incremental Repayments'!$I$31,(HLOOKUP($D69,$E$4:$CZ$32,28,FALSE)*'Incremental Repayments'!$I$22)),0),0)</f>
        <v>0</v>
      </c>
      <c r="CJ69" s="783">
        <f>IF('Incremental Repayments'!$R$22="Debt",IF(AND(CJ$4&gt;=$D69,CJ$4&lt;$D69+'Incremental Repayments'!$I$31),-PMT('Interest Rate'!$J$16,'Incremental Repayments'!$I$31,(HLOOKUP($D69,$E$4:$CZ$32,28,FALSE)*'Incremental Repayments'!$I$22)),0),0)</f>
        <v>0</v>
      </c>
      <c r="CK69" s="783">
        <f>IF('Incremental Repayments'!$R$22="Debt",IF(AND(CK$4&gt;=$D69,CK$4&lt;$D69+'Incremental Repayments'!$I$31),-PMT('Interest Rate'!$J$16,'Incremental Repayments'!$I$31,(HLOOKUP($D69,$E$4:$CZ$32,28,FALSE)*'Incremental Repayments'!$I$22)),0),0)</f>
        <v>0</v>
      </c>
      <c r="CL69" s="783">
        <f>IF('Incremental Repayments'!$R$22="Debt",IF(AND(CL$4&gt;=$D69,CL$4&lt;$D69+'Incremental Repayments'!$I$31),-PMT('Interest Rate'!$J$16,'Incremental Repayments'!$I$31,(HLOOKUP($D69,$E$4:$CZ$32,28,FALSE)*'Incremental Repayments'!$I$22)),0),0)</f>
        <v>0</v>
      </c>
      <c r="CM69" s="783">
        <f>IF('Incremental Repayments'!$R$22="Debt",IF(AND(CM$4&gt;=$D69,CM$4&lt;$D69+'Incremental Repayments'!$I$31),-PMT('Interest Rate'!$J$16,'Incremental Repayments'!$I$31,(HLOOKUP($D69,$E$4:$CZ$32,28,FALSE)*'Incremental Repayments'!$I$22)),0),0)</f>
        <v>0</v>
      </c>
      <c r="CN69" s="783">
        <f>IF('Incremental Repayments'!$R$22="Debt",IF(AND(CN$4&gt;=$D69,CN$4&lt;$D69+'Incremental Repayments'!$I$31),-PMT('Interest Rate'!$J$16,'Incremental Repayments'!$I$31,(HLOOKUP($D69,$E$4:$CZ$32,28,FALSE)*'Incremental Repayments'!$I$22)),0),0)</f>
        <v>0</v>
      </c>
      <c r="CO69" s="783">
        <f>IF('Incremental Repayments'!$R$22="Debt",IF(AND(CO$4&gt;=$D69,CO$4&lt;$D69+'Incremental Repayments'!$I$31),-PMT('Interest Rate'!$J$16,'Incremental Repayments'!$I$31,(HLOOKUP($D69,$E$4:$CZ$32,28,FALSE)*'Incremental Repayments'!$I$22)),0),0)</f>
        <v>0</v>
      </c>
      <c r="CP69" s="783">
        <f>IF('Incremental Repayments'!$R$22="Debt",IF(AND(CP$4&gt;=$D69,CP$4&lt;$D69+'Incremental Repayments'!$I$31),-PMT('Interest Rate'!$J$16,'Incremental Repayments'!$I$31,(HLOOKUP($D69,$E$4:$CZ$32,28,FALSE)*'Incremental Repayments'!$I$22)),0),0)</f>
        <v>0</v>
      </c>
      <c r="CQ69" s="783">
        <f>IF('Incremental Repayments'!$R$22="Debt",IF(AND(CQ$4&gt;=$D69,CQ$4&lt;$D69+'Incremental Repayments'!$I$31),-PMT('Interest Rate'!$J$16,'Incremental Repayments'!$I$31,(HLOOKUP($D69,$E$4:$CZ$32,28,FALSE)*'Incremental Repayments'!$I$22)),0),0)</f>
        <v>0</v>
      </c>
      <c r="CR69" s="783">
        <f>IF('Incremental Repayments'!$R$22="Debt",IF(AND(CR$4&gt;=$D69,CR$4&lt;$D69+'Incremental Repayments'!$I$31),-PMT('Interest Rate'!$J$16,'Incremental Repayments'!$I$31,(HLOOKUP($D69,$E$4:$CZ$32,28,FALSE)*'Incremental Repayments'!$I$22)),0),0)</f>
        <v>0</v>
      </c>
      <c r="CS69" s="783">
        <f>IF('Incremental Repayments'!$R$22="Debt",IF(AND(CS$4&gt;=$D69,CS$4&lt;$D69+'Incremental Repayments'!$I$31),-PMT('Interest Rate'!$J$16,'Incremental Repayments'!$I$31,(HLOOKUP($D69,$E$4:$CZ$32,28,FALSE)*'Incremental Repayments'!$I$22)),0),0)</f>
        <v>0</v>
      </c>
      <c r="CT69" s="783">
        <f>IF('Incremental Repayments'!$R$22="Debt",IF(AND(CT$4&gt;=$D69,CT$4&lt;$D69+'Incremental Repayments'!$I$31),-PMT('Interest Rate'!$J$16,'Incremental Repayments'!$I$31,(HLOOKUP($D69,$E$4:$CZ$32,28,FALSE)*'Incremental Repayments'!$I$22)),0),0)</f>
        <v>0</v>
      </c>
      <c r="CU69" s="783">
        <f>IF('Incremental Repayments'!$R$22="Debt",IF(AND(CU$4&gt;=$D69,CU$4&lt;$D69+'Incremental Repayments'!$I$31),-PMT('Interest Rate'!$J$16,'Incremental Repayments'!$I$31,(HLOOKUP($D69,$E$4:$CZ$32,28,FALSE)*'Incremental Repayments'!$I$22)),0),0)</f>
        <v>0</v>
      </c>
      <c r="CV69" s="783">
        <f>IF('Incremental Repayments'!$R$22="Debt",IF(AND(CV$4&gt;=$D69,CV$4&lt;$D69+'Incremental Repayments'!$I$31),-PMT('Interest Rate'!$J$16,'Incremental Repayments'!$I$31,(HLOOKUP($D69,$E$4:$CZ$32,28,FALSE)*'Incremental Repayments'!$I$22)),0),0)</f>
        <v>0</v>
      </c>
      <c r="CW69" s="783">
        <f>IF('Incremental Repayments'!$R$22="Debt",IF(AND(CW$4&gt;=$D69,CW$4&lt;$D69+'Incremental Repayments'!$I$31),-PMT('Interest Rate'!$J$16,'Incremental Repayments'!$I$31,(HLOOKUP($D69,$E$4:$CZ$32,28,FALSE)*'Incremental Repayments'!$I$22)),0),0)</f>
        <v>0</v>
      </c>
      <c r="CX69" s="783">
        <f>IF('Incremental Repayments'!$R$22="Debt",IF(AND(CX$4&gt;=$D69,CX$4&lt;$D69+'Incremental Repayments'!$I$31),-PMT('Interest Rate'!$J$16,'Incremental Repayments'!$I$31,(HLOOKUP($D69,$E$4:$CZ$32,28,FALSE)*'Incremental Repayments'!$I$22)),0),0)</f>
        <v>0</v>
      </c>
      <c r="CY69" s="783">
        <f>IF('Incremental Repayments'!$R$22="Debt",IF(AND(CY$4&gt;=$D69,CY$4&lt;$D69+'Incremental Repayments'!$I$31),-PMT('Interest Rate'!$J$16,'Incremental Repayments'!$I$31,(HLOOKUP($D69,$E$4:$CZ$32,28,FALSE)*'Incremental Repayments'!$I$22)),0),0)</f>
        <v>0</v>
      </c>
      <c r="CZ69" s="783">
        <f>IF('Incremental Repayments'!$R$22="Debt",IF(AND(CZ$4&gt;=$D69,CZ$4&lt;$D69+'Incremental Repayments'!$I$31),-PMT('Interest Rate'!$J$16,'Incremental Repayments'!$I$31,(HLOOKUP($D69,$E$4:$CZ$32,28,FALSE)*'Incremental Repayments'!$I$22)),0),0)</f>
        <v>0</v>
      </c>
    </row>
    <row r="70" spans="2:104" x14ac:dyDescent="0.25">
      <c r="B70" s="480" t="str">
        <f>CONCATENATE("Series ",D70,"A Bonds (at ",'Interest Rate'!$J$16*100,"% Interest)")</f>
        <v>Series 2048A Bonds (at 4.5% Interest)</v>
      </c>
      <c r="C70" s="480"/>
      <c r="D70" s="492">
        <f t="shared" si="47"/>
        <v>2048</v>
      </c>
      <c r="E70" s="783">
        <f>IF('Incremental Repayments'!$R$22="Debt",IF(AND(E$4&gt;=$D70,E$4&lt;$D70+'Incremental Repayments'!$I$31),-PMT('Interest Rate'!$J$16,'Incremental Repayments'!$I$31,(HLOOKUP($D70,$E$4:$CZ$32,28,FALSE)*'Incremental Repayments'!$I$22)),0),0)</f>
        <v>0</v>
      </c>
      <c r="F70" s="783">
        <f>IF('Incremental Repayments'!$R$22="Debt",IF(AND(F$4&gt;=$D70,F$4&lt;$D70+'Incremental Repayments'!$I$31),-PMT('Interest Rate'!$J$16,'Incremental Repayments'!$I$31,(HLOOKUP($D70,$E$4:$CZ$32,28,FALSE)*'Incremental Repayments'!$I$22)),0),0)</f>
        <v>0</v>
      </c>
      <c r="G70" s="783">
        <f>IF('Incremental Repayments'!$R$22="Debt",IF(AND(G$4&gt;=$D70,G$4&lt;$D70+'Incremental Repayments'!$I$31),-PMT('Interest Rate'!$J$16,'Incremental Repayments'!$I$31,(HLOOKUP($D70,$E$4:$CZ$32,28,FALSE)*'Incremental Repayments'!$I$22)),0),0)</f>
        <v>0</v>
      </c>
      <c r="H70" s="783">
        <f>IF('Incremental Repayments'!$R$22="Debt",IF(AND(H$4&gt;=$D70,H$4&lt;$D70+'Incremental Repayments'!$I$31),-PMT('Interest Rate'!$J$16,'Incremental Repayments'!$I$31,(HLOOKUP($D70,$E$4:$CZ$32,28,FALSE)*'Incremental Repayments'!$I$22)),0),0)</f>
        <v>0</v>
      </c>
      <c r="I70" s="783">
        <f>IF('Incremental Repayments'!$R$22="Debt",IF(AND(I$4&gt;=$D70,I$4&lt;$D70+'Incremental Repayments'!$I$31),-PMT('Interest Rate'!$J$16,'Incremental Repayments'!$I$31,(HLOOKUP($D70,$E$4:$CZ$32,28,FALSE)*'Incremental Repayments'!$I$22)),0),0)</f>
        <v>0</v>
      </c>
      <c r="J70" s="783">
        <f>IF('Incremental Repayments'!$R$22="Debt",IF(AND(J$4&gt;=$D70,J$4&lt;$D70+'Incremental Repayments'!$I$31),-PMT('Interest Rate'!$J$16,'Incremental Repayments'!$I$31,(HLOOKUP($D70,$E$4:$CZ$32,28,FALSE)*'Incremental Repayments'!$I$22)),0),0)</f>
        <v>0</v>
      </c>
      <c r="K70" s="783">
        <f>IF('Incremental Repayments'!$R$22="Debt",IF(AND(K$4&gt;=$D70,K$4&lt;$D70+'Incremental Repayments'!$I$31),-PMT('Interest Rate'!$J$16,'Incremental Repayments'!$I$31,(HLOOKUP($D70,$E$4:$CZ$32,28,FALSE)*'Incremental Repayments'!$I$22)),0),0)</f>
        <v>0</v>
      </c>
      <c r="L70" s="783">
        <f>IF('Incremental Repayments'!$R$22="Debt",IF(AND(L$4&gt;=$D70,L$4&lt;$D70+'Incremental Repayments'!$I$31),-PMT('Interest Rate'!$J$16,'Incremental Repayments'!$I$31,(HLOOKUP($D70,$E$4:$CZ$32,28,FALSE)*'Incremental Repayments'!$I$22)),0),0)</f>
        <v>0</v>
      </c>
      <c r="M70" s="783">
        <f>IF('Incremental Repayments'!$R$22="Debt",IF(AND(M$4&gt;=$D70,M$4&lt;$D70+'Incremental Repayments'!$I$31),-PMT('Interest Rate'!$J$16,'Incremental Repayments'!$I$31,(HLOOKUP($D70,$E$4:$CZ$32,28,FALSE)*'Incremental Repayments'!$I$22)),0),0)</f>
        <v>0</v>
      </c>
      <c r="N70" s="783">
        <f>IF('Incremental Repayments'!$R$22="Debt",IF(AND(N$4&gt;=$D70,N$4&lt;$D70+'Incremental Repayments'!$I$31),-PMT('Interest Rate'!$J$16,'Incremental Repayments'!$I$31,(HLOOKUP($D70,$E$4:$CZ$32,28,FALSE)*'Incremental Repayments'!$I$22)),0),0)</f>
        <v>0</v>
      </c>
      <c r="O70" s="783">
        <f>IF('Incremental Repayments'!$R$22="Debt",IF(AND(O$4&gt;=$D70,O$4&lt;$D70+'Incremental Repayments'!$I$31),-PMT('Interest Rate'!$J$16,'Incremental Repayments'!$I$31,(HLOOKUP($D70,$E$4:$CZ$32,28,FALSE)*'Incremental Repayments'!$I$22)),0),0)</f>
        <v>0</v>
      </c>
      <c r="P70" s="783">
        <f>IF('Incremental Repayments'!$R$22="Debt",IF(AND(P$4&gt;=$D70,P$4&lt;$D70+'Incremental Repayments'!$I$31),-PMT('Interest Rate'!$J$16,'Incremental Repayments'!$I$31,(HLOOKUP($D70,$E$4:$CZ$32,28,FALSE)*'Incremental Repayments'!$I$22)),0),0)</f>
        <v>0</v>
      </c>
      <c r="Q70" s="783">
        <f>IF('Incremental Repayments'!$R$22="Debt",IF(AND(Q$4&gt;=$D70,Q$4&lt;$D70+'Incremental Repayments'!$I$31),-PMT('Interest Rate'!$J$16,'Incremental Repayments'!$I$31,(HLOOKUP($D70,$E$4:$CZ$32,28,FALSE)*'Incremental Repayments'!$I$22)),0),0)</f>
        <v>0</v>
      </c>
      <c r="R70" s="783">
        <f>IF('Incremental Repayments'!$R$22="Debt",IF(AND(R$4&gt;=$D70,R$4&lt;$D70+'Incremental Repayments'!$I$31),-PMT('Interest Rate'!$J$16,'Incremental Repayments'!$I$31,(HLOOKUP($D70,$E$4:$CZ$32,28,FALSE)*'Incremental Repayments'!$I$22)),0),0)</f>
        <v>0</v>
      </c>
      <c r="S70" s="783">
        <f>IF('Incremental Repayments'!$R$22="Debt",IF(AND(S$4&gt;=$D70,S$4&lt;$D70+'Incremental Repayments'!$I$31),-PMT('Interest Rate'!$J$16,'Incremental Repayments'!$I$31,(HLOOKUP($D70,$E$4:$CZ$32,28,FALSE)*'Incremental Repayments'!$I$22)),0),0)</f>
        <v>0</v>
      </c>
      <c r="T70" s="783">
        <f>IF('Incremental Repayments'!$R$22="Debt",IF(AND(T$4&gt;=$D70,T$4&lt;$D70+'Incremental Repayments'!$I$31),-PMT('Interest Rate'!$J$16,'Incremental Repayments'!$I$31,(HLOOKUP($D70,$E$4:$CZ$32,28,FALSE)*'Incremental Repayments'!$I$22)),0),0)</f>
        <v>0</v>
      </c>
      <c r="U70" s="783">
        <f>IF('Incremental Repayments'!$R$22="Debt",IF(AND(U$4&gt;=$D70,U$4&lt;$D70+'Incremental Repayments'!$I$31),-PMT('Interest Rate'!$J$16,'Incremental Repayments'!$I$31,(HLOOKUP($D70,$E$4:$CZ$32,28,FALSE)*'Incremental Repayments'!$I$22)),0),0)</f>
        <v>0</v>
      </c>
      <c r="V70" s="783">
        <f>IF('Incremental Repayments'!$R$22="Debt",IF(AND(V$4&gt;=$D70,V$4&lt;$D70+'Incremental Repayments'!$I$31),-PMT('Interest Rate'!$J$16,'Incremental Repayments'!$I$31,(HLOOKUP($D70,$E$4:$CZ$32,28,FALSE)*'Incremental Repayments'!$I$22)),0),0)</f>
        <v>0</v>
      </c>
      <c r="W70" s="783">
        <f>IF('Incremental Repayments'!$R$22="Debt",IF(AND(W$4&gt;=$D70,W$4&lt;$D70+'Incremental Repayments'!$I$31),-PMT('Interest Rate'!$J$16,'Incremental Repayments'!$I$31,(HLOOKUP($D70,$E$4:$CZ$32,28,FALSE)*'Incremental Repayments'!$I$22)),0),0)</f>
        <v>0</v>
      </c>
      <c r="X70" s="783">
        <f>IF('Incremental Repayments'!$R$22="Debt",IF(AND(X$4&gt;=$D70,X$4&lt;$D70+'Incremental Repayments'!$I$31),-PMT('Interest Rate'!$J$16,'Incremental Repayments'!$I$31,(HLOOKUP($D70,$E$4:$CZ$32,28,FALSE)*'Incremental Repayments'!$I$22)),0),0)</f>
        <v>0</v>
      </c>
      <c r="Y70" s="783">
        <f>IF('Incremental Repayments'!$R$22="Debt",IF(AND(Y$4&gt;=$D70,Y$4&lt;$D70+'Incremental Repayments'!$I$31),-PMT('Interest Rate'!$J$16,'Incremental Repayments'!$I$31,(HLOOKUP($D70,$E$4:$CZ$32,28,FALSE)*'Incremental Repayments'!$I$22)),0),0)</f>
        <v>0</v>
      </c>
      <c r="Z70" s="783">
        <f>IF('Incremental Repayments'!$R$22="Debt",IF(AND(Z$4&gt;=$D70,Z$4&lt;$D70+'Incremental Repayments'!$I$31),-PMT('Interest Rate'!$J$16,'Incremental Repayments'!$I$31,(HLOOKUP($D70,$E$4:$CZ$32,28,FALSE)*'Incremental Repayments'!$I$22)),0),0)</f>
        <v>0</v>
      </c>
      <c r="AA70" s="783">
        <f>IF('Incremental Repayments'!$R$22="Debt",IF(AND(AA$4&gt;=$D70,AA$4&lt;$D70+'Incremental Repayments'!$I$31),-PMT('Interest Rate'!$J$16,'Incremental Repayments'!$I$31,(HLOOKUP($D70,$E$4:$CZ$32,28,FALSE)*'Incremental Repayments'!$I$22)),0),0)</f>
        <v>0</v>
      </c>
      <c r="AB70" s="783">
        <f>IF('Incremental Repayments'!$R$22="Debt",IF(AND(AB$4&gt;=$D70,AB$4&lt;$D70+'Incremental Repayments'!$I$31),-PMT('Interest Rate'!$J$16,'Incremental Repayments'!$I$31,(HLOOKUP($D70,$E$4:$CZ$32,28,FALSE)*'Incremental Repayments'!$I$22)),0),0)</f>
        <v>0</v>
      </c>
      <c r="AC70" s="783">
        <f>IF('Incremental Repayments'!$R$22="Debt",IF(AND(AC$4&gt;=$D70,AC$4&lt;$D70+'Incremental Repayments'!$I$31),-PMT('Interest Rate'!$J$16,'Incremental Repayments'!$I$31,(HLOOKUP($D70,$E$4:$CZ$32,28,FALSE)*'Incremental Repayments'!$I$22)),0),0)</f>
        <v>0</v>
      </c>
      <c r="AD70" s="783">
        <f>IF('Incremental Repayments'!$R$22="Debt",IF(AND(AD$4&gt;=$D70,AD$4&lt;$D70+'Incremental Repayments'!$I$31),-PMT('Interest Rate'!$J$16,'Incremental Repayments'!$I$31,(HLOOKUP($D70,$E$4:$CZ$32,28,FALSE)*'Incremental Repayments'!$I$22)),0),0)</f>
        <v>0</v>
      </c>
      <c r="AE70" s="783">
        <f>IF('Incremental Repayments'!$R$22="Debt",IF(AND(AE$4&gt;=$D70,AE$4&lt;$D70+'Incremental Repayments'!$I$31),-PMT('Interest Rate'!$J$16,'Incremental Repayments'!$I$31,(HLOOKUP($D70,$E$4:$CZ$32,28,FALSE)*'Incremental Repayments'!$I$22)),0),0)</f>
        <v>0</v>
      </c>
      <c r="AF70" s="783">
        <f>IF('Incremental Repayments'!$R$22="Debt",IF(AND(AF$4&gt;=$D70,AF$4&lt;$D70+'Incremental Repayments'!$I$31),-PMT('Interest Rate'!$J$16,'Incremental Repayments'!$I$31,(HLOOKUP($D70,$E$4:$CZ$32,28,FALSE)*'Incremental Repayments'!$I$22)),0),0)</f>
        <v>0</v>
      </c>
      <c r="AG70" s="783">
        <f>IF('Incremental Repayments'!$R$22="Debt",IF(AND(AG$4&gt;=$D70,AG$4&lt;$D70+'Incremental Repayments'!$I$31),-PMT('Interest Rate'!$J$16,'Incremental Repayments'!$I$31,(HLOOKUP($D70,$E$4:$CZ$32,28,FALSE)*'Incremental Repayments'!$I$22)),0),0)</f>
        <v>0</v>
      </c>
      <c r="AH70" s="783">
        <f>IF('Incremental Repayments'!$R$22="Debt",IF(AND(AH$4&gt;=$D70,AH$4&lt;$D70+'Incremental Repayments'!$I$31),-PMT('Interest Rate'!$J$16,'Incremental Repayments'!$I$31,(HLOOKUP($D70,$E$4:$CZ$32,28,FALSE)*'Incremental Repayments'!$I$22)),0),0)</f>
        <v>0</v>
      </c>
      <c r="AI70" s="783">
        <f>IF('Incremental Repayments'!$R$22="Debt",IF(AND(AI$4&gt;=$D70,AI$4&lt;$D70+'Incremental Repayments'!$I$31),-PMT('Interest Rate'!$J$16,'Incremental Repayments'!$I$31,(HLOOKUP($D70,$E$4:$CZ$32,28,FALSE)*'Incremental Repayments'!$I$22)),0),0)</f>
        <v>0</v>
      </c>
      <c r="AJ70" s="783">
        <f>IF('Incremental Repayments'!$R$22="Debt",IF(AND(AJ$4&gt;=$D70,AJ$4&lt;$D70+'Incremental Repayments'!$I$31),-PMT('Interest Rate'!$J$16,'Incremental Repayments'!$I$31,(HLOOKUP($D70,$E$4:$CZ$32,28,FALSE)*'Incremental Repayments'!$I$22)),0),0)</f>
        <v>0</v>
      </c>
      <c r="AK70" s="783">
        <f>IF('Incremental Repayments'!$R$22="Debt",IF(AND(AK$4&gt;=$D70,AK$4&lt;$D70+'Incremental Repayments'!$I$31),-PMT('Interest Rate'!$J$16,'Incremental Repayments'!$I$31,(HLOOKUP($D70,$E$4:$CZ$32,28,FALSE)*'Incremental Repayments'!$I$22)),0),0)</f>
        <v>0</v>
      </c>
      <c r="AL70" s="783">
        <f>IF('Incremental Repayments'!$R$22="Debt",IF(AND(AL$4&gt;=$D70,AL$4&lt;$D70+'Incremental Repayments'!$I$31),-PMT('Interest Rate'!$J$16,'Incremental Repayments'!$I$31,(HLOOKUP($D70,$E$4:$CZ$32,28,FALSE)*'Incremental Repayments'!$I$22)),0),0)</f>
        <v>0</v>
      </c>
      <c r="AM70" s="783">
        <f>IF('Incremental Repayments'!$R$22="Debt",IF(AND(AM$4&gt;=$D70,AM$4&lt;$D70+'Incremental Repayments'!$I$31),-PMT('Interest Rate'!$J$16,'Incremental Repayments'!$I$31,(HLOOKUP($D70,$E$4:$CZ$32,28,FALSE)*'Incremental Repayments'!$I$22)),0),0)</f>
        <v>1230623.3395393551</v>
      </c>
      <c r="AN70" s="783">
        <f>IF('Incremental Repayments'!$R$22="Debt",IF(AND(AN$4&gt;=$D70,AN$4&lt;$D70+'Incremental Repayments'!$I$31),-PMT('Interest Rate'!$J$16,'Incremental Repayments'!$I$31,(HLOOKUP($D70,$E$4:$CZ$32,28,FALSE)*'Incremental Repayments'!$I$22)),0),0)</f>
        <v>1230623.3395393551</v>
      </c>
      <c r="AO70" s="783">
        <f>IF('Incremental Repayments'!$R$22="Debt",IF(AND(AO$4&gt;=$D70,AO$4&lt;$D70+'Incremental Repayments'!$I$31),-PMT('Interest Rate'!$J$16,'Incremental Repayments'!$I$31,(HLOOKUP($D70,$E$4:$CZ$32,28,FALSE)*'Incremental Repayments'!$I$22)),0),0)</f>
        <v>1230623.3395393551</v>
      </c>
      <c r="AP70" s="783">
        <f>IF('Incremental Repayments'!$R$22="Debt",IF(AND(AP$4&gt;=$D70,AP$4&lt;$D70+'Incremental Repayments'!$I$31),-PMT('Interest Rate'!$J$16,'Incremental Repayments'!$I$31,(HLOOKUP($D70,$E$4:$CZ$32,28,FALSE)*'Incremental Repayments'!$I$22)),0),0)</f>
        <v>1230623.3395393551</v>
      </c>
      <c r="AQ70" s="783">
        <f>IF('Incremental Repayments'!$R$22="Debt",IF(AND(AQ$4&gt;=$D70,AQ$4&lt;$D70+'Incremental Repayments'!$I$31),-PMT('Interest Rate'!$J$16,'Incremental Repayments'!$I$31,(HLOOKUP($D70,$E$4:$CZ$32,28,FALSE)*'Incremental Repayments'!$I$22)),0),0)</f>
        <v>1230623.3395393551</v>
      </c>
      <c r="AR70" s="783">
        <f>IF('Incremental Repayments'!$R$22="Debt",IF(AND(AR$4&gt;=$D70,AR$4&lt;$D70+'Incremental Repayments'!$I$31),-PMT('Interest Rate'!$J$16,'Incremental Repayments'!$I$31,(HLOOKUP($D70,$E$4:$CZ$32,28,FALSE)*'Incremental Repayments'!$I$22)),0),0)</f>
        <v>1230623.3395393551</v>
      </c>
      <c r="AS70" s="783">
        <f>IF('Incremental Repayments'!$R$22="Debt",IF(AND(AS$4&gt;=$D70,AS$4&lt;$D70+'Incremental Repayments'!$I$31),-PMT('Interest Rate'!$J$16,'Incremental Repayments'!$I$31,(HLOOKUP($D70,$E$4:$CZ$32,28,FALSE)*'Incremental Repayments'!$I$22)),0),0)</f>
        <v>1230623.3395393551</v>
      </c>
      <c r="AT70" s="783">
        <f>IF('Incremental Repayments'!$R$22="Debt",IF(AND(AT$4&gt;=$D70,AT$4&lt;$D70+'Incremental Repayments'!$I$31),-PMT('Interest Rate'!$J$16,'Incremental Repayments'!$I$31,(HLOOKUP($D70,$E$4:$CZ$32,28,FALSE)*'Incremental Repayments'!$I$22)),0),0)</f>
        <v>1230623.3395393551</v>
      </c>
      <c r="AU70" s="783">
        <f>IF('Incremental Repayments'!$R$22="Debt",IF(AND(AU$4&gt;=$D70,AU$4&lt;$D70+'Incremental Repayments'!$I$31),-PMT('Interest Rate'!$J$16,'Incremental Repayments'!$I$31,(HLOOKUP($D70,$E$4:$CZ$32,28,FALSE)*'Incremental Repayments'!$I$22)),0),0)</f>
        <v>1230623.3395393551</v>
      </c>
      <c r="AV70" s="783">
        <f>IF('Incremental Repayments'!$R$22="Debt",IF(AND(AV$4&gt;=$D70,AV$4&lt;$D70+'Incremental Repayments'!$I$31),-PMT('Interest Rate'!$J$16,'Incremental Repayments'!$I$31,(HLOOKUP($D70,$E$4:$CZ$32,28,FALSE)*'Incremental Repayments'!$I$22)),0),0)</f>
        <v>1230623.3395393551</v>
      </c>
      <c r="AW70" s="783">
        <f>IF('Incremental Repayments'!$R$22="Debt",IF(AND(AW$4&gt;=$D70,AW$4&lt;$D70+'Incremental Repayments'!$I$31),-PMT('Interest Rate'!$J$16,'Incremental Repayments'!$I$31,(HLOOKUP($D70,$E$4:$CZ$32,28,FALSE)*'Incremental Repayments'!$I$22)),0),0)</f>
        <v>1230623.3395393551</v>
      </c>
      <c r="AX70" s="783">
        <f>IF('Incremental Repayments'!$R$22="Debt",IF(AND(AX$4&gt;=$D70,AX$4&lt;$D70+'Incremental Repayments'!$I$31),-PMT('Interest Rate'!$J$16,'Incremental Repayments'!$I$31,(HLOOKUP($D70,$E$4:$CZ$32,28,FALSE)*'Incremental Repayments'!$I$22)),0),0)</f>
        <v>1230623.3395393551</v>
      </c>
      <c r="AY70" s="783">
        <f>IF('Incremental Repayments'!$R$22="Debt",IF(AND(AY$4&gt;=$D70,AY$4&lt;$D70+'Incremental Repayments'!$I$31),-PMT('Interest Rate'!$J$16,'Incremental Repayments'!$I$31,(HLOOKUP($D70,$E$4:$CZ$32,28,FALSE)*'Incremental Repayments'!$I$22)),0),0)</f>
        <v>1230623.3395393551</v>
      </c>
      <c r="AZ70" s="783">
        <f>IF('Incremental Repayments'!$R$22="Debt",IF(AND(AZ$4&gt;=$D70,AZ$4&lt;$D70+'Incremental Repayments'!$I$31),-PMT('Interest Rate'!$J$16,'Incremental Repayments'!$I$31,(HLOOKUP($D70,$E$4:$CZ$32,28,FALSE)*'Incremental Repayments'!$I$22)),0),0)</f>
        <v>1230623.3395393551</v>
      </c>
      <c r="BA70" s="783">
        <f>IF('Incremental Repayments'!$R$22="Debt",IF(AND(BA$4&gt;=$D70,BA$4&lt;$D70+'Incremental Repayments'!$I$31),-PMT('Interest Rate'!$J$16,'Incremental Repayments'!$I$31,(HLOOKUP($D70,$E$4:$CZ$32,28,FALSE)*'Incremental Repayments'!$I$22)),0),0)</f>
        <v>1230623.3395393551</v>
      </c>
      <c r="BB70" s="783">
        <f>IF('Incremental Repayments'!$R$22="Debt",IF(AND(BB$4&gt;=$D70,BB$4&lt;$D70+'Incremental Repayments'!$I$31),-PMT('Interest Rate'!$J$16,'Incremental Repayments'!$I$31,(HLOOKUP($D70,$E$4:$CZ$32,28,FALSE)*'Incremental Repayments'!$I$22)),0),0)</f>
        <v>1230623.3395393551</v>
      </c>
      <c r="BC70" s="783">
        <f>IF('Incremental Repayments'!$R$22="Debt",IF(AND(BC$4&gt;=$D70,BC$4&lt;$D70+'Incremental Repayments'!$I$31),-PMT('Interest Rate'!$J$16,'Incremental Repayments'!$I$31,(HLOOKUP($D70,$E$4:$CZ$32,28,FALSE)*'Incremental Repayments'!$I$22)),0),0)</f>
        <v>1230623.3395393551</v>
      </c>
      <c r="BD70" s="783">
        <f>IF('Incremental Repayments'!$R$22="Debt",IF(AND(BD$4&gt;=$D70,BD$4&lt;$D70+'Incremental Repayments'!$I$31),-PMT('Interest Rate'!$J$16,'Incremental Repayments'!$I$31,(HLOOKUP($D70,$E$4:$CZ$32,28,FALSE)*'Incremental Repayments'!$I$22)),0),0)</f>
        <v>1230623.3395393551</v>
      </c>
      <c r="BE70" s="783">
        <f>IF('Incremental Repayments'!$R$22="Debt",IF(AND(BE$4&gt;=$D70,BE$4&lt;$D70+'Incremental Repayments'!$I$31),-PMT('Interest Rate'!$J$16,'Incremental Repayments'!$I$31,(HLOOKUP($D70,$E$4:$CZ$32,28,FALSE)*'Incremental Repayments'!$I$22)),0),0)</f>
        <v>1230623.3395393551</v>
      </c>
      <c r="BF70" s="783">
        <f>IF('Incremental Repayments'!$R$22="Debt",IF(AND(BF$4&gt;=$D70,BF$4&lt;$D70+'Incremental Repayments'!$I$31),-PMT('Interest Rate'!$J$16,'Incremental Repayments'!$I$31,(HLOOKUP($D70,$E$4:$CZ$32,28,FALSE)*'Incremental Repayments'!$I$22)),0),0)</f>
        <v>1230623.3395393551</v>
      </c>
      <c r="BG70" s="783">
        <f>IF('Incremental Repayments'!$R$22="Debt",IF(AND(BG$4&gt;=$D70,BG$4&lt;$D70+'Incremental Repayments'!$I$31),-PMT('Interest Rate'!$J$16,'Incremental Repayments'!$I$31,(HLOOKUP($D70,$E$4:$CZ$32,28,FALSE)*'Incremental Repayments'!$I$22)),0),0)</f>
        <v>1230623.3395393551</v>
      </c>
      <c r="BH70" s="783">
        <f>IF('Incremental Repayments'!$R$22="Debt",IF(AND(BH$4&gt;=$D70,BH$4&lt;$D70+'Incremental Repayments'!$I$31),-PMT('Interest Rate'!$J$16,'Incremental Repayments'!$I$31,(HLOOKUP($D70,$E$4:$CZ$32,28,FALSE)*'Incremental Repayments'!$I$22)),0),0)</f>
        <v>1230623.3395393551</v>
      </c>
      <c r="BI70" s="783">
        <f>IF('Incremental Repayments'!$R$22="Debt",IF(AND(BI$4&gt;=$D70,BI$4&lt;$D70+'Incremental Repayments'!$I$31),-PMT('Interest Rate'!$J$16,'Incremental Repayments'!$I$31,(HLOOKUP($D70,$E$4:$CZ$32,28,FALSE)*'Incremental Repayments'!$I$22)),0),0)</f>
        <v>1230623.3395393551</v>
      </c>
      <c r="BJ70" s="783">
        <f>IF('Incremental Repayments'!$R$22="Debt",IF(AND(BJ$4&gt;=$D70,BJ$4&lt;$D70+'Incremental Repayments'!$I$31),-PMT('Interest Rate'!$J$16,'Incremental Repayments'!$I$31,(HLOOKUP($D70,$E$4:$CZ$32,28,FALSE)*'Incremental Repayments'!$I$22)),0),0)</f>
        <v>1230623.3395393551</v>
      </c>
      <c r="BK70" s="783">
        <f>IF('Incremental Repayments'!$R$22="Debt",IF(AND(BK$4&gt;=$D70,BK$4&lt;$D70+'Incremental Repayments'!$I$31),-PMT('Interest Rate'!$J$16,'Incremental Repayments'!$I$31,(HLOOKUP($D70,$E$4:$CZ$32,28,FALSE)*'Incremental Repayments'!$I$22)),0),0)</f>
        <v>1230623.3395393551</v>
      </c>
      <c r="BL70" s="783">
        <f>IF('Incremental Repayments'!$R$22="Debt",IF(AND(BL$4&gt;=$D70,BL$4&lt;$D70+'Incremental Repayments'!$I$31),-PMT('Interest Rate'!$J$16,'Incremental Repayments'!$I$31,(HLOOKUP($D70,$E$4:$CZ$32,28,FALSE)*'Incremental Repayments'!$I$22)),0),0)</f>
        <v>1230623.3395393551</v>
      </c>
      <c r="BM70" s="783">
        <f>IF('Incremental Repayments'!$R$22="Debt",IF(AND(BM$4&gt;=$D70,BM$4&lt;$D70+'Incremental Repayments'!$I$31),-PMT('Interest Rate'!$J$16,'Incremental Repayments'!$I$31,(HLOOKUP($D70,$E$4:$CZ$32,28,FALSE)*'Incremental Repayments'!$I$22)),0),0)</f>
        <v>1230623.3395393551</v>
      </c>
      <c r="BN70" s="783">
        <f>IF('Incremental Repayments'!$R$22="Debt",IF(AND(BN$4&gt;=$D70,BN$4&lt;$D70+'Incremental Repayments'!$I$31),-PMT('Interest Rate'!$J$16,'Incremental Repayments'!$I$31,(HLOOKUP($D70,$E$4:$CZ$32,28,FALSE)*'Incremental Repayments'!$I$22)),0),0)</f>
        <v>1230623.3395393551</v>
      </c>
      <c r="BO70" s="783">
        <f>IF('Incremental Repayments'!$R$22="Debt",IF(AND(BO$4&gt;=$D70,BO$4&lt;$D70+'Incremental Repayments'!$I$31),-PMT('Interest Rate'!$J$16,'Incremental Repayments'!$I$31,(HLOOKUP($D70,$E$4:$CZ$32,28,FALSE)*'Incremental Repayments'!$I$22)),0),0)</f>
        <v>1230623.3395393551</v>
      </c>
      <c r="BP70" s="783">
        <f>IF('Incremental Repayments'!$R$22="Debt",IF(AND(BP$4&gt;=$D70,BP$4&lt;$D70+'Incremental Repayments'!$I$31),-PMT('Interest Rate'!$J$16,'Incremental Repayments'!$I$31,(HLOOKUP($D70,$E$4:$CZ$32,28,FALSE)*'Incremental Repayments'!$I$22)),0),0)</f>
        <v>1230623.3395393551</v>
      </c>
      <c r="BQ70" s="783">
        <f>IF('Incremental Repayments'!$R$22="Debt",IF(AND(BQ$4&gt;=$D70,BQ$4&lt;$D70+'Incremental Repayments'!$I$31),-PMT('Interest Rate'!$J$16,'Incremental Repayments'!$I$31,(HLOOKUP($D70,$E$4:$CZ$32,28,FALSE)*'Incremental Repayments'!$I$22)),0),0)</f>
        <v>0</v>
      </c>
      <c r="BR70" s="783">
        <f>IF('Incremental Repayments'!$R$22="Debt",IF(AND(BR$4&gt;=$D70,BR$4&lt;$D70+'Incremental Repayments'!$I$31),-PMT('Interest Rate'!$J$16,'Incremental Repayments'!$I$31,(HLOOKUP($D70,$E$4:$CZ$32,28,FALSE)*'Incremental Repayments'!$I$22)),0),0)</f>
        <v>0</v>
      </c>
      <c r="BS70" s="783">
        <f>IF('Incremental Repayments'!$R$22="Debt",IF(AND(BS$4&gt;=$D70,BS$4&lt;$D70+'Incremental Repayments'!$I$31),-PMT('Interest Rate'!$J$16,'Incremental Repayments'!$I$31,(HLOOKUP($D70,$E$4:$CZ$32,28,FALSE)*'Incremental Repayments'!$I$22)),0),0)</f>
        <v>0</v>
      </c>
      <c r="BT70" s="783">
        <f>IF('Incremental Repayments'!$R$22="Debt",IF(AND(BT$4&gt;=$D70,BT$4&lt;$D70+'Incremental Repayments'!$I$31),-PMT('Interest Rate'!$J$16,'Incremental Repayments'!$I$31,(HLOOKUP($D70,$E$4:$CZ$32,28,FALSE)*'Incremental Repayments'!$I$22)),0),0)</f>
        <v>0</v>
      </c>
      <c r="BU70" s="783">
        <f>IF('Incremental Repayments'!$R$22="Debt",IF(AND(BU$4&gt;=$D70,BU$4&lt;$D70+'Incremental Repayments'!$I$31),-PMT('Interest Rate'!$J$16,'Incremental Repayments'!$I$31,(HLOOKUP($D70,$E$4:$CZ$32,28,FALSE)*'Incremental Repayments'!$I$22)),0),0)</f>
        <v>0</v>
      </c>
      <c r="BV70" s="783">
        <f>IF('Incremental Repayments'!$R$22="Debt",IF(AND(BV$4&gt;=$D70,BV$4&lt;$D70+'Incremental Repayments'!$I$31),-PMT('Interest Rate'!$J$16,'Incremental Repayments'!$I$31,(HLOOKUP($D70,$E$4:$CZ$32,28,FALSE)*'Incremental Repayments'!$I$22)),0),0)</f>
        <v>0</v>
      </c>
      <c r="BW70" s="783">
        <f>IF('Incremental Repayments'!$R$22="Debt",IF(AND(BW$4&gt;=$D70,BW$4&lt;$D70+'Incremental Repayments'!$I$31),-PMT('Interest Rate'!$J$16,'Incremental Repayments'!$I$31,(HLOOKUP($D70,$E$4:$CZ$32,28,FALSE)*'Incremental Repayments'!$I$22)),0),0)</f>
        <v>0</v>
      </c>
      <c r="BX70" s="783">
        <f>IF('Incremental Repayments'!$R$22="Debt",IF(AND(BX$4&gt;=$D70,BX$4&lt;$D70+'Incremental Repayments'!$I$31),-PMT('Interest Rate'!$J$16,'Incremental Repayments'!$I$31,(HLOOKUP($D70,$E$4:$CZ$32,28,FALSE)*'Incremental Repayments'!$I$22)),0),0)</f>
        <v>0</v>
      </c>
      <c r="BY70" s="783">
        <f>IF('Incremental Repayments'!$R$22="Debt",IF(AND(BY$4&gt;=$D70,BY$4&lt;$D70+'Incremental Repayments'!$I$31),-PMT('Interest Rate'!$J$16,'Incremental Repayments'!$I$31,(HLOOKUP($D70,$E$4:$CZ$32,28,FALSE)*'Incremental Repayments'!$I$22)),0),0)</f>
        <v>0</v>
      </c>
      <c r="BZ70" s="783">
        <f>IF('Incremental Repayments'!$R$22="Debt",IF(AND(BZ$4&gt;=$D70,BZ$4&lt;$D70+'Incremental Repayments'!$I$31),-PMT('Interest Rate'!$J$16,'Incremental Repayments'!$I$31,(HLOOKUP($D70,$E$4:$CZ$32,28,FALSE)*'Incremental Repayments'!$I$22)),0),0)</f>
        <v>0</v>
      </c>
      <c r="CA70" s="783">
        <f>IF('Incremental Repayments'!$R$22="Debt",IF(AND(CA$4&gt;=$D70,CA$4&lt;$D70+'Incremental Repayments'!$I$31),-PMT('Interest Rate'!$J$16,'Incremental Repayments'!$I$31,(HLOOKUP($D70,$E$4:$CZ$32,28,FALSE)*'Incremental Repayments'!$I$22)),0),0)</f>
        <v>0</v>
      </c>
      <c r="CB70" s="783">
        <f>IF('Incremental Repayments'!$R$22="Debt",IF(AND(CB$4&gt;=$D70,CB$4&lt;$D70+'Incremental Repayments'!$I$31),-PMT('Interest Rate'!$J$16,'Incremental Repayments'!$I$31,(HLOOKUP($D70,$E$4:$CZ$32,28,FALSE)*'Incremental Repayments'!$I$22)),0),0)</f>
        <v>0</v>
      </c>
      <c r="CC70" s="783">
        <f>IF('Incremental Repayments'!$R$22="Debt",IF(AND(CC$4&gt;=$D70,CC$4&lt;$D70+'Incremental Repayments'!$I$31),-PMT('Interest Rate'!$J$16,'Incremental Repayments'!$I$31,(HLOOKUP($D70,$E$4:$CZ$32,28,FALSE)*'Incremental Repayments'!$I$22)),0),0)</f>
        <v>0</v>
      </c>
      <c r="CD70" s="783">
        <f>IF('Incremental Repayments'!$R$22="Debt",IF(AND(CD$4&gt;=$D70,CD$4&lt;$D70+'Incremental Repayments'!$I$31),-PMT('Interest Rate'!$J$16,'Incremental Repayments'!$I$31,(HLOOKUP($D70,$E$4:$CZ$32,28,FALSE)*'Incremental Repayments'!$I$22)),0),0)</f>
        <v>0</v>
      </c>
      <c r="CE70" s="783">
        <f>IF('Incremental Repayments'!$R$22="Debt",IF(AND(CE$4&gt;=$D70,CE$4&lt;$D70+'Incremental Repayments'!$I$31),-PMT('Interest Rate'!$J$16,'Incremental Repayments'!$I$31,(HLOOKUP($D70,$E$4:$CZ$32,28,FALSE)*'Incremental Repayments'!$I$22)),0),0)</f>
        <v>0</v>
      </c>
      <c r="CF70" s="783">
        <f>IF('Incremental Repayments'!$R$22="Debt",IF(AND(CF$4&gt;=$D70,CF$4&lt;$D70+'Incremental Repayments'!$I$31),-PMT('Interest Rate'!$J$16,'Incremental Repayments'!$I$31,(HLOOKUP($D70,$E$4:$CZ$32,28,FALSE)*'Incremental Repayments'!$I$22)),0),0)</f>
        <v>0</v>
      </c>
      <c r="CG70" s="783">
        <f>IF('Incremental Repayments'!$R$22="Debt",IF(AND(CG$4&gt;=$D70,CG$4&lt;$D70+'Incremental Repayments'!$I$31),-PMT('Interest Rate'!$J$16,'Incremental Repayments'!$I$31,(HLOOKUP($D70,$E$4:$CZ$32,28,FALSE)*'Incremental Repayments'!$I$22)),0),0)</f>
        <v>0</v>
      </c>
      <c r="CH70" s="783">
        <f>IF('Incremental Repayments'!$R$22="Debt",IF(AND(CH$4&gt;=$D70,CH$4&lt;$D70+'Incremental Repayments'!$I$31),-PMT('Interest Rate'!$J$16,'Incremental Repayments'!$I$31,(HLOOKUP($D70,$E$4:$CZ$32,28,FALSE)*'Incremental Repayments'!$I$22)),0),0)</f>
        <v>0</v>
      </c>
      <c r="CI70" s="783">
        <f>IF('Incremental Repayments'!$R$22="Debt",IF(AND(CI$4&gt;=$D70,CI$4&lt;$D70+'Incremental Repayments'!$I$31),-PMT('Interest Rate'!$J$16,'Incremental Repayments'!$I$31,(HLOOKUP($D70,$E$4:$CZ$32,28,FALSE)*'Incremental Repayments'!$I$22)),0),0)</f>
        <v>0</v>
      </c>
      <c r="CJ70" s="783">
        <f>IF('Incremental Repayments'!$R$22="Debt",IF(AND(CJ$4&gt;=$D70,CJ$4&lt;$D70+'Incremental Repayments'!$I$31),-PMT('Interest Rate'!$J$16,'Incremental Repayments'!$I$31,(HLOOKUP($D70,$E$4:$CZ$32,28,FALSE)*'Incremental Repayments'!$I$22)),0),0)</f>
        <v>0</v>
      </c>
      <c r="CK70" s="783">
        <f>IF('Incremental Repayments'!$R$22="Debt",IF(AND(CK$4&gt;=$D70,CK$4&lt;$D70+'Incremental Repayments'!$I$31),-PMT('Interest Rate'!$J$16,'Incremental Repayments'!$I$31,(HLOOKUP($D70,$E$4:$CZ$32,28,FALSE)*'Incremental Repayments'!$I$22)),0),0)</f>
        <v>0</v>
      </c>
      <c r="CL70" s="783">
        <f>IF('Incremental Repayments'!$R$22="Debt",IF(AND(CL$4&gt;=$D70,CL$4&lt;$D70+'Incremental Repayments'!$I$31),-PMT('Interest Rate'!$J$16,'Incremental Repayments'!$I$31,(HLOOKUP($D70,$E$4:$CZ$32,28,FALSE)*'Incremental Repayments'!$I$22)),0),0)</f>
        <v>0</v>
      </c>
      <c r="CM70" s="783">
        <f>IF('Incremental Repayments'!$R$22="Debt",IF(AND(CM$4&gt;=$D70,CM$4&lt;$D70+'Incremental Repayments'!$I$31),-PMT('Interest Rate'!$J$16,'Incremental Repayments'!$I$31,(HLOOKUP($D70,$E$4:$CZ$32,28,FALSE)*'Incremental Repayments'!$I$22)),0),0)</f>
        <v>0</v>
      </c>
      <c r="CN70" s="783">
        <f>IF('Incremental Repayments'!$R$22="Debt",IF(AND(CN$4&gt;=$D70,CN$4&lt;$D70+'Incremental Repayments'!$I$31),-PMT('Interest Rate'!$J$16,'Incremental Repayments'!$I$31,(HLOOKUP($D70,$E$4:$CZ$32,28,FALSE)*'Incremental Repayments'!$I$22)),0),0)</f>
        <v>0</v>
      </c>
      <c r="CO70" s="783">
        <f>IF('Incremental Repayments'!$R$22="Debt",IF(AND(CO$4&gt;=$D70,CO$4&lt;$D70+'Incremental Repayments'!$I$31),-PMT('Interest Rate'!$J$16,'Incremental Repayments'!$I$31,(HLOOKUP($D70,$E$4:$CZ$32,28,FALSE)*'Incremental Repayments'!$I$22)),0),0)</f>
        <v>0</v>
      </c>
      <c r="CP70" s="783">
        <f>IF('Incremental Repayments'!$R$22="Debt",IF(AND(CP$4&gt;=$D70,CP$4&lt;$D70+'Incremental Repayments'!$I$31),-PMT('Interest Rate'!$J$16,'Incremental Repayments'!$I$31,(HLOOKUP($D70,$E$4:$CZ$32,28,FALSE)*'Incremental Repayments'!$I$22)),0),0)</f>
        <v>0</v>
      </c>
      <c r="CQ70" s="783">
        <f>IF('Incremental Repayments'!$R$22="Debt",IF(AND(CQ$4&gt;=$D70,CQ$4&lt;$D70+'Incremental Repayments'!$I$31),-PMT('Interest Rate'!$J$16,'Incremental Repayments'!$I$31,(HLOOKUP($D70,$E$4:$CZ$32,28,FALSE)*'Incremental Repayments'!$I$22)),0),0)</f>
        <v>0</v>
      </c>
      <c r="CR70" s="783">
        <f>IF('Incremental Repayments'!$R$22="Debt",IF(AND(CR$4&gt;=$D70,CR$4&lt;$D70+'Incremental Repayments'!$I$31),-PMT('Interest Rate'!$J$16,'Incremental Repayments'!$I$31,(HLOOKUP($D70,$E$4:$CZ$32,28,FALSE)*'Incremental Repayments'!$I$22)),0),0)</f>
        <v>0</v>
      </c>
      <c r="CS70" s="783">
        <f>IF('Incremental Repayments'!$R$22="Debt",IF(AND(CS$4&gt;=$D70,CS$4&lt;$D70+'Incremental Repayments'!$I$31),-PMT('Interest Rate'!$J$16,'Incremental Repayments'!$I$31,(HLOOKUP($D70,$E$4:$CZ$32,28,FALSE)*'Incremental Repayments'!$I$22)),0),0)</f>
        <v>0</v>
      </c>
      <c r="CT70" s="783">
        <f>IF('Incremental Repayments'!$R$22="Debt",IF(AND(CT$4&gt;=$D70,CT$4&lt;$D70+'Incremental Repayments'!$I$31),-PMT('Interest Rate'!$J$16,'Incremental Repayments'!$I$31,(HLOOKUP($D70,$E$4:$CZ$32,28,FALSE)*'Incremental Repayments'!$I$22)),0),0)</f>
        <v>0</v>
      </c>
      <c r="CU70" s="783">
        <f>IF('Incremental Repayments'!$R$22="Debt",IF(AND(CU$4&gt;=$D70,CU$4&lt;$D70+'Incremental Repayments'!$I$31),-PMT('Interest Rate'!$J$16,'Incremental Repayments'!$I$31,(HLOOKUP($D70,$E$4:$CZ$32,28,FALSE)*'Incremental Repayments'!$I$22)),0),0)</f>
        <v>0</v>
      </c>
      <c r="CV70" s="783">
        <f>IF('Incremental Repayments'!$R$22="Debt",IF(AND(CV$4&gt;=$D70,CV$4&lt;$D70+'Incremental Repayments'!$I$31),-PMT('Interest Rate'!$J$16,'Incremental Repayments'!$I$31,(HLOOKUP($D70,$E$4:$CZ$32,28,FALSE)*'Incremental Repayments'!$I$22)),0),0)</f>
        <v>0</v>
      </c>
      <c r="CW70" s="783">
        <f>IF('Incremental Repayments'!$R$22="Debt",IF(AND(CW$4&gt;=$D70,CW$4&lt;$D70+'Incremental Repayments'!$I$31),-PMT('Interest Rate'!$J$16,'Incremental Repayments'!$I$31,(HLOOKUP($D70,$E$4:$CZ$32,28,FALSE)*'Incremental Repayments'!$I$22)),0),0)</f>
        <v>0</v>
      </c>
      <c r="CX70" s="783">
        <f>IF('Incremental Repayments'!$R$22="Debt",IF(AND(CX$4&gt;=$D70,CX$4&lt;$D70+'Incremental Repayments'!$I$31),-PMT('Interest Rate'!$J$16,'Incremental Repayments'!$I$31,(HLOOKUP($D70,$E$4:$CZ$32,28,FALSE)*'Incremental Repayments'!$I$22)),0),0)</f>
        <v>0</v>
      </c>
      <c r="CY70" s="783">
        <f>IF('Incremental Repayments'!$R$22="Debt",IF(AND(CY$4&gt;=$D70,CY$4&lt;$D70+'Incremental Repayments'!$I$31),-PMT('Interest Rate'!$J$16,'Incremental Repayments'!$I$31,(HLOOKUP($D70,$E$4:$CZ$32,28,FALSE)*'Incremental Repayments'!$I$22)),0),0)</f>
        <v>0</v>
      </c>
      <c r="CZ70" s="783">
        <f>IF('Incremental Repayments'!$R$22="Debt",IF(AND(CZ$4&gt;=$D70,CZ$4&lt;$D70+'Incremental Repayments'!$I$31),-PMT('Interest Rate'!$J$16,'Incremental Repayments'!$I$31,(HLOOKUP($D70,$E$4:$CZ$32,28,FALSE)*'Incremental Repayments'!$I$22)),0),0)</f>
        <v>0</v>
      </c>
    </row>
    <row r="71" spans="2:104" x14ac:dyDescent="0.25">
      <c r="B71" s="480" t="str">
        <f>CONCATENATE("Series ",D71,"A Bonds (at ",'Interest Rate'!$J$16*100,"% Interest)")</f>
        <v>Series 2049A Bonds (at 4.5% Interest)</v>
      </c>
      <c r="C71" s="480"/>
      <c r="D71" s="492">
        <f t="shared" si="47"/>
        <v>2049</v>
      </c>
      <c r="E71" s="783">
        <f>IF('Incremental Repayments'!$R$22="Debt",IF(AND(E$4&gt;=$D71,E$4&lt;$D71+'Incremental Repayments'!$I$31),-PMT('Interest Rate'!$J$16,'Incremental Repayments'!$I$31,(HLOOKUP($D71,$E$4:$CZ$32,28,FALSE)*'Incremental Repayments'!$I$22)),0),0)</f>
        <v>0</v>
      </c>
      <c r="F71" s="783">
        <f>IF('Incremental Repayments'!$R$22="Debt",IF(AND(F$4&gt;=$D71,F$4&lt;$D71+'Incremental Repayments'!$I$31),-PMT('Interest Rate'!$J$16,'Incremental Repayments'!$I$31,(HLOOKUP($D71,$E$4:$CZ$32,28,FALSE)*'Incremental Repayments'!$I$22)),0),0)</f>
        <v>0</v>
      </c>
      <c r="G71" s="783">
        <f>IF('Incremental Repayments'!$R$22="Debt",IF(AND(G$4&gt;=$D71,G$4&lt;$D71+'Incremental Repayments'!$I$31),-PMT('Interest Rate'!$J$16,'Incremental Repayments'!$I$31,(HLOOKUP($D71,$E$4:$CZ$32,28,FALSE)*'Incremental Repayments'!$I$22)),0),0)</f>
        <v>0</v>
      </c>
      <c r="H71" s="783">
        <f>IF('Incremental Repayments'!$R$22="Debt",IF(AND(H$4&gt;=$D71,H$4&lt;$D71+'Incremental Repayments'!$I$31),-PMT('Interest Rate'!$J$16,'Incremental Repayments'!$I$31,(HLOOKUP($D71,$E$4:$CZ$32,28,FALSE)*'Incremental Repayments'!$I$22)),0),0)</f>
        <v>0</v>
      </c>
      <c r="I71" s="783">
        <f>IF('Incremental Repayments'!$R$22="Debt",IF(AND(I$4&gt;=$D71,I$4&lt;$D71+'Incremental Repayments'!$I$31),-PMT('Interest Rate'!$J$16,'Incremental Repayments'!$I$31,(HLOOKUP($D71,$E$4:$CZ$32,28,FALSE)*'Incremental Repayments'!$I$22)),0),0)</f>
        <v>0</v>
      </c>
      <c r="J71" s="783">
        <f>IF('Incremental Repayments'!$R$22="Debt",IF(AND(J$4&gt;=$D71,J$4&lt;$D71+'Incremental Repayments'!$I$31),-PMT('Interest Rate'!$J$16,'Incremental Repayments'!$I$31,(HLOOKUP($D71,$E$4:$CZ$32,28,FALSE)*'Incremental Repayments'!$I$22)),0),0)</f>
        <v>0</v>
      </c>
      <c r="K71" s="783">
        <f>IF('Incremental Repayments'!$R$22="Debt",IF(AND(K$4&gt;=$D71,K$4&lt;$D71+'Incremental Repayments'!$I$31),-PMT('Interest Rate'!$J$16,'Incremental Repayments'!$I$31,(HLOOKUP($D71,$E$4:$CZ$32,28,FALSE)*'Incremental Repayments'!$I$22)),0),0)</f>
        <v>0</v>
      </c>
      <c r="L71" s="783">
        <f>IF('Incremental Repayments'!$R$22="Debt",IF(AND(L$4&gt;=$D71,L$4&lt;$D71+'Incremental Repayments'!$I$31),-PMT('Interest Rate'!$J$16,'Incremental Repayments'!$I$31,(HLOOKUP($D71,$E$4:$CZ$32,28,FALSE)*'Incremental Repayments'!$I$22)),0),0)</f>
        <v>0</v>
      </c>
      <c r="M71" s="783">
        <f>IF('Incremental Repayments'!$R$22="Debt",IF(AND(M$4&gt;=$D71,M$4&lt;$D71+'Incremental Repayments'!$I$31),-PMT('Interest Rate'!$J$16,'Incremental Repayments'!$I$31,(HLOOKUP($D71,$E$4:$CZ$32,28,FALSE)*'Incremental Repayments'!$I$22)),0),0)</f>
        <v>0</v>
      </c>
      <c r="N71" s="783">
        <f>IF('Incremental Repayments'!$R$22="Debt",IF(AND(N$4&gt;=$D71,N$4&lt;$D71+'Incremental Repayments'!$I$31),-PMT('Interest Rate'!$J$16,'Incremental Repayments'!$I$31,(HLOOKUP($D71,$E$4:$CZ$32,28,FALSE)*'Incremental Repayments'!$I$22)),0),0)</f>
        <v>0</v>
      </c>
      <c r="O71" s="783">
        <f>IF('Incremental Repayments'!$R$22="Debt",IF(AND(O$4&gt;=$D71,O$4&lt;$D71+'Incremental Repayments'!$I$31),-PMT('Interest Rate'!$J$16,'Incremental Repayments'!$I$31,(HLOOKUP($D71,$E$4:$CZ$32,28,FALSE)*'Incremental Repayments'!$I$22)),0),0)</f>
        <v>0</v>
      </c>
      <c r="P71" s="783">
        <f>IF('Incremental Repayments'!$R$22="Debt",IF(AND(P$4&gt;=$D71,P$4&lt;$D71+'Incremental Repayments'!$I$31),-PMT('Interest Rate'!$J$16,'Incremental Repayments'!$I$31,(HLOOKUP($D71,$E$4:$CZ$32,28,FALSE)*'Incremental Repayments'!$I$22)),0),0)</f>
        <v>0</v>
      </c>
      <c r="Q71" s="783">
        <f>IF('Incremental Repayments'!$R$22="Debt",IF(AND(Q$4&gt;=$D71,Q$4&lt;$D71+'Incremental Repayments'!$I$31),-PMT('Interest Rate'!$J$16,'Incremental Repayments'!$I$31,(HLOOKUP($D71,$E$4:$CZ$32,28,FALSE)*'Incremental Repayments'!$I$22)),0),0)</f>
        <v>0</v>
      </c>
      <c r="R71" s="783">
        <f>IF('Incremental Repayments'!$R$22="Debt",IF(AND(R$4&gt;=$D71,R$4&lt;$D71+'Incremental Repayments'!$I$31),-PMT('Interest Rate'!$J$16,'Incremental Repayments'!$I$31,(HLOOKUP($D71,$E$4:$CZ$32,28,FALSE)*'Incremental Repayments'!$I$22)),0),0)</f>
        <v>0</v>
      </c>
      <c r="S71" s="783">
        <f>IF('Incremental Repayments'!$R$22="Debt",IF(AND(S$4&gt;=$D71,S$4&lt;$D71+'Incremental Repayments'!$I$31),-PMT('Interest Rate'!$J$16,'Incremental Repayments'!$I$31,(HLOOKUP($D71,$E$4:$CZ$32,28,FALSE)*'Incremental Repayments'!$I$22)),0),0)</f>
        <v>0</v>
      </c>
      <c r="T71" s="783">
        <f>IF('Incremental Repayments'!$R$22="Debt",IF(AND(T$4&gt;=$D71,T$4&lt;$D71+'Incremental Repayments'!$I$31),-PMT('Interest Rate'!$J$16,'Incremental Repayments'!$I$31,(HLOOKUP($D71,$E$4:$CZ$32,28,FALSE)*'Incremental Repayments'!$I$22)),0),0)</f>
        <v>0</v>
      </c>
      <c r="U71" s="783">
        <f>IF('Incremental Repayments'!$R$22="Debt",IF(AND(U$4&gt;=$D71,U$4&lt;$D71+'Incremental Repayments'!$I$31),-PMT('Interest Rate'!$J$16,'Incremental Repayments'!$I$31,(HLOOKUP($D71,$E$4:$CZ$32,28,FALSE)*'Incremental Repayments'!$I$22)),0),0)</f>
        <v>0</v>
      </c>
      <c r="V71" s="783">
        <f>IF('Incremental Repayments'!$R$22="Debt",IF(AND(V$4&gt;=$D71,V$4&lt;$D71+'Incremental Repayments'!$I$31),-PMT('Interest Rate'!$J$16,'Incremental Repayments'!$I$31,(HLOOKUP($D71,$E$4:$CZ$32,28,FALSE)*'Incremental Repayments'!$I$22)),0),0)</f>
        <v>0</v>
      </c>
      <c r="W71" s="783">
        <f>IF('Incremental Repayments'!$R$22="Debt",IF(AND(W$4&gt;=$D71,W$4&lt;$D71+'Incremental Repayments'!$I$31),-PMT('Interest Rate'!$J$16,'Incremental Repayments'!$I$31,(HLOOKUP($D71,$E$4:$CZ$32,28,FALSE)*'Incremental Repayments'!$I$22)),0),0)</f>
        <v>0</v>
      </c>
      <c r="X71" s="783">
        <f>IF('Incremental Repayments'!$R$22="Debt",IF(AND(X$4&gt;=$D71,X$4&lt;$D71+'Incremental Repayments'!$I$31),-PMT('Interest Rate'!$J$16,'Incremental Repayments'!$I$31,(HLOOKUP($D71,$E$4:$CZ$32,28,FALSE)*'Incremental Repayments'!$I$22)),0),0)</f>
        <v>0</v>
      </c>
      <c r="Y71" s="783">
        <f>IF('Incremental Repayments'!$R$22="Debt",IF(AND(Y$4&gt;=$D71,Y$4&lt;$D71+'Incremental Repayments'!$I$31),-PMT('Interest Rate'!$J$16,'Incremental Repayments'!$I$31,(HLOOKUP($D71,$E$4:$CZ$32,28,FALSE)*'Incremental Repayments'!$I$22)),0),0)</f>
        <v>0</v>
      </c>
      <c r="Z71" s="783">
        <f>IF('Incremental Repayments'!$R$22="Debt",IF(AND(Z$4&gt;=$D71,Z$4&lt;$D71+'Incremental Repayments'!$I$31),-PMT('Interest Rate'!$J$16,'Incremental Repayments'!$I$31,(HLOOKUP($D71,$E$4:$CZ$32,28,FALSE)*'Incremental Repayments'!$I$22)),0),0)</f>
        <v>0</v>
      </c>
      <c r="AA71" s="783">
        <f>IF('Incremental Repayments'!$R$22="Debt",IF(AND(AA$4&gt;=$D71,AA$4&lt;$D71+'Incremental Repayments'!$I$31),-PMT('Interest Rate'!$J$16,'Incremental Repayments'!$I$31,(HLOOKUP($D71,$E$4:$CZ$32,28,FALSE)*'Incremental Repayments'!$I$22)),0),0)</f>
        <v>0</v>
      </c>
      <c r="AB71" s="783">
        <f>IF('Incremental Repayments'!$R$22="Debt",IF(AND(AB$4&gt;=$D71,AB$4&lt;$D71+'Incremental Repayments'!$I$31),-PMT('Interest Rate'!$J$16,'Incremental Repayments'!$I$31,(HLOOKUP($D71,$E$4:$CZ$32,28,FALSE)*'Incremental Repayments'!$I$22)),0),0)</f>
        <v>0</v>
      </c>
      <c r="AC71" s="783">
        <f>IF('Incremental Repayments'!$R$22="Debt",IF(AND(AC$4&gt;=$D71,AC$4&lt;$D71+'Incremental Repayments'!$I$31),-PMT('Interest Rate'!$J$16,'Incremental Repayments'!$I$31,(HLOOKUP($D71,$E$4:$CZ$32,28,FALSE)*'Incremental Repayments'!$I$22)),0),0)</f>
        <v>0</v>
      </c>
      <c r="AD71" s="783">
        <f>IF('Incremental Repayments'!$R$22="Debt",IF(AND(AD$4&gt;=$D71,AD$4&lt;$D71+'Incremental Repayments'!$I$31),-PMT('Interest Rate'!$J$16,'Incremental Repayments'!$I$31,(HLOOKUP($D71,$E$4:$CZ$32,28,FALSE)*'Incremental Repayments'!$I$22)),0),0)</f>
        <v>0</v>
      </c>
      <c r="AE71" s="783">
        <f>IF('Incremental Repayments'!$R$22="Debt",IF(AND(AE$4&gt;=$D71,AE$4&lt;$D71+'Incremental Repayments'!$I$31),-PMT('Interest Rate'!$J$16,'Incremental Repayments'!$I$31,(HLOOKUP($D71,$E$4:$CZ$32,28,FALSE)*'Incremental Repayments'!$I$22)),0),0)</f>
        <v>0</v>
      </c>
      <c r="AF71" s="783">
        <f>IF('Incremental Repayments'!$R$22="Debt",IF(AND(AF$4&gt;=$D71,AF$4&lt;$D71+'Incremental Repayments'!$I$31),-PMT('Interest Rate'!$J$16,'Incremental Repayments'!$I$31,(HLOOKUP($D71,$E$4:$CZ$32,28,FALSE)*'Incremental Repayments'!$I$22)),0),0)</f>
        <v>0</v>
      </c>
      <c r="AG71" s="783">
        <f>IF('Incremental Repayments'!$R$22="Debt",IF(AND(AG$4&gt;=$D71,AG$4&lt;$D71+'Incremental Repayments'!$I$31),-PMT('Interest Rate'!$J$16,'Incremental Repayments'!$I$31,(HLOOKUP($D71,$E$4:$CZ$32,28,FALSE)*'Incremental Repayments'!$I$22)),0),0)</f>
        <v>0</v>
      </c>
      <c r="AH71" s="783">
        <f>IF('Incremental Repayments'!$R$22="Debt",IF(AND(AH$4&gt;=$D71,AH$4&lt;$D71+'Incremental Repayments'!$I$31),-PMT('Interest Rate'!$J$16,'Incremental Repayments'!$I$31,(HLOOKUP($D71,$E$4:$CZ$32,28,FALSE)*'Incremental Repayments'!$I$22)),0),0)</f>
        <v>0</v>
      </c>
      <c r="AI71" s="783">
        <f>IF('Incremental Repayments'!$R$22="Debt",IF(AND(AI$4&gt;=$D71,AI$4&lt;$D71+'Incremental Repayments'!$I$31),-PMT('Interest Rate'!$J$16,'Incremental Repayments'!$I$31,(HLOOKUP($D71,$E$4:$CZ$32,28,FALSE)*'Incremental Repayments'!$I$22)),0),0)</f>
        <v>0</v>
      </c>
      <c r="AJ71" s="783">
        <f>IF('Incremental Repayments'!$R$22="Debt",IF(AND(AJ$4&gt;=$D71,AJ$4&lt;$D71+'Incremental Repayments'!$I$31),-PMT('Interest Rate'!$J$16,'Incremental Repayments'!$I$31,(HLOOKUP($D71,$E$4:$CZ$32,28,FALSE)*'Incremental Repayments'!$I$22)),0),0)</f>
        <v>0</v>
      </c>
      <c r="AK71" s="783">
        <f>IF('Incremental Repayments'!$R$22="Debt",IF(AND(AK$4&gt;=$D71,AK$4&lt;$D71+'Incremental Repayments'!$I$31),-PMT('Interest Rate'!$J$16,'Incremental Repayments'!$I$31,(HLOOKUP($D71,$E$4:$CZ$32,28,FALSE)*'Incremental Repayments'!$I$22)),0),0)</f>
        <v>0</v>
      </c>
      <c r="AL71" s="783">
        <f>IF('Incremental Repayments'!$R$22="Debt",IF(AND(AL$4&gt;=$D71,AL$4&lt;$D71+'Incremental Repayments'!$I$31),-PMT('Interest Rate'!$J$16,'Incremental Repayments'!$I$31,(HLOOKUP($D71,$E$4:$CZ$32,28,FALSE)*'Incremental Repayments'!$I$22)),0),0)</f>
        <v>0</v>
      </c>
      <c r="AM71" s="783">
        <f>IF('Incremental Repayments'!$R$22="Debt",IF(AND(AM$4&gt;=$D71,AM$4&lt;$D71+'Incremental Repayments'!$I$31),-PMT('Interest Rate'!$J$16,'Incremental Repayments'!$I$31,(HLOOKUP($D71,$E$4:$CZ$32,28,FALSE)*'Incremental Repayments'!$I$22)),0),0)</f>
        <v>0</v>
      </c>
      <c r="AN71" s="783">
        <f>IF('Incremental Repayments'!$R$22="Debt",IF(AND(AN$4&gt;=$D71,AN$4&lt;$D71+'Incremental Repayments'!$I$31),-PMT('Interest Rate'!$J$16,'Incremental Repayments'!$I$31,(HLOOKUP($D71,$E$4:$CZ$32,28,FALSE)*'Incremental Repayments'!$I$22)),0),0)</f>
        <v>764656.52667318948</v>
      </c>
      <c r="AO71" s="783">
        <f>IF('Incremental Repayments'!$R$22="Debt",IF(AND(AO$4&gt;=$D71,AO$4&lt;$D71+'Incremental Repayments'!$I$31),-PMT('Interest Rate'!$J$16,'Incremental Repayments'!$I$31,(HLOOKUP($D71,$E$4:$CZ$32,28,FALSE)*'Incremental Repayments'!$I$22)),0),0)</f>
        <v>764656.52667318948</v>
      </c>
      <c r="AP71" s="783">
        <f>IF('Incremental Repayments'!$R$22="Debt",IF(AND(AP$4&gt;=$D71,AP$4&lt;$D71+'Incremental Repayments'!$I$31),-PMT('Interest Rate'!$J$16,'Incremental Repayments'!$I$31,(HLOOKUP($D71,$E$4:$CZ$32,28,FALSE)*'Incremental Repayments'!$I$22)),0),0)</f>
        <v>764656.52667318948</v>
      </c>
      <c r="AQ71" s="783">
        <f>IF('Incremental Repayments'!$R$22="Debt",IF(AND(AQ$4&gt;=$D71,AQ$4&lt;$D71+'Incremental Repayments'!$I$31),-PMT('Interest Rate'!$J$16,'Incremental Repayments'!$I$31,(HLOOKUP($D71,$E$4:$CZ$32,28,FALSE)*'Incremental Repayments'!$I$22)),0),0)</f>
        <v>764656.52667318948</v>
      </c>
      <c r="AR71" s="783">
        <f>IF('Incremental Repayments'!$R$22="Debt",IF(AND(AR$4&gt;=$D71,AR$4&lt;$D71+'Incremental Repayments'!$I$31),-PMT('Interest Rate'!$J$16,'Incremental Repayments'!$I$31,(HLOOKUP($D71,$E$4:$CZ$32,28,FALSE)*'Incremental Repayments'!$I$22)),0),0)</f>
        <v>764656.52667318948</v>
      </c>
      <c r="AS71" s="783">
        <f>IF('Incremental Repayments'!$R$22="Debt",IF(AND(AS$4&gt;=$D71,AS$4&lt;$D71+'Incremental Repayments'!$I$31),-PMT('Interest Rate'!$J$16,'Incremental Repayments'!$I$31,(HLOOKUP($D71,$E$4:$CZ$32,28,FALSE)*'Incremental Repayments'!$I$22)),0),0)</f>
        <v>764656.52667318948</v>
      </c>
      <c r="AT71" s="783">
        <f>IF('Incremental Repayments'!$R$22="Debt",IF(AND(AT$4&gt;=$D71,AT$4&lt;$D71+'Incremental Repayments'!$I$31),-PMT('Interest Rate'!$J$16,'Incremental Repayments'!$I$31,(HLOOKUP($D71,$E$4:$CZ$32,28,FALSE)*'Incremental Repayments'!$I$22)),0),0)</f>
        <v>764656.52667318948</v>
      </c>
      <c r="AU71" s="783">
        <f>IF('Incremental Repayments'!$R$22="Debt",IF(AND(AU$4&gt;=$D71,AU$4&lt;$D71+'Incremental Repayments'!$I$31),-PMT('Interest Rate'!$J$16,'Incremental Repayments'!$I$31,(HLOOKUP($D71,$E$4:$CZ$32,28,FALSE)*'Incremental Repayments'!$I$22)),0),0)</f>
        <v>764656.52667318948</v>
      </c>
      <c r="AV71" s="783">
        <f>IF('Incremental Repayments'!$R$22="Debt",IF(AND(AV$4&gt;=$D71,AV$4&lt;$D71+'Incremental Repayments'!$I$31),-PMT('Interest Rate'!$J$16,'Incremental Repayments'!$I$31,(HLOOKUP($D71,$E$4:$CZ$32,28,FALSE)*'Incremental Repayments'!$I$22)),0),0)</f>
        <v>764656.52667318948</v>
      </c>
      <c r="AW71" s="783">
        <f>IF('Incremental Repayments'!$R$22="Debt",IF(AND(AW$4&gt;=$D71,AW$4&lt;$D71+'Incremental Repayments'!$I$31),-PMT('Interest Rate'!$J$16,'Incremental Repayments'!$I$31,(HLOOKUP($D71,$E$4:$CZ$32,28,FALSE)*'Incremental Repayments'!$I$22)),0),0)</f>
        <v>764656.52667318948</v>
      </c>
      <c r="AX71" s="783">
        <f>IF('Incremental Repayments'!$R$22="Debt",IF(AND(AX$4&gt;=$D71,AX$4&lt;$D71+'Incremental Repayments'!$I$31),-PMT('Interest Rate'!$J$16,'Incremental Repayments'!$I$31,(HLOOKUP($D71,$E$4:$CZ$32,28,FALSE)*'Incremental Repayments'!$I$22)),0),0)</f>
        <v>764656.52667318948</v>
      </c>
      <c r="AY71" s="783">
        <f>IF('Incremental Repayments'!$R$22="Debt",IF(AND(AY$4&gt;=$D71,AY$4&lt;$D71+'Incremental Repayments'!$I$31),-PMT('Interest Rate'!$J$16,'Incremental Repayments'!$I$31,(HLOOKUP($D71,$E$4:$CZ$32,28,FALSE)*'Incremental Repayments'!$I$22)),0),0)</f>
        <v>764656.52667318948</v>
      </c>
      <c r="AZ71" s="783">
        <f>IF('Incremental Repayments'!$R$22="Debt",IF(AND(AZ$4&gt;=$D71,AZ$4&lt;$D71+'Incremental Repayments'!$I$31),-PMT('Interest Rate'!$J$16,'Incremental Repayments'!$I$31,(HLOOKUP($D71,$E$4:$CZ$32,28,FALSE)*'Incremental Repayments'!$I$22)),0),0)</f>
        <v>764656.52667318948</v>
      </c>
      <c r="BA71" s="783">
        <f>IF('Incremental Repayments'!$R$22="Debt",IF(AND(BA$4&gt;=$D71,BA$4&lt;$D71+'Incremental Repayments'!$I$31),-PMT('Interest Rate'!$J$16,'Incremental Repayments'!$I$31,(HLOOKUP($D71,$E$4:$CZ$32,28,FALSE)*'Incremental Repayments'!$I$22)),0),0)</f>
        <v>764656.52667318948</v>
      </c>
      <c r="BB71" s="783">
        <f>IF('Incremental Repayments'!$R$22="Debt",IF(AND(BB$4&gt;=$D71,BB$4&lt;$D71+'Incremental Repayments'!$I$31),-PMT('Interest Rate'!$J$16,'Incremental Repayments'!$I$31,(HLOOKUP($D71,$E$4:$CZ$32,28,FALSE)*'Incremental Repayments'!$I$22)),0),0)</f>
        <v>764656.52667318948</v>
      </c>
      <c r="BC71" s="783">
        <f>IF('Incremental Repayments'!$R$22="Debt",IF(AND(BC$4&gt;=$D71,BC$4&lt;$D71+'Incremental Repayments'!$I$31),-PMT('Interest Rate'!$J$16,'Incremental Repayments'!$I$31,(HLOOKUP($D71,$E$4:$CZ$32,28,FALSE)*'Incremental Repayments'!$I$22)),0),0)</f>
        <v>764656.52667318948</v>
      </c>
      <c r="BD71" s="783">
        <f>IF('Incremental Repayments'!$R$22="Debt",IF(AND(BD$4&gt;=$D71,BD$4&lt;$D71+'Incremental Repayments'!$I$31),-PMT('Interest Rate'!$J$16,'Incremental Repayments'!$I$31,(HLOOKUP($D71,$E$4:$CZ$32,28,FALSE)*'Incremental Repayments'!$I$22)),0),0)</f>
        <v>764656.52667318948</v>
      </c>
      <c r="BE71" s="783">
        <f>IF('Incremental Repayments'!$R$22="Debt",IF(AND(BE$4&gt;=$D71,BE$4&lt;$D71+'Incremental Repayments'!$I$31),-PMT('Interest Rate'!$J$16,'Incremental Repayments'!$I$31,(HLOOKUP($D71,$E$4:$CZ$32,28,FALSE)*'Incremental Repayments'!$I$22)),0),0)</f>
        <v>764656.52667318948</v>
      </c>
      <c r="BF71" s="783">
        <f>IF('Incremental Repayments'!$R$22="Debt",IF(AND(BF$4&gt;=$D71,BF$4&lt;$D71+'Incremental Repayments'!$I$31),-PMT('Interest Rate'!$J$16,'Incremental Repayments'!$I$31,(HLOOKUP($D71,$E$4:$CZ$32,28,FALSE)*'Incremental Repayments'!$I$22)),0),0)</f>
        <v>764656.52667318948</v>
      </c>
      <c r="BG71" s="783">
        <f>IF('Incremental Repayments'!$R$22="Debt",IF(AND(BG$4&gt;=$D71,BG$4&lt;$D71+'Incremental Repayments'!$I$31),-PMT('Interest Rate'!$J$16,'Incremental Repayments'!$I$31,(HLOOKUP($D71,$E$4:$CZ$32,28,FALSE)*'Incremental Repayments'!$I$22)),0),0)</f>
        <v>764656.52667318948</v>
      </c>
      <c r="BH71" s="783">
        <f>IF('Incremental Repayments'!$R$22="Debt",IF(AND(BH$4&gt;=$D71,BH$4&lt;$D71+'Incremental Repayments'!$I$31),-PMT('Interest Rate'!$J$16,'Incremental Repayments'!$I$31,(HLOOKUP($D71,$E$4:$CZ$32,28,FALSE)*'Incremental Repayments'!$I$22)),0),0)</f>
        <v>764656.52667318948</v>
      </c>
      <c r="BI71" s="783">
        <f>IF('Incremental Repayments'!$R$22="Debt",IF(AND(BI$4&gt;=$D71,BI$4&lt;$D71+'Incremental Repayments'!$I$31),-PMT('Interest Rate'!$J$16,'Incremental Repayments'!$I$31,(HLOOKUP($D71,$E$4:$CZ$32,28,FALSE)*'Incremental Repayments'!$I$22)),0),0)</f>
        <v>764656.52667318948</v>
      </c>
      <c r="BJ71" s="783">
        <f>IF('Incremental Repayments'!$R$22="Debt",IF(AND(BJ$4&gt;=$D71,BJ$4&lt;$D71+'Incremental Repayments'!$I$31),-PMT('Interest Rate'!$J$16,'Incremental Repayments'!$I$31,(HLOOKUP($D71,$E$4:$CZ$32,28,FALSE)*'Incremental Repayments'!$I$22)),0),0)</f>
        <v>764656.52667318948</v>
      </c>
      <c r="BK71" s="783">
        <f>IF('Incremental Repayments'!$R$22="Debt",IF(AND(BK$4&gt;=$D71,BK$4&lt;$D71+'Incremental Repayments'!$I$31),-PMT('Interest Rate'!$J$16,'Incremental Repayments'!$I$31,(HLOOKUP($D71,$E$4:$CZ$32,28,FALSE)*'Incremental Repayments'!$I$22)),0),0)</f>
        <v>764656.52667318948</v>
      </c>
      <c r="BL71" s="783">
        <f>IF('Incremental Repayments'!$R$22="Debt",IF(AND(BL$4&gt;=$D71,BL$4&lt;$D71+'Incremental Repayments'!$I$31),-PMT('Interest Rate'!$J$16,'Incremental Repayments'!$I$31,(HLOOKUP($D71,$E$4:$CZ$32,28,FALSE)*'Incremental Repayments'!$I$22)),0),0)</f>
        <v>764656.52667318948</v>
      </c>
      <c r="BM71" s="783">
        <f>IF('Incremental Repayments'!$R$22="Debt",IF(AND(BM$4&gt;=$D71,BM$4&lt;$D71+'Incremental Repayments'!$I$31),-PMT('Interest Rate'!$J$16,'Incremental Repayments'!$I$31,(HLOOKUP($D71,$E$4:$CZ$32,28,FALSE)*'Incremental Repayments'!$I$22)),0),0)</f>
        <v>764656.52667318948</v>
      </c>
      <c r="BN71" s="783">
        <f>IF('Incremental Repayments'!$R$22="Debt",IF(AND(BN$4&gt;=$D71,BN$4&lt;$D71+'Incremental Repayments'!$I$31),-PMT('Interest Rate'!$J$16,'Incremental Repayments'!$I$31,(HLOOKUP($D71,$E$4:$CZ$32,28,FALSE)*'Incremental Repayments'!$I$22)),0),0)</f>
        <v>764656.52667318948</v>
      </c>
      <c r="BO71" s="783">
        <f>IF('Incremental Repayments'!$R$22="Debt",IF(AND(BO$4&gt;=$D71,BO$4&lt;$D71+'Incremental Repayments'!$I$31),-PMT('Interest Rate'!$J$16,'Incremental Repayments'!$I$31,(HLOOKUP($D71,$E$4:$CZ$32,28,FALSE)*'Incremental Repayments'!$I$22)),0),0)</f>
        <v>764656.52667318948</v>
      </c>
      <c r="BP71" s="783">
        <f>IF('Incremental Repayments'!$R$22="Debt",IF(AND(BP$4&gt;=$D71,BP$4&lt;$D71+'Incremental Repayments'!$I$31),-PMT('Interest Rate'!$J$16,'Incremental Repayments'!$I$31,(HLOOKUP($D71,$E$4:$CZ$32,28,FALSE)*'Incremental Repayments'!$I$22)),0),0)</f>
        <v>764656.52667318948</v>
      </c>
      <c r="BQ71" s="783">
        <f>IF('Incremental Repayments'!$R$22="Debt",IF(AND(BQ$4&gt;=$D71,BQ$4&lt;$D71+'Incremental Repayments'!$I$31),-PMT('Interest Rate'!$J$16,'Incremental Repayments'!$I$31,(HLOOKUP($D71,$E$4:$CZ$32,28,FALSE)*'Incremental Repayments'!$I$22)),0),0)</f>
        <v>764656.52667318948</v>
      </c>
      <c r="BR71" s="783">
        <f>IF('Incremental Repayments'!$R$22="Debt",IF(AND(BR$4&gt;=$D71,BR$4&lt;$D71+'Incremental Repayments'!$I$31),-PMT('Interest Rate'!$J$16,'Incremental Repayments'!$I$31,(HLOOKUP($D71,$E$4:$CZ$32,28,FALSE)*'Incremental Repayments'!$I$22)),0),0)</f>
        <v>0</v>
      </c>
      <c r="BS71" s="783">
        <f>IF('Incremental Repayments'!$R$22="Debt",IF(AND(BS$4&gt;=$D71,BS$4&lt;$D71+'Incremental Repayments'!$I$31),-PMT('Interest Rate'!$J$16,'Incremental Repayments'!$I$31,(HLOOKUP($D71,$E$4:$CZ$32,28,FALSE)*'Incremental Repayments'!$I$22)),0),0)</f>
        <v>0</v>
      </c>
      <c r="BT71" s="783">
        <f>IF('Incremental Repayments'!$R$22="Debt",IF(AND(BT$4&gt;=$D71,BT$4&lt;$D71+'Incremental Repayments'!$I$31),-PMT('Interest Rate'!$J$16,'Incremental Repayments'!$I$31,(HLOOKUP($D71,$E$4:$CZ$32,28,FALSE)*'Incremental Repayments'!$I$22)),0),0)</f>
        <v>0</v>
      </c>
      <c r="BU71" s="783">
        <f>IF('Incremental Repayments'!$R$22="Debt",IF(AND(BU$4&gt;=$D71,BU$4&lt;$D71+'Incremental Repayments'!$I$31),-PMT('Interest Rate'!$J$16,'Incremental Repayments'!$I$31,(HLOOKUP($D71,$E$4:$CZ$32,28,FALSE)*'Incremental Repayments'!$I$22)),0),0)</f>
        <v>0</v>
      </c>
      <c r="BV71" s="783">
        <f>IF('Incremental Repayments'!$R$22="Debt",IF(AND(BV$4&gt;=$D71,BV$4&lt;$D71+'Incremental Repayments'!$I$31),-PMT('Interest Rate'!$J$16,'Incremental Repayments'!$I$31,(HLOOKUP($D71,$E$4:$CZ$32,28,FALSE)*'Incremental Repayments'!$I$22)),0),0)</f>
        <v>0</v>
      </c>
      <c r="BW71" s="783">
        <f>IF('Incremental Repayments'!$R$22="Debt",IF(AND(BW$4&gt;=$D71,BW$4&lt;$D71+'Incremental Repayments'!$I$31),-PMT('Interest Rate'!$J$16,'Incremental Repayments'!$I$31,(HLOOKUP($D71,$E$4:$CZ$32,28,FALSE)*'Incremental Repayments'!$I$22)),0),0)</f>
        <v>0</v>
      </c>
      <c r="BX71" s="783">
        <f>IF('Incremental Repayments'!$R$22="Debt",IF(AND(BX$4&gt;=$D71,BX$4&lt;$D71+'Incremental Repayments'!$I$31),-PMT('Interest Rate'!$J$16,'Incremental Repayments'!$I$31,(HLOOKUP($D71,$E$4:$CZ$32,28,FALSE)*'Incremental Repayments'!$I$22)),0),0)</f>
        <v>0</v>
      </c>
      <c r="BY71" s="783">
        <f>IF('Incremental Repayments'!$R$22="Debt",IF(AND(BY$4&gt;=$D71,BY$4&lt;$D71+'Incremental Repayments'!$I$31),-PMT('Interest Rate'!$J$16,'Incremental Repayments'!$I$31,(HLOOKUP($D71,$E$4:$CZ$32,28,FALSE)*'Incremental Repayments'!$I$22)),0),0)</f>
        <v>0</v>
      </c>
      <c r="BZ71" s="783">
        <f>IF('Incremental Repayments'!$R$22="Debt",IF(AND(BZ$4&gt;=$D71,BZ$4&lt;$D71+'Incremental Repayments'!$I$31),-PMT('Interest Rate'!$J$16,'Incremental Repayments'!$I$31,(HLOOKUP($D71,$E$4:$CZ$32,28,FALSE)*'Incremental Repayments'!$I$22)),0),0)</f>
        <v>0</v>
      </c>
      <c r="CA71" s="783">
        <f>IF('Incremental Repayments'!$R$22="Debt",IF(AND(CA$4&gt;=$D71,CA$4&lt;$D71+'Incremental Repayments'!$I$31),-PMT('Interest Rate'!$J$16,'Incremental Repayments'!$I$31,(HLOOKUP($D71,$E$4:$CZ$32,28,FALSE)*'Incremental Repayments'!$I$22)),0),0)</f>
        <v>0</v>
      </c>
      <c r="CB71" s="783">
        <f>IF('Incremental Repayments'!$R$22="Debt",IF(AND(CB$4&gt;=$D71,CB$4&lt;$D71+'Incremental Repayments'!$I$31),-PMT('Interest Rate'!$J$16,'Incremental Repayments'!$I$31,(HLOOKUP($D71,$E$4:$CZ$32,28,FALSE)*'Incremental Repayments'!$I$22)),0),0)</f>
        <v>0</v>
      </c>
      <c r="CC71" s="783">
        <f>IF('Incremental Repayments'!$R$22="Debt",IF(AND(CC$4&gt;=$D71,CC$4&lt;$D71+'Incremental Repayments'!$I$31),-PMT('Interest Rate'!$J$16,'Incremental Repayments'!$I$31,(HLOOKUP($D71,$E$4:$CZ$32,28,FALSE)*'Incremental Repayments'!$I$22)),0),0)</f>
        <v>0</v>
      </c>
      <c r="CD71" s="783">
        <f>IF('Incremental Repayments'!$R$22="Debt",IF(AND(CD$4&gt;=$D71,CD$4&lt;$D71+'Incremental Repayments'!$I$31),-PMT('Interest Rate'!$J$16,'Incremental Repayments'!$I$31,(HLOOKUP($D71,$E$4:$CZ$32,28,FALSE)*'Incremental Repayments'!$I$22)),0),0)</f>
        <v>0</v>
      </c>
      <c r="CE71" s="783">
        <f>IF('Incremental Repayments'!$R$22="Debt",IF(AND(CE$4&gt;=$D71,CE$4&lt;$D71+'Incremental Repayments'!$I$31),-PMT('Interest Rate'!$J$16,'Incremental Repayments'!$I$31,(HLOOKUP($D71,$E$4:$CZ$32,28,FALSE)*'Incremental Repayments'!$I$22)),0),0)</f>
        <v>0</v>
      </c>
      <c r="CF71" s="783">
        <f>IF('Incremental Repayments'!$R$22="Debt",IF(AND(CF$4&gt;=$D71,CF$4&lt;$D71+'Incremental Repayments'!$I$31),-PMT('Interest Rate'!$J$16,'Incremental Repayments'!$I$31,(HLOOKUP($D71,$E$4:$CZ$32,28,FALSE)*'Incremental Repayments'!$I$22)),0),0)</f>
        <v>0</v>
      </c>
      <c r="CG71" s="783">
        <f>IF('Incremental Repayments'!$R$22="Debt",IF(AND(CG$4&gt;=$D71,CG$4&lt;$D71+'Incremental Repayments'!$I$31),-PMT('Interest Rate'!$J$16,'Incremental Repayments'!$I$31,(HLOOKUP($D71,$E$4:$CZ$32,28,FALSE)*'Incremental Repayments'!$I$22)),0),0)</f>
        <v>0</v>
      </c>
      <c r="CH71" s="783">
        <f>IF('Incremental Repayments'!$R$22="Debt",IF(AND(CH$4&gt;=$D71,CH$4&lt;$D71+'Incremental Repayments'!$I$31),-PMT('Interest Rate'!$J$16,'Incremental Repayments'!$I$31,(HLOOKUP($D71,$E$4:$CZ$32,28,FALSE)*'Incremental Repayments'!$I$22)),0),0)</f>
        <v>0</v>
      </c>
      <c r="CI71" s="783">
        <f>IF('Incremental Repayments'!$R$22="Debt",IF(AND(CI$4&gt;=$D71,CI$4&lt;$D71+'Incremental Repayments'!$I$31),-PMT('Interest Rate'!$J$16,'Incremental Repayments'!$I$31,(HLOOKUP($D71,$E$4:$CZ$32,28,FALSE)*'Incremental Repayments'!$I$22)),0),0)</f>
        <v>0</v>
      </c>
      <c r="CJ71" s="783">
        <f>IF('Incremental Repayments'!$R$22="Debt",IF(AND(CJ$4&gt;=$D71,CJ$4&lt;$D71+'Incremental Repayments'!$I$31),-PMT('Interest Rate'!$J$16,'Incremental Repayments'!$I$31,(HLOOKUP($D71,$E$4:$CZ$32,28,FALSE)*'Incremental Repayments'!$I$22)),0),0)</f>
        <v>0</v>
      </c>
      <c r="CK71" s="783">
        <f>IF('Incremental Repayments'!$R$22="Debt",IF(AND(CK$4&gt;=$D71,CK$4&lt;$D71+'Incremental Repayments'!$I$31),-PMT('Interest Rate'!$J$16,'Incremental Repayments'!$I$31,(HLOOKUP($D71,$E$4:$CZ$32,28,FALSE)*'Incremental Repayments'!$I$22)),0),0)</f>
        <v>0</v>
      </c>
      <c r="CL71" s="783">
        <f>IF('Incremental Repayments'!$R$22="Debt",IF(AND(CL$4&gt;=$D71,CL$4&lt;$D71+'Incremental Repayments'!$I$31),-PMT('Interest Rate'!$J$16,'Incremental Repayments'!$I$31,(HLOOKUP($D71,$E$4:$CZ$32,28,FALSE)*'Incremental Repayments'!$I$22)),0),0)</f>
        <v>0</v>
      </c>
      <c r="CM71" s="783">
        <f>IF('Incremental Repayments'!$R$22="Debt",IF(AND(CM$4&gt;=$D71,CM$4&lt;$D71+'Incremental Repayments'!$I$31),-PMT('Interest Rate'!$J$16,'Incremental Repayments'!$I$31,(HLOOKUP($D71,$E$4:$CZ$32,28,FALSE)*'Incremental Repayments'!$I$22)),0),0)</f>
        <v>0</v>
      </c>
      <c r="CN71" s="783">
        <f>IF('Incremental Repayments'!$R$22="Debt",IF(AND(CN$4&gt;=$D71,CN$4&lt;$D71+'Incremental Repayments'!$I$31),-PMT('Interest Rate'!$J$16,'Incremental Repayments'!$I$31,(HLOOKUP($D71,$E$4:$CZ$32,28,FALSE)*'Incremental Repayments'!$I$22)),0),0)</f>
        <v>0</v>
      </c>
      <c r="CO71" s="783">
        <f>IF('Incremental Repayments'!$R$22="Debt",IF(AND(CO$4&gt;=$D71,CO$4&lt;$D71+'Incremental Repayments'!$I$31),-PMT('Interest Rate'!$J$16,'Incremental Repayments'!$I$31,(HLOOKUP($D71,$E$4:$CZ$32,28,FALSE)*'Incremental Repayments'!$I$22)),0),0)</f>
        <v>0</v>
      </c>
      <c r="CP71" s="783">
        <f>IF('Incremental Repayments'!$R$22="Debt",IF(AND(CP$4&gt;=$D71,CP$4&lt;$D71+'Incremental Repayments'!$I$31),-PMT('Interest Rate'!$J$16,'Incremental Repayments'!$I$31,(HLOOKUP($D71,$E$4:$CZ$32,28,FALSE)*'Incremental Repayments'!$I$22)),0),0)</f>
        <v>0</v>
      </c>
      <c r="CQ71" s="783">
        <f>IF('Incremental Repayments'!$R$22="Debt",IF(AND(CQ$4&gt;=$D71,CQ$4&lt;$D71+'Incremental Repayments'!$I$31),-PMT('Interest Rate'!$J$16,'Incremental Repayments'!$I$31,(HLOOKUP($D71,$E$4:$CZ$32,28,FALSE)*'Incremental Repayments'!$I$22)),0),0)</f>
        <v>0</v>
      </c>
      <c r="CR71" s="783">
        <f>IF('Incremental Repayments'!$R$22="Debt",IF(AND(CR$4&gt;=$D71,CR$4&lt;$D71+'Incremental Repayments'!$I$31),-PMT('Interest Rate'!$J$16,'Incremental Repayments'!$I$31,(HLOOKUP($D71,$E$4:$CZ$32,28,FALSE)*'Incremental Repayments'!$I$22)),0),0)</f>
        <v>0</v>
      </c>
      <c r="CS71" s="783">
        <f>IF('Incremental Repayments'!$R$22="Debt",IF(AND(CS$4&gt;=$D71,CS$4&lt;$D71+'Incremental Repayments'!$I$31),-PMT('Interest Rate'!$J$16,'Incremental Repayments'!$I$31,(HLOOKUP($D71,$E$4:$CZ$32,28,FALSE)*'Incremental Repayments'!$I$22)),0),0)</f>
        <v>0</v>
      </c>
      <c r="CT71" s="783">
        <f>IF('Incremental Repayments'!$R$22="Debt",IF(AND(CT$4&gt;=$D71,CT$4&lt;$D71+'Incremental Repayments'!$I$31),-PMT('Interest Rate'!$J$16,'Incremental Repayments'!$I$31,(HLOOKUP($D71,$E$4:$CZ$32,28,FALSE)*'Incremental Repayments'!$I$22)),0),0)</f>
        <v>0</v>
      </c>
      <c r="CU71" s="783">
        <f>IF('Incremental Repayments'!$R$22="Debt",IF(AND(CU$4&gt;=$D71,CU$4&lt;$D71+'Incremental Repayments'!$I$31),-PMT('Interest Rate'!$J$16,'Incremental Repayments'!$I$31,(HLOOKUP($D71,$E$4:$CZ$32,28,FALSE)*'Incremental Repayments'!$I$22)),0),0)</f>
        <v>0</v>
      </c>
      <c r="CV71" s="783">
        <f>IF('Incremental Repayments'!$R$22="Debt",IF(AND(CV$4&gt;=$D71,CV$4&lt;$D71+'Incremental Repayments'!$I$31),-PMT('Interest Rate'!$J$16,'Incremental Repayments'!$I$31,(HLOOKUP($D71,$E$4:$CZ$32,28,FALSE)*'Incremental Repayments'!$I$22)),0),0)</f>
        <v>0</v>
      </c>
      <c r="CW71" s="783">
        <f>IF('Incremental Repayments'!$R$22="Debt",IF(AND(CW$4&gt;=$D71,CW$4&lt;$D71+'Incremental Repayments'!$I$31),-PMT('Interest Rate'!$J$16,'Incremental Repayments'!$I$31,(HLOOKUP($D71,$E$4:$CZ$32,28,FALSE)*'Incremental Repayments'!$I$22)),0),0)</f>
        <v>0</v>
      </c>
      <c r="CX71" s="783">
        <f>IF('Incremental Repayments'!$R$22="Debt",IF(AND(CX$4&gt;=$D71,CX$4&lt;$D71+'Incremental Repayments'!$I$31),-PMT('Interest Rate'!$J$16,'Incremental Repayments'!$I$31,(HLOOKUP($D71,$E$4:$CZ$32,28,FALSE)*'Incremental Repayments'!$I$22)),0),0)</f>
        <v>0</v>
      </c>
      <c r="CY71" s="783">
        <f>IF('Incremental Repayments'!$R$22="Debt",IF(AND(CY$4&gt;=$D71,CY$4&lt;$D71+'Incremental Repayments'!$I$31),-PMT('Interest Rate'!$J$16,'Incremental Repayments'!$I$31,(HLOOKUP($D71,$E$4:$CZ$32,28,FALSE)*'Incremental Repayments'!$I$22)),0),0)</f>
        <v>0</v>
      </c>
      <c r="CZ71" s="783">
        <f>IF('Incremental Repayments'!$R$22="Debt",IF(AND(CZ$4&gt;=$D71,CZ$4&lt;$D71+'Incremental Repayments'!$I$31),-PMT('Interest Rate'!$J$16,'Incremental Repayments'!$I$31,(HLOOKUP($D71,$E$4:$CZ$32,28,FALSE)*'Incremental Repayments'!$I$22)),0),0)</f>
        <v>0</v>
      </c>
    </row>
    <row r="72" spans="2:104" x14ac:dyDescent="0.25">
      <c r="B72" s="480" t="str">
        <f>CONCATENATE("Series ",D72,"A Bonds (at ",'Interest Rate'!$J$16*100,"% Interest)")</f>
        <v>Series 2050A Bonds (at 4.5% Interest)</v>
      </c>
      <c r="C72" s="480"/>
      <c r="D72" s="492">
        <f t="shared" si="47"/>
        <v>2050</v>
      </c>
      <c r="E72" s="783">
        <f>IF('Incremental Repayments'!$R$22="Debt",IF(AND(E$4&gt;=$D72,E$4&lt;$D72+'Incremental Repayments'!$I$31),-PMT('Interest Rate'!$J$16,'Incremental Repayments'!$I$31,(HLOOKUP($D72,$E$4:$CZ$32,28,FALSE)*'Incremental Repayments'!$I$22)),0),0)</f>
        <v>0</v>
      </c>
      <c r="F72" s="783">
        <f>IF('Incremental Repayments'!$R$22="Debt",IF(AND(F$4&gt;=$D72,F$4&lt;$D72+'Incremental Repayments'!$I$31),-PMT('Interest Rate'!$J$16,'Incremental Repayments'!$I$31,(HLOOKUP($D72,$E$4:$CZ$32,28,FALSE)*'Incremental Repayments'!$I$22)),0),0)</f>
        <v>0</v>
      </c>
      <c r="G72" s="783">
        <f>IF('Incremental Repayments'!$R$22="Debt",IF(AND(G$4&gt;=$D72,G$4&lt;$D72+'Incremental Repayments'!$I$31),-PMT('Interest Rate'!$J$16,'Incremental Repayments'!$I$31,(HLOOKUP($D72,$E$4:$CZ$32,28,FALSE)*'Incremental Repayments'!$I$22)),0),0)</f>
        <v>0</v>
      </c>
      <c r="H72" s="783">
        <f>IF('Incremental Repayments'!$R$22="Debt",IF(AND(H$4&gt;=$D72,H$4&lt;$D72+'Incremental Repayments'!$I$31),-PMT('Interest Rate'!$J$16,'Incremental Repayments'!$I$31,(HLOOKUP($D72,$E$4:$CZ$32,28,FALSE)*'Incremental Repayments'!$I$22)),0),0)</f>
        <v>0</v>
      </c>
      <c r="I72" s="783">
        <f>IF('Incremental Repayments'!$R$22="Debt",IF(AND(I$4&gt;=$D72,I$4&lt;$D72+'Incremental Repayments'!$I$31),-PMT('Interest Rate'!$J$16,'Incremental Repayments'!$I$31,(HLOOKUP($D72,$E$4:$CZ$32,28,FALSE)*'Incremental Repayments'!$I$22)),0),0)</f>
        <v>0</v>
      </c>
      <c r="J72" s="783">
        <f>IF('Incremental Repayments'!$R$22="Debt",IF(AND(J$4&gt;=$D72,J$4&lt;$D72+'Incremental Repayments'!$I$31),-PMT('Interest Rate'!$J$16,'Incremental Repayments'!$I$31,(HLOOKUP($D72,$E$4:$CZ$32,28,FALSE)*'Incremental Repayments'!$I$22)),0),0)</f>
        <v>0</v>
      </c>
      <c r="K72" s="783">
        <f>IF('Incremental Repayments'!$R$22="Debt",IF(AND(K$4&gt;=$D72,K$4&lt;$D72+'Incremental Repayments'!$I$31),-PMT('Interest Rate'!$J$16,'Incremental Repayments'!$I$31,(HLOOKUP($D72,$E$4:$CZ$32,28,FALSE)*'Incremental Repayments'!$I$22)),0),0)</f>
        <v>0</v>
      </c>
      <c r="L72" s="783">
        <f>IF('Incremental Repayments'!$R$22="Debt",IF(AND(L$4&gt;=$D72,L$4&lt;$D72+'Incremental Repayments'!$I$31),-PMT('Interest Rate'!$J$16,'Incremental Repayments'!$I$31,(HLOOKUP($D72,$E$4:$CZ$32,28,FALSE)*'Incremental Repayments'!$I$22)),0),0)</f>
        <v>0</v>
      </c>
      <c r="M72" s="783">
        <f>IF('Incremental Repayments'!$R$22="Debt",IF(AND(M$4&gt;=$D72,M$4&lt;$D72+'Incremental Repayments'!$I$31),-PMT('Interest Rate'!$J$16,'Incremental Repayments'!$I$31,(HLOOKUP($D72,$E$4:$CZ$32,28,FALSE)*'Incremental Repayments'!$I$22)),0),0)</f>
        <v>0</v>
      </c>
      <c r="N72" s="783">
        <f>IF('Incremental Repayments'!$R$22="Debt",IF(AND(N$4&gt;=$D72,N$4&lt;$D72+'Incremental Repayments'!$I$31),-PMT('Interest Rate'!$J$16,'Incremental Repayments'!$I$31,(HLOOKUP($D72,$E$4:$CZ$32,28,FALSE)*'Incremental Repayments'!$I$22)),0),0)</f>
        <v>0</v>
      </c>
      <c r="O72" s="783">
        <f>IF('Incremental Repayments'!$R$22="Debt",IF(AND(O$4&gt;=$D72,O$4&lt;$D72+'Incremental Repayments'!$I$31),-PMT('Interest Rate'!$J$16,'Incremental Repayments'!$I$31,(HLOOKUP($D72,$E$4:$CZ$32,28,FALSE)*'Incremental Repayments'!$I$22)),0),0)</f>
        <v>0</v>
      </c>
      <c r="P72" s="783">
        <f>IF('Incremental Repayments'!$R$22="Debt",IF(AND(P$4&gt;=$D72,P$4&lt;$D72+'Incremental Repayments'!$I$31),-PMT('Interest Rate'!$J$16,'Incremental Repayments'!$I$31,(HLOOKUP($D72,$E$4:$CZ$32,28,FALSE)*'Incremental Repayments'!$I$22)),0),0)</f>
        <v>0</v>
      </c>
      <c r="Q72" s="783">
        <f>IF('Incremental Repayments'!$R$22="Debt",IF(AND(Q$4&gt;=$D72,Q$4&lt;$D72+'Incremental Repayments'!$I$31),-PMT('Interest Rate'!$J$16,'Incremental Repayments'!$I$31,(HLOOKUP($D72,$E$4:$CZ$32,28,FALSE)*'Incremental Repayments'!$I$22)),0),0)</f>
        <v>0</v>
      </c>
      <c r="R72" s="783">
        <f>IF('Incremental Repayments'!$R$22="Debt",IF(AND(R$4&gt;=$D72,R$4&lt;$D72+'Incremental Repayments'!$I$31),-PMT('Interest Rate'!$J$16,'Incremental Repayments'!$I$31,(HLOOKUP($D72,$E$4:$CZ$32,28,FALSE)*'Incremental Repayments'!$I$22)),0),0)</f>
        <v>0</v>
      </c>
      <c r="S72" s="783">
        <f>IF('Incremental Repayments'!$R$22="Debt",IF(AND(S$4&gt;=$D72,S$4&lt;$D72+'Incremental Repayments'!$I$31),-PMT('Interest Rate'!$J$16,'Incremental Repayments'!$I$31,(HLOOKUP($D72,$E$4:$CZ$32,28,FALSE)*'Incremental Repayments'!$I$22)),0),0)</f>
        <v>0</v>
      </c>
      <c r="T72" s="783">
        <f>IF('Incremental Repayments'!$R$22="Debt",IF(AND(T$4&gt;=$D72,T$4&lt;$D72+'Incremental Repayments'!$I$31),-PMT('Interest Rate'!$J$16,'Incremental Repayments'!$I$31,(HLOOKUP($D72,$E$4:$CZ$32,28,FALSE)*'Incremental Repayments'!$I$22)),0),0)</f>
        <v>0</v>
      </c>
      <c r="U72" s="783">
        <f>IF('Incremental Repayments'!$R$22="Debt",IF(AND(U$4&gt;=$D72,U$4&lt;$D72+'Incremental Repayments'!$I$31),-PMT('Interest Rate'!$J$16,'Incremental Repayments'!$I$31,(HLOOKUP($D72,$E$4:$CZ$32,28,FALSE)*'Incremental Repayments'!$I$22)),0),0)</f>
        <v>0</v>
      </c>
      <c r="V72" s="783">
        <f>IF('Incremental Repayments'!$R$22="Debt",IF(AND(V$4&gt;=$D72,V$4&lt;$D72+'Incremental Repayments'!$I$31),-PMT('Interest Rate'!$J$16,'Incremental Repayments'!$I$31,(HLOOKUP($D72,$E$4:$CZ$32,28,FALSE)*'Incremental Repayments'!$I$22)),0),0)</f>
        <v>0</v>
      </c>
      <c r="W72" s="783">
        <f>IF('Incremental Repayments'!$R$22="Debt",IF(AND(W$4&gt;=$D72,W$4&lt;$D72+'Incremental Repayments'!$I$31),-PMT('Interest Rate'!$J$16,'Incremental Repayments'!$I$31,(HLOOKUP($D72,$E$4:$CZ$32,28,FALSE)*'Incremental Repayments'!$I$22)),0),0)</f>
        <v>0</v>
      </c>
      <c r="X72" s="783">
        <f>IF('Incremental Repayments'!$R$22="Debt",IF(AND(X$4&gt;=$D72,X$4&lt;$D72+'Incremental Repayments'!$I$31),-PMT('Interest Rate'!$J$16,'Incremental Repayments'!$I$31,(HLOOKUP($D72,$E$4:$CZ$32,28,FALSE)*'Incremental Repayments'!$I$22)),0),0)</f>
        <v>0</v>
      </c>
      <c r="Y72" s="783">
        <f>IF('Incremental Repayments'!$R$22="Debt",IF(AND(Y$4&gt;=$D72,Y$4&lt;$D72+'Incremental Repayments'!$I$31),-PMT('Interest Rate'!$J$16,'Incremental Repayments'!$I$31,(HLOOKUP($D72,$E$4:$CZ$32,28,FALSE)*'Incremental Repayments'!$I$22)),0),0)</f>
        <v>0</v>
      </c>
      <c r="Z72" s="783">
        <f>IF('Incremental Repayments'!$R$22="Debt",IF(AND(Z$4&gt;=$D72,Z$4&lt;$D72+'Incremental Repayments'!$I$31),-PMT('Interest Rate'!$J$16,'Incremental Repayments'!$I$31,(HLOOKUP($D72,$E$4:$CZ$32,28,FALSE)*'Incremental Repayments'!$I$22)),0),0)</f>
        <v>0</v>
      </c>
      <c r="AA72" s="783">
        <f>IF('Incremental Repayments'!$R$22="Debt",IF(AND(AA$4&gt;=$D72,AA$4&lt;$D72+'Incremental Repayments'!$I$31),-PMT('Interest Rate'!$J$16,'Incremental Repayments'!$I$31,(HLOOKUP($D72,$E$4:$CZ$32,28,FALSE)*'Incremental Repayments'!$I$22)),0),0)</f>
        <v>0</v>
      </c>
      <c r="AB72" s="783">
        <f>IF('Incremental Repayments'!$R$22="Debt",IF(AND(AB$4&gt;=$D72,AB$4&lt;$D72+'Incremental Repayments'!$I$31),-PMT('Interest Rate'!$J$16,'Incremental Repayments'!$I$31,(HLOOKUP($D72,$E$4:$CZ$32,28,FALSE)*'Incremental Repayments'!$I$22)),0),0)</f>
        <v>0</v>
      </c>
      <c r="AC72" s="783">
        <f>IF('Incremental Repayments'!$R$22="Debt",IF(AND(AC$4&gt;=$D72,AC$4&lt;$D72+'Incremental Repayments'!$I$31),-PMT('Interest Rate'!$J$16,'Incremental Repayments'!$I$31,(HLOOKUP($D72,$E$4:$CZ$32,28,FALSE)*'Incremental Repayments'!$I$22)),0),0)</f>
        <v>0</v>
      </c>
      <c r="AD72" s="783">
        <f>IF('Incremental Repayments'!$R$22="Debt",IF(AND(AD$4&gt;=$D72,AD$4&lt;$D72+'Incremental Repayments'!$I$31),-PMT('Interest Rate'!$J$16,'Incremental Repayments'!$I$31,(HLOOKUP($D72,$E$4:$CZ$32,28,FALSE)*'Incremental Repayments'!$I$22)),0),0)</f>
        <v>0</v>
      </c>
      <c r="AE72" s="783">
        <f>IF('Incremental Repayments'!$R$22="Debt",IF(AND(AE$4&gt;=$D72,AE$4&lt;$D72+'Incremental Repayments'!$I$31),-PMT('Interest Rate'!$J$16,'Incremental Repayments'!$I$31,(HLOOKUP($D72,$E$4:$CZ$32,28,FALSE)*'Incremental Repayments'!$I$22)),0),0)</f>
        <v>0</v>
      </c>
      <c r="AF72" s="783">
        <f>IF('Incremental Repayments'!$R$22="Debt",IF(AND(AF$4&gt;=$D72,AF$4&lt;$D72+'Incremental Repayments'!$I$31),-PMT('Interest Rate'!$J$16,'Incremental Repayments'!$I$31,(HLOOKUP($D72,$E$4:$CZ$32,28,FALSE)*'Incremental Repayments'!$I$22)),0),0)</f>
        <v>0</v>
      </c>
      <c r="AG72" s="783">
        <f>IF('Incremental Repayments'!$R$22="Debt",IF(AND(AG$4&gt;=$D72,AG$4&lt;$D72+'Incremental Repayments'!$I$31),-PMT('Interest Rate'!$J$16,'Incremental Repayments'!$I$31,(HLOOKUP($D72,$E$4:$CZ$32,28,FALSE)*'Incremental Repayments'!$I$22)),0),0)</f>
        <v>0</v>
      </c>
      <c r="AH72" s="783">
        <f>IF('Incremental Repayments'!$R$22="Debt",IF(AND(AH$4&gt;=$D72,AH$4&lt;$D72+'Incremental Repayments'!$I$31),-PMT('Interest Rate'!$J$16,'Incremental Repayments'!$I$31,(HLOOKUP($D72,$E$4:$CZ$32,28,FALSE)*'Incremental Repayments'!$I$22)),0),0)</f>
        <v>0</v>
      </c>
      <c r="AI72" s="783">
        <f>IF('Incremental Repayments'!$R$22="Debt",IF(AND(AI$4&gt;=$D72,AI$4&lt;$D72+'Incremental Repayments'!$I$31),-PMT('Interest Rate'!$J$16,'Incremental Repayments'!$I$31,(HLOOKUP($D72,$E$4:$CZ$32,28,FALSE)*'Incremental Repayments'!$I$22)),0),0)</f>
        <v>0</v>
      </c>
      <c r="AJ72" s="783">
        <f>IF('Incremental Repayments'!$R$22="Debt",IF(AND(AJ$4&gt;=$D72,AJ$4&lt;$D72+'Incremental Repayments'!$I$31),-PMT('Interest Rate'!$J$16,'Incremental Repayments'!$I$31,(HLOOKUP($D72,$E$4:$CZ$32,28,FALSE)*'Incremental Repayments'!$I$22)),0),0)</f>
        <v>0</v>
      </c>
      <c r="AK72" s="783">
        <f>IF('Incremental Repayments'!$R$22="Debt",IF(AND(AK$4&gt;=$D72,AK$4&lt;$D72+'Incremental Repayments'!$I$31),-PMT('Interest Rate'!$J$16,'Incremental Repayments'!$I$31,(HLOOKUP($D72,$E$4:$CZ$32,28,FALSE)*'Incremental Repayments'!$I$22)),0),0)</f>
        <v>0</v>
      </c>
      <c r="AL72" s="783">
        <f>IF('Incremental Repayments'!$R$22="Debt",IF(AND(AL$4&gt;=$D72,AL$4&lt;$D72+'Incremental Repayments'!$I$31),-PMT('Interest Rate'!$J$16,'Incremental Repayments'!$I$31,(HLOOKUP($D72,$E$4:$CZ$32,28,FALSE)*'Incremental Repayments'!$I$22)),0),0)</f>
        <v>0</v>
      </c>
      <c r="AM72" s="783">
        <f>IF('Incremental Repayments'!$R$22="Debt",IF(AND(AM$4&gt;=$D72,AM$4&lt;$D72+'Incremental Repayments'!$I$31),-PMT('Interest Rate'!$J$16,'Incremental Repayments'!$I$31,(HLOOKUP($D72,$E$4:$CZ$32,28,FALSE)*'Incremental Repayments'!$I$22)),0),0)</f>
        <v>0</v>
      </c>
      <c r="AN72" s="783">
        <f>IF('Incremental Repayments'!$R$22="Debt",IF(AND(AN$4&gt;=$D72,AN$4&lt;$D72+'Incremental Repayments'!$I$31),-PMT('Interest Rate'!$J$16,'Incremental Repayments'!$I$31,(HLOOKUP($D72,$E$4:$CZ$32,28,FALSE)*'Incremental Repayments'!$I$22)),0),0)</f>
        <v>0</v>
      </c>
      <c r="AO72" s="783">
        <f>IF('Incremental Repayments'!$R$22="Debt",IF(AND(AO$4&gt;=$D72,AO$4&lt;$D72+'Incremental Repayments'!$I$31),-PMT('Interest Rate'!$J$16,'Incremental Repayments'!$I$31,(HLOOKUP($D72,$E$4:$CZ$32,28,FALSE)*'Incremental Repayments'!$I$22)),0),0)</f>
        <v>441082.3825527528</v>
      </c>
      <c r="AP72" s="783">
        <f>IF('Incremental Repayments'!$R$22="Debt",IF(AND(AP$4&gt;=$D72,AP$4&lt;$D72+'Incremental Repayments'!$I$31),-PMT('Interest Rate'!$J$16,'Incremental Repayments'!$I$31,(HLOOKUP($D72,$E$4:$CZ$32,28,FALSE)*'Incremental Repayments'!$I$22)),0),0)</f>
        <v>441082.3825527528</v>
      </c>
      <c r="AQ72" s="783">
        <f>IF('Incremental Repayments'!$R$22="Debt",IF(AND(AQ$4&gt;=$D72,AQ$4&lt;$D72+'Incremental Repayments'!$I$31),-PMT('Interest Rate'!$J$16,'Incremental Repayments'!$I$31,(HLOOKUP($D72,$E$4:$CZ$32,28,FALSE)*'Incremental Repayments'!$I$22)),0),0)</f>
        <v>441082.3825527528</v>
      </c>
      <c r="AR72" s="783">
        <f>IF('Incremental Repayments'!$R$22="Debt",IF(AND(AR$4&gt;=$D72,AR$4&lt;$D72+'Incremental Repayments'!$I$31),-PMT('Interest Rate'!$J$16,'Incremental Repayments'!$I$31,(HLOOKUP($D72,$E$4:$CZ$32,28,FALSE)*'Incremental Repayments'!$I$22)),0),0)</f>
        <v>441082.3825527528</v>
      </c>
      <c r="AS72" s="783">
        <f>IF('Incremental Repayments'!$R$22="Debt",IF(AND(AS$4&gt;=$D72,AS$4&lt;$D72+'Incremental Repayments'!$I$31),-PMT('Interest Rate'!$J$16,'Incremental Repayments'!$I$31,(HLOOKUP($D72,$E$4:$CZ$32,28,FALSE)*'Incremental Repayments'!$I$22)),0),0)</f>
        <v>441082.3825527528</v>
      </c>
      <c r="AT72" s="783">
        <f>IF('Incremental Repayments'!$R$22="Debt",IF(AND(AT$4&gt;=$D72,AT$4&lt;$D72+'Incremental Repayments'!$I$31),-PMT('Interest Rate'!$J$16,'Incremental Repayments'!$I$31,(HLOOKUP($D72,$E$4:$CZ$32,28,FALSE)*'Incremental Repayments'!$I$22)),0),0)</f>
        <v>441082.3825527528</v>
      </c>
      <c r="AU72" s="783">
        <f>IF('Incremental Repayments'!$R$22="Debt",IF(AND(AU$4&gt;=$D72,AU$4&lt;$D72+'Incremental Repayments'!$I$31),-PMT('Interest Rate'!$J$16,'Incremental Repayments'!$I$31,(HLOOKUP($D72,$E$4:$CZ$32,28,FALSE)*'Incremental Repayments'!$I$22)),0),0)</f>
        <v>441082.3825527528</v>
      </c>
      <c r="AV72" s="783">
        <f>IF('Incremental Repayments'!$R$22="Debt",IF(AND(AV$4&gt;=$D72,AV$4&lt;$D72+'Incremental Repayments'!$I$31),-PMT('Interest Rate'!$J$16,'Incremental Repayments'!$I$31,(HLOOKUP($D72,$E$4:$CZ$32,28,FALSE)*'Incremental Repayments'!$I$22)),0),0)</f>
        <v>441082.3825527528</v>
      </c>
      <c r="AW72" s="783">
        <f>IF('Incremental Repayments'!$R$22="Debt",IF(AND(AW$4&gt;=$D72,AW$4&lt;$D72+'Incremental Repayments'!$I$31),-PMT('Interest Rate'!$J$16,'Incremental Repayments'!$I$31,(HLOOKUP($D72,$E$4:$CZ$32,28,FALSE)*'Incremental Repayments'!$I$22)),0),0)</f>
        <v>441082.3825527528</v>
      </c>
      <c r="AX72" s="783">
        <f>IF('Incremental Repayments'!$R$22="Debt",IF(AND(AX$4&gt;=$D72,AX$4&lt;$D72+'Incremental Repayments'!$I$31),-PMT('Interest Rate'!$J$16,'Incremental Repayments'!$I$31,(HLOOKUP($D72,$E$4:$CZ$32,28,FALSE)*'Incremental Repayments'!$I$22)),0),0)</f>
        <v>441082.3825527528</v>
      </c>
      <c r="AY72" s="783">
        <f>IF('Incremental Repayments'!$R$22="Debt",IF(AND(AY$4&gt;=$D72,AY$4&lt;$D72+'Incremental Repayments'!$I$31),-PMT('Interest Rate'!$J$16,'Incremental Repayments'!$I$31,(HLOOKUP($D72,$E$4:$CZ$32,28,FALSE)*'Incremental Repayments'!$I$22)),0),0)</f>
        <v>441082.3825527528</v>
      </c>
      <c r="AZ72" s="783">
        <f>IF('Incremental Repayments'!$R$22="Debt",IF(AND(AZ$4&gt;=$D72,AZ$4&lt;$D72+'Incremental Repayments'!$I$31),-PMT('Interest Rate'!$J$16,'Incremental Repayments'!$I$31,(HLOOKUP($D72,$E$4:$CZ$32,28,FALSE)*'Incremental Repayments'!$I$22)),0),0)</f>
        <v>441082.3825527528</v>
      </c>
      <c r="BA72" s="783">
        <f>IF('Incremental Repayments'!$R$22="Debt",IF(AND(BA$4&gt;=$D72,BA$4&lt;$D72+'Incremental Repayments'!$I$31),-PMT('Interest Rate'!$J$16,'Incremental Repayments'!$I$31,(HLOOKUP($D72,$E$4:$CZ$32,28,FALSE)*'Incremental Repayments'!$I$22)),0),0)</f>
        <v>441082.3825527528</v>
      </c>
      <c r="BB72" s="783">
        <f>IF('Incremental Repayments'!$R$22="Debt",IF(AND(BB$4&gt;=$D72,BB$4&lt;$D72+'Incremental Repayments'!$I$31),-PMT('Interest Rate'!$J$16,'Incremental Repayments'!$I$31,(HLOOKUP($D72,$E$4:$CZ$32,28,FALSE)*'Incremental Repayments'!$I$22)),0),0)</f>
        <v>441082.3825527528</v>
      </c>
      <c r="BC72" s="783">
        <f>IF('Incremental Repayments'!$R$22="Debt",IF(AND(BC$4&gt;=$D72,BC$4&lt;$D72+'Incremental Repayments'!$I$31),-PMT('Interest Rate'!$J$16,'Incremental Repayments'!$I$31,(HLOOKUP($D72,$E$4:$CZ$32,28,FALSE)*'Incremental Repayments'!$I$22)),0),0)</f>
        <v>441082.3825527528</v>
      </c>
      <c r="BD72" s="783">
        <f>IF('Incremental Repayments'!$R$22="Debt",IF(AND(BD$4&gt;=$D72,BD$4&lt;$D72+'Incremental Repayments'!$I$31),-PMT('Interest Rate'!$J$16,'Incremental Repayments'!$I$31,(HLOOKUP($D72,$E$4:$CZ$32,28,FALSE)*'Incremental Repayments'!$I$22)),0),0)</f>
        <v>441082.3825527528</v>
      </c>
      <c r="BE72" s="783">
        <f>IF('Incremental Repayments'!$R$22="Debt",IF(AND(BE$4&gt;=$D72,BE$4&lt;$D72+'Incremental Repayments'!$I$31),-PMT('Interest Rate'!$J$16,'Incremental Repayments'!$I$31,(HLOOKUP($D72,$E$4:$CZ$32,28,FALSE)*'Incremental Repayments'!$I$22)),0),0)</f>
        <v>441082.3825527528</v>
      </c>
      <c r="BF72" s="783">
        <f>IF('Incremental Repayments'!$R$22="Debt",IF(AND(BF$4&gt;=$D72,BF$4&lt;$D72+'Incremental Repayments'!$I$31),-PMT('Interest Rate'!$J$16,'Incremental Repayments'!$I$31,(HLOOKUP($D72,$E$4:$CZ$32,28,FALSE)*'Incremental Repayments'!$I$22)),0),0)</f>
        <v>441082.3825527528</v>
      </c>
      <c r="BG72" s="783">
        <f>IF('Incremental Repayments'!$R$22="Debt",IF(AND(BG$4&gt;=$D72,BG$4&lt;$D72+'Incremental Repayments'!$I$31),-PMT('Interest Rate'!$J$16,'Incremental Repayments'!$I$31,(HLOOKUP($D72,$E$4:$CZ$32,28,FALSE)*'Incremental Repayments'!$I$22)),0),0)</f>
        <v>441082.3825527528</v>
      </c>
      <c r="BH72" s="783">
        <f>IF('Incremental Repayments'!$R$22="Debt",IF(AND(BH$4&gt;=$D72,BH$4&lt;$D72+'Incremental Repayments'!$I$31),-PMT('Interest Rate'!$J$16,'Incremental Repayments'!$I$31,(HLOOKUP($D72,$E$4:$CZ$32,28,FALSE)*'Incremental Repayments'!$I$22)),0),0)</f>
        <v>441082.3825527528</v>
      </c>
      <c r="BI72" s="783">
        <f>IF('Incremental Repayments'!$R$22="Debt",IF(AND(BI$4&gt;=$D72,BI$4&lt;$D72+'Incremental Repayments'!$I$31),-PMT('Interest Rate'!$J$16,'Incremental Repayments'!$I$31,(HLOOKUP($D72,$E$4:$CZ$32,28,FALSE)*'Incremental Repayments'!$I$22)),0),0)</f>
        <v>441082.3825527528</v>
      </c>
      <c r="BJ72" s="783">
        <f>IF('Incremental Repayments'!$R$22="Debt",IF(AND(BJ$4&gt;=$D72,BJ$4&lt;$D72+'Incremental Repayments'!$I$31),-PMT('Interest Rate'!$J$16,'Incremental Repayments'!$I$31,(HLOOKUP($D72,$E$4:$CZ$32,28,FALSE)*'Incremental Repayments'!$I$22)),0),0)</f>
        <v>441082.3825527528</v>
      </c>
      <c r="BK72" s="783">
        <f>IF('Incremental Repayments'!$R$22="Debt",IF(AND(BK$4&gt;=$D72,BK$4&lt;$D72+'Incremental Repayments'!$I$31),-PMT('Interest Rate'!$J$16,'Incremental Repayments'!$I$31,(HLOOKUP($D72,$E$4:$CZ$32,28,FALSE)*'Incremental Repayments'!$I$22)),0),0)</f>
        <v>441082.3825527528</v>
      </c>
      <c r="BL72" s="783">
        <f>IF('Incremental Repayments'!$R$22="Debt",IF(AND(BL$4&gt;=$D72,BL$4&lt;$D72+'Incremental Repayments'!$I$31),-PMT('Interest Rate'!$J$16,'Incremental Repayments'!$I$31,(HLOOKUP($D72,$E$4:$CZ$32,28,FALSE)*'Incremental Repayments'!$I$22)),0),0)</f>
        <v>441082.3825527528</v>
      </c>
      <c r="BM72" s="783">
        <f>IF('Incremental Repayments'!$R$22="Debt",IF(AND(BM$4&gt;=$D72,BM$4&lt;$D72+'Incremental Repayments'!$I$31),-PMT('Interest Rate'!$J$16,'Incremental Repayments'!$I$31,(HLOOKUP($D72,$E$4:$CZ$32,28,FALSE)*'Incremental Repayments'!$I$22)),0),0)</f>
        <v>441082.3825527528</v>
      </c>
      <c r="BN72" s="783">
        <f>IF('Incremental Repayments'!$R$22="Debt",IF(AND(BN$4&gt;=$D72,BN$4&lt;$D72+'Incremental Repayments'!$I$31),-PMT('Interest Rate'!$J$16,'Incremental Repayments'!$I$31,(HLOOKUP($D72,$E$4:$CZ$32,28,FALSE)*'Incremental Repayments'!$I$22)),0),0)</f>
        <v>441082.3825527528</v>
      </c>
      <c r="BO72" s="783">
        <f>IF('Incremental Repayments'!$R$22="Debt",IF(AND(BO$4&gt;=$D72,BO$4&lt;$D72+'Incremental Repayments'!$I$31),-PMT('Interest Rate'!$J$16,'Incremental Repayments'!$I$31,(HLOOKUP($D72,$E$4:$CZ$32,28,FALSE)*'Incremental Repayments'!$I$22)),0),0)</f>
        <v>441082.3825527528</v>
      </c>
      <c r="BP72" s="783">
        <f>IF('Incremental Repayments'!$R$22="Debt",IF(AND(BP$4&gt;=$D72,BP$4&lt;$D72+'Incremental Repayments'!$I$31),-PMT('Interest Rate'!$J$16,'Incremental Repayments'!$I$31,(HLOOKUP($D72,$E$4:$CZ$32,28,FALSE)*'Incremental Repayments'!$I$22)),0),0)</f>
        <v>441082.3825527528</v>
      </c>
      <c r="BQ72" s="783">
        <f>IF('Incremental Repayments'!$R$22="Debt",IF(AND(BQ$4&gt;=$D72,BQ$4&lt;$D72+'Incremental Repayments'!$I$31),-PMT('Interest Rate'!$J$16,'Incremental Repayments'!$I$31,(HLOOKUP($D72,$E$4:$CZ$32,28,FALSE)*'Incremental Repayments'!$I$22)),0),0)</f>
        <v>441082.3825527528</v>
      </c>
      <c r="BR72" s="783">
        <f>IF('Incremental Repayments'!$R$22="Debt",IF(AND(BR$4&gt;=$D72,BR$4&lt;$D72+'Incremental Repayments'!$I$31),-PMT('Interest Rate'!$J$16,'Incremental Repayments'!$I$31,(HLOOKUP($D72,$E$4:$CZ$32,28,FALSE)*'Incremental Repayments'!$I$22)),0),0)</f>
        <v>441082.3825527528</v>
      </c>
      <c r="BS72" s="783">
        <f>IF('Incremental Repayments'!$R$22="Debt",IF(AND(BS$4&gt;=$D72,BS$4&lt;$D72+'Incremental Repayments'!$I$31),-PMT('Interest Rate'!$J$16,'Incremental Repayments'!$I$31,(HLOOKUP($D72,$E$4:$CZ$32,28,FALSE)*'Incremental Repayments'!$I$22)),0),0)</f>
        <v>0</v>
      </c>
      <c r="BT72" s="783">
        <f>IF('Incremental Repayments'!$R$22="Debt",IF(AND(BT$4&gt;=$D72,BT$4&lt;$D72+'Incremental Repayments'!$I$31),-PMT('Interest Rate'!$J$16,'Incremental Repayments'!$I$31,(HLOOKUP($D72,$E$4:$CZ$32,28,FALSE)*'Incremental Repayments'!$I$22)),0),0)</f>
        <v>0</v>
      </c>
      <c r="BU72" s="783">
        <f>IF('Incremental Repayments'!$R$22="Debt",IF(AND(BU$4&gt;=$D72,BU$4&lt;$D72+'Incremental Repayments'!$I$31),-PMT('Interest Rate'!$J$16,'Incremental Repayments'!$I$31,(HLOOKUP($D72,$E$4:$CZ$32,28,FALSE)*'Incremental Repayments'!$I$22)),0),0)</f>
        <v>0</v>
      </c>
      <c r="BV72" s="783">
        <f>IF('Incremental Repayments'!$R$22="Debt",IF(AND(BV$4&gt;=$D72,BV$4&lt;$D72+'Incremental Repayments'!$I$31),-PMT('Interest Rate'!$J$16,'Incremental Repayments'!$I$31,(HLOOKUP($D72,$E$4:$CZ$32,28,FALSE)*'Incremental Repayments'!$I$22)),0),0)</f>
        <v>0</v>
      </c>
      <c r="BW72" s="783">
        <f>IF('Incremental Repayments'!$R$22="Debt",IF(AND(BW$4&gt;=$D72,BW$4&lt;$D72+'Incremental Repayments'!$I$31),-PMT('Interest Rate'!$J$16,'Incremental Repayments'!$I$31,(HLOOKUP($D72,$E$4:$CZ$32,28,FALSE)*'Incremental Repayments'!$I$22)),0),0)</f>
        <v>0</v>
      </c>
      <c r="BX72" s="783">
        <f>IF('Incremental Repayments'!$R$22="Debt",IF(AND(BX$4&gt;=$D72,BX$4&lt;$D72+'Incremental Repayments'!$I$31),-PMT('Interest Rate'!$J$16,'Incremental Repayments'!$I$31,(HLOOKUP($D72,$E$4:$CZ$32,28,FALSE)*'Incremental Repayments'!$I$22)),0),0)</f>
        <v>0</v>
      </c>
      <c r="BY72" s="783">
        <f>IF('Incremental Repayments'!$R$22="Debt",IF(AND(BY$4&gt;=$D72,BY$4&lt;$D72+'Incremental Repayments'!$I$31),-PMT('Interest Rate'!$J$16,'Incremental Repayments'!$I$31,(HLOOKUP($D72,$E$4:$CZ$32,28,FALSE)*'Incremental Repayments'!$I$22)),0),0)</f>
        <v>0</v>
      </c>
      <c r="BZ72" s="783">
        <f>IF('Incremental Repayments'!$R$22="Debt",IF(AND(BZ$4&gt;=$D72,BZ$4&lt;$D72+'Incremental Repayments'!$I$31),-PMT('Interest Rate'!$J$16,'Incremental Repayments'!$I$31,(HLOOKUP($D72,$E$4:$CZ$32,28,FALSE)*'Incremental Repayments'!$I$22)),0),0)</f>
        <v>0</v>
      </c>
      <c r="CA72" s="783">
        <f>IF('Incremental Repayments'!$R$22="Debt",IF(AND(CA$4&gt;=$D72,CA$4&lt;$D72+'Incremental Repayments'!$I$31),-PMT('Interest Rate'!$J$16,'Incremental Repayments'!$I$31,(HLOOKUP($D72,$E$4:$CZ$32,28,FALSE)*'Incremental Repayments'!$I$22)),0),0)</f>
        <v>0</v>
      </c>
      <c r="CB72" s="783">
        <f>IF('Incremental Repayments'!$R$22="Debt",IF(AND(CB$4&gt;=$D72,CB$4&lt;$D72+'Incremental Repayments'!$I$31),-PMT('Interest Rate'!$J$16,'Incremental Repayments'!$I$31,(HLOOKUP($D72,$E$4:$CZ$32,28,FALSE)*'Incremental Repayments'!$I$22)),0),0)</f>
        <v>0</v>
      </c>
      <c r="CC72" s="783">
        <f>IF('Incremental Repayments'!$R$22="Debt",IF(AND(CC$4&gt;=$D72,CC$4&lt;$D72+'Incremental Repayments'!$I$31),-PMT('Interest Rate'!$J$16,'Incremental Repayments'!$I$31,(HLOOKUP($D72,$E$4:$CZ$32,28,FALSE)*'Incremental Repayments'!$I$22)),0),0)</f>
        <v>0</v>
      </c>
      <c r="CD72" s="783">
        <f>IF('Incremental Repayments'!$R$22="Debt",IF(AND(CD$4&gt;=$D72,CD$4&lt;$D72+'Incremental Repayments'!$I$31),-PMT('Interest Rate'!$J$16,'Incremental Repayments'!$I$31,(HLOOKUP($D72,$E$4:$CZ$32,28,FALSE)*'Incremental Repayments'!$I$22)),0),0)</f>
        <v>0</v>
      </c>
      <c r="CE72" s="783">
        <f>IF('Incremental Repayments'!$R$22="Debt",IF(AND(CE$4&gt;=$D72,CE$4&lt;$D72+'Incremental Repayments'!$I$31),-PMT('Interest Rate'!$J$16,'Incremental Repayments'!$I$31,(HLOOKUP($D72,$E$4:$CZ$32,28,FALSE)*'Incremental Repayments'!$I$22)),0),0)</f>
        <v>0</v>
      </c>
      <c r="CF72" s="783">
        <f>IF('Incremental Repayments'!$R$22="Debt",IF(AND(CF$4&gt;=$D72,CF$4&lt;$D72+'Incremental Repayments'!$I$31),-PMT('Interest Rate'!$J$16,'Incremental Repayments'!$I$31,(HLOOKUP($D72,$E$4:$CZ$32,28,FALSE)*'Incremental Repayments'!$I$22)),0),0)</f>
        <v>0</v>
      </c>
      <c r="CG72" s="783">
        <f>IF('Incremental Repayments'!$R$22="Debt",IF(AND(CG$4&gt;=$D72,CG$4&lt;$D72+'Incremental Repayments'!$I$31),-PMT('Interest Rate'!$J$16,'Incremental Repayments'!$I$31,(HLOOKUP($D72,$E$4:$CZ$32,28,FALSE)*'Incremental Repayments'!$I$22)),0),0)</f>
        <v>0</v>
      </c>
      <c r="CH72" s="783">
        <f>IF('Incremental Repayments'!$R$22="Debt",IF(AND(CH$4&gt;=$D72,CH$4&lt;$D72+'Incremental Repayments'!$I$31),-PMT('Interest Rate'!$J$16,'Incremental Repayments'!$I$31,(HLOOKUP($D72,$E$4:$CZ$32,28,FALSE)*'Incremental Repayments'!$I$22)),0),0)</f>
        <v>0</v>
      </c>
      <c r="CI72" s="783">
        <f>IF('Incremental Repayments'!$R$22="Debt",IF(AND(CI$4&gt;=$D72,CI$4&lt;$D72+'Incremental Repayments'!$I$31),-PMT('Interest Rate'!$J$16,'Incremental Repayments'!$I$31,(HLOOKUP($D72,$E$4:$CZ$32,28,FALSE)*'Incremental Repayments'!$I$22)),0),0)</f>
        <v>0</v>
      </c>
      <c r="CJ72" s="783">
        <f>IF('Incremental Repayments'!$R$22="Debt",IF(AND(CJ$4&gt;=$D72,CJ$4&lt;$D72+'Incremental Repayments'!$I$31),-PMT('Interest Rate'!$J$16,'Incremental Repayments'!$I$31,(HLOOKUP($D72,$E$4:$CZ$32,28,FALSE)*'Incremental Repayments'!$I$22)),0),0)</f>
        <v>0</v>
      </c>
      <c r="CK72" s="783">
        <f>IF('Incremental Repayments'!$R$22="Debt",IF(AND(CK$4&gt;=$D72,CK$4&lt;$D72+'Incremental Repayments'!$I$31),-PMT('Interest Rate'!$J$16,'Incremental Repayments'!$I$31,(HLOOKUP($D72,$E$4:$CZ$32,28,FALSE)*'Incremental Repayments'!$I$22)),0),0)</f>
        <v>0</v>
      </c>
      <c r="CL72" s="783">
        <f>IF('Incremental Repayments'!$R$22="Debt",IF(AND(CL$4&gt;=$D72,CL$4&lt;$D72+'Incremental Repayments'!$I$31),-PMT('Interest Rate'!$J$16,'Incremental Repayments'!$I$31,(HLOOKUP($D72,$E$4:$CZ$32,28,FALSE)*'Incremental Repayments'!$I$22)),0),0)</f>
        <v>0</v>
      </c>
      <c r="CM72" s="783">
        <f>IF('Incremental Repayments'!$R$22="Debt",IF(AND(CM$4&gt;=$D72,CM$4&lt;$D72+'Incremental Repayments'!$I$31),-PMT('Interest Rate'!$J$16,'Incremental Repayments'!$I$31,(HLOOKUP($D72,$E$4:$CZ$32,28,FALSE)*'Incremental Repayments'!$I$22)),0),0)</f>
        <v>0</v>
      </c>
      <c r="CN72" s="783">
        <f>IF('Incremental Repayments'!$R$22="Debt",IF(AND(CN$4&gt;=$D72,CN$4&lt;$D72+'Incremental Repayments'!$I$31),-PMT('Interest Rate'!$J$16,'Incremental Repayments'!$I$31,(HLOOKUP($D72,$E$4:$CZ$32,28,FALSE)*'Incremental Repayments'!$I$22)),0),0)</f>
        <v>0</v>
      </c>
      <c r="CO72" s="783">
        <f>IF('Incremental Repayments'!$R$22="Debt",IF(AND(CO$4&gt;=$D72,CO$4&lt;$D72+'Incremental Repayments'!$I$31),-PMT('Interest Rate'!$J$16,'Incremental Repayments'!$I$31,(HLOOKUP($D72,$E$4:$CZ$32,28,FALSE)*'Incremental Repayments'!$I$22)),0),0)</f>
        <v>0</v>
      </c>
      <c r="CP72" s="783">
        <f>IF('Incremental Repayments'!$R$22="Debt",IF(AND(CP$4&gt;=$D72,CP$4&lt;$D72+'Incremental Repayments'!$I$31),-PMT('Interest Rate'!$J$16,'Incremental Repayments'!$I$31,(HLOOKUP($D72,$E$4:$CZ$32,28,FALSE)*'Incremental Repayments'!$I$22)),0),0)</f>
        <v>0</v>
      </c>
      <c r="CQ72" s="783">
        <f>IF('Incremental Repayments'!$R$22="Debt",IF(AND(CQ$4&gt;=$D72,CQ$4&lt;$D72+'Incremental Repayments'!$I$31),-PMT('Interest Rate'!$J$16,'Incremental Repayments'!$I$31,(HLOOKUP($D72,$E$4:$CZ$32,28,FALSE)*'Incremental Repayments'!$I$22)),0),0)</f>
        <v>0</v>
      </c>
      <c r="CR72" s="783">
        <f>IF('Incremental Repayments'!$R$22="Debt",IF(AND(CR$4&gt;=$D72,CR$4&lt;$D72+'Incremental Repayments'!$I$31),-PMT('Interest Rate'!$J$16,'Incremental Repayments'!$I$31,(HLOOKUP($D72,$E$4:$CZ$32,28,FALSE)*'Incremental Repayments'!$I$22)),0),0)</f>
        <v>0</v>
      </c>
      <c r="CS72" s="783">
        <f>IF('Incremental Repayments'!$R$22="Debt",IF(AND(CS$4&gt;=$D72,CS$4&lt;$D72+'Incremental Repayments'!$I$31),-PMT('Interest Rate'!$J$16,'Incremental Repayments'!$I$31,(HLOOKUP($D72,$E$4:$CZ$32,28,FALSE)*'Incremental Repayments'!$I$22)),0),0)</f>
        <v>0</v>
      </c>
      <c r="CT72" s="783">
        <f>IF('Incremental Repayments'!$R$22="Debt",IF(AND(CT$4&gt;=$D72,CT$4&lt;$D72+'Incremental Repayments'!$I$31),-PMT('Interest Rate'!$J$16,'Incremental Repayments'!$I$31,(HLOOKUP($D72,$E$4:$CZ$32,28,FALSE)*'Incremental Repayments'!$I$22)),0),0)</f>
        <v>0</v>
      </c>
      <c r="CU72" s="783">
        <f>IF('Incremental Repayments'!$R$22="Debt",IF(AND(CU$4&gt;=$D72,CU$4&lt;$D72+'Incremental Repayments'!$I$31),-PMT('Interest Rate'!$J$16,'Incremental Repayments'!$I$31,(HLOOKUP($D72,$E$4:$CZ$32,28,FALSE)*'Incremental Repayments'!$I$22)),0),0)</f>
        <v>0</v>
      </c>
      <c r="CV72" s="783">
        <f>IF('Incremental Repayments'!$R$22="Debt",IF(AND(CV$4&gt;=$D72,CV$4&lt;$D72+'Incremental Repayments'!$I$31),-PMT('Interest Rate'!$J$16,'Incremental Repayments'!$I$31,(HLOOKUP($D72,$E$4:$CZ$32,28,FALSE)*'Incremental Repayments'!$I$22)),0),0)</f>
        <v>0</v>
      </c>
      <c r="CW72" s="783">
        <f>IF('Incremental Repayments'!$R$22="Debt",IF(AND(CW$4&gt;=$D72,CW$4&lt;$D72+'Incremental Repayments'!$I$31),-PMT('Interest Rate'!$J$16,'Incremental Repayments'!$I$31,(HLOOKUP($D72,$E$4:$CZ$32,28,FALSE)*'Incremental Repayments'!$I$22)),0),0)</f>
        <v>0</v>
      </c>
      <c r="CX72" s="783">
        <f>IF('Incremental Repayments'!$R$22="Debt",IF(AND(CX$4&gt;=$D72,CX$4&lt;$D72+'Incremental Repayments'!$I$31),-PMT('Interest Rate'!$J$16,'Incremental Repayments'!$I$31,(HLOOKUP($D72,$E$4:$CZ$32,28,FALSE)*'Incremental Repayments'!$I$22)),0),0)</f>
        <v>0</v>
      </c>
      <c r="CY72" s="783">
        <f>IF('Incremental Repayments'!$R$22="Debt",IF(AND(CY$4&gt;=$D72,CY$4&lt;$D72+'Incremental Repayments'!$I$31),-PMT('Interest Rate'!$J$16,'Incremental Repayments'!$I$31,(HLOOKUP($D72,$E$4:$CZ$32,28,FALSE)*'Incremental Repayments'!$I$22)),0),0)</f>
        <v>0</v>
      </c>
      <c r="CZ72" s="783">
        <f>IF('Incremental Repayments'!$R$22="Debt",IF(AND(CZ$4&gt;=$D72,CZ$4&lt;$D72+'Incremental Repayments'!$I$31),-PMT('Interest Rate'!$J$16,'Incremental Repayments'!$I$31,(HLOOKUP($D72,$E$4:$CZ$32,28,FALSE)*'Incremental Repayments'!$I$22)),0),0)</f>
        <v>0</v>
      </c>
    </row>
    <row r="73" spans="2:104" x14ac:dyDescent="0.25">
      <c r="B73" s="480" t="str">
        <f>CONCATENATE("Series ",D73,"A Bonds (at ",'Interest Rate'!$J$16*100,"% Interest)")</f>
        <v>Series 2051A Bonds (at 4.5% Interest)</v>
      </c>
      <c r="C73" s="480"/>
      <c r="D73" s="492">
        <f t="shared" si="47"/>
        <v>2051</v>
      </c>
      <c r="E73" s="783">
        <f>IF('Incremental Repayments'!$R$22="Debt",IF(AND(E$4&gt;=$D73,E$4&lt;$D73+'Incremental Repayments'!$I$31),-PMT('Interest Rate'!$J$16,'Incremental Repayments'!$I$31,(HLOOKUP($D73,$E$4:$CZ$32,28,FALSE)*'Incremental Repayments'!$I$22)),0),0)</f>
        <v>0</v>
      </c>
      <c r="F73" s="783">
        <f>IF('Incremental Repayments'!$R$22="Debt",IF(AND(F$4&gt;=$D73,F$4&lt;$D73+'Incremental Repayments'!$I$31),-PMT('Interest Rate'!$J$16,'Incremental Repayments'!$I$31,(HLOOKUP($D73,$E$4:$CZ$32,28,FALSE)*'Incremental Repayments'!$I$22)),0),0)</f>
        <v>0</v>
      </c>
      <c r="G73" s="783">
        <f>IF('Incremental Repayments'!$R$22="Debt",IF(AND(G$4&gt;=$D73,G$4&lt;$D73+'Incremental Repayments'!$I$31),-PMT('Interest Rate'!$J$16,'Incremental Repayments'!$I$31,(HLOOKUP($D73,$E$4:$CZ$32,28,FALSE)*'Incremental Repayments'!$I$22)),0),0)</f>
        <v>0</v>
      </c>
      <c r="H73" s="783">
        <f>IF('Incremental Repayments'!$R$22="Debt",IF(AND(H$4&gt;=$D73,H$4&lt;$D73+'Incremental Repayments'!$I$31),-PMT('Interest Rate'!$J$16,'Incremental Repayments'!$I$31,(HLOOKUP($D73,$E$4:$CZ$32,28,FALSE)*'Incremental Repayments'!$I$22)),0),0)</f>
        <v>0</v>
      </c>
      <c r="I73" s="783">
        <f>IF('Incremental Repayments'!$R$22="Debt",IF(AND(I$4&gt;=$D73,I$4&lt;$D73+'Incremental Repayments'!$I$31),-PMT('Interest Rate'!$J$16,'Incremental Repayments'!$I$31,(HLOOKUP($D73,$E$4:$CZ$32,28,FALSE)*'Incremental Repayments'!$I$22)),0),0)</f>
        <v>0</v>
      </c>
      <c r="J73" s="783">
        <f>IF('Incremental Repayments'!$R$22="Debt",IF(AND(J$4&gt;=$D73,J$4&lt;$D73+'Incremental Repayments'!$I$31),-PMT('Interest Rate'!$J$16,'Incremental Repayments'!$I$31,(HLOOKUP($D73,$E$4:$CZ$32,28,FALSE)*'Incremental Repayments'!$I$22)),0),0)</f>
        <v>0</v>
      </c>
      <c r="K73" s="783">
        <f>IF('Incremental Repayments'!$R$22="Debt",IF(AND(K$4&gt;=$D73,K$4&lt;$D73+'Incremental Repayments'!$I$31),-PMT('Interest Rate'!$J$16,'Incremental Repayments'!$I$31,(HLOOKUP($D73,$E$4:$CZ$32,28,FALSE)*'Incremental Repayments'!$I$22)),0),0)</f>
        <v>0</v>
      </c>
      <c r="L73" s="783">
        <f>IF('Incremental Repayments'!$R$22="Debt",IF(AND(L$4&gt;=$D73,L$4&lt;$D73+'Incremental Repayments'!$I$31),-PMT('Interest Rate'!$J$16,'Incremental Repayments'!$I$31,(HLOOKUP($D73,$E$4:$CZ$32,28,FALSE)*'Incremental Repayments'!$I$22)),0),0)</f>
        <v>0</v>
      </c>
      <c r="M73" s="783">
        <f>IF('Incremental Repayments'!$R$22="Debt",IF(AND(M$4&gt;=$D73,M$4&lt;$D73+'Incremental Repayments'!$I$31),-PMT('Interest Rate'!$J$16,'Incremental Repayments'!$I$31,(HLOOKUP($D73,$E$4:$CZ$32,28,FALSE)*'Incremental Repayments'!$I$22)),0),0)</f>
        <v>0</v>
      </c>
      <c r="N73" s="783">
        <f>IF('Incremental Repayments'!$R$22="Debt",IF(AND(N$4&gt;=$D73,N$4&lt;$D73+'Incremental Repayments'!$I$31),-PMT('Interest Rate'!$J$16,'Incremental Repayments'!$I$31,(HLOOKUP($D73,$E$4:$CZ$32,28,FALSE)*'Incremental Repayments'!$I$22)),0),0)</f>
        <v>0</v>
      </c>
      <c r="O73" s="783">
        <f>IF('Incremental Repayments'!$R$22="Debt",IF(AND(O$4&gt;=$D73,O$4&lt;$D73+'Incremental Repayments'!$I$31),-PMT('Interest Rate'!$J$16,'Incremental Repayments'!$I$31,(HLOOKUP($D73,$E$4:$CZ$32,28,FALSE)*'Incremental Repayments'!$I$22)),0),0)</f>
        <v>0</v>
      </c>
      <c r="P73" s="783">
        <f>IF('Incremental Repayments'!$R$22="Debt",IF(AND(P$4&gt;=$D73,P$4&lt;$D73+'Incremental Repayments'!$I$31),-PMT('Interest Rate'!$J$16,'Incremental Repayments'!$I$31,(HLOOKUP($D73,$E$4:$CZ$32,28,FALSE)*'Incremental Repayments'!$I$22)),0),0)</f>
        <v>0</v>
      </c>
      <c r="Q73" s="783">
        <f>IF('Incremental Repayments'!$R$22="Debt",IF(AND(Q$4&gt;=$D73,Q$4&lt;$D73+'Incremental Repayments'!$I$31),-PMT('Interest Rate'!$J$16,'Incremental Repayments'!$I$31,(HLOOKUP($D73,$E$4:$CZ$32,28,FALSE)*'Incremental Repayments'!$I$22)),0),0)</f>
        <v>0</v>
      </c>
      <c r="R73" s="783">
        <f>IF('Incremental Repayments'!$R$22="Debt",IF(AND(R$4&gt;=$D73,R$4&lt;$D73+'Incremental Repayments'!$I$31),-PMT('Interest Rate'!$J$16,'Incremental Repayments'!$I$31,(HLOOKUP($D73,$E$4:$CZ$32,28,FALSE)*'Incremental Repayments'!$I$22)),0),0)</f>
        <v>0</v>
      </c>
      <c r="S73" s="783">
        <f>IF('Incremental Repayments'!$R$22="Debt",IF(AND(S$4&gt;=$D73,S$4&lt;$D73+'Incremental Repayments'!$I$31),-PMT('Interest Rate'!$J$16,'Incremental Repayments'!$I$31,(HLOOKUP($D73,$E$4:$CZ$32,28,FALSE)*'Incremental Repayments'!$I$22)),0),0)</f>
        <v>0</v>
      </c>
      <c r="T73" s="783">
        <f>IF('Incremental Repayments'!$R$22="Debt",IF(AND(T$4&gt;=$D73,T$4&lt;$D73+'Incremental Repayments'!$I$31),-PMT('Interest Rate'!$J$16,'Incremental Repayments'!$I$31,(HLOOKUP($D73,$E$4:$CZ$32,28,FALSE)*'Incremental Repayments'!$I$22)),0),0)</f>
        <v>0</v>
      </c>
      <c r="U73" s="783">
        <f>IF('Incremental Repayments'!$R$22="Debt",IF(AND(U$4&gt;=$D73,U$4&lt;$D73+'Incremental Repayments'!$I$31),-PMT('Interest Rate'!$J$16,'Incremental Repayments'!$I$31,(HLOOKUP($D73,$E$4:$CZ$32,28,FALSE)*'Incremental Repayments'!$I$22)),0),0)</f>
        <v>0</v>
      </c>
      <c r="V73" s="783">
        <f>IF('Incremental Repayments'!$R$22="Debt",IF(AND(V$4&gt;=$D73,V$4&lt;$D73+'Incremental Repayments'!$I$31),-PMT('Interest Rate'!$J$16,'Incremental Repayments'!$I$31,(HLOOKUP($D73,$E$4:$CZ$32,28,FALSE)*'Incremental Repayments'!$I$22)),0),0)</f>
        <v>0</v>
      </c>
      <c r="W73" s="783">
        <f>IF('Incremental Repayments'!$R$22="Debt",IF(AND(W$4&gt;=$D73,W$4&lt;$D73+'Incremental Repayments'!$I$31),-PMT('Interest Rate'!$J$16,'Incremental Repayments'!$I$31,(HLOOKUP($D73,$E$4:$CZ$32,28,FALSE)*'Incremental Repayments'!$I$22)),0),0)</f>
        <v>0</v>
      </c>
      <c r="X73" s="783">
        <f>IF('Incremental Repayments'!$R$22="Debt",IF(AND(X$4&gt;=$D73,X$4&lt;$D73+'Incremental Repayments'!$I$31),-PMT('Interest Rate'!$J$16,'Incremental Repayments'!$I$31,(HLOOKUP($D73,$E$4:$CZ$32,28,FALSE)*'Incremental Repayments'!$I$22)),0),0)</f>
        <v>0</v>
      </c>
      <c r="Y73" s="783">
        <f>IF('Incremental Repayments'!$R$22="Debt",IF(AND(Y$4&gt;=$D73,Y$4&lt;$D73+'Incremental Repayments'!$I$31),-PMT('Interest Rate'!$J$16,'Incremental Repayments'!$I$31,(HLOOKUP($D73,$E$4:$CZ$32,28,FALSE)*'Incremental Repayments'!$I$22)),0),0)</f>
        <v>0</v>
      </c>
      <c r="Z73" s="783">
        <f>IF('Incremental Repayments'!$R$22="Debt",IF(AND(Z$4&gt;=$D73,Z$4&lt;$D73+'Incremental Repayments'!$I$31),-PMT('Interest Rate'!$J$16,'Incremental Repayments'!$I$31,(HLOOKUP($D73,$E$4:$CZ$32,28,FALSE)*'Incremental Repayments'!$I$22)),0),0)</f>
        <v>0</v>
      </c>
      <c r="AA73" s="783">
        <f>IF('Incremental Repayments'!$R$22="Debt",IF(AND(AA$4&gt;=$D73,AA$4&lt;$D73+'Incremental Repayments'!$I$31),-PMT('Interest Rate'!$J$16,'Incremental Repayments'!$I$31,(HLOOKUP($D73,$E$4:$CZ$32,28,FALSE)*'Incremental Repayments'!$I$22)),0),0)</f>
        <v>0</v>
      </c>
      <c r="AB73" s="783">
        <f>IF('Incremental Repayments'!$R$22="Debt",IF(AND(AB$4&gt;=$D73,AB$4&lt;$D73+'Incremental Repayments'!$I$31),-PMT('Interest Rate'!$J$16,'Incremental Repayments'!$I$31,(HLOOKUP($D73,$E$4:$CZ$32,28,FALSE)*'Incremental Repayments'!$I$22)),0),0)</f>
        <v>0</v>
      </c>
      <c r="AC73" s="783">
        <f>IF('Incremental Repayments'!$R$22="Debt",IF(AND(AC$4&gt;=$D73,AC$4&lt;$D73+'Incremental Repayments'!$I$31),-PMT('Interest Rate'!$J$16,'Incremental Repayments'!$I$31,(HLOOKUP($D73,$E$4:$CZ$32,28,FALSE)*'Incremental Repayments'!$I$22)),0),0)</f>
        <v>0</v>
      </c>
      <c r="AD73" s="783">
        <f>IF('Incremental Repayments'!$R$22="Debt",IF(AND(AD$4&gt;=$D73,AD$4&lt;$D73+'Incremental Repayments'!$I$31),-PMT('Interest Rate'!$J$16,'Incremental Repayments'!$I$31,(HLOOKUP($D73,$E$4:$CZ$32,28,FALSE)*'Incremental Repayments'!$I$22)),0),0)</f>
        <v>0</v>
      </c>
      <c r="AE73" s="783">
        <f>IF('Incremental Repayments'!$R$22="Debt",IF(AND(AE$4&gt;=$D73,AE$4&lt;$D73+'Incremental Repayments'!$I$31),-PMT('Interest Rate'!$J$16,'Incremental Repayments'!$I$31,(HLOOKUP($D73,$E$4:$CZ$32,28,FALSE)*'Incremental Repayments'!$I$22)),0),0)</f>
        <v>0</v>
      </c>
      <c r="AF73" s="783">
        <f>IF('Incremental Repayments'!$R$22="Debt",IF(AND(AF$4&gt;=$D73,AF$4&lt;$D73+'Incremental Repayments'!$I$31),-PMT('Interest Rate'!$J$16,'Incremental Repayments'!$I$31,(HLOOKUP($D73,$E$4:$CZ$32,28,FALSE)*'Incremental Repayments'!$I$22)),0),0)</f>
        <v>0</v>
      </c>
      <c r="AG73" s="783">
        <f>IF('Incremental Repayments'!$R$22="Debt",IF(AND(AG$4&gt;=$D73,AG$4&lt;$D73+'Incremental Repayments'!$I$31),-PMT('Interest Rate'!$J$16,'Incremental Repayments'!$I$31,(HLOOKUP($D73,$E$4:$CZ$32,28,FALSE)*'Incremental Repayments'!$I$22)),0),0)</f>
        <v>0</v>
      </c>
      <c r="AH73" s="783">
        <f>IF('Incremental Repayments'!$R$22="Debt",IF(AND(AH$4&gt;=$D73,AH$4&lt;$D73+'Incremental Repayments'!$I$31),-PMT('Interest Rate'!$J$16,'Incremental Repayments'!$I$31,(HLOOKUP($D73,$E$4:$CZ$32,28,FALSE)*'Incremental Repayments'!$I$22)),0),0)</f>
        <v>0</v>
      </c>
      <c r="AI73" s="783">
        <f>IF('Incremental Repayments'!$R$22="Debt",IF(AND(AI$4&gt;=$D73,AI$4&lt;$D73+'Incremental Repayments'!$I$31),-PMT('Interest Rate'!$J$16,'Incremental Repayments'!$I$31,(HLOOKUP($D73,$E$4:$CZ$32,28,FALSE)*'Incremental Repayments'!$I$22)),0),0)</f>
        <v>0</v>
      </c>
      <c r="AJ73" s="783">
        <f>IF('Incremental Repayments'!$R$22="Debt",IF(AND(AJ$4&gt;=$D73,AJ$4&lt;$D73+'Incremental Repayments'!$I$31),-PMT('Interest Rate'!$J$16,'Incremental Repayments'!$I$31,(HLOOKUP($D73,$E$4:$CZ$32,28,FALSE)*'Incremental Repayments'!$I$22)),0),0)</f>
        <v>0</v>
      </c>
      <c r="AK73" s="783">
        <f>IF('Incremental Repayments'!$R$22="Debt",IF(AND(AK$4&gt;=$D73,AK$4&lt;$D73+'Incremental Repayments'!$I$31),-PMT('Interest Rate'!$J$16,'Incremental Repayments'!$I$31,(HLOOKUP($D73,$E$4:$CZ$32,28,FALSE)*'Incremental Repayments'!$I$22)),0),0)</f>
        <v>0</v>
      </c>
      <c r="AL73" s="783">
        <f>IF('Incremental Repayments'!$R$22="Debt",IF(AND(AL$4&gt;=$D73,AL$4&lt;$D73+'Incremental Repayments'!$I$31),-PMT('Interest Rate'!$J$16,'Incremental Repayments'!$I$31,(HLOOKUP($D73,$E$4:$CZ$32,28,FALSE)*'Incremental Repayments'!$I$22)),0),0)</f>
        <v>0</v>
      </c>
      <c r="AM73" s="783">
        <f>IF('Incremental Repayments'!$R$22="Debt",IF(AND(AM$4&gt;=$D73,AM$4&lt;$D73+'Incremental Repayments'!$I$31),-PMT('Interest Rate'!$J$16,'Incremental Repayments'!$I$31,(HLOOKUP($D73,$E$4:$CZ$32,28,FALSE)*'Incremental Repayments'!$I$22)),0),0)</f>
        <v>0</v>
      </c>
      <c r="AN73" s="783">
        <f>IF('Incremental Repayments'!$R$22="Debt",IF(AND(AN$4&gt;=$D73,AN$4&lt;$D73+'Incremental Repayments'!$I$31),-PMT('Interest Rate'!$J$16,'Incremental Repayments'!$I$31,(HLOOKUP($D73,$E$4:$CZ$32,28,FALSE)*'Incremental Repayments'!$I$22)),0),0)</f>
        <v>0</v>
      </c>
      <c r="AO73" s="783">
        <f>IF('Incremental Repayments'!$R$22="Debt",IF(AND(AO$4&gt;=$D73,AO$4&lt;$D73+'Incremental Repayments'!$I$31),-PMT('Interest Rate'!$J$16,'Incremental Repayments'!$I$31,(HLOOKUP($D73,$E$4:$CZ$32,28,FALSE)*'Incremental Repayments'!$I$22)),0),0)</f>
        <v>0</v>
      </c>
      <c r="AP73" s="783">
        <f>IF('Incremental Repayments'!$R$22="Debt",IF(AND(AP$4&gt;=$D73,AP$4&lt;$D73+'Incremental Repayments'!$I$31),-PMT('Interest Rate'!$J$16,'Incremental Repayments'!$I$31,(HLOOKUP($D73,$E$4:$CZ$32,28,FALSE)*'Incremental Repayments'!$I$22)),0),0)</f>
        <v>234520.25486922037</v>
      </c>
      <c r="AQ73" s="783">
        <f>IF('Incremental Repayments'!$R$22="Debt",IF(AND(AQ$4&gt;=$D73,AQ$4&lt;$D73+'Incremental Repayments'!$I$31),-PMT('Interest Rate'!$J$16,'Incremental Repayments'!$I$31,(HLOOKUP($D73,$E$4:$CZ$32,28,FALSE)*'Incremental Repayments'!$I$22)),0),0)</f>
        <v>234520.25486922037</v>
      </c>
      <c r="AR73" s="783">
        <f>IF('Incremental Repayments'!$R$22="Debt",IF(AND(AR$4&gt;=$D73,AR$4&lt;$D73+'Incremental Repayments'!$I$31),-PMT('Interest Rate'!$J$16,'Incremental Repayments'!$I$31,(HLOOKUP($D73,$E$4:$CZ$32,28,FALSE)*'Incremental Repayments'!$I$22)),0),0)</f>
        <v>234520.25486922037</v>
      </c>
      <c r="AS73" s="783">
        <f>IF('Incremental Repayments'!$R$22="Debt",IF(AND(AS$4&gt;=$D73,AS$4&lt;$D73+'Incremental Repayments'!$I$31),-PMT('Interest Rate'!$J$16,'Incremental Repayments'!$I$31,(HLOOKUP($D73,$E$4:$CZ$32,28,FALSE)*'Incremental Repayments'!$I$22)),0),0)</f>
        <v>234520.25486922037</v>
      </c>
      <c r="AT73" s="783">
        <f>IF('Incremental Repayments'!$R$22="Debt",IF(AND(AT$4&gt;=$D73,AT$4&lt;$D73+'Incremental Repayments'!$I$31),-PMT('Interest Rate'!$J$16,'Incremental Repayments'!$I$31,(HLOOKUP($D73,$E$4:$CZ$32,28,FALSE)*'Incremental Repayments'!$I$22)),0),0)</f>
        <v>234520.25486922037</v>
      </c>
      <c r="AU73" s="783">
        <f>IF('Incremental Repayments'!$R$22="Debt",IF(AND(AU$4&gt;=$D73,AU$4&lt;$D73+'Incremental Repayments'!$I$31),-PMT('Interest Rate'!$J$16,'Incremental Repayments'!$I$31,(HLOOKUP($D73,$E$4:$CZ$32,28,FALSE)*'Incremental Repayments'!$I$22)),0),0)</f>
        <v>234520.25486922037</v>
      </c>
      <c r="AV73" s="783">
        <f>IF('Incremental Repayments'!$R$22="Debt",IF(AND(AV$4&gt;=$D73,AV$4&lt;$D73+'Incremental Repayments'!$I$31),-PMT('Interest Rate'!$J$16,'Incremental Repayments'!$I$31,(HLOOKUP($D73,$E$4:$CZ$32,28,FALSE)*'Incremental Repayments'!$I$22)),0),0)</f>
        <v>234520.25486922037</v>
      </c>
      <c r="AW73" s="783">
        <f>IF('Incremental Repayments'!$R$22="Debt",IF(AND(AW$4&gt;=$D73,AW$4&lt;$D73+'Incremental Repayments'!$I$31),-PMT('Interest Rate'!$J$16,'Incremental Repayments'!$I$31,(HLOOKUP($D73,$E$4:$CZ$32,28,FALSE)*'Incremental Repayments'!$I$22)),0),0)</f>
        <v>234520.25486922037</v>
      </c>
      <c r="AX73" s="783">
        <f>IF('Incremental Repayments'!$R$22="Debt",IF(AND(AX$4&gt;=$D73,AX$4&lt;$D73+'Incremental Repayments'!$I$31),-PMT('Interest Rate'!$J$16,'Incremental Repayments'!$I$31,(HLOOKUP($D73,$E$4:$CZ$32,28,FALSE)*'Incremental Repayments'!$I$22)),0),0)</f>
        <v>234520.25486922037</v>
      </c>
      <c r="AY73" s="783">
        <f>IF('Incremental Repayments'!$R$22="Debt",IF(AND(AY$4&gt;=$D73,AY$4&lt;$D73+'Incremental Repayments'!$I$31),-PMT('Interest Rate'!$J$16,'Incremental Repayments'!$I$31,(HLOOKUP($D73,$E$4:$CZ$32,28,FALSE)*'Incremental Repayments'!$I$22)),0),0)</f>
        <v>234520.25486922037</v>
      </c>
      <c r="AZ73" s="783">
        <f>IF('Incremental Repayments'!$R$22="Debt",IF(AND(AZ$4&gt;=$D73,AZ$4&lt;$D73+'Incremental Repayments'!$I$31),-PMT('Interest Rate'!$J$16,'Incremental Repayments'!$I$31,(HLOOKUP($D73,$E$4:$CZ$32,28,FALSE)*'Incremental Repayments'!$I$22)),0),0)</f>
        <v>234520.25486922037</v>
      </c>
      <c r="BA73" s="783">
        <f>IF('Incremental Repayments'!$R$22="Debt",IF(AND(BA$4&gt;=$D73,BA$4&lt;$D73+'Incremental Repayments'!$I$31),-PMT('Interest Rate'!$J$16,'Incremental Repayments'!$I$31,(HLOOKUP($D73,$E$4:$CZ$32,28,FALSE)*'Incremental Repayments'!$I$22)),0),0)</f>
        <v>234520.25486922037</v>
      </c>
      <c r="BB73" s="783">
        <f>IF('Incremental Repayments'!$R$22="Debt",IF(AND(BB$4&gt;=$D73,BB$4&lt;$D73+'Incremental Repayments'!$I$31),-PMT('Interest Rate'!$J$16,'Incremental Repayments'!$I$31,(HLOOKUP($D73,$E$4:$CZ$32,28,FALSE)*'Incremental Repayments'!$I$22)),0),0)</f>
        <v>234520.25486922037</v>
      </c>
      <c r="BC73" s="783">
        <f>IF('Incremental Repayments'!$R$22="Debt",IF(AND(BC$4&gt;=$D73,BC$4&lt;$D73+'Incremental Repayments'!$I$31),-PMT('Interest Rate'!$J$16,'Incremental Repayments'!$I$31,(HLOOKUP($D73,$E$4:$CZ$32,28,FALSE)*'Incremental Repayments'!$I$22)),0),0)</f>
        <v>234520.25486922037</v>
      </c>
      <c r="BD73" s="783">
        <f>IF('Incremental Repayments'!$R$22="Debt",IF(AND(BD$4&gt;=$D73,BD$4&lt;$D73+'Incremental Repayments'!$I$31),-PMT('Interest Rate'!$J$16,'Incremental Repayments'!$I$31,(HLOOKUP($D73,$E$4:$CZ$32,28,FALSE)*'Incremental Repayments'!$I$22)),0),0)</f>
        <v>234520.25486922037</v>
      </c>
      <c r="BE73" s="783">
        <f>IF('Incremental Repayments'!$R$22="Debt",IF(AND(BE$4&gt;=$D73,BE$4&lt;$D73+'Incremental Repayments'!$I$31),-PMT('Interest Rate'!$J$16,'Incremental Repayments'!$I$31,(HLOOKUP($D73,$E$4:$CZ$32,28,FALSE)*'Incremental Repayments'!$I$22)),0),0)</f>
        <v>234520.25486922037</v>
      </c>
      <c r="BF73" s="783">
        <f>IF('Incremental Repayments'!$R$22="Debt",IF(AND(BF$4&gt;=$D73,BF$4&lt;$D73+'Incremental Repayments'!$I$31),-PMT('Interest Rate'!$J$16,'Incremental Repayments'!$I$31,(HLOOKUP($D73,$E$4:$CZ$32,28,FALSE)*'Incremental Repayments'!$I$22)),0),0)</f>
        <v>234520.25486922037</v>
      </c>
      <c r="BG73" s="783">
        <f>IF('Incremental Repayments'!$R$22="Debt",IF(AND(BG$4&gt;=$D73,BG$4&lt;$D73+'Incremental Repayments'!$I$31),-PMT('Interest Rate'!$J$16,'Incremental Repayments'!$I$31,(HLOOKUP($D73,$E$4:$CZ$32,28,FALSE)*'Incremental Repayments'!$I$22)),0),0)</f>
        <v>234520.25486922037</v>
      </c>
      <c r="BH73" s="783">
        <f>IF('Incremental Repayments'!$R$22="Debt",IF(AND(BH$4&gt;=$D73,BH$4&lt;$D73+'Incremental Repayments'!$I$31),-PMT('Interest Rate'!$J$16,'Incremental Repayments'!$I$31,(HLOOKUP($D73,$E$4:$CZ$32,28,FALSE)*'Incremental Repayments'!$I$22)),0),0)</f>
        <v>234520.25486922037</v>
      </c>
      <c r="BI73" s="783">
        <f>IF('Incremental Repayments'!$R$22="Debt",IF(AND(BI$4&gt;=$D73,BI$4&lt;$D73+'Incremental Repayments'!$I$31),-PMT('Interest Rate'!$J$16,'Incremental Repayments'!$I$31,(HLOOKUP($D73,$E$4:$CZ$32,28,FALSE)*'Incremental Repayments'!$I$22)),0),0)</f>
        <v>234520.25486922037</v>
      </c>
      <c r="BJ73" s="783">
        <f>IF('Incremental Repayments'!$R$22="Debt",IF(AND(BJ$4&gt;=$D73,BJ$4&lt;$D73+'Incremental Repayments'!$I$31),-PMT('Interest Rate'!$J$16,'Incremental Repayments'!$I$31,(HLOOKUP($D73,$E$4:$CZ$32,28,FALSE)*'Incremental Repayments'!$I$22)),0),0)</f>
        <v>234520.25486922037</v>
      </c>
      <c r="BK73" s="783">
        <f>IF('Incremental Repayments'!$R$22="Debt",IF(AND(BK$4&gt;=$D73,BK$4&lt;$D73+'Incremental Repayments'!$I$31),-PMT('Interest Rate'!$J$16,'Incremental Repayments'!$I$31,(HLOOKUP($D73,$E$4:$CZ$32,28,FALSE)*'Incremental Repayments'!$I$22)),0),0)</f>
        <v>234520.25486922037</v>
      </c>
      <c r="BL73" s="783">
        <f>IF('Incremental Repayments'!$R$22="Debt",IF(AND(BL$4&gt;=$D73,BL$4&lt;$D73+'Incremental Repayments'!$I$31),-PMT('Interest Rate'!$J$16,'Incremental Repayments'!$I$31,(HLOOKUP($D73,$E$4:$CZ$32,28,FALSE)*'Incremental Repayments'!$I$22)),0),0)</f>
        <v>234520.25486922037</v>
      </c>
      <c r="BM73" s="783">
        <f>IF('Incremental Repayments'!$R$22="Debt",IF(AND(BM$4&gt;=$D73,BM$4&lt;$D73+'Incremental Repayments'!$I$31),-PMT('Interest Rate'!$J$16,'Incremental Repayments'!$I$31,(HLOOKUP($D73,$E$4:$CZ$32,28,FALSE)*'Incremental Repayments'!$I$22)),0),0)</f>
        <v>234520.25486922037</v>
      </c>
      <c r="BN73" s="783">
        <f>IF('Incremental Repayments'!$R$22="Debt",IF(AND(BN$4&gt;=$D73,BN$4&lt;$D73+'Incremental Repayments'!$I$31),-PMT('Interest Rate'!$J$16,'Incremental Repayments'!$I$31,(HLOOKUP($D73,$E$4:$CZ$32,28,FALSE)*'Incremental Repayments'!$I$22)),0),0)</f>
        <v>234520.25486922037</v>
      </c>
      <c r="BO73" s="783">
        <f>IF('Incremental Repayments'!$R$22="Debt",IF(AND(BO$4&gt;=$D73,BO$4&lt;$D73+'Incremental Repayments'!$I$31),-PMT('Interest Rate'!$J$16,'Incremental Repayments'!$I$31,(HLOOKUP($D73,$E$4:$CZ$32,28,FALSE)*'Incremental Repayments'!$I$22)),0),0)</f>
        <v>234520.25486922037</v>
      </c>
      <c r="BP73" s="783">
        <f>IF('Incremental Repayments'!$R$22="Debt",IF(AND(BP$4&gt;=$D73,BP$4&lt;$D73+'Incremental Repayments'!$I$31),-PMT('Interest Rate'!$J$16,'Incremental Repayments'!$I$31,(HLOOKUP($D73,$E$4:$CZ$32,28,FALSE)*'Incremental Repayments'!$I$22)),0),0)</f>
        <v>234520.25486922037</v>
      </c>
      <c r="BQ73" s="783">
        <f>IF('Incremental Repayments'!$R$22="Debt",IF(AND(BQ$4&gt;=$D73,BQ$4&lt;$D73+'Incremental Repayments'!$I$31),-PMT('Interest Rate'!$J$16,'Incremental Repayments'!$I$31,(HLOOKUP($D73,$E$4:$CZ$32,28,FALSE)*'Incremental Repayments'!$I$22)),0),0)</f>
        <v>234520.25486922037</v>
      </c>
      <c r="BR73" s="783">
        <f>IF('Incremental Repayments'!$R$22="Debt",IF(AND(BR$4&gt;=$D73,BR$4&lt;$D73+'Incremental Repayments'!$I$31),-PMT('Interest Rate'!$J$16,'Incremental Repayments'!$I$31,(HLOOKUP($D73,$E$4:$CZ$32,28,FALSE)*'Incremental Repayments'!$I$22)),0),0)</f>
        <v>234520.25486922037</v>
      </c>
      <c r="BS73" s="783">
        <f>IF('Incremental Repayments'!$R$22="Debt",IF(AND(BS$4&gt;=$D73,BS$4&lt;$D73+'Incremental Repayments'!$I$31),-PMT('Interest Rate'!$J$16,'Incremental Repayments'!$I$31,(HLOOKUP($D73,$E$4:$CZ$32,28,FALSE)*'Incremental Repayments'!$I$22)),0),0)</f>
        <v>234520.25486922037</v>
      </c>
      <c r="BT73" s="783">
        <f>IF('Incremental Repayments'!$R$22="Debt",IF(AND(BT$4&gt;=$D73,BT$4&lt;$D73+'Incremental Repayments'!$I$31),-PMT('Interest Rate'!$J$16,'Incremental Repayments'!$I$31,(HLOOKUP($D73,$E$4:$CZ$32,28,FALSE)*'Incremental Repayments'!$I$22)),0),0)</f>
        <v>0</v>
      </c>
      <c r="BU73" s="783">
        <f>IF('Incremental Repayments'!$R$22="Debt",IF(AND(BU$4&gt;=$D73,BU$4&lt;$D73+'Incremental Repayments'!$I$31),-PMT('Interest Rate'!$J$16,'Incremental Repayments'!$I$31,(HLOOKUP($D73,$E$4:$CZ$32,28,FALSE)*'Incremental Repayments'!$I$22)),0),0)</f>
        <v>0</v>
      </c>
      <c r="BV73" s="783">
        <f>IF('Incremental Repayments'!$R$22="Debt",IF(AND(BV$4&gt;=$D73,BV$4&lt;$D73+'Incremental Repayments'!$I$31),-PMT('Interest Rate'!$J$16,'Incremental Repayments'!$I$31,(HLOOKUP($D73,$E$4:$CZ$32,28,FALSE)*'Incremental Repayments'!$I$22)),0),0)</f>
        <v>0</v>
      </c>
      <c r="BW73" s="783">
        <f>IF('Incremental Repayments'!$R$22="Debt",IF(AND(BW$4&gt;=$D73,BW$4&lt;$D73+'Incremental Repayments'!$I$31),-PMT('Interest Rate'!$J$16,'Incremental Repayments'!$I$31,(HLOOKUP($D73,$E$4:$CZ$32,28,FALSE)*'Incremental Repayments'!$I$22)),0),0)</f>
        <v>0</v>
      </c>
      <c r="BX73" s="783">
        <f>IF('Incremental Repayments'!$R$22="Debt",IF(AND(BX$4&gt;=$D73,BX$4&lt;$D73+'Incremental Repayments'!$I$31),-PMT('Interest Rate'!$J$16,'Incremental Repayments'!$I$31,(HLOOKUP($D73,$E$4:$CZ$32,28,FALSE)*'Incremental Repayments'!$I$22)),0),0)</f>
        <v>0</v>
      </c>
      <c r="BY73" s="783">
        <f>IF('Incremental Repayments'!$R$22="Debt",IF(AND(BY$4&gt;=$D73,BY$4&lt;$D73+'Incremental Repayments'!$I$31),-PMT('Interest Rate'!$J$16,'Incremental Repayments'!$I$31,(HLOOKUP($D73,$E$4:$CZ$32,28,FALSE)*'Incremental Repayments'!$I$22)),0),0)</f>
        <v>0</v>
      </c>
      <c r="BZ73" s="783">
        <f>IF('Incremental Repayments'!$R$22="Debt",IF(AND(BZ$4&gt;=$D73,BZ$4&lt;$D73+'Incremental Repayments'!$I$31),-PMT('Interest Rate'!$J$16,'Incremental Repayments'!$I$31,(HLOOKUP($D73,$E$4:$CZ$32,28,FALSE)*'Incremental Repayments'!$I$22)),0),0)</f>
        <v>0</v>
      </c>
      <c r="CA73" s="783">
        <f>IF('Incremental Repayments'!$R$22="Debt",IF(AND(CA$4&gt;=$D73,CA$4&lt;$D73+'Incremental Repayments'!$I$31),-PMT('Interest Rate'!$J$16,'Incremental Repayments'!$I$31,(HLOOKUP($D73,$E$4:$CZ$32,28,FALSE)*'Incremental Repayments'!$I$22)),0),0)</f>
        <v>0</v>
      </c>
      <c r="CB73" s="783">
        <f>IF('Incremental Repayments'!$R$22="Debt",IF(AND(CB$4&gt;=$D73,CB$4&lt;$D73+'Incremental Repayments'!$I$31),-PMT('Interest Rate'!$J$16,'Incremental Repayments'!$I$31,(HLOOKUP($D73,$E$4:$CZ$32,28,FALSE)*'Incremental Repayments'!$I$22)),0),0)</f>
        <v>0</v>
      </c>
      <c r="CC73" s="783">
        <f>IF('Incremental Repayments'!$R$22="Debt",IF(AND(CC$4&gt;=$D73,CC$4&lt;$D73+'Incremental Repayments'!$I$31),-PMT('Interest Rate'!$J$16,'Incremental Repayments'!$I$31,(HLOOKUP($D73,$E$4:$CZ$32,28,FALSE)*'Incremental Repayments'!$I$22)),0),0)</f>
        <v>0</v>
      </c>
      <c r="CD73" s="783">
        <f>IF('Incremental Repayments'!$R$22="Debt",IF(AND(CD$4&gt;=$D73,CD$4&lt;$D73+'Incremental Repayments'!$I$31),-PMT('Interest Rate'!$J$16,'Incremental Repayments'!$I$31,(HLOOKUP($D73,$E$4:$CZ$32,28,FALSE)*'Incremental Repayments'!$I$22)),0),0)</f>
        <v>0</v>
      </c>
      <c r="CE73" s="783">
        <f>IF('Incremental Repayments'!$R$22="Debt",IF(AND(CE$4&gt;=$D73,CE$4&lt;$D73+'Incremental Repayments'!$I$31),-PMT('Interest Rate'!$J$16,'Incremental Repayments'!$I$31,(HLOOKUP($D73,$E$4:$CZ$32,28,FALSE)*'Incremental Repayments'!$I$22)),0),0)</f>
        <v>0</v>
      </c>
      <c r="CF73" s="783">
        <f>IF('Incremental Repayments'!$R$22="Debt",IF(AND(CF$4&gt;=$D73,CF$4&lt;$D73+'Incremental Repayments'!$I$31),-PMT('Interest Rate'!$J$16,'Incremental Repayments'!$I$31,(HLOOKUP($D73,$E$4:$CZ$32,28,FALSE)*'Incremental Repayments'!$I$22)),0),0)</f>
        <v>0</v>
      </c>
      <c r="CG73" s="783">
        <f>IF('Incremental Repayments'!$R$22="Debt",IF(AND(CG$4&gt;=$D73,CG$4&lt;$D73+'Incremental Repayments'!$I$31),-PMT('Interest Rate'!$J$16,'Incremental Repayments'!$I$31,(HLOOKUP($D73,$E$4:$CZ$32,28,FALSE)*'Incremental Repayments'!$I$22)),0),0)</f>
        <v>0</v>
      </c>
      <c r="CH73" s="783">
        <f>IF('Incremental Repayments'!$R$22="Debt",IF(AND(CH$4&gt;=$D73,CH$4&lt;$D73+'Incremental Repayments'!$I$31),-PMT('Interest Rate'!$J$16,'Incremental Repayments'!$I$31,(HLOOKUP($D73,$E$4:$CZ$32,28,FALSE)*'Incremental Repayments'!$I$22)),0),0)</f>
        <v>0</v>
      </c>
      <c r="CI73" s="783">
        <f>IF('Incremental Repayments'!$R$22="Debt",IF(AND(CI$4&gt;=$D73,CI$4&lt;$D73+'Incremental Repayments'!$I$31),-PMT('Interest Rate'!$J$16,'Incremental Repayments'!$I$31,(HLOOKUP($D73,$E$4:$CZ$32,28,FALSE)*'Incremental Repayments'!$I$22)),0),0)</f>
        <v>0</v>
      </c>
      <c r="CJ73" s="783">
        <f>IF('Incremental Repayments'!$R$22="Debt",IF(AND(CJ$4&gt;=$D73,CJ$4&lt;$D73+'Incremental Repayments'!$I$31),-PMT('Interest Rate'!$J$16,'Incremental Repayments'!$I$31,(HLOOKUP($D73,$E$4:$CZ$32,28,FALSE)*'Incremental Repayments'!$I$22)),0),0)</f>
        <v>0</v>
      </c>
      <c r="CK73" s="783">
        <f>IF('Incremental Repayments'!$R$22="Debt",IF(AND(CK$4&gt;=$D73,CK$4&lt;$D73+'Incremental Repayments'!$I$31),-PMT('Interest Rate'!$J$16,'Incremental Repayments'!$I$31,(HLOOKUP($D73,$E$4:$CZ$32,28,FALSE)*'Incremental Repayments'!$I$22)),0),0)</f>
        <v>0</v>
      </c>
      <c r="CL73" s="783">
        <f>IF('Incremental Repayments'!$R$22="Debt",IF(AND(CL$4&gt;=$D73,CL$4&lt;$D73+'Incremental Repayments'!$I$31),-PMT('Interest Rate'!$J$16,'Incremental Repayments'!$I$31,(HLOOKUP($D73,$E$4:$CZ$32,28,FALSE)*'Incremental Repayments'!$I$22)),0),0)</f>
        <v>0</v>
      </c>
      <c r="CM73" s="783">
        <f>IF('Incremental Repayments'!$R$22="Debt",IF(AND(CM$4&gt;=$D73,CM$4&lt;$D73+'Incremental Repayments'!$I$31),-PMT('Interest Rate'!$J$16,'Incremental Repayments'!$I$31,(HLOOKUP($D73,$E$4:$CZ$32,28,FALSE)*'Incremental Repayments'!$I$22)),0),0)</f>
        <v>0</v>
      </c>
      <c r="CN73" s="783">
        <f>IF('Incremental Repayments'!$R$22="Debt",IF(AND(CN$4&gt;=$D73,CN$4&lt;$D73+'Incremental Repayments'!$I$31),-PMT('Interest Rate'!$J$16,'Incremental Repayments'!$I$31,(HLOOKUP($D73,$E$4:$CZ$32,28,FALSE)*'Incremental Repayments'!$I$22)),0),0)</f>
        <v>0</v>
      </c>
      <c r="CO73" s="783">
        <f>IF('Incremental Repayments'!$R$22="Debt",IF(AND(CO$4&gt;=$D73,CO$4&lt;$D73+'Incremental Repayments'!$I$31),-PMT('Interest Rate'!$J$16,'Incremental Repayments'!$I$31,(HLOOKUP($D73,$E$4:$CZ$32,28,FALSE)*'Incremental Repayments'!$I$22)),0),0)</f>
        <v>0</v>
      </c>
      <c r="CP73" s="783">
        <f>IF('Incremental Repayments'!$R$22="Debt",IF(AND(CP$4&gt;=$D73,CP$4&lt;$D73+'Incremental Repayments'!$I$31),-PMT('Interest Rate'!$J$16,'Incremental Repayments'!$I$31,(HLOOKUP($D73,$E$4:$CZ$32,28,FALSE)*'Incremental Repayments'!$I$22)),0),0)</f>
        <v>0</v>
      </c>
      <c r="CQ73" s="783">
        <f>IF('Incremental Repayments'!$R$22="Debt",IF(AND(CQ$4&gt;=$D73,CQ$4&lt;$D73+'Incremental Repayments'!$I$31),-PMT('Interest Rate'!$J$16,'Incremental Repayments'!$I$31,(HLOOKUP($D73,$E$4:$CZ$32,28,FALSE)*'Incremental Repayments'!$I$22)),0),0)</f>
        <v>0</v>
      </c>
      <c r="CR73" s="783">
        <f>IF('Incremental Repayments'!$R$22="Debt",IF(AND(CR$4&gt;=$D73,CR$4&lt;$D73+'Incremental Repayments'!$I$31),-PMT('Interest Rate'!$J$16,'Incremental Repayments'!$I$31,(HLOOKUP($D73,$E$4:$CZ$32,28,FALSE)*'Incremental Repayments'!$I$22)),0),0)</f>
        <v>0</v>
      </c>
      <c r="CS73" s="783">
        <f>IF('Incremental Repayments'!$R$22="Debt",IF(AND(CS$4&gt;=$D73,CS$4&lt;$D73+'Incremental Repayments'!$I$31),-PMT('Interest Rate'!$J$16,'Incremental Repayments'!$I$31,(HLOOKUP($D73,$E$4:$CZ$32,28,FALSE)*'Incremental Repayments'!$I$22)),0),0)</f>
        <v>0</v>
      </c>
      <c r="CT73" s="783">
        <f>IF('Incremental Repayments'!$R$22="Debt",IF(AND(CT$4&gt;=$D73,CT$4&lt;$D73+'Incremental Repayments'!$I$31),-PMT('Interest Rate'!$J$16,'Incremental Repayments'!$I$31,(HLOOKUP($D73,$E$4:$CZ$32,28,FALSE)*'Incremental Repayments'!$I$22)),0),0)</f>
        <v>0</v>
      </c>
      <c r="CU73" s="783">
        <f>IF('Incremental Repayments'!$R$22="Debt",IF(AND(CU$4&gt;=$D73,CU$4&lt;$D73+'Incremental Repayments'!$I$31),-PMT('Interest Rate'!$J$16,'Incremental Repayments'!$I$31,(HLOOKUP($D73,$E$4:$CZ$32,28,FALSE)*'Incremental Repayments'!$I$22)),0),0)</f>
        <v>0</v>
      </c>
      <c r="CV73" s="783">
        <f>IF('Incremental Repayments'!$R$22="Debt",IF(AND(CV$4&gt;=$D73,CV$4&lt;$D73+'Incremental Repayments'!$I$31),-PMT('Interest Rate'!$J$16,'Incremental Repayments'!$I$31,(HLOOKUP($D73,$E$4:$CZ$32,28,FALSE)*'Incremental Repayments'!$I$22)),0),0)</f>
        <v>0</v>
      </c>
      <c r="CW73" s="783">
        <f>IF('Incremental Repayments'!$R$22="Debt",IF(AND(CW$4&gt;=$D73,CW$4&lt;$D73+'Incremental Repayments'!$I$31),-PMT('Interest Rate'!$J$16,'Incremental Repayments'!$I$31,(HLOOKUP($D73,$E$4:$CZ$32,28,FALSE)*'Incremental Repayments'!$I$22)),0),0)</f>
        <v>0</v>
      </c>
      <c r="CX73" s="783">
        <f>IF('Incremental Repayments'!$R$22="Debt",IF(AND(CX$4&gt;=$D73,CX$4&lt;$D73+'Incremental Repayments'!$I$31),-PMT('Interest Rate'!$J$16,'Incremental Repayments'!$I$31,(HLOOKUP($D73,$E$4:$CZ$32,28,FALSE)*'Incremental Repayments'!$I$22)),0),0)</f>
        <v>0</v>
      </c>
      <c r="CY73" s="783">
        <f>IF('Incremental Repayments'!$R$22="Debt",IF(AND(CY$4&gt;=$D73,CY$4&lt;$D73+'Incremental Repayments'!$I$31),-PMT('Interest Rate'!$J$16,'Incremental Repayments'!$I$31,(HLOOKUP($D73,$E$4:$CZ$32,28,FALSE)*'Incremental Repayments'!$I$22)),0),0)</f>
        <v>0</v>
      </c>
      <c r="CZ73" s="783">
        <f>IF('Incremental Repayments'!$R$22="Debt",IF(AND(CZ$4&gt;=$D73,CZ$4&lt;$D73+'Incremental Repayments'!$I$31),-PMT('Interest Rate'!$J$16,'Incremental Repayments'!$I$31,(HLOOKUP($D73,$E$4:$CZ$32,28,FALSE)*'Incremental Repayments'!$I$22)),0),0)</f>
        <v>0</v>
      </c>
    </row>
    <row r="74" spans="2:104" x14ac:dyDescent="0.25">
      <c r="B74" s="480" t="str">
        <f>CONCATENATE("Series ",D74,"A Bonds (at ",'Interest Rate'!$J$16*100,"% Interest)")</f>
        <v>Series 2052A Bonds (at 4.5% Interest)</v>
      </c>
      <c r="C74" s="480"/>
      <c r="D74" s="492">
        <f t="shared" si="47"/>
        <v>2052</v>
      </c>
      <c r="E74" s="783">
        <f>IF('Incremental Repayments'!$R$22="Debt",IF(AND(E$4&gt;=$D74,E$4&lt;$D74+'Incremental Repayments'!$I$31),-PMT('Interest Rate'!$J$16,'Incremental Repayments'!$I$31,(HLOOKUP($D74,$E$4:$CZ$32,28,FALSE)*'Incremental Repayments'!$I$22)),0),0)</f>
        <v>0</v>
      </c>
      <c r="F74" s="783">
        <f>IF('Incremental Repayments'!$R$22="Debt",IF(AND(F$4&gt;=$D74,F$4&lt;$D74+'Incremental Repayments'!$I$31),-PMT('Interest Rate'!$J$16,'Incremental Repayments'!$I$31,(HLOOKUP($D74,$E$4:$CZ$32,28,FALSE)*'Incremental Repayments'!$I$22)),0),0)</f>
        <v>0</v>
      </c>
      <c r="G74" s="783">
        <f>IF('Incremental Repayments'!$R$22="Debt",IF(AND(G$4&gt;=$D74,G$4&lt;$D74+'Incremental Repayments'!$I$31),-PMT('Interest Rate'!$J$16,'Incremental Repayments'!$I$31,(HLOOKUP($D74,$E$4:$CZ$32,28,FALSE)*'Incremental Repayments'!$I$22)),0),0)</f>
        <v>0</v>
      </c>
      <c r="H74" s="783">
        <f>IF('Incremental Repayments'!$R$22="Debt",IF(AND(H$4&gt;=$D74,H$4&lt;$D74+'Incremental Repayments'!$I$31),-PMT('Interest Rate'!$J$16,'Incremental Repayments'!$I$31,(HLOOKUP($D74,$E$4:$CZ$32,28,FALSE)*'Incremental Repayments'!$I$22)),0),0)</f>
        <v>0</v>
      </c>
      <c r="I74" s="783">
        <f>IF('Incremental Repayments'!$R$22="Debt",IF(AND(I$4&gt;=$D74,I$4&lt;$D74+'Incremental Repayments'!$I$31),-PMT('Interest Rate'!$J$16,'Incremental Repayments'!$I$31,(HLOOKUP($D74,$E$4:$CZ$32,28,FALSE)*'Incremental Repayments'!$I$22)),0),0)</f>
        <v>0</v>
      </c>
      <c r="J74" s="783">
        <f>IF('Incremental Repayments'!$R$22="Debt",IF(AND(J$4&gt;=$D74,J$4&lt;$D74+'Incremental Repayments'!$I$31),-PMT('Interest Rate'!$J$16,'Incremental Repayments'!$I$31,(HLOOKUP($D74,$E$4:$CZ$32,28,FALSE)*'Incremental Repayments'!$I$22)),0),0)</f>
        <v>0</v>
      </c>
      <c r="K74" s="783">
        <f>IF('Incremental Repayments'!$R$22="Debt",IF(AND(K$4&gt;=$D74,K$4&lt;$D74+'Incremental Repayments'!$I$31),-PMT('Interest Rate'!$J$16,'Incremental Repayments'!$I$31,(HLOOKUP($D74,$E$4:$CZ$32,28,FALSE)*'Incremental Repayments'!$I$22)),0),0)</f>
        <v>0</v>
      </c>
      <c r="L74" s="783">
        <f>IF('Incremental Repayments'!$R$22="Debt",IF(AND(L$4&gt;=$D74,L$4&lt;$D74+'Incremental Repayments'!$I$31),-PMT('Interest Rate'!$J$16,'Incremental Repayments'!$I$31,(HLOOKUP($D74,$E$4:$CZ$32,28,FALSE)*'Incremental Repayments'!$I$22)),0),0)</f>
        <v>0</v>
      </c>
      <c r="M74" s="783">
        <f>IF('Incremental Repayments'!$R$22="Debt",IF(AND(M$4&gt;=$D74,M$4&lt;$D74+'Incremental Repayments'!$I$31),-PMT('Interest Rate'!$J$16,'Incremental Repayments'!$I$31,(HLOOKUP($D74,$E$4:$CZ$32,28,FALSE)*'Incremental Repayments'!$I$22)),0),0)</f>
        <v>0</v>
      </c>
      <c r="N74" s="783">
        <f>IF('Incremental Repayments'!$R$22="Debt",IF(AND(N$4&gt;=$D74,N$4&lt;$D74+'Incremental Repayments'!$I$31),-PMT('Interest Rate'!$J$16,'Incremental Repayments'!$I$31,(HLOOKUP($D74,$E$4:$CZ$32,28,FALSE)*'Incremental Repayments'!$I$22)),0),0)</f>
        <v>0</v>
      </c>
      <c r="O74" s="783">
        <f>IF('Incremental Repayments'!$R$22="Debt",IF(AND(O$4&gt;=$D74,O$4&lt;$D74+'Incremental Repayments'!$I$31),-PMT('Interest Rate'!$J$16,'Incremental Repayments'!$I$31,(HLOOKUP($D74,$E$4:$CZ$32,28,FALSE)*'Incremental Repayments'!$I$22)),0),0)</f>
        <v>0</v>
      </c>
      <c r="P74" s="783">
        <f>IF('Incremental Repayments'!$R$22="Debt",IF(AND(P$4&gt;=$D74,P$4&lt;$D74+'Incremental Repayments'!$I$31),-PMT('Interest Rate'!$J$16,'Incremental Repayments'!$I$31,(HLOOKUP($D74,$E$4:$CZ$32,28,FALSE)*'Incremental Repayments'!$I$22)),0),0)</f>
        <v>0</v>
      </c>
      <c r="Q74" s="783">
        <f>IF('Incremental Repayments'!$R$22="Debt",IF(AND(Q$4&gt;=$D74,Q$4&lt;$D74+'Incremental Repayments'!$I$31),-PMT('Interest Rate'!$J$16,'Incremental Repayments'!$I$31,(HLOOKUP($D74,$E$4:$CZ$32,28,FALSE)*'Incremental Repayments'!$I$22)),0),0)</f>
        <v>0</v>
      </c>
      <c r="R74" s="783">
        <f>IF('Incremental Repayments'!$R$22="Debt",IF(AND(R$4&gt;=$D74,R$4&lt;$D74+'Incremental Repayments'!$I$31),-PMT('Interest Rate'!$J$16,'Incremental Repayments'!$I$31,(HLOOKUP($D74,$E$4:$CZ$32,28,FALSE)*'Incremental Repayments'!$I$22)),0),0)</f>
        <v>0</v>
      </c>
      <c r="S74" s="783">
        <f>IF('Incremental Repayments'!$R$22="Debt",IF(AND(S$4&gt;=$D74,S$4&lt;$D74+'Incremental Repayments'!$I$31),-PMT('Interest Rate'!$J$16,'Incremental Repayments'!$I$31,(HLOOKUP($D74,$E$4:$CZ$32,28,FALSE)*'Incremental Repayments'!$I$22)),0),0)</f>
        <v>0</v>
      </c>
      <c r="T74" s="783">
        <f>IF('Incremental Repayments'!$R$22="Debt",IF(AND(T$4&gt;=$D74,T$4&lt;$D74+'Incremental Repayments'!$I$31),-PMT('Interest Rate'!$J$16,'Incremental Repayments'!$I$31,(HLOOKUP($D74,$E$4:$CZ$32,28,FALSE)*'Incremental Repayments'!$I$22)),0),0)</f>
        <v>0</v>
      </c>
      <c r="U74" s="783">
        <f>IF('Incremental Repayments'!$R$22="Debt",IF(AND(U$4&gt;=$D74,U$4&lt;$D74+'Incremental Repayments'!$I$31),-PMT('Interest Rate'!$J$16,'Incremental Repayments'!$I$31,(HLOOKUP($D74,$E$4:$CZ$32,28,FALSE)*'Incremental Repayments'!$I$22)),0),0)</f>
        <v>0</v>
      </c>
      <c r="V74" s="783">
        <f>IF('Incremental Repayments'!$R$22="Debt",IF(AND(V$4&gt;=$D74,V$4&lt;$D74+'Incremental Repayments'!$I$31),-PMT('Interest Rate'!$J$16,'Incremental Repayments'!$I$31,(HLOOKUP($D74,$E$4:$CZ$32,28,FALSE)*'Incremental Repayments'!$I$22)),0),0)</f>
        <v>0</v>
      </c>
      <c r="W74" s="783">
        <f>IF('Incremental Repayments'!$R$22="Debt",IF(AND(W$4&gt;=$D74,W$4&lt;$D74+'Incremental Repayments'!$I$31),-PMT('Interest Rate'!$J$16,'Incremental Repayments'!$I$31,(HLOOKUP($D74,$E$4:$CZ$32,28,FALSE)*'Incremental Repayments'!$I$22)),0),0)</f>
        <v>0</v>
      </c>
      <c r="X74" s="783">
        <f>IF('Incremental Repayments'!$R$22="Debt",IF(AND(X$4&gt;=$D74,X$4&lt;$D74+'Incremental Repayments'!$I$31),-PMT('Interest Rate'!$J$16,'Incremental Repayments'!$I$31,(HLOOKUP($D74,$E$4:$CZ$32,28,FALSE)*'Incremental Repayments'!$I$22)),0),0)</f>
        <v>0</v>
      </c>
      <c r="Y74" s="783">
        <f>IF('Incremental Repayments'!$R$22="Debt",IF(AND(Y$4&gt;=$D74,Y$4&lt;$D74+'Incremental Repayments'!$I$31),-PMT('Interest Rate'!$J$16,'Incremental Repayments'!$I$31,(HLOOKUP($D74,$E$4:$CZ$32,28,FALSE)*'Incremental Repayments'!$I$22)),0),0)</f>
        <v>0</v>
      </c>
      <c r="Z74" s="783">
        <f>IF('Incremental Repayments'!$R$22="Debt",IF(AND(Z$4&gt;=$D74,Z$4&lt;$D74+'Incremental Repayments'!$I$31),-PMT('Interest Rate'!$J$16,'Incremental Repayments'!$I$31,(HLOOKUP($D74,$E$4:$CZ$32,28,FALSE)*'Incremental Repayments'!$I$22)),0),0)</f>
        <v>0</v>
      </c>
      <c r="AA74" s="783">
        <f>IF('Incremental Repayments'!$R$22="Debt",IF(AND(AA$4&gt;=$D74,AA$4&lt;$D74+'Incremental Repayments'!$I$31),-PMT('Interest Rate'!$J$16,'Incremental Repayments'!$I$31,(HLOOKUP($D74,$E$4:$CZ$32,28,FALSE)*'Incremental Repayments'!$I$22)),0),0)</f>
        <v>0</v>
      </c>
      <c r="AB74" s="783">
        <f>IF('Incremental Repayments'!$R$22="Debt",IF(AND(AB$4&gt;=$D74,AB$4&lt;$D74+'Incremental Repayments'!$I$31),-PMT('Interest Rate'!$J$16,'Incremental Repayments'!$I$31,(HLOOKUP($D74,$E$4:$CZ$32,28,FALSE)*'Incremental Repayments'!$I$22)),0),0)</f>
        <v>0</v>
      </c>
      <c r="AC74" s="783">
        <f>IF('Incremental Repayments'!$R$22="Debt",IF(AND(AC$4&gt;=$D74,AC$4&lt;$D74+'Incremental Repayments'!$I$31),-PMT('Interest Rate'!$J$16,'Incremental Repayments'!$I$31,(HLOOKUP($D74,$E$4:$CZ$32,28,FALSE)*'Incremental Repayments'!$I$22)),0),0)</f>
        <v>0</v>
      </c>
      <c r="AD74" s="783">
        <f>IF('Incremental Repayments'!$R$22="Debt",IF(AND(AD$4&gt;=$D74,AD$4&lt;$D74+'Incremental Repayments'!$I$31),-PMT('Interest Rate'!$J$16,'Incremental Repayments'!$I$31,(HLOOKUP($D74,$E$4:$CZ$32,28,FALSE)*'Incremental Repayments'!$I$22)),0),0)</f>
        <v>0</v>
      </c>
      <c r="AE74" s="783">
        <f>IF('Incremental Repayments'!$R$22="Debt",IF(AND(AE$4&gt;=$D74,AE$4&lt;$D74+'Incremental Repayments'!$I$31),-PMT('Interest Rate'!$J$16,'Incremental Repayments'!$I$31,(HLOOKUP($D74,$E$4:$CZ$32,28,FALSE)*'Incremental Repayments'!$I$22)),0),0)</f>
        <v>0</v>
      </c>
      <c r="AF74" s="783">
        <f>IF('Incremental Repayments'!$R$22="Debt",IF(AND(AF$4&gt;=$D74,AF$4&lt;$D74+'Incremental Repayments'!$I$31),-PMT('Interest Rate'!$J$16,'Incremental Repayments'!$I$31,(HLOOKUP($D74,$E$4:$CZ$32,28,FALSE)*'Incremental Repayments'!$I$22)),0),0)</f>
        <v>0</v>
      </c>
      <c r="AG74" s="783">
        <f>IF('Incremental Repayments'!$R$22="Debt",IF(AND(AG$4&gt;=$D74,AG$4&lt;$D74+'Incremental Repayments'!$I$31),-PMT('Interest Rate'!$J$16,'Incremental Repayments'!$I$31,(HLOOKUP($D74,$E$4:$CZ$32,28,FALSE)*'Incremental Repayments'!$I$22)),0),0)</f>
        <v>0</v>
      </c>
      <c r="AH74" s="783">
        <f>IF('Incremental Repayments'!$R$22="Debt",IF(AND(AH$4&gt;=$D74,AH$4&lt;$D74+'Incremental Repayments'!$I$31),-PMT('Interest Rate'!$J$16,'Incremental Repayments'!$I$31,(HLOOKUP($D74,$E$4:$CZ$32,28,FALSE)*'Incremental Repayments'!$I$22)),0),0)</f>
        <v>0</v>
      </c>
      <c r="AI74" s="783">
        <f>IF('Incremental Repayments'!$R$22="Debt",IF(AND(AI$4&gt;=$D74,AI$4&lt;$D74+'Incremental Repayments'!$I$31),-PMT('Interest Rate'!$J$16,'Incremental Repayments'!$I$31,(HLOOKUP($D74,$E$4:$CZ$32,28,FALSE)*'Incremental Repayments'!$I$22)),0),0)</f>
        <v>0</v>
      </c>
      <c r="AJ74" s="783">
        <f>IF('Incremental Repayments'!$R$22="Debt",IF(AND(AJ$4&gt;=$D74,AJ$4&lt;$D74+'Incremental Repayments'!$I$31),-PMT('Interest Rate'!$J$16,'Incremental Repayments'!$I$31,(HLOOKUP($D74,$E$4:$CZ$32,28,FALSE)*'Incremental Repayments'!$I$22)),0),0)</f>
        <v>0</v>
      </c>
      <c r="AK74" s="783">
        <f>IF('Incremental Repayments'!$R$22="Debt",IF(AND(AK$4&gt;=$D74,AK$4&lt;$D74+'Incremental Repayments'!$I$31),-PMT('Interest Rate'!$J$16,'Incremental Repayments'!$I$31,(HLOOKUP($D74,$E$4:$CZ$32,28,FALSE)*'Incremental Repayments'!$I$22)),0),0)</f>
        <v>0</v>
      </c>
      <c r="AL74" s="783">
        <f>IF('Incremental Repayments'!$R$22="Debt",IF(AND(AL$4&gt;=$D74,AL$4&lt;$D74+'Incremental Repayments'!$I$31),-PMT('Interest Rate'!$J$16,'Incremental Repayments'!$I$31,(HLOOKUP($D74,$E$4:$CZ$32,28,FALSE)*'Incremental Repayments'!$I$22)),0),0)</f>
        <v>0</v>
      </c>
      <c r="AM74" s="783">
        <f>IF('Incremental Repayments'!$R$22="Debt",IF(AND(AM$4&gt;=$D74,AM$4&lt;$D74+'Incremental Repayments'!$I$31),-PMT('Interest Rate'!$J$16,'Incremental Repayments'!$I$31,(HLOOKUP($D74,$E$4:$CZ$32,28,FALSE)*'Incremental Repayments'!$I$22)),0),0)</f>
        <v>0</v>
      </c>
      <c r="AN74" s="783">
        <f>IF('Incremental Repayments'!$R$22="Debt",IF(AND(AN$4&gt;=$D74,AN$4&lt;$D74+'Incremental Repayments'!$I$31),-PMT('Interest Rate'!$J$16,'Incremental Repayments'!$I$31,(HLOOKUP($D74,$E$4:$CZ$32,28,FALSE)*'Incremental Repayments'!$I$22)),0),0)</f>
        <v>0</v>
      </c>
      <c r="AO74" s="783">
        <f>IF('Incremental Repayments'!$R$22="Debt",IF(AND(AO$4&gt;=$D74,AO$4&lt;$D74+'Incremental Repayments'!$I$31),-PMT('Interest Rate'!$J$16,'Incremental Repayments'!$I$31,(HLOOKUP($D74,$E$4:$CZ$32,28,FALSE)*'Incremental Repayments'!$I$22)),0),0)</f>
        <v>0</v>
      </c>
      <c r="AP74" s="783">
        <f>IF('Incremental Repayments'!$R$22="Debt",IF(AND(AP$4&gt;=$D74,AP$4&lt;$D74+'Incremental Repayments'!$I$31),-PMT('Interest Rate'!$J$16,'Incremental Repayments'!$I$31,(HLOOKUP($D74,$E$4:$CZ$32,28,FALSE)*'Incremental Repayments'!$I$22)),0),0)</f>
        <v>0</v>
      </c>
      <c r="AQ74" s="783">
        <f>IF('Incremental Repayments'!$R$22="Debt",IF(AND(AQ$4&gt;=$D74,AQ$4&lt;$D74+'Incremental Repayments'!$I$31),-PMT('Interest Rate'!$J$16,'Incremental Repayments'!$I$31,(HLOOKUP($D74,$E$4:$CZ$32,28,FALSE)*'Incremental Repayments'!$I$22)),0),0)</f>
        <v>113930.84013805528</v>
      </c>
      <c r="AR74" s="783">
        <f>IF('Incremental Repayments'!$R$22="Debt",IF(AND(AR$4&gt;=$D74,AR$4&lt;$D74+'Incremental Repayments'!$I$31),-PMT('Interest Rate'!$J$16,'Incremental Repayments'!$I$31,(HLOOKUP($D74,$E$4:$CZ$32,28,FALSE)*'Incremental Repayments'!$I$22)),0),0)</f>
        <v>113930.84013805528</v>
      </c>
      <c r="AS74" s="783">
        <f>IF('Incremental Repayments'!$R$22="Debt",IF(AND(AS$4&gt;=$D74,AS$4&lt;$D74+'Incremental Repayments'!$I$31),-PMT('Interest Rate'!$J$16,'Incremental Repayments'!$I$31,(HLOOKUP($D74,$E$4:$CZ$32,28,FALSE)*'Incremental Repayments'!$I$22)),0),0)</f>
        <v>113930.84013805528</v>
      </c>
      <c r="AT74" s="783">
        <f>IF('Incremental Repayments'!$R$22="Debt",IF(AND(AT$4&gt;=$D74,AT$4&lt;$D74+'Incremental Repayments'!$I$31),-PMT('Interest Rate'!$J$16,'Incremental Repayments'!$I$31,(HLOOKUP($D74,$E$4:$CZ$32,28,FALSE)*'Incremental Repayments'!$I$22)),0),0)</f>
        <v>113930.84013805528</v>
      </c>
      <c r="AU74" s="783">
        <f>IF('Incremental Repayments'!$R$22="Debt",IF(AND(AU$4&gt;=$D74,AU$4&lt;$D74+'Incremental Repayments'!$I$31),-PMT('Interest Rate'!$J$16,'Incremental Repayments'!$I$31,(HLOOKUP($D74,$E$4:$CZ$32,28,FALSE)*'Incremental Repayments'!$I$22)),0),0)</f>
        <v>113930.84013805528</v>
      </c>
      <c r="AV74" s="783">
        <f>IF('Incremental Repayments'!$R$22="Debt",IF(AND(AV$4&gt;=$D74,AV$4&lt;$D74+'Incremental Repayments'!$I$31),-PMT('Interest Rate'!$J$16,'Incremental Repayments'!$I$31,(HLOOKUP($D74,$E$4:$CZ$32,28,FALSE)*'Incremental Repayments'!$I$22)),0),0)</f>
        <v>113930.84013805528</v>
      </c>
      <c r="AW74" s="783">
        <f>IF('Incremental Repayments'!$R$22="Debt",IF(AND(AW$4&gt;=$D74,AW$4&lt;$D74+'Incremental Repayments'!$I$31),-PMT('Interest Rate'!$J$16,'Incremental Repayments'!$I$31,(HLOOKUP($D74,$E$4:$CZ$32,28,FALSE)*'Incremental Repayments'!$I$22)),0),0)</f>
        <v>113930.84013805528</v>
      </c>
      <c r="AX74" s="783">
        <f>IF('Incremental Repayments'!$R$22="Debt",IF(AND(AX$4&gt;=$D74,AX$4&lt;$D74+'Incremental Repayments'!$I$31),-PMT('Interest Rate'!$J$16,'Incremental Repayments'!$I$31,(HLOOKUP($D74,$E$4:$CZ$32,28,FALSE)*'Incremental Repayments'!$I$22)),0),0)</f>
        <v>113930.84013805528</v>
      </c>
      <c r="AY74" s="783">
        <f>IF('Incremental Repayments'!$R$22="Debt",IF(AND(AY$4&gt;=$D74,AY$4&lt;$D74+'Incremental Repayments'!$I$31),-PMT('Interest Rate'!$J$16,'Incremental Repayments'!$I$31,(HLOOKUP($D74,$E$4:$CZ$32,28,FALSE)*'Incremental Repayments'!$I$22)),0),0)</f>
        <v>113930.84013805528</v>
      </c>
      <c r="AZ74" s="783">
        <f>IF('Incremental Repayments'!$R$22="Debt",IF(AND(AZ$4&gt;=$D74,AZ$4&lt;$D74+'Incremental Repayments'!$I$31),-PMT('Interest Rate'!$J$16,'Incremental Repayments'!$I$31,(HLOOKUP($D74,$E$4:$CZ$32,28,FALSE)*'Incremental Repayments'!$I$22)),0),0)</f>
        <v>113930.84013805528</v>
      </c>
      <c r="BA74" s="783">
        <f>IF('Incremental Repayments'!$R$22="Debt",IF(AND(BA$4&gt;=$D74,BA$4&lt;$D74+'Incremental Repayments'!$I$31),-PMT('Interest Rate'!$J$16,'Incremental Repayments'!$I$31,(HLOOKUP($D74,$E$4:$CZ$32,28,FALSE)*'Incremental Repayments'!$I$22)),0),0)</f>
        <v>113930.84013805528</v>
      </c>
      <c r="BB74" s="783">
        <f>IF('Incremental Repayments'!$R$22="Debt",IF(AND(BB$4&gt;=$D74,BB$4&lt;$D74+'Incremental Repayments'!$I$31),-PMT('Interest Rate'!$J$16,'Incremental Repayments'!$I$31,(HLOOKUP($D74,$E$4:$CZ$32,28,FALSE)*'Incremental Repayments'!$I$22)),0),0)</f>
        <v>113930.84013805528</v>
      </c>
      <c r="BC74" s="783">
        <f>IF('Incremental Repayments'!$R$22="Debt",IF(AND(BC$4&gt;=$D74,BC$4&lt;$D74+'Incremental Repayments'!$I$31),-PMT('Interest Rate'!$J$16,'Incremental Repayments'!$I$31,(HLOOKUP($D74,$E$4:$CZ$32,28,FALSE)*'Incremental Repayments'!$I$22)),0),0)</f>
        <v>113930.84013805528</v>
      </c>
      <c r="BD74" s="783">
        <f>IF('Incremental Repayments'!$R$22="Debt",IF(AND(BD$4&gt;=$D74,BD$4&lt;$D74+'Incremental Repayments'!$I$31),-PMT('Interest Rate'!$J$16,'Incremental Repayments'!$I$31,(HLOOKUP($D74,$E$4:$CZ$32,28,FALSE)*'Incremental Repayments'!$I$22)),0),0)</f>
        <v>113930.84013805528</v>
      </c>
      <c r="BE74" s="783">
        <f>IF('Incremental Repayments'!$R$22="Debt",IF(AND(BE$4&gt;=$D74,BE$4&lt;$D74+'Incremental Repayments'!$I$31),-PMT('Interest Rate'!$J$16,'Incremental Repayments'!$I$31,(HLOOKUP($D74,$E$4:$CZ$32,28,FALSE)*'Incremental Repayments'!$I$22)),0),0)</f>
        <v>113930.84013805528</v>
      </c>
      <c r="BF74" s="783">
        <f>IF('Incremental Repayments'!$R$22="Debt",IF(AND(BF$4&gt;=$D74,BF$4&lt;$D74+'Incremental Repayments'!$I$31),-PMT('Interest Rate'!$J$16,'Incremental Repayments'!$I$31,(HLOOKUP($D74,$E$4:$CZ$32,28,FALSE)*'Incremental Repayments'!$I$22)),0),0)</f>
        <v>113930.84013805528</v>
      </c>
      <c r="BG74" s="783">
        <f>IF('Incremental Repayments'!$R$22="Debt",IF(AND(BG$4&gt;=$D74,BG$4&lt;$D74+'Incremental Repayments'!$I$31),-PMT('Interest Rate'!$J$16,'Incremental Repayments'!$I$31,(HLOOKUP($D74,$E$4:$CZ$32,28,FALSE)*'Incremental Repayments'!$I$22)),0),0)</f>
        <v>113930.84013805528</v>
      </c>
      <c r="BH74" s="783">
        <f>IF('Incremental Repayments'!$R$22="Debt",IF(AND(BH$4&gt;=$D74,BH$4&lt;$D74+'Incremental Repayments'!$I$31),-PMT('Interest Rate'!$J$16,'Incremental Repayments'!$I$31,(HLOOKUP($D74,$E$4:$CZ$32,28,FALSE)*'Incremental Repayments'!$I$22)),0),0)</f>
        <v>113930.84013805528</v>
      </c>
      <c r="BI74" s="783">
        <f>IF('Incremental Repayments'!$R$22="Debt",IF(AND(BI$4&gt;=$D74,BI$4&lt;$D74+'Incremental Repayments'!$I$31),-PMT('Interest Rate'!$J$16,'Incremental Repayments'!$I$31,(HLOOKUP($D74,$E$4:$CZ$32,28,FALSE)*'Incremental Repayments'!$I$22)),0),0)</f>
        <v>113930.84013805528</v>
      </c>
      <c r="BJ74" s="783">
        <f>IF('Incremental Repayments'!$R$22="Debt",IF(AND(BJ$4&gt;=$D74,BJ$4&lt;$D74+'Incremental Repayments'!$I$31),-PMT('Interest Rate'!$J$16,'Incremental Repayments'!$I$31,(HLOOKUP($D74,$E$4:$CZ$32,28,FALSE)*'Incremental Repayments'!$I$22)),0),0)</f>
        <v>113930.84013805528</v>
      </c>
      <c r="BK74" s="783">
        <f>IF('Incremental Repayments'!$R$22="Debt",IF(AND(BK$4&gt;=$D74,BK$4&lt;$D74+'Incremental Repayments'!$I$31),-PMT('Interest Rate'!$J$16,'Incremental Repayments'!$I$31,(HLOOKUP($D74,$E$4:$CZ$32,28,FALSE)*'Incremental Repayments'!$I$22)),0),0)</f>
        <v>113930.84013805528</v>
      </c>
      <c r="BL74" s="783">
        <f>IF('Incremental Repayments'!$R$22="Debt",IF(AND(BL$4&gt;=$D74,BL$4&lt;$D74+'Incremental Repayments'!$I$31),-PMT('Interest Rate'!$J$16,'Incremental Repayments'!$I$31,(HLOOKUP($D74,$E$4:$CZ$32,28,FALSE)*'Incremental Repayments'!$I$22)),0),0)</f>
        <v>113930.84013805528</v>
      </c>
      <c r="BM74" s="783">
        <f>IF('Incremental Repayments'!$R$22="Debt",IF(AND(BM$4&gt;=$D74,BM$4&lt;$D74+'Incremental Repayments'!$I$31),-PMT('Interest Rate'!$J$16,'Incremental Repayments'!$I$31,(HLOOKUP($D74,$E$4:$CZ$32,28,FALSE)*'Incremental Repayments'!$I$22)),0),0)</f>
        <v>113930.84013805528</v>
      </c>
      <c r="BN74" s="783">
        <f>IF('Incremental Repayments'!$R$22="Debt",IF(AND(BN$4&gt;=$D74,BN$4&lt;$D74+'Incremental Repayments'!$I$31),-PMT('Interest Rate'!$J$16,'Incremental Repayments'!$I$31,(HLOOKUP($D74,$E$4:$CZ$32,28,FALSE)*'Incremental Repayments'!$I$22)),0),0)</f>
        <v>113930.84013805528</v>
      </c>
      <c r="BO74" s="783">
        <f>IF('Incremental Repayments'!$R$22="Debt",IF(AND(BO$4&gt;=$D74,BO$4&lt;$D74+'Incremental Repayments'!$I$31),-PMT('Interest Rate'!$J$16,'Incremental Repayments'!$I$31,(HLOOKUP($D74,$E$4:$CZ$32,28,FALSE)*'Incremental Repayments'!$I$22)),0),0)</f>
        <v>113930.84013805528</v>
      </c>
      <c r="BP74" s="783">
        <f>IF('Incremental Repayments'!$R$22="Debt",IF(AND(BP$4&gt;=$D74,BP$4&lt;$D74+'Incremental Repayments'!$I$31),-PMT('Interest Rate'!$J$16,'Incremental Repayments'!$I$31,(HLOOKUP($D74,$E$4:$CZ$32,28,FALSE)*'Incremental Repayments'!$I$22)),0),0)</f>
        <v>113930.84013805528</v>
      </c>
      <c r="BQ74" s="783">
        <f>IF('Incremental Repayments'!$R$22="Debt",IF(AND(BQ$4&gt;=$D74,BQ$4&lt;$D74+'Incremental Repayments'!$I$31),-PMT('Interest Rate'!$J$16,'Incremental Repayments'!$I$31,(HLOOKUP($D74,$E$4:$CZ$32,28,FALSE)*'Incremental Repayments'!$I$22)),0),0)</f>
        <v>113930.84013805528</v>
      </c>
      <c r="BR74" s="783">
        <f>IF('Incremental Repayments'!$R$22="Debt",IF(AND(BR$4&gt;=$D74,BR$4&lt;$D74+'Incremental Repayments'!$I$31),-PMT('Interest Rate'!$J$16,'Incremental Repayments'!$I$31,(HLOOKUP($D74,$E$4:$CZ$32,28,FALSE)*'Incremental Repayments'!$I$22)),0),0)</f>
        <v>113930.84013805528</v>
      </c>
      <c r="BS74" s="783">
        <f>IF('Incremental Repayments'!$R$22="Debt",IF(AND(BS$4&gt;=$D74,BS$4&lt;$D74+'Incremental Repayments'!$I$31),-PMT('Interest Rate'!$J$16,'Incremental Repayments'!$I$31,(HLOOKUP($D74,$E$4:$CZ$32,28,FALSE)*'Incremental Repayments'!$I$22)),0),0)</f>
        <v>113930.84013805528</v>
      </c>
      <c r="BT74" s="783">
        <f>IF('Incremental Repayments'!$R$22="Debt",IF(AND(BT$4&gt;=$D74,BT$4&lt;$D74+'Incremental Repayments'!$I$31),-PMT('Interest Rate'!$J$16,'Incremental Repayments'!$I$31,(HLOOKUP($D74,$E$4:$CZ$32,28,FALSE)*'Incremental Repayments'!$I$22)),0),0)</f>
        <v>113930.84013805528</v>
      </c>
      <c r="BU74" s="783">
        <f>IF('Incremental Repayments'!$R$22="Debt",IF(AND(BU$4&gt;=$D74,BU$4&lt;$D74+'Incremental Repayments'!$I$31),-PMT('Interest Rate'!$J$16,'Incremental Repayments'!$I$31,(HLOOKUP($D74,$E$4:$CZ$32,28,FALSE)*'Incremental Repayments'!$I$22)),0),0)</f>
        <v>0</v>
      </c>
      <c r="BV74" s="783">
        <f>IF('Incremental Repayments'!$R$22="Debt",IF(AND(BV$4&gt;=$D74,BV$4&lt;$D74+'Incremental Repayments'!$I$31),-PMT('Interest Rate'!$J$16,'Incremental Repayments'!$I$31,(HLOOKUP($D74,$E$4:$CZ$32,28,FALSE)*'Incremental Repayments'!$I$22)),0),0)</f>
        <v>0</v>
      </c>
      <c r="BW74" s="783">
        <f>IF('Incremental Repayments'!$R$22="Debt",IF(AND(BW$4&gt;=$D74,BW$4&lt;$D74+'Incremental Repayments'!$I$31),-PMT('Interest Rate'!$J$16,'Incremental Repayments'!$I$31,(HLOOKUP($D74,$E$4:$CZ$32,28,FALSE)*'Incremental Repayments'!$I$22)),0),0)</f>
        <v>0</v>
      </c>
      <c r="BX74" s="783">
        <f>IF('Incremental Repayments'!$R$22="Debt",IF(AND(BX$4&gt;=$D74,BX$4&lt;$D74+'Incremental Repayments'!$I$31),-PMT('Interest Rate'!$J$16,'Incremental Repayments'!$I$31,(HLOOKUP($D74,$E$4:$CZ$32,28,FALSE)*'Incremental Repayments'!$I$22)),0),0)</f>
        <v>0</v>
      </c>
      <c r="BY74" s="783">
        <f>IF('Incremental Repayments'!$R$22="Debt",IF(AND(BY$4&gt;=$D74,BY$4&lt;$D74+'Incremental Repayments'!$I$31),-PMT('Interest Rate'!$J$16,'Incremental Repayments'!$I$31,(HLOOKUP($D74,$E$4:$CZ$32,28,FALSE)*'Incremental Repayments'!$I$22)),0),0)</f>
        <v>0</v>
      </c>
      <c r="BZ74" s="783">
        <f>IF('Incremental Repayments'!$R$22="Debt",IF(AND(BZ$4&gt;=$D74,BZ$4&lt;$D74+'Incremental Repayments'!$I$31),-PMT('Interest Rate'!$J$16,'Incremental Repayments'!$I$31,(HLOOKUP($D74,$E$4:$CZ$32,28,FALSE)*'Incremental Repayments'!$I$22)),0),0)</f>
        <v>0</v>
      </c>
      <c r="CA74" s="783">
        <f>IF('Incremental Repayments'!$R$22="Debt",IF(AND(CA$4&gt;=$D74,CA$4&lt;$D74+'Incremental Repayments'!$I$31),-PMT('Interest Rate'!$J$16,'Incremental Repayments'!$I$31,(HLOOKUP($D74,$E$4:$CZ$32,28,FALSE)*'Incremental Repayments'!$I$22)),0),0)</f>
        <v>0</v>
      </c>
      <c r="CB74" s="783">
        <f>IF('Incremental Repayments'!$R$22="Debt",IF(AND(CB$4&gt;=$D74,CB$4&lt;$D74+'Incremental Repayments'!$I$31),-PMT('Interest Rate'!$J$16,'Incremental Repayments'!$I$31,(HLOOKUP($D74,$E$4:$CZ$32,28,FALSE)*'Incremental Repayments'!$I$22)),0),0)</f>
        <v>0</v>
      </c>
      <c r="CC74" s="783">
        <f>IF('Incremental Repayments'!$R$22="Debt",IF(AND(CC$4&gt;=$D74,CC$4&lt;$D74+'Incremental Repayments'!$I$31),-PMT('Interest Rate'!$J$16,'Incremental Repayments'!$I$31,(HLOOKUP($D74,$E$4:$CZ$32,28,FALSE)*'Incremental Repayments'!$I$22)),0),0)</f>
        <v>0</v>
      </c>
      <c r="CD74" s="783">
        <f>IF('Incremental Repayments'!$R$22="Debt",IF(AND(CD$4&gt;=$D74,CD$4&lt;$D74+'Incremental Repayments'!$I$31),-PMT('Interest Rate'!$J$16,'Incremental Repayments'!$I$31,(HLOOKUP($D74,$E$4:$CZ$32,28,FALSE)*'Incremental Repayments'!$I$22)),0),0)</f>
        <v>0</v>
      </c>
      <c r="CE74" s="783">
        <f>IF('Incremental Repayments'!$R$22="Debt",IF(AND(CE$4&gt;=$D74,CE$4&lt;$D74+'Incremental Repayments'!$I$31),-PMT('Interest Rate'!$J$16,'Incremental Repayments'!$I$31,(HLOOKUP($D74,$E$4:$CZ$32,28,FALSE)*'Incremental Repayments'!$I$22)),0),0)</f>
        <v>0</v>
      </c>
      <c r="CF74" s="783">
        <f>IF('Incremental Repayments'!$R$22="Debt",IF(AND(CF$4&gt;=$D74,CF$4&lt;$D74+'Incremental Repayments'!$I$31),-PMT('Interest Rate'!$J$16,'Incremental Repayments'!$I$31,(HLOOKUP($D74,$E$4:$CZ$32,28,FALSE)*'Incremental Repayments'!$I$22)),0),0)</f>
        <v>0</v>
      </c>
      <c r="CG74" s="783">
        <f>IF('Incremental Repayments'!$R$22="Debt",IF(AND(CG$4&gt;=$D74,CG$4&lt;$D74+'Incremental Repayments'!$I$31),-PMT('Interest Rate'!$J$16,'Incremental Repayments'!$I$31,(HLOOKUP($D74,$E$4:$CZ$32,28,FALSE)*'Incremental Repayments'!$I$22)),0),0)</f>
        <v>0</v>
      </c>
      <c r="CH74" s="783">
        <f>IF('Incremental Repayments'!$R$22="Debt",IF(AND(CH$4&gt;=$D74,CH$4&lt;$D74+'Incremental Repayments'!$I$31),-PMT('Interest Rate'!$J$16,'Incremental Repayments'!$I$31,(HLOOKUP($D74,$E$4:$CZ$32,28,FALSE)*'Incremental Repayments'!$I$22)),0),0)</f>
        <v>0</v>
      </c>
      <c r="CI74" s="783">
        <f>IF('Incremental Repayments'!$R$22="Debt",IF(AND(CI$4&gt;=$D74,CI$4&lt;$D74+'Incremental Repayments'!$I$31),-PMT('Interest Rate'!$J$16,'Incremental Repayments'!$I$31,(HLOOKUP($D74,$E$4:$CZ$32,28,FALSE)*'Incremental Repayments'!$I$22)),0),0)</f>
        <v>0</v>
      </c>
      <c r="CJ74" s="783">
        <f>IF('Incremental Repayments'!$R$22="Debt",IF(AND(CJ$4&gt;=$D74,CJ$4&lt;$D74+'Incremental Repayments'!$I$31),-PMT('Interest Rate'!$J$16,'Incremental Repayments'!$I$31,(HLOOKUP($D74,$E$4:$CZ$32,28,FALSE)*'Incremental Repayments'!$I$22)),0),0)</f>
        <v>0</v>
      </c>
      <c r="CK74" s="783">
        <f>IF('Incremental Repayments'!$R$22="Debt",IF(AND(CK$4&gt;=$D74,CK$4&lt;$D74+'Incremental Repayments'!$I$31),-PMT('Interest Rate'!$J$16,'Incremental Repayments'!$I$31,(HLOOKUP($D74,$E$4:$CZ$32,28,FALSE)*'Incremental Repayments'!$I$22)),0),0)</f>
        <v>0</v>
      </c>
      <c r="CL74" s="783">
        <f>IF('Incremental Repayments'!$R$22="Debt",IF(AND(CL$4&gt;=$D74,CL$4&lt;$D74+'Incremental Repayments'!$I$31),-PMT('Interest Rate'!$J$16,'Incremental Repayments'!$I$31,(HLOOKUP($D74,$E$4:$CZ$32,28,FALSE)*'Incremental Repayments'!$I$22)),0),0)</f>
        <v>0</v>
      </c>
      <c r="CM74" s="783">
        <f>IF('Incremental Repayments'!$R$22="Debt",IF(AND(CM$4&gt;=$D74,CM$4&lt;$D74+'Incremental Repayments'!$I$31),-PMT('Interest Rate'!$J$16,'Incremental Repayments'!$I$31,(HLOOKUP($D74,$E$4:$CZ$32,28,FALSE)*'Incremental Repayments'!$I$22)),0),0)</f>
        <v>0</v>
      </c>
      <c r="CN74" s="783">
        <f>IF('Incremental Repayments'!$R$22="Debt",IF(AND(CN$4&gt;=$D74,CN$4&lt;$D74+'Incremental Repayments'!$I$31),-PMT('Interest Rate'!$J$16,'Incremental Repayments'!$I$31,(HLOOKUP($D74,$E$4:$CZ$32,28,FALSE)*'Incremental Repayments'!$I$22)),0),0)</f>
        <v>0</v>
      </c>
      <c r="CO74" s="783">
        <f>IF('Incremental Repayments'!$R$22="Debt",IF(AND(CO$4&gt;=$D74,CO$4&lt;$D74+'Incremental Repayments'!$I$31),-PMT('Interest Rate'!$J$16,'Incremental Repayments'!$I$31,(HLOOKUP($D74,$E$4:$CZ$32,28,FALSE)*'Incremental Repayments'!$I$22)),0),0)</f>
        <v>0</v>
      </c>
      <c r="CP74" s="783">
        <f>IF('Incremental Repayments'!$R$22="Debt",IF(AND(CP$4&gt;=$D74,CP$4&lt;$D74+'Incremental Repayments'!$I$31),-PMT('Interest Rate'!$J$16,'Incremental Repayments'!$I$31,(HLOOKUP($D74,$E$4:$CZ$32,28,FALSE)*'Incremental Repayments'!$I$22)),0),0)</f>
        <v>0</v>
      </c>
      <c r="CQ74" s="783">
        <f>IF('Incremental Repayments'!$R$22="Debt",IF(AND(CQ$4&gt;=$D74,CQ$4&lt;$D74+'Incremental Repayments'!$I$31),-PMT('Interest Rate'!$J$16,'Incremental Repayments'!$I$31,(HLOOKUP($D74,$E$4:$CZ$32,28,FALSE)*'Incremental Repayments'!$I$22)),0),0)</f>
        <v>0</v>
      </c>
      <c r="CR74" s="783">
        <f>IF('Incremental Repayments'!$R$22="Debt",IF(AND(CR$4&gt;=$D74,CR$4&lt;$D74+'Incremental Repayments'!$I$31),-PMT('Interest Rate'!$J$16,'Incremental Repayments'!$I$31,(HLOOKUP($D74,$E$4:$CZ$32,28,FALSE)*'Incremental Repayments'!$I$22)),0),0)</f>
        <v>0</v>
      </c>
      <c r="CS74" s="783">
        <f>IF('Incremental Repayments'!$R$22="Debt",IF(AND(CS$4&gt;=$D74,CS$4&lt;$D74+'Incremental Repayments'!$I$31),-PMT('Interest Rate'!$J$16,'Incremental Repayments'!$I$31,(HLOOKUP($D74,$E$4:$CZ$32,28,FALSE)*'Incremental Repayments'!$I$22)),0),0)</f>
        <v>0</v>
      </c>
      <c r="CT74" s="783">
        <f>IF('Incremental Repayments'!$R$22="Debt",IF(AND(CT$4&gt;=$D74,CT$4&lt;$D74+'Incremental Repayments'!$I$31),-PMT('Interest Rate'!$J$16,'Incremental Repayments'!$I$31,(HLOOKUP($D74,$E$4:$CZ$32,28,FALSE)*'Incremental Repayments'!$I$22)),0),0)</f>
        <v>0</v>
      </c>
      <c r="CU74" s="783">
        <f>IF('Incremental Repayments'!$R$22="Debt",IF(AND(CU$4&gt;=$D74,CU$4&lt;$D74+'Incremental Repayments'!$I$31),-PMT('Interest Rate'!$J$16,'Incremental Repayments'!$I$31,(HLOOKUP($D74,$E$4:$CZ$32,28,FALSE)*'Incremental Repayments'!$I$22)),0),0)</f>
        <v>0</v>
      </c>
      <c r="CV74" s="783">
        <f>IF('Incremental Repayments'!$R$22="Debt",IF(AND(CV$4&gt;=$D74,CV$4&lt;$D74+'Incremental Repayments'!$I$31),-PMT('Interest Rate'!$J$16,'Incremental Repayments'!$I$31,(HLOOKUP($D74,$E$4:$CZ$32,28,FALSE)*'Incremental Repayments'!$I$22)),0),0)</f>
        <v>0</v>
      </c>
      <c r="CW74" s="783">
        <f>IF('Incremental Repayments'!$R$22="Debt",IF(AND(CW$4&gt;=$D74,CW$4&lt;$D74+'Incremental Repayments'!$I$31),-PMT('Interest Rate'!$J$16,'Incremental Repayments'!$I$31,(HLOOKUP($D74,$E$4:$CZ$32,28,FALSE)*'Incremental Repayments'!$I$22)),0),0)</f>
        <v>0</v>
      </c>
      <c r="CX74" s="783">
        <f>IF('Incremental Repayments'!$R$22="Debt",IF(AND(CX$4&gt;=$D74,CX$4&lt;$D74+'Incremental Repayments'!$I$31),-PMT('Interest Rate'!$J$16,'Incremental Repayments'!$I$31,(HLOOKUP($D74,$E$4:$CZ$32,28,FALSE)*'Incremental Repayments'!$I$22)),0),0)</f>
        <v>0</v>
      </c>
      <c r="CY74" s="783">
        <f>IF('Incremental Repayments'!$R$22="Debt",IF(AND(CY$4&gt;=$D74,CY$4&lt;$D74+'Incremental Repayments'!$I$31),-PMT('Interest Rate'!$J$16,'Incremental Repayments'!$I$31,(HLOOKUP($D74,$E$4:$CZ$32,28,FALSE)*'Incremental Repayments'!$I$22)),0),0)</f>
        <v>0</v>
      </c>
      <c r="CZ74" s="783">
        <f>IF('Incremental Repayments'!$R$22="Debt",IF(AND(CZ$4&gt;=$D74,CZ$4&lt;$D74+'Incremental Repayments'!$I$31),-PMT('Interest Rate'!$J$16,'Incremental Repayments'!$I$31,(HLOOKUP($D74,$E$4:$CZ$32,28,FALSE)*'Incremental Repayments'!$I$22)),0),0)</f>
        <v>0</v>
      </c>
    </row>
    <row r="75" spans="2:104" x14ac:dyDescent="0.25">
      <c r="B75" s="480" t="str">
        <f>CONCATENATE("Series ",D75,"A Bonds (at ",'Interest Rate'!$J$16*100,"% Interest)")</f>
        <v>Series 2053A Bonds (at 4.5% Interest)</v>
      </c>
      <c r="C75" s="480"/>
      <c r="D75" s="492">
        <f t="shared" si="47"/>
        <v>2053</v>
      </c>
      <c r="E75" s="783">
        <f>IF('Incremental Repayments'!$R$22="Debt",IF(AND(E$4&gt;=$D75,E$4&lt;$D75+'Incremental Repayments'!$I$31),-PMT('Interest Rate'!$J$16,'Incremental Repayments'!$I$31,(HLOOKUP($D75,$E$4:$CZ$32,28,FALSE)*'Incremental Repayments'!$I$22)),0),0)</f>
        <v>0</v>
      </c>
      <c r="F75" s="783">
        <f>IF('Incremental Repayments'!$R$22="Debt",IF(AND(F$4&gt;=$D75,F$4&lt;$D75+'Incremental Repayments'!$I$31),-PMT('Interest Rate'!$J$16,'Incremental Repayments'!$I$31,(HLOOKUP($D75,$E$4:$CZ$32,28,FALSE)*'Incremental Repayments'!$I$22)),0),0)</f>
        <v>0</v>
      </c>
      <c r="G75" s="783">
        <f>IF('Incremental Repayments'!$R$22="Debt",IF(AND(G$4&gt;=$D75,G$4&lt;$D75+'Incremental Repayments'!$I$31),-PMT('Interest Rate'!$J$16,'Incremental Repayments'!$I$31,(HLOOKUP($D75,$E$4:$CZ$32,28,FALSE)*'Incremental Repayments'!$I$22)),0),0)</f>
        <v>0</v>
      </c>
      <c r="H75" s="783">
        <f>IF('Incremental Repayments'!$R$22="Debt",IF(AND(H$4&gt;=$D75,H$4&lt;$D75+'Incremental Repayments'!$I$31),-PMT('Interest Rate'!$J$16,'Incremental Repayments'!$I$31,(HLOOKUP($D75,$E$4:$CZ$32,28,FALSE)*'Incremental Repayments'!$I$22)),0),0)</f>
        <v>0</v>
      </c>
      <c r="I75" s="783">
        <f>IF('Incremental Repayments'!$R$22="Debt",IF(AND(I$4&gt;=$D75,I$4&lt;$D75+'Incremental Repayments'!$I$31),-PMT('Interest Rate'!$J$16,'Incremental Repayments'!$I$31,(HLOOKUP($D75,$E$4:$CZ$32,28,FALSE)*'Incremental Repayments'!$I$22)),0),0)</f>
        <v>0</v>
      </c>
      <c r="J75" s="783">
        <f>IF('Incremental Repayments'!$R$22="Debt",IF(AND(J$4&gt;=$D75,J$4&lt;$D75+'Incremental Repayments'!$I$31),-PMT('Interest Rate'!$J$16,'Incremental Repayments'!$I$31,(HLOOKUP($D75,$E$4:$CZ$32,28,FALSE)*'Incremental Repayments'!$I$22)),0),0)</f>
        <v>0</v>
      </c>
      <c r="K75" s="783">
        <f>IF('Incremental Repayments'!$R$22="Debt",IF(AND(K$4&gt;=$D75,K$4&lt;$D75+'Incremental Repayments'!$I$31),-PMT('Interest Rate'!$J$16,'Incremental Repayments'!$I$31,(HLOOKUP($D75,$E$4:$CZ$32,28,FALSE)*'Incremental Repayments'!$I$22)),0),0)</f>
        <v>0</v>
      </c>
      <c r="L75" s="783">
        <f>IF('Incremental Repayments'!$R$22="Debt",IF(AND(L$4&gt;=$D75,L$4&lt;$D75+'Incremental Repayments'!$I$31),-PMT('Interest Rate'!$J$16,'Incremental Repayments'!$I$31,(HLOOKUP($D75,$E$4:$CZ$32,28,FALSE)*'Incremental Repayments'!$I$22)),0),0)</f>
        <v>0</v>
      </c>
      <c r="M75" s="783">
        <f>IF('Incremental Repayments'!$R$22="Debt",IF(AND(M$4&gt;=$D75,M$4&lt;$D75+'Incremental Repayments'!$I$31),-PMT('Interest Rate'!$J$16,'Incremental Repayments'!$I$31,(HLOOKUP($D75,$E$4:$CZ$32,28,FALSE)*'Incremental Repayments'!$I$22)),0),0)</f>
        <v>0</v>
      </c>
      <c r="N75" s="783">
        <f>IF('Incremental Repayments'!$R$22="Debt",IF(AND(N$4&gt;=$D75,N$4&lt;$D75+'Incremental Repayments'!$I$31),-PMT('Interest Rate'!$J$16,'Incremental Repayments'!$I$31,(HLOOKUP($D75,$E$4:$CZ$32,28,FALSE)*'Incremental Repayments'!$I$22)),0),0)</f>
        <v>0</v>
      </c>
      <c r="O75" s="783">
        <f>IF('Incremental Repayments'!$R$22="Debt",IF(AND(O$4&gt;=$D75,O$4&lt;$D75+'Incremental Repayments'!$I$31),-PMT('Interest Rate'!$J$16,'Incremental Repayments'!$I$31,(HLOOKUP($D75,$E$4:$CZ$32,28,FALSE)*'Incremental Repayments'!$I$22)),0),0)</f>
        <v>0</v>
      </c>
      <c r="P75" s="783">
        <f>IF('Incremental Repayments'!$R$22="Debt",IF(AND(P$4&gt;=$D75,P$4&lt;$D75+'Incremental Repayments'!$I$31),-PMT('Interest Rate'!$J$16,'Incremental Repayments'!$I$31,(HLOOKUP($D75,$E$4:$CZ$32,28,FALSE)*'Incremental Repayments'!$I$22)),0),0)</f>
        <v>0</v>
      </c>
      <c r="Q75" s="783">
        <f>IF('Incremental Repayments'!$R$22="Debt",IF(AND(Q$4&gt;=$D75,Q$4&lt;$D75+'Incremental Repayments'!$I$31),-PMT('Interest Rate'!$J$16,'Incremental Repayments'!$I$31,(HLOOKUP($D75,$E$4:$CZ$32,28,FALSE)*'Incremental Repayments'!$I$22)),0),0)</f>
        <v>0</v>
      </c>
      <c r="R75" s="783">
        <f>IF('Incremental Repayments'!$R$22="Debt",IF(AND(R$4&gt;=$D75,R$4&lt;$D75+'Incremental Repayments'!$I$31),-PMT('Interest Rate'!$J$16,'Incremental Repayments'!$I$31,(HLOOKUP($D75,$E$4:$CZ$32,28,FALSE)*'Incremental Repayments'!$I$22)),0),0)</f>
        <v>0</v>
      </c>
      <c r="S75" s="783">
        <f>IF('Incremental Repayments'!$R$22="Debt",IF(AND(S$4&gt;=$D75,S$4&lt;$D75+'Incremental Repayments'!$I$31),-PMT('Interest Rate'!$J$16,'Incremental Repayments'!$I$31,(HLOOKUP($D75,$E$4:$CZ$32,28,FALSE)*'Incremental Repayments'!$I$22)),0),0)</f>
        <v>0</v>
      </c>
      <c r="T75" s="783">
        <f>IF('Incremental Repayments'!$R$22="Debt",IF(AND(T$4&gt;=$D75,T$4&lt;$D75+'Incremental Repayments'!$I$31),-PMT('Interest Rate'!$J$16,'Incremental Repayments'!$I$31,(HLOOKUP($D75,$E$4:$CZ$32,28,FALSE)*'Incremental Repayments'!$I$22)),0),0)</f>
        <v>0</v>
      </c>
      <c r="U75" s="783">
        <f>IF('Incremental Repayments'!$R$22="Debt",IF(AND(U$4&gt;=$D75,U$4&lt;$D75+'Incremental Repayments'!$I$31),-PMT('Interest Rate'!$J$16,'Incremental Repayments'!$I$31,(HLOOKUP($D75,$E$4:$CZ$32,28,FALSE)*'Incremental Repayments'!$I$22)),0),0)</f>
        <v>0</v>
      </c>
      <c r="V75" s="783">
        <f>IF('Incremental Repayments'!$R$22="Debt",IF(AND(V$4&gt;=$D75,V$4&lt;$D75+'Incremental Repayments'!$I$31),-PMT('Interest Rate'!$J$16,'Incremental Repayments'!$I$31,(HLOOKUP($D75,$E$4:$CZ$32,28,FALSE)*'Incremental Repayments'!$I$22)),0),0)</f>
        <v>0</v>
      </c>
      <c r="W75" s="783">
        <f>IF('Incremental Repayments'!$R$22="Debt",IF(AND(W$4&gt;=$D75,W$4&lt;$D75+'Incremental Repayments'!$I$31),-PMT('Interest Rate'!$J$16,'Incremental Repayments'!$I$31,(HLOOKUP($D75,$E$4:$CZ$32,28,FALSE)*'Incremental Repayments'!$I$22)),0),0)</f>
        <v>0</v>
      </c>
      <c r="X75" s="783">
        <f>IF('Incremental Repayments'!$R$22="Debt",IF(AND(X$4&gt;=$D75,X$4&lt;$D75+'Incremental Repayments'!$I$31),-PMT('Interest Rate'!$J$16,'Incremental Repayments'!$I$31,(HLOOKUP($D75,$E$4:$CZ$32,28,FALSE)*'Incremental Repayments'!$I$22)),0),0)</f>
        <v>0</v>
      </c>
      <c r="Y75" s="783">
        <f>IF('Incremental Repayments'!$R$22="Debt",IF(AND(Y$4&gt;=$D75,Y$4&lt;$D75+'Incremental Repayments'!$I$31),-PMT('Interest Rate'!$J$16,'Incremental Repayments'!$I$31,(HLOOKUP($D75,$E$4:$CZ$32,28,FALSE)*'Incremental Repayments'!$I$22)),0),0)</f>
        <v>0</v>
      </c>
      <c r="Z75" s="783">
        <f>IF('Incremental Repayments'!$R$22="Debt",IF(AND(Z$4&gt;=$D75,Z$4&lt;$D75+'Incremental Repayments'!$I$31),-PMT('Interest Rate'!$J$16,'Incremental Repayments'!$I$31,(HLOOKUP($D75,$E$4:$CZ$32,28,FALSE)*'Incremental Repayments'!$I$22)),0),0)</f>
        <v>0</v>
      </c>
      <c r="AA75" s="783">
        <f>IF('Incremental Repayments'!$R$22="Debt",IF(AND(AA$4&gt;=$D75,AA$4&lt;$D75+'Incremental Repayments'!$I$31),-PMT('Interest Rate'!$J$16,'Incremental Repayments'!$I$31,(HLOOKUP($D75,$E$4:$CZ$32,28,FALSE)*'Incremental Repayments'!$I$22)),0),0)</f>
        <v>0</v>
      </c>
      <c r="AB75" s="783">
        <f>IF('Incremental Repayments'!$R$22="Debt",IF(AND(AB$4&gt;=$D75,AB$4&lt;$D75+'Incremental Repayments'!$I$31),-PMT('Interest Rate'!$J$16,'Incremental Repayments'!$I$31,(HLOOKUP($D75,$E$4:$CZ$32,28,FALSE)*'Incremental Repayments'!$I$22)),0),0)</f>
        <v>0</v>
      </c>
      <c r="AC75" s="783">
        <f>IF('Incremental Repayments'!$R$22="Debt",IF(AND(AC$4&gt;=$D75,AC$4&lt;$D75+'Incremental Repayments'!$I$31),-PMT('Interest Rate'!$J$16,'Incremental Repayments'!$I$31,(HLOOKUP($D75,$E$4:$CZ$32,28,FALSE)*'Incremental Repayments'!$I$22)),0),0)</f>
        <v>0</v>
      </c>
      <c r="AD75" s="783">
        <f>IF('Incremental Repayments'!$R$22="Debt",IF(AND(AD$4&gt;=$D75,AD$4&lt;$D75+'Incremental Repayments'!$I$31),-PMT('Interest Rate'!$J$16,'Incremental Repayments'!$I$31,(HLOOKUP($D75,$E$4:$CZ$32,28,FALSE)*'Incremental Repayments'!$I$22)),0),0)</f>
        <v>0</v>
      </c>
      <c r="AE75" s="783">
        <f>IF('Incremental Repayments'!$R$22="Debt",IF(AND(AE$4&gt;=$D75,AE$4&lt;$D75+'Incremental Repayments'!$I$31),-PMT('Interest Rate'!$J$16,'Incremental Repayments'!$I$31,(HLOOKUP($D75,$E$4:$CZ$32,28,FALSE)*'Incremental Repayments'!$I$22)),0),0)</f>
        <v>0</v>
      </c>
      <c r="AF75" s="783">
        <f>IF('Incremental Repayments'!$R$22="Debt",IF(AND(AF$4&gt;=$D75,AF$4&lt;$D75+'Incremental Repayments'!$I$31),-PMT('Interest Rate'!$J$16,'Incremental Repayments'!$I$31,(HLOOKUP($D75,$E$4:$CZ$32,28,FALSE)*'Incremental Repayments'!$I$22)),0),0)</f>
        <v>0</v>
      </c>
      <c r="AG75" s="783">
        <f>IF('Incremental Repayments'!$R$22="Debt",IF(AND(AG$4&gt;=$D75,AG$4&lt;$D75+'Incremental Repayments'!$I$31),-PMT('Interest Rate'!$J$16,'Incremental Repayments'!$I$31,(HLOOKUP($D75,$E$4:$CZ$32,28,FALSE)*'Incremental Repayments'!$I$22)),0),0)</f>
        <v>0</v>
      </c>
      <c r="AH75" s="783">
        <f>IF('Incremental Repayments'!$R$22="Debt",IF(AND(AH$4&gt;=$D75,AH$4&lt;$D75+'Incremental Repayments'!$I$31),-PMT('Interest Rate'!$J$16,'Incremental Repayments'!$I$31,(HLOOKUP($D75,$E$4:$CZ$32,28,FALSE)*'Incremental Repayments'!$I$22)),0),0)</f>
        <v>0</v>
      </c>
      <c r="AI75" s="783">
        <f>IF('Incremental Repayments'!$R$22="Debt",IF(AND(AI$4&gt;=$D75,AI$4&lt;$D75+'Incremental Repayments'!$I$31),-PMT('Interest Rate'!$J$16,'Incremental Repayments'!$I$31,(HLOOKUP($D75,$E$4:$CZ$32,28,FALSE)*'Incremental Repayments'!$I$22)),0),0)</f>
        <v>0</v>
      </c>
      <c r="AJ75" s="783">
        <f>IF('Incremental Repayments'!$R$22="Debt",IF(AND(AJ$4&gt;=$D75,AJ$4&lt;$D75+'Incremental Repayments'!$I$31),-PMT('Interest Rate'!$J$16,'Incremental Repayments'!$I$31,(HLOOKUP($D75,$E$4:$CZ$32,28,FALSE)*'Incremental Repayments'!$I$22)),0),0)</f>
        <v>0</v>
      </c>
      <c r="AK75" s="783">
        <f>IF('Incremental Repayments'!$R$22="Debt",IF(AND(AK$4&gt;=$D75,AK$4&lt;$D75+'Incremental Repayments'!$I$31),-PMT('Interest Rate'!$J$16,'Incremental Repayments'!$I$31,(HLOOKUP($D75,$E$4:$CZ$32,28,FALSE)*'Incremental Repayments'!$I$22)),0),0)</f>
        <v>0</v>
      </c>
      <c r="AL75" s="783">
        <f>IF('Incremental Repayments'!$R$22="Debt",IF(AND(AL$4&gt;=$D75,AL$4&lt;$D75+'Incremental Repayments'!$I$31),-PMT('Interest Rate'!$J$16,'Incremental Repayments'!$I$31,(HLOOKUP($D75,$E$4:$CZ$32,28,FALSE)*'Incremental Repayments'!$I$22)),0),0)</f>
        <v>0</v>
      </c>
      <c r="AM75" s="783">
        <f>IF('Incremental Repayments'!$R$22="Debt",IF(AND(AM$4&gt;=$D75,AM$4&lt;$D75+'Incremental Repayments'!$I$31),-PMT('Interest Rate'!$J$16,'Incremental Repayments'!$I$31,(HLOOKUP($D75,$E$4:$CZ$32,28,FALSE)*'Incremental Repayments'!$I$22)),0),0)</f>
        <v>0</v>
      </c>
      <c r="AN75" s="783">
        <f>IF('Incremental Repayments'!$R$22="Debt",IF(AND(AN$4&gt;=$D75,AN$4&lt;$D75+'Incremental Repayments'!$I$31),-PMT('Interest Rate'!$J$16,'Incremental Repayments'!$I$31,(HLOOKUP($D75,$E$4:$CZ$32,28,FALSE)*'Incremental Repayments'!$I$22)),0),0)</f>
        <v>0</v>
      </c>
      <c r="AO75" s="783">
        <f>IF('Incremental Repayments'!$R$22="Debt",IF(AND(AO$4&gt;=$D75,AO$4&lt;$D75+'Incremental Repayments'!$I$31),-PMT('Interest Rate'!$J$16,'Incremental Repayments'!$I$31,(HLOOKUP($D75,$E$4:$CZ$32,28,FALSE)*'Incremental Repayments'!$I$22)),0),0)</f>
        <v>0</v>
      </c>
      <c r="AP75" s="783">
        <f>IF('Incremental Repayments'!$R$22="Debt",IF(AND(AP$4&gt;=$D75,AP$4&lt;$D75+'Incremental Repayments'!$I$31),-PMT('Interest Rate'!$J$16,'Incremental Repayments'!$I$31,(HLOOKUP($D75,$E$4:$CZ$32,28,FALSE)*'Incremental Repayments'!$I$22)),0),0)</f>
        <v>0</v>
      </c>
      <c r="AQ75" s="783">
        <f>IF('Incremental Repayments'!$R$22="Debt",IF(AND(AQ$4&gt;=$D75,AQ$4&lt;$D75+'Incremental Repayments'!$I$31),-PMT('Interest Rate'!$J$16,'Incremental Repayments'!$I$31,(HLOOKUP($D75,$E$4:$CZ$32,28,FALSE)*'Incremental Repayments'!$I$22)),0),0)</f>
        <v>0</v>
      </c>
      <c r="AR75" s="783">
        <f>IF('Incremental Repayments'!$R$22="Debt",IF(AND(AR$4&gt;=$D75,AR$4&lt;$D75+'Incremental Repayments'!$I$31),-PMT('Interest Rate'!$J$16,'Incremental Repayments'!$I$31,(HLOOKUP($D75,$E$4:$CZ$32,28,FALSE)*'Incremental Repayments'!$I$22)),0),0)</f>
        <v>50023.484408034499</v>
      </c>
      <c r="AS75" s="783">
        <f>IF('Incremental Repayments'!$R$22="Debt",IF(AND(AS$4&gt;=$D75,AS$4&lt;$D75+'Incremental Repayments'!$I$31),-PMT('Interest Rate'!$J$16,'Incremental Repayments'!$I$31,(HLOOKUP($D75,$E$4:$CZ$32,28,FALSE)*'Incremental Repayments'!$I$22)),0),0)</f>
        <v>50023.484408034499</v>
      </c>
      <c r="AT75" s="783">
        <f>IF('Incremental Repayments'!$R$22="Debt",IF(AND(AT$4&gt;=$D75,AT$4&lt;$D75+'Incremental Repayments'!$I$31),-PMT('Interest Rate'!$J$16,'Incremental Repayments'!$I$31,(HLOOKUP($D75,$E$4:$CZ$32,28,FALSE)*'Incremental Repayments'!$I$22)),0),0)</f>
        <v>50023.484408034499</v>
      </c>
      <c r="AU75" s="783">
        <f>IF('Incremental Repayments'!$R$22="Debt",IF(AND(AU$4&gt;=$D75,AU$4&lt;$D75+'Incremental Repayments'!$I$31),-PMT('Interest Rate'!$J$16,'Incremental Repayments'!$I$31,(HLOOKUP($D75,$E$4:$CZ$32,28,FALSE)*'Incremental Repayments'!$I$22)),0),0)</f>
        <v>50023.484408034499</v>
      </c>
      <c r="AV75" s="783">
        <f>IF('Incremental Repayments'!$R$22="Debt",IF(AND(AV$4&gt;=$D75,AV$4&lt;$D75+'Incremental Repayments'!$I$31),-PMT('Interest Rate'!$J$16,'Incremental Repayments'!$I$31,(HLOOKUP($D75,$E$4:$CZ$32,28,FALSE)*'Incremental Repayments'!$I$22)),0),0)</f>
        <v>50023.484408034499</v>
      </c>
      <c r="AW75" s="783">
        <f>IF('Incremental Repayments'!$R$22="Debt",IF(AND(AW$4&gt;=$D75,AW$4&lt;$D75+'Incremental Repayments'!$I$31),-PMT('Interest Rate'!$J$16,'Incremental Repayments'!$I$31,(HLOOKUP($D75,$E$4:$CZ$32,28,FALSE)*'Incremental Repayments'!$I$22)),0),0)</f>
        <v>50023.484408034499</v>
      </c>
      <c r="AX75" s="783">
        <f>IF('Incremental Repayments'!$R$22="Debt",IF(AND(AX$4&gt;=$D75,AX$4&lt;$D75+'Incremental Repayments'!$I$31),-PMT('Interest Rate'!$J$16,'Incremental Repayments'!$I$31,(HLOOKUP($D75,$E$4:$CZ$32,28,FALSE)*'Incremental Repayments'!$I$22)),0),0)</f>
        <v>50023.484408034499</v>
      </c>
      <c r="AY75" s="783">
        <f>IF('Incremental Repayments'!$R$22="Debt",IF(AND(AY$4&gt;=$D75,AY$4&lt;$D75+'Incremental Repayments'!$I$31),-PMT('Interest Rate'!$J$16,'Incremental Repayments'!$I$31,(HLOOKUP($D75,$E$4:$CZ$32,28,FALSE)*'Incremental Repayments'!$I$22)),0),0)</f>
        <v>50023.484408034499</v>
      </c>
      <c r="AZ75" s="783">
        <f>IF('Incremental Repayments'!$R$22="Debt",IF(AND(AZ$4&gt;=$D75,AZ$4&lt;$D75+'Incremental Repayments'!$I$31),-PMT('Interest Rate'!$J$16,'Incremental Repayments'!$I$31,(HLOOKUP($D75,$E$4:$CZ$32,28,FALSE)*'Incremental Repayments'!$I$22)),0),0)</f>
        <v>50023.484408034499</v>
      </c>
      <c r="BA75" s="783">
        <f>IF('Incremental Repayments'!$R$22="Debt",IF(AND(BA$4&gt;=$D75,BA$4&lt;$D75+'Incremental Repayments'!$I$31),-PMT('Interest Rate'!$J$16,'Incremental Repayments'!$I$31,(HLOOKUP($D75,$E$4:$CZ$32,28,FALSE)*'Incremental Repayments'!$I$22)),0),0)</f>
        <v>50023.484408034499</v>
      </c>
      <c r="BB75" s="783">
        <f>IF('Incremental Repayments'!$R$22="Debt",IF(AND(BB$4&gt;=$D75,BB$4&lt;$D75+'Incremental Repayments'!$I$31),-PMT('Interest Rate'!$J$16,'Incremental Repayments'!$I$31,(HLOOKUP($D75,$E$4:$CZ$32,28,FALSE)*'Incremental Repayments'!$I$22)),0),0)</f>
        <v>50023.484408034499</v>
      </c>
      <c r="BC75" s="783">
        <f>IF('Incremental Repayments'!$R$22="Debt",IF(AND(BC$4&gt;=$D75,BC$4&lt;$D75+'Incremental Repayments'!$I$31),-PMT('Interest Rate'!$J$16,'Incremental Repayments'!$I$31,(HLOOKUP($D75,$E$4:$CZ$32,28,FALSE)*'Incremental Repayments'!$I$22)),0),0)</f>
        <v>50023.484408034499</v>
      </c>
      <c r="BD75" s="783">
        <f>IF('Incremental Repayments'!$R$22="Debt",IF(AND(BD$4&gt;=$D75,BD$4&lt;$D75+'Incremental Repayments'!$I$31),-PMT('Interest Rate'!$J$16,'Incremental Repayments'!$I$31,(HLOOKUP($D75,$E$4:$CZ$32,28,FALSE)*'Incremental Repayments'!$I$22)),0),0)</f>
        <v>50023.484408034499</v>
      </c>
      <c r="BE75" s="783">
        <f>IF('Incremental Repayments'!$R$22="Debt",IF(AND(BE$4&gt;=$D75,BE$4&lt;$D75+'Incremental Repayments'!$I$31),-PMT('Interest Rate'!$J$16,'Incremental Repayments'!$I$31,(HLOOKUP($D75,$E$4:$CZ$32,28,FALSE)*'Incremental Repayments'!$I$22)),0),0)</f>
        <v>50023.484408034499</v>
      </c>
      <c r="BF75" s="783">
        <f>IF('Incremental Repayments'!$R$22="Debt",IF(AND(BF$4&gt;=$D75,BF$4&lt;$D75+'Incremental Repayments'!$I$31),-PMT('Interest Rate'!$J$16,'Incremental Repayments'!$I$31,(HLOOKUP($D75,$E$4:$CZ$32,28,FALSE)*'Incremental Repayments'!$I$22)),0),0)</f>
        <v>50023.484408034499</v>
      </c>
      <c r="BG75" s="783">
        <f>IF('Incremental Repayments'!$R$22="Debt",IF(AND(BG$4&gt;=$D75,BG$4&lt;$D75+'Incremental Repayments'!$I$31),-PMT('Interest Rate'!$J$16,'Incremental Repayments'!$I$31,(HLOOKUP($D75,$E$4:$CZ$32,28,FALSE)*'Incremental Repayments'!$I$22)),0),0)</f>
        <v>50023.484408034499</v>
      </c>
      <c r="BH75" s="783">
        <f>IF('Incremental Repayments'!$R$22="Debt",IF(AND(BH$4&gt;=$D75,BH$4&lt;$D75+'Incremental Repayments'!$I$31),-PMT('Interest Rate'!$J$16,'Incremental Repayments'!$I$31,(HLOOKUP($D75,$E$4:$CZ$32,28,FALSE)*'Incremental Repayments'!$I$22)),0),0)</f>
        <v>50023.484408034499</v>
      </c>
      <c r="BI75" s="783">
        <f>IF('Incremental Repayments'!$R$22="Debt",IF(AND(BI$4&gt;=$D75,BI$4&lt;$D75+'Incremental Repayments'!$I$31),-PMT('Interest Rate'!$J$16,'Incremental Repayments'!$I$31,(HLOOKUP($D75,$E$4:$CZ$32,28,FALSE)*'Incremental Repayments'!$I$22)),0),0)</f>
        <v>50023.484408034499</v>
      </c>
      <c r="BJ75" s="783">
        <f>IF('Incremental Repayments'!$R$22="Debt",IF(AND(BJ$4&gt;=$D75,BJ$4&lt;$D75+'Incremental Repayments'!$I$31),-PMT('Interest Rate'!$J$16,'Incremental Repayments'!$I$31,(HLOOKUP($D75,$E$4:$CZ$32,28,FALSE)*'Incremental Repayments'!$I$22)),0),0)</f>
        <v>50023.484408034499</v>
      </c>
      <c r="BK75" s="783">
        <f>IF('Incremental Repayments'!$R$22="Debt",IF(AND(BK$4&gt;=$D75,BK$4&lt;$D75+'Incremental Repayments'!$I$31),-PMT('Interest Rate'!$J$16,'Incremental Repayments'!$I$31,(HLOOKUP($D75,$E$4:$CZ$32,28,FALSE)*'Incremental Repayments'!$I$22)),0),0)</f>
        <v>50023.484408034499</v>
      </c>
      <c r="BL75" s="783">
        <f>IF('Incremental Repayments'!$R$22="Debt",IF(AND(BL$4&gt;=$D75,BL$4&lt;$D75+'Incremental Repayments'!$I$31),-PMT('Interest Rate'!$J$16,'Incremental Repayments'!$I$31,(HLOOKUP($D75,$E$4:$CZ$32,28,FALSE)*'Incremental Repayments'!$I$22)),0),0)</f>
        <v>50023.484408034499</v>
      </c>
      <c r="BM75" s="783">
        <f>IF('Incremental Repayments'!$R$22="Debt",IF(AND(BM$4&gt;=$D75,BM$4&lt;$D75+'Incremental Repayments'!$I$31),-PMT('Interest Rate'!$J$16,'Incremental Repayments'!$I$31,(HLOOKUP($D75,$E$4:$CZ$32,28,FALSE)*'Incremental Repayments'!$I$22)),0),0)</f>
        <v>50023.484408034499</v>
      </c>
      <c r="BN75" s="783">
        <f>IF('Incremental Repayments'!$R$22="Debt",IF(AND(BN$4&gt;=$D75,BN$4&lt;$D75+'Incremental Repayments'!$I$31),-PMT('Interest Rate'!$J$16,'Incremental Repayments'!$I$31,(HLOOKUP($D75,$E$4:$CZ$32,28,FALSE)*'Incremental Repayments'!$I$22)),0),0)</f>
        <v>50023.484408034499</v>
      </c>
      <c r="BO75" s="783">
        <f>IF('Incremental Repayments'!$R$22="Debt",IF(AND(BO$4&gt;=$D75,BO$4&lt;$D75+'Incremental Repayments'!$I$31),-PMT('Interest Rate'!$J$16,'Incremental Repayments'!$I$31,(HLOOKUP($D75,$E$4:$CZ$32,28,FALSE)*'Incremental Repayments'!$I$22)),0),0)</f>
        <v>50023.484408034499</v>
      </c>
      <c r="BP75" s="783">
        <f>IF('Incremental Repayments'!$R$22="Debt",IF(AND(BP$4&gt;=$D75,BP$4&lt;$D75+'Incremental Repayments'!$I$31),-PMT('Interest Rate'!$J$16,'Incremental Repayments'!$I$31,(HLOOKUP($D75,$E$4:$CZ$32,28,FALSE)*'Incremental Repayments'!$I$22)),0),0)</f>
        <v>50023.484408034499</v>
      </c>
      <c r="BQ75" s="783">
        <f>IF('Incremental Repayments'!$R$22="Debt",IF(AND(BQ$4&gt;=$D75,BQ$4&lt;$D75+'Incremental Repayments'!$I$31),-PMT('Interest Rate'!$J$16,'Incremental Repayments'!$I$31,(HLOOKUP($D75,$E$4:$CZ$32,28,FALSE)*'Incremental Repayments'!$I$22)),0),0)</f>
        <v>50023.484408034499</v>
      </c>
      <c r="BR75" s="783">
        <f>IF('Incremental Repayments'!$R$22="Debt",IF(AND(BR$4&gt;=$D75,BR$4&lt;$D75+'Incremental Repayments'!$I$31),-PMT('Interest Rate'!$J$16,'Incremental Repayments'!$I$31,(HLOOKUP($D75,$E$4:$CZ$32,28,FALSE)*'Incremental Repayments'!$I$22)),0),0)</f>
        <v>50023.484408034499</v>
      </c>
      <c r="BS75" s="783">
        <f>IF('Incremental Repayments'!$R$22="Debt",IF(AND(BS$4&gt;=$D75,BS$4&lt;$D75+'Incremental Repayments'!$I$31),-PMT('Interest Rate'!$J$16,'Incremental Repayments'!$I$31,(HLOOKUP($D75,$E$4:$CZ$32,28,FALSE)*'Incremental Repayments'!$I$22)),0),0)</f>
        <v>50023.484408034499</v>
      </c>
      <c r="BT75" s="783">
        <f>IF('Incremental Repayments'!$R$22="Debt",IF(AND(BT$4&gt;=$D75,BT$4&lt;$D75+'Incremental Repayments'!$I$31),-PMT('Interest Rate'!$J$16,'Incremental Repayments'!$I$31,(HLOOKUP($D75,$E$4:$CZ$32,28,FALSE)*'Incremental Repayments'!$I$22)),0),0)</f>
        <v>50023.484408034499</v>
      </c>
      <c r="BU75" s="783">
        <f>IF('Incremental Repayments'!$R$22="Debt",IF(AND(BU$4&gt;=$D75,BU$4&lt;$D75+'Incremental Repayments'!$I$31),-PMT('Interest Rate'!$J$16,'Incremental Repayments'!$I$31,(HLOOKUP($D75,$E$4:$CZ$32,28,FALSE)*'Incremental Repayments'!$I$22)),0),0)</f>
        <v>50023.484408034499</v>
      </c>
      <c r="BV75" s="783">
        <f>IF('Incremental Repayments'!$R$22="Debt",IF(AND(BV$4&gt;=$D75,BV$4&lt;$D75+'Incremental Repayments'!$I$31),-PMT('Interest Rate'!$J$16,'Incremental Repayments'!$I$31,(HLOOKUP($D75,$E$4:$CZ$32,28,FALSE)*'Incremental Repayments'!$I$22)),0),0)</f>
        <v>0</v>
      </c>
      <c r="BW75" s="783">
        <f>IF('Incremental Repayments'!$R$22="Debt",IF(AND(BW$4&gt;=$D75,BW$4&lt;$D75+'Incremental Repayments'!$I$31),-PMT('Interest Rate'!$J$16,'Incremental Repayments'!$I$31,(HLOOKUP($D75,$E$4:$CZ$32,28,FALSE)*'Incremental Repayments'!$I$22)),0),0)</f>
        <v>0</v>
      </c>
      <c r="BX75" s="783">
        <f>IF('Incremental Repayments'!$R$22="Debt",IF(AND(BX$4&gt;=$D75,BX$4&lt;$D75+'Incremental Repayments'!$I$31),-PMT('Interest Rate'!$J$16,'Incremental Repayments'!$I$31,(HLOOKUP($D75,$E$4:$CZ$32,28,FALSE)*'Incremental Repayments'!$I$22)),0),0)</f>
        <v>0</v>
      </c>
      <c r="BY75" s="783">
        <f>IF('Incremental Repayments'!$R$22="Debt",IF(AND(BY$4&gt;=$D75,BY$4&lt;$D75+'Incremental Repayments'!$I$31),-PMT('Interest Rate'!$J$16,'Incremental Repayments'!$I$31,(HLOOKUP($D75,$E$4:$CZ$32,28,FALSE)*'Incremental Repayments'!$I$22)),0),0)</f>
        <v>0</v>
      </c>
      <c r="BZ75" s="783">
        <f>IF('Incremental Repayments'!$R$22="Debt",IF(AND(BZ$4&gt;=$D75,BZ$4&lt;$D75+'Incremental Repayments'!$I$31),-PMT('Interest Rate'!$J$16,'Incremental Repayments'!$I$31,(HLOOKUP($D75,$E$4:$CZ$32,28,FALSE)*'Incremental Repayments'!$I$22)),0),0)</f>
        <v>0</v>
      </c>
      <c r="CA75" s="783">
        <f>IF('Incremental Repayments'!$R$22="Debt",IF(AND(CA$4&gt;=$D75,CA$4&lt;$D75+'Incremental Repayments'!$I$31),-PMT('Interest Rate'!$J$16,'Incremental Repayments'!$I$31,(HLOOKUP($D75,$E$4:$CZ$32,28,FALSE)*'Incremental Repayments'!$I$22)),0),0)</f>
        <v>0</v>
      </c>
      <c r="CB75" s="783">
        <f>IF('Incremental Repayments'!$R$22="Debt",IF(AND(CB$4&gt;=$D75,CB$4&lt;$D75+'Incremental Repayments'!$I$31),-PMT('Interest Rate'!$J$16,'Incremental Repayments'!$I$31,(HLOOKUP($D75,$E$4:$CZ$32,28,FALSE)*'Incremental Repayments'!$I$22)),0),0)</f>
        <v>0</v>
      </c>
      <c r="CC75" s="783">
        <f>IF('Incremental Repayments'!$R$22="Debt",IF(AND(CC$4&gt;=$D75,CC$4&lt;$D75+'Incremental Repayments'!$I$31),-PMT('Interest Rate'!$J$16,'Incremental Repayments'!$I$31,(HLOOKUP($D75,$E$4:$CZ$32,28,FALSE)*'Incremental Repayments'!$I$22)),0),0)</f>
        <v>0</v>
      </c>
      <c r="CD75" s="783">
        <f>IF('Incremental Repayments'!$R$22="Debt",IF(AND(CD$4&gt;=$D75,CD$4&lt;$D75+'Incremental Repayments'!$I$31),-PMT('Interest Rate'!$J$16,'Incremental Repayments'!$I$31,(HLOOKUP($D75,$E$4:$CZ$32,28,FALSE)*'Incremental Repayments'!$I$22)),0),0)</f>
        <v>0</v>
      </c>
      <c r="CE75" s="783">
        <f>IF('Incremental Repayments'!$R$22="Debt",IF(AND(CE$4&gt;=$D75,CE$4&lt;$D75+'Incremental Repayments'!$I$31),-PMT('Interest Rate'!$J$16,'Incremental Repayments'!$I$31,(HLOOKUP($D75,$E$4:$CZ$32,28,FALSE)*'Incremental Repayments'!$I$22)),0),0)</f>
        <v>0</v>
      </c>
      <c r="CF75" s="783">
        <f>IF('Incremental Repayments'!$R$22="Debt",IF(AND(CF$4&gt;=$D75,CF$4&lt;$D75+'Incremental Repayments'!$I$31),-PMT('Interest Rate'!$J$16,'Incremental Repayments'!$I$31,(HLOOKUP($D75,$E$4:$CZ$32,28,FALSE)*'Incremental Repayments'!$I$22)),0),0)</f>
        <v>0</v>
      </c>
      <c r="CG75" s="783">
        <f>IF('Incremental Repayments'!$R$22="Debt",IF(AND(CG$4&gt;=$D75,CG$4&lt;$D75+'Incremental Repayments'!$I$31),-PMT('Interest Rate'!$J$16,'Incremental Repayments'!$I$31,(HLOOKUP($D75,$E$4:$CZ$32,28,FALSE)*'Incremental Repayments'!$I$22)),0),0)</f>
        <v>0</v>
      </c>
      <c r="CH75" s="783">
        <f>IF('Incremental Repayments'!$R$22="Debt",IF(AND(CH$4&gt;=$D75,CH$4&lt;$D75+'Incremental Repayments'!$I$31),-PMT('Interest Rate'!$J$16,'Incremental Repayments'!$I$31,(HLOOKUP($D75,$E$4:$CZ$32,28,FALSE)*'Incremental Repayments'!$I$22)),0),0)</f>
        <v>0</v>
      </c>
      <c r="CI75" s="783">
        <f>IF('Incremental Repayments'!$R$22="Debt",IF(AND(CI$4&gt;=$D75,CI$4&lt;$D75+'Incremental Repayments'!$I$31),-PMT('Interest Rate'!$J$16,'Incremental Repayments'!$I$31,(HLOOKUP($D75,$E$4:$CZ$32,28,FALSE)*'Incremental Repayments'!$I$22)),0),0)</f>
        <v>0</v>
      </c>
      <c r="CJ75" s="783">
        <f>IF('Incremental Repayments'!$R$22="Debt",IF(AND(CJ$4&gt;=$D75,CJ$4&lt;$D75+'Incremental Repayments'!$I$31),-PMT('Interest Rate'!$J$16,'Incremental Repayments'!$I$31,(HLOOKUP($D75,$E$4:$CZ$32,28,FALSE)*'Incremental Repayments'!$I$22)),0),0)</f>
        <v>0</v>
      </c>
      <c r="CK75" s="783">
        <f>IF('Incremental Repayments'!$R$22="Debt",IF(AND(CK$4&gt;=$D75,CK$4&lt;$D75+'Incremental Repayments'!$I$31),-PMT('Interest Rate'!$J$16,'Incremental Repayments'!$I$31,(HLOOKUP($D75,$E$4:$CZ$32,28,FALSE)*'Incremental Repayments'!$I$22)),0),0)</f>
        <v>0</v>
      </c>
      <c r="CL75" s="783">
        <f>IF('Incremental Repayments'!$R$22="Debt",IF(AND(CL$4&gt;=$D75,CL$4&lt;$D75+'Incremental Repayments'!$I$31),-PMT('Interest Rate'!$J$16,'Incremental Repayments'!$I$31,(HLOOKUP($D75,$E$4:$CZ$32,28,FALSE)*'Incremental Repayments'!$I$22)),0),0)</f>
        <v>0</v>
      </c>
      <c r="CM75" s="783">
        <f>IF('Incremental Repayments'!$R$22="Debt",IF(AND(CM$4&gt;=$D75,CM$4&lt;$D75+'Incremental Repayments'!$I$31),-PMT('Interest Rate'!$J$16,'Incremental Repayments'!$I$31,(HLOOKUP($D75,$E$4:$CZ$32,28,FALSE)*'Incremental Repayments'!$I$22)),0),0)</f>
        <v>0</v>
      </c>
      <c r="CN75" s="783">
        <f>IF('Incremental Repayments'!$R$22="Debt",IF(AND(CN$4&gt;=$D75,CN$4&lt;$D75+'Incremental Repayments'!$I$31),-PMT('Interest Rate'!$J$16,'Incremental Repayments'!$I$31,(HLOOKUP($D75,$E$4:$CZ$32,28,FALSE)*'Incremental Repayments'!$I$22)),0),0)</f>
        <v>0</v>
      </c>
      <c r="CO75" s="783">
        <f>IF('Incremental Repayments'!$R$22="Debt",IF(AND(CO$4&gt;=$D75,CO$4&lt;$D75+'Incremental Repayments'!$I$31),-PMT('Interest Rate'!$J$16,'Incremental Repayments'!$I$31,(HLOOKUP($D75,$E$4:$CZ$32,28,FALSE)*'Incremental Repayments'!$I$22)),0),0)</f>
        <v>0</v>
      </c>
      <c r="CP75" s="783">
        <f>IF('Incremental Repayments'!$R$22="Debt",IF(AND(CP$4&gt;=$D75,CP$4&lt;$D75+'Incremental Repayments'!$I$31),-PMT('Interest Rate'!$J$16,'Incremental Repayments'!$I$31,(HLOOKUP($D75,$E$4:$CZ$32,28,FALSE)*'Incremental Repayments'!$I$22)),0),0)</f>
        <v>0</v>
      </c>
      <c r="CQ75" s="783">
        <f>IF('Incremental Repayments'!$R$22="Debt",IF(AND(CQ$4&gt;=$D75,CQ$4&lt;$D75+'Incremental Repayments'!$I$31),-PMT('Interest Rate'!$J$16,'Incremental Repayments'!$I$31,(HLOOKUP($D75,$E$4:$CZ$32,28,FALSE)*'Incremental Repayments'!$I$22)),0),0)</f>
        <v>0</v>
      </c>
      <c r="CR75" s="783">
        <f>IF('Incremental Repayments'!$R$22="Debt",IF(AND(CR$4&gt;=$D75,CR$4&lt;$D75+'Incremental Repayments'!$I$31),-PMT('Interest Rate'!$J$16,'Incremental Repayments'!$I$31,(HLOOKUP($D75,$E$4:$CZ$32,28,FALSE)*'Incremental Repayments'!$I$22)),0),0)</f>
        <v>0</v>
      </c>
      <c r="CS75" s="783">
        <f>IF('Incremental Repayments'!$R$22="Debt",IF(AND(CS$4&gt;=$D75,CS$4&lt;$D75+'Incremental Repayments'!$I$31),-PMT('Interest Rate'!$J$16,'Incremental Repayments'!$I$31,(HLOOKUP($D75,$E$4:$CZ$32,28,FALSE)*'Incremental Repayments'!$I$22)),0),0)</f>
        <v>0</v>
      </c>
      <c r="CT75" s="783">
        <f>IF('Incremental Repayments'!$R$22="Debt",IF(AND(CT$4&gt;=$D75,CT$4&lt;$D75+'Incremental Repayments'!$I$31),-PMT('Interest Rate'!$J$16,'Incremental Repayments'!$I$31,(HLOOKUP($D75,$E$4:$CZ$32,28,FALSE)*'Incremental Repayments'!$I$22)),0),0)</f>
        <v>0</v>
      </c>
      <c r="CU75" s="783">
        <f>IF('Incremental Repayments'!$R$22="Debt",IF(AND(CU$4&gt;=$D75,CU$4&lt;$D75+'Incremental Repayments'!$I$31),-PMT('Interest Rate'!$J$16,'Incremental Repayments'!$I$31,(HLOOKUP($D75,$E$4:$CZ$32,28,FALSE)*'Incremental Repayments'!$I$22)),0),0)</f>
        <v>0</v>
      </c>
      <c r="CV75" s="783">
        <f>IF('Incremental Repayments'!$R$22="Debt",IF(AND(CV$4&gt;=$D75,CV$4&lt;$D75+'Incremental Repayments'!$I$31),-PMT('Interest Rate'!$J$16,'Incremental Repayments'!$I$31,(HLOOKUP($D75,$E$4:$CZ$32,28,FALSE)*'Incremental Repayments'!$I$22)),0),0)</f>
        <v>0</v>
      </c>
      <c r="CW75" s="783">
        <f>IF('Incremental Repayments'!$R$22="Debt",IF(AND(CW$4&gt;=$D75,CW$4&lt;$D75+'Incremental Repayments'!$I$31),-PMT('Interest Rate'!$J$16,'Incremental Repayments'!$I$31,(HLOOKUP($D75,$E$4:$CZ$32,28,FALSE)*'Incremental Repayments'!$I$22)),0),0)</f>
        <v>0</v>
      </c>
      <c r="CX75" s="783">
        <f>IF('Incremental Repayments'!$R$22="Debt",IF(AND(CX$4&gt;=$D75,CX$4&lt;$D75+'Incremental Repayments'!$I$31),-PMT('Interest Rate'!$J$16,'Incremental Repayments'!$I$31,(HLOOKUP($D75,$E$4:$CZ$32,28,FALSE)*'Incremental Repayments'!$I$22)),0),0)</f>
        <v>0</v>
      </c>
      <c r="CY75" s="783">
        <f>IF('Incremental Repayments'!$R$22="Debt",IF(AND(CY$4&gt;=$D75,CY$4&lt;$D75+'Incremental Repayments'!$I$31),-PMT('Interest Rate'!$J$16,'Incremental Repayments'!$I$31,(HLOOKUP($D75,$E$4:$CZ$32,28,FALSE)*'Incremental Repayments'!$I$22)),0),0)</f>
        <v>0</v>
      </c>
      <c r="CZ75" s="783">
        <f>IF('Incremental Repayments'!$R$22="Debt",IF(AND(CZ$4&gt;=$D75,CZ$4&lt;$D75+'Incremental Repayments'!$I$31),-PMT('Interest Rate'!$J$16,'Incremental Repayments'!$I$31,(HLOOKUP($D75,$E$4:$CZ$32,28,FALSE)*'Incremental Repayments'!$I$22)),0),0)</f>
        <v>0</v>
      </c>
    </row>
    <row r="76" spans="2:104" x14ac:dyDescent="0.25">
      <c r="B76" s="480" t="str">
        <f>CONCATENATE("Series ",D76,"A Bonds (at ",'Interest Rate'!$J$16*100,"% Interest)")</f>
        <v>Series 2054A Bonds (at 4.5% Interest)</v>
      </c>
      <c r="C76" s="480"/>
      <c r="D76" s="492">
        <f t="shared" si="47"/>
        <v>2054</v>
      </c>
      <c r="E76" s="783">
        <f>IF('Incremental Repayments'!$R$22="Debt",IF(AND(E$4&gt;=$D76,E$4&lt;$D76+'Incremental Repayments'!$I$31),-PMT('Interest Rate'!$J$16,'Incremental Repayments'!$I$31,(HLOOKUP($D76,$E$4:$CZ$32,28,FALSE)*'Incremental Repayments'!$I$22)),0),0)</f>
        <v>0</v>
      </c>
      <c r="F76" s="783">
        <f>IF('Incremental Repayments'!$R$22="Debt",IF(AND(F$4&gt;=$D76,F$4&lt;$D76+'Incremental Repayments'!$I$31),-PMT('Interest Rate'!$J$16,'Incremental Repayments'!$I$31,(HLOOKUP($D76,$E$4:$CZ$32,28,FALSE)*'Incremental Repayments'!$I$22)),0),0)</f>
        <v>0</v>
      </c>
      <c r="G76" s="783">
        <f>IF('Incremental Repayments'!$R$22="Debt",IF(AND(G$4&gt;=$D76,G$4&lt;$D76+'Incremental Repayments'!$I$31),-PMT('Interest Rate'!$J$16,'Incremental Repayments'!$I$31,(HLOOKUP($D76,$E$4:$CZ$32,28,FALSE)*'Incremental Repayments'!$I$22)),0),0)</f>
        <v>0</v>
      </c>
      <c r="H76" s="783">
        <f>IF('Incremental Repayments'!$R$22="Debt",IF(AND(H$4&gt;=$D76,H$4&lt;$D76+'Incremental Repayments'!$I$31),-PMT('Interest Rate'!$J$16,'Incremental Repayments'!$I$31,(HLOOKUP($D76,$E$4:$CZ$32,28,FALSE)*'Incremental Repayments'!$I$22)),0),0)</f>
        <v>0</v>
      </c>
      <c r="I76" s="783">
        <f>IF('Incremental Repayments'!$R$22="Debt",IF(AND(I$4&gt;=$D76,I$4&lt;$D76+'Incremental Repayments'!$I$31),-PMT('Interest Rate'!$J$16,'Incremental Repayments'!$I$31,(HLOOKUP($D76,$E$4:$CZ$32,28,FALSE)*'Incremental Repayments'!$I$22)),0),0)</f>
        <v>0</v>
      </c>
      <c r="J76" s="783">
        <f>IF('Incremental Repayments'!$R$22="Debt",IF(AND(J$4&gt;=$D76,J$4&lt;$D76+'Incremental Repayments'!$I$31),-PMT('Interest Rate'!$J$16,'Incremental Repayments'!$I$31,(HLOOKUP($D76,$E$4:$CZ$32,28,FALSE)*'Incremental Repayments'!$I$22)),0),0)</f>
        <v>0</v>
      </c>
      <c r="K76" s="783">
        <f>IF('Incremental Repayments'!$R$22="Debt",IF(AND(K$4&gt;=$D76,K$4&lt;$D76+'Incremental Repayments'!$I$31),-PMT('Interest Rate'!$J$16,'Incremental Repayments'!$I$31,(HLOOKUP($D76,$E$4:$CZ$32,28,FALSE)*'Incremental Repayments'!$I$22)),0),0)</f>
        <v>0</v>
      </c>
      <c r="L76" s="783">
        <f>IF('Incremental Repayments'!$R$22="Debt",IF(AND(L$4&gt;=$D76,L$4&lt;$D76+'Incremental Repayments'!$I$31),-PMT('Interest Rate'!$J$16,'Incremental Repayments'!$I$31,(HLOOKUP($D76,$E$4:$CZ$32,28,FALSE)*'Incremental Repayments'!$I$22)),0),0)</f>
        <v>0</v>
      </c>
      <c r="M76" s="783">
        <f>IF('Incremental Repayments'!$R$22="Debt",IF(AND(M$4&gt;=$D76,M$4&lt;$D76+'Incremental Repayments'!$I$31),-PMT('Interest Rate'!$J$16,'Incremental Repayments'!$I$31,(HLOOKUP($D76,$E$4:$CZ$32,28,FALSE)*'Incremental Repayments'!$I$22)),0),0)</f>
        <v>0</v>
      </c>
      <c r="N76" s="783">
        <f>IF('Incremental Repayments'!$R$22="Debt",IF(AND(N$4&gt;=$D76,N$4&lt;$D76+'Incremental Repayments'!$I$31),-PMT('Interest Rate'!$J$16,'Incremental Repayments'!$I$31,(HLOOKUP($D76,$E$4:$CZ$32,28,FALSE)*'Incremental Repayments'!$I$22)),0),0)</f>
        <v>0</v>
      </c>
      <c r="O76" s="783">
        <f>IF('Incremental Repayments'!$R$22="Debt",IF(AND(O$4&gt;=$D76,O$4&lt;$D76+'Incremental Repayments'!$I$31),-PMT('Interest Rate'!$J$16,'Incremental Repayments'!$I$31,(HLOOKUP($D76,$E$4:$CZ$32,28,FALSE)*'Incremental Repayments'!$I$22)),0),0)</f>
        <v>0</v>
      </c>
      <c r="P76" s="783">
        <f>IF('Incremental Repayments'!$R$22="Debt",IF(AND(P$4&gt;=$D76,P$4&lt;$D76+'Incremental Repayments'!$I$31),-PMT('Interest Rate'!$J$16,'Incremental Repayments'!$I$31,(HLOOKUP($D76,$E$4:$CZ$32,28,FALSE)*'Incremental Repayments'!$I$22)),0),0)</f>
        <v>0</v>
      </c>
      <c r="Q76" s="783">
        <f>IF('Incremental Repayments'!$R$22="Debt",IF(AND(Q$4&gt;=$D76,Q$4&lt;$D76+'Incremental Repayments'!$I$31),-PMT('Interest Rate'!$J$16,'Incremental Repayments'!$I$31,(HLOOKUP($D76,$E$4:$CZ$32,28,FALSE)*'Incremental Repayments'!$I$22)),0),0)</f>
        <v>0</v>
      </c>
      <c r="R76" s="783">
        <f>IF('Incremental Repayments'!$R$22="Debt",IF(AND(R$4&gt;=$D76,R$4&lt;$D76+'Incremental Repayments'!$I$31),-PMT('Interest Rate'!$J$16,'Incremental Repayments'!$I$31,(HLOOKUP($D76,$E$4:$CZ$32,28,FALSE)*'Incremental Repayments'!$I$22)),0),0)</f>
        <v>0</v>
      </c>
      <c r="S76" s="783">
        <f>IF('Incremental Repayments'!$R$22="Debt",IF(AND(S$4&gt;=$D76,S$4&lt;$D76+'Incremental Repayments'!$I$31),-PMT('Interest Rate'!$J$16,'Incremental Repayments'!$I$31,(HLOOKUP($D76,$E$4:$CZ$32,28,FALSE)*'Incremental Repayments'!$I$22)),0),0)</f>
        <v>0</v>
      </c>
      <c r="T76" s="783">
        <f>IF('Incremental Repayments'!$R$22="Debt",IF(AND(T$4&gt;=$D76,T$4&lt;$D76+'Incremental Repayments'!$I$31),-PMT('Interest Rate'!$J$16,'Incremental Repayments'!$I$31,(HLOOKUP($D76,$E$4:$CZ$32,28,FALSE)*'Incremental Repayments'!$I$22)),0),0)</f>
        <v>0</v>
      </c>
      <c r="U76" s="783">
        <f>IF('Incremental Repayments'!$R$22="Debt",IF(AND(U$4&gt;=$D76,U$4&lt;$D76+'Incremental Repayments'!$I$31),-PMT('Interest Rate'!$J$16,'Incremental Repayments'!$I$31,(HLOOKUP($D76,$E$4:$CZ$32,28,FALSE)*'Incremental Repayments'!$I$22)),0),0)</f>
        <v>0</v>
      </c>
      <c r="V76" s="783">
        <f>IF('Incremental Repayments'!$R$22="Debt",IF(AND(V$4&gt;=$D76,V$4&lt;$D76+'Incremental Repayments'!$I$31),-PMT('Interest Rate'!$J$16,'Incremental Repayments'!$I$31,(HLOOKUP($D76,$E$4:$CZ$32,28,FALSE)*'Incremental Repayments'!$I$22)),0),0)</f>
        <v>0</v>
      </c>
      <c r="W76" s="783">
        <f>IF('Incremental Repayments'!$R$22="Debt",IF(AND(W$4&gt;=$D76,W$4&lt;$D76+'Incremental Repayments'!$I$31),-PMT('Interest Rate'!$J$16,'Incremental Repayments'!$I$31,(HLOOKUP($D76,$E$4:$CZ$32,28,FALSE)*'Incremental Repayments'!$I$22)),0),0)</f>
        <v>0</v>
      </c>
      <c r="X76" s="783">
        <f>IF('Incremental Repayments'!$R$22="Debt",IF(AND(X$4&gt;=$D76,X$4&lt;$D76+'Incremental Repayments'!$I$31),-PMT('Interest Rate'!$J$16,'Incremental Repayments'!$I$31,(HLOOKUP($D76,$E$4:$CZ$32,28,FALSE)*'Incremental Repayments'!$I$22)),0),0)</f>
        <v>0</v>
      </c>
      <c r="Y76" s="783">
        <f>IF('Incremental Repayments'!$R$22="Debt",IF(AND(Y$4&gt;=$D76,Y$4&lt;$D76+'Incremental Repayments'!$I$31),-PMT('Interest Rate'!$J$16,'Incremental Repayments'!$I$31,(HLOOKUP($D76,$E$4:$CZ$32,28,FALSE)*'Incremental Repayments'!$I$22)),0),0)</f>
        <v>0</v>
      </c>
      <c r="Z76" s="783">
        <f>IF('Incremental Repayments'!$R$22="Debt",IF(AND(Z$4&gt;=$D76,Z$4&lt;$D76+'Incremental Repayments'!$I$31),-PMT('Interest Rate'!$J$16,'Incremental Repayments'!$I$31,(HLOOKUP($D76,$E$4:$CZ$32,28,FALSE)*'Incremental Repayments'!$I$22)),0),0)</f>
        <v>0</v>
      </c>
      <c r="AA76" s="783">
        <f>IF('Incremental Repayments'!$R$22="Debt",IF(AND(AA$4&gt;=$D76,AA$4&lt;$D76+'Incremental Repayments'!$I$31),-PMT('Interest Rate'!$J$16,'Incremental Repayments'!$I$31,(HLOOKUP($D76,$E$4:$CZ$32,28,FALSE)*'Incremental Repayments'!$I$22)),0),0)</f>
        <v>0</v>
      </c>
      <c r="AB76" s="783">
        <f>IF('Incremental Repayments'!$R$22="Debt",IF(AND(AB$4&gt;=$D76,AB$4&lt;$D76+'Incremental Repayments'!$I$31),-PMT('Interest Rate'!$J$16,'Incremental Repayments'!$I$31,(HLOOKUP($D76,$E$4:$CZ$32,28,FALSE)*'Incremental Repayments'!$I$22)),0),0)</f>
        <v>0</v>
      </c>
      <c r="AC76" s="783">
        <f>IF('Incremental Repayments'!$R$22="Debt",IF(AND(AC$4&gt;=$D76,AC$4&lt;$D76+'Incremental Repayments'!$I$31),-PMT('Interest Rate'!$J$16,'Incremental Repayments'!$I$31,(HLOOKUP($D76,$E$4:$CZ$32,28,FALSE)*'Incremental Repayments'!$I$22)),0),0)</f>
        <v>0</v>
      </c>
      <c r="AD76" s="783">
        <f>IF('Incremental Repayments'!$R$22="Debt",IF(AND(AD$4&gt;=$D76,AD$4&lt;$D76+'Incremental Repayments'!$I$31),-PMT('Interest Rate'!$J$16,'Incremental Repayments'!$I$31,(HLOOKUP($D76,$E$4:$CZ$32,28,FALSE)*'Incremental Repayments'!$I$22)),0),0)</f>
        <v>0</v>
      </c>
      <c r="AE76" s="783">
        <f>IF('Incremental Repayments'!$R$22="Debt",IF(AND(AE$4&gt;=$D76,AE$4&lt;$D76+'Incremental Repayments'!$I$31),-PMT('Interest Rate'!$J$16,'Incremental Repayments'!$I$31,(HLOOKUP($D76,$E$4:$CZ$32,28,FALSE)*'Incremental Repayments'!$I$22)),0),0)</f>
        <v>0</v>
      </c>
      <c r="AF76" s="783">
        <f>IF('Incremental Repayments'!$R$22="Debt",IF(AND(AF$4&gt;=$D76,AF$4&lt;$D76+'Incremental Repayments'!$I$31),-PMT('Interest Rate'!$J$16,'Incremental Repayments'!$I$31,(HLOOKUP($D76,$E$4:$CZ$32,28,FALSE)*'Incremental Repayments'!$I$22)),0),0)</f>
        <v>0</v>
      </c>
      <c r="AG76" s="783">
        <f>IF('Incremental Repayments'!$R$22="Debt",IF(AND(AG$4&gt;=$D76,AG$4&lt;$D76+'Incremental Repayments'!$I$31),-PMT('Interest Rate'!$J$16,'Incremental Repayments'!$I$31,(HLOOKUP($D76,$E$4:$CZ$32,28,FALSE)*'Incremental Repayments'!$I$22)),0),0)</f>
        <v>0</v>
      </c>
      <c r="AH76" s="783">
        <f>IF('Incremental Repayments'!$R$22="Debt",IF(AND(AH$4&gt;=$D76,AH$4&lt;$D76+'Incremental Repayments'!$I$31),-PMT('Interest Rate'!$J$16,'Incremental Repayments'!$I$31,(HLOOKUP($D76,$E$4:$CZ$32,28,FALSE)*'Incremental Repayments'!$I$22)),0),0)</f>
        <v>0</v>
      </c>
      <c r="AI76" s="783">
        <f>IF('Incremental Repayments'!$R$22="Debt",IF(AND(AI$4&gt;=$D76,AI$4&lt;$D76+'Incremental Repayments'!$I$31),-PMT('Interest Rate'!$J$16,'Incremental Repayments'!$I$31,(HLOOKUP($D76,$E$4:$CZ$32,28,FALSE)*'Incremental Repayments'!$I$22)),0),0)</f>
        <v>0</v>
      </c>
      <c r="AJ76" s="783">
        <f>IF('Incremental Repayments'!$R$22="Debt",IF(AND(AJ$4&gt;=$D76,AJ$4&lt;$D76+'Incremental Repayments'!$I$31),-PMT('Interest Rate'!$J$16,'Incremental Repayments'!$I$31,(HLOOKUP($D76,$E$4:$CZ$32,28,FALSE)*'Incremental Repayments'!$I$22)),0),0)</f>
        <v>0</v>
      </c>
      <c r="AK76" s="783">
        <f>IF('Incremental Repayments'!$R$22="Debt",IF(AND(AK$4&gt;=$D76,AK$4&lt;$D76+'Incremental Repayments'!$I$31),-PMT('Interest Rate'!$J$16,'Incremental Repayments'!$I$31,(HLOOKUP($D76,$E$4:$CZ$32,28,FALSE)*'Incremental Repayments'!$I$22)),0),0)</f>
        <v>0</v>
      </c>
      <c r="AL76" s="783">
        <f>IF('Incremental Repayments'!$R$22="Debt",IF(AND(AL$4&gt;=$D76,AL$4&lt;$D76+'Incremental Repayments'!$I$31),-PMT('Interest Rate'!$J$16,'Incremental Repayments'!$I$31,(HLOOKUP($D76,$E$4:$CZ$32,28,FALSE)*'Incremental Repayments'!$I$22)),0),0)</f>
        <v>0</v>
      </c>
      <c r="AM76" s="783">
        <f>IF('Incremental Repayments'!$R$22="Debt",IF(AND(AM$4&gt;=$D76,AM$4&lt;$D76+'Incremental Repayments'!$I$31),-PMT('Interest Rate'!$J$16,'Incremental Repayments'!$I$31,(HLOOKUP($D76,$E$4:$CZ$32,28,FALSE)*'Incremental Repayments'!$I$22)),0),0)</f>
        <v>0</v>
      </c>
      <c r="AN76" s="783">
        <f>IF('Incremental Repayments'!$R$22="Debt",IF(AND(AN$4&gt;=$D76,AN$4&lt;$D76+'Incremental Repayments'!$I$31),-PMT('Interest Rate'!$J$16,'Incremental Repayments'!$I$31,(HLOOKUP($D76,$E$4:$CZ$32,28,FALSE)*'Incremental Repayments'!$I$22)),0),0)</f>
        <v>0</v>
      </c>
      <c r="AO76" s="783">
        <f>IF('Incremental Repayments'!$R$22="Debt",IF(AND(AO$4&gt;=$D76,AO$4&lt;$D76+'Incremental Repayments'!$I$31),-PMT('Interest Rate'!$J$16,'Incremental Repayments'!$I$31,(HLOOKUP($D76,$E$4:$CZ$32,28,FALSE)*'Incremental Repayments'!$I$22)),0),0)</f>
        <v>0</v>
      </c>
      <c r="AP76" s="783">
        <f>IF('Incremental Repayments'!$R$22="Debt",IF(AND(AP$4&gt;=$D76,AP$4&lt;$D76+'Incremental Repayments'!$I$31),-PMT('Interest Rate'!$J$16,'Incremental Repayments'!$I$31,(HLOOKUP($D76,$E$4:$CZ$32,28,FALSE)*'Incremental Repayments'!$I$22)),0),0)</f>
        <v>0</v>
      </c>
      <c r="AQ76" s="783">
        <f>IF('Incremental Repayments'!$R$22="Debt",IF(AND(AQ$4&gt;=$D76,AQ$4&lt;$D76+'Incremental Repayments'!$I$31),-PMT('Interest Rate'!$J$16,'Incremental Repayments'!$I$31,(HLOOKUP($D76,$E$4:$CZ$32,28,FALSE)*'Incremental Repayments'!$I$22)),0),0)</f>
        <v>0</v>
      </c>
      <c r="AR76" s="783">
        <f>IF('Incremental Repayments'!$R$22="Debt",IF(AND(AR$4&gt;=$D76,AR$4&lt;$D76+'Incremental Repayments'!$I$31),-PMT('Interest Rate'!$J$16,'Incremental Repayments'!$I$31,(HLOOKUP($D76,$E$4:$CZ$32,28,FALSE)*'Incremental Repayments'!$I$22)),0),0)</f>
        <v>0</v>
      </c>
      <c r="AS76" s="783">
        <f>IF('Incremental Repayments'!$R$22="Debt",IF(AND(AS$4&gt;=$D76,AS$4&lt;$D76+'Incremental Repayments'!$I$31),-PMT('Interest Rate'!$J$16,'Incremental Repayments'!$I$31,(HLOOKUP($D76,$E$4:$CZ$32,28,FALSE)*'Incremental Repayments'!$I$22)),0),0)</f>
        <v>19579.113341286913</v>
      </c>
      <c r="AT76" s="783">
        <f>IF('Incremental Repayments'!$R$22="Debt",IF(AND(AT$4&gt;=$D76,AT$4&lt;$D76+'Incremental Repayments'!$I$31),-PMT('Interest Rate'!$J$16,'Incremental Repayments'!$I$31,(HLOOKUP($D76,$E$4:$CZ$32,28,FALSE)*'Incremental Repayments'!$I$22)),0),0)</f>
        <v>19579.113341286913</v>
      </c>
      <c r="AU76" s="783">
        <f>IF('Incremental Repayments'!$R$22="Debt",IF(AND(AU$4&gt;=$D76,AU$4&lt;$D76+'Incremental Repayments'!$I$31),-PMT('Interest Rate'!$J$16,'Incremental Repayments'!$I$31,(HLOOKUP($D76,$E$4:$CZ$32,28,FALSE)*'Incremental Repayments'!$I$22)),0),0)</f>
        <v>19579.113341286913</v>
      </c>
      <c r="AV76" s="783">
        <f>IF('Incremental Repayments'!$R$22="Debt",IF(AND(AV$4&gt;=$D76,AV$4&lt;$D76+'Incremental Repayments'!$I$31),-PMT('Interest Rate'!$J$16,'Incremental Repayments'!$I$31,(HLOOKUP($D76,$E$4:$CZ$32,28,FALSE)*'Incremental Repayments'!$I$22)),0),0)</f>
        <v>19579.113341286913</v>
      </c>
      <c r="AW76" s="783">
        <f>IF('Incremental Repayments'!$R$22="Debt",IF(AND(AW$4&gt;=$D76,AW$4&lt;$D76+'Incremental Repayments'!$I$31),-PMT('Interest Rate'!$J$16,'Incremental Repayments'!$I$31,(HLOOKUP($D76,$E$4:$CZ$32,28,FALSE)*'Incremental Repayments'!$I$22)),0),0)</f>
        <v>19579.113341286913</v>
      </c>
      <c r="AX76" s="783">
        <f>IF('Incremental Repayments'!$R$22="Debt",IF(AND(AX$4&gt;=$D76,AX$4&lt;$D76+'Incremental Repayments'!$I$31),-PMT('Interest Rate'!$J$16,'Incremental Repayments'!$I$31,(HLOOKUP($D76,$E$4:$CZ$32,28,FALSE)*'Incremental Repayments'!$I$22)),0),0)</f>
        <v>19579.113341286913</v>
      </c>
      <c r="AY76" s="783">
        <f>IF('Incremental Repayments'!$R$22="Debt",IF(AND(AY$4&gt;=$D76,AY$4&lt;$D76+'Incremental Repayments'!$I$31),-PMT('Interest Rate'!$J$16,'Incremental Repayments'!$I$31,(HLOOKUP($D76,$E$4:$CZ$32,28,FALSE)*'Incremental Repayments'!$I$22)),0),0)</f>
        <v>19579.113341286913</v>
      </c>
      <c r="AZ76" s="783">
        <f>IF('Incremental Repayments'!$R$22="Debt",IF(AND(AZ$4&gt;=$D76,AZ$4&lt;$D76+'Incremental Repayments'!$I$31),-PMT('Interest Rate'!$J$16,'Incremental Repayments'!$I$31,(HLOOKUP($D76,$E$4:$CZ$32,28,FALSE)*'Incremental Repayments'!$I$22)),0),0)</f>
        <v>19579.113341286913</v>
      </c>
      <c r="BA76" s="783">
        <f>IF('Incremental Repayments'!$R$22="Debt",IF(AND(BA$4&gt;=$D76,BA$4&lt;$D76+'Incremental Repayments'!$I$31),-PMT('Interest Rate'!$J$16,'Incremental Repayments'!$I$31,(HLOOKUP($D76,$E$4:$CZ$32,28,FALSE)*'Incremental Repayments'!$I$22)),0),0)</f>
        <v>19579.113341286913</v>
      </c>
      <c r="BB76" s="783">
        <f>IF('Incremental Repayments'!$R$22="Debt",IF(AND(BB$4&gt;=$D76,BB$4&lt;$D76+'Incremental Repayments'!$I$31),-PMT('Interest Rate'!$J$16,'Incremental Repayments'!$I$31,(HLOOKUP($D76,$E$4:$CZ$32,28,FALSE)*'Incremental Repayments'!$I$22)),0),0)</f>
        <v>19579.113341286913</v>
      </c>
      <c r="BC76" s="783">
        <f>IF('Incremental Repayments'!$R$22="Debt",IF(AND(BC$4&gt;=$D76,BC$4&lt;$D76+'Incremental Repayments'!$I$31),-PMT('Interest Rate'!$J$16,'Incremental Repayments'!$I$31,(HLOOKUP($D76,$E$4:$CZ$32,28,FALSE)*'Incremental Repayments'!$I$22)),0),0)</f>
        <v>19579.113341286913</v>
      </c>
      <c r="BD76" s="783">
        <f>IF('Incremental Repayments'!$R$22="Debt",IF(AND(BD$4&gt;=$D76,BD$4&lt;$D76+'Incremental Repayments'!$I$31),-PMT('Interest Rate'!$J$16,'Incremental Repayments'!$I$31,(HLOOKUP($D76,$E$4:$CZ$32,28,FALSE)*'Incremental Repayments'!$I$22)),0),0)</f>
        <v>19579.113341286913</v>
      </c>
      <c r="BE76" s="783">
        <f>IF('Incremental Repayments'!$R$22="Debt",IF(AND(BE$4&gt;=$D76,BE$4&lt;$D76+'Incremental Repayments'!$I$31),-PMT('Interest Rate'!$J$16,'Incremental Repayments'!$I$31,(HLOOKUP($D76,$E$4:$CZ$32,28,FALSE)*'Incremental Repayments'!$I$22)),0),0)</f>
        <v>19579.113341286913</v>
      </c>
      <c r="BF76" s="783">
        <f>IF('Incremental Repayments'!$R$22="Debt",IF(AND(BF$4&gt;=$D76,BF$4&lt;$D76+'Incremental Repayments'!$I$31),-PMT('Interest Rate'!$J$16,'Incremental Repayments'!$I$31,(HLOOKUP($D76,$E$4:$CZ$32,28,FALSE)*'Incremental Repayments'!$I$22)),0),0)</f>
        <v>19579.113341286913</v>
      </c>
      <c r="BG76" s="783">
        <f>IF('Incremental Repayments'!$R$22="Debt",IF(AND(BG$4&gt;=$D76,BG$4&lt;$D76+'Incremental Repayments'!$I$31),-PMT('Interest Rate'!$J$16,'Incremental Repayments'!$I$31,(HLOOKUP($D76,$E$4:$CZ$32,28,FALSE)*'Incremental Repayments'!$I$22)),0),0)</f>
        <v>19579.113341286913</v>
      </c>
      <c r="BH76" s="783">
        <f>IF('Incremental Repayments'!$R$22="Debt",IF(AND(BH$4&gt;=$D76,BH$4&lt;$D76+'Incremental Repayments'!$I$31),-PMT('Interest Rate'!$J$16,'Incremental Repayments'!$I$31,(HLOOKUP($D76,$E$4:$CZ$32,28,FALSE)*'Incremental Repayments'!$I$22)),0),0)</f>
        <v>19579.113341286913</v>
      </c>
      <c r="BI76" s="783">
        <f>IF('Incremental Repayments'!$R$22="Debt",IF(AND(BI$4&gt;=$D76,BI$4&lt;$D76+'Incremental Repayments'!$I$31),-PMT('Interest Rate'!$J$16,'Incremental Repayments'!$I$31,(HLOOKUP($D76,$E$4:$CZ$32,28,FALSE)*'Incremental Repayments'!$I$22)),0),0)</f>
        <v>19579.113341286913</v>
      </c>
      <c r="BJ76" s="783">
        <f>IF('Incremental Repayments'!$R$22="Debt",IF(AND(BJ$4&gt;=$D76,BJ$4&lt;$D76+'Incremental Repayments'!$I$31),-PMT('Interest Rate'!$J$16,'Incremental Repayments'!$I$31,(HLOOKUP($D76,$E$4:$CZ$32,28,FALSE)*'Incremental Repayments'!$I$22)),0),0)</f>
        <v>19579.113341286913</v>
      </c>
      <c r="BK76" s="783">
        <f>IF('Incremental Repayments'!$R$22="Debt",IF(AND(BK$4&gt;=$D76,BK$4&lt;$D76+'Incremental Repayments'!$I$31),-PMT('Interest Rate'!$J$16,'Incremental Repayments'!$I$31,(HLOOKUP($D76,$E$4:$CZ$32,28,FALSE)*'Incremental Repayments'!$I$22)),0),0)</f>
        <v>19579.113341286913</v>
      </c>
      <c r="BL76" s="783">
        <f>IF('Incremental Repayments'!$R$22="Debt",IF(AND(BL$4&gt;=$D76,BL$4&lt;$D76+'Incremental Repayments'!$I$31),-PMT('Interest Rate'!$J$16,'Incremental Repayments'!$I$31,(HLOOKUP($D76,$E$4:$CZ$32,28,FALSE)*'Incremental Repayments'!$I$22)),0),0)</f>
        <v>19579.113341286913</v>
      </c>
      <c r="BM76" s="783">
        <f>IF('Incremental Repayments'!$R$22="Debt",IF(AND(BM$4&gt;=$D76,BM$4&lt;$D76+'Incremental Repayments'!$I$31),-PMT('Interest Rate'!$J$16,'Incremental Repayments'!$I$31,(HLOOKUP($D76,$E$4:$CZ$32,28,FALSE)*'Incremental Repayments'!$I$22)),0),0)</f>
        <v>19579.113341286913</v>
      </c>
      <c r="BN76" s="783">
        <f>IF('Incremental Repayments'!$R$22="Debt",IF(AND(BN$4&gt;=$D76,BN$4&lt;$D76+'Incremental Repayments'!$I$31),-PMT('Interest Rate'!$J$16,'Incremental Repayments'!$I$31,(HLOOKUP($D76,$E$4:$CZ$32,28,FALSE)*'Incremental Repayments'!$I$22)),0),0)</f>
        <v>19579.113341286913</v>
      </c>
      <c r="BO76" s="783">
        <f>IF('Incremental Repayments'!$R$22="Debt",IF(AND(BO$4&gt;=$D76,BO$4&lt;$D76+'Incremental Repayments'!$I$31),-PMT('Interest Rate'!$J$16,'Incremental Repayments'!$I$31,(HLOOKUP($D76,$E$4:$CZ$32,28,FALSE)*'Incremental Repayments'!$I$22)),0),0)</f>
        <v>19579.113341286913</v>
      </c>
      <c r="BP76" s="783">
        <f>IF('Incremental Repayments'!$R$22="Debt",IF(AND(BP$4&gt;=$D76,BP$4&lt;$D76+'Incremental Repayments'!$I$31),-PMT('Interest Rate'!$J$16,'Incremental Repayments'!$I$31,(HLOOKUP($D76,$E$4:$CZ$32,28,FALSE)*'Incremental Repayments'!$I$22)),0),0)</f>
        <v>19579.113341286913</v>
      </c>
      <c r="BQ76" s="783">
        <f>IF('Incremental Repayments'!$R$22="Debt",IF(AND(BQ$4&gt;=$D76,BQ$4&lt;$D76+'Incremental Repayments'!$I$31),-PMT('Interest Rate'!$J$16,'Incremental Repayments'!$I$31,(HLOOKUP($D76,$E$4:$CZ$32,28,FALSE)*'Incremental Repayments'!$I$22)),0),0)</f>
        <v>19579.113341286913</v>
      </c>
      <c r="BR76" s="783">
        <f>IF('Incremental Repayments'!$R$22="Debt",IF(AND(BR$4&gt;=$D76,BR$4&lt;$D76+'Incremental Repayments'!$I$31),-PMT('Interest Rate'!$J$16,'Incremental Repayments'!$I$31,(HLOOKUP($D76,$E$4:$CZ$32,28,FALSE)*'Incremental Repayments'!$I$22)),0),0)</f>
        <v>19579.113341286913</v>
      </c>
      <c r="BS76" s="783">
        <f>IF('Incremental Repayments'!$R$22="Debt",IF(AND(BS$4&gt;=$D76,BS$4&lt;$D76+'Incremental Repayments'!$I$31),-PMT('Interest Rate'!$J$16,'Incremental Repayments'!$I$31,(HLOOKUP($D76,$E$4:$CZ$32,28,FALSE)*'Incremental Repayments'!$I$22)),0),0)</f>
        <v>19579.113341286913</v>
      </c>
      <c r="BT76" s="783">
        <f>IF('Incremental Repayments'!$R$22="Debt",IF(AND(BT$4&gt;=$D76,BT$4&lt;$D76+'Incremental Repayments'!$I$31),-PMT('Interest Rate'!$J$16,'Incremental Repayments'!$I$31,(HLOOKUP($D76,$E$4:$CZ$32,28,FALSE)*'Incremental Repayments'!$I$22)),0),0)</f>
        <v>19579.113341286913</v>
      </c>
      <c r="BU76" s="783">
        <f>IF('Incremental Repayments'!$R$22="Debt",IF(AND(BU$4&gt;=$D76,BU$4&lt;$D76+'Incremental Repayments'!$I$31),-PMT('Interest Rate'!$J$16,'Incremental Repayments'!$I$31,(HLOOKUP($D76,$E$4:$CZ$32,28,FALSE)*'Incremental Repayments'!$I$22)),0),0)</f>
        <v>19579.113341286913</v>
      </c>
      <c r="BV76" s="783">
        <f>IF('Incremental Repayments'!$R$22="Debt",IF(AND(BV$4&gt;=$D76,BV$4&lt;$D76+'Incremental Repayments'!$I$31),-PMT('Interest Rate'!$J$16,'Incremental Repayments'!$I$31,(HLOOKUP($D76,$E$4:$CZ$32,28,FALSE)*'Incremental Repayments'!$I$22)),0),0)</f>
        <v>19579.113341286913</v>
      </c>
      <c r="BW76" s="783">
        <f>IF('Incremental Repayments'!$R$22="Debt",IF(AND(BW$4&gt;=$D76,BW$4&lt;$D76+'Incremental Repayments'!$I$31),-PMT('Interest Rate'!$J$16,'Incremental Repayments'!$I$31,(HLOOKUP($D76,$E$4:$CZ$32,28,FALSE)*'Incremental Repayments'!$I$22)),0),0)</f>
        <v>0</v>
      </c>
      <c r="BX76" s="783">
        <f>IF('Incremental Repayments'!$R$22="Debt",IF(AND(BX$4&gt;=$D76,BX$4&lt;$D76+'Incremental Repayments'!$I$31),-PMT('Interest Rate'!$J$16,'Incremental Repayments'!$I$31,(HLOOKUP($D76,$E$4:$CZ$32,28,FALSE)*'Incremental Repayments'!$I$22)),0),0)</f>
        <v>0</v>
      </c>
      <c r="BY76" s="783">
        <f>IF('Incremental Repayments'!$R$22="Debt",IF(AND(BY$4&gt;=$D76,BY$4&lt;$D76+'Incremental Repayments'!$I$31),-PMT('Interest Rate'!$J$16,'Incremental Repayments'!$I$31,(HLOOKUP($D76,$E$4:$CZ$32,28,FALSE)*'Incremental Repayments'!$I$22)),0),0)</f>
        <v>0</v>
      </c>
      <c r="BZ76" s="783">
        <f>IF('Incremental Repayments'!$R$22="Debt",IF(AND(BZ$4&gt;=$D76,BZ$4&lt;$D76+'Incremental Repayments'!$I$31),-PMT('Interest Rate'!$J$16,'Incremental Repayments'!$I$31,(HLOOKUP($D76,$E$4:$CZ$32,28,FALSE)*'Incremental Repayments'!$I$22)),0),0)</f>
        <v>0</v>
      </c>
      <c r="CA76" s="783">
        <f>IF('Incremental Repayments'!$R$22="Debt",IF(AND(CA$4&gt;=$D76,CA$4&lt;$D76+'Incremental Repayments'!$I$31),-PMT('Interest Rate'!$J$16,'Incremental Repayments'!$I$31,(HLOOKUP($D76,$E$4:$CZ$32,28,FALSE)*'Incremental Repayments'!$I$22)),0),0)</f>
        <v>0</v>
      </c>
      <c r="CB76" s="783">
        <f>IF('Incremental Repayments'!$R$22="Debt",IF(AND(CB$4&gt;=$D76,CB$4&lt;$D76+'Incremental Repayments'!$I$31),-PMT('Interest Rate'!$J$16,'Incremental Repayments'!$I$31,(HLOOKUP($D76,$E$4:$CZ$32,28,FALSE)*'Incremental Repayments'!$I$22)),0),0)</f>
        <v>0</v>
      </c>
      <c r="CC76" s="783">
        <f>IF('Incremental Repayments'!$R$22="Debt",IF(AND(CC$4&gt;=$D76,CC$4&lt;$D76+'Incremental Repayments'!$I$31),-PMT('Interest Rate'!$J$16,'Incremental Repayments'!$I$31,(HLOOKUP($D76,$E$4:$CZ$32,28,FALSE)*'Incremental Repayments'!$I$22)),0),0)</f>
        <v>0</v>
      </c>
      <c r="CD76" s="783">
        <f>IF('Incremental Repayments'!$R$22="Debt",IF(AND(CD$4&gt;=$D76,CD$4&lt;$D76+'Incremental Repayments'!$I$31),-PMT('Interest Rate'!$J$16,'Incremental Repayments'!$I$31,(HLOOKUP($D76,$E$4:$CZ$32,28,FALSE)*'Incremental Repayments'!$I$22)),0),0)</f>
        <v>0</v>
      </c>
      <c r="CE76" s="783">
        <f>IF('Incremental Repayments'!$R$22="Debt",IF(AND(CE$4&gt;=$D76,CE$4&lt;$D76+'Incremental Repayments'!$I$31),-PMT('Interest Rate'!$J$16,'Incremental Repayments'!$I$31,(HLOOKUP($D76,$E$4:$CZ$32,28,FALSE)*'Incremental Repayments'!$I$22)),0),0)</f>
        <v>0</v>
      </c>
      <c r="CF76" s="783">
        <f>IF('Incremental Repayments'!$R$22="Debt",IF(AND(CF$4&gt;=$D76,CF$4&lt;$D76+'Incremental Repayments'!$I$31),-PMT('Interest Rate'!$J$16,'Incremental Repayments'!$I$31,(HLOOKUP($D76,$E$4:$CZ$32,28,FALSE)*'Incremental Repayments'!$I$22)),0),0)</f>
        <v>0</v>
      </c>
      <c r="CG76" s="783">
        <f>IF('Incremental Repayments'!$R$22="Debt",IF(AND(CG$4&gt;=$D76,CG$4&lt;$D76+'Incremental Repayments'!$I$31),-PMT('Interest Rate'!$J$16,'Incremental Repayments'!$I$31,(HLOOKUP($D76,$E$4:$CZ$32,28,FALSE)*'Incremental Repayments'!$I$22)),0),0)</f>
        <v>0</v>
      </c>
      <c r="CH76" s="783">
        <f>IF('Incremental Repayments'!$R$22="Debt",IF(AND(CH$4&gt;=$D76,CH$4&lt;$D76+'Incremental Repayments'!$I$31),-PMT('Interest Rate'!$J$16,'Incremental Repayments'!$I$31,(HLOOKUP($D76,$E$4:$CZ$32,28,FALSE)*'Incremental Repayments'!$I$22)),0),0)</f>
        <v>0</v>
      </c>
      <c r="CI76" s="783">
        <f>IF('Incremental Repayments'!$R$22="Debt",IF(AND(CI$4&gt;=$D76,CI$4&lt;$D76+'Incremental Repayments'!$I$31),-PMT('Interest Rate'!$J$16,'Incremental Repayments'!$I$31,(HLOOKUP($D76,$E$4:$CZ$32,28,FALSE)*'Incremental Repayments'!$I$22)),0),0)</f>
        <v>0</v>
      </c>
      <c r="CJ76" s="783">
        <f>IF('Incremental Repayments'!$R$22="Debt",IF(AND(CJ$4&gt;=$D76,CJ$4&lt;$D76+'Incremental Repayments'!$I$31),-PMT('Interest Rate'!$J$16,'Incremental Repayments'!$I$31,(HLOOKUP($D76,$E$4:$CZ$32,28,FALSE)*'Incremental Repayments'!$I$22)),0),0)</f>
        <v>0</v>
      </c>
      <c r="CK76" s="783">
        <f>IF('Incremental Repayments'!$R$22="Debt",IF(AND(CK$4&gt;=$D76,CK$4&lt;$D76+'Incremental Repayments'!$I$31),-PMT('Interest Rate'!$J$16,'Incremental Repayments'!$I$31,(HLOOKUP($D76,$E$4:$CZ$32,28,FALSE)*'Incremental Repayments'!$I$22)),0),0)</f>
        <v>0</v>
      </c>
      <c r="CL76" s="783">
        <f>IF('Incremental Repayments'!$R$22="Debt",IF(AND(CL$4&gt;=$D76,CL$4&lt;$D76+'Incremental Repayments'!$I$31),-PMT('Interest Rate'!$J$16,'Incremental Repayments'!$I$31,(HLOOKUP($D76,$E$4:$CZ$32,28,FALSE)*'Incremental Repayments'!$I$22)),0),0)</f>
        <v>0</v>
      </c>
      <c r="CM76" s="783">
        <f>IF('Incremental Repayments'!$R$22="Debt",IF(AND(CM$4&gt;=$D76,CM$4&lt;$D76+'Incremental Repayments'!$I$31),-PMT('Interest Rate'!$J$16,'Incremental Repayments'!$I$31,(HLOOKUP($D76,$E$4:$CZ$32,28,FALSE)*'Incremental Repayments'!$I$22)),0),0)</f>
        <v>0</v>
      </c>
      <c r="CN76" s="783">
        <f>IF('Incremental Repayments'!$R$22="Debt",IF(AND(CN$4&gt;=$D76,CN$4&lt;$D76+'Incremental Repayments'!$I$31),-PMT('Interest Rate'!$J$16,'Incremental Repayments'!$I$31,(HLOOKUP($D76,$E$4:$CZ$32,28,FALSE)*'Incremental Repayments'!$I$22)),0),0)</f>
        <v>0</v>
      </c>
      <c r="CO76" s="783">
        <f>IF('Incremental Repayments'!$R$22="Debt",IF(AND(CO$4&gt;=$D76,CO$4&lt;$D76+'Incremental Repayments'!$I$31),-PMT('Interest Rate'!$J$16,'Incremental Repayments'!$I$31,(HLOOKUP($D76,$E$4:$CZ$32,28,FALSE)*'Incremental Repayments'!$I$22)),0),0)</f>
        <v>0</v>
      </c>
      <c r="CP76" s="783">
        <f>IF('Incremental Repayments'!$R$22="Debt",IF(AND(CP$4&gt;=$D76,CP$4&lt;$D76+'Incremental Repayments'!$I$31),-PMT('Interest Rate'!$J$16,'Incremental Repayments'!$I$31,(HLOOKUP($D76,$E$4:$CZ$32,28,FALSE)*'Incremental Repayments'!$I$22)),0),0)</f>
        <v>0</v>
      </c>
      <c r="CQ76" s="783">
        <f>IF('Incremental Repayments'!$R$22="Debt",IF(AND(CQ$4&gt;=$D76,CQ$4&lt;$D76+'Incremental Repayments'!$I$31),-PMT('Interest Rate'!$J$16,'Incremental Repayments'!$I$31,(HLOOKUP($D76,$E$4:$CZ$32,28,FALSE)*'Incremental Repayments'!$I$22)),0),0)</f>
        <v>0</v>
      </c>
      <c r="CR76" s="783">
        <f>IF('Incremental Repayments'!$R$22="Debt",IF(AND(CR$4&gt;=$D76,CR$4&lt;$D76+'Incremental Repayments'!$I$31),-PMT('Interest Rate'!$J$16,'Incremental Repayments'!$I$31,(HLOOKUP($D76,$E$4:$CZ$32,28,FALSE)*'Incremental Repayments'!$I$22)),0),0)</f>
        <v>0</v>
      </c>
      <c r="CS76" s="783">
        <f>IF('Incremental Repayments'!$R$22="Debt",IF(AND(CS$4&gt;=$D76,CS$4&lt;$D76+'Incremental Repayments'!$I$31),-PMT('Interest Rate'!$J$16,'Incremental Repayments'!$I$31,(HLOOKUP($D76,$E$4:$CZ$32,28,FALSE)*'Incremental Repayments'!$I$22)),0),0)</f>
        <v>0</v>
      </c>
      <c r="CT76" s="783">
        <f>IF('Incremental Repayments'!$R$22="Debt",IF(AND(CT$4&gt;=$D76,CT$4&lt;$D76+'Incremental Repayments'!$I$31),-PMT('Interest Rate'!$J$16,'Incremental Repayments'!$I$31,(HLOOKUP($D76,$E$4:$CZ$32,28,FALSE)*'Incremental Repayments'!$I$22)),0),0)</f>
        <v>0</v>
      </c>
      <c r="CU76" s="783">
        <f>IF('Incremental Repayments'!$R$22="Debt",IF(AND(CU$4&gt;=$D76,CU$4&lt;$D76+'Incremental Repayments'!$I$31),-PMT('Interest Rate'!$J$16,'Incremental Repayments'!$I$31,(HLOOKUP($D76,$E$4:$CZ$32,28,FALSE)*'Incremental Repayments'!$I$22)),0),0)</f>
        <v>0</v>
      </c>
      <c r="CV76" s="783">
        <f>IF('Incremental Repayments'!$R$22="Debt",IF(AND(CV$4&gt;=$D76,CV$4&lt;$D76+'Incremental Repayments'!$I$31),-PMT('Interest Rate'!$J$16,'Incremental Repayments'!$I$31,(HLOOKUP($D76,$E$4:$CZ$32,28,FALSE)*'Incremental Repayments'!$I$22)),0),0)</f>
        <v>0</v>
      </c>
      <c r="CW76" s="783">
        <f>IF('Incremental Repayments'!$R$22="Debt",IF(AND(CW$4&gt;=$D76,CW$4&lt;$D76+'Incremental Repayments'!$I$31),-PMT('Interest Rate'!$J$16,'Incremental Repayments'!$I$31,(HLOOKUP($D76,$E$4:$CZ$32,28,FALSE)*'Incremental Repayments'!$I$22)),0),0)</f>
        <v>0</v>
      </c>
      <c r="CX76" s="783">
        <f>IF('Incremental Repayments'!$R$22="Debt",IF(AND(CX$4&gt;=$D76,CX$4&lt;$D76+'Incremental Repayments'!$I$31),-PMT('Interest Rate'!$J$16,'Incremental Repayments'!$I$31,(HLOOKUP($D76,$E$4:$CZ$32,28,FALSE)*'Incremental Repayments'!$I$22)),0),0)</f>
        <v>0</v>
      </c>
      <c r="CY76" s="783">
        <f>IF('Incremental Repayments'!$R$22="Debt",IF(AND(CY$4&gt;=$D76,CY$4&lt;$D76+'Incremental Repayments'!$I$31),-PMT('Interest Rate'!$J$16,'Incremental Repayments'!$I$31,(HLOOKUP($D76,$E$4:$CZ$32,28,FALSE)*'Incremental Repayments'!$I$22)),0),0)</f>
        <v>0</v>
      </c>
      <c r="CZ76" s="783">
        <f>IF('Incremental Repayments'!$R$22="Debt",IF(AND(CZ$4&gt;=$D76,CZ$4&lt;$D76+'Incremental Repayments'!$I$31),-PMT('Interest Rate'!$J$16,'Incremental Repayments'!$I$31,(HLOOKUP($D76,$E$4:$CZ$32,28,FALSE)*'Incremental Repayments'!$I$22)),0),0)</f>
        <v>0</v>
      </c>
    </row>
    <row r="77" spans="2:104" x14ac:dyDescent="0.25">
      <c r="B77" s="480" t="str">
        <f>CONCATENATE("Series ",D77,"A Bonds (at ",'Interest Rate'!$J$16*100,"% Interest)")</f>
        <v>Series 2055A Bonds (at 4.5% Interest)</v>
      </c>
      <c r="C77" s="480"/>
      <c r="D77" s="492">
        <f t="shared" si="47"/>
        <v>2055</v>
      </c>
      <c r="E77" s="783">
        <f>IF('Incremental Repayments'!$R$22="Debt",IF(AND(E$4&gt;=$D77,E$4&lt;$D77+'Incremental Repayments'!$I$31),-PMT('Interest Rate'!$J$16,'Incremental Repayments'!$I$31,(HLOOKUP($D77,$E$4:$CZ$32,28,FALSE)*'Incremental Repayments'!$I$22)),0),0)</f>
        <v>0</v>
      </c>
      <c r="F77" s="783">
        <f>IF('Incremental Repayments'!$R$22="Debt",IF(AND(F$4&gt;=$D77,F$4&lt;$D77+'Incremental Repayments'!$I$31),-PMT('Interest Rate'!$J$16,'Incremental Repayments'!$I$31,(HLOOKUP($D77,$E$4:$CZ$32,28,FALSE)*'Incremental Repayments'!$I$22)),0),0)</f>
        <v>0</v>
      </c>
      <c r="G77" s="783">
        <f>IF('Incremental Repayments'!$R$22="Debt",IF(AND(G$4&gt;=$D77,G$4&lt;$D77+'Incremental Repayments'!$I$31),-PMT('Interest Rate'!$J$16,'Incremental Repayments'!$I$31,(HLOOKUP($D77,$E$4:$CZ$32,28,FALSE)*'Incremental Repayments'!$I$22)),0),0)</f>
        <v>0</v>
      </c>
      <c r="H77" s="783">
        <f>IF('Incremental Repayments'!$R$22="Debt",IF(AND(H$4&gt;=$D77,H$4&lt;$D77+'Incremental Repayments'!$I$31),-PMT('Interest Rate'!$J$16,'Incremental Repayments'!$I$31,(HLOOKUP($D77,$E$4:$CZ$32,28,FALSE)*'Incremental Repayments'!$I$22)),0),0)</f>
        <v>0</v>
      </c>
      <c r="I77" s="783">
        <f>IF('Incremental Repayments'!$R$22="Debt",IF(AND(I$4&gt;=$D77,I$4&lt;$D77+'Incremental Repayments'!$I$31),-PMT('Interest Rate'!$J$16,'Incremental Repayments'!$I$31,(HLOOKUP($D77,$E$4:$CZ$32,28,FALSE)*'Incremental Repayments'!$I$22)),0),0)</f>
        <v>0</v>
      </c>
      <c r="J77" s="783">
        <f>IF('Incremental Repayments'!$R$22="Debt",IF(AND(J$4&gt;=$D77,J$4&lt;$D77+'Incremental Repayments'!$I$31),-PMT('Interest Rate'!$J$16,'Incremental Repayments'!$I$31,(HLOOKUP($D77,$E$4:$CZ$32,28,FALSE)*'Incremental Repayments'!$I$22)),0),0)</f>
        <v>0</v>
      </c>
      <c r="K77" s="783">
        <f>IF('Incremental Repayments'!$R$22="Debt",IF(AND(K$4&gt;=$D77,K$4&lt;$D77+'Incremental Repayments'!$I$31),-PMT('Interest Rate'!$J$16,'Incremental Repayments'!$I$31,(HLOOKUP($D77,$E$4:$CZ$32,28,FALSE)*'Incremental Repayments'!$I$22)),0),0)</f>
        <v>0</v>
      </c>
      <c r="L77" s="783">
        <f>IF('Incremental Repayments'!$R$22="Debt",IF(AND(L$4&gt;=$D77,L$4&lt;$D77+'Incremental Repayments'!$I$31),-PMT('Interest Rate'!$J$16,'Incremental Repayments'!$I$31,(HLOOKUP($D77,$E$4:$CZ$32,28,FALSE)*'Incremental Repayments'!$I$22)),0),0)</f>
        <v>0</v>
      </c>
      <c r="M77" s="783">
        <f>IF('Incremental Repayments'!$R$22="Debt",IF(AND(M$4&gt;=$D77,M$4&lt;$D77+'Incremental Repayments'!$I$31),-PMT('Interest Rate'!$J$16,'Incremental Repayments'!$I$31,(HLOOKUP($D77,$E$4:$CZ$32,28,FALSE)*'Incremental Repayments'!$I$22)),0),0)</f>
        <v>0</v>
      </c>
      <c r="N77" s="783">
        <f>IF('Incremental Repayments'!$R$22="Debt",IF(AND(N$4&gt;=$D77,N$4&lt;$D77+'Incremental Repayments'!$I$31),-PMT('Interest Rate'!$J$16,'Incremental Repayments'!$I$31,(HLOOKUP($D77,$E$4:$CZ$32,28,FALSE)*'Incremental Repayments'!$I$22)),0),0)</f>
        <v>0</v>
      </c>
      <c r="O77" s="783">
        <f>IF('Incremental Repayments'!$R$22="Debt",IF(AND(O$4&gt;=$D77,O$4&lt;$D77+'Incremental Repayments'!$I$31),-PMT('Interest Rate'!$J$16,'Incremental Repayments'!$I$31,(HLOOKUP($D77,$E$4:$CZ$32,28,FALSE)*'Incremental Repayments'!$I$22)),0),0)</f>
        <v>0</v>
      </c>
      <c r="P77" s="783">
        <f>IF('Incremental Repayments'!$R$22="Debt",IF(AND(P$4&gt;=$D77,P$4&lt;$D77+'Incremental Repayments'!$I$31),-PMT('Interest Rate'!$J$16,'Incremental Repayments'!$I$31,(HLOOKUP($D77,$E$4:$CZ$32,28,FALSE)*'Incremental Repayments'!$I$22)),0),0)</f>
        <v>0</v>
      </c>
      <c r="Q77" s="783">
        <f>IF('Incremental Repayments'!$R$22="Debt",IF(AND(Q$4&gt;=$D77,Q$4&lt;$D77+'Incremental Repayments'!$I$31),-PMT('Interest Rate'!$J$16,'Incremental Repayments'!$I$31,(HLOOKUP($D77,$E$4:$CZ$32,28,FALSE)*'Incremental Repayments'!$I$22)),0),0)</f>
        <v>0</v>
      </c>
      <c r="R77" s="783">
        <f>IF('Incremental Repayments'!$R$22="Debt",IF(AND(R$4&gt;=$D77,R$4&lt;$D77+'Incremental Repayments'!$I$31),-PMT('Interest Rate'!$J$16,'Incremental Repayments'!$I$31,(HLOOKUP($D77,$E$4:$CZ$32,28,FALSE)*'Incremental Repayments'!$I$22)),0),0)</f>
        <v>0</v>
      </c>
      <c r="S77" s="783">
        <f>IF('Incremental Repayments'!$R$22="Debt",IF(AND(S$4&gt;=$D77,S$4&lt;$D77+'Incremental Repayments'!$I$31),-PMT('Interest Rate'!$J$16,'Incremental Repayments'!$I$31,(HLOOKUP($D77,$E$4:$CZ$32,28,FALSE)*'Incremental Repayments'!$I$22)),0),0)</f>
        <v>0</v>
      </c>
      <c r="T77" s="783">
        <f>IF('Incremental Repayments'!$R$22="Debt",IF(AND(T$4&gt;=$D77,T$4&lt;$D77+'Incremental Repayments'!$I$31),-PMT('Interest Rate'!$J$16,'Incremental Repayments'!$I$31,(HLOOKUP($D77,$E$4:$CZ$32,28,FALSE)*'Incremental Repayments'!$I$22)),0),0)</f>
        <v>0</v>
      </c>
      <c r="U77" s="783">
        <f>IF('Incremental Repayments'!$R$22="Debt",IF(AND(U$4&gt;=$D77,U$4&lt;$D77+'Incremental Repayments'!$I$31),-PMT('Interest Rate'!$J$16,'Incremental Repayments'!$I$31,(HLOOKUP($D77,$E$4:$CZ$32,28,FALSE)*'Incremental Repayments'!$I$22)),0),0)</f>
        <v>0</v>
      </c>
      <c r="V77" s="783">
        <f>IF('Incremental Repayments'!$R$22="Debt",IF(AND(V$4&gt;=$D77,V$4&lt;$D77+'Incremental Repayments'!$I$31),-PMT('Interest Rate'!$J$16,'Incremental Repayments'!$I$31,(HLOOKUP($D77,$E$4:$CZ$32,28,FALSE)*'Incremental Repayments'!$I$22)),0),0)</f>
        <v>0</v>
      </c>
      <c r="W77" s="783">
        <f>IF('Incremental Repayments'!$R$22="Debt",IF(AND(W$4&gt;=$D77,W$4&lt;$D77+'Incremental Repayments'!$I$31),-PMT('Interest Rate'!$J$16,'Incremental Repayments'!$I$31,(HLOOKUP($D77,$E$4:$CZ$32,28,FALSE)*'Incremental Repayments'!$I$22)),0),0)</f>
        <v>0</v>
      </c>
      <c r="X77" s="783">
        <f>IF('Incremental Repayments'!$R$22="Debt",IF(AND(X$4&gt;=$D77,X$4&lt;$D77+'Incremental Repayments'!$I$31),-PMT('Interest Rate'!$J$16,'Incremental Repayments'!$I$31,(HLOOKUP($D77,$E$4:$CZ$32,28,FALSE)*'Incremental Repayments'!$I$22)),0),0)</f>
        <v>0</v>
      </c>
      <c r="Y77" s="783">
        <f>IF('Incremental Repayments'!$R$22="Debt",IF(AND(Y$4&gt;=$D77,Y$4&lt;$D77+'Incremental Repayments'!$I$31),-PMT('Interest Rate'!$J$16,'Incremental Repayments'!$I$31,(HLOOKUP($D77,$E$4:$CZ$32,28,FALSE)*'Incremental Repayments'!$I$22)),0),0)</f>
        <v>0</v>
      </c>
      <c r="Z77" s="783">
        <f>IF('Incremental Repayments'!$R$22="Debt",IF(AND(Z$4&gt;=$D77,Z$4&lt;$D77+'Incremental Repayments'!$I$31),-PMT('Interest Rate'!$J$16,'Incremental Repayments'!$I$31,(HLOOKUP($D77,$E$4:$CZ$32,28,FALSE)*'Incremental Repayments'!$I$22)),0),0)</f>
        <v>0</v>
      </c>
      <c r="AA77" s="783">
        <f>IF('Incremental Repayments'!$R$22="Debt",IF(AND(AA$4&gt;=$D77,AA$4&lt;$D77+'Incremental Repayments'!$I$31),-PMT('Interest Rate'!$J$16,'Incremental Repayments'!$I$31,(HLOOKUP($D77,$E$4:$CZ$32,28,FALSE)*'Incremental Repayments'!$I$22)),0),0)</f>
        <v>0</v>
      </c>
      <c r="AB77" s="783">
        <f>IF('Incremental Repayments'!$R$22="Debt",IF(AND(AB$4&gt;=$D77,AB$4&lt;$D77+'Incremental Repayments'!$I$31),-PMT('Interest Rate'!$J$16,'Incremental Repayments'!$I$31,(HLOOKUP($D77,$E$4:$CZ$32,28,FALSE)*'Incremental Repayments'!$I$22)),0),0)</f>
        <v>0</v>
      </c>
      <c r="AC77" s="783">
        <f>IF('Incremental Repayments'!$R$22="Debt",IF(AND(AC$4&gt;=$D77,AC$4&lt;$D77+'Incremental Repayments'!$I$31),-PMT('Interest Rate'!$J$16,'Incremental Repayments'!$I$31,(HLOOKUP($D77,$E$4:$CZ$32,28,FALSE)*'Incremental Repayments'!$I$22)),0),0)</f>
        <v>0</v>
      </c>
      <c r="AD77" s="783">
        <f>IF('Incremental Repayments'!$R$22="Debt",IF(AND(AD$4&gt;=$D77,AD$4&lt;$D77+'Incremental Repayments'!$I$31),-PMT('Interest Rate'!$J$16,'Incremental Repayments'!$I$31,(HLOOKUP($D77,$E$4:$CZ$32,28,FALSE)*'Incremental Repayments'!$I$22)),0),0)</f>
        <v>0</v>
      </c>
      <c r="AE77" s="783">
        <f>IF('Incremental Repayments'!$R$22="Debt",IF(AND(AE$4&gt;=$D77,AE$4&lt;$D77+'Incremental Repayments'!$I$31),-PMT('Interest Rate'!$J$16,'Incremental Repayments'!$I$31,(HLOOKUP($D77,$E$4:$CZ$32,28,FALSE)*'Incremental Repayments'!$I$22)),0),0)</f>
        <v>0</v>
      </c>
      <c r="AF77" s="783">
        <f>IF('Incremental Repayments'!$R$22="Debt",IF(AND(AF$4&gt;=$D77,AF$4&lt;$D77+'Incremental Repayments'!$I$31),-PMT('Interest Rate'!$J$16,'Incremental Repayments'!$I$31,(HLOOKUP($D77,$E$4:$CZ$32,28,FALSE)*'Incremental Repayments'!$I$22)),0),0)</f>
        <v>0</v>
      </c>
      <c r="AG77" s="783">
        <f>IF('Incremental Repayments'!$R$22="Debt",IF(AND(AG$4&gt;=$D77,AG$4&lt;$D77+'Incremental Repayments'!$I$31),-PMT('Interest Rate'!$J$16,'Incremental Repayments'!$I$31,(HLOOKUP($D77,$E$4:$CZ$32,28,FALSE)*'Incremental Repayments'!$I$22)),0),0)</f>
        <v>0</v>
      </c>
      <c r="AH77" s="783">
        <f>IF('Incremental Repayments'!$R$22="Debt",IF(AND(AH$4&gt;=$D77,AH$4&lt;$D77+'Incremental Repayments'!$I$31),-PMT('Interest Rate'!$J$16,'Incremental Repayments'!$I$31,(HLOOKUP($D77,$E$4:$CZ$32,28,FALSE)*'Incremental Repayments'!$I$22)),0),0)</f>
        <v>0</v>
      </c>
      <c r="AI77" s="783">
        <f>IF('Incremental Repayments'!$R$22="Debt",IF(AND(AI$4&gt;=$D77,AI$4&lt;$D77+'Incremental Repayments'!$I$31),-PMT('Interest Rate'!$J$16,'Incremental Repayments'!$I$31,(HLOOKUP($D77,$E$4:$CZ$32,28,FALSE)*'Incremental Repayments'!$I$22)),0),0)</f>
        <v>0</v>
      </c>
      <c r="AJ77" s="783">
        <f>IF('Incremental Repayments'!$R$22="Debt",IF(AND(AJ$4&gt;=$D77,AJ$4&lt;$D77+'Incremental Repayments'!$I$31),-PMT('Interest Rate'!$J$16,'Incremental Repayments'!$I$31,(HLOOKUP($D77,$E$4:$CZ$32,28,FALSE)*'Incremental Repayments'!$I$22)),0),0)</f>
        <v>0</v>
      </c>
      <c r="AK77" s="783">
        <f>IF('Incremental Repayments'!$R$22="Debt",IF(AND(AK$4&gt;=$D77,AK$4&lt;$D77+'Incremental Repayments'!$I$31),-PMT('Interest Rate'!$J$16,'Incremental Repayments'!$I$31,(HLOOKUP($D77,$E$4:$CZ$32,28,FALSE)*'Incremental Repayments'!$I$22)),0),0)</f>
        <v>0</v>
      </c>
      <c r="AL77" s="783">
        <f>IF('Incremental Repayments'!$R$22="Debt",IF(AND(AL$4&gt;=$D77,AL$4&lt;$D77+'Incremental Repayments'!$I$31),-PMT('Interest Rate'!$J$16,'Incremental Repayments'!$I$31,(HLOOKUP($D77,$E$4:$CZ$32,28,FALSE)*'Incremental Repayments'!$I$22)),0),0)</f>
        <v>0</v>
      </c>
      <c r="AM77" s="783">
        <f>IF('Incremental Repayments'!$R$22="Debt",IF(AND(AM$4&gt;=$D77,AM$4&lt;$D77+'Incremental Repayments'!$I$31),-PMT('Interest Rate'!$J$16,'Incremental Repayments'!$I$31,(HLOOKUP($D77,$E$4:$CZ$32,28,FALSE)*'Incremental Repayments'!$I$22)),0),0)</f>
        <v>0</v>
      </c>
      <c r="AN77" s="783">
        <f>IF('Incremental Repayments'!$R$22="Debt",IF(AND(AN$4&gt;=$D77,AN$4&lt;$D77+'Incremental Repayments'!$I$31),-PMT('Interest Rate'!$J$16,'Incremental Repayments'!$I$31,(HLOOKUP($D77,$E$4:$CZ$32,28,FALSE)*'Incremental Repayments'!$I$22)),0),0)</f>
        <v>0</v>
      </c>
      <c r="AO77" s="783">
        <f>IF('Incremental Repayments'!$R$22="Debt",IF(AND(AO$4&gt;=$D77,AO$4&lt;$D77+'Incremental Repayments'!$I$31),-PMT('Interest Rate'!$J$16,'Incremental Repayments'!$I$31,(HLOOKUP($D77,$E$4:$CZ$32,28,FALSE)*'Incremental Repayments'!$I$22)),0),0)</f>
        <v>0</v>
      </c>
      <c r="AP77" s="783">
        <f>IF('Incremental Repayments'!$R$22="Debt",IF(AND(AP$4&gt;=$D77,AP$4&lt;$D77+'Incremental Repayments'!$I$31),-PMT('Interest Rate'!$J$16,'Incremental Repayments'!$I$31,(HLOOKUP($D77,$E$4:$CZ$32,28,FALSE)*'Incremental Repayments'!$I$22)),0),0)</f>
        <v>0</v>
      </c>
      <c r="AQ77" s="783">
        <f>IF('Incremental Repayments'!$R$22="Debt",IF(AND(AQ$4&gt;=$D77,AQ$4&lt;$D77+'Incremental Repayments'!$I$31),-PMT('Interest Rate'!$J$16,'Incremental Repayments'!$I$31,(HLOOKUP($D77,$E$4:$CZ$32,28,FALSE)*'Incremental Repayments'!$I$22)),0),0)</f>
        <v>0</v>
      </c>
      <c r="AR77" s="783">
        <f>IF('Incremental Repayments'!$R$22="Debt",IF(AND(AR$4&gt;=$D77,AR$4&lt;$D77+'Incremental Repayments'!$I$31),-PMT('Interest Rate'!$J$16,'Incremental Repayments'!$I$31,(HLOOKUP($D77,$E$4:$CZ$32,28,FALSE)*'Incremental Repayments'!$I$22)),0),0)</f>
        <v>0</v>
      </c>
      <c r="AS77" s="783">
        <f>IF('Incremental Repayments'!$R$22="Debt",IF(AND(AS$4&gt;=$D77,AS$4&lt;$D77+'Incremental Repayments'!$I$31),-PMT('Interest Rate'!$J$16,'Incremental Repayments'!$I$31,(HLOOKUP($D77,$E$4:$CZ$32,28,FALSE)*'Incremental Repayments'!$I$22)),0),0)</f>
        <v>0</v>
      </c>
      <c r="AT77" s="783">
        <f>IF('Incremental Repayments'!$R$22="Debt",IF(AND(AT$4&gt;=$D77,AT$4&lt;$D77+'Incremental Repayments'!$I$31),-PMT('Interest Rate'!$J$16,'Incremental Repayments'!$I$31,(HLOOKUP($D77,$E$4:$CZ$32,28,FALSE)*'Incremental Repayments'!$I$22)),0),0)</f>
        <v>6710.0111667374904</v>
      </c>
      <c r="AU77" s="783">
        <f>IF('Incremental Repayments'!$R$22="Debt",IF(AND(AU$4&gt;=$D77,AU$4&lt;$D77+'Incremental Repayments'!$I$31),-PMT('Interest Rate'!$J$16,'Incremental Repayments'!$I$31,(HLOOKUP($D77,$E$4:$CZ$32,28,FALSE)*'Incremental Repayments'!$I$22)),0),0)</f>
        <v>6710.0111667374904</v>
      </c>
      <c r="AV77" s="783">
        <f>IF('Incremental Repayments'!$R$22="Debt",IF(AND(AV$4&gt;=$D77,AV$4&lt;$D77+'Incremental Repayments'!$I$31),-PMT('Interest Rate'!$J$16,'Incremental Repayments'!$I$31,(HLOOKUP($D77,$E$4:$CZ$32,28,FALSE)*'Incremental Repayments'!$I$22)),0),0)</f>
        <v>6710.0111667374904</v>
      </c>
      <c r="AW77" s="783">
        <f>IF('Incremental Repayments'!$R$22="Debt",IF(AND(AW$4&gt;=$D77,AW$4&lt;$D77+'Incremental Repayments'!$I$31),-PMT('Interest Rate'!$J$16,'Incremental Repayments'!$I$31,(HLOOKUP($D77,$E$4:$CZ$32,28,FALSE)*'Incremental Repayments'!$I$22)),0),0)</f>
        <v>6710.0111667374904</v>
      </c>
      <c r="AX77" s="783">
        <f>IF('Incremental Repayments'!$R$22="Debt",IF(AND(AX$4&gt;=$D77,AX$4&lt;$D77+'Incremental Repayments'!$I$31),-PMT('Interest Rate'!$J$16,'Incremental Repayments'!$I$31,(HLOOKUP($D77,$E$4:$CZ$32,28,FALSE)*'Incremental Repayments'!$I$22)),0),0)</f>
        <v>6710.0111667374904</v>
      </c>
      <c r="AY77" s="783">
        <f>IF('Incremental Repayments'!$R$22="Debt",IF(AND(AY$4&gt;=$D77,AY$4&lt;$D77+'Incremental Repayments'!$I$31),-PMT('Interest Rate'!$J$16,'Incremental Repayments'!$I$31,(HLOOKUP($D77,$E$4:$CZ$32,28,FALSE)*'Incremental Repayments'!$I$22)),0),0)</f>
        <v>6710.0111667374904</v>
      </c>
      <c r="AZ77" s="783">
        <f>IF('Incremental Repayments'!$R$22="Debt",IF(AND(AZ$4&gt;=$D77,AZ$4&lt;$D77+'Incremental Repayments'!$I$31),-PMT('Interest Rate'!$J$16,'Incremental Repayments'!$I$31,(HLOOKUP($D77,$E$4:$CZ$32,28,FALSE)*'Incremental Repayments'!$I$22)),0),0)</f>
        <v>6710.0111667374904</v>
      </c>
      <c r="BA77" s="783">
        <f>IF('Incremental Repayments'!$R$22="Debt",IF(AND(BA$4&gt;=$D77,BA$4&lt;$D77+'Incremental Repayments'!$I$31),-PMT('Interest Rate'!$J$16,'Incremental Repayments'!$I$31,(HLOOKUP($D77,$E$4:$CZ$32,28,FALSE)*'Incremental Repayments'!$I$22)),0),0)</f>
        <v>6710.0111667374904</v>
      </c>
      <c r="BB77" s="783">
        <f>IF('Incremental Repayments'!$R$22="Debt",IF(AND(BB$4&gt;=$D77,BB$4&lt;$D77+'Incremental Repayments'!$I$31),-PMT('Interest Rate'!$J$16,'Incremental Repayments'!$I$31,(HLOOKUP($D77,$E$4:$CZ$32,28,FALSE)*'Incremental Repayments'!$I$22)),0),0)</f>
        <v>6710.0111667374904</v>
      </c>
      <c r="BC77" s="783">
        <f>IF('Incremental Repayments'!$R$22="Debt",IF(AND(BC$4&gt;=$D77,BC$4&lt;$D77+'Incremental Repayments'!$I$31),-PMT('Interest Rate'!$J$16,'Incremental Repayments'!$I$31,(HLOOKUP($D77,$E$4:$CZ$32,28,FALSE)*'Incremental Repayments'!$I$22)),0),0)</f>
        <v>6710.0111667374904</v>
      </c>
      <c r="BD77" s="783">
        <f>IF('Incremental Repayments'!$R$22="Debt",IF(AND(BD$4&gt;=$D77,BD$4&lt;$D77+'Incremental Repayments'!$I$31),-PMT('Interest Rate'!$J$16,'Incremental Repayments'!$I$31,(HLOOKUP($D77,$E$4:$CZ$32,28,FALSE)*'Incremental Repayments'!$I$22)),0),0)</f>
        <v>6710.0111667374904</v>
      </c>
      <c r="BE77" s="783">
        <f>IF('Incremental Repayments'!$R$22="Debt",IF(AND(BE$4&gt;=$D77,BE$4&lt;$D77+'Incremental Repayments'!$I$31),-PMT('Interest Rate'!$J$16,'Incremental Repayments'!$I$31,(HLOOKUP($D77,$E$4:$CZ$32,28,FALSE)*'Incremental Repayments'!$I$22)),0),0)</f>
        <v>6710.0111667374904</v>
      </c>
      <c r="BF77" s="783">
        <f>IF('Incremental Repayments'!$R$22="Debt",IF(AND(BF$4&gt;=$D77,BF$4&lt;$D77+'Incremental Repayments'!$I$31),-PMT('Interest Rate'!$J$16,'Incremental Repayments'!$I$31,(HLOOKUP($D77,$E$4:$CZ$32,28,FALSE)*'Incremental Repayments'!$I$22)),0),0)</f>
        <v>6710.0111667374904</v>
      </c>
      <c r="BG77" s="783">
        <f>IF('Incremental Repayments'!$R$22="Debt",IF(AND(BG$4&gt;=$D77,BG$4&lt;$D77+'Incremental Repayments'!$I$31),-PMT('Interest Rate'!$J$16,'Incremental Repayments'!$I$31,(HLOOKUP($D77,$E$4:$CZ$32,28,FALSE)*'Incremental Repayments'!$I$22)),0),0)</f>
        <v>6710.0111667374904</v>
      </c>
      <c r="BH77" s="783">
        <f>IF('Incremental Repayments'!$R$22="Debt",IF(AND(BH$4&gt;=$D77,BH$4&lt;$D77+'Incremental Repayments'!$I$31),-PMT('Interest Rate'!$J$16,'Incremental Repayments'!$I$31,(HLOOKUP($D77,$E$4:$CZ$32,28,FALSE)*'Incremental Repayments'!$I$22)),0),0)</f>
        <v>6710.0111667374904</v>
      </c>
      <c r="BI77" s="783">
        <f>IF('Incremental Repayments'!$R$22="Debt",IF(AND(BI$4&gt;=$D77,BI$4&lt;$D77+'Incremental Repayments'!$I$31),-PMT('Interest Rate'!$J$16,'Incremental Repayments'!$I$31,(HLOOKUP($D77,$E$4:$CZ$32,28,FALSE)*'Incremental Repayments'!$I$22)),0),0)</f>
        <v>6710.0111667374904</v>
      </c>
      <c r="BJ77" s="783">
        <f>IF('Incremental Repayments'!$R$22="Debt",IF(AND(BJ$4&gt;=$D77,BJ$4&lt;$D77+'Incremental Repayments'!$I$31),-PMT('Interest Rate'!$J$16,'Incremental Repayments'!$I$31,(HLOOKUP($D77,$E$4:$CZ$32,28,FALSE)*'Incremental Repayments'!$I$22)),0),0)</f>
        <v>6710.0111667374904</v>
      </c>
      <c r="BK77" s="783">
        <f>IF('Incremental Repayments'!$R$22="Debt",IF(AND(BK$4&gt;=$D77,BK$4&lt;$D77+'Incremental Repayments'!$I$31),-PMT('Interest Rate'!$J$16,'Incremental Repayments'!$I$31,(HLOOKUP($D77,$E$4:$CZ$32,28,FALSE)*'Incremental Repayments'!$I$22)),0),0)</f>
        <v>6710.0111667374904</v>
      </c>
      <c r="BL77" s="783">
        <f>IF('Incremental Repayments'!$R$22="Debt",IF(AND(BL$4&gt;=$D77,BL$4&lt;$D77+'Incremental Repayments'!$I$31),-PMT('Interest Rate'!$J$16,'Incremental Repayments'!$I$31,(HLOOKUP($D77,$E$4:$CZ$32,28,FALSE)*'Incremental Repayments'!$I$22)),0),0)</f>
        <v>6710.0111667374904</v>
      </c>
      <c r="BM77" s="783">
        <f>IF('Incremental Repayments'!$R$22="Debt",IF(AND(BM$4&gt;=$D77,BM$4&lt;$D77+'Incremental Repayments'!$I$31),-PMT('Interest Rate'!$J$16,'Incremental Repayments'!$I$31,(HLOOKUP($D77,$E$4:$CZ$32,28,FALSE)*'Incremental Repayments'!$I$22)),0),0)</f>
        <v>6710.0111667374904</v>
      </c>
      <c r="BN77" s="783">
        <f>IF('Incremental Repayments'!$R$22="Debt",IF(AND(BN$4&gt;=$D77,BN$4&lt;$D77+'Incremental Repayments'!$I$31),-PMT('Interest Rate'!$J$16,'Incremental Repayments'!$I$31,(HLOOKUP($D77,$E$4:$CZ$32,28,FALSE)*'Incremental Repayments'!$I$22)),0),0)</f>
        <v>6710.0111667374904</v>
      </c>
      <c r="BO77" s="783">
        <f>IF('Incremental Repayments'!$R$22="Debt",IF(AND(BO$4&gt;=$D77,BO$4&lt;$D77+'Incremental Repayments'!$I$31),-PMT('Interest Rate'!$J$16,'Incremental Repayments'!$I$31,(HLOOKUP($D77,$E$4:$CZ$32,28,FALSE)*'Incremental Repayments'!$I$22)),0),0)</f>
        <v>6710.0111667374904</v>
      </c>
      <c r="BP77" s="783">
        <f>IF('Incremental Repayments'!$R$22="Debt",IF(AND(BP$4&gt;=$D77,BP$4&lt;$D77+'Incremental Repayments'!$I$31),-PMT('Interest Rate'!$J$16,'Incremental Repayments'!$I$31,(HLOOKUP($D77,$E$4:$CZ$32,28,FALSE)*'Incremental Repayments'!$I$22)),0),0)</f>
        <v>6710.0111667374904</v>
      </c>
      <c r="BQ77" s="783">
        <f>IF('Incremental Repayments'!$R$22="Debt",IF(AND(BQ$4&gt;=$D77,BQ$4&lt;$D77+'Incremental Repayments'!$I$31),-PMT('Interest Rate'!$J$16,'Incremental Repayments'!$I$31,(HLOOKUP($D77,$E$4:$CZ$32,28,FALSE)*'Incremental Repayments'!$I$22)),0),0)</f>
        <v>6710.0111667374904</v>
      </c>
      <c r="BR77" s="783">
        <f>IF('Incremental Repayments'!$R$22="Debt",IF(AND(BR$4&gt;=$D77,BR$4&lt;$D77+'Incremental Repayments'!$I$31),-PMT('Interest Rate'!$J$16,'Incremental Repayments'!$I$31,(HLOOKUP($D77,$E$4:$CZ$32,28,FALSE)*'Incremental Repayments'!$I$22)),0),0)</f>
        <v>6710.0111667374904</v>
      </c>
      <c r="BS77" s="783">
        <f>IF('Incremental Repayments'!$R$22="Debt",IF(AND(BS$4&gt;=$D77,BS$4&lt;$D77+'Incremental Repayments'!$I$31),-PMT('Interest Rate'!$J$16,'Incremental Repayments'!$I$31,(HLOOKUP($D77,$E$4:$CZ$32,28,FALSE)*'Incremental Repayments'!$I$22)),0),0)</f>
        <v>6710.0111667374904</v>
      </c>
      <c r="BT77" s="783">
        <f>IF('Incremental Repayments'!$R$22="Debt",IF(AND(BT$4&gt;=$D77,BT$4&lt;$D77+'Incremental Repayments'!$I$31),-PMT('Interest Rate'!$J$16,'Incremental Repayments'!$I$31,(HLOOKUP($D77,$E$4:$CZ$32,28,FALSE)*'Incremental Repayments'!$I$22)),0),0)</f>
        <v>6710.0111667374904</v>
      </c>
      <c r="BU77" s="783">
        <f>IF('Incremental Repayments'!$R$22="Debt",IF(AND(BU$4&gt;=$D77,BU$4&lt;$D77+'Incremental Repayments'!$I$31),-PMT('Interest Rate'!$J$16,'Incremental Repayments'!$I$31,(HLOOKUP($D77,$E$4:$CZ$32,28,FALSE)*'Incremental Repayments'!$I$22)),0),0)</f>
        <v>6710.0111667374904</v>
      </c>
      <c r="BV77" s="783">
        <f>IF('Incremental Repayments'!$R$22="Debt",IF(AND(BV$4&gt;=$D77,BV$4&lt;$D77+'Incremental Repayments'!$I$31),-PMT('Interest Rate'!$J$16,'Incremental Repayments'!$I$31,(HLOOKUP($D77,$E$4:$CZ$32,28,FALSE)*'Incremental Repayments'!$I$22)),0),0)</f>
        <v>6710.0111667374904</v>
      </c>
      <c r="BW77" s="783">
        <f>IF('Incremental Repayments'!$R$22="Debt",IF(AND(BW$4&gt;=$D77,BW$4&lt;$D77+'Incremental Repayments'!$I$31),-PMT('Interest Rate'!$J$16,'Incremental Repayments'!$I$31,(HLOOKUP($D77,$E$4:$CZ$32,28,FALSE)*'Incremental Repayments'!$I$22)),0),0)</f>
        <v>6710.0111667374904</v>
      </c>
      <c r="BX77" s="783">
        <f>IF('Incremental Repayments'!$R$22="Debt",IF(AND(BX$4&gt;=$D77,BX$4&lt;$D77+'Incremental Repayments'!$I$31),-PMT('Interest Rate'!$J$16,'Incremental Repayments'!$I$31,(HLOOKUP($D77,$E$4:$CZ$32,28,FALSE)*'Incremental Repayments'!$I$22)),0),0)</f>
        <v>0</v>
      </c>
      <c r="BY77" s="783">
        <f>IF('Incremental Repayments'!$R$22="Debt",IF(AND(BY$4&gt;=$D77,BY$4&lt;$D77+'Incremental Repayments'!$I$31),-PMT('Interest Rate'!$J$16,'Incremental Repayments'!$I$31,(HLOOKUP($D77,$E$4:$CZ$32,28,FALSE)*'Incremental Repayments'!$I$22)),0),0)</f>
        <v>0</v>
      </c>
      <c r="BZ77" s="783">
        <f>IF('Incremental Repayments'!$R$22="Debt",IF(AND(BZ$4&gt;=$D77,BZ$4&lt;$D77+'Incremental Repayments'!$I$31),-PMT('Interest Rate'!$J$16,'Incremental Repayments'!$I$31,(HLOOKUP($D77,$E$4:$CZ$32,28,FALSE)*'Incremental Repayments'!$I$22)),0),0)</f>
        <v>0</v>
      </c>
      <c r="CA77" s="783">
        <f>IF('Incremental Repayments'!$R$22="Debt",IF(AND(CA$4&gt;=$D77,CA$4&lt;$D77+'Incremental Repayments'!$I$31),-PMT('Interest Rate'!$J$16,'Incremental Repayments'!$I$31,(HLOOKUP($D77,$E$4:$CZ$32,28,FALSE)*'Incremental Repayments'!$I$22)),0),0)</f>
        <v>0</v>
      </c>
      <c r="CB77" s="783">
        <f>IF('Incremental Repayments'!$R$22="Debt",IF(AND(CB$4&gt;=$D77,CB$4&lt;$D77+'Incremental Repayments'!$I$31),-PMT('Interest Rate'!$J$16,'Incremental Repayments'!$I$31,(HLOOKUP($D77,$E$4:$CZ$32,28,FALSE)*'Incremental Repayments'!$I$22)),0),0)</f>
        <v>0</v>
      </c>
      <c r="CC77" s="783">
        <f>IF('Incremental Repayments'!$R$22="Debt",IF(AND(CC$4&gt;=$D77,CC$4&lt;$D77+'Incremental Repayments'!$I$31),-PMT('Interest Rate'!$J$16,'Incremental Repayments'!$I$31,(HLOOKUP($D77,$E$4:$CZ$32,28,FALSE)*'Incremental Repayments'!$I$22)),0),0)</f>
        <v>0</v>
      </c>
      <c r="CD77" s="783">
        <f>IF('Incremental Repayments'!$R$22="Debt",IF(AND(CD$4&gt;=$D77,CD$4&lt;$D77+'Incremental Repayments'!$I$31),-PMT('Interest Rate'!$J$16,'Incremental Repayments'!$I$31,(HLOOKUP($D77,$E$4:$CZ$32,28,FALSE)*'Incremental Repayments'!$I$22)),0),0)</f>
        <v>0</v>
      </c>
      <c r="CE77" s="783">
        <f>IF('Incremental Repayments'!$R$22="Debt",IF(AND(CE$4&gt;=$D77,CE$4&lt;$D77+'Incremental Repayments'!$I$31),-PMT('Interest Rate'!$J$16,'Incremental Repayments'!$I$31,(HLOOKUP($D77,$E$4:$CZ$32,28,FALSE)*'Incremental Repayments'!$I$22)),0),0)</f>
        <v>0</v>
      </c>
      <c r="CF77" s="783">
        <f>IF('Incremental Repayments'!$R$22="Debt",IF(AND(CF$4&gt;=$D77,CF$4&lt;$D77+'Incremental Repayments'!$I$31),-PMT('Interest Rate'!$J$16,'Incremental Repayments'!$I$31,(HLOOKUP($D77,$E$4:$CZ$32,28,FALSE)*'Incremental Repayments'!$I$22)),0),0)</f>
        <v>0</v>
      </c>
      <c r="CG77" s="783">
        <f>IF('Incremental Repayments'!$R$22="Debt",IF(AND(CG$4&gt;=$D77,CG$4&lt;$D77+'Incremental Repayments'!$I$31),-PMT('Interest Rate'!$J$16,'Incremental Repayments'!$I$31,(HLOOKUP($D77,$E$4:$CZ$32,28,FALSE)*'Incremental Repayments'!$I$22)),0),0)</f>
        <v>0</v>
      </c>
      <c r="CH77" s="783">
        <f>IF('Incremental Repayments'!$R$22="Debt",IF(AND(CH$4&gt;=$D77,CH$4&lt;$D77+'Incremental Repayments'!$I$31),-PMT('Interest Rate'!$J$16,'Incremental Repayments'!$I$31,(HLOOKUP($D77,$E$4:$CZ$32,28,FALSE)*'Incremental Repayments'!$I$22)),0),0)</f>
        <v>0</v>
      </c>
      <c r="CI77" s="783">
        <f>IF('Incremental Repayments'!$R$22="Debt",IF(AND(CI$4&gt;=$D77,CI$4&lt;$D77+'Incremental Repayments'!$I$31),-PMT('Interest Rate'!$J$16,'Incremental Repayments'!$I$31,(HLOOKUP($D77,$E$4:$CZ$32,28,FALSE)*'Incremental Repayments'!$I$22)),0),0)</f>
        <v>0</v>
      </c>
      <c r="CJ77" s="783">
        <f>IF('Incremental Repayments'!$R$22="Debt",IF(AND(CJ$4&gt;=$D77,CJ$4&lt;$D77+'Incremental Repayments'!$I$31),-PMT('Interest Rate'!$J$16,'Incremental Repayments'!$I$31,(HLOOKUP($D77,$E$4:$CZ$32,28,FALSE)*'Incremental Repayments'!$I$22)),0),0)</f>
        <v>0</v>
      </c>
      <c r="CK77" s="783">
        <f>IF('Incremental Repayments'!$R$22="Debt",IF(AND(CK$4&gt;=$D77,CK$4&lt;$D77+'Incremental Repayments'!$I$31),-PMT('Interest Rate'!$J$16,'Incremental Repayments'!$I$31,(HLOOKUP($D77,$E$4:$CZ$32,28,FALSE)*'Incremental Repayments'!$I$22)),0),0)</f>
        <v>0</v>
      </c>
      <c r="CL77" s="783">
        <f>IF('Incremental Repayments'!$R$22="Debt",IF(AND(CL$4&gt;=$D77,CL$4&lt;$D77+'Incremental Repayments'!$I$31),-PMT('Interest Rate'!$J$16,'Incremental Repayments'!$I$31,(HLOOKUP($D77,$E$4:$CZ$32,28,FALSE)*'Incremental Repayments'!$I$22)),0),0)</f>
        <v>0</v>
      </c>
      <c r="CM77" s="783">
        <f>IF('Incremental Repayments'!$R$22="Debt",IF(AND(CM$4&gt;=$D77,CM$4&lt;$D77+'Incremental Repayments'!$I$31),-PMT('Interest Rate'!$J$16,'Incremental Repayments'!$I$31,(HLOOKUP($D77,$E$4:$CZ$32,28,FALSE)*'Incremental Repayments'!$I$22)),0),0)</f>
        <v>0</v>
      </c>
      <c r="CN77" s="783">
        <f>IF('Incremental Repayments'!$R$22="Debt",IF(AND(CN$4&gt;=$D77,CN$4&lt;$D77+'Incremental Repayments'!$I$31),-PMT('Interest Rate'!$J$16,'Incremental Repayments'!$I$31,(HLOOKUP($D77,$E$4:$CZ$32,28,FALSE)*'Incremental Repayments'!$I$22)),0),0)</f>
        <v>0</v>
      </c>
      <c r="CO77" s="783">
        <f>IF('Incremental Repayments'!$R$22="Debt",IF(AND(CO$4&gt;=$D77,CO$4&lt;$D77+'Incremental Repayments'!$I$31),-PMT('Interest Rate'!$J$16,'Incremental Repayments'!$I$31,(HLOOKUP($D77,$E$4:$CZ$32,28,FALSE)*'Incremental Repayments'!$I$22)),0),0)</f>
        <v>0</v>
      </c>
      <c r="CP77" s="783">
        <f>IF('Incremental Repayments'!$R$22="Debt",IF(AND(CP$4&gt;=$D77,CP$4&lt;$D77+'Incremental Repayments'!$I$31),-PMT('Interest Rate'!$J$16,'Incremental Repayments'!$I$31,(HLOOKUP($D77,$E$4:$CZ$32,28,FALSE)*'Incremental Repayments'!$I$22)),0),0)</f>
        <v>0</v>
      </c>
      <c r="CQ77" s="783">
        <f>IF('Incremental Repayments'!$R$22="Debt",IF(AND(CQ$4&gt;=$D77,CQ$4&lt;$D77+'Incremental Repayments'!$I$31),-PMT('Interest Rate'!$J$16,'Incremental Repayments'!$I$31,(HLOOKUP($D77,$E$4:$CZ$32,28,FALSE)*'Incremental Repayments'!$I$22)),0),0)</f>
        <v>0</v>
      </c>
      <c r="CR77" s="783">
        <f>IF('Incremental Repayments'!$R$22="Debt",IF(AND(CR$4&gt;=$D77,CR$4&lt;$D77+'Incremental Repayments'!$I$31),-PMT('Interest Rate'!$J$16,'Incremental Repayments'!$I$31,(HLOOKUP($D77,$E$4:$CZ$32,28,FALSE)*'Incremental Repayments'!$I$22)),0),0)</f>
        <v>0</v>
      </c>
      <c r="CS77" s="783">
        <f>IF('Incremental Repayments'!$R$22="Debt",IF(AND(CS$4&gt;=$D77,CS$4&lt;$D77+'Incremental Repayments'!$I$31),-PMT('Interest Rate'!$J$16,'Incremental Repayments'!$I$31,(HLOOKUP($D77,$E$4:$CZ$32,28,FALSE)*'Incremental Repayments'!$I$22)),0),0)</f>
        <v>0</v>
      </c>
      <c r="CT77" s="783">
        <f>IF('Incremental Repayments'!$R$22="Debt",IF(AND(CT$4&gt;=$D77,CT$4&lt;$D77+'Incremental Repayments'!$I$31),-PMT('Interest Rate'!$J$16,'Incremental Repayments'!$I$31,(HLOOKUP($D77,$E$4:$CZ$32,28,FALSE)*'Incremental Repayments'!$I$22)),0),0)</f>
        <v>0</v>
      </c>
      <c r="CU77" s="783">
        <f>IF('Incremental Repayments'!$R$22="Debt",IF(AND(CU$4&gt;=$D77,CU$4&lt;$D77+'Incremental Repayments'!$I$31),-PMT('Interest Rate'!$J$16,'Incremental Repayments'!$I$31,(HLOOKUP($D77,$E$4:$CZ$32,28,FALSE)*'Incremental Repayments'!$I$22)),0),0)</f>
        <v>0</v>
      </c>
      <c r="CV77" s="783">
        <f>IF('Incremental Repayments'!$R$22="Debt",IF(AND(CV$4&gt;=$D77,CV$4&lt;$D77+'Incremental Repayments'!$I$31),-PMT('Interest Rate'!$J$16,'Incremental Repayments'!$I$31,(HLOOKUP($D77,$E$4:$CZ$32,28,FALSE)*'Incremental Repayments'!$I$22)),0),0)</f>
        <v>0</v>
      </c>
      <c r="CW77" s="783">
        <f>IF('Incremental Repayments'!$R$22="Debt",IF(AND(CW$4&gt;=$D77,CW$4&lt;$D77+'Incremental Repayments'!$I$31),-PMT('Interest Rate'!$J$16,'Incremental Repayments'!$I$31,(HLOOKUP($D77,$E$4:$CZ$32,28,FALSE)*'Incremental Repayments'!$I$22)),0),0)</f>
        <v>0</v>
      </c>
      <c r="CX77" s="783">
        <f>IF('Incremental Repayments'!$R$22="Debt",IF(AND(CX$4&gt;=$D77,CX$4&lt;$D77+'Incremental Repayments'!$I$31),-PMT('Interest Rate'!$J$16,'Incremental Repayments'!$I$31,(HLOOKUP($D77,$E$4:$CZ$32,28,FALSE)*'Incremental Repayments'!$I$22)),0),0)</f>
        <v>0</v>
      </c>
      <c r="CY77" s="783">
        <f>IF('Incremental Repayments'!$R$22="Debt",IF(AND(CY$4&gt;=$D77,CY$4&lt;$D77+'Incremental Repayments'!$I$31),-PMT('Interest Rate'!$J$16,'Incremental Repayments'!$I$31,(HLOOKUP($D77,$E$4:$CZ$32,28,FALSE)*'Incremental Repayments'!$I$22)),0),0)</f>
        <v>0</v>
      </c>
      <c r="CZ77" s="783">
        <f>IF('Incremental Repayments'!$R$22="Debt",IF(AND(CZ$4&gt;=$D77,CZ$4&lt;$D77+'Incremental Repayments'!$I$31),-PMT('Interest Rate'!$J$16,'Incremental Repayments'!$I$31,(HLOOKUP($D77,$E$4:$CZ$32,28,FALSE)*'Incremental Repayments'!$I$22)),0),0)</f>
        <v>0</v>
      </c>
    </row>
    <row r="78" spans="2:104" x14ac:dyDescent="0.25">
      <c r="B78" s="480" t="str">
        <f>CONCATENATE("Series ",D78,"A Bonds (at ",'Interest Rate'!$J$16*100,"% Interest)")</f>
        <v>Series 2056A Bonds (at 4.5% Interest)</v>
      </c>
      <c r="C78" s="480"/>
      <c r="D78" s="492">
        <f t="shared" si="47"/>
        <v>2056</v>
      </c>
      <c r="E78" s="783">
        <f>IF('Incremental Repayments'!$R$22="Debt",IF(AND(E$4&gt;=$D78,E$4&lt;$D78+'Incremental Repayments'!$I$31),-PMT('Interest Rate'!$J$16,'Incremental Repayments'!$I$31,(HLOOKUP($D78,$E$4:$CZ$32,28,FALSE)*'Incremental Repayments'!$I$22)),0),0)</f>
        <v>0</v>
      </c>
      <c r="F78" s="783">
        <f>IF('Incremental Repayments'!$R$22="Debt",IF(AND(F$4&gt;=$D78,F$4&lt;$D78+'Incremental Repayments'!$I$31),-PMT('Interest Rate'!$J$16,'Incremental Repayments'!$I$31,(HLOOKUP($D78,$E$4:$CZ$32,28,FALSE)*'Incremental Repayments'!$I$22)),0),0)</f>
        <v>0</v>
      </c>
      <c r="G78" s="783">
        <f>IF('Incremental Repayments'!$R$22="Debt",IF(AND(G$4&gt;=$D78,G$4&lt;$D78+'Incremental Repayments'!$I$31),-PMT('Interest Rate'!$J$16,'Incremental Repayments'!$I$31,(HLOOKUP($D78,$E$4:$CZ$32,28,FALSE)*'Incremental Repayments'!$I$22)),0),0)</f>
        <v>0</v>
      </c>
      <c r="H78" s="783">
        <f>IF('Incremental Repayments'!$R$22="Debt",IF(AND(H$4&gt;=$D78,H$4&lt;$D78+'Incremental Repayments'!$I$31),-PMT('Interest Rate'!$J$16,'Incremental Repayments'!$I$31,(HLOOKUP($D78,$E$4:$CZ$32,28,FALSE)*'Incremental Repayments'!$I$22)),0),0)</f>
        <v>0</v>
      </c>
      <c r="I78" s="783">
        <f>IF('Incremental Repayments'!$R$22="Debt",IF(AND(I$4&gt;=$D78,I$4&lt;$D78+'Incremental Repayments'!$I$31),-PMT('Interest Rate'!$J$16,'Incremental Repayments'!$I$31,(HLOOKUP($D78,$E$4:$CZ$32,28,FALSE)*'Incremental Repayments'!$I$22)),0),0)</f>
        <v>0</v>
      </c>
      <c r="J78" s="783">
        <f>IF('Incremental Repayments'!$R$22="Debt",IF(AND(J$4&gt;=$D78,J$4&lt;$D78+'Incremental Repayments'!$I$31),-PMT('Interest Rate'!$J$16,'Incremental Repayments'!$I$31,(HLOOKUP($D78,$E$4:$CZ$32,28,FALSE)*'Incremental Repayments'!$I$22)),0),0)</f>
        <v>0</v>
      </c>
      <c r="K78" s="783">
        <f>IF('Incremental Repayments'!$R$22="Debt",IF(AND(K$4&gt;=$D78,K$4&lt;$D78+'Incremental Repayments'!$I$31),-PMT('Interest Rate'!$J$16,'Incremental Repayments'!$I$31,(HLOOKUP($D78,$E$4:$CZ$32,28,FALSE)*'Incremental Repayments'!$I$22)),0),0)</f>
        <v>0</v>
      </c>
      <c r="L78" s="783">
        <f>IF('Incremental Repayments'!$R$22="Debt",IF(AND(L$4&gt;=$D78,L$4&lt;$D78+'Incremental Repayments'!$I$31),-PMT('Interest Rate'!$J$16,'Incremental Repayments'!$I$31,(HLOOKUP($D78,$E$4:$CZ$32,28,FALSE)*'Incremental Repayments'!$I$22)),0),0)</f>
        <v>0</v>
      </c>
      <c r="M78" s="783">
        <f>IF('Incremental Repayments'!$R$22="Debt",IF(AND(M$4&gt;=$D78,M$4&lt;$D78+'Incremental Repayments'!$I$31),-PMT('Interest Rate'!$J$16,'Incremental Repayments'!$I$31,(HLOOKUP($D78,$E$4:$CZ$32,28,FALSE)*'Incremental Repayments'!$I$22)),0),0)</f>
        <v>0</v>
      </c>
      <c r="N78" s="783">
        <f>IF('Incremental Repayments'!$R$22="Debt",IF(AND(N$4&gt;=$D78,N$4&lt;$D78+'Incremental Repayments'!$I$31),-PMT('Interest Rate'!$J$16,'Incremental Repayments'!$I$31,(HLOOKUP($D78,$E$4:$CZ$32,28,FALSE)*'Incremental Repayments'!$I$22)),0),0)</f>
        <v>0</v>
      </c>
      <c r="O78" s="783">
        <f>IF('Incremental Repayments'!$R$22="Debt",IF(AND(O$4&gt;=$D78,O$4&lt;$D78+'Incremental Repayments'!$I$31),-PMT('Interest Rate'!$J$16,'Incremental Repayments'!$I$31,(HLOOKUP($D78,$E$4:$CZ$32,28,FALSE)*'Incremental Repayments'!$I$22)),0),0)</f>
        <v>0</v>
      </c>
      <c r="P78" s="783">
        <f>IF('Incremental Repayments'!$R$22="Debt",IF(AND(P$4&gt;=$D78,P$4&lt;$D78+'Incremental Repayments'!$I$31),-PMT('Interest Rate'!$J$16,'Incremental Repayments'!$I$31,(HLOOKUP($D78,$E$4:$CZ$32,28,FALSE)*'Incremental Repayments'!$I$22)),0),0)</f>
        <v>0</v>
      </c>
      <c r="Q78" s="783">
        <f>IF('Incremental Repayments'!$R$22="Debt",IF(AND(Q$4&gt;=$D78,Q$4&lt;$D78+'Incremental Repayments'!$I$31),-PMT('Interest Rate'!$J$16,'Incremental Repayments'!$I$31,(HLOOKUP($D78,$E$4:$CZ$32,28,FALSE)*'Incremental Repayments'!$I$22)),0),0)</f>
        <v>0</v>
      </c>
      <c r="R78" s="783">
        <f>IF('Incremental Repayments'!$R$22="Debt",IF(AND(R$4&gt;=$D78,R$4&lt;$D78+'Incremental Repayments'!$I$31),-PMT('Interest Rate'!$J$16,'Incremental Repayments'!$I$31,(HLOOKUP($D78,$E$4:$CZ$32,28,FALSE)*'Incremental Repayments'!$I$22)),0),0)</f>
        <v>0</v>
      </c>
      <c r="S78" s="783">
        <f>IF('Incremental Repayments'!$R$22="Debt",IF(AND(S$4&gt;=$D78,S$4&lt;$D78+'Incremental Repayments'!$I$31),-PMT('Interest Rate'!$J$16,'Incremental Repayments'!$I$31,(HLOOKUP($D78,$E$4:$CZ$32,28,FALSE)*'Incremental Repayments'!$I$22)),0),0)</f>
        <v>0</v>
      </c>
      <c r="T78" s="783">
        <f>IF('Incremental Repayments'!$R$22="Debt",IF(AND(T$4&gt;=$D78,T$4&lt;$D78+'Incremental Repayments'!$I$31),-PMT('Interest Rate'!$J$16,'Incremental Repayments'!$I$31,(HLOOKUP($D78,$E$4:$CZ$32,28,FALSE)*'Incremental Repayments'!$I$22)),0),0)</f>
        <v>0</v>
      </c>
      <c r="U78" s="783">
        <f>IF('Incremental Repayments'!$R$22="Debt",IF(AND(U$4&gt;=$D78,U$4&lt;$D78+'Incremental Repayments'!$I$31),-PMT('Interest Rate'!$J$16,'Incremental Repayments'!$I$31,(HLOOKUP($D78,$E$4:$CZ$32,28,FALSE)*'Incremental Repayments'!$I$22)),0),0)</f>
        <v>0</v>
      </c>
      <c r="V78" s="783">
        <f>IF('Incremental Repayments'!$R$22="Debt",IF(AND(V$4&gt;=$D78,V$4&lt;$D78+'Incremental Repayments'!$I$31),-PMT('Interest Rate'!$J$16,'Incremental Repayments'!$I$31,(HLOOKUP($D78,$E$4:$CZ$32,28,FALSE)*'Incremental Repayments'!$I$22)),0),0)</f>
        <v>0</v>
      </c>
      <c r="W78" s="783">
        <f>IF('Incremental Repayments'!$R$22="Debt",IF(AND(W$4&gt;=$D78,W$4&lt;$D78+'Incremental Repayments'!$I$31),-PMT('Interest Rate'!$J$16,'Incremental Repayments'!$I$31,(HLOOKUP($D78,$E$4:$CZ$32,28,FALSE)*'Incremental Repayments'!$I$22)),0),0)</f>
        <v>0</v>
      </c>
      <c r="X78" s="783">
        <f>IF('Incremental Repayments'!$R$22="Debt",IF(AND(X$4&gt;=$D78,X$4&lt;$D78+'Incremental Repayments'!$I$31),-PMT('Interest Rate'!$J$16,'Incremental Repayments'!$I$31,(HLOOKUP($D78,$E$4:$CZ$32,28,FALSE)*'Incremental Repayments'!$I$22)),0),0)</f>
        <v>0</v>
      </c>
      <c r="Y78" s="783">
        <f>IF('Incremental Repayments'!$R$22="Debt",IF(AND(Y$4&gt;=$D78,Y$4&lt;$D78+'Incremental Repayments'!$I$31),-PMT('Interest Rate'!$J$16,'Incremental Repayments'!$I$31,(HLOOKUP($D78,$E$4:$CZ$32,28,FALSE)*'Incremental Repayments'!$I$22)),0),0)</f>
        <v>0</v>
      </c>
      <c r="Z78" s="783">
        <f>IF('Incremental Repayments'!$R$22="Debt",IF(AND(Z$4&gt;=$D78,Z$4&lt;$D78+'Incremental Repayments'!$I$31),-PMT('Interest Rate'!$J$16,'Incremental Repayments'!$I$31,(HLOOKUP($D78,$E$4:$CZ$32,28,FALSE)*'Incremental Repayments'!$I$22)),0),0)</f>
        <v>0</v>
      </c>
      <c r="AA78" s="783">
        <f>IF('Incremental Repayments'!$R$22="Debt",IF(AND(AA$4&gt;=$D78,AA$4&lt;$D78+'Incremental Repayments'!$I$31),-PMT('Interest Rate'!$J$16,'Incremental Repayments'!$I$31,(HLOOKUP($D78,$E$4:$CZ$32,28,FALSE)*'Incremental Repayments'!$I$22)),0),0)</f>
        <v>0</v>
      </c>
      <c r="AB78" s="783">
        <f>IF('Incremental Repayments'!$R$22="Debt",IF(AND(AB$4&gt;=$D78,AB$4&lt;$D78+'Incremental Repayments'!$I$31),-PMT('Interest Rate'!$J$16,'Incremental Repayments'!$I$31,(HLOOKUP($D78,$E$4:$CZ$32,28,FALSE)*'Incremental Repayments'!$I$22)),0),0)</f>
        <v>0</v>
      </c>
      <c r="AC78" s="783">
        <f>IF('Incremental Repayments'!$R$22="Debt",IF(AND(AC$4&gt;=$D78,AC$4&lt;$D78+'Incremental Repayments'!$I$31),-PMT('Interest Rate'!$J$16,'Incremental Repayments'!$I$31,(HLOOKUP($D78,$E$4:$CZ$32,28,FALSE)*'Incremental Repayments'!$I$22)),0),0)</f>
        <v>0</v>
      </c>
      <c r="AD78" s="783">
        <f>IF('Incremental Repayments'!$R$22="Debt",IF(AND(AD$4&gt;=$D78,AD$4&lt;$D78+'Incremental Repayments'!$I$31),-PMT('Interest Rate'!$J$16,'Incremental Repayments'!$I$31,(HLOOKUP($D78,$E$4:$CZ$32,28,FALSE)*'Incremental Repayments'!$I$22)),0),0)</f>
        <v>0</v>
      </c>
      <c r="AE78" s="783">
        <f>IF('Incremental Repayments'!$R$22="Debt",IF(AND(AE$4&gt;=$D78,AE$4&lt;$D78+'Incremental Repayments'!$I$31),-PMT('Interest Rate'!$J$16,'Incremental Repayments'!$I$31,(HLOOKUP($D78,$E$4:$CZ$32,28,FALSE)*'Incremental Repayments'!$I$22)),0),0)</f>
        <v>0</v>
      </c>
      <c r="AF78" s="783">
        <f>IF('Incremental Repayments'!$R$22="Debt",IF(AND(AF$4&gt;=$D78,AF$4&lt;$D78+'Incremental Repayments'!$I$31),-PMT('Interest Rate'!$J$16,'Incremental Repayments'!$I$31,(HLOOKUP($D78,$E$4:$CZ$32,28,FALSE)*'Incremental Repayments'!$I$22)),0),0)</f>
        <v>0</v>
      </c>
      <c r="AG78" s="783">
        <f>IF('Incremental Repayments'!$R$22="Debt",IF(AND(AG$4&gt;=$D78,AG$4&lt;$D78+'Incremental Repayments'!$I$31),-PMT('Interest Rate'!$J$16,'Incremental Repayments'!$I$31,(HLOOKUP($D78,$E$4:$CZ$32,28,FALSE)*'Incremental Repayments'!$I$22)),0),0)</f>
        <v>0</v>
      </c>
      <c r="AH78" s="783">
        <f>IF('Incremental Repayments'!$R$22="Debt",IF(AND(AH$4&gt;=$D78,AH$4&lt;$D78+'Incremental Repayments'!$I$31),-PMT('Interest Rate'!$J$16,'Incremental Repayments'!$I$31,(HLOOKUP($D78,$E$4:$CZ$32,28,FALSE)*'Incremental Repayments'!$I$22)),0),0)</f>
        <v>0</v>
      </c>
      <c r="AI78" s="783">
        <f>IF('Incremental Repayments'!$R$22="Debt",IF(AND(AI$4&gt;=$D78,AI$4&lt;$D78+'Incremental Repayments'!$I$31),-PMT('Interest Rate'!$J$16,'Incremental Repayments'!$I$31,(HLOOKUP($D78,$E$4:$CZ$32,28,FALSE)*'Incremental Repayments'!$I$22)),0),0)</f>
        <v>0</v>
      </c>
      <c r="AJ78" s="783">
        <f>IF('Incremental Repayments'!$R$22="Debt",IF(AND(AJ$4&gt;=$D78,AJ$4&lt;$D78+'Incremental Repayments'!$I$31),-PMT('Interest Rate'!$J$16,'Incremental Repayments'!$I$31,(HLOOKUP($D78,$E$4:$CZ$32,28,FALSE)*'Incremental Repayments'!$I$22)),0),0)</f>
        <v>0</v>
      </c>
      <c r="AK78" s="783">
        <f>IF('Incremental Repayments'!$R$22="Debt",IF(AND(AK$4&gt;=$D78,AK$4&lt;$D78+'Incremental Repayments'!$I$31),-PMT('Interest Rate'!$J$16,'Incremental Repayments'!$I$31,(HLOOKUP($D78,$E$4:$CZ$32,28,FALSE)*'Incremental Repayments'!$I$22)),0),0)</f>
        <v>0</v>
      </c>
      <c r="AL78" s="783">
        <f>IF('Incremental Repayments'!$R$22="Debt",IF(AND(AL$4&gt;=$D78,AL$4&lt;$D78+'Incremental Repayments'!$I$31),-PMT('Interest Rate'!$J$16,'Incremental Repayments'!$I$31,(HLOOKUP($D78,$E$4:$CZ$32,28,FALSE)*'Incremental Repayments'!$I$22)),0),0)</f>
        <v>0</v>
      </c>
      <c r="AM78" s="783">
        <f>IF('Incremental Repayments'!$R$22="Debt",IF(AND(AM$4&gt;=$D78,AM$4&lt;$D78+'Incremental Repayments'!$I$31),-PMT('Interest Rate'!$J$16,'Incremental Repayments'!$I$31,(HLOOKUP($D78,$E$4:$CZ$32,28,FALSE)*'Incremental Repayments'!$I$22)),0),0)</f>
        <v>0</v>
      </c>
      <c r="AN78" s="783">
        <f>IF('Incremental Repayments'!$R$22="Debt",IF(AND(AN$4&gt;=$D78,AN$4&lt;$D78+'Incremental Repayments'!$I$31),-PMT('Interest Rate'!$J$16,'Incremental Repayments'!$I$31,(HLOOKUP($D78,$E$4:$CZ$32,28,FALSE)*'Incremental Repayments'!$I$22)),0),0)</f>
        <v>0</v>
      </c>
      <c r="AO78" s="783">
        <f>IF('Incremental Repayments'!$R$22="Debt",IF(AND(AO$4&gt;=$D78,AO$4&lt;$D78+'Incremental Repayments'!$I$31),-PMT('Interest Rate'!$J$16,'Incremental Repayments'!$I$31,(HLOOKUP($D78,$E$4:$CZ$32,28,FALSE)*'Incremental Repayments'!$I$22)),0),0)</f>
        <v>0</v>
      </c>
      <c r="AP78" s="783">
        <f>IF('Incremental Repayments'!$R$22="Debt",IF(AND(AP$4&gt;=$D78,AP$4&lt;$D78+'Incremental Repayments'!$I$31),-PMT('Interest Rate'!$J$16,'Incremental Repayments'!$I$31,(HLOOKUP($D78,$E$4:$CZ$32,28,FALSE)*'Incremental Repayments'!$I$22)),0),0)</f>
        <v>0</v>
      </c>
      <c r="AQ78" s="783">
        <f>IF('Incremental Repayments'!$R$22="Debt",IF(AND(AQ$4&gt;=$D78,AQ$4&lt;$D78+'Incremental Repayments'!$I$31),-PMT('Interest Rate'!$J$16,'Incremental Repayments'!$I$31,(HLOOKUP($D78,$E$4:$CZ$32,28,FALSE)*'Incremental Repayments'!$I$22)),0),0)</f>
        <v>0</v>
      </c>
      <c r="AR78" s="783">
        <f>IF('Incremental Repayments'!$R$22="Debt",IF(AND(AR$4&gt;=$D78,AR$4&lt;$D78+'Incremental Repayments'!$I$31),-PMT('Interest Rate'!$J$16,'Incremental Repayments'!$I$31,(HLOOKUP($D78,$E$4:$CZ$32,28,FALSE)*'Incremental Repayments'!$I$22)),0),0)</f>
        <v>0</v>
      </c>
      <c r="AS78" s="783">
        <f>IF('Incremental Repayments'!$R$22="Debt",IF(AND(AS$4&gt;=$D78,AS$4&lt;$D78+'Incremental Repayments'!$I$31),-PMT('Interest Rate'!$J$16,'Incremental Repayments'!$I$31,(HLOOKUP($D78,$E$4:$CZ$32,28,FALSE)*'Incremental Repayments'!$I$22)),0),0)</f>
        <v>0</v>
      </c>
      <c r="AT78" s="783">
        <f>IF('Incremental Repayments'!$R$22="Debt",IF(AND(AT$4&gt;=$D78,AT$4&lt;$D78+'Incremental Repayments'!$I$31),-PMT('Interest Rate'!$J$16,'Incremental Repayments'!$I$31,(HLOOKUP($D78,$E$4:$CZ$32,28,FALSE)*'Incremental Repayments'!$I$22)),0),0)</f>
        <v>0</v>
      </c>
      <c r="AU78" s="783">
        <f>IF('Incremental Repayments'!$R$22="Debt",IF(AND(AU$4&gt;=$D78,AU$4&lt;$D78+'Incremental Repayments'!$I$31),-PMT('Interest Rate'!$J$16,'Incremental Repayments'!$I$31,(HLOOKUP($D78,$E$4:$CZ$32,28,FALSE)*'Incremental Repayments'!$I$22)),0),0)</f>
        <v>1965.6236068454496</v>
      </c>
      <c r="AV78" s="783">
        <f>IF('Incremental Repayments'!$R$22="Debt",IF(AND(AV$4&gt;=$D78,AV$4&lt;$D78+'Incremental Repayments'!$I$31),-PMT('Interest Rate'!$J$16,'Incremental Repayments'!$I$31,(HLOOKUP($D78,$E$4:$CZ$32,28,FALSE)*'Incremental Repayments'!$I$22)),0),0)</f>
        <v>1965.6236068454496</v>
      </c>
      <c r="AW78" s="783">
        <f>IF('Incremental Repayments'!$R$22="Debt",IF(AND(AW$4&gt;=$D78,AW$4&lt;$D78+'Incremental Repayments'!$I$31),-PMT('Interest Rate'!$J$16,'Incremental Repayments'!$I$31,(HLOOKUP($D78,$E$4:$CZ$32,28,FALSE)*'Incremental Repayments'!$I$22)),0),0)</f>
        <v>1965.6236068454496</v>
      </c>
      <c r="AX78" s="783">
        <f>IF('Incremental Repayments'!$R$22="Debt",IF(AND(AX$4&gt;=$D78,AX$4&lt;$D78+'Incremental Repayments'!$I$31),-PMT('Interest Rate'!$J$16,'Incremental Repayments'!$I$31,(HLOOKUP($D78,$E$4:$CZ$32,28,FALSE)*'Incremental Repayments'!$I$22)),0),0)</f>
        <v>1965.6236068454496</v>
      </c>
      <c r="AY78" s="783">
        <f>IF('Incremental Repayments'!$R$22="Debt",IF(AND(AY$4&gt;=$D78,AY$4&lt;$D78+'Incremental Repayments'!$I$31),-PMT('Interest Rate'!$J$16,'Incremental Repayments'!$I$31,(HLOOKUP($D78,$E$4:$CZ$32,28,FALSE)*'Incremental Repayments'!$I$22)),0),0)</f>
        <v>1965.6236068454496</v>
      </c>
      <c r="AZ78" s="783">
        <f>IF('Incremental Repayments'!$R$22="Debt",IF(AND(AZ$4&gt;=$D78,AZ$4&lt;$D78+'Incremental Repayments'!$I$31),-PMT('Interest Rate'!$J$16,'Incremental Repayments'!$I$31,(HLOOKUP($D78,$E$4:$CZ$32,28,FALSE)*'Incremental Repayments'!$I$22)),0),0)</f>
        <v>1965.6236068454496</v>
      </c>
      <c r="BA78" s="783">
        <f>IF('Incremental Repayments'!$R$22="Debt",IF(AND(BA$4&gt;=$D78,BA$4&lt;$D78+'Incremental Repayments'!$I$31),-PMT('Interest Rate'!$J$16,'Incremental Repayments'!$I$31,(HLOOKUP($D78,$E$4:$CZ$32,28,FALSE)*'Incremental Repayments'!$I$22)),0),0)</f>
        <v>1965.6236068454496</v>
      </c>
      <c r="BB78" s="783">
        <f>IF('Incremental Repayments'!$R$22="Debt",IF(AND(BB$4&gt;=$D78,BB$4&lt;$D78+'Incremental Repayments'!$I$31),-PMT('Interest Rate'!$J$16,'Incremental Repayments'!$I$31,(HLOOKUP($D78,$E$4:$CZ$32,28,FALSE)*'Incremental Repayments'!$I$22)),0),0)</f>
        <v>1965.6236068454496</v>
      </c>
      <c r="BC78" s="783">
        <f>IF('Incremental Repayments'!$R$22="Debt",IF(AND(BC$4&gt;=$D78,BC$4&lt;$D78+'Incremental Repayments'!$I$31),-PMT('Interest Rate'!$J$16,'Incremental Repayments'!$I$31,(HLOOKUP($D78,$E$4:$CZ$32,28,FALSE)*'Incremental Repayments'!$I$22)),0),0)</f>
        <v>1965.6236068454496</v>
      </c>
      <c r="BD78" s="783">
        <f>IF('Incremental Repayments'!$R$22="Debt",IF(AND(BD$4&gt;=$D78,BD$4&lt;$D78+'Incremental Repayments'!$I$31),-PMT('Interest Rate'!$J$16,'Incremental Repayments'!$I$31,(HLOOKUP($D78,$E$4:$CZ$32,28,FALSE)*'Incremental Repayments'!$I$22)),0),0)</f>
        <v>1965.6236068454496</v>
      </c>
      <c r="BE78" s="783">
        <f>IF('Incremental Repayments'!$R$22="Debt",IF(AND(BE$4&gt;=$D78,BE$4&lt;$D78+'Incremental Repayments'!$I$31),-PMT('Interest Rate'!$J$16,'Incremental Repayments'!$I$31,(HLOOKUP($D78,$E$4:$CZ$32,28,FALSE)*'Incremental Repayments'!$I$22)),0),0)</f>
        <v>1965.6236068454496</v>
      </c>
      <c r="BF78" s="783">
        <f>IF('Incremental Repayments'!$R$22="Debt",IF(AND(BF$4&gt;=$D78,BF$4&lt;$D78+'Incremental Repayments'!$I$31),-PMT('Interest Rate'!$J$16,'Incremental Repayments'!$I$31,(HLOOKUP($D78,$E$4:$CZ$32,28,FALSE)*'Incremental Repayments'!$I$22)),0),0)</f>
        <v>1965.6236068454496</v>
      </c>
      <c r="BG78" s="783">
        <f>IF('Incremental Repayments'!$R$22="Debt",IF(AND(BG$4&gt;=$D78,BG$4&lt;$D78+'Incremental Repayments'!$I$31),-PMT('Interest Rate'!$J$16,'Incremental Repayments'!$I$31,(HLOOKUP($D78,$E$4:$CZ$32,28,FALSE)*'Incremental Repayments'!$I$22)),0),0)</f>
        <v>1965.6236068454496</v>
      </c>
      <c r="BH78" s="783">
        <f>IF('Incremental Repayments'!$R$22="Debt",IF(AND(BH$4&gt;=$D78,BH$4&lt;$D78+'Incremental Repayments'!$I$31),-PMT('Interest Rate'!$J$16,'Incremental Repayments'!$I$31,(HLOOKUP($D78,$E$4:$CZ$32,28,FALSE)*'Incremental Repayments'!$I$22)),0),0)</f>
        <v>1965.6236068454496</v>
      </c>
      <c r="BI78" s="783">
        <f>IF('Incremental Repayments'!$R$22="Debt",IF(AND(BI$4&gt;=$D78,BI$4&lt;$D78+'Incremental Repayments'!$I$31),-PMT('Interest Rate'!$J$16,'Incremental Repayments'!$I$31,(HLOOKUP($D78,$E$4:$CZ$32,28,FALSE)*'Incremental Repayments'!$I$22)),0),0)</f>
        <v>1965.6236068454496</v>
      </c>
      <c r="BJ78" s="783">
        <f>IF('Incremental Repayments'!$R$22="Debt",IF(AND(BJ$4&gt;=$D78,BJ$4&lt;$D78+'Incremental Repayments'!$I$31),-PMT('Interest Rate'!$J$16,'Incremental Repayments'!$I$31,(HLOOKUP($D78,$E$4:$CZ$32,28,FALSE)*'Incremental Repayments'!$I$22)),0),0)</f>
        <v>1965.6236068454496</v>
      </c>
      <c r="BK78" s="783">
        <f>IF('Incremental Repayments'!$R$22="Debt",IF(AND(BK$4&gt;=$D78,BK$4&lt;$D78+'Incremental Repayments'!$I$31),-PMT('Interest Rate'!$J$16,'Incremental Repayments'!$I$31,(HLOOKUP($D78,$E$4:$CZ$32,28,FALSE)*'Incremental Repayments'!$I$22)),0),0)</f>
        <v>1965.6236068454496</v>
      </c>
      <c r="BL78" s="783">
        <f>IF('Incremental Repayments'!$R$22="Debt",IF(AND(BL$4&gt;=$D78,BL$4&lt;$D78+'Incremental Repayments'!$I$31),-PMT('Interest Rate'!$J$16,'Incremental Repayments'!$I$31,(HLOOKUP($D78,$E$4:$CZ$32,28,FALSE)*'Incremental Repayments'!$I$22)),0),0)</f>
        <v>1965.6236068454496</v>
      </c>
      <c r="BM78" s="783">
        <f>IF('Incremental Repayments'!$R$22="Debt",IF(AND(BM$4&gt;=$D78,BM$4&lt;$D78+'Incremental Repayments'!$I$31),-PMT('Interest Rate'!$J$16,'Incremental Repayments'!$I$31,(HLOOKUP($D78,$E$4:$CZ$32,28,FALSE)*'Incremental Repayments'!$I$22)),0),0)</f>
        <v>1965.6236068454496</v>
      </c>
      <c r="BN78" s="783">
        <f>IF('Incremental Repayments'!$R$22="Debt",IF(AND(BN$4&gt;=$D78,BN$4&lt;$D78+'Incremental Repayments'!$I$31),-PMT('Interest Rate'!$J$16,'Incremental Repayments'!$I$31,(HLOOKUP($D78,$E$4:$CZ$32,28,FALSE)*'Incremental Repayments'!$I$22)),0),0)</f>
        <v>1965.6236068454496</v>
      </c>
      <c r="BO78" s="783">
        <f>IF('Incremental Repayments'!$R$22="Debt",IF(AND(BO$4&gt;=$D78,BO$4&lt;$D78+'Incremental Repayments'!$I$31),-PMT('Interest Rate'!$J$16,'Incremental Repayments'!$I$31,(HLOOKUP($D78,$E$4:$CZ$32,28,FALSE)*'Incremental Repayments'!$I$22)),0),0)</f>
        <v>1965.6236068454496</v>
      </c>
      <c r="BP78" s="783">
        <f>IF('Incremental Repayments'!$R$22="Debt",IF(AND(BP$4&gt;=$D78,BP$4&lt;$D78+'Incremental Repayments'!$I$31),-PMT('Interest Rate'!$J$16,'Incremental Repayments'!$I$31,(HLOOKUP($D78,$E$4:$CZ$32,28,FALSE)*'Incremental Repayments'!$I$22)),0),0)</f>
        <v>1965.6236068454496</v>
      </c>
      <c r="BQ78" s="783">
        <f>IF('Incremental Repayments'!$R$22="Debt",IF(AND(BQ$4&gt;=$D78,BQ$4&lt;$D78+'Incremental Repayments'!$I$31),-PMT('Interest Rate'!$J$16,'Incremental Repayments'!$I$31,(HLOOKUP($D78,$E$4:$CZ$32,28,FALSE)*'Incremental Repayments'!$I$22)),0),0)</f>
        <v>1965.6236068454496</v>
      </c>
      <c r="BR78" s="783">
        <f>IF('Incremental Repayments'!$R$22="Debt",IF(AND(BR$4&gt;=$D78,BR$4&lt;$D78+'Incremental Repayments'!$I$31),-PMT('Interest Rate'!$J$16,'Incremental Repayments'!$I$31,(HLOOKUP($D78,$E$4:$CZ$32,28,FALSE)*'Incremental Repayments'!$I$22)),0),0)</f>
        <v>1965.6236068454496</v>
      </c>
      <c r="BS78" s="783">
        <f>IF('Incremental Repayments'!$R$22="Debt",IF(AND(BS$4&gt;=$D78,BS$4&lt;$D78+'Incremental Repayments'!$I$31),-PMT('Interest Rate'!$J$16,'Incremental Repayments'!$I$31,(HLOOKUP($D78,$E$4:$CZ$32,28,FALSE)*'Incremental Repayments'!$I$22)),0),0)</f>
        <v>1965.6236068454496</v>
      </c>
      <c r="BT78" s="783">
        <f>IF('Incremental Repayments'!$R$22="Debt",IF(AND(BT$4&gt;=$D78,BT$4&lt;$D78+'Incremental Repayments'!$I$31),-PMT('Interest Rate'!$J$16,'Incremental Repayments'!$I$31,(HLOOKUP($D78,$E$4:$CZ$32,28,FALSE)*'Incremental Repayments'!$I$22)),0),0)</f>
        <v>1965.6236068454496</v>
      </c>
      <c r="BU78" s="783">
        <f>IF('Incremental Repayments'!$R$22="Debt",IF(AND(BU$4&gt;=$D78,BU$4&lt;$D78+'Incremental Repayments'!$I$31),-PMT('Interest Rate'!$J$16,'Incremental Repayments'!$I$31,(HLOOKUP($D78,$E$4:$CZ$32,28,FALSE)*'Incremental Repayments'!$I$22)),0),0)</f>
        <v>1965.6236068454496</v>
      </c>
      <c r="BV78" s="783">
        <f>IF('Incremental Repayments'!$R$22="Debt",IF(AND(BV$4&gt;=$D78,BV$4&lt;$D78+'Incremental Repayments'!$I$31),-PMT('Interest Rate'!$J$16,'Incremental Repayments'!$I$31,(HLOOKUP($D78,$E$4:$CZ$32,28,FALSE)*'Incremental Repayments'!$I$22)),0),0)</f>
        <v>1965.6236068454496</v>
      </c>
      <c r="BW78" s="783">
        <f>IF('Incremental Repayments'!$R$22="Debt",IF(AND(BW$4&gt;=$D78,BW$4&lt;$D78+'Incremental Repayments'!$I$31),-PMT('Interest Rate'!$J$16,'Incremental Repayments'!$I$31,(HLOOKUP($D78,$E$4:$CZ$32,28,FALSE)*'Incremental Repayments'!$I$22)),0),0)</f>
        <v>1965.6236068454496</v>
      </c>
      <c r="BX78" s="783">
        <f>IF('Incremental Repayments'!$R$22="Debt",IF(AND(BX$4&gt;=$D78,BX$4&lt;$D78+'Incremental Repayments'!$I$31),-PMT('Interest Rate'!$J$16,'Incremental Repayments'!$I$31,(HLOOKUP($D78,$E$4:$CZ$32,28,FALSE)*'Incremental Repayments'!$I$22)),0),0)</f>
        <v>1965.6236068454496</v>
      </c>
      <c r="BY78" s="783">
        <f>IF('Incremental Repayments'!$R$22="Debt",IF(AND(BY$4&gt;=$D78,BY$4&lt;$D78+'Incremental Repayments'!$I$31),-PMT('Interest Rate'!$J$16,'Incremental Repayments'!$I$31,(HLOOKUP($D78,$E$4:$CZ$32,28,FALSE)*'Incremental Repayments'!$I$22)),0),0)</f>
        <v>0</v>
      </c>
      <c r="BZ78" s="783">
        <f>IF('Incremental Repayments'!$R$22="Debt",IF(AND(BZ$4&gt;=$D78,BZ$4&lt;$D78+'Incremental Repayments'!$I$31),-PMT('Interest Rate'!$J$16,'Incremental Repayments'!$I$31,(HLOOKUP($D78,$E$4:$CZ$32,28,FALSE)*'Incremental Repayments'!$I$22)),0),0)</f>
        <v>0</v>
      </c>
      <c r="CA78" s="783">
        <f>IF('Incremental Repayments'!$R$22="Debt",IF(AND(CA$4&gt;=$D78,CA$4&lt;$D78+'Incremental Repayments'!$I$31),-PMT('Interest Rate'!$J$16,'Incremental Repayments'!$I$31,(HLOOKUP($D78,$E$4:$CZ$32,28,FALSE)*'Incremental Repayments'!$I$22)),0),0)</f>
        <v>0</v>
      </c>
      <c r="CB78" s="783">
        <f>IF('Incremental Repayments'!$R$22="Debt",IF(AND(CB$4&gt;=$D78,CB$4&lt;$D78+'Incremental Repayments'!$I$31),-PMT('Interest Rate'!$J$16,'Incremental Repayments'!$I$31,(HLOOKUP($D78,$E$4:$CZ$32,28,FALSE)*'Incremental Repayments'!$I$22)),0),0)</f>
        <v>0</v>
      </c>
      <c r="CC78" s="783">
        <f>IF('Incremental Repayments'!$R$22="Debt",IF(AND(CC$4&gt;=$D78,CC$4&lt;$D78+'Incremental Repayments'!$I$31),-PMT('Interest Rate'!$J$16,'Incremental Repayments'!$I$31,(HLOOKUP($D78,$E$4:$CZ$32,28,FALSE)*'Incremental Repayments'!$I$22)),0),0)</f>
        <v>0</v>
      </c>
      <c r="CD78" s="783">
        <f>IF('Incremental Repayments'!$R$22="Debt",IF(AND(CD$4&gt;=$D78,CD$4&lt;$D78+'Incremental Repayments'!$I$31),-PMT('Interest Rate'!$J$16,'Incremental Repayments'!$I$31,(HLOOKUP($D78,$E$4:$CZ$32,28,FALSE)*'Incremental Repayments'!$I$22)),0),0)</f>
        <v>0</v>
      </c>
      <c r="CE78" s="783">
        <f>IF('Incremental Repayments'!$R$22="Debt",IF(AND(CE$4&gt;=$D78,CE$4&lt;$D78+'Incremental Repayments'!$I$31),-PMT('Interest Rate'!$J$16,'Incremental Repayments'!$I$31,(HLOOKUP($D78,$E$4:$CZ$32,28,FALSE)*'Incremental Repayments'!$I$22)),0),0)</f>
        <v>0</v>
      </c>
      <c r="CF78" s="783">
        <f>IF('Incremental Repayments'!$R$22="Debt",IF(AND(CF$4&gt;=$D78,CF$4&lt;$D78+'Incremental Repayments'!$I$31),-PMT('Interest Rate'!$J$16,'Incremental Repayments'!$I$31,(HLOOKUP($D78,$E$4:$CZ$32,28,FALSE)*'Incremental Repayments'!$I$22)),0),0)</f>
        <v>0</v>
      </c>
      <c r="CG78" s="783">
        <f>IF('Incremental Repayments'!$R$22="Debt",IF(AND(CG$4&gt;=$D78,CG$4&lt;$D78+'Incremental Repayments'!$I$31),-PMT('Interest Rate'!$J$16,'Incremental Repayments'!$I$31,(HLOOKUP($D78,$E$4:$CZ$32,28,FALSE)*'Incremental Repayments'!$I$22)),0),0)</f>
        <v>0</v>
      </c>
      <c r="CH78" s="783">
        <f>IF('Incremental Repayments'!$R$22="Debt",IF(AND(CH$4&gt;=$D78,CH$4&lt;$D78+'Incremental Repayments'!$I$31),-PMT('Interest Rate'!$J$16,'Incremental Repayments'!$I$31,(HLOOKUP($D78,$E$4:$CZ$32,28,FALSE)*'Incremental Repayments'!$I$22)),0),0)</f>
        <v>0</v>
      </c>
      <c r="CI78" s="783">
        <f>IF('Incremental Repayments'!$R$22="Debt",IF(AND(CI$4&gt;=$D78,CI$4&lt;$D78+'Incremental Repayments'!$I$31),-PMT('Interest Rate'!$J$16,'Incremental Repayments'!$I$31,(HLOOKUP($D78,$E$4:$CZ$32,28,FALSE)*'Incremental Repayments'!$I$22)),0),0)</f>
        <v>0</v>
      </c>
      <c r="CJ78" s="783">
        <f>IF('Incremental Repayments'!$R$22="Debt",IF(AND(CJ$4&gt;=$D78,CJ$4&lt;$D78+'Incremental Repayments'!$I$31),-PMT('Interest Rate'!$J$16,'Incremental Repayments'!$I$31,(HLOOKUP($D78,$E$4:$CZ$32,28,FALSE)*'Incremental Repayments'!$I$22)),0),0)</f>
        <v>0</v>
      </c>
      <c r="CK78" s="783">
        <f>IF('Incremental Repayments'!$R$22="Debt",IF(AND(CK$4&gt;=$D78,CK$4&lt;$D78+'Incremental Repayments'!$I$31),-PMT('Interest Rate'!$J$16,'Incremental Repayments'!$I$31,(HLOOKUP($D78,$E$4:$CZ$32,28,FALSE)*'Incremental Repayments'!$I$22)),0),0)</f>
        <v>0</v>
      </c>
      <c r="CL78" s="783">
        <f>IF('Incremental Repayments'!$R$22="Debt",IF(AND(CL$4&gt;=$D78,CL$4&lt;$D78+'Incremental Repayments'!$I$31),-PMT('Interest Rate'!$J$16,'Incremental Repayments'!$I$31,(HLOOKUP($D78,$E$4:$CZ$32,28,FALSE)*'Incremental Repayments'!$I$22)),0),0)</f>
        <v>0</v>
      </c>
      <c r="CM78" s="783">
        <f>IF('Incremental Repayments'!$R$22="Debt",IF(AND(CM$4&gt;=$D78,CM$4&lt;$D78+'Incremental Repayments'!$I$31),-PMT('Interest Rate'!$J$16,'Incremental Repayments'!$I$31,(HLOOKUP($D78,$E$4:$CZ$32,28,FALSE)*'Incremental Repayments'!$I$22)),0),0)</f>
        <v>0</v>
      </c>
      <c r="CN78" s="783">
        <f>IF('Incremental Repayments'!$R$22="Debt",IF(AND(CN$4&gt;=$D78,CN$4&lt;$D78+'Incremental Repayments'!$I$31),-PMT('Interest Rate'!$J$16,'Incremental Repayments'!$I$31,(HLOOKUP($D78,$E$4:$CZ$32,28,FALSE)*'Incremental Repayments'!$I$22)),0),0)</f>
        <v>0</v>
      </c>
      <c r="CO78" s="783">
        <f>IF('Incremental Repayments'!$R$22="Debt",IF(AND(CO$4&gt;=$D78,CO$4&lt;$D78+'Incremental Repayments'!$I$31),-PMT('Interest Rate'!$J$16,'Incremental Repayments'!$I$31,(HLOOKUP($D78,$E$4:$CZ$32,28,FALSE)*'Incremental Repayments'!$I$22)),0),0)</f>
        <v>0</v>
      </c>
      <c r="CP78" s="783">
        <f>IF('Incremental Repayments'!$R$22="Debt",IF(AND(CP$4&gt;=$D78,CP$4&lt;$D78+'Incremental Repayments'!$I$31),-PMT('Interest Rate'!$J$16,'Incremental Repayments'!$I$31,(HLOOKUP($D78,$E$4:$CZ$32,28,FALSE)*'Incremental Repayments'!$I$22)),0),0)</f>
        <v>0</v>
      </c>
      <c r="CQ78" s="783">
        <f>IF('Incremental Repayments'!$R$22="Debt",IF(AND(CQ$4&gt;=$D78,CQ$4&lt;$D78+'Incremental Repayments'!$I$31),-PMT('Interest Rate'!$J$16,'Incremental Repayments'!$I$31,(HLOOKUP($D78,$E$4:$CZ$32,28,FALSE)*'Incremental Repayments'!$I$22)),0),0)</f>
        <v>0</v>
      </c>
      <c r="CR78" s="783">
        <f>IF('Incremental Repayments'!$R$22="Debt",IF(AND(CR$4&gt;=$D78,CR$4&lt;$D78+'Incremental Repayments'!$I$31),-PMT('Interest Rate'!$J$16,'Incremental Repayments'!$I$31,(HLOOKUP($D78,$E$4:$CZ$32,28,FALSE)*'Incremental Repayments'!$I$22)),0),0)</f>
        <v>0</v>
      </c>
      <c r="CS78" s="783">
        <f>IF('Incremental Repayments'!$R$22="Debt",IF(AND(CS$4&gt;=$D78,CS$4&lt;$D78+'Incremental Repayments'!$I$31),-PMT('Interest Rate'!$J$16,'Incremental Repayments'!$I$31,(HLOOKUP($D78,$E$4:$CZ$32,28,FALSE)*'Incremental Repayments'!$I$22)),0),0)</f>
        <v>0</v>
      </c>
      <c r="CT78" s="783">
        <f>IF('Incremental Repayments'!$R$22="Debt",IF(AND(CT$4&gt;=$D78,CT$4&lt;$D78+'Incremental Repayments'!$I$31),-PMT('Interest Rate'!$J$16,'Incremental Repayments'!$I$31,(HLOOKUP($D78,$E$4:$CZ$32,28,FALSE)*'Incremental Repayments'!$I$22)),0),0)</f>
        <v>0</v>
      </c>
      <c r="CU78" s="783">
        <f>IF('Incremental Repayments'!$R$22="Debt",IF(AND(CU$4&gt;=$D78,CU$4&lt;$D78+'Incremental Repayments'!$I$31),-PMT('Interest Rate'!$J$16,'Incremental Repayments'!$I$31,(HLOOKUP($D78,$E$4:$CZ$32,28,FALSE)*'Incremental Repayments'!$I$22)),0),0)</f>
        <v>0</v>
      </c>
      <c r="CV78" s="783">
        <f>IF('Incremental Repayments'!$R$22="Debt",IF(AND(CV$4&gt;=$D78,CV$4&lt;$D78+'Incremental Repayments'!$I$31),-PMT('Interest Rate'!$J$16,'Incremental Repayments'!$I$31,(HLOOKUP($D78,$E$4:$CZ$32,28,FALSE)*'Incremental Repayments'!$I$22)),0),0)</f>
        <v>0</v>
      </c>
      <c r="CW78" s="783">
        <f>IF('Incremental Repayments'!$R$22="Debt",IF(AND(CW$4&gt;=$D78,CW$4&lt;$D78+'Incremental Repayments'!$I$31),-PMT('Interest Rate'!$J$16,'Incremental Repayments'!$I$31,(HLOOKUP($D78,$E$4:$CZ$32,28,FALSE)*'Incremental Repayments'!$I$22)),0),0)</f>
        <v>0</v>
      </c>
      <c r="CX78" s="783">
        <f>IF('Incremental Repayments'!$R$22="Debt",IF(AND(CX$4&gt;=$D78,CX$4&lt;$D78+'Incremental Repayments'!$I$31),-PMT('Interest Rate'!$J$16,'Incremental Repayments'!$I$31,(HLOOKUP($D78,$E$4:$CZ$32,28,FALSE)*'Incremental Repayments'!$I$22)),0),0)</f>
        <v>0</v>
      </c>
      <c r="CY78" s="783">
        <f>IF('Incremental Repayments'!$R$22="Debt",IF(AND(CY$4&gt;=$D78,CY$4&lt;$D78+'Incremental Repayments'!$I$31),-PMT('Interest Rate'!$J$16,'Incremental Repayments'!$I$31,(HLOOKUP($D78,$E$4:$CZ$32,28,FALSE)*'Incremental Repayments'!$I$22)),0),0)</f>
        <v>0</v>
      </c>
      <c r="CZ78" s="783">
        <f>IF('Incremental Repayments'!$R$22="Debt",IF(AND(CZ$4&gt;=$D78,CZ$4&lt;$D78+'Incremental Repayments'!$I$31),-PMT('Interest Rate'!$J$16,'Incremental Repayments'!$I$31,(HLOOKUP($D78,$E$4:$CZ$32,28,FALSE)*'Incremental Repayments'!$I$22)),0),0)</f>
        <v>0</v>
      </c>
    </row>
    <row r="79" spans="2:104" x14ac:dyDescent="0.25">
      <c r="B79" s="480" t="str">
        <f>CONCATENATE("Series ",D79,"A Bonds (at ",'Interest Rate'!$J$16*100,"% Interest)")</f>
        <v>Series 2057A Bonds (at 4.5% Interest)</v>
      </c>
      <c r="C79" s="480"/>
      <c r="D79" s="492">
        <f t="shared" si="47"/>
        <v>2057</v>
      </c>
      <c r="E79" s="783">
        <f>IF('Incremental Repayments'!$R$22="Debt",IF(AND(E$4&gt;=$D79,E$4&lt;$D79+'Incremental Repayments'!$I$31),-PMT('Interest Rate'!$J$16,'Incremental Repayments'!$I$31,(HLOOKUP($D79,$E$4:$CZ$32,28,FALSE)*'Incremental Repayments'!$I$22)),0),0)</f>
        <v>0</v>
      </c>
      <c r="F79" s="783">
        <f>IF('Incremental Repayments'!$R$22="Debt",IF(AND(F$4&gt;=$D79,F$4&lt;$D79+'Incremental Repayments'!$I$31),-PMT('Interest Rate'!$J$16,'Incremental Repayments'!$I$31,(HLOOKUP($D79,$E$4:$CZ$32,28,FALSE)*'Incremental Repayments'!$I$22)),0),0)</f>
        <v>0</v>
      </c>
      <c r="G79" s="783">
        <f>IF('Incremental Repayments'!$R$22="Debt",IF(AND(G$4&gt;=$D79,G$4&lt;$D79+'Incremental Repayments'!$I$31),-PMT('Interest Rate'!$J$16,'Incremental Repayments'!$I$31,(HLOOKUP($D79,$E$4:$CZ$32,28,FALSE)*'Incremental Repayments'!$I$22)),0),0)</f>
        <v>0</v>
      </c>
      <c r="H79" s="783">
        <f>IF('Incremental Repayments'!$R$22="Debt",IF(AND(H$4&gt;=$D79,H$4&lt;$D79+'Incremental Repayments'!$I$31),-PMT('Interest Rate'!$J$16,'Incremental Repayments'!$I$31,(HLOOKUP($D79,$E$4:$CZ$32,28,FALSE)*'Incremental Repayments'!$I$22)),0),0)</f>
        <v>0</v>
      </c>
      <c r="I79" s="783">
        <f>IF('Incremental Repayments'!$R$22="Debt",IF(AND(I$4&gt;=$D79,I$4&lt;$D79+'Incremental Repayments'!$I$31),-PMT('Interest Rate'!$J$16,'Incremental Repayments'!$I$31,(HLOOKUP($D79,$E$4:$CZ$32,28,FALSE)*'Incremental Repayments'!$I$22)),0),0)</f>
        <v>0</v>
      </c>
      <c r="J79" s="783">
        <f>IF('Incremental Repayments'!$R$22="Debt",IF(AND(J$4&gt;=$D79,J$4&lt;$D79+'Incremental Repayments'!$I$31),-PMT('Interest Rate'!$J$16,'Incremental Repayments'!$I$31,(HLOOKUP($D79,$E$4:$CZ$32,28,FALSE)*'Incremental Repayments'!$I$22)),0),0)</f>
        <v>0</v>
      </c>
      <c r="K79" s="783">
        <f>IF('Incremental Repayments'!$R$22="Debt",IF(AND(K$4&gt;=$D79,K$4&lt;$D79+'Incremental Repayments'!$I$31),-PMT('Interest Rate'!$J$16,'Incremental Repayments'!$I$31,(HLOOKUP($D79,$E$4:$CZ$32,28,FALSE)*'Incremental Repayments'!$I$22)),0),0)</f>
        <v>0</v>
      </c>
      <c r="L79" s="783">
        <f>IF('Incremental Repayments'!$R$22="Debt",IF(AND(L$4&gt;=$D79,L$4&lt;$D79+'Incremental Repayments'!$I$31),-PMT('Interest Rate'!$J$16,'Incremental Repayments'!$I$31,(HLOOKUP($D79,$E$4:$CZ$32,28,FALSE)*'Incremental Repayments'!$I$22)),0),0)</f>
        <v>0</v>
      </c>
      <c r="M79" s="783">
        <f>IF('Incremental Repayments'!$R$22="Debt",IF(AND(M$4&gt;=$D79,M$4&lt;$D79+'Incremental Repayments'!$I$31),-PMT('Interest Rate'!$J$16,'Incremental Repayments'!$I$31,(HLOOKUP($D79,$E$4:$CZ$32,28,FALSE)*'Incremental Repayments'!$I$22)),0),0)</f>
        <v>0</v>
      </c>
      <c r="N79" s="783">
        <f>IF('Incremental Repayments'!$R$22="Debt",IF(AND(N$4&gt;=$D79,N$4&lt;$D79+'Incremental Repayments'!$I$31),-PMT('Interest Rate'!$J$16,'Incremental Repayments'!$I$31,(HLOOKUP($D79,$E$4:$CZ$32,28,FALSE)*'Incremental Repayments'!$I$22)),0),0)</f>
        <v>0</v>
      </c>
      <c r="O79" s="783">
        <f>IF('Incremental Repayments'!$R$22="Debt",IF(AND(O$4&gt;=$D79,O$4&lt;$D79+'Incremental Repayments'!$I$31),-PMT('Interest Rate'!$J$16,'Incremental Repayments'!$I$31,(HLOOKUP($D79,$E$4:$CZ$32,28,FALSE)*'Incremental Repayments'!$I$22)),0),0)</f>
        <v>0</v>
      </c>
      <c r="P79" s="783">
        <f>IF('Incremental Repayments'!$R$22="Debt",IF(AND(P$4&gt;=$D79,P$4&lt;$D79+'Incremental Repayments'!$I$31),-PMT('Interest Rate'!$J$16,'Incremental Repayments'!$I$31,(HLOOKUP($D79,$E$4:$CZ$32,28,FALSE)*'Incremental Repayments'!$I$22)),0),0)</f>
        <v>0</v>
      </c>
      <c r="Q79" s="783">
        <f>IF('Incremental Repayments'!$R$22="Debt",IF(AND(Q$4&gt;=$D79,Q$4&lt;$D79+'Incremental Repayments'!$I$31),-PMT('Interest Rate'!$J$16,'Incremental Repayments'!$I$31,(HLOOKUP($D79,$E$4:$CZ$32,28,FALSE)*'Incremental Repayments'!$I$22)),0),0)</f>
        <v>0</v>
      </c>
      <c r="R79" s="783">
        <f>IF('Incremental Repayments'!$R$22="Debt",IF(AND(R$4&gt;=$D79,R$4&lt;$D79+'Incremental Repayments'!$I$31),-PMT('Interest Rate'!$J$16,'Incremental Repayments'!$I$31,(HLOOKUP($D79,$E$4:$CZ$32,28,FALSE)*'Incremental Repayments'!$I$22)),0),0)</f>
        <v>0</v>
      </c>
      <c r="S79" s="783">
        <f>IF('Incremental Repayments'!$R$22="Debt",IF(AND(S$4&gt;=$D79,S$4&lt;$D79+'Incremental Repayments'!$I$31),-PMT('Interest Rate'!$J$16,'Incremental Repayments'!$I$31,(HLOOKUP($D79,$E$4:$CZ$32,28,FALSE)*'Incremental Repayments'!$I$22)),0),0)</f>
        <v>0</v>
      </c>
      <c r="T79" s="783">
        <f>IF('Incremental Repayments'!$R$22="Debt",IF(AND(T$4&gt;=$D79,T$4&lt;$D79+'Incremental Repayments'!$I$31),-PMT('Interest Rate'!$J$16,'Incremental Repayments'!$I$31,(HLOOKUP($D79,$E$4:$CZ$32,28,FALSE)*'Incremental Repayments'!$I$22)),0),0)</f>
        <v>0</v>
      </c>
      <c r="U79" s="783">
        <f>IF('Incremental Repayments'!$R$22="Debt",IF(AND(U$4&gt;=$D79,U$4&lt;$D79+'Incremental Repayments'!$I$31),-PMT('Interest Rate'!$J$16,'Incremental Repayments'!$I$31,(HLOOKUP($D79,$E$4:$CZ$32,28,FALSE)*'Incremental Repayments'!$I$22)),0),0)</f>
        <v>0</v>
      </c>
      <c r="V79" s="783">
        <f>IF('Incremental Repayments'!$R$22="Debt",IF(AND(V$4&gt;=$D79,V$4&lt;$D79+'Incremental Repayments'!$I$31),-PMT('Interest Rate'!$J$16,'Incremental Repayments'!$I$31,(HLOOKUP($D79,$E$4:$CZ$32,28,FALSE)*'Incremental Repayments'!$I$22)),0),0)</f>
        <v>0</v>
      </c>
      <c r="W79" s="783">
        <f>IF('Incremental Repayments'!$R$22="Debt",IF(AND(W$4&gt;=$D79,W$4&lt;$D79+'Incremental Repayments'!$I$31),-PMT('Interest Rate'!$J$16,'Incremental Repayments'!$I$31,(HLOOKUP($D79,$E$4:$CZ$32,28,FALSE)*'Incremental Repayments'!$I$22)),0),0)</f>
        <v>0</v>
      </c>
      <c r="X79" s="783">
        <f>IF('Incremental Repayments'!$R$22="Debt",IF(AND(X$4&gt;=$D79,X$4&lt;$D79+'Incremental Repayments'!$I$31),-PMT('Interest Rate'!$J$16,'Incremental Repayments'!$I$31,(HLOOKUP($D79,$E$4:$CZ$32,28,FALSE)*'Incremental Repayments'!$I$22)),0),0)</f>
        <v>0</v>
      </c>
      <c r="Y79" s="783">
        <f>IF('Incremental Repayments'!$R$22="Debt",IF(AND(Y$4&gt;=$D79,Y$4&lt;$D79+'Incremental Repayments'!$I$31),-PMT('Interest Rate'!$J$16,'Incremental Repayments'!$I$31,(HLOOKUP($D79,$E$4:$CZ$32,28,FALSE)*'Incremental Repayments'!$I$22)),0),0)</f>
        <v>0</v>
      </c>
      <c r="Z79" s="783">
        <f>IF('Incremental Repayments'!$R$22="Debt",IF(AND(Z$4&gt;=$D79,Z$4&lt;$D79+'Incremental Repayments'!$I$31),-PMT('Interest Rate'!$J$16,'Incremental Repayments'!$I$31,(HLOOKUP($D79,$E$4:$CZ$32,28,FALSE)*'Incremental Repayments'!$I$22)),0),0)</f>
        <v>0</v>
      </c>
      <c r="AA79" s="783">
        <f>IF('Incremental Repayments'!$R$22="Debt",IF(AND(AA$4&gt;=$D79,AA$4&lt;$D79+'Incremental Repayments'!$I$31),-PMT('Interest Rate'!$J$16,'Incremental Repayments'!$I$31,(HLOOKUP($D79,$E$4:$CZ$32,28,FALSE)*'Incremental Repayments'!$I$22)),0),0)</f>
        <v>0</v>
      </c>
      <c r="AB79" s="783">
        <f>IF('Incremental Repayments'!$R$22="Debt",IF(AND(AB$4&gt;=$D79,AB$4&lt;$D79+'Incremental Repayments'!$I$31),-PMT('Interest Rate'!$J$16,'Incremental Repayments'!$I$31,(HLOOKUP($D79,$E$4:$CZ$32,28,FALSE)*'Incremental Repayments'!$I$22)),0),0)</f>
        <v>0</v>
      </c>
      <c r="AC79" s="783">
        <f>IF('Incremental Repayments'!$R$22="Debt",IF(AND(AC$4&gt;=$D79,AC$4&lt;$D79+'Incremental Repayments'!$I$31),-PMT('Interest Rate'!$J$16,'Incremental Repayments'!$I$31,(HLOOKUP($D79,$E$4:$CZ$32,28,FALSE)*'Incremental Repayments'!$I$22)),0),0)</f>
        <v>0</v>
      </c>
      <c r="AD79" s="783">
        <f>IF('Incremental Repayments'!$R$22="Debt",IF(AND(AD$4&gt;=$D79,AD$4&lt;$D79+'Incremental Repayments'!$I$31),-PMT('Interest Rate'!$J$16,'Incremental Repayments'!$I$31,(HLOOKUP($D79,$E$4:$CZ$32,28,FALSE)*'Incremental Repayments'!$I$22)),0),0)</f>
        <v>0</v>
      </c>
      <c r="AE79" s="783">
        <f>IF('Incremental Repayments'!$R$22="Debt",IF(AND(AE$4&gt;=$D79,AE$4&lt;$D79+'Incremental Repayments'!$I$31),-PMT('Interest Rate'!$J$16,'Incremental Repayments'!$I$31,(HLOOKUP($D79,$E$4:$CZ$32,28,FALSE)*'Incremental Repayments'!$I$22)),0),0)</f>
        <v>0</v>
      </c>
      <c r="AF79" s="783">
        <f>IF('Incremental Repayments'!$R$22="Debt",IF(AND(AF$4&gt;=$D79,AF$4&lt;$D79+'Incremental Repayments'!$I$31),-PMT('Interest Rate'!$J$16,'Incremental Repayments'!$I$31,(HLOOKUP($D79,$E$4:$CZ$32,28,FALSE)*'Incremental Repayments'!$I$22)),0),0)</f>
        <v>0</v>
      </c>
      <c r="AG79" s="783">
        <f>IF('Incremental Repayments'!$R$22="Debt",IF(AND(AG$4&gt;=$D79,AG$4&lt;$D79+'Incremental Repayments'!$I$31),-PMT('Interest Rate'!$J$16,'Incremental Repayments'!$I$31,(HLOOKUP($D79,$E$4:$CZ$32,28,FALSE)*'Incremental Repayments'!$I$22)),0),0)</f>
        <v>0</v>
      </c>
      <c r="AH79" s="783">
        <f>IF('Incremental Repayments'!$R$22="Debt",IF(AND(AH$4&gt;=$D79,AH$4&lt;$D79+'Incremental Repayments'!$I$31),-PMT('Interest Rate'!$J$16,'Incremental Repayments'!$I$31,(HLOOKUP($D79,$E$4:$CZ$32,28,FALSE)*'Incremental Repayments'!$I$22)),0),0)</f>
        <v>0</v>
      </c>
      <c r="AI79" s="783">
        <f>IF('Incremental Repayments'!$R$22="Debt",IF(AND(AI$4&gt;=$D79,AI$4&lt;$D79+'Incremental Repayments'!$I$31),-PMT('Interest Rate'!$J$16,'Incremental Repayments'!$I$31,(HLOOKUP($D79,$E$4:$CZ$32,28,FALSE)*'Incremental Repayments'!$I$22)),0),0)</f>
        <v>0</v>
      </c>
      <c r="AJ79" s="783">
        <f>IF('Incremental Repayments'!$R$22="Debt",IF(AND(AJ$4&gt;=$D79,AJ$4&lt;$D79+'Incremental Repayments'!$I$31),-PMT('Interest Rate'!$J$16,'Incremental Repayments'!$I$31,(HLOOKUP($D79,$E$4:$CZ$32,28,FALSE)*'Incremental Repayments'!$I$22)),0),0)</f>
        <v>0</v>
      </c>
      <c r="AK79" s="783">
        <f>IF('Incremental Repayments'!$R$22="Debt",IF(AND(AK$4&gt;=$D79,AK$4&lt;$D79+'Incremental Repayments'!$I$31),-PMT('Interest Rate'!$J$16,'Incremental Repayments'!$I$31,(HLOOKUP($D79,$E$4:$CZ$32,28,FALSE)*'Incremental Repayments'!$I$22)),0),0)</f>
        <v>0</v>
      </c>
      <c r="AL79" s="783">
        <f>IF('Incremental Repayments'!$R$22="Debt",IF(AND(AL$4&gt;=$D79,AL$4&lt;$D79+'Incremental Repayments'!$I$31),-PMT('Interest Rate'!$J$16,'Incremental Repayments'!$I$31,(HLOOKUP($D79,$E$4:$CZ$32,28,FALSE)*'Incremental Repayments'!$I$22)),0),0)</f>
        <v>0</v>
      </c>
      <c r="AM79" s="783">
        <f>IF('Incremental Repayments'!$R$22="Debt",IF(AND(AM$4&gt;=$D79,AM$4&lt;$D79+'Incremental Repayments'!$I$31),-PMT('Interest Rate'!$J$16,'Incremental Repayments'!$I$31,(HLOOKUP($D79,$E$4:$CZ$32,28,FALSE)*'Incremental Repayments'!$I$22)),0),0)</f>
        <v>0</v>
      </c>
      <c r="AN79" s="783">
        <f>IF('Incremental Repayments'!$R$22="Debt",IF(AND(AN$4&gt;=$D79,AN$4&lt;$D79+'Incremental Repayments'!$I$31),-PMT('Interest Rate'!$J$16,'Incremental Repayments'!$I$31,(HLOOKUP($D79,$E$4:$CZ$32,28,FALSE)*'Incremental Repayments'!$I$22)),0),0)</f>
        <v>0</v>
      </c>
      <c r="AO79" s="783">
        <f>IF('Incremental Repayments'!$R$22="Debt",IF(AND(AO$4&gt;=$D79,AO$4&lt;$D79+'Incremental Repayments'!$I$31),-PMT('Interest Rate'!$J$16,'Incremental Repayments'!$I$31,(HLOOKUP($D79,$E$4:$CZ$32,28,FALSE)*'Incremental Repayments'!$I$22)),0),0)</f>
        <v>0</v>
      </c>
      <c r="AP79" s="783">
        <f>IF('Incremental Repayments'!$R$22="Debt",IF(AND(AP$4&gt;=$D79,AP$4&lt;$D79+'Incremental Repayments'!$I$31),-PMT('Interest Rate'!$J$16,'Incremental Repayments'!$I$31,(HLOOKUP($D79,$E$4:$CZ$32,28,FALSE)*'Incremental Repayments'!$I$22)),0),0)</f>
        <v>0</v>
      </c>
      <c r="AQ79" s="783">
        <f>IF('Incremental Repayments'!$R$22="Debt",IF(AND(AQ$4&gt;=$D79,AQ$4&lt;$D79+'Incremental Repayments'!$I$31),-PMT('Interest Rate'!$J$16,'Incremental Repayments'!$I$31,(HLOOKUP($D79,$E$4:$CZ$32,28,FALSE)*'Incremental Repayments'!$I$22)),0),0)</f>
        <v>0</v>
      </c>
      <c r="AR79" s="783">
        <f>IF('Incremental Repayments'!$R$22="Debt",IF(AND(AR$4&gt;=$D79,AR$4&lt;$D79+'Incremental Repayments'!$I$31),-PMT('Interest Rate'!$J$16,'Incremental Repayments'!$I$31,(HLOOKUP($D79,$E$4:$CZ$32,28,FALSE)*'Incremental Repayments'!$I$22)),0),0)</f>
        <v>0</v>
      </c>
      <c r="AS79" s="783">
        <f>IF('Incremental Repayments'!$R$22="Debt",IF(AND(AS$4&gt;=$D79,AS$4&lt;$D79+'Incremental Repayments'!$I$31),-PMT('Interest Rate'!$J$16,'Incremental Repayments'!$I$31,(HLOOKUP($D79,$E$4:$CZ$32,28,FALSE)*'Incremental Repayments'!$I$22)),0),0)</f>
        <v>0</v>
      </c>
      <c r="AT79" s="783">
        <f>IF('Incremental Repayments'!$R$22="Debt",IF(AND(AT$4&gt;=$D79,AT$4&lt;$D79+'Incremental Repayments'!$I$31),-PMT('Interest Rate'!$J$16,'Incremental Repayments'!$I$31,(HLOOKUP($D79,$E$4:$CZ$32,28,FALSE)*'Incremental Repayments'!$I$22)),0),0)</f>
        <v>0</v>
      </c>
      <c r="AU79" s="783">
        <f>IF('Incremental Repayments'!$R$22="Debt",IF(AND(AU$4&gt;=$D79,AU$4&lt;$D79+'Incremental Repayments'!$I$31),-PMT('Interest Rate'!$J$16,'Incremental Repayments'!$I$31,(HLOOKUP($D79,$E$4:$CZ$32,28,FALSE)*'Incremental Repayments'!$I$22)),0),0)</f>
        <v>0</v>
      </c>
      <c r="AV79" s="783">
        <f>IF('Incremental Repayments'!$R$22="Debt",IF(AND(AV$4&gt;=$D79,AV$4&lt;$D79+'Incremental Repayments'!$I$31),-PMT('Interest Rate'!$J$16,'Incremental Repayments'!$I$31,(HLOOKUP($D79,$E$4:$CZ$32,28,FALSE)*'Incremental Repayments'!$I$22)),0),0)</f>
        <v>475.69979640309833</v>
      </c>
      <c r="AW79" s="783">
        <f>IF('Incremental Repayments'!$R$22="Debt",IF(AND(AW$4&gt;=$D79,AW$4&lt;$D79+'Incremental Repayments'!$I$31),-PMT('Interest Rate'!$J$16,'Incremental Repayments'!$I$31,(HLOOKUP($D79,$E$4:$CZ$32,28,FALSE)*'Incremental Repayments'!$I$22)),0),0)</f>
        <v>475.69979640309833</v>
      </c>
      <c r="AX79" s="783">
        <f>IF('Incremental Repayments'!$R$22="Debt",IF(AND(AX$4&gt;=$D79,AX$4&lt;$D79+'Incremental Repayments'!$I$31),-PMT('Interest Rate'!$J$16,'Incremental Repayments'!$I$31,(HLOOKUP($D79,$E$4:$CZ$32,28,FALSE)*'Incremental Repayments'!$I$22)),0),0)</f>
        <v>475.69979640309833</v>
      </c>
      <c r="AY79" s="783">
        <f>IF('Incremental Repayments'!$R$22="Debt",IF(AND(AY$4&gt;=$D79,AY$4&lt;$D79+'Incremental Repayments'!$I$31),-PMT('Interest Rate'!$J$16,'Incremental Repayments'!$I$31,(HLOOKUP($D79,$E$4:$CZ$32,28,FALSE)*'Incremental Repayments'!$I$22)),0),0)</f>
        <v>475.69979640309833</v>
      </c>
      <c r="AZ79" s="783">
        <f>IF('Incremental Repayments'!$R$22="Debt",IF(AND(AZ$4&gt;=$D79,AZ$4&lt;$D79+'Incremental Repayments'!$I$31),-PMT('Interest Rate'!$J$16,'Incremental Repayments'!$I$31,(HLOOKUP($D79,$E$4:$CZ$32,28,FALSE)*'Incremental Repayments'!$I$22)),0),0)</f>
        <v>475.69979640309833</v>
      </c>
      <c r="BA79" s="783">
        <f>IF('Incremental Repayments'!$R$22="Debt",IF(AND(BA$4&gt;=$D79,BA$4&lt;$D79+'Incremental Repayments'!$I$31),-PMT('Interest Rate'!$J$16,'Incremental Repayments'!$I$31,(HLOOKUP($D79,$E$4:$CZ$32,28,FALSE)*'Incremental Repayments'!$I$22)),0),0)</f>
        <v>475.69979640309833</v>
      </c>
      <c r="BB79" s="783">
        <f>IF('Incremental Repayments'!$R$22="Debt",IF(AND(BB$4&gt;=$D79,BB$4&lt;$D79+'Incremental Repayments'!$I$31),-PMT('Interest Rate'!$J$16,'Incremental Repayments'!$I$31,(HLOOKUP($D79,$E$4:$CZ$32,28,FALSE)*'Incremental Repayments'!$I$22)),0),0)</f>
        <v>475.69979640309833</v>
      </c>
      <c r="BC79" s="783">
        <f>IF('Incremental Repayments'!$R$22="Debt",IF(AND(BC$4&gt;=$D79,BC$4&lt;$D79+'Incremental Repayments'!$I$31),-PMT('Interest Rate'!$J$16,'Incremental Repayments'!$I$31,(HLOOKUP($D79,$E$4:$CZ$32,28,FALSE)*'Incremental Repayments'!$I$22)),0),0)</f>
        <v>475.69979640309833</v>
      </c>
      <c r="BD79" s="783">
        <f>IF('Incremental Repayments'!$R$22="Debt",IF(AND(BD$4&gt;=$D79,BD$4&lt;$D79+'Incremental Repayments'!$I$31),-PMT('Interest Rate'!$J$16,'Incremental Repayments'!$I$31,(HLOOKUP($D79,$E$4:$CZ$32,28,FALSE)*'Incremental Repayments'!$I$22)),0),0)</f>
        <v>475.69979640309833</v>
      </c>
      <c r="BE79" s="783">
        <f>IF('Incremental Repayments'!$R$22="Debt",IF(AND(BE$4&gt;=$D79,BE$4&lt;$D79+'Incremental Repayments'!$I$31),-PMT('Interest Rate'!$J$16,'Incremental Repayments'!$I$31,(HLOOKUP($D79,$E$4:$CZ$32,28,FALSE)*'Incremental Repayments'!$I$22)),0),0)</f>
        <v>475.69979640309833</v>
      </c>
      <c r="BF79" s="783">
        <f>IF('Incremental Repayments'!$R$22="Debt",IF(AND(BF$4&gt;=$D79,BF$4&lt;$D79+'Incremental Repayments'!$I$31),-PMT('Interest Rate'!$J$16,'Incremental Repayments'!$I$31,(HLOOKUP($D79,$E$4:$CZ$32,28,FALSE)*'Incremental Repayments'!$I$22)),0),0)</f>
        <v>475.69979640309833</v>
      </c>
      <c r="BG79" s="783">
        <f>IF('Incremental Repayments'!$R$22="Debt",IF(AND(BG$4&gt;=$D79,BG$4&lt;$D79+'Incremental Repayments'!$I$31),-PMT('Interest Rate'!$J$16,'Incremental Repayments'!$I$31,(HLOOKUP($D79,$E$4:$CZ$32,28,FALSE)*'Incremental Repayments'!$I$22)),0),0)</f>
        <v>475.69979640309833</v>
      </c>
      <c r="BH79" s="783">
        <f>IF('Incremental Repayments'!$R$22="Debt",IF(AND(BH$4&gt;=$D79,BH$4&lt;$D79+'Incremental Repayments'!$I$31),-PMT('Interest Rate'!$J$16,'Incremental Repayments'!$I$31,(HLOOKUP($D79,$E$4:$CZ$32,28,FALSE)*'Incremental Repayments'!$I$22)),0),0)</f>
        <v>475.69979640309833</v>
      </c>
      <c r="BI79" s="783">
        <f>IF('Incremental Repayments'!$R$22="Debt",IF(AND(BI$4&gt;=$D79,BI$4&lt;$D79+'Incremental Repayments'!$I$31),-PMT('Interest Rate'!$J$16,'Incremental Repayments'!$I$31,(HLOOKUP($D79,$E$4:$CZ$32,28,FALSE)*'Incremental Repayments'!$I$22)),0),0)</f>
        <v>475.69979640309833</v>
      </c>
      <c r="BJ79" s="783">
        <f>IF('Incremental Repayments'!$R$22="Debt",IF(AND(BJ$4&gt;=$D79,BJ$4&lt;$D79+'Incremental Repayments'!$I$31),-PMT('Interest Rate'!$J$16,'Incremental Repayments'!$I$31,(HLOOKUP($D79,$E$4:$CZ$32,28,FALSE)*'Incremental Repayments'!$I$22)),0),0)</f>
        <v>475.69979640309833</v>
      </c>
      <c r="BK79" s="783">
        <f>IF('Incremental Repayments'!$R$22="Debt",IF(AND(BK$4&gt;=$D79,BK$4&lt;$D79+'Incremental Repayments'!$I$31),-PMT('Interest Rate'!$J$16,'Incremental Repayments'!$I$31,(HLOOKUP($D79,$E$4:$CZ$32,28,FALSE)*'Incremental Repayments'!$I$22)),0),0)</f>
        <v>475.69979640309833</v>
      </c>
      <c r="BL79" s="783">
        <f>IF('Incremental Repayments'!$R$22="Debt",IF(AND(BL$4&gt;=$D79,BL$4&lt;$D79+'Incremental Repayments'!$I$31),-PMT('Interest Rate'!$J$16,'Incremental Repayments'!$I$31,(HLOOKUP($D79,$E$4:$CZ$32,28,FALSE)*'Incremental Repayments'!$I$22)),0),0)</f>
        <v>475.69979640309833</v>
      </c>
      <c r="BM79" s="783">
        <f>IF('Incremental Repayments'!$R$22="Debt",IF(AND(BM$4&gt;=$D79,BM$4&lt;$D79+'Incremental Repayments'!$I$31),-PMT('Interest Rate'!$J$16,'Incremental Repayments'!$I$31,(HLOOKUP($D79,$E$4:$CZ$32,28,FALSE)*'Incremental Repayments'!$I$22)),0),0)</f>
        <v>475.69979640309833</v>
      </c>
      <c r="BN79" s="783">
        <f>IF('Incremental Repayments'!$R$22="Debt",IF(AND(BN$4&gt;=$D79,BN$4&lt;$D79+'Incremental Repayments'!$I$31),-PMT('Interest Rate'!$J$16,'Incremental Repayments'!$I$31,(HLOOKUP($D79,$E$4:$CZ$32,28,FALSE)*'Incremental Repayments'!$I$22)),0),0)</f>
        <v>475.69979640309833</v>
      </c>
      <c r="BO79" s="783">
        <f>IF('Incremental Repayments'!$R$22="Debt",IF(AND(BO$4&gt;=$D79,BO$4&lt;$D79+'Incremental Repayments'!$I$31),-PMT('Interest Rate'!$J$16,'Incremental Repayments'!$I$31,(HLOOKUP($D79,$E$4:$CZ$32,28,FALSE)*'Incremental Repayments'!$I$22)),0),0)</f>
        <v>475.69979640309833</v>
      </c>
      <c r="BP79" s="783">
        <f>IF('Incremental Repayments'!$R$22="Debt",IF(AND(BP$4&gt;=$D79,BP$4&lt;$D79+'Incremental Repayments'!$I$31),-PMT('Interest Rate'!$J$16,'Incremental Repayments'!$I$31,(HLOOKUP($D79,$E$4:$CZ$32,28,FALSE)*'Incremental Repayments'!$I$22)),0),0)</f>
        <v>475.69979640309833</v>
      </c>
      <c r="BQ79" s="783">
        <f>IF('Incremental Repayments'!$R$22="Debt",IF(AND(BQ$4&gt;=$D79,BQ$4&lt;$D79+'Incremental Repayments'!$I$31),-PMT('Interest Rate'!$J$16,'Incremental Repayments'!$I$31,(HLOOKUP($D79,$E$4:$CZ$32,28,FALSE)*'Incremental Repayments'!$I$22)),0),0)</f>
        <v>475.69979640309833</v>
      </c>
      <c r="BR79" s="783">
        <f>IF('Incremental Repayments'!$R$22="Debt",IF(AND(BR$4&gt;=$D79,BR$4&lt;$D79+'Incremental Repayments'!$I$31),-PMT('Interest Rate'!$J$16,'Incremental Repayments'!$I$31,(HLOOKUP($D79,$E$4:$CZ$32,28,FALSE)*'Incremental Repayments'!$I$22)),0),0)</f>
        <v>475.69979640309833</v>
      </c>
      <c r="BS79" s="783">
        <f>IF('Incremental Repayments'!$R$22="Debt",IF(AND(BS$4&gt;=$D79,BS$4&lt;$D79+'Incremental Repayments'!$I$31),-PMT('Interest Rate'!$J$16,'Incremental Repayments'!$I$31,(HLOOKUP($D79,$E$4:$CZ$32,28,FALSE)*'Incremental Repayments'!$I$22)),0),0)</f>
        <v>475.69979640309833</v>
      </c>
      <c r="BT79" s="783">
        <f>IF('Incremental Repayments'!$R$22="Debt",IF(AND(BT$4&gt;=$D79,BT$4&lt;$D79+'Incremental Repayments'!$I$31),-PMT('Interest Rate'!$J$16,'Incremental Repayments'!$I$31,(HLOOKUP($D79,$E$4:$CZ$32,28,FALSE)*'Incremental Repayments'!$I$22)),0),0)</f>
        <v>475.69979640309833</v>
      </c>
      <c r="BU79" s="783">
        <f>IF('Incremental Repayments'!$R$22="Debt",IF(AND(BU$4&gt;=$D79,BU$4&lt;$D79+'Incremental Repayments'!$I$31),-PMT('Interest Rate'!$J$16,'Incremental Repayments'!$I$31,(HLOOKUP($D79,$E$4:$CZ$32,28,FALSE)*'Incremental Repayments'!$I$22)),0),0)</f>
        <v>475.69979640309833</v>
      </c>
      <c r="BV79" s="783">
        <f>IF('Incremental Repayments'!$R$22="Debt",IF(AND(BV$4&gt;=$D79,BV$4&lt;$D79+'Incremental Repayments'!$I$31),-PMT('Interest Rate'!$J$16,'Incremental Repayments'!$I$31,(HLOOKUP($D79,$E$4:$CZ$32,28,FALSE)*'Incremental Repayments'!$I$22)),0),0)</f>
        <v>475.69979640309833</v>
      </c>
      <c r="BW79" s="783">
        <f>IF('Incremental Repayments'!$R$22="Debt",IF(AND(BW$4&gt;=$D79,BW$4&lt;$D79+'Incremental Repayments'!$I$31),-PMT('Interest Rate'!$J$16,'Incremental Repayments'!$I$31,(HLOOKUP($D79,$E$4:$CZ$32,28,FALSE)*'Incremental Repayments'!$I$22)),0),0)</f>
        <v>475.69979640309833</v>
      </c>
      <c r="BX79" s="783">
        <f>IF('Incremental Repayments'!$R$22="Debt",IF(AND(BX$4&gt;=$D79,BX$4&lt;$D79+'Incremental Repayments'!$I$31),-PMT('Interest Rate'!$J$16,'Incremental Repayments'!$I$31,(HLOOKUP($D79,$E$4:$CZ$32,28,FALSE)*'Incremental Repayments'!$I$22)),0),0)</f>
        <v>475.69979640309833</v>
      </c>
      <c r="BY79" s="783">
        <f>IF('Incremental Repayments'!$R$22="Debt",IF(AND(BY$4&gt;=$D79,BY$4&lt;$D79+'Incremental Repayments'!$I$31),-PMT('Interest Rate'!$J$16,'Incremental Repayments'!$I$31,(HLOOKUP($D79,$E$4:$CZ$32,28,FALSE)*'Incremental Repayments'!$I$22)),0),0)</f>
        <v>475.69979640309833</v>
      </c>
      <c r="BZ79" s="783">
        <f>IF('Incremental Repayments'!$R$22="Debt",IF(AND(BZ$4&gt;=$D79,BZ$4&lt;$D79+'Incremental Repayments'!$I$31),-PMT('Interest Rate'!$J$16,'Incremental Repayments'!$I$31,(HLOOKUP($D79,$E$4:$CZ$32,28,FALSE)*'Incremental Repayments'!$I$22)),0),0)</f>
        <v>0</v>
      </c>
      <c r="CA79" s="783">
        <f>IF('Incremental Repayments'!$R$22="Debt",IF(AND(CA$4&gt;=$D79,CA$4&lt;$D79+'Incremental Repayments'!$I$31),-PMT('Interest Rate'!$J$16,'Incremental Repayments'!$I$31,(HLOOKUP($D79,$E$4:$CZ$32,28,FALSE)*'Incremental Repayments'!$I$22)),0),0)</f>
        <v>0</v>
      </c>
      <c r="CB79" s="783">
        <f>IF('Incremental Repayments'!$R$22="Debt",IF(AND(CB$4&gt;=$D79,CB$4&lt;$D79+'Incremental Repayments'!$I$31),-PMT('Interest Rate'!$J$16,'Incremental Repayments'!$I$31,(HLOOKUP($D79,$E$4:$CZ$32,28,FALSE)*'Incremental Repayments'!$I$22)),0),0)</f>
        <v>0</v>
      </c>
      <c r="CC79" s="783">
        <f>IF('Incremental Repayments'!$R$22="Debt",IF(AND(CC$4&gt;=$D79,CC$4&lt;$D79+'Incremental Repayments'!$I$31),-PMT('Interest Rate'!$J$16,'Incremental Repayments'!$I$31,(HLOOKUP($D79,$E$4:$CZ$32,28,FALSE)*'Incremental Repayments'!$I$22)),0),0)</f>
        <v>0</v>
      </c>
      <c r="CD79" s="783">
        <f>IF('Incremental Repayments'!$R$22="Debt",IF(AND(CD$4&gt;=$D79,CD$4&lt;$D79+'Incremental Repayments'!$I$31),-PMT('Interest Rate'!$J$16,'Incremental Repayments'!$I$31,(HLOOKUP($D79,$E$4:$CZ$32,28,FALSE)*'Incremental Repayments'!$I$22)),0),0)</f>
        <v>0</v>
      </c>
      <c r="CE79" s="783">
        <f>IF('Incremental Repayments'!$R$22="Debt",IF(AND(CE$4&gt;=$D79,CE$4&lt;$D79+'Incremental Repayments'!$I$31),-PMT('Interest Rate'!$J$16,'Incremental Repayments'!$I$31,(HLOOKUP($D79,$E$4:$CZ$32,28,FALSE)*'Incremental Repayments'!$I$22)),0),0)</f>
        <v>0</v>
      </c>
      <c r="CF79" s="783">
        <f>IF('Incremental Repayments'!$R$22="Debt",IF(AND(CF$4&gt;=$D79,CF$4&lt;$D79+'Incremental Repayments'!$I$31),-PMT('Interest Rate'!$J$16,'Incremental Repayments'!$I$31,(HLOOKUP($D79,$E$4:$CZ$32,28,FALSE)*'Incremental Repayments'!$I$22)),0),0)</f>
        <v>0</v>
      </c>
      <c r="CG79" s="783">
        <f>IF('Incremental Repayments'!$R$22="Debt",IF(AND(CG$4&gt;=$D79,CG$4&lt;$D79+'Incremental Repayments'!$I$31),-PMT('Interest Rate'!$J$16,'Incremental Repayments'!$I$31,(HLOOKUP($D79,$E$4:$CZ$32,28,FALSE)*'Incremental Repayments'!$I$22)),0),0)</f>
        <v>0</v>
      </c>
      <c r="CH79" s="783">
        <f>IF('Incremental Repayments'!$R$22="Debt",IF(AND(CH$4&gt;=$D79,CH$4&lt;$D79+'Incremental Repayments'!$I$31),-PMT('Interest Rate'!$J$16,'Incremental Repayments'!$I$31,(HLOOKUP($D79,$E$4:$CZ$32,28,FALSE)*'Incremental Repayments'!$I$22)),0),0)</f>
        <v>0</v>
      </c>
      <c r="CI79" s="783">
        <f>IF('Incremental Repayments'!$R$22="Debt",IF(AND(CI$4&gt;=$D79,CI$4&lt;$D79+'Incremental Repayments'!$I$31),-PMT('Interest Rate'!$J$16,'Incremental Repayments'!$I$31,(HLOOKUP($D79,$E$4:$CZ$32,28,FALSE)*'Incremental Repayments'!$I$22)),0),0)</f>
        <v>0</v>
      </c>
      <c r="CJ79" s="783">
        <f>IF('Incremental Repayments'!$R$22="Debt",IF(AND(CJ$4&gt;=$D79,CJ$4&lt;$D79+'Incremental Repayments'!$I$31),-PMT('Interest Rate'!$J$16,'Incremental Repayments'!$I$31,(HLOOKUP($D79,$E$4:$CZ$32,28,FALSE)*'Incremental Repayments'!$I$22)),0),0)</f>
        <v>0</v>
      </c>
      <c r="CK79" s="783">
        <f>IF('Incremental Repayments'!$R$22="Debt",IF(AND(CK$4&gt;=$D79,CK$4&lt;$D79+'Incremental Repayments'!$I$31),-PMT('Interest Rate'!$J$16,'Incremental Repayments'!$I$31,(HLOOKUP($D79,$E$4:$CZ$32,28,FALSE)*'Incremental Repayments'!$I$22)),0),0)</f>
        <v>0</v>
      </c>
      <c r="CL79" s="783">
        <f>IF('Incremental Repayments'!$R$22="Debt",IF(AND(CL$4&gt;=$D79,CL$4&lt;$D79+'Incremental Repayments'!$I$31),-PMT('Interest Rate'!$J$16,'Incremental Repayments'!$I$31,(HLOOKUP($D79,$E$4:$CZ$32,28,FALSE)*'Incremental Repayments'!$I$22)),0),0)</f>
        <v>0</v>
      </c>
      <c r="CM79" s="783">
        <f>IF('Incremental Repayments'!$R$22="Debt",IF(AND(CM$4&gt;=$D79,CM$4&lt;$D79+'Incremental Repayments'!$I$31),-PMT('Interest Rate'!$J$16,'Incremental Repayments'!$I$31,(HLOOKUP($D79,$E$4:$CZ$32,28,FALSE)*'Incremental Repayments'!$I$22)),0),0)</f>
        <v>0</v>
      </c>
      <c r="CN79" s="783">
        <f>IF('Incremental Repayments'!$R$22="Debt",IF(AND(CN$4&gt;=$D79,CN$4&lt;$D79+'Incremental Repayments'!$I$31),-PMT('Interest Rate'!$J$16,'Incremental Repayments'!$I$31,(HLOOKUP($D79,$E$4:$CZ$32,28,FALSE)*'Incremental Repayments'!$I$22)),0),0)</f>
        <v>0</v>
      </c>
      <c r="CO79" s="783">
        <f>IF('Incremental Repayments'!$R$22="Debt",IF(AND(CO$4&gt;=$D79,CO$4&lt;$D79+'Incremental Repayments'!$I$31),-PMT('Interest Rate'!$J$16,'Incremental Repayments'!$I$31,(HLOOKUP($D79,$E$4:$CZ$32,28,FALSE)*'Incremental Repayments'!$I$22)),0),0)</f>
        <v>0</v>
      </c>
      <c r="CP79" s="783">
        <f>IF('Incremental Repayments'!$R$22="Debt",IF(AND(CP$4&gt;=$D79,CP$4&lt;$D79+'Incremental Repayments'!$I$31),-PMT('Interest Rate'!$J$16,'Incremental Repayments'!$I$31,(HLOOKUP($D79,$E$4:$CZ$32,28,FALSE)*'Incremental Repayments'!$I$22)),0),0)</f>
        <v>0</v>
      </c>
      <c r="CQ79" s="783">
        <f>IF('Incremental Repayments'!$R$22="Debt",IF(AND(CQ$4&gt;=$D79,CQ$4&lt;$D79+'Incremental Repayments'!$I$31),-PMT('Interest Rate'!$J$16,'Incremental Repayments'!$I$31,(HLOOKUP($D79,$E$4:$CZ$32,28,FALSE)*'Incremental Repayments'!$I$22)),0),0)</f>
        <v>0</v>
      </c>
      <c r="CR79" s="783">
        <f>IF('Incremental Repayments'!$R$22="Debt",IF(AND(CR$4&gt;=$D79,CR$4&lt;$D79+'Incremental Repayments'!$I$31),-PMT('Interest Rate'!$J$16,'Incremental Repayments'!$I$31,(HLOOKUP($D79,$E$4:$CZ$32,28,FALSE)*'Incremental Repayments'!$I$22)),0),0)</f>
        <v>0</v>
      </c>
      <c r="CS79" s="783">
        <f>IF('Incremental Repayments'!$R$22="Debt",IF(AND(CS$4&gt;=$D79,CS$4&lt;$D79+'Incremental Repayments'!$I$31),-PMT('Interest Rate'!$J$16,'Incremental Repayments'!$I$31,(HLOOKUP($D79,$E$4:$CZ$32,28,FALSE)*'Incremental Repayments'!$I$22)),0),0)</f>
        <v>0</v>
      </c>
      <c r="CT79" s="783">
        <f>IF('Incremental Repayments'!$R$22="Debt",IF(AND(CT$4&gt;=$D79,CT$4&lt;$D79+'Incremental Repayments'!$I$31),-PMT('Interest Rate'!$J$16,'Incremental Repayments'!$I$31,(HLOOKUP($D79,$E$4:$CZ$32,28,FALSE)*'Incremental Repayments'!$I$22)),0),0)</f>
        <v>0</v>
      </c>
      <c r="CU79" s="783">
        <f>IF('Incremental Repayments'!$R$22="Debt",IF(AND(CU$4&gt;=$D79,CU$4&lt;$D79+'Incremental Repayments'!$I$31),-PMT('Interest Rate'!$J$16,'Incremental Repayments'!$I$31,(HLOOKUP($D79,$E$4:$CZ$32,28,FALSE)*'Incremental Repayments'!$I$22)),0),0)</f>
        <v>0</v>
      </c>
      <c r="CV79" s="783">
        <f>IF('Incremental Repayments'!$R$22="Debt",IF(AND(CV$4&gt;=$D79,CV$4&lt;$D79+'Incremental Repayments'!$I$31),-PMT('Interest Rate'!$J$16,'Incremental Repayments'!$I$31,(HLOOKUP($D79,$E$4:$CZ$32,28,FALSE)*'Incremental Repayments'!$I$22)),0),0)</f>
        <v>0</v>
      </c>
      <c r="CW79" s="783">
        <f>IF('Incremental Repayments'!$R$22="Debt",IF(AND(CW$4&gt;=$D79,CW$4&lt;$D79+'Incremental Repayments'!$I$31),-PMT('Interest Rate'!$J$16,'Incremental Repayments'!$I$31,(HLOOKUP($D79,$E$4:$CZ$32,28,FALSE)*'Incremental Repayments'!$I$22)),0),0)</f>
        <v>0</v>
      </c>
      <c r="CX79" s="783">
        <f>IF('Incremental Repayments'!$R$22="Debt",IF(AND(CX$4&gt;=$D79,CX$4&lt;$D79+'Incremental Repayments'!$I$31),-PMT('Interest Rate'!$J$16,'Incremental Repayments'!$I$31,(HLOOKUP($D79,$E$4:$CZ$32,28,FALSE)*'Incremental Repayments'!$I$22)),0),0)</f>
        <v>0</v>
      </c>
      <c r="CY79" s="783">
        <f>IF('Incremental Repayments'!$R$22="Debt",IF(AND(CY$4&gt;=$D79,CY$4&lt;$D79+'Incremental Repayments'!$I$31),-PMT('Interest Rate'!$J$16,'Incremental Repayments'!$I$31,(HLOOKUP($D79,$E$4:$CZ$32,28,FALSE)*'Incremental Repayments'!$I$22)),0),0)</f>
        <v>0</v>
      </c>
      <c r="CZ79" s="783">
        <f>IF('Incremental Repayments'!$R$22="Debt",IF(AND(CZ$4&gt;=$D79,CZ$4&lt;$D79+'Incremental Repayments'!$I$31),-PMT('Interest Rate'!$J$16,'Incremental Repayments'!$I$31,(HLOOKUP($D79,$E$4:$CZ$32,28,FALSE)*'Incremental Repayments'!$I$22)),0),0)</f>
        <v>0</v>
      </c>
    </row>
    <row r="80" spans="2:104" x14ac:dyDescent="0.25">
      <c r="B80" s="480" t="str">
        <f>CONCATENATE("Series ",D80,"A Bonds (at ",'Interest Rate'!$J$16*100,"% Interest)")</f>
        <v>Series 2058A Bonds (at 4.5% Interest)</v>
      </c>
      <c r="C80" s="480"/>
      <c r="D80" s="492">
        <f t="shared" si="47"/>
        <v>2058</v>
      </c>
      <c r="E80" s="783">
        <f>IF('Incremental Repayments'!$R$22="Debt",IF(AND(E$4&gt;=$D80,E$4&lt;$D80+'Incremental Repayments'!$I$31),-PMT('Interest Rate'!$J$16,'Incremental Repayments'!$I$31,(HLOOKUP($D80,$E$4:$CZ$32,28,FALSE)*'Incremental Repayments'!$I$22)),0),0)</f>
        <v>0</v>
      </c>
      <c r="F80" s="783">
        <f>IF('Incremental Repayments'!$R$22="Debt",IF(AND(F$4&gt;=$D80,F$4&lt;$D80+'Incremental Repayments'!$I$31),-PMT('Interest Rate'!$J$16,'Incremental Repayments'!$I$31,(HLOOKUP($D80,$E$4:$CZ$32,28,FALSE)*'Incremental Repayments'!$I$22)),0),0)</f>
        <v>0</v>
      </c>
      <c r="G80" s="783">
        <f>IF('Incremental Repayments'!$R$22="Debt",IF(AND(G$4&gt;=$D80,G$4&lt;$D80+'Incremental Repayments'!$I$31),-PMT('Interest Rate'!$J$16,'Incremental Repayments'!$I$31,(HLOOKUP($D80,$E$4:$CZ$32,28,FALSE)*'Incremental Repayments'!$I$22)),0),0)</f>
        <v>0</v>
      </c>
      <c r="H80" s="783">
        <f>IF('Incremental Repayments'!$R$22="Debt",IF(AND(H$4&gt;=$D80,H$4&lt;$D80+'Incremental Repayments'!$I$31),-PMT('Interest Rate'!$J$16,'Incremental Repayments'!$I$31,(HLOOKUP($D80,$E$4:$CZ$32,28,FALSE)*'Incremental Repayments'!$I$22)),0),0)</f>
        <v>0</v>
      </c>
      <c r="I80" s="783">
        <f>IF('Incremental Repayments'!$R$22="Debt",IF(AND(I$4&gt;=$D80,I$4&lt;$D80+'Incremental Repayments'!$I$31),-PMT('Interest Rate'!$J$16,'Incremental Repayments'!$I$31,(HLOOKUP($D80,$E$4:$CZ$32,28,FALSE)*'Incremental Repayments'!$I$22)),0),0)</f>
        <v>0</v>
      </c>
      <c r="J80" s="783">
        <f>IF('Incremental Repayments'!$R$22="Debt",IF(AND(J$4&gt;=$D80,J$4&lt;$D80+'Incremental Repayments'!$I$31),-PMT('Interest Rate'!$J$16,'Incremental Repayments'!$I$31,(HLOOKUP($D80,$E$4:$CZ$32,28,FALSE)*'Incremental Repayments'!$I$22)),0),0)</f>
        <v>0</v>
      </c>
      <c r="K80" s="783">
        <f>IF('Incremental Repayments'!$R$22="Debt",IF(AND(K$4&gt;=$D80,K$4&lt;$D80+'Incremental Repayments'!$I$31),-PMT('Interest Rate'!$J$16,'Incremental Repayments'!$I$31,(HLOOKUP($D80,$E$4:$CZ$32,28,FALSE)*'Incremental Repayments'!$I$22)),0),0)</f>
        <v>0</v>
      </c>
      <c r="L80" s="783">
        <f>IF('Incremental Repayments'!$R$22="Debt",IF(AND(L$4&gt;=$D80,L$4&lt;$D80+'Incremental Repayments'!$I$31),-PMT('Interest Rate'!$J$16,'Incremental Repayments'!$I$31,(HLOOKUP($D80,$E$4:$CZ$32,28,FALSE)*'Incremental Repayments'!$I$22)),0),0)</f>
        <v>0</v>
      </c>
      <c r="M80" s="783">
        <f>IF('Incremental Repayments'!$R$22="Debt",IF(AND(M$4&gt;=$D80,M$4&lt;$D80+'Incremental Repayments'!$I$31),-PMT('Interest Rate'!$J$16,'Incremental Repayments'!$I$31,(HLOOKUP($D80,$E$4:$CZ$32,28,FALSE)*'Incremental Repayments'!$I$22)),0),0)</f>
        <v>0</v>
      </c>
      <c r="N80" s="783">
        <f>IF('Incremental Repayments'!$R$22="Debt",IF(AND(N$4&gt;=$D80,N$4&lt;$D80+'Incremental Repayments'!$I$31),-PMT('Interest Rate'!$J$16,'Incremental Repayments'!$I$31,(HLOOKUP($D80,$E$4:$CZ$32,28,FALSE)*'Incremental Repayments'!$I$22)),0),0)</f>
        <v>0</v>
      </c>
      <c r="O80" s="783">
        <f>IF('Incremental Repayments'!$R$22="Debt",IF(AND(O$4&gt;=$D80,O$4&lt;$D80+'Incremental Repayments'!$I$31),-PMT('Interest Rate'!$J$16,'Incremental Repayments'!$I$31,(HLOOKUP($D80,$E$4:$CZ$32,28,FALSE)*'Incremental Repayments'!$I$22)),0),0)</f>
        <v>0</v>
      </c>
      <c r="P80" s="783">
        <f>IF('Incremental Repayments'!$R$22="Debt",IF(AND(P$4&gt;=$D80,P$4&lt;$D80+'Incremental Repayments'!$I$31),-PMT('Interest Rate'!$J$16,'Incremental Repayments'!$I$31,(HLOOKUP($D80,$E$4:$CZ$32,28,FALSE)*'Incremental Repayments'!$I$22)),0),0)</f>
        <v>0</v>
      </c>
      <c r="Q80" s="783">
        <f>IF('Incremental Repayments'!$R$22="Debt",IF(AND(Q$4&gt;=$D80,Q$4&lt;$D80+'Incremental Repayments'!$I$31),-PMT('Interest Rate'!$J$16,'Incremental Repayments'!$I$31,(HLOOKUP($D80,$E$4:$CZ$32,28,FALSE)*'Incremental Repayments'!$I$22)),0),0)</f>
        <v>0</v>
      </c>
      <c r="R80" s="783">
        <f>IF('Incremental Repayments'!$R$22="Debt",IF(AND(R$4&gt;=$D80,R$4&lt;$D80+'Incremental Repayments'!$I$31),-PMT('Interest Rate'!$J$16,'Incremental Repayments'!$I$31,(HLOOKUP($D80,$E$4:$CZ$32,28,FALSE)*'Incremental Repayments'!$I$22)),0),0)</f>
        <v>0</v>
      </c>
      <c r="S80" s="783">
        <f>IF('Incremental Repayments'!$R$22="Debt",IF(AND(S$4&gt;=$D80,S$4&lt;$D80+'Incremental Repayments'!$I$31),-PMT('Interest Rate'!$J$16,'Incremental Repayments'!$I$31,(HLOOKUP($D80,$E$4:$CZ$32,28,FALSE)*'Incremental Repayments'!$I$22)),0),0)</f>
        <v>0</v>
      </c>
      <c r="T80" s="783">
        <f>IF('Incremental Repayments'!$R$22="Debt",IF(AND(T$4&gt;=$D80,T$4&lt;$D80+'Incremental Repayments'!$I$31),-PMT('Interest Rate'!$J$16,'Incremental Repayments'!$I$31,(HLOOKUP($D80,$E$4:$CZ$32,28,FALSE)*'Incremental Repayments'!$I$22)),0),0)</f>
        <v>0</v>
      </c>
      <c r="U80" s="783">
        <f>IF('Incremental Repayments'!$R$22="Debt",IF(AND(U$4&gt;=$D80,U$4&lt;$D80+'Incremental Repayments'!$I$31),-PMT('Interest Rate'!$J$16,'Incremental Repayments'!$I$31,(HLOOKUP($D80,$E$4:$CZ$32,28,FALSE)*'Incremental Repayments'!$I$22)),0),0)</f>
        <v>0</v>
      </c>
      <c r="V80" s="783">
        <f>IF('Incremental Repayments'!$R$22="Debt",IF(AND(V$4&gt;=$D80,V$4&lt;$D80+'Incremental Repayments'!$I$31),-PMT('Interest Rate'!$J$16,'Incremental Repayments'!$I$31,(HLOOKUP($D80,$E$4:$CZ$32,28,FALSE)*'Incremental Repayments'!$I$22)),0),0)</f>
        <v>0</v>
      </c>
      <c r="W80" s="783">
        <f>IF('Incremental Repayments'!$R$22="Debt",IF(AND(W$4&gt;=$D80,W$4&lt;$D80+'Incremental Repayments'!$I$31),-PMT('Interest Rate'!$J$16,'Incremental Repayments'!$I$31,(HLOOKUP($D80,$E$4:$CZ$32,28,FALSE)*'Incremental Repayments'!$I$22)),0),0)</f>
        <v>0</v>
      </c>
      <c r="X80" s="783">
        <f>IF('Incremental Repayments'!$R$22="Debt",IF(AND(X$4&gt;=$D80,X$4&lt;$D80+'Incremental Repayments'!$I$31),-PMT('Interest Rate'!$J$16,'Incremental Repayments'!$I$31,(HLOOKUP($D80,$E$4:$CZ$32,28,FALSE)*'Incremental Repayments'!$I$22)),0),0)</f>
        <v>0</v>
      </c>
      <c r="Y80" s="783">
        <f>IF('Incremental Repayments'!$R$22="Debt",IF(AND(Y$4&gt;=$D80,Y$4&lt;$D80+'Incremental Repayments'!$I$31),-PMT('Interest Rate'!$J$16,'Incremental Repayments'!$I$31,(HLOOKUP($D80,$E$4:$CZ$32,28,FALSE)*'Incremental Repayments'!$I$22)),0),0)</f>
        <v>0</v>
      </c>
      <c r="Z80" s="783">
        <f>IF('Incremental Repayments'!$R$22="Debt",IF(AND(Z$4&gt;=$D80,Z$4&lt;$D80+'Incremental Repayments'!$I$31),-PMT('Interest Rate'!$J$16,'Incremental Repayments'!$I$31,(HLOOKUP($D80,$E$4:$CZ$32,28,FALSE)*'Incremental Repayments'!$I$22)),0),0)</f>
        <v>0</v>
      </c>
      <c r="AA80" s="783">
        <f>IF('Incremental Repayments'!$R$22="Debt",IF(AND(AA$4&gt;=$D80,AA$4&lt;$D80+'Incremental Repayments'!$I$31),-PMT('Interest Rate'!$J$16,'Incremental Repayments'!$I$31,(HLOOKUP($D80,$E$4:$CZ$32,28,FALSE)*'Incremental Repayments'!$I$22)),0),0)</f>
        <v>0</v>
      </c>
      <c r="AB80" s="783">
        <f>IF('Incremental Repayments'!$R$22="Debt",IF(AND(AB$4&gt;=$D80,AB$4&lt;$D80+'Incremental Repayments'!$I$31),-PMT('Interest Rate'!$J$16,'Incremental Repayments'!$I$31,(HLOOKUP($D80,$E$4:$CZ$32,28,FALSE)*'Incremental Repayments'!$I$22)),0),0)</f>
        <v>0</v>
      </c>
      <c r="AC80" s="783">
        <f>IF('Incremental Repayments'!$R$22="Debt",IF(AND(AC$4&gt;=$D80,AC$4&lt;$D80+'Incremental Repayments'!$I$31),-PMT('Interest Rate'!$J$16,'Incremental Repayments'!$I$31,(HLOOKUP($D80,$E$4:$CZ$32,28,FALSE)*'Incremental Repayments'!$I$22)),0),0)</f>
        <v>0</v>
      </c>
      <c r="AD80" s="783">
        <f>IF('Incremental Repayments'!$R$22="Debt",IF(AND(AD$4&gt;=$D80,AD$4&lt;$D80+'Incremental Repayments'!$I$31),-PMT('Interest Rate'!$J$16,'Incremental Repayments'!$I$31,(HLOOKUP($D80,$E$4:$CZ$32,28,FALSE)*'Incremental Repayments'!$I$22)),0),0)</f>
        <v>0</v>
      </c>
      <c r="AE80" s="783">
        <f>IF('Incremental Repayments'!$R$22="Debt",IF(AND(AE$4&gt;=$D80,AE$4&lt;$D80+'Incremental Repayments'!$I$31),-PMT('Interest Rate'!$J$16,'Incremental Repayments'!$I$31,(HLOOKUP($D80,$E$4:$CZ$32,28,FALSE)*'Incremental Repayments'!$I$22)),0),0)</f>
        <v>0</v>
      </c>
      <c r="AF80" s="783">
        <f>IF('Incremental Repayments'!$R$22="Debt",IF(AND(AF$4&gt;=$D80,AF$4&lt;$D80+'Incremental Repayments'!$I$31),-PMT('Interest Rate'!$J$16,'Incremental Repayments'!$I$31,(HLOOKUP($D80,$E$4:$CZ$32,28,FALSE)*'Incremental Repayments'!$I$22)),0),0)</f>
        <v>0</v>
      </c>
      <c r="AG80" s="783">
        <f>IF('Incremental Repayments'!$R$22="Debt",IF(AND(AG$4&gt;=$D80,AG$4&lt;$D80+'Incremental Repayments'!$I$31),-PMT('Interest Rate'!$J$16,'Incremental Repayments'!$I$31,(HLOOKUP($D80,$E$4:$CZ$32,28,FALSE)*'Incremental Repayments'!$I$22)),0),0)</f>
        <v>0</v>
      </c>
      <c r="AH80" s="783">
        <f>IF('Incremental Repayments'!$R$22="Debt",IF(AND(AH$4&gt;=$D80,AH$4&lt;$D80+'Incremental Repayments'!$I$31),-PMT('Interest Rate'!$J$16,'Incremental Repayments'!$I$31,(HLOOKUP($D80,$E$4:$CZ$32,28,FALSE)*'Incremental Repayments'!$I$22)),0),0)</f>
        <v>0</v>
      </c>
      <c r="AI80" s="783">
        <f>IF('Incremental Repayments'!$R$22="Debt",IF(AND(AI$4&gt;=$D80,AI$4&lt;$D80+'Incremental Repayments'!$I$31),-PMT('Interest Rate'!$J$16,'Incremental Repayments'!$I$31,(HLOOKUP($D80,$E$4:$CZ$32,28,FALSE)*'Incremental Repayments'!$I$22)),0),0)</f>
        <v>0</v>
      </c>
      <c r="AJ80" s="783">
        <f>IF('Incremental Repayments'!$R$22="Debt",IF(AND(AJ$4&gt;=$D80,AJ$4&lt;$D80+'Incremental Repayments'!$I$31),-PMT('Interest Rate'!$J$16,'Incremental Repayments'!$I$31,(HLOOKUP($D80,$E$4:$CZ$32,28,FALSE)*'Incremental Repayments'!$I$22)),0),0)</f>
        <v>0</v>
      </c>
      <c r="AK80" s="783">
        <f>IF('Incremental Repayments'!$R$22="Debt",IF(AND(AK$4&gt;=$D80,AK$4&lt;$D80+'Incremental Repayments'!$I$31),-PMT('Interest Rate'!$J$16,'Incremental Repayments'!$I$31,(HLOOKUP($D80,$E$4:$CZ$32,28,FALSE)*'Incremental Repayments'!$I$22)),0),0)</f>
        <v>0</v>
      </c>
      <c r="AL80" s="783">
        <f>IF('Incremental Repayments'!$R$22="Debt",IF(AND(AL$4&gt;=$D80,AL$4&lt;$D80+'Incremental Repayments'!$I$31),-PMT('Interest Rate'!$J$16,'Incremental Repayments'!$I$31,(HLOOKUP($D80,$E$4:$CZ$32,28,FALSE)*'Incremental Repayments'!$I$22)),0),0)</f>
        <v>0</v>
      </c>
      <c r="AM80" s="783">
        <f>IF('Incremental Repayments'!$R$22="Debt",IF(AND(AM$4&gt;=$D80,AM$4&lt;$D80+'Incremental Repayments'!$I$31),-PMT('Interest Rate'!$J$16,'Incremental Repayments'!$I$31,(HLOOKUP($D80,$E$4:$CZ$32,28,FALSE)*'Incremental Repayments'!$I$22)),0),0)</f>
        <v>0</v>
      </c>
      <c r="AN80" s="783">
        <f>IF('Incremental Repayments'!$R$22="Debt",IF(AND(AN$4&gt;=$D80,AN$4&lt;$D80+'Incremental Repayments'!$I$31),-PMT('Interest Rate'!$J$16,'Incremental Repayments'!$I$31,(HLOOKUP($D80,$E$4:$CZ$32,28,FALSE)*'Incremental Repayments'!$I$22)),0),0)</f>
        <v>0</v>
      </c>
      <c r="AO80" s="783">
        <f>IF('Incremental Repayments'!$R$22="Debt",IF(AND(AO$4&gt;=$D80,AO$4&lt;$D80+'Incremental Repayments'!$I$31),-PMT('Interest Rate'!$J$16,'Incremental Repayments'!$I$31,(HLOOKUP($D80,$E$4:$CZ$32,28,FALSE)*'Incremental Repayments'!$I$22)),0),0)</f>
        <v>0</v>
      </c>
      <c r="AP80" s="783">
        <f>IF('Incremental Repayments'!$R$22="Debt",IF(AND(AP$4&gt;=$D80,AP$4&lt;$D80+'Incremental Repayments'!$I$31),-PMT('Interest Rate'!$J$16,'Incremental Repayments'!$I$31,(HLOOKUP($D80,$E$4:$CZ$32,28,FALSE)*'Incremental Repayments'!$I$22)),0),0)</f>
        <v>0</v>
      </c>
      <c r="AQ80" s="783">
        <f>IF('Incremental Repayments'!$R$22="Debt",IF(AND(AQ$4&gt;=$D80,AQ$4&lt;$D80+'Incremental Repayments'!$I$31),-PMT('Interest Rate'!$J$16,'Incremental Repayments'!$I$31,(HLOOKUP($D80,$E$4:$CZ$32,28,FALSE)*'Incremental Repayments'!$I$22)),0),0)</f>
        <v>0</v>
      </c>
      <c r="AR80" s="783">
        <f>IF('Incremental Repayments'!$R$22="Debt",IF(AND(AR$4&gt;=$D80,AR$4&lt;$D80+'Incremental Repayments'!$I$31),-PMT('Interest Rate'!$J$16,'Incremental Repayments'!$I$31,(HLOOKUP($D80,$E$4:$CZ$32,28,FALSE)*'Incremental Repayments'!$I$22)),0),0)</f>
        <v>0</v>
      </c>
      <c r="AS80" s="783">
        <f>IF('Incremental Repayments'!$R$22="Debt",IF(AND(AS$4&gt;=$D80,AS$4&lt;$D80+'Incremental Repayments'!$I$31),-PMT('Interest Rate'!$J$16,'Incremental Repayments'!$I$31,(HLOOKUP($D80,$E$4:$CZ$32,28,FALSE)*'Incremental Repayments'!$I$22)),0),0)</f>
        <v>0</v>
      </c>
      <c r="AT80" s="783">
        <f>IF('Incremental Repayments'!$R$22="Debt",IF(AND(AT$4&gt;=$D80,AT$4&lt;$D80+'Incremental Repayments'!$I$31),-PMT('Interest Rate'!$J$16,'Incremental Repayments'!$I$31,(HLOOKUP($D80,$E$4:$CZ$32,28,FALSE)*'Incremental Repayments'!$I$22)),0),0)</f>
        <v>0</v>
      </c>
      <c r="AU80" s="783">
        <f>IF('Incremental Repayments'!$R$22="Debt",IF(AND(AU$4&gt;=$D80,AU$4&lt;$D80+'Incremental Repayments'!$I$31),-PMT('Interest Rate'!$J$16,'Incremental Repayments'!$I$31,(HLOOKUP($D80,$E$4:$CZ$32,28,FALSE)*'Incremental Repayments'!$I$22)),0),0)</f>
        <v>0</v>
      </c>
      <c r="AV80" s="783">
        <f>IF('Incremental Repayments'!$R$22="Debt",IF(AND(AV$4&gt;=$D80,AV$4&lt;$D80+'Incremental Repayments'!$I$31),-PMT('Interest Rate'!$J$16,'Incremental Repayments'!$I$31,(HLOOKUP($D80,$E$4:$CZ$32,28,FALSE)*'Incremental Repayments'!$I$22)),0),0)</f>
        <v>0</v>
      </c>
      <c r="AW80" s="783">
        <f>IF('Incremental Repayments'!$R$22="Debt",IF(AND(AW$4&gt;=$D80,AW$4&lt;$D80+'Incremental Repayments'!$I$31),-PMT('Interest Rate'!$J$16,'Incremental Repayments'!$I$31,(HLOOKUP($D80,$E$4:$CZ$32,28,FALSE)*'Incremental Repayments'!$I$22)),0),0)</f>
        <v>90.316892296408085</v>
      </c>
      <c r="AX80" s="783">
        <f>IF('Incremental Repayments'!$R$22="Debt",IF(AND(AX$4&gt;=$D80,AX$4&lt;$D80+'Incremental Repayments'!$I$31),-PMT('Interest Rate'!$J$16,'Incremental Repayments'!$I$31,(HLOOKUP($D80,$E$4:$CZ$32,28,FALSE)*'Incremental Repayments'!$I$22)),0),0)</f>
        <v>90.316892296408085</v>
      </c>
      <c r="AY80" s="783">
        <f>IF('Incremental Repayments'!$R$22="Debt",IF(AND(AY$4&gt;=$D80,AY$4&lt;$D80+'Incremental Repayments'!$I$31),-PMT('Interest Rate'!$J$16,'Incremental Repayments'!$I$31,(HLOOKUP($D80,$E$4:$CZ$32,28,FALSE)*'Incremental Repayments'!$I$22)),0),0)</f>
        <v>90.316892296408085</v>
      </c>
      <c r="AZ80" s="783">
        <f>IF('Incremental Repayments'!$R$22="Debt",IF(AND(AZ$4&gt;=$D80,AZ$4&lt;$D80+'Incremental Repayments'!$I$31),-PMT('Interest Rate'!$J$16,'Incremental Repayments'!$I$31,(HLOOKUP($D80,$E$4:$CZ$32,28,FALSE)*'Incremental Repayments'!$I$22)),0),0)</f>
        <v>90.316892296408085</v>
      </c>
      <c r="BA80" s="783">
        <f>IF('Incremental Repayments'!$R$22="Debt",IF(AND(BA$4&gt;=$D80,BA$4&lt;$D80+'Incremental Repayments'!$I$31),-PMT('Interest Rate'!$J$16,'Incremental Repayments'!$I$31,(HLOOKUP($D80,$E$4:$CZ$32,28,FALSE)*'Incremental Repayments'!$I$22)),0),0)</f>
        <v>90.316892296408085</v>
      </c>
      <c r="BB80" s="783">
        <f>IF('Incremental Repayments'!$R$22="Debt",IF(AND(BB$4&gt;=$D80,BB$4&lt;$D80+'Incremental Repayments'!$I$31),-PMT('Interest Rate'!$J$16,'Incremental Repayments'!$I$31,(HLOOKUP($D80,$E$4:$CZ$32,28,FALSE)*'Incremental Repayments'!$I$22)),0),0)</f>
        <v>90.316892296408085</v>
      </c>
      <c r="BC80" s="783">
        <f>IF('Incremental Repayments'!$R$22="Debt",IF(AND(BC$4&gt;=$D80,BC$4&lt;$D80+'Incremental Repayments'!$I$31),-PMT('Interest Rate'!$J$16,'Incremental Repayments'!$I$31,(HLOOKUP($D80,$E$4:$CZ$32,28,FALSE)*'Incremental Repayments'!$I$22)),0),0)</f>
        <v>90.316892296408085</v>
      </c>
      <c r="BD80" s="783">
        <f>IF('Incremental Repayments'!$R$22="Debt",IF(AND(BD$4&gt;=$D80,BD$4&lt;$D80+'Incremental Repayments'!$I$31),-PMT('Interest Rate'!$J$16,'Incremental Repayments'!$I$31,(HLOOKUP($D80,$E$4:$CZ$32,28,FALSE)*'Incremental Repayments'!$I$22)),0),0)</f>
        <v>90.316892296408085</v>
      </c>
      <c r="BE80" s="783">
        <f>IF('Incremental Repayments'!$R$22="Debt",IF(AND(BE$4&gt;=$D80,BE$4&lt;$D80+'Incremental Repayments'!$I$31),-PMT('Interest Rate'!$J$16,'Incremental Repayments'!$I$31,(HLOOKUP($D80,$E$4:$CZ$32,28,FALSE)*'Incremental Repayments'!$I$22)),0),0)</f>
        <v>90.316892296408085</v>
      </c>
      <c r="BF80" s="783">
        <f>IF('Incremental Repayments'!$R$22="Debt",IF(AND(BF$4&gt;=$D80,BF$4&lt;$D80+'Incremental Repayments'!$I$31),-PMT('Interest Rate'!$J$16,'Incremental Repayments'!$I$31,(HLOOKUP($D80,$E$4:$CZ$32,28,FALSE)*'Incremental Repayments'!$I$22)),0),0)</f>
        <v>90.316892296408085</v>
      </c>
      <c r="BG80" s="783">
        <f>IF('Incremental Repayments'!$R$22="Debt",IF(AND(BG$4&gt;=$D80,BG$4&lt;$D80+'Incremental Repayments'!$I$31),-PMT('Interest Rate'!$J$16,'Incremental Repayments'!$I$31,(HLOOKUP($D80,$E$4:$CZ$32,28,FALSE)*'Incremental Repayments'!$I$22)),0),0)</f>
        <v>90.316892296408085</v>
      </c>
      <c r="BH80" s="783">
        <f>IF('Incremental Repayments'!$R$22="Debt",IF(AND(BH$4&gt;=$D80,BH$4&lt;$D80+'Incremental Repayments'!$I$31),-PMT('Interest Rate'!$J$16,'Incremental Repayments'!$I$31,(HLOOKUP($D80,$E$4:$CZ$32,28,FALSE)*'Incremental Repayments'!$I$22)),0),0)</f>
        <v>90.316892296408085</v>
      </c>
      <c r="BI80" s="783">
        <f>IF('Incremental Repayments'!$R$22="Debt",IF(AND(BI$4&gt;=$D80,BI$4&lt;$D80+'Incremental Repayments'!$I$31),-PMT('Interest Rate'!$J$16,'Incremental Repayments'!$I$31,(HLOOKUP($D80,$E$4:$CZ$32,28,FALSE)*'Incremental Repayments'!$I$22)),0),0)</f>
        <v>90.316892296408085</v>
      </c>
      <c r="BJ80" s="783">
        <f>IF('Incremental Repayments'!$R$22="Debt",IF(AND(BJ$4&gt;=$D80,BJ$4&lt;$D80+'Incremental Repayments'!$I$31),-PMT('Interest Rate'!$J$16,'Incremental Repayments'!$I$31,(HLOOKUP($D80,$E$4:$CZ$32,28,FALSE)*'Incremental Repayments'!$I$22)),0),0)</f>
        <v>90.316892296408085</v>
      </c>
      <c r="BK80" s="783">
        <f>IF('Incremental Repayments'!$R$22="Debt",IF(AND(BK$4&gt;=$D80,BK$4&lt;$D80+'Incremental Repayments'!$I$31),-PMT('Interest Rate'!$J$16,'Incremental Repayments'!$I$31,(HLOOKUP($D80,$E$4:$CZ$32,28,FALSE)*'Incremental Repayments'!$I$22)),0),0)</f>
        <v>90.316892296408085</v>
      </c>
      <c r="BL80" s="783">
        <f>IF('Incremental Repayments'!$R$22="Debt",IF(AND(BL$4&gt;=$D80,BL$4&lt;$D80+'Incremental Repayments'!$I$31),-PMT('Interest Rate'!$J$16,'Incremental Repayments'!$I$31,(HLOOKUP($D80,$E$4:$CZ$32,28,FALSE)*'Incremental Repayments'!$I$22)),0),0)</f>
        <v>90.316892296408085</v>
      </c>
      <c r="BM80" s="783">
        <f>IF('Incremental Repayments'!$R$22="Debt",IF(AND(BM$4&gt;=$D80,BM$4&lt;$D80+'Incremental Repayments'!$I$31),-PMT('Interest Rate'!$J$16,'Incremental Repayments'!$I$31,(HLOOKUP($D80,$E$4:$CZ$32,28,FALSE)*'Incremental Repayments'!$I$22)),0),0)</f>
        <v>90.316892296408085</v>
      </c>
      <c r="BN80" s="783">
        <f>IF('Incremental Repayments'!$R$22="Debt",IF(AND(BN$4&gt;=$D80,BN$4&lt;$D80+'Incremental Repayments'!$I$31),-PMT('Interest Rate'!$J$16,'Incremental Repayments'!$I$31,(HLOOKUP($D80,$E$4:$CZ$32,28,FALSE)*'Incremental Repayments'!$I$22)),0),0)</f>
        <v>90.316892296408085</v>
      </c>
      <c r="BO80" s="783">
        <f>IF('Incremental Repayments'!$R$22="Debt",IF(AND(BO$4&gt;=$D80,BO$4&lt;$D80+'Incremental Repayments'!$I$31),-PMT('Interest Rate'!$J$16,'Incremental Repayments'!$I$31,(HLOOKUP($D80,$E$4:$CZ$32,28,FALSE)*'Incremental Repayments'!$I$22)),0),0)</f>
        <v>90.316892296408085</v>
      </c>
      <c r="BP80" s="783">
        <f>IF('Incremental Repayments'!$R$22="Debt",IF(AND(BP$4&gt;=$D80,BP$4&lt;$D80+'Incremental Repayments'!$I$31),-PMT('Interest Rate'!$J$16,'Incremental Repayments'!$I$31,(HLOOKUP($D80,$E$4:$CZ$32,28,FALSE)*'Incremental Repayments'!$I$22)),0),0)</f>
        <v>90.316892296408085</v>
      </c>
      <c r="BQ80" s="783">
        <f>IF('Incremental Repayments'!$R$22="Debt",IF(AND(BQ$4&gt;=$D80,BQ$4&lt;$D80+'Incremental Repayments'!$I$31),-PMT('Interest Rate'!$J$16,'Incremental Repayments'!$I$31,(HLOOKUP($D80,$E$4:$CZ$32,28,FALSE)*'Incremental Repayments'!$I$22)),0),0)</f>
        <v>90.316892296408085</v>
      </c>
      <c r="BR80" s="783">
        <f>IF('Incremental Repayments'!$R$22="Debt",IF(AND(BR$4&gt;=$D80,BR$4&lt;$D80+'Incremental Repayments'!$I$31),-PMT('Interest Rate'!$J$16,'Incremental Repayments'!$I$31,(HLOOKUP($D80,$E$4:$CZ$32,28,FALSE)*'Incremental Repayments'!$I$22)),0),0)</f>
        <v>90.316892296408085</v>
      </c>
      <c r="BS80" s="783">
        <f>IF('Incremental Repayments'!$R$22="Debt",IF(AND(BS$4&gt;=$D80,BS$4&lt;$D80+'Incremental Repayments'!$I$31),-PMT('Interest Rate'!$J$16,'Incremental Repayments'!$I$31,(HLOOKUP($D80,$E$4:$CZ$32,28,FALSE)*'Incremental Repayments'!$I$22)),0),0)</f>
        <v>90.316892296408085</v>
      </c>
      <c r="BT80" s="783">
        <f>IF('Incremental Repayments'!$R$22="Debt",IF(AND(BT$4&gt;=$D80,BT$4&lt;$D80+'Incremental Repayments'!$I$31),-PMT('Interest Rate'!$J$16,'Incremental Repayments'!$I$31,(HLOOKUP($D80,$E$4:$CZ$32,28,FALSE)*'Incremental Repayments'!$I$22)),0),0)</f>
        <v>90.316892296408085</v>
      </c>
      <c r="BU80" s="783">
        <f>IF('Incremental Repayments'!$R$22="Debt",IF(AND(BU$4&gt;=$D80,BU$4&lt;$D80+'Incremental Repayments'!$I$31),-PMT('Interest Rate'!$J$16,'Incremental Repayments'!$I$31,(HLOOKUP($D80,$E$4:$CZ$32,28,FALSE)*'Incremental Repayments'!$I$22)),0),0)</f>
        <v>90.316892296408085</v>
      </c>
      <c r="BV80" s="783">
        <f>IF('Incremental Repayments'!$R$22="Debt",IF(AND(BV$4&gt;=$D80,BV$4&lt;$D80+'Incremental Repayments'!$I$31),-PMT('Interest Rate'!$J$16,'Incremental Repayments'!$I$31,(HLOOKUP($D80,$E$4:$CZ$32,28,FALSE)*'Incremental Repayments'!$I$22)),0),0)</f>
        <v>90.316892296408085</v>
      </c>
      <c r="BW80" s="783">
        <f>IF('Incremental Repayments'!$R$22="Debt",IF(AND(BW$4&gt;=$D80,BW$4&lt;$D80+'Incremental Repayments'!$I$31),-PMT('Interest Rate'!$J$16,'Incremental Repayments'!$I$31,(HLOOKUP($D80,$E$4:$CZ$32,28,FALSE)*'Incremental Repayments'!$I$22)),0),0)</f>
        <v>90.316892296408085</v>
      </c>
      <c r="BX80" s="783">
        <f>IF('Incremental Repayments'!$R$22="Debt",IF(AND(BX$4&gt;=$D80,BX$4&lt;$D80+'Incremental Repayments'!$I$31),-PMT('Interest Rate'!$J$16,'Incremental Repayments'!$I$31,(HLOOKUP($D80,$E$4:$CZ$32,28,FALSE)*'Incremental Repayments'!$I$22)),0),0)</f>
        <v>90.316892296408085</v>
      </c>
      <c r="BY80" s="783">
        <f>IF('Incremental Repayments'!$R$22="Debt",IF(AND(BY$4&gt;=$D80,BY$4&lt;$D80+'Incremental Repayments'!$I$31),-PMT('Interest Rate'!$J$16,'Incremental Repayments'!$I$31,(HLOOKUP($D80,$E$4:$CZ$32,28,FALSE)*'Incremental Repayments'!$I$22)),0),0)</f>
        <v>90.316892296408085</v>
      </c>
      <c r="BZ80" s="783">
        <f>IF('Incremental Repayments'!$R$22="Debt",IF(AND(BZ$4&gt;=$D80,BZ$4&lt;$D80+'Incremental Repayments'!$I$31),-PMT('Interest Rate'!$J$16,'Incremental Repayments'!$I$31,(HLOOKUP($D80,$E$4:$CZ$32,28,FALSE)*'Incremental Repayments'!$I$22)),0),0)</f>
        <v>90.316892296408085</v>
      </c>
      <c r="CA80" s="783">
        <f>IF('Incremental Repayments'!$R$22="Debt",IF(AND(CA$4&gt;=$D80,CA$4&lt;$D80+'Incremental Repayments'!$I$31),-PMT('Interest Rate'!$J$16,'Incremental Repayments'!$I$31,(HLOOKUP($D80,$E$4:$CZ$32,28,FALSE)*'Incremental Repayments'!$I$22)),0),0)</f>
        <v>0</v>
      </c>
      <c r="CB80" s="783">
        <f>IF('Incremental Repayments'!$R$22="Debt",IF(AND(CB$4&gt;=$D80,CB$4&lt;$D80+'Incremental Repayments'!$I$31),-PMT('Interest Rate'!$J$16,'Incremental Repayments'!$I$31,(HLOOKUP($D80,$E$4:$CZ$32,28,FALSE)*'Incremental Repayments'!$I$22)),0),0)</f>
        <v>0</v>
      </c>
      <c r="CC80" s="783">
        <f>IF('Incremental Repayments'!$R$22="Debt",IF(AND(CC$4&gt;=$D80,CC$4&lt;$D80+'Incremental Repayments'!$I$31),-PMT('Interest Rate'!$J$16,'Incremental Repayments'!$I$31,(HLOOKUP($D80,$E$4:$CZ$32,28,FALSE)*'Incremental Repayments'!$I$22)),0),0)</f>
        <v>0</v>
      </c>
      <c r="CD80" s="783">
        <f>IF('Incremental Repayments'!$R$22="Debt",IF(AND(CD$4&gt;=$D80,CD$4&lt;$D80+'Incremental Repayments'!$I$31),-PMT('Interest Rate'!$J$16,'Incremental Repayments'!$I$31,(HLOOKUP($D80,$E$4:$CZ$32,28,FALSE)*'Incremental Repayments'!$I$22)),0),0)</f>
        <v>0</v>
      </c>
      <c r="CE80" s="783">
        <f>IF('Incremental Repayments'!$R$22="Debt",IF(AND(CE$4&gt;=$D80,CE$4&lt;$D80+'Incremental Repayments'!$I$31),-PMT('Interest Rate'!$J$16,'Incremental Repayments'!$I$31,(HLOOKUP($D80,$E$4:$CZ$32,28,FALSE)*'Incremental Repayments'!$I$22)),0),0)</f>
        <v>0</v>
      </c>
      <c r="CF80" s="783">
        <f>IF('Incremental Repayments'!$R$22="Debt",IF(AND(CF$4&gt;=$D80,CF$4&lt;$D80+'Incremental Repayments'!$I$31),-PMT('Interest Rate'!$J$16,'Incremental Repayments'!$I$31,(HLOOKUP($D80,$E$4:$CZ$32,28,FALSE)*'Incremental Repayments'!$I$22)),0),0)</f>
        <v>0</v>
      </c>
      <c r="CG80" s="783">
        <f>IF('Incremental Repayments'!$R$22="Debt",IF(AND(CG$4&gt;=$D80,CG$4&lt;$D80+'Incremental Repayments'!$I$31),-PMT('Interest Rate'!$J$16,'Incremental Repayments'!$I$31,(HLOOKUP($D80,$E$4:$CZ$32,28,FALSE)*'Incremental Repayments'!$I$22)),0),0)</f>
        <v>0</v>
      </c>
      <c r="CH80" s="783">
        <f>IF('Incremental Repayments'!$R$22="Debt",IF(AND(CH$4&gt;=$D80,CH$4&lt;$D80+'Incremental Repayments'!$I$31),-PMT('Interest Rate'!$J$16,'Incremental Repayments'!$I$31,(HLOOKUP($D80,$E$4:$CZ$32,28,FALSE)*'Incremental Repayments'!$I$22)),0),0)</f>
        <v>0</v>
      </c>
      <c r="CI80" s="783">
        <f>IF('Incremental Repayments'!$R$22="Debt",IF(AND(CI$4&gt;=$D80,CI$4&lt;$D80+'Incremental Repayments'!$I$31),-PMT('Interest Rate'!$J$16,'Incremental Repayments'!$I$31,(HLOOKUP($D80,$E$4:$CZ$32,28,FALSE)*'Incremental Repayments'!$I$22)),0),0)</f>
        <v>0</v>
      </c>
      <c r="CJ80" s="783">
        <f>IF('Incremental Repayments'!$R$22="Debt",IF(AND(CJ$4&gt;=$D80,CJ$4&lt;$D80+'Incremental Repayments'!$I$31),-PMT('Interest Rate'!$J$16,'Incremental Repayments'!$I$31,(HLOOKUP($D80,$E$4:$CZ$32,28,FALSE)*'Incremental Repayments'!$I$22)),0),0)</f>
        <v>0</v>
      </c>
      <c r="CK80" s="783">
        <f>IF('Incremental Repayments'!$R$22="Debt",IF(AND(CK$4&gt;=$D80,CK$4&lt;$D80+'Incremental Repayments'!$I$31),-PMT('Interest Rate'!$J$16,'Incremental Repayments'!$I$31,(HLOOKUP($D80,$E$4:$CZ$32,28,FALSE)*'Incremental Repayments'!$I$22)),0),0)</f>
        <v>0</v>
      </c>
      <c r="CL80" s="783">
        <f>IF('Incremental Repayments'!$R$22="Debt",IF(AND(CL$4&gt;=$D80,CL$4&lt;$D80+'Incremental Repayments'!$I$31),-PMT('Interest Rate'!$J$16,'Incremental Repayments'!$I$31,(HLOOKUP($D80,$E$4:$CZ$32,28,FALSE)*'Incremental Repayments'!$I$22)),0),0)</f>
        <v>0</v>
      </c>
      <c r="CM80" s="783">
        <f>IF('Incremental Repayments'!$R$22="Debt",IF(AND(CM$4&gt;=$D80,CM$4&lt;$D80+'Incremental Repayments'!$I$31),-PMT('Interest Rate'!$J$16,'Incremental Repayments'!$I$31,(HLOOKUP($D80,$E$4:$CZ$32,28,FALSE)*'Incremental Repayments'!$I$22)),0),0)</f>
        <v>0</v>
      </c>
      <c r="CN80" s="783">
        <f>IF('Incremental Repayments'!$R$22="Debt",IF(AND(CN$4&gt;=$D80,CN$4&lt;$D80+'Incremental Repayments'!$I$31),-PMT('Interest Rate'!$J$16,'Incremental Repayments'!$I$31,(HLOOKUP($D80,$E$4:$CZ$32,28,FALSE)*'Incremental Repayments'!$I$22)),0),0)</f>
        <v>0</v>
      </c>
      <c r="CO80" s="783">
        <f>IF('Incremental Repayments'!$R$22="Debt",IF(AND(CO$4&gt;=$D80,CO$4&lt;$D80+'Incremental Repayments'!$I$31),-PMT('Interest Rate'!$J$16,'Incremental Repayments'!$I$31,(HLOOKUP($D80,$E$4:$CZ$32,28,FALSE)*'Incremental Repayments'!$I$22)),0),0)</f>
        <v>0</v>
      </c>
      <c r="CP80" s="783">
        <f>IF('Incremental Repayments'!$R$22="Debt",IF(AND(CP$4&gt;=$D80,CP$4&lt;$D80+'Incremental Repayments'!$I$31),-PMT('Interest Rate'!$J$16,'Incremental Repayments'!$I$31,(HLOOKUP($D80,$E$4:$CZ$32,28,FALSE)*'Incremental Repayments'!$I$22)),0),0)</f>
        <v>0</v>
      </c>
      <c r="CQ80" s="783">
        <f>IF('Incremental Repayments'!$R$22="Debt",IF(AND(CQ$4&gt;=$D80,CQ$4&lt;$D80+'Incremental Repayments'!$I$31),-PMT('Interest Rate'!$J$16,'Incremental Repayments'!$I$31,(HLOOKUP($D80,$E$4:$CZ$32,28,FALSE)*'Incremental Repayments'!$I$22)),0),0)</f>
        <v>0</v>
      </c>
      <c r="CR80" s="783">
        <f>IF('Incremental Repayments'!$R$22="Debt",IF(AND(CR$4&gt;=$D80,CR$4&lt;$D80+'Incremental Repayments'!$I$31),-PMT('Interest Rate'!$J$16,'Incremental Repayments'!$I$31,(HLOOKUP($D80,$E$4:$CZ$32,28,FALSE)*'Incremental Repayments'!$I$22)),0),0)</f>
        <v>0</v>
      </c>
      <c r="CS80" s="783">
        <f>IF('Incremental Repayments'!$R$22="Debt",IF(AND(CS$4&gt;=$D80,CS$4&lt;$D80+'Incremental Repayments'!$I$31),-PMT('Interest Rate'!$J$16,'Incremental Repayments'!$I$31,(HLOOKUP($D80,$E$4:$CZ$32,28,FALSE)*'Incremental Repayments'!$I$22)),0),0)</f>
        <v>0</v>
      </c>
      <c r="CT80" s="783">
        <f>IF('Incremental Repayments'!$R$22="Debt",IF(AND(CT$4&gt;=$D80,CT$4&lt;$D80+'Incremental Repayments'!$I$31),-PMT('Interest Rate'!$J$16,'Incremental Repayments'!$I$31,(HLOOKUP($D80,$E$4:$CZ$32,28,FALSE)*'Incremental Repayments'!$I$22)),0),0)</f>
        <v>0</v>
      </c>
      <c r="CU80" s="783">
        <f>IF('Incremental Repayments'!$R$22="Debt",IF(AND(CU$4&gt;=$D80,CU$4&lt;$D80+'Incremental Repayments'!$I$31),-PMT('Interest Rate'!$J$16,'Incremental Repayments'!$I$31,(HLOOKUP($D80,$E$4:$CZ$32,28,FALSE)*'Incremental Repayments'!$I$22)),0),0)</f>
        <v>0</v>
      </c>
      <c r="CV80" s="783">
        <f>IF('Incremental Repayments'!$R$22="Debt",IF(AND(CV$4&gt;=$D80,CV$4&lt;$D80+'Incremental Repayments'!$I$31),-PMT('Interest Rate'!$J$16,'Incremental Repayments'!$I$31,(HLOOKUP($D80,$E$4:$CZ$32,28,FALSE)*'Incremental Repayments'!$I$22)),0),0)</f>
        <v>0</v>
      </c>
      <c r="CW80" s="783">
        <f>IF('Incremental Repayments'!$R$22="Debt",IF(AND(CW$4&gt;=$D80,CW$4&lt;$D80+'Incremental Repayments'!$I$31),-PMT('Interest Rate'!$J$16,'Incremental Repayments'!$I$31,(HLOOKUP($D80,$E$4:$CZ$32,28,FALSE)*'Incremental Repayments'!$I$22)),0),0)</f>
        <v>0</v>
      </c>
      <c r="CX80" s="783">
        <f>IF('Incremental Repayments'!$R$22="Debt",IF(AND(CX$4&gt;=$D80,CX$4&lt;$D80+'Incremental Repayments'!$I$31),-PMT('Interest Rate'!$J$16,'Incremental Repayments'!$I$31,(HLOOKUP($D80,$E$4:$CZ$32,28,FALSE)*'Incremental Repayments'!$I$22)),0),0)</f>
        <v>0</v>
      </c>
      <c r="CY80" s="783">
        <f>IF('Incremental Repayments'!$R$22="Debt",IF(AND(CY$4&gt;=$D80,CY$4&lt;$D80+'Incremental Repayments'!$I$31),-PMT('Interest Rate'!$J$16,'Incremental Repayments'!$I$31,(HLOOKUP($D80,$E$4:$CZ$32,28,FALSE)*'Incremental Repayments'!$I$22)),0),0)</f>
        <v>0</v>
      </c>
      <c r="CZ80" s="783">
        <f>IF('Incremental Repayments'!$R$22="Debt",IF(AND(CZ$4&gt;=$D80,CZ$4&lt;$D80+'Incremental Repayments'!$I$31),-PMT('Interest Rate'!$J$16,'Incremental Repayments'!$I$31,(HLOOKUP($D80,$E$4:$CZ$32,28,FALSE)*'Incremental Repayments'!$I$22)),0),0)</f>
        <v>0</v>
      </c>
    </row>
    <row r="81" spans="2:104" x14ac:dyDescent="0.25">
      <c r="B81" s="480" t="str">
        <f>CONCATENATE("Series ",D81,"A Bonds (at ",'Interest Rate'!$J$16*100,"% Interest)")</f>
        <v>Series 2059A Bonds (at 4.5% Interest)</v>
      </c>
      <c r="C81" s="480"/>
      <c r="D81" s="492">
        <f t="shared" si="47"/>
        <v>2059</v>
      </c>
      <c r="E81" s="783">
        <f>IF('Incremental Repayments'!$R$22="Debt",IF(AND(E$4&gt;=$D81,E$4&lt;$D81+'Incremental Repayments'!$I$31),-PMT('Interest Rate'!$J$16,'Incremental Repayments'!$I$31,(HLOOKUP($D81,$E$4:$CZ$32,28,FALSE)*'Incremental Repayments'!$I$22)),0),0)</f>
        <v>0</v>
      </c>
      <c r="F81" s="783">
        <f>IF('Incremental Repayments'!$R$22="Debt",IF(AND(F$4&gt;=$D81,F$4&lt;$D81+'Incremental Repayments'!$I$31),-PMT('Interest Rate'!$J$16,'Incremental Repayments'!$I$31,(HLOOKUP($D81,$E$4:$CZ$32,28,FALSE)*'Incremental Repayments'!$I$22)),0),0)</f>
        <v>0</v>
      </c>
      <c r="G81" s="783">
        <f>IF('Incremental Repayments'!$R$22="Debt",IF(AND(G$4&gt;=$D81,G$4&lt;$D81+'Incremental Repayments'!$I$31),-PMT('Interest Rate'!$J$16,'Incremental Repayments'!$I$31,(HLOOKUP($D81,$E$4:$CZ$32,28,FALSE)*'Incremental Repayments'!$I$22)),0),0)</f>
        <v>0</v>
      </c>
      <c r="H81" s="783">
        <f>IF('Incremental Repayments'!$R$22="Debt",IF(AND(H$4&gt;=$D81,H$4&lt;$D81+'Incremental Repayments'!$I$31),-PMT('Interest Rate'!$J$16,'Incremental Repayments'!$I$31,(HLOOKUP($D81,$E$4:$CZ$32,28,FALSE)*'Incremental Repayments'!$I$22)),0),0)</f>
        <v>0</v>
      </c>
      <c r="I81" s="783">
        <f>IF('Incremental Repayments'!$R$22="Debt",IF(AND(I$4&gt;=$D81,I$4&lt;$D81+'Incremental Repayments'!$I$31),-PMT('Interest Rate'!$J$16,'Incremental Repayments'!$I$31,(HLOOKUP($D81,$E$4:$CZ$32,28,FALSE)*'Incremental Repayments'!$I$22)),0),0)</f>
        <v>0</v>
      </c>
      <c r="J81" s="783">
        <f>IF('Incremental Repayments'!$R$22="Debt",IF(AND(J$4&gt;=$D81,J$4&lt;$D81+'Incremental Repayments'!$I$31),-PMT('Interest Rate'!$J$16,'Incremental Repayments'!$I$31,(HLOOKUP($D81,$E$4:$CZ$32,28,FALSE)*'Incremental Repayments'!$I$22)),0),0)</f>
        <v>0</v>
      </c>
      <c r="K81" s="783">
        <f>IF('Incremental Repayments'!$R$22="Debt",IF(AND(K$4&gt;=$D81,K$4&lt;$D81+'Incremental Repayments'!$I$31),-PMT('Interest Rate'!$J$16,'Incremental Repayments'!$I$31,(HLOOKUP($D81,$E$4:$CZ$32,28,FALSE)*'Incremental Repayments'!$I$22)),0),0)</f>
        <v>0</v>
      </c>
      <c r="L81" s="783">
        <f>IF('Incremental Repayments'!$R$22="Debt",IF(AND(L$4&gt;=$D81,L$4&lt;$D81+'Incremental Repayments'!$I$31),-PMT('Interest Rate'!$J$16,'Incremental Repayments'!$I$31,(HLOOKUP($D81,$E$4:$CZ$32,28,FALSE)*'Incremental Repayments'!$I$22)),0),0)</f>
        <v>0</v>
      </c>
      <c r="M81" s="783">
        <f>IF('Incremental Repayments'!$R$22="Debt",IF(AND(M$4&gt;=$D81,M$4&lt;$D81+'Incremental Repayments'!$I$31),-PMT('Interest Rate'!$J$16,'Incremental Repayments'!$I$31,(HLOOKUP($D81,$E$4:$CZ$32,28,FALSE)*'Incremental Repayments'!$I$22)),0),0)</f>
        <v>0</v>
      </c>
      <c r="N81" s="783">
        <f>IF('Incremental Repayments'!$R$22="Debt",IF(AND(N$4&gt;=$D81,N$4&lt;$D81+'Incremental Repayments'!$I$31),-PMT('Interest Rate'!$J$16,'Incremental Repayments'!$I$31,(HLOOKUP($D81,$E$4:$CZ$32,28,FALSE)*'Incremental Repayments'!$I$22)),0),0)</f>
        <v>0</v>
      </c>
      <c r="O81" s="783">
        <f>IF('Incremental Repayments'!$R$22="Debt",IF(AND(O$4&gt;=$D81,O$4&lt;$D81+'Incremental Repayments'!$I$31),-PMT('Interest Rate'!$J$16,'Incremental Repayments'!$I$31,(HLOOKUP($D81,$E$4:$CZ$32,28,FALSE)*'Incremental Repayments'!$I$22)),0),0)</f>
        <v>0</v>
      </c>
      <c r="P81" s="783">
        <f>IF('Incremental Repayments'!$R$22="Debt",IF(AND(P$4&gt;=$D81,P$4&lt;$D81+'Incremental Repayments'!$I$31),-PMT('Interest Rate'!$J$16,'Incremental Repayments'!$I$31,(HLOOKUP($D81,$E$4:$CZ$32,28,FALSE)*'Incremental Repayments'!$I$22)),0),0)</f>
        <v>0</v>
      </c>
      <c r="Q81" s="783">
        <f>IF('Incremental Repayments'!$R$22="Debt",IF(AND(Q$4&gt;=$D81,Q$4&lt;$D81+'Incremental Repayments'!$I$31),-PMT('Interest Rate'!$J$16,'Incremental Repayments'!$I$31,(HLOOKUP($D81,$E$4:$CZ$32,28,FALSE)*'Incremental Repayments'!$I$22)),0),0)</f>
        <v>0</v>
      </c>
      <c r="R81" s="783">
        <f>IF('Incremental Repayments'!$R$22="Debt",IF(AND(R$4&gt;=$D81,R$4&lt;$D81+'Incremental Repayments'!$I$31),-PMT('Interest Rate'!$J$16,'Incremental Repayments'!$I$31,(HLOOKUP($D81,$E$4:$CZ$32,28,FALSE)*'Incremental Repayments'!$I$22)),0),0)</f>
        <v>0</v>
      </c>
      <c r="S81" s="783">
        <f>IF('Incremental Repayments'!$R$22="Debt",IF(AND(S$4&gt;=$D81,S$4&lt;$D81+'Incremental Repayments'!$I$31),-PMT('Interest Rate'!$J$16,'Incremental Repayments'!$I$31,(HLOOKUP($D81,$E$4:$CZ$32,28,FALSE)*'Incremental Repayments'!$I$22)),0),0)</f>
        <v>0</v>
      </c>
      <c r="T81" s="783">
        <f>IF('Incremental Repayments'!$R$22="Debt",IF(AND(T$4&gt;=$D81,T$4&lt;$D81+'Incremental Repayments'!$I$31),-PMT('Interest Rate'!$J$16,'Incremental Repayments'!$I$31,(HLOOKUP($D81,$E$4:$CZ$32,28,FALSE)*'Incremental Repayments'!$I$22)),0),0)</f>
        <v>0</v>
      </c>
      <c r="U81" s="783">
        <f>IF('Incremental Repayments'!$R$22="Debt",IF(AND(U$4&gt;=$D81,U$4&lt;$D81+'Incremental Repayments'!$I$31),-PMT('Interest Rate'!$J$16,'Incremental Repayments'!$I$31,(HLOOKUP($D81,$E$4:$CZ$32,28,FALSE)*'Incremental Repayments'!$I$22)),0),0)</f>
        <v>0</v>
      </c>
      <c r="V81" s="783">
        <f>IF('Incremental Repayments'!$R$22="Debt",IF(AND(V$4&gt;=$D81,V$4&lt;$D81+'Incremental Repayments'!$I$31),-PMT('Interest Rate'!$J$16,'Incremental Repayments'!$I$31,(HLOOKUP($D81,$E$4:$CZ$32,28,FALSE)*'Incremental Repayments'!$I$22)),0),0)</f>
        <v>0</v>
      </c>
      <c r="W81" s="783">
        <f>IF('Incremental Repayments'!$R$22="Debt",IF(AND(W$4&gt;=$D81,W$4&lt;$D81+'Incremental Repayments'!$I$31),-PMT('Interest Rate'!$J$16,'Incremental Repayments'!$I$31,(HLOOKUP($D81,$E$4:$CZ$32,28,FALSE)*'Incremental Repayments'!$I$22)),0),0)</f>
        <v>0</v>
      </c>
      <c r="X81" s="783">
        <f>IF('Incremental Repayments'!$R$22="Debt",IF(AND(X$4&gt;=$D81,X$4&lt;$D81+'Incremental Repayments'!$I$31),-PMT('Interest Rate'!$J$16,'Incremental Repayments'!$I$31,(HLOOKUP($D81,$E$4:$CZ$32,28,FALSE)*'Incremental Repayments'!$I$22)),0),0)</f>
        <v>0</v>
      </c>
      <c r="Y81" s="783">
        <f>IF('Incremental Repayments'!$R$22="Debt",IF(AND(Y$4&gt;=$D81,Y$4&lt;$D81+'Incremental Repayments'!$I$31),-PMT('Interest Rate'!$J$16,'Incremental Repayments'!$I$31,(HLOOKUP($D81,$E$4:$CZ$32,28,FALSE)*'Incremental Repayments'!$I$22)),0),0)</f>
        <v>0</v>
      </c>
      <c r="Z81" s="783">
        <f>IF('Incremental Repayments'!$R$22="Debt",IF(AND(Z$4&gt;=$D81,Z$4&lt;$D81+'Incremental Repayments'!$I$31),-PMT('Interest Rate'!$J$16,'Incremental Repayments'!$I$31,(HLOOKUP($D81,$E$4:$CZ$32,28,FALSE)*'Incremental Repayments'!$I$22)),0),0)</f>
        <v>0</v>
      </c>
      <c r="AA81" s="783">
        <f>IF('Incremental Repayments'!$R$22="Debt",IF(AND(AA$4&gt;=$D81,AA$4&lt;$D81+'Incremental Repayments'!$I$31),-PMT('Interest Rate'!$J$16,'Incremental Repayments'!$I$31,(HLOOKUP($D81,$E$4:$CZ$32,28,FALSE)*'Incremental Repayments'!$I$22)),0),0)</f>
        <v>0</v>
      </c>
      <c r="AB81" s="783">
        <f>IF('Incremental Repayments'!$R$22="Debt",IF(AND(AB$4&gt;=$D81,AB$4&lt;$D81+'Incremental Repayments'!$I$31),-PMT('Interest Rate'!$J$16,'Incremental Repayments'!$I$31,(HLOOKUP($D81,$E$4:$CZ$32,28,FALSE)*'Incremental Repayments'!$I$22)),0),0)</f>
        <v>0</v>
      </c>
      <c r="AC81" s="783">
        <f>IF('Incremental Repayments'!$R$22="Debt",IF(AND(AC$4&gt;=$D81,AC$4&lt;$D81+'Incremental Repayments'!$I$31),-PMT('Interest Rate'!$J$16,'Incremental Repayments'!$I$31,(HLOOKUP($D81,$E$4:$CZ$32,28,FALSE)*'Incremental Repayments'!$I$22)),0),0)</f>
        <v>0</v>
      </c>
      <c r="AD81" s="783">
        <f>IF('Incremental Repayments'!$R$22="Debt",IF(AND(AD$4&gt;=$D81,AD$4&lt;$D81+'Incremental Repayments'!$I$31),-PMT('Interest Rate'!$J$16,'Incremental Repayments'!$I$31,(HLOOKUP($D81,$E$4:$CZ$32,28,FALSE)*'Incremental Repayments'!$I$22)),0),0)</f>
        <v>0</v>
      </c>
      <c r="AE81" s="783">
        <f>IF('Incremental Repayments'!$R$22="Debt",IF(AND(AE$4&gt;=$D81,AE$4&lt;$D81+'Incremental Repayments'!$I$31),-PMT('Interest Rate'!$J$16,'Incremental Repayments'!$I$31,(HLOOKUP($D81,$E$4:$CZ$32,28,FALSE)*'Incremental Repayments'!$I$22)),0),0)</f>
        <v>0</v>
      </c>
      <c r="AF81" s="783">
        <f>IF('Incremental Repayments'!$R$22="Debt",IF(AND(AF$4&gt;=$D81,AF$4&lt;$D81+'Incremental Repayments'!$I$31),-PMT('Interest Rate'!$J$16,'Incremental Repayments'!$I$31,(HLOOKUP($D81,$E$4:$CZ$32,28,FALSE)*'Incremental Repayments'!$I$22)),0),0)</f>
        <v>0</v>
      </c>
      <c r="AG81" s="783">
        <f>IF('Incremental Repayments'!$R$22="Debt",IF(AND(AG$4&gt;=$D81,AG$4&lt;$D81+'Incremental Repayments'!$I$31),-PMT('Interest Rate'!$J$16,'Incremental Repayments'!$I$31,(HLOOKUP($D81,$E$4:$CZ$32,28,FALSE)*'Incremental Repayments'!$I$22)),0),0)</f>
        <v>0</v>
      </c>
      <c r="AH81" s="783">
        <f>IF('Incremental Repayments'!$R$22="Debt",IF(AND(AH$4&gt;=$D81,AH$4&lt;$D81+'Incremental Repayments'!$I$31),-PMT('Interest Rate'!$J$16,'Incremental Repayments'!$I$31,(HLOOKUP($D81,$E$4:$CZ$32,28,FALSE)*'Incremental Repayments'!$I$22)),0),0)</f>
        <v>0</v>
      </c>
      <c r="AI81" s="783">
        <f>IF('Incremental Repayments'!$R$22="Debt",IF(AND(AI$4&gt;=$D81,AI$4&lt;$D81+'Incremental Repayments'!$I$31),-PMT('Interest Rate'!$J$16,'Incremental Repayments'!$I$31,(HLOOKUP($D81,$E$4:$CZ$32,28,FALSE)*'Incremental Repayments'!$I$22)),0),0)</f>
        <v>0</v>
      </c>
      <c r="AJ81" s="783">
        <f>IF('Incremental Repayments'!$R$22="Debt",IF(AND(AJ$4&gt;=$D81,AJ$4&lt;$D81+'Incremental Repayments'!$I$31),-PMT('Interest Rate'!$J$16,'Incremental Repayments'!$I$31,(HLOOKUP($D81,$E$4:$CZ$32,28,FALSE)*'Incremental Repayments'!$I$22)),0),0)</f>
        <v>0</v>
      </c>
      <c r="AK81" s="783">
        <f>IF('Incremental Repayments'!$R$22="Debt",IF(AND(AK$4&gt;=$D81,AK$4&lt;$D81+'Incremental Repayments'!$I$31),-PMT('Interest Rate'!$J$16,'Incremental Repayments'!$I$31,(HLOOKUP($D81,$E$4:$CZ$32,28,FALSE)*'Incremental Repayments'!$I$22)),0),0)</f>
        <v>0</v>
      </c>
      <c r="AL81" s="783">
        <f>IF('Incremental Repayments'!$R$22="Debt",IF(AND(AL$4&gt;=$D81,AL$4&lt;$D81+'Incremental Repayments'!$I$31),-PMT('Interest Rate'!$J$16,'Incremental Repayments'!$I$31,(HLOOKUP($D81,$E$4:$CZ$32,28,FALSE)*'Incremental Repayments'!$I$22)),0),0)</f>
        <v>0</v>
      </c>
      <c r="AM81" s="783">
        <f>IF('Incremental Repayments'!$R$22="Debt",IF(AND(AM$4&gt;=$D81,AM$4&lt;$D81+'Incremental Repayments'!$I$31),-PMT('Interest Rate'!$J$16,'Incremental Repayments'!$I$31,(HLOOKUP($D81,$E$4:$CZ$32,28,FALSE)*'Incremental Repayments'!$I$22)),0),0)</f>
        <v>0</v>
      </c>
      <c r="AN81" s="783">
        <f>IF('Incremental Repayments'!$R$22="Debt",IF(AND(AN$4&gt;=$D81,AN$4&lt;$D81+'Incremental Repayments'!$I$31),-PMT('Interest Rate'!$J$16,'Incremental Repayments'!$I$31,(HLOOKUP($D81,$E$4:$CZ$32,28,FALSE)*'Incremental Repayments'!$I$22)),0),0)</f>
        <v>0</v>
      </c>
      <c r="AO81" s="783">
        <f>IF('Incremental Repayments'!$R$22="Debt",IF(AND(AO$4&gt;=$D81,AO$4&lt;$D81+'Incremental Repayments'!$I$31),-PMT('Interest Rate'!$J$16,'Incremental Repayments'!$I$31,(HLOOKUP($D81,$E$4:$CZ$32,28,FALSE)*'Incremental Repayments'!$I$22)),0),0)</f>
        <v>0</v>
      </c>
      <c r="AP81" s="783">
        <f>IF('Incremental Repayments'!$R$22="Debt",IF(AND(AP$4&gt;=$D81,AP$4&lt;$D81+'Incremental Repayments'!$I$31),-PMT('Interest Rate'!$J$16,'Incremental Repayments'!$I$31,(HLOOKUP($D81,$E$4:$CZ$32,28,FALSE)*'Incremental Repayments'!$I$22)),0),0)</f>
        <v>0</v>
      </c>
      <c r="AQ81" s="783">
        <f>IF('Incremental Repayments'!$R$22="Debt",IF(AND(AQ$4&gt;=$D81,AQ$4&lt;$D81+'Incremental Repayments'!$I$31),-PMT('Interest Rate'!$J$16,'Incremental Repayments'!$I$31,(HLOOKUP($D81,$E$4:$CZ$32,28,FALSE)*'Incremental Repayments'!$I$22)),0),0)</f>
        <v>0</v>
      </c>
      <c r="AR81" s="783">
        <f>IF('Incremental Repayments'!$R$22="Debt",IF(AND(AR$4&gt;=$D81,AR$4&lt;$D81+'Incremental Repayments'!$I$31),-PMT('Interest Rate'!$J$16,'Incremental Repayments'!$I$31,(HLOOKUP($D81,$E$4:$CZ$32,28,FALSE)*'Incremental Repayments'!$I$22)),0),0)</f>
        <v>0</v>
      </c>
      <c r="AS81" s="783">
        <f>IF('Incremental Repayments'!$R$22="Debt",IF(AND(AS$4&gt;=$D81,AS$4&lt;$D81+'Incremental Repayments'!$I$31),-PMT('Interest Rate'!$J$16,'Incremental Repayments'!$I$31,(HLOOKUP($D81,$E$4:$CZ$32,28,FALSE)*'Incremental Repayments'!$I$22)),0),0)</f>
        <v>0</v>
      </c>
      <c r="AT81" s="783">
        <f>IF('Incremental Repayments'!$R$22="Debt",IF(AND(AT$4&gt;=$D81,AT$4&lt;$D81+'Incremental Repayments'!$I$31),-PMT('Interest Rate'!$J$16,'Incremental Repayments'!$I$31,(HLOOKUP($D81,$E$4:$CZ$32,28,FALSE)*'Incremental Repayments'!$I$22)),0),0)</f>
        <v>0</v>
      </c>
      <c r="AU81" s="783">
        <f>IF('Incremental Repayments'!$R$22="Debt",IF(AND(AU$4&gt;=$D81,AU$4&lt;$D81+'Incremental Repayments'!$I$31),-PMT('Interest Rate'!$J$16,'Incremental Repayments'!$I$31,(HLOOKUP($D81,$E$4:$CZ$32,28,FALSE)*'Incremental Repayments'!$I$22)),0),0)</f>
        <v>0</v>
      </c>
      <c r="AV81" s="783">
        <f>IF('Incremental Repayments'!$R$22="Debt",IF(AND(AV$4&gt;=$D81,AV$4&lt;$D81+'Incremental Repayments'!$I$31),-PMT('Interest Rate'!$J$16,'Incremental Repayments'!$I$31,(HLOOKUP($D81,$E$4:$CZ$32,28,FALSE)*'Incremental Repayments'!$I$22)),0),0)</f>
        <v>0</v>
      </c>
      <c r="AW81" s="783">
        <f>IF('Incremental Repayments'!$R$22="Debt",IF(AND(AW$4&gt;=$D81,AW$4&lt;$D81+'Incremental Repayments'!$I$31),-PMT('Interest Rate'!$J$16,'Incremental Repayments'!$I$31,(HLOOKUP($D81,$E$4:$CZ$32,28,FALSE)*'Incremental Repayments'!$I$22)),0),0)</f>
        <v>0</v>
      </c>
      <c r="AX81" s="783">
        <f>IF('Incremental Repayments'!$R$22="Debt",IF(AND(AX$4&gt;=$D81,AX$4&lt;$D81+'Incremental Repayments'!$I$31),-PMT('Interest Rate'!$J$16,'Incremental Repayments'!$I$31,(HLOOKUP($D81,$E$4:$CZ$32,28,FALSE)*'Incremental Repayments'!$I$22)),0),0)</f>
        <v>12.322183825082384</v>
      </c>
      <c r="AY81" s="783">
        <f>IF('Incremental Repayments'!$R$22="Debt",IF(AND(AY$4&gt;=$D81,AY$4&lt;$D81+'Incremental Repayments'!$I$31),-PMT('Interest Rate'!$J$16,'Incremental Repayments'!$I$31,(HLOOKUP($D81,$E$4:$CZ$32,28,FALSE)*'Incremental Repayments'!$I$22)),0),0)</f>
        <v>12.322183825082384</v>
      </c>
      <c r="AZ81" s="783">
        <f>IF('Incremental Repayments'!$R$22="Debt",IF(AND(AZ$4&gt;=$D81,AZ$4&lt;$D81+'Incremental Repayments'!$I$31),-PMT('Interest Rate'!$J$16,'Incremental Repayments'!$I$31,(HLOOKUP($D81,$E$4:$CZ$32,28,FALSE)*'Incremental Repayments'!$I$22)),0),0)</f>
        <v>12.322183825082384</v>
      </c>
      <c r="BA81" s="783">
        <f>IF('Incremental Repayments'!$R$22="Debt",IF(AND(BA$4&gt;=$D81,BA$4&lt;$D81+'Incremental Repayments'!$I$31),-PMT('Interest Rate'!$J$16,'Incremental Repayments'!$I$31,(HLOOKUP($D81,$E$4:$CZ$32,28,FALSE)*'Incremental Repayments'!$I$22)),0),0)</f>
        <v>12.322183825082384</v>
      </c>
      <c r="BB81" s="783">
        <f>IF('Incremental Repayments'!$R$22="Debt",IF(AND(BB$4&gt;=$D81,BB$4&lt;$D81+'Incremental Repayments'!$I$31),-PMT('Interest Rate'!$J$16,'Incremental Repayments'!$I$31,(HLOOKUP($D81,$E$4:$CZ$32,28,FALSE)*'Incremental Repayments'!$I$22)),0),0)</f>
        <v>12.322183825082384</v>
      </c>
      <c r="BC81" s="783">
        <f>IF('Incremental Repayments'!$R$22="Debt",IF(AND(BC$4&gt;=$D81,BC$4&lt;$D81+'Incremental Repayments'!$I$31),-PMT('Interest Rate'!$J$16,'Incremental Repayments'!$I$31,(HLOOKUP($D81,$E$4:$CZ$32,28,FALSE)*'Incremental Repayments'!$I$22)),0),0)</f>
        <v>12.322183825082384</v>
      </c>
      <c r="BD81" s="783">
        <f>IF('Incremental Repayments'!$R$22="Debt",IF(AND(BD$4&gt;=$D81,BD$4&lt;$D81+'Incremental Repayments'!$I$31),-PMT('Interest Rate'!$J$16,'Incremental Repayments'!$I$31,(HLOOKUP($D81,$E$4:$CZ$32,28,FALSE)*'Incremental Repayments'!$I$22)),0),0)</f>
        <v>12.322183825082384</v>
      </c>
      <c r="BE81" s="783">
        <f>IF('Incremental Repayments'!$R$22="Debt",IF(AND(BE$4&gt;=$D81,BE$4&lt;$D81+'Incremental Repayments'!$I$31),-PMT('Interest Rate'!$J$16,'Incremental Repayments'!$I$31,(HLOOKUP($D81,$E$4:$CZ$32,28,FALSE)*'Incremental Repayments'!$I$22)),0),0)</f>
        <v>12.322183825082384</v>
      </c>
      <c r="BF81" s="783">
        <f>IF('Incremental Repayments'!$R$22="Debt",IF(AND(BF$4&gt;=$D81,BF$4&lt;$D81+'Incremental Repayments'!$I$31),-PMT('Interest Rate'!$J$16,'Incremental Repayments'!$I$31,(HLOOKUP($D81,$E$4:$CZ$32,28,FALSE)*'Incremental Repayments'!$I$22)),0),0)</f>
        <v>12.322183825082384</v>
      </c>
      <c r="BG81" s="783">
        <f>IF('Incremental Repayments'!$R$22="Debt",IF(AND(BG$4&gt;=$D81,BG$4&lt;$D81+'Incremental Repayments'!$I$31),-PMT('Interest Rate'!$J$16,'Incremental Repayments'!$I$31,(HLOOKUP($D81,$E$4:$CZ$32,28,FALSE)*'Incremental Repayments'!$I$22)),0),0)</f>
        <v>12.322183825082384</v>
      </c>
      <c r="BH81" s="783">
        <f>IF('Incremental Repayments'!$R$22="Debt",IF(AND(BH$4&gt;=$D81,BH$4&lt;$D81+'Incremental Repayments'!$I$31),-PMT('Interest Rate'!$J$16,'Incremental Repayments'!$I$31,(HLOOKUP($D81,$E$4:$CZ$32,28,FALSE)*'Incremental Repayments'!$I$22)),0),0)</f>
        <v>12.322183825082384</v>
      </c>
      <c r="BI81" s="783">
        <f>IF('Incremental Repayments'!$R$22="Debt",IF(AND(BI$4&gt;=$D81,BI$4&lt;$D81+'Incremental Repayments'!$I$31),-PMT('Interest Rate'!$J$16,'Incremental Repayments'!$I$31,(HLOOKUP($D81,$E$4:$CZ$32,28,FALSE)*'Incremental Repayments'!$I$22)),0),0)</f>
        <v>12.322183825082384</v>
      </c>
      <c r="BJ81" s="783">
        <f>IF('Incremental Repayments'!$R$22="Debt",IF(AND(BJ$4&gt;=$D81,BJ$4&lt;$D81+'Incremental Repayments'!$I$31),-PMT('Interest Rate'!$J$16,'Incremental Repayments'!$I$31,(HLOOKUP($D81,$E$4:$CZ$32,28,FALSE)*'Incremental Repayments'!$I$22)),0),0)</f>
        <v>12.322183825082384</v>
      </c>
      <c r="BK81" s="783">
        <f>IF('Incremental Repayments'!$R$22="Debt",IF(AND(BK$4&gt;=$D81,BK$4&lt;$D81+'Incremental Repayments'!$I$31),-PMT('Interest Rate'!$J$16,'Incremental Repayments'!$I$31,(HLOOKUP($D81,$E$4:$CZ$32,28,FALSE)*'Incremental Repayments'!$I$22)),0),0)</f>
        <v>12.322183825082384</v>
      </c>
      <c r="BL81" s="783">
        <f>IF('Incremental Repayments'!$R$22="Debt",IF(AND(BL$4&gt;=$D81,BL$4&lt;$D81+'Incremental Repayments'!$I$31),-PMT('Interest Rate'!$J$16,'Incremental Repayments'!$I$31,(HLOOKUP($D81,$E$4:$CZ$32,28,FALSE)*'Incremental Repayments'!$I$22)),0),0)</f>
        <v>12.322183825082384</v>
      </c>
      <c r="BM81" s="783">
        <f>IF('Incremental Repayments'!$R$22="Debt",IF(AND(BM$4&gt;=$D81,BM$4&lt;$D81+'Incremental Repayments'!$I$31),-PMT('Interest Rate'!$J$16,'Incremental Repayments'!$I$31,(HLOOKUP($D81,$E$4:$CZ$32,28,FALSE)*'Incremental Repayments'!$I$22)),0),0)</f>
        <v>12.322183825082384</v>
      </c>
      <c r="BN81" s="783">
        <f>IF('Incremental Repayments'!$R$22="Debt",IF(AND(BN$4&gt;=$D81,BN$4&lt;$D81+'Incremental Repayments'!$I$31),-PMT('Interest Rate'!$J$16,'Incremental Repayments'!$I$31,(HLOOKUP($D81,$E$4:$CZ$32,28,FALSE)*'Incremental Repayments'!$I$22)),0),0)</f>
        <v>12.322183825082384</v>
      </c>
      <c r="BO81" s="783">
        <f>IF('Incremental Repayments'!$R$22="Debt",IF(AND(BO$4&gt;=$D81,BO$4&lt;$D81+'Incremental Repayments'!$I$31),-PMT('Interest Rate'!$J$16,'Incremental Repayments'!$I$31,(HLOOKUP($D81,$E$4:$CZ$32,28,FALSE)*'Incremental Repayments'!$I$22)),0),0)</f>
        <v>12.322183825082384</v>
      </c>
      <c r="BP81" s="783">
        <f>IF('Incremental Repayments'!$R$22="Debt",IF(AND(BP$4&gt;=$D81,BP$4&lt;$D81+'Incremental Repayments'!$I$31),-PMT('Interest Rate'!$J$16,'Incremental Repayments'!$I$31,(HLOOKUP($D81,$E$4:$CZ$32,28,FALSE)*'Incremental Repayments'!$I$22)),0),0)</f>
        <v>12.322183825082384</v>
      </c>
      <c r="BQ81" s="783">
        <f>IF('Incremental Repayments'!$R$22="Debt",IF(AND(BQ$4&gt;=$D81,BQ$4&lt;$D81+'Incremental Repayments'!$I$31),-PMT('Interest Rate'!$J$16,'Incremental Repayments'!$I$31,(HLOOKUP($D81,$E$4:$CZ$32,28,FALSE)*'Incremental Repayments'!$I$22)),0),0)</f>
        <v>12.322183825082384</v>
      </c>
      <c r="BR81" s="783">
        <f>IF('Incremental Repayments'!$R$22="Debt",IF(AND(BR$4&gt;=$D81,BR$4&lt;$D81+'Incremental Repayments'!$I$31),-PMT('Interest Rate'!$J$16,'Incremental Repayments'!$I$31,(HLOOKUP($D81,$E$4:$CZ$32,28,FALSE)*'Incremental Repayments'!$I$22)),0),0)</f>
        <v>12.322183825082384</v>
      </c>
      <c r="BS81" s="783">
        <f>IF('Incremental Repayments'!$R$22="Debt",IF(AND(BS$4&gt;=$D81,BS$4&lt;$D81+'Incremental Repayments'!$I$31),-PMT('Interest Rate'!$J$16,'Incremental Repayments'!$I$31,(HLOOKUP($D81,$E$4:$CZ$32,28,FALSE)*'Incremental Repayments'!$I$22)),0),0)</f>
        <v>12.322183825082384</v>
      </c>
      <c r="BT81" s="783">
        <f>IF('Incremental Repayments'!$R$22="Debt",IF(AND(BT$4&gt;=$D81,BT$4&lt;$D81+'Incremental Repayments'!$I$31),-PMT('Interest Rate'!$J$16,'Incremental Repayments'!$I$31,(HLOOKUP($D81,$E$4:$CZ$32,28,FALSE)*'Incremental Repayments'!$I$22)),0),0)</f>
        <v>12.322183825082384</v>
      </c>
      <c r="BU81" s="783">
        <f>IF('Incremental Repayments'!$R$22="Debt",IF(AND(BU$4&gt;=$D81,BU$4&lt;$D81+'Incremental Repayments'!$I$31),-PMT('Interest Rate'!$J$16,'Incremental Repayments'!$I$31,(HLOOKUP($D81,$E$4:$CZ$32,28,FALSE)*'Incremental Repayments'!$I$22)),0),0)</f>
        <v>12.322183825082384</v>
      </c>
      <c r="BV81" s="783">
        <f>IF('Incremental Repayments'!$R$22="Debt",IF(AND(BV$4&gt;=$D81,BV$4&lt;$D81+'Incremental Repayments'!$I$31),-PMT('Interest Rate'!$J$16,'Incremental Repayments'!$I$31,(HLOOKUP($D81,$E$4:$CZ$32,28,FALSE)*'Incremental Repayments'!$I$22)),0),0)</f>
        <v>12.322183825082384</v>
      </c>
      <c r="BW81" s="783">
        <f>IF('Incremental Repayments'!$R$22="Debt",IF(AND(BW$4&gt;=$D81,BW$4&lt;$D81+'Incremental Repayments'!$I$31),-PMT('Interest Rate'!$J$16,'Incremental Repayments'!$I$31,(HLOOKUP($D81,$E$4:$CZ$32,28,FALSE)*'Incremental Repayments'!$I$22)),0),0)</f>
        <v>12.322183825082384</v>
      </c>
      <c r="BX81" s="783">
        <f>IF('Incremental Repayments'!$R$22="Debt",IF(AND(BX$4&gt;=$D81,BX$4&lt;$D81+'Incremental Repayments'!$I$31),-PMT('Interest Rate'!$J$16,'Incremental Repayments'!$I$31,(HLOOKUP($D81,$E$4:$CZ$32,28,FALSE)*'Incremental Repayments'!$I$22)),0),0)</f>
        <v>12.322183825082384</v>
      </c>
      <c r="BY81" s="783">
        <f>IF('Incremental Repayments'!$R$22="Debt",IF(AND(BY$4&gt;=$D81,BY$4&lt;$D81+'Incremental Repayments'!$I$31),-PMT('Interest Rate'!$J$16,'Incremental Repayments'!$I$31,(HLOOKUP($D81,$E$4:$CZ$32,28,FALSE)*'Incremental Repayments'!$I$22)),0),0)</f>
        <v>12.322183825082384</v>
      </c>
      <c r="BZ81" s="783">
        <f>IF('Incremental Repayments'!$R$22="Debt",IF(AND(BZ$4&gt;=$D81,BZ$4&lt;$D81+'Incremental Repayments'!$I$31),-PMT('Interest Rate'!$J$16,'Incremental Repayments'!$I$31,(HLOOKUP($D81,$E$4:$CZ$32,28,FALSE)*'Incremental Repayments'!$I$22)),0),0)</f>
        <v>12.322183825082384</v>
      </c>
      <c r="CA81" s="783">
        <f>IF('Incremental Repayments'!$R$22="Debt",IF(AND(CA$4&gt;=$D81,CA$4&lt;$D81+'Incremental Repayments'!$I$31),-PMT('Interest Rate'!$J$16,'Incremental Repayments'!$I$31,(HLOOKUP($D81,$E$4:$CZ$32,28,FALSE)*'Incremental Repayments'!$I$22)),0),0)</f>
        <v>12.322183825082384</v>
      </c>
      <c r="CB81" s="783">
        <f>IF('Incremental Repayments'!$R$22="Debt",IF(AND(CB$4&gt;=$D81,CB$4&lt;$D81+'Incremental Repayments'!$I$31),-PMT('Interest Rate'!$J$16,'Incremental Repayments'!$I$31,(HLOOKUP($D81,$E$4:$CZ$32,28,FALSE)*'Incremental Repayments'!$I$22)),0),0)</f>
        <v>0</v>
      </c>
      <c r="CC81" s="783">
        <f>IF('Incremental Repayments'!$R$22="Debt",IF(AND(CC$4&gt;=$D81,CC$4&lt;$D81+'Incremental Repayments'!$I$31),-PMT('Interest Rate'!$J$16,'Incremental Repayments'!$I$31,(HLOOKUP($D81,$E$4:$CZ$32,28,FALSE)*'Incremental Repayments'!$I$22)),0),0)</f>
        <v>0</v>
      </c>
      <c r="CD81" s="783">
        <f>IF('Incremental Repayments'!$R$22="Debt",IF(AND(CD$4&gt;=$D81,CD$4&lt;$D81+'Incremental Repayments'!$I$31),-PMT('Interest Rate'!$J$16,'Incremental Repayments'!$I$31,(HLOOKUP($D81,$E$4:$CZ$32,28,FALSE)*'Incremental Repayments'!$I$22)),0),0)</f>
        <v>0</v>
      </c>
      <c r="CE81" s="783">
        <f>IF('Incremental Repayments'!$R$22="Debt",IF(AND(CE$4&gt;=$D81,CE$4&lt;$D81+'Incremental Repayments'!$I$31),-PMT('Interest Rate'!$J$16,'Incremental Repayments'!$I$31,(HLOOKUP($D81,$E$4:$CZ$32,28,FALSE)*'Incremental Repayments'!$I$22)),0),0)</f>
        <v>0</v>
      </c>
      <c r="CF81" s="783">
        <f>IF('Incremental Repayments'!$R$22="Debt",IF(AND(CF$4&gt;=$D81,CF$4&lt;$D81+'Incremental Repayments'!$I$31),-PMT('Interest Rate'!$J$16,'Incremental Repayments'!$I$31,(HLOOKUP($D81,$E$4:$CZ$32,28,FALSE)*'Incremental Repayments'!$I$22)),0),0)</f>
        <v>0</v>
      </c>
      <c r="CG81" s="783">
        <f>IF('Incremental Repayments'!$R$22="Debt",IF(AND(CG$4&gt;=$D81,CG$4&lt;$D81+'Incremental Repayments'!$I$31),-PMT('Interest Rate'!$J$16,'Incremental Repayments'!$I$31,(HLOOKUP($D81,$E$4:$CZ$32,28,FALSE)*'Incremental Repayments'!$I$22)),0),0)</f>
        <v>0</v>
      </c>
      <c r="CH81" s="783">
        <f>IF('Incremental Repayments'!$R$22="Debt",IF(AND(CH$4&gt;=$D81,CH$4&lt;$D81+'Incremental Repayments'!$I$31),-PMT('Interest Rate'!$J$16,'Incremental Repayments'!$I$31,(HLOOKUP($D81,$E$4:$CZ$32,28,FALSE)*'Incremental Repayments'!$I$22)),0),0)</f>
        <v>0</v>
      </c>
      <c r="CI81" s="783">
        <f>IF('Incremental Repayments'!$R$22="Debt",IF(AND(CI$4&gt;=$D81,CI$4&lt;$D81+'Incremental Repayments'!$I$31),-PMT('Interest Rate'!$J$16,'Incremental Repayments'!$I$31,(HLOOKUP($D81,$E$4:$CZ$32,28,FALSE)*'Incremental Repayments'!$I$22)),0),0)</f>
        <v>0</v>
      </c>
      <c r="CJ81" s="783">
        <f>IF('Incremental Repayments'!$R$22="Debt",IF(AND(CJ$4&gt;=$D81,CJ$4&lt;$D81+'Incremental Repayments'!$I$31),-PMT('Interest Rate'!$J$16,'Incremental Repayments'!$I$31,(HLOOKUP($D81,$E$4:$CZ$32,28,FALSE)*'Incremental Repayments'!$I$22)),0),0)</f>
        <v>0</v>
      </c>
      <c r="CK81" s="783">
        <f>IF('Incremental Repayments'!$R$22="Debt",IF(AND(CK$4&gt;=$D81,CK$4&lt;$D81+'Incremental Repayments'!$I$31),-PMT('Interest Rate'!$J$16,'Incremental Repayments'!$I$31,(HLOOKUP($D81,$E$4:$CZ$32,28,FALSE)*'Incremental Repayments'!$I$22)),0),0)</f>
        <v>0</v>
      </c>
      <c r="CL81" s="783">
        <f>IF('Incremental Repayments'!$R$22="Debt",IF(AND(CL$4&gt;=$D81,CL$4&lt;$D81+'Incremental Repayments'!$I$31),-PMT('Interest Rate'!$J$16,'Incremental Repayments'!$I$31,(HLOOKUP($D81,$E$4:$CZ$32,28,FALSE)*'Incremental Repayments'!$I$22)),0),0)</f>
        <v>0</v>
      </c>
      <c r="CM81" s="783">
        <f>IF('Incremental Repayments'!$R$22="Debt",IF(AND(CM$4&gt;=$D81,CM$4&lt;$D81+'Incremental Repayments'!$I$31),-PMT('Interest Rate'!$J$16,'Incremental Repayments'!$I$31,(HLOOKUP($D81,$E$4:$CZ$32,28,FALSE)*'Incremental Repayments'!$I$22)),0),0)</f>
        <v>0</v>
      </c>
      <c r="CN81" s="783">
        <f>IF('Incremental Repayments'!$R$22="Debt",IF(AND(CN$4&gt;=$D81,CN$4&lt;$D81+'Incremental Repayments'!$I$31),-PMT('Interest Rate'!$J$16,'Incremental Repayments'!$I$31,(HLOOKUP($D81,$E$4:$CZ$32,28,FALSE)*'Incremental Repayments'!$I$22)),0),0)</f>
        <v>0</v>
      </c>
      <c r="CO81" s="783">
        <f>IF('Incremental Repayments'!$R$22="Debt",IF(AND(CO$4&gt;=$D81,CO$4&lt;$D81+'Incremental Repayments'!$I$31),-PMT('Interest Rate'!$J$16,'Incremental Repayments'!$I$31,(HLOOKUP($D81,$E$4:$CZ$32,28,FALSE)*'Incremental Repayments'!$I$22)),0),0)</f>
        <v>0</v>
      </c>
      <c r="CP81" s="783">
        <f>IF('Incremental Repayments'!$R$22="Debt",IF(AND(CP$4&gt;=$D81,CP$4&lt;$D81+'Incremental Repayments'!$I$31),-PMT('Interest Rate'!$J$16,'Incremental Repayments'!$I$31,(HLOOKUP($D81,$E$4:$CZ$32,28,FALSE)*'Incremental Repayments'!$I$22)),0),0)</f>
        <v>0</v>
      </c>
      <c r="CQ81" s="783">
        <f>IF('Incremental Repayments'!$R$22="Debt",IF(AND(CQ$4&gt;=$D81,CQ$4&lt;$D81+'Incremental Repayments'!$I$31),-PMT('Interest Rate'!$J$16,'Incremental Repayments'!$I$31,(HLOOKUP($D81,$E$4:$CZ$32,28,FALSE)*'Incremental Repayments'!$I$22)),0),0)</f>
        <v>0</v>
      </c>
      <c r="CR81" s="783">
        <f>IF('Incremental Repayments'!$R$22="Debt",IF(AND(CR$4&gt;=$D81,CR$4&lt;$D81+'Incremental Repayments'!$I$31),-PMT('Interest Rate'!$J$16,'Incremental Repayments'!$I$31,(HLOOKUP($D81,$E$4:$CZ$32,28,FALSE)*'Incremental Repayments'!$I$22)),0),0)</f>
        <v>0</v>
      </c>
      <c r="CS81" s="783">
        <f>IF('Incremental Repayments'!$R$22="Debt",IF(AND(CS$4&gt;=$D81,CS$4&lt;$D81+'Incremental Repayments'!$I$31),-PMT('Interest Rate'!$J$16,'Incremental Repayments'!$I$31,(HLOOKUP($D81,$E$4:$CZ$32,28,FALSE)*'Incremental Repayments'!$I$22)),0),0)</f>
        <v>0</v>
      </c>
      <c r="CT81" s="783">
        <f>IF('Incremental Repayments'!$R$22="Debt",IF(AND(CT$4&gt;=$D81,CT$4&lt;$D81+'Incremental Repayments'!$I$31),-PMT('Interest Rate'!$J$16,'Incremental Repayments'!$I$31,(HLOOKUP($D81,$E$4:$CZ$32,28,FALSE)*'Incremental Repayments'!$I$22)),0),0)</f>
        <v>0</v>
      </c>
      <c r="CU81" s="783">
        <f>IF('Incremental Repayments'!$R$22="Debt",IF(AND(CU$4&gt;=$D81,CU$4&lt;$D81+'Incremental Repayments'!$I$31),-PMT('Interest Rate'!$J$16,'Incremental Repayments'!$I$31,(HLOOKUP($D81,$E$4:$CZ$32,28,FALSE)*'Incremental Repayments'!$I$22)),0),0)</f>
        <v>0</v>
      </c>
      <c r="CV81" s="783">
        <f>IF('Incremental Repayments'!$R$22="Debt",IF(AND(CV$4&gt;=$D81,CV$4&lt;$D81+'Incremental Repayments'!$I$31),-PMT('Interest Rate'!$J$16,'Incremental Repayments'!$I$31,(HLOOKUP($D81,$E$4:$CZ$32,28,FALSE)*'Incremental Repayments'!$I$22)),0),0)</f>
        <v>0</v>
      </c>
      <c r="CW81" s="783">
        <f>IF('Incremental Repayments'!$R$22="Debt",IF(AND(CW$4&gt;=$D81,CW$4&lt;$D81+'Incremental Repayments'!$I$31),-PMT('Interest Rate'!$J$16,'Incremental Repayments'!$I$31,(HLOOKUP($D81,$E$4:$CZ$32,28,FALSE)*'Incremental Repayments'!$I$22)),0),0)</f>
        <v>0</v>
      </c>
      <c r="CX81" s="783">
        <f>IF('Incremental Repayments'!$R$22="Debt",IF(AND(CX$4&gt;=$D81,CX$4&lt;$D81+'Incremental Repayments'!$I$31),-PMT('Interest Rate'!$J$16,'Incremental Repayments'!$I$31,(HLOOKUP($D81,$E$4:$CZ$32,28,FALSE)*'Incremental Repayments'!$I$22)),0),0)</f>
        <v>0</v>
      </c>
      <c r="CY81" s="783">
        <f>IF('Incremental Repayments'!$R$22="Debt",IF(AND(CY$4&gt;=$D81,CY$4&lt;$D81+'Incremental Repayments'!$I$31),-PMT('Interest Rate'!$J$16,'Incremental Repayments'!$I$31,(HLOOKUP($D81,$E$4:$CZ$32,28,FALSE)*'Incremental Repayments'!$I$22)),0),0)</f>
        <v>0</v>
      </c>
      <c r="CZ81" s="783">
        <f>IF('Incremental Repayments'!$R$22="Debt",IF(AND(CZ$4&gt;=$D81,CZ$4&lt;$D81+'Incremental Repayments'!$I$31),-PMT('Interest Rate'!$J$16,'Incremental Repayments'!$I$31,(HLOOKUP($D81,$E$4:$CZ$32,28,FALSE)*'Incremental Repayments'!$I$22)),0),0)</f>
        <v>0</v>
      </c>
    </row>
    <row r="82" spans="2:104" x14ac:dyDescent="0.25">
      <c r="B82" s="480" t="str">
        <f>CONCATENATE("Series ",D82,"A Bonds (at ",'Interest Rate'!$J$16*100,"% Interest)")</f>
        <v>Series 2060A Bonds (at 4.5% Interest)</v>
      </c>
      <c r="C82" s="480"/>
      <c r="D82" s="492">
        <f t="shared" si="47"/>
        <v>2060</v>
      </c>
      <c r="E82" s="783">
        <f>IF('Incremental Repayments'!$R$22="Debt",IF(AND(E$4&gt;=$D82,E$4&lt;$D82+'Incremental Repayments'!$I$31),-PMT('Interest Rate'!$J$16,'Incremental Repayments'!$I$31,(HLOOKUP($D82,$E$4:$CZ$32,28,FALSE)*'Incremental Repayments'!$I$22)),0),0)</f>
        <v>0</v>
      </c>
      <c r="F82" s="783">
        <f>IF('Incremental Repayments'!$R$22="Debt",IF(AND(F$4&gt;=$D82,F$4&lt;$D82+'Incremental Repayments'!$I$31),-PMT('Interest Rate'!$J$16,'Incremental Repayments'!$I$31,(HLOOKUP($D82,$E$4:$CZ$32,28,FALSE)*'Incremental Repayments'!$I$22)),0),0)</f>
        <v>0</v>
      </c>
      <c r="G82" s="783">
        <f>IF('Incremental Repayments'!$R$22="Debt",IF(AND(G$4&gt;=$D82,G$4&lt;$D82+'Incremental Repayments'!$I$31),-PMT('Interest Rate'!$J$16,'Incremental Repayments'!$I$31,(HLOOKUP($D82,$E$4:$CZ$32,28,FALSE)*'Incremental Repayments'!$I$22)),0),0)</f>
        <v>0</v>
      </c>
      <c r="H82" s="783">
        <f>IF('Incremental Repayments'!$R$22="Debt",IF(AND(H$4&gt;=$D82,H$4&lt;$D82+'Incremental Repayments'!$I$31),-PMT('Interest Rate'!$J$16,'Incremental Repayments'!$I$31,(HLOOKUP($D82,$E$4:$CZ$32,28,FALSE)*'Incremental Repayments'!$I$22)),0),0)</f>
        <v>0</v>
      </c>
      <c r="I82" s="783">
        <f>IF('Incremental Repayments'!$R$22="Debt",IF(AND(I$4&gt;=$D82,I$4&lt;$D82+'Incremental Repayments'!$I$31),-PMT('Interest Rate'!$J$16,'Incremental Repayments'!$I$31,(HLOOKUP($D82,$E$4:$CZ$32,28,FALSE)*'Incremental Repayments'!$I$22)),0),0)</f>
        <v>0</v>
      </c>
      <c r="J82" s="783">
        <f>IF('Incremental Repayments'!$R$22="Debt",IF(AND(J$4&gt;=$D82,J$4&lt;$D82+'Incremental Repayments'!$I$31),-PMT('Interest Rate'!$J$16,'Incremental Repayments'!$I$31,(HLOOKUP($D82,$E$4:$CZ$32,28,FALSE)*'Incremental Repayments'!$I$22)),0),0)</f>
        <v>0</v>
      </c>
      <c r="K82" s="783">
        <f>IF('Incremental Repayments'!$R$22="Debt",IF(AND(K$4&gt;=$D82,K$4&lt;$D82+'Incremental Repayments'!$I$31),-PMT('Interest Rate'!$J$16,'Incremental Repayments'!$I$31,(HLOOKUP($D82,$E$4:$CZ$32,28,FALSE)*'Incremental Repayments'!$I$22)),0),0)</f>
        <v>0</v>
      </c>
      <c r="L82" s="783">
        <f>IF('Incremental Repayments'!$R$22="Debt",IF(AND(L$4&gt;=$D82,L$4&lt;$D82+'Incremental Repayments'!$I$31),-PMT('Interest Rate'!$J$16,'Incremental Repayments'!$I$31,(HLOOKUP($D82,$E$4:$CZ$32,28,FALSE)*'Incremental Repayments'!$I$22)),0),0)</f>
        <v>0</v>
      </c>
      <c r="M82" s="783">
        <f>IF('Incremental Repayments'!$R$22="Debt",IF(AND(M$4&gt;=$D82,M$4&lt;$D82+'Incremental Repayments'!$I$31),-PMT('Interest Rate'!$J$16,'Incremental Repayments'!$I$31,(HLOOKUP($D82,$E$4:$CZ$32,28,FALSE)*'Incremental Repayments'!$I$22)),0),0)</f>
        <v>0</v>
      </c>
      <c r="N82" s="783">
        <f>IF('Incremental Repayments'!$R$22="Debt",IF(AND(N$4&gt;=$D82,N$4&lt;$D82+'Incremental Repayments'!$I$31),-PMT('Interest Rate'!$J$16,'Incremental Repayments'!$I$31,(HLOOKUP($D82,$E$4:$CZ$32,28,FALSE)*'Incremental Repayments'!$I$22)),0),0)</f>
        <v>0</v>
      </c>
      <c r="O82" s="783">
        <f>IF('Incremental Repayments'!$R$22="Debt",IF(AND(O$4&gt;=$D82,O$4&lt;$D82+'Incremental Repayments'!$I$31),-PMT('Interest Rate'!$J$16,'Incremental Repayments'!$I$31,(HLOOKUP($D82,$E$4:$CZ$32,28,FALSE)*'Incremental Repayments'!$I$22)),0),0)</f>
        <v>0</v>
      </c>
      <c r="P82" s="783">
        <f>IF('Incremental Repayments'!$R$22="Debt",IF(AND(P$4&gt;=$D82,P$4&lt;$D82+'Incremental Repayments'!$I$31),-PMT('Interest Rate'!$J$16,'Incremental Repayments'!$I$31,(HLOOKUP($D82,$E$4:$CZ$32,28,FALSE)*'Incremental Repayments'!$I$22)),0),0)</f>
        <v>0</v>
      </c>
      <c r="Q82" s="783">
        <f>IF('Incremental Repayments'!$R$22="Debt",IF(AND(Q$4&gt;=$D82,Q$4&lt;$D82+'Incremental Repayments'!$I$31),-PMT('Interest Rate'!$J$16,'Incremental Repayments'!$I$31,(HLOOKUP($D82,$E$4:$CZ$32,28,FALSE)*'Incremental Repayments'!$I$22)),0),0)</f>
        <v>0</v>
      </c>
      <c r="R82" s="783">
        <f>IF('Incremental Repayments'!$R$22="Debt",IF(AND(R$4&gt;=$D82,R$4&lt;$D82+'Incremental Repayments'!$I$31),-PMT('Interest Rate'!$J$16,'Incremental Repayments'!$I$31,(HLOOKUP($D82,$E$4:$CZ$32,28,FALSE)*'Incremental Repayments'!$I$22)),0),0)</f>
        <v>0</v>
      </c>
      <c r="S82" s="783">
        <f>IF('Incremental Repayments'!$R$22="Debt",IF(AND(S$4&gt;=$D82,S$4&lt;$D82+'Incremental Repayments'!$I$31),-PMT('Interest Rate'!$J$16,'Incremental Repayments'!$I$31,(HLOOKUP($D82,$E$4:$CZ$32,28,FALSE)*'Incremental Repayments'!$I$22)),0),0)</f>
        <v>0</v>
      </c>
      <c r="T82" s="783">
        <f>IF('Incremental Repayments'!$R$22="Debt",IF(AND(T$4&gt;=$D82,T$4&lt;$D82+'Incremental Repayments'!$I$31),-PMT('Interest Rate'!$J$16,'Incremental Repayments'!$I$31,(HLOOKUP($D82,$E$4:$CZ$32,28,FALSE)*'Incremental Repayments'!$I$22)),0),0)</f>
        <v>0</v>
      </c>
      <c r="U82" s="783">
        <f>IF('Incremental Repayments'!$R$22="Debt",IF(AND(U$4&gt;=$D82,U$4&lt;$D82+'Incremental Repayments'!$I$31),-PMT('Interest Rate'!$J$16,'Incremental Repayments'!$I$31,(HLOOKUP($D82,$E$4:$CZ$32,28,FALSE)*'Incremental Repayments'!$I$22)),0),0)</f>
        <v>0</v>
      </c>
      <c r="V82" s="783">
        <f>IF('Incremental Repayments'!$R$22="Debt",IF(AND(V$4&gt;=$D82,V$4&lt;$D82+'Incremental Repayments'!$I$31),-PMT('Interest Rate'!$J$16,'Incremental Repayments'!$I$31,(HLOOKUP($D82,$E$4:$CZ$32,28,FALSE)*'Incremental Repayments'!$I$22)),0),0)</f>
        <v>0</v>
      </c>
      <c r="W82" s="783">
        <f>IF('Incremental Repayments'!$R$22="Debt",IF(AND(W$4&gt;=$D82,W$4&lt;$D82+'Incremental Repayments'!$I$31),-PMT('Interest Rate'!$J$16,'Incremental Repayments'!$I$31,(HLOOKUP($D82,$E$4:$CZ$32,28,FALSE)*'Incremental Repayments'!$I$22)),0),0)</f>
        <v>0</v>
      </c>
      <c r="X82" s="783">
        <f>IF('Incremental Repayments'!$R$22="Debt",IF(AND(X$4&gt;=$D82,X$4&lt;$D82+'Incremental Repayments'!$I$31),-PMT('Interest Rate'!$J$16,'Incremental Repayments'!$I$31,(HLOOKUP($D82,$E$4:$CZ$32,28,FALSE)*'Incremental Repayments'!$I$22)),0),0)</f>
        <v>0</v>
      </c>
      <c r="Y82" s="783">
        <f>IF('Incremental Repayments'!$R$22="Debt",IF(AND(Y$4&gt;=$D82,Y$4&lt;$D82+'Incremental Repayments'!$I$31),-PMT('Interest Rate'!$J$16,'Incremental Repayments'!$I$31,(HLOOKUP($D82,$E$4:$CZ$32,28,FALSE)*'Incremental Repayments'!$I$22)),0),0)</f>
        <v>0</v>
      </c>
      <c r="Z82" s="783">
        <f>IF('Incremental Repayments'!$R$22="Debt",IF(AND(Z$4&gt;=$D82,Z$4&lt;$D82+'Incremental Repayments'!$I$31),-PMT('Interest Rate'!$J$16,'Incremental Repayments'!$I$31,(HLOOKUP($D82,$E$4:$CZ$32,28,FALSE)*'Incremental Repayments'!$I$22)),0),0)</f>
        <v>0</v>
      </c>
      <c r="AA82" s="783">
        <f>IF('Incremental Repayments'!$R$22="Debt",IF(AND(AA$4&gt;=$D82,AA$4&lt;$D82+'Incremental Repayments'!$I$31),-PMT('Interest Rate'!$J$16,'Incremental Repayments'!$I$31,(HLOOKUP($D82,$E$4:$CZ$32,28,FALSE)*'Incremental Repayments'!$I$22)),0),0)</f>
        <v>0</v>
      </c>
      <c r="AB82" s="783">
        <f>IF('Incremental Repayments'!$R$22="Debt",IF(AND(AB$4&gt;=$D82,AB$4&lt;$D82+'Incremental Repayments'!$I$31),-PMT('Interest Rate'!$J$16,'Incremental Repayments'!$I$31,(HLOOKUP($D82,$E$4:$CZ$32,28,FALSE)*'Incremental Repayments'!$I$22)),0),0)</f>
        <v>0</v>
      </c>
      <c r="AC82" s="783">
        <f>IF('Incremental Repayments'!$R$22="Debt",IF(AND(AC$4&gt;=$D82,AC$4&lt;$D82+'Incremental Repayments'!$I$31),-PMT('Interest Rate'!$J$16,'Incremental Repayments'!$I$31,(HLOOKUP($D82,$E$4:$CZ$32,28,FALSE)*'Incremental Repayments'!$I$22)),0),0)</f>
        <v>0</v>
      </c>
      <c r="AD82" s="783">
        <f>IF('Incremental Repayments'!$R$22="Debt",IF(AND(AD$4&gt;=$D82,AD$4&lt;$D82+'Incremental Repayments'!$I$31),-PMT('Interest Rate'!$J$16,'Incremental Repayments'!$I$31,(HLOOKUP($D82,$E$4:$CZ$32,28,FALSE)*'Incremental Repayments'!$I$22)),0),0)</f>
        <v>0</v>
      </c>
      <c r="AE82" s="783">
        <f>IF('Incremental Repayments'!$R$22="Debt",IF(AND(AE$4&gt;=$D82,AE$4&lt;$D82+'Incremental Repayments'!$I$31),-PMT('Interest Rate'!$J$16,'Incremental Repayments'!$I$31,(HLOOKUP($D82,$E$4:$CZ$32,28,FALSE)*'Incremental Repayments'!$I$22)),0),0)</f>
        <v>0</v>
      </c>
      <c r="AF82" s="783">
        <f>IF('Incremental Repayments'!$R$22="Debt",IF(AND(AF$4&gt;=$D82,AF$4&lt;$D82+'Incremental Repayments'!$I$31),-PMT('Interest Rate'!$J$16,'Incremental Repayments'!$I$31,(HLOOKUP($D82,$E$4:$CZ$32,28,FALSE)*'Incremental Repayments'!$I$22)),0),0)</f>
        <v>0</v>
      </c>
      <c r="AG82" s="783">
        <f>IF('Incremental Repayments'!$R$22="Debt",IF(AND(AG$4&gt;=$D82,AG$4&lt;$D82+'Incremental Repayments'!$I$31),-PMT('Interest Rate'!$J$16,'Incremental Repayments'!$I$31,(HLOOKUP($D82,$E$4:$CZ$32,28,FALSE)*'Incremental Repayments'!$I$22)),0),0)</f>
        <v>0</v>
      </c>
      <c r="AH82" s="783">
        <f>IF('Incremental Repayments'!$R$22="Debt",IF(AND(AH$4&gt;=$D82,AH$4&lt;$D82+'Incremental Repayments'!$I$31),-PMT('Interest Rate'!$J$16,'Incremental Repayments'!$I$31,(HLOOKUP($D82,$E$4:$CZ$32,28,FALSE)*'Incremental Repayments'!$I$22)),0),0)</f>
        <v>0</v>
      </c>
      <c r="AI82" s="783">
        <f>IF('Incremental Repayments'!$R$22="Debt",IF(AND(AI$4&gt;=$D82,AI$4&lt;$D82+'Incremental Repayments'!$I$31),-PMT('Interest Rate'!$J$16,'Incremental Repayments'!$I$31,(HLOOKUP($D82,$E$4:$CZ$32,28,FALSE)*'Incremental Repayments'!$I$22)),0),0)</f>
        <v>0</v>
      </c>
      <c r="AJ82" s="783">
        <f>IF('Incremental Repayments'!$R$22="Debt",IF(AND(AJ$4&gt;=$D82,AJ$4&lt;$D82+'Incremental Repayments'!$I$31),-PMT('Interest Rate'!$J$16,'Incremental Repayments'!$I$31,(HLOOKUP($D82,$E$4:$CZ$32,28,FALSE)*'Incremental Repayments'!$I$22)),0),0)</f>
        <v>0</v>
      </c>
      <c r="AK82" s="783">
        <f>IF('Incremental Repayments'!$R$22="Debt",IF(AND(AK$4&gt;=$D82,AK$4&lt;$D82+'Incremental Repayments'!$I$31),-PMT('Interest Rate'!$J$16,'Incremental Repayments'!$I$31,(HLOOKUP($D82,$E$4:$CZ$32,28,FALSE)*'Incremental Repayments'!$I$22)),0),0)</f>
        <v>0</v>
      </c>
      <c r="AL82" s="783">
        <f>IF('Incremental Repayments'!$R$22="Debt",IF(AND(AL$4&gt;=$D82,AL$4&lt;$D82+'Incremental Repayments'!$I$31),-PMT('Interest Rate'!$J$16,'Incremental Repayments'!$I$31,(HLOOKUP($D82,$E$4:$CZ$32,28,FALSE)*'Incremental Repayments'!$I$22)),0),0)</f>
        <v>0</v>
      </c>
      <c r="AM82" s="783">
        <f>IF('Incremental Repayments'!$R$22="Debt",IF(AND(AM$4&gt;=$D82,AM$4&lt;$D82+'Incremental Repayments'!$I$31),-PMT('Interest Rate'!$J$16,'Incremental Repayments'!$I$31,(HLOOKUP($D82,$E$4:$CZ$32,28,FALSE)*'Incremental Repayments'!$I$22)),0),0)</f>
        <v>0</v>
      </c>
      <c r="AN82" s="783">
        <f>IF('Incremental Repayments'!$R$22="Debt",IF(AND(AN$4&gt;=$D82,AN$4&lt;$D82+'Incremental Repayments'!$I$31),-PMT('Interest Rate'!$J$16,'Incremental Repayments'!$I$31,(HLOOKUP($D82,$E$4:$CZ$32,28,FALSE)*'Incremental Repayments'!$I$22)),0),0)</f>
        <v>0</v>
      </c>
      <c r="AO82" s="783">
        <f>IF('Incremental Repayments'!$R$22="Debt",IF(AND(AO$4&gt;=$D82,AO$4&lt;$D82+'Incremental Repayments'!$I$31),-PMT('Interest Rate'!$J$16,'Incremental Repayments'!$I$31,(HLOOKUP($D82,$E$4:$CZ$32,28,FALSE)*'Incremental Repayments'!$I$22)),0),0)</f>
        <v>0</v>
      </c>
      <c r="AP82" s="783">
        <f>IF('Incremental Repayments'!$R$22="Debt",IF(AND(AP$4&gt;=$D82,AP$4&lt;$D82+'Incremental Repayments'!$I$31),-PMT('Interest Rate'!$J$16,'Incremental Repayments'!$I$31,(HLOOKUP($D82,$E$4:$CZ$32,28,FALSE)*'Incremental Repayments'!$I$22)),0),0)</f>
        <v>0</v>
      </c>
      <c r="AQ82" s="783">
        <f>IF('Incremental Repayments'!$R$22="Debt",IF(AND(AQ$4&gt;=$D82,AQ$4&lt;$D82+'Incremental Repayments'!$I$31),-PMT('Interest Rate'!$J$16,'Incremental Repayments'!$I$31,(HLOOKUP($D82,$E$4:$CZ$32,28,FALSE)*'Incremental Repayments'!$I$22)),0),0)</f>
        <v>0</v>
      </c>
      <c r="AR82" s="783">
        <f>IF('Incremental Repayments'!$R$22="Debt",IF(AND(AR$4&gt;=$D82,AR$4&lt;$D82+'Incremental Repayments'!$I$31),-PMT('Interest Rate'!$J$16,'Incremental Repayments'!$I$31,(HLOOKUP($D82,$E$4:$CZ$32,28,FALSE)*'Incremental Repayments'!$I$22)),0),0)</f>
        <v>0</v>
      </c>
      <c r="AS82" s="783">
        <f>IF('Incremental Repayments'!$R$22="Debt",IF(AND(AS$4&gt;=$D82,AS$4&lt;$D82+'Incremental Repayments'!$I$31),-PMT('Interest Rate'!$J$16,'Incremental Repayments'!$I$31,(HLOOKUP($D82,$E$4:$CZ$32,28,FALSE)*'Incremental Repayments'!$I$22)),0),0)</f>
        <v>0</v>
      </c>
      <c r="AT82" s="783">
        <f>IF('Incremental Repayments'!$R$22="Debt",IF(AND(AT$4&gt;=$D82,AT$4&lt;$D82+'Incremental Repayments'!$I$31),-PMT('Interest Rate'!$J$16,'Incremental Repayments'!$I$31,(HLOOKUP($D82,$E$4:$CZ$32,28,FALSE)*'Incremental Repayments'!$I$22)),0),0)</f>
        <v>0</v>
      </c>
      <c r="AU82" s="783">
        <f>IF('Incremental Repayments'!$R$22="Debt",IF(AND(AU$4&gt;=$D82,AU$4&lt;$D82+'Incremental Repayments'!$I$31),-PMT('Interest Rate'!$J$16,'Incremental Repayments'!$I$31,(HLOOKUP($D82,$E$4:$CZ$32,28,FALSE)*'Incremental Repayments'!$I$22)),0),0)</f>
        <v>0</v>
      </c>
      <c r="AV82" s="783">
        <f>IF('Incremental Repayments'!$R$22="Debt",IF(AND(AV$4&gt;=$D82,AV$4&lt;$D82+'Incremental Repayments'!$I$31),-PMT('Interest Rate'!$J$16,'Incremental Repayments'!$I$31,(HLOOKUP($D82,$E$4:$CZ$32,28,FALSE)*'Incremental Repayments'!$I$22)),0),0)</f>
        <v>0</v>
      </c>
      <c r="AW82" s="783">
        <f>IF('Incremental Repayments'!$R$22="Debt",IF(AND(AW$4&gt;=$D82,AW$4&lt;$D82+'Incremental Repayments'!$I$31),-PMT('Interest Rate'!$J$16,'Incremental Repayments'!$I$31,(HLOOKUP($D82,$E$4:$CZ$32,28,FALSE)*'Incremental Repayments'!$I$22)),0),0)</f>
        <v>0</v>
      </c>
      <c r="AX82" s="783">
        <f>IF('Incremental Repayments'!$R$22="Debt",IF(AND(AX$4&gt;=$D82,AX$4&lt;$D82+'Incremental Repayments'!$I$31),-PMT('Interest Rate'!$J$16,'Incremental Repayments'!$I$31,(HLOOKUP($D82,$E$4:$CZ$32,28,FALSE)*'Incremental Repayments'!$I$22)),0),0)</f>
        <v>0</v>
      </c>
      <c r="AY82" s="783">
        <f>IF('Incremental Repayments'!$R$22="Debt",IF(AND(AY$4&gt;=$D82,AY$4&lt;$D82+'Incremental Repayments'!$I$31),-PMT('Interest Rate'!$J$16,'Incremental Repayments'!$I$31,(HLOOKUP($D82,$E$4:$CZ$32,28,FALSE)*'Incremental Repayments'!$I$22)),0),0)</f>
        <v>1.0063032726442243</v>
      </c>
      <c r="AZ82" s="783">
        <f>IF('Incremental Repayments'!$R$22="Debt",IF(AND(AZ$4&gt;=$D82,AZ$4&lt;$D82+'Incremental Repayments'!$I$31),-PMT('Interest Rate'!$J$16,'Incremental Repayments'!$I$31,(HLOOKUP($D82,$E$4:$CZ$32,28,FALSE)*'Incremental Repayments'!$I$22)),0),0)</f>
        <v>1.0063032726442243</v>
      </c>
      <c r="BA82" s="783">
        <f>IF('Incremental Repayments'!$R$22="Debt",IF(AND(BA$4&gt;=$D82,BA$4&lt;$D82+'Incremental Repayments'!$I$31),-PMT('Interest Rate'!$J$16,'Incremental Repayments'!$I$31,(HLOOKUP($D82,$E$4:$CZ$32,28,FALSE)*'Incremental Repayments'!$I$22)),0),0)</f>
        <v>1.0063032726442243</v>
      </c>
      <c r="BB82" s="783">
        <f>IF('Incremental Repayments'!$R$22="Debt",IF(AND(BB$4&gt;=$D82,BB$4&lt;$D82+'Incremental Repayments'!$I$31),-PMT('Interest Rate'!$J$16,'Incremental Repayments'!$I$31,(HLOOKUP($D82,$E$4:$CZ$32,28,FALSE)*'Incremental Repayments'!$I$22)),0),0)</f>
        <v>1.0063032726442243</v>
      </c>
      <c r="BC82" s="783">
        <f>IF('Incremental Repayments'!$R$22="Debt",IF(AND(BC$4&gt;=$D82,BC$4&lt;$D82+'Incremental Repayments'!$I$31),-PMT('Interest Rate'!$J$16,'Incremental Repayments'!$I$31,(HLOOKUP($D82,$E$4:$CZ$32,28,FALSE)*'Incremental Repayments'!$I$22)),0),0)</f>
        <v>1.0063032726442243</v>
      </c>
      <c r="BD82" s="783">
        <f>IF('Incremental Repayments'!$R$22="Debt",IF(AND(BD$4&gt;=$D82,BD$4&lt;$D82+'Incremental Repayments'!$I$31),-PMT('Interest Rate'!$J$16,'Incremental Repayments'!$I$31,(HLOOKUP($D82,$E$4:$CZ$32,28,FALSE)*'Incremental Repayments'!$I$22)),0),0)</f>
        <v>1.0063032726442243</v>
      </c>
      <c r="BE82" s="783">
        <f>IF('Incremental Repayments'!$R$22="Debt",IF(AND(BE$4&gt;=$D82,BE$4&lt;$D82+'Incremental Repayments'!$I$31),-PMT('Interest Rate'!$J$16,'Incremental Repayments'!$I$31,(HLOOKUP($D82,$E$4:$CZ$32,28,FALSE)*'Incremental Repayments'!$I$22)),0),0)</f>
        <v>1.0063032726442243</v>
      </c>
      <c r="BF82" s="783">
        <f>IF('Incremental Repayments'!$R$22="Debt",IF(AND(BF$4&gt;=$D82,BF$4&lt;$D82+'Incremental Repayments'!$I$31),-PMT('Interest Rate'!$J$16,'Incremental Repayments'!$I$31,(HLOOKUP($D82,$E$4:$CZ$32,28,FALSE)*'Incremental Repayments'!$I$22)),0),0)</f>
        <v>1.0063032726442243</v>
      </c>
      <c r="BG82" s="783">
        <f>IF('Incremental Repayments'!$R$22="Debt",IF(AND(BG$4&gt;=$D82,BG$4&lt;$D82+'Incremental Repayments'!$I$31),-PMT('Interest Rate'!$J$16,'Incremental Repayments'!$I$31,(HLOOKUP($D82,$E$4:$CZ$32,28,FALSE)*'Incremental Repayments'!$I$22)),0),0)</f>
        <v>1.0063032726442243</v>
      </c>
      <c r="BH82" s="783">
        <f>IF('Incremental Repayments'!$R$22="Debt",IF(AND(BH$4&gt;=$D82,BH$4&lt;$D82+'Incremental Repayments'!$I$31),-PMT('Interest Rate'!$J$16,'Incremental Repayments'!$I$31,(HLOOKUP($D82,$E$4:$CZ$32,28,FALSE)*'Incremental Repayments'!$I$22)),0),0)</f>
        <v>1.0063032726442243</v>
      </c>
      <c r="BI82" s="783">
        <f>IF('Incremental Repayments'!$R$22="Debt",IF(AND(BI$4&gt;=$D82,BI$4&lt;$D82+'Incremental Repayments'!$I$31),-PMT('Interest Rate'!$J$16,'Incremental Repayments'!$I$31,(HLOOKUP($D82,$E$4:$CZ$32,28,FALSE)*'Incremental Repayments'!$I$22)),0),0)</f>
        <v>1.0063032726442243</v>
      </c>
      <c r="BJ82" s="783">
        <f>IF('Incremental Repayments'!$R$22="Debt",IF(AND(BJ$4&gt;=$D82,BJ$4&lt;$D82+'Incremental Repayments'!$I$31),-PMT('Interest Rate'!$J$16,'Incremental Repayments'!$I$31,(HLOOKUP($D82,$E$4:$CZ$32,28,FALSE)*'Incremental Repayments'!$I$22)),0),0)</f>
        <v>1.0063032726442243</v>
      </c>
      <c r="BK82" s="783">
        <f>IF('Incremental Repayments'!$R$22="Debt",IF(AND(BK$4&gt;=$D82,BK$4&lt;$D82+'Incremental Repayments'!$I$31),-PMT('Interest Rate'!$J$16,'Incremental Repayments'!$I$31,(HLOOKUP($D82,$E$4:$CZ$32,28,FALSE)*'Incremental Repayments'!$I$22)),0),0)</f>
        <v>1.0063032726442243</v>
      </c>
      <c r="BL82" s="783">
        <f>IF('Incremental Repayments'!$R$22="Debt",IF(AND(BL$4&gt;=$D82,BL$4&lt;$D82+'Incremental Repayments'!$I$31),-PMT('Interest Rate'!$J$16,'Incremental Repayments'!$I$31,(HLOOKUP($D82,$E$4:$CZ$32,28,FALSE)*'Incremental Repayments'!$I$22)),0),0)</f>
        <v>1.0063032726442243</v>
      </c>
      <c r="BM82" s="783">
        <f>IF('Incremental Repayments'!$R$22="Debt",IF(AND(BM$4&gt;=$D82,BM$4&lt;$D82+'Incremental Repayments'!$I$31),-PMT('Interest Rate'!$J$16,'Incremental Repayments'!$I$31,(HLOOKUP($D82,$E$4:$CZ$32,28,FALSE)*'Incremental Repayments'!$I$22)),0),0)</f>
        <v>1.0063032726442243</v>
      </c>
      <c r="BN82" s="783">
        <f>IF('Incremental Repayments'!$R$22="Debt",IF(AND(BN$4&gt;=$D82,BN$4&lt;$D82+'Incremental Repayments'!$I$31),-PMT('Interest Rate'!$J$16,'Incremental Repayments'!$I$31,(HLOOKUP($D82,$E$4:$CZ$32,28,FALSE)*'Incremental Repayments'!$I$22)),0),0)</f>
        <v>1.0063032726442243</v>
      </c>
      <c r="BO82" s="783">
        <f>IF('Incremental Repayments'!$R$22="Debt",IF(AND(BO$4&gt;=$D82,BO$4&lt;$D82+'Incremental Repayments'!$I$31),-PMT('Interest Rate'!$J$16,'Incremental Repayments'!$I$31,(HLOOKUP($D82,$E$4:$CZ$32,28,FALSE)*'Incremental Repayments'!$I$22)),0),0)</f>
        <v>1.0063032726442243</v>
      </c>
      <c r="BP82" s="783">
        <f>IF('Incremental Repayments'!$R$22="Debt",IF(AND(BP$4&gt;=$D82,BP$4&lt;$D82+'Incremental Repayments'!$I$31),-PMT('Interest Rate'!$J$16,'Incremental Repayments'!$I$31,(HLOOKUP($D82,$E$4:$CZ$32,28,FALSE)*'Incremental Repayments'!$I$22)),0),0)</f>
        <v>1.0063032726442243</v>
      </c>
      <c r="BQ82" s="783">
        <f>IF('Incremental Repayments'!$R$22="Debt",IF(AND(BQ$4&gt;=$D82,BQ$4&lt;$D82+'Incremental Repayments'!$I$31),-PMT('Interest Rate'!$J$16,'Incremental Repayments'!$I$31,(HLOOKUP($D82,$E$4:$CZ$32,28,FALSE)*'Incremental Repayments'!$I$22)),0),0)</f>
        <v>1.0063032726442243</v>
      </c>
      <c r="BR82" s="783">
        <f>IF('Incremental Repayments'!$R$22="Debt",IF(AND(BR$4&gt;=$D82,BR$4&lt;$D82+'Incremental Repayments'!$I$31),-PMT('Interest Rate'!$J$16,'Incremental Repayments'!$I$31,(HLOOKUP($D82,$E$4:$CZ$32,28,FALSE)*'Incremental Repayments'!$I$22)),0),0)</f>
        <v>1.0063032726442243</v>
      </c>
      <c r="BS82" s="783">
        <f>IF('Incremental Repayments'!$R$22="Debt",IF(AND(BS$4&gt;=$D82,BS$4&lt;$D82+'Incremental Repayments'!$I$31),-PMT('Interest Rate'!$J$16,'Incremental Repayments'!$I$31,(HLOOKUP($D82,$E$4:$CZ$32,28,FALSE)*'Incremental Repayments'!$I$22)),0),0)</f>
        <v>1.0063032726442243</v>
      </c>
      <c r="BT82" s="783">
        <f>IF('Incremental Repayments'!$R$22="Debt",IF(AND(BT$4&gt;=$D82,BT$4&lt;$D82+'Incremental Repayments'!$I$31),-PMT('Interest Rate'!$J$16,'Incremental Repayments'!$I$31,(HLOOKUP($D82,$E$4:$CZ$32,28,FALSE)*'Incremental Repayments'!$I$22)),0),0)</f>
        <v>1.0063032726442243</v>
      </c>
      <c r="BU82" s="783">
        <f>IF('Incremental Repayments'!$R$22="Debt",IF(AND(BU$4&gt;=$D82,BU$4&lt;$D82+'Incremental Repayments'!$I$31),-PMT('Interest Rate'!$J$16,'Incremental Repayments'!$I$31,(HLOOKUP($D82,$E$4:$CZ$32,28,FALSE)*'Incremental Repayments'!$I$22)),0),0)</f>
        <v>1.0063032726442243</v>
      </c>
      <c r="BV82" s="783">
        <f>IF('Incremental Repayments'!$R$22="Debt",IF(AND(BV$4&gt;=$D82,BV$4&lt;$D82+'Incremental Repayments'!$I$31),-PMT('Interest Rate'!$J$16,'Incremental Repayments'!$I$31,(HLOOKUP($D82,$E$4:$CZ$32,28,FALSE)*'Incremental Repayments'!$I$22)),0),0)</f>
        <v>1.0063032726442243</v>
      </c>
      <c r="BW82" s="783">
        <f>IF('Incremental Repayments'!$R$22="Debt",IF(AND(BW$4&gt;=$D82,BW$4&lt;$D82+'Incremental Repayments'!$I$31),-PMT('Interest Rate'!$J$16,'Incremental Repayments'!$I$31,(HLOOKUP($D82,$E$4:$CZ$32,28,FALSE)*'Incremental Repayments'!$I$22)),0),0)</f>
        <v>1.0063032726442243</v>
      </c>
      <c r="BX82" s="783">
        <f>IF('Incremental Repayments'!$R$22="Debt",IF(AND(BX$4&gt;=$D82,BX$4&lt;$D82+'Incremental Repayments'!$I$31),-PMT('Interest Rate'!$J$16,'Incremental Repayments'!$I$31,(HLOOKUP($D82,$E$4:$CZ$32,28,FALSE)*'Incremental Repayments'!$I$22)),0),0)</f>
        <v>1.0063032726442243</v>
      </c>
      <c r="BY82" s="783">
        <f>IF('Incremental Repayments'!$R$22="Debt",IF(AND(BY$4&gt;=$D82,BY$4&lt;$D82+'Incremental Repayments'!$I$31),-PMT('Interest Rate'!$J$16,'Incremental Repayments'!$I$31,(HLOOKUP($D82,$E$4:$CZ$32,28,FALSE)*'Incremental Repayments'!$I$22)),0),0)</f>
        <v>1.0063032726442243</v>
      </c>
      <c r="BZ82" s="783">
        <f>IF('Incremental Repayments'!$R$22="Debt",IF(AND(BZ$4&gt;=$D82,BZ$4&lt;$D82+'Incremental Repayments'!$I$31),-PMT('Interest Rate'!$J$16,'Incremental Repayments'!$I$31,(HLOOKUP($D82,$E$4:$CZ$32,28,FALSE)*'Incremental Repayments'!$I$22)),0),0)</f>
        <v>1.0063032726442243</v>
      </c>
      <c r="CA82" s="783">
        <f>IF('Incremental Repayments'!$R$22="Debt",IF(AND(CA$4&gt;=$D82,CA$4&lt;$D82+'Incremental Repayments'!$I$31),-PMT('Interest Rate'!$J$16,'Incremental Repayments'!$I$31,(HLOOKUP($D82,$E$4:$CZ$32,28,FALSE)*'Incremental Repayments'!$I$22)),0),0)</f>
        <v>1.0063032726442243</v>
      </c>
      <c r="CB82" s="783">
        <f>IF('Incremental Repayments'!$R$22="Debt",IF(AND(CB$4&gt;=$D82,CB$4&lt;$D82+'Incremental Repayments'!$I$31),-PMT('Interest Rate'!$J$16,'Incremental Repayments'!$I$31,(HLOOKUP($D82,$E$4:$CZ$32,28,FALSE)*'Incremental Repayments'!$I$22)),0),0)</f>
        <v>1.0063032726442243</v>
      </c>
      <c r="CC82" s="783">
        <f>IF('Incremental Repayments'!$R$22="Debt",IF(AND(CC$4&gt;=$D82,CC$4&lt;$D82+'Incremental Repayments'!$I$31),-PMT('Interest Rate'!$J$16,'Incremental Repayments'!$I$31,(HLOOKUP($D82,$E$4:$CZ$32,28,FALSE)*'Incremental Repayments'!$I$22)),0),0)</f>
        <v>0</v>
      </c>
      <c r="CD82" s="783">
        <f>IF('Incremental Repayments'!$R$22="Debt",IF(AND(CD$4&gt;=$D82,CD$4&lt;$D82+'Incremental Repayments'!$I$31),-PMT('Interest Rate'!$J$16,'Incremental Repayments'!$I$31,(HLOOKUP($D82,$E$4:$CZ$32,28,FALSE)*'Incremental Repayments'!$I$22)),0),0)</f>
        <v>0</v>
      </c>
      <c r="CE82" s="783">
        <f>IF('Incremental Repayments'!$R$22="Debt",IF(AND(CE$4&gt;=$D82,CE$4&lt;$D82+'Incremental Repayments'!$I$31),-PMT('Interest Rate'!$J$16,'Incremental Repayments'!$I$31,(HLOOKUP($D82,$E$4:$CZ$32,28,FALSE)*'Incremental Repayments'!$I$22)),0),0)</f>
        <v>0</v>
      </c>
      <c r="CF82" s="783">
        <f>IF('Incremental Repayments'!$R$22="Debt",IF(AND(CF$4&gt;=$D82,CF$4&lt;$D82+'Incremental Repayments'!$I$31),-PMT('Interest Rate'!$J$16,'Incremental Repayments'!$I$31,(HLOOKUP($D82,$E$4:$CZ$32,28,FALSE)*'Incremental Repayments'!$I$22)),0),0)</f>
        <v>0</v>
      </c>
      <c r="CG82" s="783">
        <f>IF('Incremental Repayments'!$R$22="Debt",IF(AND(CG$4&gt;=$D82,CG$4&lt;$D82+'Incremental Repayments'!$I$31),-PMT('Interest Rate'!$J$16,'Incremental Repayments'!$I$31,(HLOOKUP($D82,$E$4:$CZ$32,28,FALSE)*'Incremental Repayments'!$I$22)),0),0)</f>
        <v>0</v>
      </c>
      <c r="CH82" s="783">
        <f>IF('Incremental Repayments'!$R$22="Debt",IF(AND(CH$4&gt;=$D82,CH$4&lt;$D82+'Incremental Repayments'!$I$31),-PMT('Interest Rate'!$J$16,'Incremental Repayments'!$I$31,(HLOOKUP($D82,$E$4:$CZ$32,28,FALSE)*'Incremental Repayments'!$I$22)),0),0)</f>
        <v>0</v>
      </c>
      <c r="CI82" s="783">
        <f>IF('Incremental Repayments'!$R$22="Debt",IF(AND(CI$4&gt;=$D82,CI$4&lt;$D82+'Incremental Repayments'!$I$31),-PMT('Interest Rate'!$J$16,'Incremental Repayments'!$I$31,(HLOOKUP($D82,$E$4:$CZ$32,28,FALSE)*'Incremental Repayments'!$I$22)),0),0)</f>
        <v>0</v>
      </c>
      <c r="CJ82" s="783">
        <f>IF('Incremental Repayments'!$R$22="Debt",IF(AND(CJ$4&gt;=$D82,CJ$4&lt;$D82+'Incremental Repayments'!$I$31),-PMT('Interest Rate'!$J$16,'Incremental Repayments'!$I$31,(HLOOKUP($D82,$E$4:$CZ$32,28,FALSE)*'Incremental Repayments'!$I$22)),0),0)</f>
        <v>0</v>
      </c>
      <c r="CK82" s="783">
        <f>IF('Incremental Repayments'!$R$22="Debt",IF(AND(CK$4&gt;=$D82,CK$4&lt;$D82+'Incremental Repayments'!$I$31),-PMT('Interest Rate'!$J$16,'Incremental Repayments'!$I$31,(HLOOKUP($D82,$E$4:$CZ$32,28,FALSE)*'Incremental Repayments'!$I$22)),0),0)</f>
        <v>0</v>
      </c>
      <c r="CL82" s="783">
        <f>IF('Incremental Repayments'!$R$22="Debt",IF(AND(CL$4&gt;=$D82,CL$4&lt;$D82+'Incremental Repayments'!$I$31),-PMT('Interest Rate'!$J$16,'Incremental Repayments'!$I$31,(HLOOKUP($D82,$E$4:$CZ$32,28,FALSE)*'Incremental Repayments'!$I$22)),0),0)</f>
        <v>0</v>
      </c>
      <c r="CM82" s="783">
        <f>IF('Incremental Repayments'!$R$22="Debt",IF(AND(CM$4&gt;=$D82,CM$4&lt;$D82+'Incremental Repayments'!$I$31),-PMT('Interest Rate'!$J$16,'Incremental Repayments'!$I$31,(HLOOKUP($D82,$E$4:$CZ$32,28,FALSE)*'Incremental Repayments'!$I$22)),0),0)</f>
        <v>0</v>
      </c>
      <c r="CN82" s="783">
        <f>IF('Incremental Repayments'!$R$22="Debt",IF(AND(CN$4&gt;=$D82,CN$4&lt;$D82+'Incremental Repayments'!$I$31),-PMT('Interest Rate'!$J$16,'Incremental Repayments'!$I$31,(HLOOKUP($D82,$E$4:$CZ$32,28,FALSE)*'Incremental Repayments'!$I$22)),0),0)</f>
        <v>0</v>
      </c>
      <c r="CO82" s="783">
        <f>IF('Incremental Repayments'!$R$22="Debt",IF(AND(CO$4&gt;=$D82,CO$4&lt;$D82+'Incremental Repayments'!$I$31),-PMT('Interest Rate'!$J$16,'Incremental Repayments'!$I$31,(HLOOKUP($D82,$E$4:$CZ$32,28,FALSE)*'Incremental Repayments'!$I$22)),0),0)</f>
        <v>0</v>
      </c>
      <c r="CP82" s="783">
        <f>IF('Incremental Repayments'!$R$22="Debt",IF(AND(CP$4&gt;=$D82,CP$4&lt;$D82+'Incremental Repayments'!$I$31),-PMT('Interest Rate'!$J$16,'Incremental Repayments'!$I$31,(HLOOKUP($D82,$E$4:$CZ$32,28,FALSE)*'Incremental Repayments'!$I$22)),0),0)</f>
        <v>0</v>
      </c>
      <c r="CQ82" s="783">
        <f>IF('Incremental Repayments'!$R$22="Debt",IF(AND(CQ$4&gt;=$D82,CQ$4&lt;$D82+'Incremental Repayments'!$I$31),-PMT('Interest Rate'!$J$16,'Incremental Repayments'!$I$31,(HLOOKUP($D82,$E$4:$CZ$32,28,FALSE)*'Incremental Repayments'!$I$22)),0),0)</f>
        <v>0</v>
      </c>
      <c r="CR82" s="783">
        <f>IF('Incremental Repayments'!$R$22="Debt",IF(AND(CR$4&gt;=$D82,CR$4&lt;$D82+'Incremental Repayments'!$I$31),-PMT('Interest Rate'!$J$16,'Incremental Repayments'!$I$31,(HLOOKUP($D82,$E$4:$CZ$32,28,FALSE)*'Incremental Repayments'!$I$22)),0),0)</f>
        <v>0</v>
      </c>
      <c r="CS82" s="783">
        <f>IF('Incremental Repayments'!$R$22="Debt",IF(AND(CS$4&gt;=$D82,CS$4&lt;$D82+'Incremental Repayments'!$I$31),-PMT('Interest Rate'!$J$16,'Incremental Repayments'!$I$31,(HLOOKUP($D82,$E$4:$CZ$32,28,FALSE)*'Incremental Repayments'!$I$22)),0),0)</f>
        <v>0</v>
      </c>
      <c r="CT82" s="783">
        <f>IF('Incremental Repayments'!$R$22="Debt",IF(AND(CT$4&gt;=$D82,CT$4&lt;$D82+'Incremental Repayments'!$I$31),-PMT('Interest Rate'!$J$16,'Incremental Repayments'!$I$31,(HLOOKUP($D82,$E$4:$CZ$32,28,FALSE)*'Incremental Repayments'!$I$22)),0),0)</f>
        <v>0</v>
      </c>
      <c r="CU82" s="783">
        <f>IF('Incremental Repayments'!$R$22="Debt",IF(AND(CU$4&gt;=$D82,CU$4&lt;$D82+'Incremental Repayments'!$I$31),-PMT('Interest Rate'!$J$16,'Incremental Repayments'!$I$31,(HLOOKUP($D82,$E$4:$CZ$32,28,FALSE)*'Incremental Repayments'!$I$22)),0),0)</f>
        <v>0</v>
      </c>
      <c r="CV82" s="783">
        <f>IF('Incremental Repayments'!$R$22="Debt",IF(AND(CV$4&gt;=$D82,CV$4&lt;$D82+'Incremental Repayments'!$I$31),-PMT('Interest Rate'!$J$16,'Incremental Repayments'!$I$31,(HLOOKUP($D82,$E$4:$CZ$32,28,FALSE)*'Incremental Repayments'!$I$22)),0),0)</f>
        <v>0</v>
      </c>
      <c r="CW82" s="783">
        <f>IF('Incremental Repayments'!$R$22="Debt",IF(AND(CW$4&gt;=$D82,CW$4&lt;$D82+'Incremental Repayments'!$I$31),-PMT('Interest Rate'!$J$16,'Incremental Repayments'!$I$31,(HLOOKUP($D82,$E$4:$CZ$32,28,FALSE)*'Incremental Repayments'!$I$22)),0),0)</f>
        <v>0</v>
      </c>
      <c r="CX82" s="783">
        <f>IF('Incremental Repayments'!$R$22="Debt",IF(AND(CX$4&gt;=$D82,CX$4&lt;$D82+'Incremental Repayments'!$I$31),-PMT('Interest Rate'!$J$16,'Incremental Repayments'!$I$31,(HLOOKUP($D82,$E$4:$CZ$32,28,FALSE)*'Incremental Repayments'!$I$22)),0),0)</f>
        <v>0</v>
      </c>
      <c r="CY82" s="783">
        <f>IF('Incremental Repayments'!$R$22="Debt",IF(AND(CY$4&gt;=$D82,CY$4&lt;$D82+'Incremental Repayments'!$I$31),-PMT('Interest Rate'!$J$16,'Incremental Repayments'!$I$31,(HLOOKUP($D82,$E$4:$CZ$32,28,FALSE)*'Incremental Repayments'!$I$22)),0),0)</f>
        <v>0</v>
      </c>
      <c r="CZ82" s="783">
        <f>IF('Incremental Repayments'!$R$22="Debt",IF(AND(CZ$4&gt;=$D82,CZ$4&lt;$D82+'Incremental Repayments'!$I$31),-PMT('Interest Rate'!$J$16,'Incremental Repayments'!$I$31,(HLOOKUP($D82,$E$4:$CZ$32,28,FALSE)*'Incremental Repayments'!$I$22)),0),0)</f>
        <v>0</v>
      </c>
    </row>
    <row r="83" spans="2:104" x14ac:dyDescent="0.25">
      <c r="B83" s="480" t="str">
        <f>CONCATENATE("Series ",D83,"A Bonds (at ",'Interest Rate'!$J$16*100,"% Interest)")</f>
        <v>Series 2061A Bonds (at 4.5% Interest)</v>
      </c>
      <c r="C83" s="480"/>
      <c r="D83" s="492">
        <f t="shared" si="47"/>
        <v>2061</v>
      </c>
      <c r="E83" s="783">
        <f>IF('Incremental Repayments'!$R$22="Debt",IF(AND(E$4&gt;=$D83,E$4&lt;$D83+'Incremental Repayments'!$I$31),-PMT('Interest Rate'!$J$16,'Incremental Repayments'!$I$31,(HLOOKUP($D83,$E$4:$CZ$32,28,FALSE)*'Incremental Repayments'!$I$22)),0),0)</f>
        <v>0</v>
      </c>
      <c r="F83" s="783">
        <f>IF('Incremental Repayments'!$R$22="Debt",IF(AND(F$4&gt;=$D83,F$4&lt;$D83+'Incremental Repayments'!$I$31),-PMT('Interest Rate'!$J$16,'Incremental Repayments'!$I$31,(HLOOKUP($D83,$E$4:$CZ$32,28,FALSE)*'Incremental Repayments'!$I$22)),0),0)</f>
        <v>0</v>
      </c>
      <c r="G83" s="783">
        <f>IF('Incremental Repayments'!$R$22="Debt",IF(AND(G$4&gt;=$D83,G$4&lt;$D83+'Incremental Repayments'!$I$31),-PMT('Interest Rate'!$J$16,'Incremental Repayments'!$I$31,(HLOOKUP($D83,$E$4:$CZ$32,28,FALSE)*'Incremental Repayments'!$I$22)),0),0)</f>
        <v>0</v>
      </c>
      <c r="H83" s="783">
        <f>IF('Incremental Repayments'!$R$22="Debt",IF(AND(H$4&gt;=$D83,H$4&lt;$D83+'Incremental Repayments'!$I$31),-PMT('Interest Rate'!$J$16,'Incremental Repayments'!$I$31,(HLOOKUP($D83,$E$4:$CZ$32,28,FALSE)*'Incremental Repayments'!$I$22)),0),0)</f>
        <v>0</v>
      </c>
      <c r="I83" s="783">
        <f>IF('Incremental Repayments'!$R$22="Debt",IF(AND(I$4&gt;=$D83,I$4&lt;$D83+'Incremental Repayments'!$I$31),-PMT('Interest Rate'!$J$16,'Incremental Repayments'!$I$31,(HLOOKUP($D83,$E$4:$CZ$32,28,FALSE)*'Incremental Repayments'!$I$22)),0),0)</f>
        <v>0</v>
      </c>
      <c r="J83" s="783">
        <f>IF('Incremental Repayments'!$R$22="Debt",IF(AND(J$4&gt;=$D83,J$4&lt;$D83+'Incremental Repayments'!$I$31),-PMT('Interest Rate'!$J$16,'Incremental Repayments'!$I$31,(HLOOKUP($D83,$E$4:$CZ$32,28,FALSE)*'Incremental Repayments'!$I$22)),0),0)</f>
        <v>0</v>
      </c>
      <c r="K83" s="783">
        <f>IF('Incremental Repayments'!$R$22="Debt",IF(AND(K$4&gt;=$D83,K$4&lt;$D83+'Incremental Repayments'!$I$31),-PMT('Interest Rate'!$J$16,'Incremental Repayments'!$I$31,(HLOOKUP($D83,$E$4:$CZ$32,28,FALSE)*'Incremental Repayments'!$I$22)),0),0)</f>
        <v>0</v>
      </c>
      <c r="L83" s="783">
        <f>IF('Incremental Repayments'!$R$22="Debt",IF(AND(L$4&gt;=$D83,L$4&lt;$D83+'Incremental Repayments'!$I$31),-PMT('Interest Rate'!$J$16,'Incremental Repayments'!$I$31,(HLOOKUP($D83,$E$4:$CZ$32,28,FALSE)*'Incremental Repayments'!$I$22)),0),0)</f>
        <v>0</v>
      </c>
      <c r="M83" s="783">
        <f>IF('Incremental Repayments'!$R$22="Debt",IF(AND(M$4&gt;=$D83,M$4&lt;$D83+'Incremental Repayments'!$I$31),-PMT('Interest Rate'!$J$16,'Incremental Repayments'!$I$31,(HLOOKUP($D83,$E$4:$CZ$32,28,FALSE)*'Incremental Repayments'!$I$22)),0),0)</f>
        <v>0</v>
      </c>
      <c r="N83" s="783">
        <f>IF('Incremental Repayments'!$R$22="Debt",IF(AND(N$4&gt;=$D83,N$4&lt;$D83+'Incremental Repayments'!$I$31),-PMT('Interest Rate'!$J$16,'Incremental Repayments'!$I$31,(HLOOKUP($D83,$E$4:$CZ$32,28,FALSE)*'Incremental Repayments'!$I$22)),0),0)</f>
        <v>0</v>
      </c>
      <c r="O83" s="783">
        <f>IF('Incremental Repayments'!$R$22="Debt",IF(AND(O$4&gt;=$D83,O$4&lt;$D83+'Incremental Repayments'!$I$31),-PMT('Interest Rate'!$J$16,'Incremental Repayments'!$I$31,(HLOOKUP($D83,$E$4:$CZ$32,28,FALSE)*'Incremental Repayments'!$I$22)),0),0)</f>
        <v>0</v>
      </c>
      <c r="P83" s="783">
        <f>IF('Incremental Repayments'!$R$22="Debt",IF(AND(P$4&gt;=$D83,P$4&lt;$D83+'Incremental Repayments'!$I$31),-PMT('Interest Rate'!$J$16,'Incremental Repayments'!$I$31,(HLOOKUP($D83,$E$4:$CZ$32,28,FALSE)*'Incremental Repayments'!$I$22)),0),0)</f>
        <v>0</v>
      </c>
      <c r="Q83" s="783">
        <f>IF('Incremental Repayments'!$R$22="Debt",IF(AND(Q$4&gt;=$D83,Q$4&lt;$D83+'Incremental Repayments'!$I$31),-PMT('Interest Rate'!$J$16,'Incremental Repayments'!$I$31,(HLOOKUP($D83,$E$4:$CZ$32,28,FALSE)*'Incremental Repayments'!$I$22)),0),0)</f>
        <v>0</v>
      </c>
      <c r="R83" s="783">
        <f>IF('Incremental Repayments'!$R$22="Debt",IF(AND(R$4&gt;=$D83,R$4&lt;$D83+'Incremental Repayments'!$I$31),-PMT('Interest Rate'!$J$16,'Incremental Repayments'!$I$31,(HLOOKUP($D83,$E$4:$CZ$32,28,FALSE)*'Incremental Repayments'!$I$22)),0),0)</f>
        <v>0</v>
      </c>
      <c r="S83" s="783">
        <f>IF('Incremental Repayments'!$R$22="Debt",IF(AND(S$4&gt;=$D83,S$4&lt;$D83+'Incremental Repayments'!$I$31),-PMT('Interest Rate'!$J$16,'Incremental Repayments'!$I$31,(HLOOKUP($D83,$E$4:$CZ$32,28,FALSE)*'Incremental Repayments'!$I$22)),0),0)</f>
        <v>0</v>
      </c>
      <c r="T83" s="783">
        <f>IF('Incremental Repayments'!$R$22="Debt",IF(AND(T$4&gt;=$D83,T$4&lt;$D83+'Incremental Repayments'!$I$31),-PMT('Interest Rate'!$J$16,'Incremental Repayments'!$I$31,(HLOOKUP($D83,$E$4:$CZ$32,28,FALSE)*'Incremental Repayments'!$I$22)),0),0)</f>
        <v>0</v>
      </c>
      <c r="U83" s="783">
        <f>IF('Incremental Repayments'!$R$22="Debt",IF(AND(U$4&gt;=$D83,U$4&lt;$D83+'Incremental Repayments'!$I$31),-PMT('Interest Rate'!$J$16,'Incremental Repayments'!$I$31,(HLOOKUP($D83,$E$4:$CZ$32,28,FALSE)*'Incremental Repayments'!$I$22)),0),0)</f>
        <v>0</v>
      </c>
      <c r="V83" s="783">
        <f>IF('Incremental Repayments'!$R$22="Debt",IF(AND(V$4&gt;=$D83,V$4&lt;$D83+'Incremental Repayments'!$I$31),-PMT('Interest Rate'!$J$16,'Incremental Repayments'!$I$31,(HLOOKUP($D83,$E$4:$CZ$32,28,FALSE)*'Incremental Repayments'!$I$22)),0),0)</f>
        <v>0</v>
      </c>
      <c r="W83" s="783">
        <f>IF('Incremental Repayments'!$R$22="Debt",IF(AND(W$4&gt;=$D83,W$4&lt;$D83+'Incremental Repayments'!$I$31),-PMT('Interest Rate'!$J$16,'Incremental Repayments'!$I$31,(HLOOKUP($D83,$E$4:$CZ$32,28,FALSE)*'Incremental Repayments'!$I$22)),0),0)</f>
        <v>0</v>
      </c>
      <c r="X83" s="783">
        <f>IF('Incremental Repayments'!$R$22="Debt",IF(AND(X$4&gt;=$D83,X$4&lt;$D83+'Incremental Repayments'!$I$31),-PMT('Interest Rate'!$J$16,'Incremental Repayments'!$I$31,(HLOOKUP($D83,$E$4:$CZ$32,28,FALSE)*'Incremental Repayments'!$I$22)),0),0)</f>
        <v>0</v>
      </c>
      <c r="Y83" s="783">
        <f>IF('Incremental Repayments'!$R$22="Debt",IF(AND(Y$4&gt;=$D83,Y$4&lt;$D83+'Incremental Repayments'!$I$31),-PMT('Interest Rate'!$J$16,'Incremental Repayments'!$I$31,(HLOOKUP($D83,$E$4:$CZ$32,28,FALSE)*'Incremental Repayments'!$I$22)),0),0)</f>
        <v>0</v>
      </c>
      <c r="Z83" s="783">
        <f>IF('Incremental Repayments'!$R$22="Debt",IF(AND(Z$4&gt;=$D83,Z$4&lt;$D83+'Incremental Repayments'!$I$31),-PMT('Interest Rate'!$J$16,'Incremental Repayments'!$I$31,(HLOOKUP($D83,$E$4:$CZ$32,28,FALSE)*'Incremental Repayments'!$I$22)),0),0)</f>
        <v>0</v>
      </c>
      <c r="AA83" s="783">
        <f>IF('Incremental Repayments'!$R$22="Debt",IF(AND(AA$4&gt;=$D83,AA$4&lt;$D83+'Incremental Repayments'!$I$31),-PMT('Interest Rate'!$J$16,'Incremental Repayments'!$I$31,(HLOOKUP($D83,$E$4:$CZ$32,28,FALSE)*'Incremental Repayments'!$I$22)),0),0)</f>
        <v>0</v>
      </c>
      <c r="AB83" s="783">
        <f>IF('Incremental Repayments'!$R$22="Debt",IF(AND(AB$4&gt;=$D83,AB$4&lt;$D83+'Incremental Repayments'!$I$31),-PMT('Interest Rate'!$J$16,'Incremental Repayments'!$I$31,(HLOOKUP($D83,$E$4:$CZ$32,28,FALSE)*'Incremental Repayments'!$I$22)),0),0)</f>
        <v>0</v>
      </c>
      <c r="AC83" s="783">
        <f>IF('Incremental Repayments'!$R$22="Debt",IF(AND(AC$4&gt;=$D83,AC$4&lt;$D83+'Incremental Repayments'!$I$31),-PMT('Interest Rate'!$J$16,'Incremental Repayments'!$I$31,(HLOOKUP($D83,$E$4:$CZ$32,28,FALSE)*'Incremental Repayments'!$I$22)),0),0)</f>
        <v>0</v>
      </c>
      <c r="AD83" s="783">
        <f>IF('Incremental Repayments'!$R$22="Debt",IF(AND(AD$4&gt;=$D83,AD$4&lt;$D83+'Incremental Repayments'!$I$31),-PMT('Interest Rate'!$J$16,'Incremental Repayments'!$I$31,(HLOOKUP($D83,$E$4:$CZ$32,28,FALSE)*'Incremental Repayments'!$I$22)),0),0)</f>
        <v>0</v>
      </c>
      <c r="AE83" s="783">
        <f>IF('Incremental Repayments'!$R$22="Debt",IF(AND(AE$4&gt;=$D83,AE$4&lt;$D83+'Incremental Repayments'!$I$31),-PMT('Interest Rate'!$J$16,'Incremental Repayments'!$I$31,(HLOOKUP($D83,$E$4:$CZ$32,28,FALSE)*'Incremental Repayments'!$I$22)),0),0)</f>
        <v>0</v>
      </c>
      <c r="AF83" s="783">
        <f>IF('Incremental Repayments'!$R$22="Debt",IF(AND(AF$4&gt;=$D83,AF$4&lt;$D83+'Incremental Repayments'!$I$31),-PMT('Interest Rate'!$J$16,'Incremental Repayments'!$I$31,(HLOOKUP($D83,$E$4:$CZ$32,28,FALSE)*'Incremental Repayments'!$I$22)),0),0)</f>
        <v>0</v>
      </c>
      <c r="AG83" s="783">
        <f>IF('Incremental Repayments'!$R$22="Debt",IF(AND(AG$4&gt;=$D83,AG$4&lt;$D83+'Incremental Repayments'!$I$31),-PMT('Interest Rate'!$J$16,'Incremental Repayments'!$I$31,(HLOOKUP($D83,$E$4:$CZ$32,28,FALSE)*'Incremental Repayments'!$I$22)),0),0)</f>
        <v>0</v>
      </c>
      <c r="AH83" s="783">
        <f>IF('Incremental Repayments'!$R$22="Debt",IF(AND(AH$4&gt;=$D83,AH$4&lt;$D83+'Incremental Repayments'!$I$31),-PMT('Interest Rate'!$J$16,'Incremental Repayments'!$I$31,(HLOOKUP($D83,$E$4:$CZ$32,28,FALSE)*'Incremental Repayments'!$I$22)),0),0)</f>
        <v>0</v>
      </c>
      <c r="AI83" s="783">
        <f>IF('Incremental Repayments'!$R$22="Debt",IF(AND(AI$4&gt;=$D83,AI$4&lt;$D83+'Incremental Repayments'!$I$31),-PMT('Interest Rate'!$J$16,'Incremental Repayments'!$I$31,(HLOOKUP($D83,$E$4:$CZ$32,28,FALSE)*'Incremental Repayments'!$I$22)),0),0)</f>
        <v>0</v>
      </c>
      <c r="AJ83" s="783">
        <f>IF('Incremental Repayments'!$R$22="Debt",IF(AND(AJ$4&gt;=$D83,AJ$4&lt;$D83+'Incremental Repayments'!$I$31),-PMT('Interest Rate'!$J$16,'Incremental Repayments'!$I$31,(HLOOKUP($D83,$E$4:$CZ$32,28,FALSE)*'Incremental Repayments'!$I$22)),0),0)</f>
        <v>0</v>
      </c>
      <c r="AK83" s="783">
        <f>IF('Incremental Repayments'!$R$22="Debt",IF(AND(AK$4&gt;=$D83,AK$4&lt;$D83+'Incremental Repayments'!$I$31),-PMT('Interest Rate'!$J$16,'Incremental Repayments'!$I$31,(HLOOKUP($D83,$E$4:$CZ$32,28,FALSE)*'Incremental Repayments'!$I$22)),0),0)</f>
        <v>0</v>
      </c>
      <c r="AL83" s="783">
        <f>IF('Incremental Repayments'!$R$22="Debt",IF(AND(AL$4&gt;=$D83,AL$4&lt;$D83+'Incremental Repayments'!$I$31),-PMT('Interest Rate'!$J$16,'Incremental Repayments'!$I$31,(HLOOKUP($D83,$E$4:$CZ$32,28,FALSE)*'Incremental Repayments'!$I$22)),0),0)</f>
        <v>0</v>
      </c>
      <c r="AM83" s="783">
        <f>IF('Incremental Repayments'!$R$22="Debt",IF(AND(AM$4&gt;=$D83,AM$4&lt;$D83+'Incremental Repayments'!$I$31),-PMT('Interest Rate'!$J$16,'Incremental Repayments'!$I$31,(HLOOKUP($D83,$E$4:$CZ$32,28,FALSE)*'Incremental Repayments'!$I$22)),0),0)</f>
        <v>0</v>
      </c>
      <c r="AN83" s="783">
        <f>IF('Incremental Repayments'!$R$22="Debt",IF(AND(AN$4&gt;=$D83,AN$4&lt;$D83+'Incremental Repayments'!$I$31),-PMT('Interest Rate'!$J$16,'Incremental Repayments'!$I$31,(HLOOKUP($D83,$E$4:$CZ$32,28,FALSE)*'Incremental Repayments'!$I$22)),0),0)</f>
        <v>0</v>
      </c>
      <c r="AO83" s="783">
        <f>IF('Incremental Repayments'!$R$22="Debt",IF(AND(AO$4&gt;=$D83,AO$4&lt;$D83+'Incremental Repayments'!$I$31),-PMT('Interest Rate'!$J$16,'Incremental Repayments'!$I$31,(HLOOKUP($D83,$E$4:$CZ$32,28,FALSE)*'Incremental Repayments'!$I$22)),0),0)</f>
        <v>0</v>
      </c>
      <c r="AP83" s="783">
        <f>IF('Incremental Repayments'!$R$22="Debt",IF(AND(AP$4&gt;=$D83,AP$4&lt;$D83+'Incremental Repayments'!$I$31),-PMT('Interest Rate'!$J$16,'Incremental Repayments'!$I$31,(HLOOKUP($D83,$E$4:$CZ$32,28,FALSE)*'Incremental Repayments'!$I$22)),0),0)</f>
        <v>0</v>
      </c>
      <c r="AQ83" s="783">
        <f>IF('Incremental Repayments'!$R$22="Debt",IF(AND(AQ$4&gt;=$D83,AQ$4&lt;$D83+'Incremental Repayments'!$I$31),-PMT('Interest Rate'!$J$16,'Incremental Repayments'!$I$31,(HLOOKUP($D83,$E$4:$CZ$32,28,FALSE)*'Incremental Repayments'!$I$22)),0),0)</f>
        <v>0</v>
      </c>
      <c r="AR83" s="783">
        <f>IF('Incremental Repayments'!$R$22="Debt",IF(AND(AR$4&gt;=$D83,AR$4&lt;$D83+'Incremental Repayments'!$I$31),-PMT('Interest Rate'!$J$16,'Incremental Repayments'!$I$31,(HLOOKUP($D83,$E$4:$CZ$32,28,FALSE)*'Incremental Repayments'!$I$22)),0),0)</f>
        <v>0</v>
      </c>
      <c r="AS83" s="783">
        <f>IF('Incremental Repayments'!$R$22="Debt",IF(AND(AS$4&gt;=$D83,AS$4&lt;$D83+'Incremental Repayments'!$I$31),-PMT('Interest Rate'!$J$16,'Incremental Repayments'!$I$31,(HLOOKUP($D83,$E$4:$CZ$32,28,FALSE)*'Incremental Repayments'!$I$22)),0),0)</f>
        <v>0</v>
      </c>
      <c r="AT83" s="783">
        <f>IF('Incremental Repayments'!$R$22="Debt",IF(AND(AT$4&gt;=$D83,AT$4&lt;$D83+'Incremental Repayments'!$I$31),-PMT('Interest Rate'!$J$16,'Incremental Repayments'!$I$31,(HLOOKUP($D83,$E$4:$CZ$32,28,FALSE)*'Incremental Repayments'!$I$22)),0),0)</f>
        <v>0</v>
      </c>
      <c r="AU83" s="783">
        <f>IF('Incremental Repayments'!$R$22="Debt",IF(AND(AU$4&gt;=$D83,AU$4&lt;$D83+'Incremental Repayments'!$I$31),-PMT('Interest Rate'!$J$16,'Incremental Repayments'!$I$31,(HLOOKUP($D83,$E$4:$CZ$32,28,FALSE)*'Incremental Repayments'!$I$22)),0),0)</f>
        <v>0</v>
      </c>
      <c r="AV83" s="783">
        <f>IF('Incremental Repayments'!$R$22="Debt",IF(AND(AV$4&gt;=$D83,AV$4&lt;$D83+'Incremental Repayments'!$I$31),-PMT('Interest Rate'!$J$16,'Incremental Repayments'!$I$31,(HLOOKUP($D83,$E$4:$CZ$32,28,FALSE)*'Incremental Repayments'!$I$22)),0),0)</f>
        <v>0</v>
      </c>
      <c r="AW83" s="783">
        <f>IF('Incremental Repayments'!$R$22="Debt",IF(AND(AW$4&gt;=$D83,AW$4&lt;$D83+'Incremental Repayments'!$I$31),-PMT('Interest Rate'!$J$16,'Incremental Repayments'!$I$31,(HLOOKUP($D83,$E$4:$CZ$32,28,FALSE)*'Incremental Repayments'!$I$22)),0),0)</f>
        <v>0</v>
      </c>
      <c r="AX83" s="783">
        <f>IF('Incremental Repayments'!$R$22="Debt",IF(AND(AX$4&gt;=$D83,AX$4&lt;$D83+'Incremental Repayments'!$I$31),-PMT('Interest Rate'!$J$16,'Incremental Repayments'!$I$31,(HLOOKUP($D83,$E$4:$CZ$32,28,FALSE)*'Incremental Repayments'!$I$22)),0),0)</f>
        <v>0</v>
      </c>
      <c r="AY83" s="783">
        <f>IF('Incremental Repayments'!$R$22="Debt",IF(AND(AY$4&gt;=$D83,AY$4&lt;$D83+'Incremental Repayments'!$I$31),-PMT('Interest Rate'!$J$16,'Incremental Repayments'!$I$31,(HLOOKUP($D83,$E$4:$CZ$32,28,FALSE)*'Incremental Repayments'!$I$22)),0),0)</f>
        <v>0</v>
      </c>
      <c r="AZ83" s="783">
        <f>IF('Incremental Repayments'!$R$22="Debt",IF(AND(AZ$4&gt;=$D83,AZ$4&lt;$D83+'Incremental Repayments'!$I$31),-PMT('Interest Rate'!$J$16,'Incremental Repayments'!$I$31,(HLOOKUP($D83,$E$4:$CZ$32,28,FALSE)*'Incremental Repayments'!$I$22)),0),0)</f>
        <v>2.4936244468260826E-2</v>
      </c>
      <c r="BA83" s="783">
        <f>IF('Incremental Repayments'!$R$22="Debt",IF(AND(BA$4&gt;=$D83,BA$4&lt;$D83+'Incremental Repayments'!$I$31),-PMT('Interest Rate'!$J$16,'Incremental Repayments'!$I$31,(HLOOKUP($D83,$E$4:$CZ$32,28,FALSE)*'Incremental Repayments'!$I$22)),0),0)</f>
        <v>2.4936244468260826E-2</v>
      </c>
      <c r="BB83" s="783">
        <f>IF('Incremental Repayments'!$R$22="Debt",IF(AND(BB$4&gt;=$D83,BB$4&lt;$D83+'Incremental Repayments'!$I$31),-PMT('Interest Rate'!$J$16,'Incremental Repayments'!$I$31,(HLOOKUP($D83,$E$4:$CZ$32,28,FALSE)*'Incremental Repayments'!$I$22)),0),0)</f>
        <v>2.4936244468260826E-2</v>
      </c>
      <c r="BC83" s="783">
        <f>IF('Incremental Repayments'!$R$22="Debt",IF(AND(BC$4&gt;=$D83,BC$4&lt;$D83+'Incremental Repayments'!$I$31),-PMT('Interest Rate'!$J$16,'Incremental Repayments'!$I$31,(HLOOKUP($D83,$E$4:$CZ$32,28,FALSE)*'Incremental Repayments'!$I$22)),0),0)</f>
        <v>2.4936244468260826E-2</v>
      </c>
      <c r="BD83" s="783">
        <f>IF('Incremental Repayments'!$R$22="Debt",IF(AND(BD$4&gt;=$D83,BD$4&lt;$D83+'Incremental Repayments'!$I$31),-PMT('Interest Rate'!$J$16,'Incremental Repayments'!$I$31,(HLOOKUP($D83,$E$4:$CZ$32,28,FALSE)*'Incremental Repayments'!$I$22)),0),0)</f>
        <v>2.4936244468260826E-2</v>
      </c>
      <c r="BE83" s="783">
        <f>IF('Incremental Repayments'!$R$22="Debt",IF(AND(BE$4&gt;=$D83,BE$4&lt;$D83+'Incremental Repayments'!$I$31),-PMT('Interest Rate'!$J$16,'Incremental Repayments'!$I$31,(HLOOKUP($D83,$E$4:$CZ$32,28,FALSE)*'Incremental Repayments'!$I$22)),0),0)</f>
        <v>2.4936244468260826E-2</v>
      </c>
      <c r="BF83" s="783">
        <f>IF('Incremental Repayments'!$R$22="Debt",IF(AND(BF$4&gt;=$D83,BF$4&lt;$D83+'Incremental Repayments'!$I$31),-PMT('Interest Rate'!$J$16,'Incremental Repayments'!$I$31,(HLOOKUP($D83,$E$4:$CZ$32,28,FALSE)*'Incremental Repayments'!$I$22)),0),0)</f>
        <v>2.4936244468260826E-2</v>
      </c>
      <c r="BG83" s="783">
        <f>IF('Incremental Repayments'!$R$22="Debt",IF(AND(BG$4&gt;=$D83,BG$4&lt;$D83+'Incremental Repayments'!$I$31),-PMT('Interest Rate'!$J$16,'Incremental Repayments'!$I$31,(HLOOKUP($D83,$E$4:$CZ$32,28,FALSE)*'Incremental Repayments'!$I$22)),0),0)</f>
        <v>2.4936244468260826E-2</v>
      </c>
      <c r="BH83" s="783">
        <f>IF('Incremental Repayments'!$R$22="Debt",IF(AND(BH$4&gt;=$D83,BH$4&lt;$D83+'Incremental Repayments'!$I$31),-PMT('Interest Rate'!$J$16,'Incremental Repayments'!$I$31,(HLOOKUP($D83,$E$4:$CZ$32,28,FALSE)*'Incremental Repayments'!$I$22)),0),0)</f>
        <v>2.4936244468260826E-2</v>
      </c>
      <c r="BI83" s="783">
        <f>IF('Incremental Repayments'!$R$22="Debt",IF(AND(BI$4&gt;=$D83,BI$4&lt;$D83+'Incremental Repayments'!$I$31),-PMT('Interest Rate'!$J$16,'Incremental Repayments'!$I$31,(HLOOKUP($D83,$E$4:$CZ$32,28,FALSE)*'Incremental Repayments'!$I$22)),0),0)</f>
        <v>2.4936244468260826E-2</v>
      </c>
      <c r="BJ83" s="783">
        <f>IF('Incremental Repayments'!$R$22="Debt",IF(AND(BJ$4&gt;=$D83,BJ$4&lt;$D83+'Incremental Repayments'!$I$31),-PMT('Interest Rate'!$J$16,'Incremental Repayments'!$I$31,(HLOOKUP($D83,$E$4:$CZ$32,28,FALSE)*'Incremental Repayments'!$I$22)),0),0)</f>
        <v>2.4936244468260826E-2</v>
      </c>
      <c r="BK83" s="783">
        <f>IF('Incremental Repayments'!$R$22="Debt",IF(AND(BK$4&gt;=$D83,BK$4&lt;$D83+'Incremental Repayments'!$I$31),-PMT('Interest Rate'!$J$16,'Incremental Repayments'!$I$31,(HLOOKUP($D83,$E$4:$CZ$32,28,FALSE)*'Incremental Repayments'!$I$22)),0),0)</f>
        <v>2.4936244468260826E-2</v>
      </c>
      <c r="BL83" s="783">
        <f>IF('Incremental Repayments'!$R$22="Debt",IF(AND(BL$4&gt;=$D83,BL$4&lt;$D83+'Incremental Repayments'!$I$31),-PMT('Interest Rate'!$J$16,'Incremental Repayments'!$I$31,(HLOOKUP($D83,$E$4:$CZ$32,28,FALSE)*'Incremental Repayments'!$I$22)),0),0)</f>
        <v>2.4936244468260826E-2</v>
      </c>
      <c r="BM83" s="783">
        <f>IF('Incremental Repayments'!$R$22="Debt",IF(AND(BM$4&gt;=$D83,BM$4&lt;$D83+'Incremental Repayments'!$I$31),-PMT('Interest Rate'!$J$16,'Incremental Repayments'!$I$31,(HLOOKUP($D83,$E$4:$CZ$32,28,FALSE)*'Incremental Repayments'!$I$22)),0),0)</f>
        <v>2.4936244468260826E-2</v>
      </c>
      <c r="BN83" s="783">
        <f>IF('Incremental Repayments'!$R$22="Debt",IF(AND(BN$4&gt;=$D83,BN$4&lt;$D83+'Incremental Repayments'!$I$31),-PMT('Interest Rate'!$J$16,'Incremental Repayments'!$I$31,(HLOOKUP($D83,$E$4:$CZ$32,28,FALSE)*'Incremental Repayments'!$I$22)),0),0)</f>
        <v>2.4936244468260826E-2</v>
      </c>
      <c r="BO83" s="783">
        <f>IF('Incremental Repayments'!$R$22="Debt",IF(AND(BO$4&gt;=$D83,BO$4&lt;$D83+'Incremental Repayments'!$I$31),-PMT('Interest Rate'!$J$16,'Incremental Repayments'!$I$31,(HLOOKUP($D83,$E$4:$CZ$32,28,FALSE)*'Incremental Repayments'!$I$22)),0),0)</f>
        <v>2.4936244468260826E-2</v>
      </c>
      <c r="BP83" s="783">
        <f>IF('Incremental Repayments'!$R$22="Debt",IF(AND(BP$4&gt;=$D83,BP$4&lt;$D83+'Incremental Repayments'!$I$31),-PMT('Interest Rate'!$J$16,'Incremental Repayments'!$I$31,(HLOOKUP($D83,$E$4:$CZ$32,28,FALSE)*'Incremental Repayments'!$I$22)),0),0)</f>
        <v>2.4936244468260826E-2</v>
      </c>
      <c r="BQ83" s="783">
        <f>IF('Incremental Repayments'!$R$22="Debt",IF(AND(BQ$4&gt;=$D83,BQ$4&lt;$D83+'Incremental Repayments'!$I$31),-PMT('Interest Rate'!$J$16,'Incremental Repayments'!$I$31,(HLOOKUP($D83,$E$4:$CZ$32,28,FALSE)*'Incremental Repayments'!$I$22)),0),0)</f>
        <v>2.4936244468260826E-2</v>
      </c>
      <c r="BR83" s="783">
        <f>IF('Incremental Repayments'!$R$22="Debt",IF(AND(BR$4&gt;=$D83,BR$4&lt;$D83+'Incremental Repayments'!$I$31),-PMT('Interest Rate'!$J$16,'Incremental Repayments'!$I$31,(HLOOKUP($D83,$E$4:$CZ$32,28,FALSE)*'Incremental Repayments'!$I$22)),0),0)</f>
        <v>2.4936244468260826E-2</v>
      </c>
      <c r="BS83" s="783">
        <f>IF('Incremental Repayments'!$R$22="Debt",IF(AND(BS$4&gt;=$D83,BS$4&lt;$D83+'Incremental Repayments'!$I$31),-PMT('Interest Rate'!$J$16,'Incremental Repayments'!$I$31,(HLOOKUP($D83,$E$4:$CZ$32,28,FALSE)*'Incremental Repayments'!$I$22)),0),0)</f>
        <v>2.4936244468260826E-2</v>
      </c>
      <c r="BT83" s="783">
        <f>IF('Incremental Repayments'!$R$22="Debt",IF(AND(BT$4&gt;=$D83,BT$4&lt;$D83+'Incremental Repayments'!$I$31),-PMT('Interest Rate'!$J$16,'Incremental Repayments'!$I$31,(HLOOKUP($D83,$E$4:$CZ$32,28,FALSE)*'Incremental Repayments'!$I$22)),0),0)</f>
        <v>2.4936244468260826E-2</v>
      </c>
      <c r="BU83" s="783">
        <f>IF('Incremental Repayments'!$R$22="Debt",IF(AND(BU$4&gt;=$D83,BU$4&lt;$D83+'Incremental Repayments'!$I$31),-PMT('Interest Rate'!$J$16,'Incremental Repayments'!$I$31,(HLOOKUP($D83,$E$4:$CZ$32,28,FALSE)*'Incremental Repayments'!$I$22)),0),0)</f>
        <v>2.4936244468260826E-2</v>
      </c>
      <c r="BV83" s="783">
        <f>IF('Incremental Repayments'!$R$22="Debt",IF(AND(BV$4&gt;=$D83,BV$4&lt;$D83+'Incremental Repayments'!$I$31),-PMT('Interest Rate'!$J$16,'Incremental Repayments'!$I$31,(HLOOKUP($D83,$E$4:$CZ$32,28,FALSE)*'Incremental Repayments'!$I$22)),0),0)</f>
        <v>2.4936244468260826E-2</v>
      </c>
      <c r="BW83" s="783">
        <f>IF('Incremental Repayments'!$R$22="Debt",IF(AND(BW$4&gt;=$D83,BW$4&lt;$D83+'Incremental Repayments'!$I$31),-PMT('Interest Rate'!$J$16,'Incremental Repayments'!$I$31,(HLOOKUP($D83,$E$4:$CZ$32,28,FALSE)*'Incremental Repayments'!$I$22)),0),0)</f>
        <v>2.4936244468260826E-2</v>
      </c>
      <c r="BX83" s="783">
        <f>IF('Incremental Repayments'!$R$22="Debt",IF(AND(BX$4&gt;=$D83,BX$4&lt;$D83+'Incremental Repayments'!$I$31),-PMT('Interest Rate'!$J$16,'Incremental Repayments'!$I$31,(HLOOKUP($D83,$E$4:$CZ$32,28,FALSE)*'Incremental Repayments'!$I$22)),0),0)</f>
        <v>2.4936244468260826E-2</v>
      </c>
      <c r="BY83" s="783">
        <f>IF('Incremental Repayments'!$R$22="Debt",IF(AND(BY$4&gt;=$D83,BY$4&lt;$D83+'Incremental Repayments'!$I$31),-PMT('Interest Rate'!$J$16,'Incremental Repayments'!$I$31,(HLOOKUP($D83,$E$4:$CZ$32,28,FALSE)*'Incremental Repayments'!$I$22)),0),0)</f>
        <v>2.4936244468260826E-2</v>
      </c>
      <c r="BZ83" s="783">
        <f>IF('Incremental Repayments'!$R$22="Debt",IF(AND(BZ$4&gt;=$D83,BZ$4&lt;$D83+'Incremental Repayments'!$I$31),-PMT('Interest Rate'!$J$16,'Incremental Repayments'!$I$31,(HLOOKUP($D83,$E$4:$CZ$32,28,FALSE)*'Incremental Repayments'!$I$22)),0),0)</f>
        <v>2.4936244468260826E-2</v>
      </c>
      <c r="CA83" s="783">
        <f>IF('Incremental Repayments'!$R$22="Debt",IF(AND(CA$4&gt;=$D83,CA$4&lt;$D83+'Incremental Repayments'!$I$31),-PMT('Interest Rate'!$J$16,'Incremental Repayments'!$I$31,(HLOOKUP($D83,$E$4:$CZ$32,28,FALSE)*'Incremental Repayments'!$I$22)),0),0)</f>
        <v>2.4936244468260826E-2</v>
      </c>
      <c r="CB83" s="783">
        <f>IF('Incremental Repayments'!$R$22="Debt",IF(AND(CB$4&gt;=$D83,CB$4&lt;$D83+'Incremental Repayments'!$I$31),-PMT('Interest Rate'!$J$16,'Incremental Repayments'!$I$31,(HLOOKUP($D83,$E$4:$CZ$32,28,FALSE)*'Incremental Repayments'!$I$22)),0),0)</f>
        <v>2.4936244468260826E-2</v>
      </c>
      <c r="CC83" s="783">
        <f>IF('Incremental Repayments'!$R$22="Debt",IF(AND(CC$4&gt;=$D83,CC$4&lt;$D83+'Incremental Repayments'!$I$31),-PMT('Interest Rate'!$J$16,'Incremental Repayments'!$I$31,(HLOOKUP($D83,$E$4:$CZ$32,28,FALSE)*'Incremental Repayments'!$I$22)),0),0)</f>
        <v>2.4936244468260826E-2</v>
      </c>
      <c r="CD83" s="783">
        <f>IF('Incremental Repayments'!$R$22="Debt",IF(AND(CD$4&gt;=$D83,CD$4&lt;$D83+'Incremental Repayments'!$I$31),-PMT('Interest Rate'!$J$16,'Incremental Repayments'!$I$31,(HLOOKUP($D83,$E$4:$CZ$32,28,FALSE)*'Incremental Repayments'!$I$22)),0),0)</f>
        <v>0</v>
      </c>
      <c r="CE83" s="783">
        <f>IF('Incremental Repayments'!$R$22="Debt",IF(AND(CE$4&gt;=$D83,CE$4&lt;$D83+'Incremental Repayments'!$I$31),-PMT('Interest Rate'!$J$16,'Incremental Repayments'!$I$31,(HLOOKUP($D83,$E$4:$CZ$32,28,FALSE)*'Incremental Repayments'!$I$22)),0),0)</f>
        <v>0</v>
      </c>
      <c r="CF83" s="783">
        <f>IF('Incremental Repayments'!$R$22="Debt",IF(AND(CF$4&gt;=$D83,CF$4&lt;$D83+'Incremental Repayments'!$I$31),-PMT('Interest Rate'!$J$16,'Incremental Repayments'!$I$31,(HLOOKUP($D83,$E$4:$CZ$32,28,FALSE)*'Incremental Repayments'!$I$22)),0),0)</f>
        <v>0</v>
      </c>
      <c r="CG83" s="783">
        <f>IF('Incremental Repayments'!$R$22="Debt",IF(AND(CG$4&gt;=$D83,CG$4&lt;$D83+'Incremental Repayments'!$I$31),-PMT('Interest Rate'!$J$16,'Incremental Repayments'!$I$31,(HLOOKUP($D83,$E$4:$CZ$32,28,FALSE)*'Incremental Repayments'!$I$22)),0),0)</f>
        <v>0</v>
      </c>
      <c r="CH83" s="783">
        <f>IF('Incremental Repayments'!$R$22="Debt",IF(AND(CH$4&gt;=$D83,CH$4&lt;$D83+'Incremental Repayments'!$I$31),-PMT('Interest Rate'!$J$16,'Incremental Repayments'!$I$31,(HLOOKUP($D83,$E$4:$CZ$32,28,FALSE)*'Incremental Repayments'!$I$22)),0),0)</f>
        <v>0</v>
      </c>
      <c r="CI83" s="783">
        <f>IF('Incremental Repayments'!$R$22="Debt",IF(AND(CI$4&gt;=$D83,CI$4&lt;$D83+'Incremental Repayments'!$I$31),-PMT('Interest Rate'!$J$16,'Incremental Repayments'!$I$31,(HLOOKUP($D83,$E$4:$CZ$32,28,FALSE)*'Incremental Repayments'!$I$22)),0),0)</f>
        <v>0</v>
      </c>
      <c r="CJ83" s="783">
        <f>IF('Incremental Repayments'!$R$22="Debt",IF(AND(CJ$4&gt;=$D83,CJ$4&lt;$D83+'Incremental Repayments'!$I$31),-PMT('Interest Rate'!$J$16,'Incremental Repayments'!$I$31,(HLOOKUP($D83,$E$4:$CZ$32,28,FALSE)*'Incremental Repayments'!$I$22)),0),0)</f>
        <v>0</v>
      </c>
      <c r="CK83" s="783">
        <f>IF('Incremental Repayments'!$R$22="Debt",IF(AND(CK$4&gt;=$D83,CK$4&lt;$D83+'Incremental Repayments'!$I$31),-PMT('Interest Rate'!$J$16,'Incremental Repayments'!$I$31,(HLOOKUP($D83,$E$4:$CZ$32,28,FALSE)*'Incremental Repayments'!$I$22)),0),0)</f>
        <v>0</v>
      </c>
      <c r="CL83" s="783">
        <f>IF('Incremental Repayments'!$R$22="Debt",IF(AND(CL$4&gt;=$D83,CL$4&lt;$D83+'Incremental Repayments'!$I$31),-PMT('Interest Rate'!$J$16,'Incremental Repayments'!$I$31,(HLOOKUP($D83,$E$4:$CZ$32,28,FALSE)*'Incremental Repayments'!$I$22)),0),0)</f>
        <v>0</v>
      </c>
      <c r="CM83" s="783">
        <f>IF('Incremental Repayments'!$R$22="Debt",IF(AND(CM$4&gt;=$D83,CM$4&lt;$D83+'Incremental Repayments'!$I$31),-PMT('Interest Rate'!$J$16,'Incremental Repayments'!$I$31,(HLOOKUP($D83,$E$4:$CZ$32,28,FALSE)*'Incremental Repayments'!$I$22)),0),0)</f>
        <v>0</v>
      </c>
      <c r="CN83" s="783">
        <f>IF('Incremental Repayments'!$R$22="Debt",IF(AND(CN$4&gt;=$D83,CN$4&lt;$D83+'Incremental Repayments'!$I$31),-PMT('Interest Rate'!$J$16,'Incremental Repayments'!$I$31,(HLOOKUP($D83,$E$4:$CZ$32,28,FALSE)*'Incremental Repayments'!$I$22)),0),0)</f>
        <v>0</v>
      </c>
      <c r="CO83" s="783">
        <f>IF('Incremental Repayments'!$R$22="Debt",IF(AND(CO$4&gt;=$D83,CO$4&lt;$D83+'Incremental Repayments'!$I$31),-PMT('Interest Rate'!$J$16,'Incremental Repayments'!$I$31,(HLOOKUP($D83,$E$4:$CZ$32,28,FALSE)*'Incremental Repayments'!$I$22)),0),0)</f>
        <v>0</v>
      </c>
      <c r="CP83" s="783">
        <f>IF('Incremental Repayments'!$R$22="Debt",IF(AND(CP$4&gt;=$D83,CP$4&lt;$D83+'Incremental Repayments'!$I$31),-PMT('Interest Rate'!$J$16,'Incremental Repayments'!$I$31,(HLOOKUP($D83,$E$4:$CZ$32,28,FALSE)*'Incremental Repayments'!$I$22)),0),0)</f>
        <v>0</v>
      </c>
      <c r="CQ83" s="783">
        <f>IF('Incremental Repayments'!$R$22="Debt",IF(AND(CQ$4&gt;=$D83,CQ$4&lt;$D83+'Incremental Repayments'!$I$31),-PMT('Interest Rate'!$J$16,'Incremental Repayments'!$I$31,(HLOOKUP($D83,$E$4:$CZ$32,28,FALSE)*'Incremental Repayments'!$I$22)),0),0)</f>
        <v>0</v>
      </c>
      <c r="CR83" s="783">
        <f>IF('Incremental Repayments'!$R$22="Debt",IF(AND(CR$4&gt;=$D83,CR$4&lt;$D83+'Incremental Repayments'!$I$31),-PMT('Interest Rate'!$J$16,'Incremental Repayments'!$I$31,(HLOOKUP($D83,$E$4:$CZ$32,28,FALSE)*'Incremental Repayments'!$I$22)),0),0)</f>
        <v>0</v>
      </c>
      <c r="CS83" s="783">
        <f>IF('Incremental Repayments'!$R$22="Debt",IF(AND(CS$4&gt;=$D83,CS$4&lt;$D83+'Incremental Repayments'!$I$31),-PMT('Interest Rate'!$J$16,'Incremental Repayments'!$I$31,(HLOOKUP($D83,$E$4:$CZ$32,28,FALSE)*'Incremental Repayments'!$I$22)),0),0)</f>
        <v>0</v>
      </c>
      <c r="CT83" s="783">
        <f>IF('Incremental Repayments'!$R$22="Debt",IF(AND(CT$4&gt;=$D83,CT$4&lt;$D83+'Incremental Repayments'!$I$31),-PMT('Interest Rate'!$J$16,'Incremental Repayments'!$I$31,(HLOOKUP($D83,$E$4:$CZ$32,28,FALSE)*'Incremental Repayments'!$I$22)),0),0)</f>
        <v>0</v>
      </c>
      <c r="CU83" s="783">
        <f>IF('Incremental Repayments'!$R$22="Debt",IF(AND(CU$4&gt;=$D83,CU$4&lt;$D83+'Incremental Repayments'!$I$31),-PMT('Interest Rate'!$J$16,'Incremental Repayments'!$I$31,(HLOOKUP($D83,$E$4:$CZ$32,28,FALSE)*'Incremental Repayments'!$I$22)),0),0)</f>
        <v>0</v>
      </c>
      <c r="CV83" s="783">
        <f>IF('Incremental Repayments'!$R$22="Debt",IF(AND(CV$4&gt;=$D83,CV$4&lt;$D83+'Incremental Repayments'!$I$31),-PMT('Interest Rate'!$J$16,'Incremental Repayments'!$I$31,(HLOOKUP($D83,$E$4:$CZ$32,28,FALSE)*'Incremental Repayments'!$I$22)),0),0)</f>
        <v>0</v>
      </c>
      <c r="CW83" s="783">
        <f>IF('Incremental Repayments'!$R$22="Debt",IF(AND(CW$4&gt;=$D83,CW$4&lt;$D83+'Incremental Repayments'!$I$31),-PMT('Interest Rate'!$J$16,'Incremental Repayments'!$I$31,(HLOOKUP($D83,$E$4:$CZ$32,28,FALSE)*'Incremental Repayments'!$I$22)),0),0)</f>
        <v>0</v>
      </c>
      <c r="CX83" s="783">
        <f>IF('Incremental Repayments'!$R$22="Debt",IF(AND(CX$4&gt;=$D83,CX$4&lt;$D83+'Incremental Repayments'!$I$31),-PMT('Interest Rate'!$J$16,'Incremental Repayments'!$I$31,(HLOOKUP($D83,$E$4:$CZ$32,28,FALSE)*'Incremental Repayments'!$I$22)),0),0)</f>
        <v>0</v>
      </c>
      <c r="CY83" s="783">
        <f>IF('Incremental Repayments'!$R$22="Debt",IF(AND(CY$4&gt;=$D83,CY$4&lt;$D83+'Incremental Repayments'!$I$31),-PMT('Interest Rate'!$J$16,'Incremental Repayments'!$I$31,(HLOOKUP($D83,$E$4:$CZ$32,28,FALSE)*'Incremental Repayments'!$I$22)),0),0)</f>
        <v>0</v>
      </c>
      <c r="CZ83" s="783">
        <f>IF('Incremental Repayments'!$R$22="Debt",IF(AND(CZ$4&gt;=$D83,CZ$4&lt;$D83+'Incremental Repayments'!$I$31),-PMT('Interest Rate'!$J$16,'Incremental Repayments'!$I$31,(HLOOKUP($D83,$E$4:$CZ$32,28,FALSE)*'Incremental Repayments'!$I$22)),0),0)</f>
        <v>0</v>
      </c>
    </row>
    <row r="84" spans="2:104" x14ac:dyDescent="0.25">
      <c r="B84" s="480" t="str">
        <f>CONCATENATE("Series ",D84,"A Bonds (at ",'Interest Rate'!$J$16*100,"% Interest)")</f>
        <v>Series 2062A Bonds (at 4.5% Interest)</v>
      </c>
      <c r="C84" s="480"/>
      <c r="D84" s="492">
        <f t="shared" si="47"/>
        <v>2062</v>
      </c>
      <c r="E84" s="783">
        <f>IF('Incremental Repayments'!$R$22="Debt",IF(AND(E$4&gt;=$D84,E$4&lt;$D84+'Incremental Repayments'!$I$31),-PMT('Interest Rate'!$J$16,'Incremental Repayments'!$I$31,(HLOOKUP($D84,$E$4:$CZ$32,28,FALSE)*'Incremental Repayments'!$I$22)),0),0)</f>
        <v>0</v>
      </c>
      <c r="F84" s="783">
        <f>IF('Incremental Repayments'!$R$22="Debt",IF(AND(F$4&gt;=$D84,F$4&lt;$D84+'Incremental Repayments'!$I$31),-PMT('Interest Rate'!$J$16,'Incremental Repayments'!$I$31,(HLOOKUP($D84,$E$4:$CZ$32,28,FALSE)*'Incremental Repayments'!$I$22)),0),0)</f>
        <v>0</v>
      </c>
      <c r="G84" s="783">
        <f>IF('Incremental Repayments'!$R$22="Debt",IF(AND(G$4&gt;=$D84,G$4&lt;$D84+'Incremental Repayments'!$I$31),-PMT('Interest Rate'!$J$16,'Incremental Repayments'!$I$31,(HLOOKUP($D84,$E$4:$CZ$32,28,FALSE)*'Incremental Repayments'!$I$22)),0),0)</f>
        <v>0</v>
      </c>
      <c r="H84" s="783">
        <f>IF('Incremental Repayments'!$R$22="Debt",IF(AND(H$4&gt;=$D84,H$4&lt;$D84+'Incremental Repayments'!$I$31),-PMT('Interest Rate'!$J$16,'Incremental Repayments'!$I$31,(HLOOKUP($D84,$E$4:$CZ$32,28,FALSE)*'Incremental Repayments'!$I$22)),0),0)</f>
        <v>0</v>
      </c>
      <c r="I84" s="783">
        <f>IF('Incremental Repayments'!$R$22="Debt",IF(AND(I$4&gt;=$D84,I$4&lt;$D84+'Incremental Repayments'!$I$31),-PMT('Interest Rate'!$J$16,'Incremental Repayments'!$I$31,(HLOOKUP($D84,$E$4:$CZ$32,28,FALSE)*'Incremental Repayments'!$I$22)),0),0)</f>
        <v>0</v>
      </c>
      <c r="J84" s="783">
        <f>IF('Incremental Repayments'!$R$22="Debt",IF(AND(J$4&gt;=$D84,J$4&lt;$D84+'Incremental Repayments'!$I$31),-PMT('Interest Rate'!$J$16,'Incremental Repayments'!$I$31,(HLOOKUP($D84,$E$4:$CZ$32,28,FALSE)*'Incremental Repayments'!$I$22)),0),0)</f>
        <v>0</v>
      </c>
      <c r="K84" s="783">
        <f>IF('Incremental Repayments'!$R$22="Debt",IF(AND(K$4&gt;=$D84,K$4&lt;$D84+'Incremental Repayments'!$I$31),-PMT('Interest Rate'!$J$16,'Incremental Repayments'!$I$31,(HLOOKUP($D84,$E$4:$CZ$32,28,FALSE)*'Incremental Repayments'!$I$22)),0),0)</f>
        <v>0</v>
      </c>
      <c r="L84" s="783">
        <f>IF('Incremental Repayments'!$R$22="Debt",IF(AND(L$4&gt;=$D84,L$4&lt;$D84+'Incremental Repayments'!$I$31),-PMT('Interest Rate'!$J$16,'Incremental Repayments'!$I$31,(HLOOKUP($D84,$E$4:$CZ$32,28,FALSE)*'Incremental Repayments'!$I$22)),0),0)</f>
        <v>0</v>
      </c>
      <c r="M84" s="783">
        <f>IF('Incremental Repayments'!$R$22="Debt",IF(AND(M$4&gt;=$D84,M$4&lt;$D84+'Incremental Repayments'!$I$31),-PMT('Interest Rate'!$J$16,'Incremental Repayments'!$I$31,(HLOOKUP($D84,$E$4:$CZ$32,28,FALSE)*'Incremental Repayments'!$I$22)),0),0)</f>
        <v>0</v>
      </c>
      <c r="N84" s="783">
        <f>IF('Incremental Repayments'!$R$22="Debt",IF(AND(N$4&gt;=$D84,N$4&lt;$D84+'Incremental Repayments'!$I$31),-PMT('Interest Rate'!$J$16,'Incremental Repayments'!$I$31,(HLOOKUP($D84,$E$4:$CZ$32,28,FALSE)*'Incremental Repayments'!$I$22)),0),0)</f>
        <v>0</v>
      </c>
      <c r="O84" s="783">
        <f>IF('Incremental Repayments'!$R$22="Debt",IF(AND(O$4&gt;=$D84,O$4&lt;$D84+'Incremental Repayments'!$I$31),-PMT('Interest Rate'!$J$16,'Incremental Repayments'!$I$31,(HLOOKUP($D84,$E$4:$CZ$32,28,FALSE)*'Incremental Repayments'!$I$22)),0),0)</f>
        <v>0</v>
      </c>
      <c r="P84" s="783">
        <f>IF('Incremental Repayments'!$R$22="Debt",IF(AND(P$4&gt;=$D84,P$4&lt;$D84+'Incremental Repayments'!$I$31),-PMT('Interest Rate'!$J$16,'Incremental Repayments'!$I$31,(HLOOKUP($D84,$E$4:$CZ$32,28,FALSE)*'Incremental Repayments'!$I$22)),0),0)</f>
        <v>0</v>
      </c>
      <c r="Q84" s="783">
        <f>IF('Incremental Repayments'!$R$22="Debt",IF(AND(Q$4&gt;=$D84,Q$4&lt;$D84+'Incremental Repayments'!$I$31),-PMT('Interest Rate'!$J$16,'Incremental Repayments'!$I$31,(HLOOKUP($D84,$E$4:$CZ$32,28,FALSE)*'Incremental Repayments'!$I$22)),0),0)</f>
        <v>0</v>
      </c>
      <c r="R84" s="783">
        <f>IF('Incremental Repayments'!$R$22="Debt",IF(AND(R$4&gt;=$D84,R$4&lt;$D84+'Incremental Repayments'!$I$31),-PMT('Interest Rate'!$J$16,'Incremental Repayments'!$I$31,(HLOOKUP($D84,$E$4:$CZ$32,28,FALSE)*'Incremental Repayments'!$I$22)),0),0)</f>
        <v>0</v>
      </c>
      <c r="S84" s="783">
        <f>IF('Incremental Repayments'!$R$22="Debt",IF(AND(S$4&gt;=$D84,S$4&lt;$D84+'Incremental Repayments'!$I$31),-PMT('Interest Rate'!$J$16,'Incremental Repayments'!$I$31,(HLOOKUP($D84,$E$4:$CZ$32,28,FALSE)*'Incremental Repayments'!$I$22)),0),0)</f>
        <v>0</v>
      </c>
      <c r="T84" s="783">
        <f>IF('Incremental Repayments'!$R$22="Debt",IF(AND(T$4&gt;=$D84,T$4&lt;$D84+'Incremental Repayments'!$I$31),-PMT('Interest Rate'!$J$16,'Incremental Repayments'!$I$31,(HLOOKUP($D84,$E$4:$CZ$32,28,FALSE)*'Incremental Repayments'!$I$22)),0),0)</f>
        <v>0</v>
      </c>
      <c r="U84" s="783">
        <f>IF('Incremental Repayments'!$R$22="Debt",IF(AND(U$4&gt;=$D84,U$4&lt;$D84+'Incremental Repayments'!$I$31),-PMT('Interest Rate'!$J$16,'Incremental Repayments'!$I$31,(HLOOKUP($D84,$E$4:$CZ$32,28,FALSE)*'Incremental Repayments'!$I$22)),0),0)</f>
        <v>0</v>
      </c>
      <c r="V84" s="783">
        <f>IF('Incremental Repayments'!$R$22="Debt",IF(AND(V$4&gt;=$D84,V$4&lt;$D84+'Incremental Repayments'!$I$31),-PMT('Interest Rate'!$J$16,'Incremental Repayments'!$I$31,(HLOOKUP($D84,$E$4:$CZ$32,28,FALSE)*'Incremental Repayments'!$I$22)),0),0)</f>
        <v>0</v>
      </c>
      <c r="W84" s="783">
        <f>IF('Incremental Repayments'!$R$22="Debt",IF(AND(W$4&gt;=$D84,W$4&lt;$D84+'Incremental Repayments'!$I$31),-PMT('Interest Rate'!$J$16,'Incremental Repayments'!$I$31,(HLOOKUP($D84,$E$4:$CZ$32,28,FALSE)*'Incremental Repayments'!$I$22)),0),0)</f>
        <v>0</v>
      </c>
      <c r="X84" s="783">
        <f>IF('Incremental Repayments'!$R$22="Debt",IF(AND(X$4&gt;=$D84,X$4&lt;$D84+'Incremental Repayments'!$I$31),-PMT('Interest Rate'!$J$16,'Incremental Repayments'!$I$31,(HLOOKUP($D84,$E$4:$CZ$32,28,FALSE)*'Incremental Repayments'!$I$22)),0),0)</f>
        <v>0</v>
      </c>
      <c r="Y84" s="783">
        <f>IF('Incremental Repayments'!$R$22="Debt",IF(AND(Y$4&gt;=$D84,Y$4&lt;$D84+'Incremental Repayments'!$I$31),-PMT('Interest Rate'!$J$16,'Incremental Repayments'!$I$31,(HLOOKUP($D84,$E$4:$CZ$32,28,FALSE)*'Incremental Repayments'!$I$22)),0),0)</f>
        <v>0</v>
      </c>
      <c r="Z84" s="783">
        <f>IF('Incremental Repayments'!$R$22="Debt",IF(AND(Z$4&gt;=$D84,Z$4&lt;$D84+'Incremental Repayments'!$I$31),-PMT('Interest Rate'!$J$16,'Incremental Repayments'!$I$31,(HLOOKUP($D84,$E$4:$CZ$32,28,FALSE)*'Incremental Repayments'!$I$22)),0),0)</f>
        <v>0</v>
      </c>
      <c r="AA84" s="783">
        <f>IF('Incremental Repayments'!$R$22="Debt",IF(AND(AA$4&gt;=$D84,AA$4&lt;$D84+'Incremental Repayments'!$I$31),-PMT('Interest Rate'!$J$16,'Incremental Repayments'!$I$31,(HLOOKUP($D84,$E$4:$CZ$32,28,FALSE)*'Incremental Repayments'!$I$22)),0),0)</f>
        <v>0</v>
      </c>
      <c r="AB84" s="783">
        <f>IF('Incremental Repayments'!$R$22="Debt",IF(AND(AB$4&gt;=$D84,AB$4&lt;$D84+'Incremental Repayments'!$I$31),-PMT('Interest Rate'!$J$16,'Incremental Repayments'!$I$31,(HLOOKUP($D84,$E$4:$CZ$32,28,FALSE)*'Incremental Repayments'!$I$22)),0),0)</f>
        <v>0</v>
      </c>
      <c r="AC84" s="783">
        <f>IF('Incremental Repayments'!$R$22="Debt",IF(AND(AC$4&gt;=$D84,AC$4&lt;$D84+'Incremental Repayments'!$I$31),-PMT('Interest Rate'!$J$16,'Incremental Repayments'!$I$31,(HLOOKUP($D84,$E$4:$CZ$32,28,FALSE)*'Incremental Repayments'!$I$22)),0),0)</f>
        <v>0</v>
      </c>
      <c r="AD84" s="783">
        <f>IF('Incremental Repayments'!$R$22="Debt",IF(AND(AD$4&gt;=$D84,AD$4&lt;$D84+'Incremental Repayments'!$I$31),-PMT('Interest Rate'!$J$16,'Incremental Repayments'!$I$31,(HLOOKUP($D84,$E$4:$CZ$32,28,FALSE)*'Incremental Repayments'!$I$22)),0),0)</f>
        <v>0</v>
      </c>
      <c r="AE84" s="783">
        <f>IF('Incremental Repayments'!$R$22="Debt",IF(AND(AE$4&gt;=$D84,AE$4&lt;$D84+'Incremental Repayments'!$I$31),-PMT('Interest Rate'!$J$16,'Incremental Repayments'!$I$31,(HLOOKUP($D84,$E$4:$CZ$32,28,FALSE)*'Incremental Repayments'!$I$22)),0),0)</f>
        <v>0</v>
      </c>
      <c r="AF84" s="783">
        <f>IF('Incremental Repayments'!$R$22="Debt",IF(AND(AF$4&gt;=$D84,AF$4&lt;$D84+'Incremental Repayments'!$I$31),-PMT('Interest Rate'!$J$16,'Incremental Repayments'!$I$31,(HLOOKUP($D84,$E$4:$CZ$32,28,FALSE)*'Incremental Repayments'!$I$22)),0),0)</f>
        <v>0</v>
      </c>
      <c r="AG84" s="783">
        <f>IF('Incremental Repayments'!$R$22="Debt",IF(AND(AG$4&gt;=$D84,AG$4&lt;$D84+'Incremental Repayments'!$I$31),-PMT('Interest Rate'!$J$16,'Incremental Repayments'!$I$31,(HLOOKUP($D84,$E$4:$CZ$32,28,FALSE)*'Incremental Repayments'!$I$22)),0),0)</f>
        <v>0</v>
      </c>
      <c r="AH84" s="783">
        <f>IF('Incremental Repayments'!$R$22="Debt",IF(AND(AH$4&gt;=$D84,AH$4&lt;$D84+'Incremental Repayments'!$I$31),-PMT('Interest Rate'!$J$16,'Incremental Repayments'!$I$31,(HLOOKUP($D84,$E$4:$CZ$32,28,FALSE)*'Incremental Repayments'!$I$22)),0),0)</f>
        <v>0</v>
      </c>
      <c r="AI84" s="783">
        <f>IF('Incremental Repayments'!$R$22="Debt",IF(AND(AI$4&gt;=$D84,AI$4&lt;$D84+'Incremental Repayments'!$I$31),-PMT('Interest Rate'!$J$16,'Incremental Repayments'!$I$31,(HLOOKUP($D84,$E$4:$CZ$32,28,FALSE)*'Incremental Repayments'!$I$22)),0),0)</f>
        <v>0</v>
      </c>
      <c r="AJ84" s="783">
        <f>IF('Incremental Repayments'!$R$22="Debt",IF(AND(AJ$4&gt;=$D84,AJ$4&lt;$D84+'Incremental Repayments'!$I$31),-PMT('Interest Rate'!$J$16,'Incremental Repayments'!$I$31,(HLOOKUP($D84,$E$4:$CZ$32,28,FALSE)*'Incremental Repayments'!$I$22)),0),0)</f>
        <v>0</v>
      </c>
      <c r="AK84" s="783">
        <f>IF('Incremental Repayments'!$R$22="Debt",IF(AND(AK$4&gt;=$D84,AK$4&lt;$D84+'Incremental Repayments'!$I$31),-PMT('Interest Rate'!$J$16,'Incremental Repayments'!$I$31,(HLOOKUP($D84,$E$4:$CZ$32,28,FALSE)*'Incremental Repayments'!$I$22)),0),0)</f>
        <v>0</v>
      </c>
      <c r="AL84" s="783">
        <f>IF('Incremental Repayments'!$R$22="Debt",IF(AND(AL$4&gt;=$D84,AL$4&lt;$D84+'Incremental Repayments'!$I$31),-PMT('Interest Rate'!$J$16,'Incremental Repayments'!$I$31,(HLOOKUP($D84,$E$4:$CZ$32,28,FALSE)*'Incremental Repayments'!$I$22)),0),0)</f>
        <v>0</v>
      </c>
      <c r="AM84" s="783">
        <f>IF('Incremental Repayments'!$R$22="Debt",IF(AND(AM$4&gt;=$D84,AM$4&lt;$D84+'Incremental Repayments'!$I$31),-PMT('Interest Rate'!$J$16,'Incremental Repayments'!$I$31,(HLOOKUP($D84,$E$4:$CZ$32,28,FALSE)*'Incremental Repayments'!$I$22)),0),0)</f>
        <v>0</v>
      </c>
      <c r="AN84" s="783">
        <f>IF('Incremental Repayments'!$R$22="Debt",IF(AND(AN$4&gt;=$D84,AN$4&lt;$D84+'Incremental Repayments'!$I$31),-PMT('Interest Rate'!$J$16,'Incremental Repayments'!$I$31,(HLOOKUP($D84,$E$4:$CZ$32,28,FALSE)*'Incremental Repayments'!$I$22)),0),0)</f>
        <v>0</v>
      </c>
      <c r="AO84" s="783">
        <f>IF('Incremental Repayments'!$R$22="Debt",IF(AND(AO$4&gt;=$D84,AO$4&lt;$D84+'Incremental Repayments'!$I$31),-PMT('Interest Rate'!$J$16,'Incremental Repayments'!$I$31,(HLOOKUP($D84,$E$4:$CZ$32,28,FALSE)*'Incremental Repayments'!$I$22)),0),0)</f>
        <v>0</v>
      </c>
      <c r="AP84" s="783">
        <f>IF('Incremental Repayments'!$R$22="Debt",IF(AND(AP$4&gt;=$D84,AP$4&lt;$D84+'Incremental Repayments'!$I$31),-PMT('Interest Rate'!$J$16,'Incremental Repayments'!$I$31,(HLOOKUP($D84,$E$4:$CZ$32,28,FALSE)*'Incremental Repayments'!$I$22)),0),0)</f>
        <v>0</v>
      </c>
      <c r="AQ84" s="783">
        <f>IF('Incremental Repayments'!$R$22="Debt",IF(AND(AQ$4&gt;=$D84,AQ$4&lt;$D84+'Incremental Repayments'!$I$31),-PMT('Interest Rate'!$J$16,'Incremental Repayments'!$I$31,(HLOOKUP($D84,$E$4:$CZ$32,28,FALSE)*'Incremental Repayments'!$I$22)),0),0)</f>
        <v>0</v>
      </c>
      <c r="AR84" s="783">
        <f>IF('Incremental Repayments'!$R$22="Debt",IF(AND(AR$4&gt;=$D84,AR$4&lt;$D84+'Incremental Repayments'!$I$31),-PMT('Interest Rate'!$J$16,'Incremental Repayments'!$I$31,(HLOOKUP($D84,$E$4:$CZ$32,28,FALSE)*'Incremental Repayments'!$I$22)),0),0)</f>
        <v>0</v>
      </c>
      <c r="AS84" s="783">
        <f>IF('Incremental Repayments'!$R$22="Debt",IF(AND(AS$4&gt;=$D84,AS$4&lt;$D84+'Incremental Repayments'!$I$31),-PMT('Interest Rate'!$J$16,'Incremental Repayments'!$I$31,(HLOOKUP($D84,$E$4:$CZ$32,28,FALSE)*'Incremental Repayments'!$I$22)),0),0)</f>
        <v>0</v>
      </c>
      <c r="AT84" s="783">
        <f>IF('Incremental Repayments'!$R$22="Debt",IF(AND(AT$4&gt;=$D84,AT$4&lt;$D84+'Incremental Repayments'!$I$31),-PMT('Interest Rate'!$J$16,'Incremental Repayments'!$I$31,(HLOOKUP($D84,$E$4:$CZ$32,28,FALSE)*'Incremental Repayments'!$I$22)),0),0)</f>
        <v>0</v>
      </c>
      <c r="AU84" s="783">
        <f>IF('Incremental Repayments'!$R$22="Debt",IF(AND(AU$4&gt;=$D84,AU$4&lt;$D84+'Incremental Repayments'!$I$31),-PMT('Interest Rate'!$J$16,'Incremental Repayments'!$I$31,(HLOOKUP($D84,$E$4:$CZ$32,28,FALSE)*'Incremental Repayments'!$I$22)),0),0)</f>
        <v>0</v>
      </c>
      <c r="AV84" s="783">
        <f>IF('Incremental Repayments'!$R$22="Debt",IF(AND(AV$4&gt;=$D84,AV$4&lt;$D84+'Incremental Repayments'!$I$31),-PMT('Interest Rate'!$J$16,'Incremental Repayments'!$I$31,(HLOOKUP($D84,$E$4:$CZ$32,28,FALSE)*'Incremental Repayments'!$I$22)),0),0)</f>
        <v>0</v>
      </c>
      <c r="AW84" s="783">
        <f>IF('Incremental Repayments'!$R$22="Debt",IF(AND(AW$4&gt;=$D84,AW$4&lt;$D84+'Incremental Repayments'!$I$31),-PMT('Interest Rate'!$J$16,'Incremental Repayments'!$I$31,(HLOOKUP($D84,$E$4:$CZ$32,28,FALSE)*'Incremental Repayments'!$I$22)),0),0)</f>
        <v>0</v>
      </c>
      <c r="AX84" s="783">
        <f>IF('Incremental Repayments'!$R$22="Debt",IF(AND(AX$4&gt;=$D84,AX$4&lt;$D84+'Incremental Repayments'!$I$31),-PMT('Interest Rate'!$J$16,'Incremental Repayments'!$I$31,(HLOOKUP($D84,$E$4:$CZ$32,28,FALSE)*'Incremental Repayments'!$I$22)),0),0)</f>
        <v>0</v>
      </c>
      <c r="AY84" s="783">
        <f>IF('Incremental Repayments'!$R$22="Debt",IF(AND(AY$4&gt;=$D84,AY$4&lt;$D84+'Incremental Repayments'!$I$31),-PMT('Interest Rate'!$J$16,'Incremental Repayments'!$I$31,(HLOOKUP($D84,$E$4:$CZ$32,28,FALSE)*'Incremental Repayments'!$I$22)),0),0)</f>
        <v>0</v>
      </c>
      <c r="AZ84" s="783">
        <f>IF('Incremental Repayments'!$R$22="Debt",IF(AND(AZ$4&gt;=$D84,AZ$4&lt;$D84+'Incremental Repayments'!$I$31),-PMT('Interest Rate'!$J$16,'Incremental Repayments'!$I$31,(HLOOKUP($D84,$E$4:$CZ$32,28,FALSE)*'Incremental Repayments'!$I$22)),0),0)</f>
        <v>0</v>
      </c>
      <c r="BA84" s="783">
        <f>IF('Incremental Repayments'!$R$22="Debt",IF(AND(BA$4&gt;=$D84,BA$4&lt;$D84+'Incremental Repayments'!$I$31),-PMT('Interest Rate'!$J$16,'Incremental Repayments'!$I$31,(HLOOKUP($D84,$E$4:$CZ$32,28,FALSE)*'Incremental Repayments'!$I$22)),0),0)</f>
        <v>0</v>
      </c>
      <c r="BB84" s="783">
        <f>IF('Incremental Repayments'!$R$22="Debt",IF(AND(BB$4&gt;=$D84,BB$4&lt;$D84+'Incremental Repayments'!$I$31),-PMT('Interest Rate'!$J$16,'Incremental Repayments'!$I$31,(HLOOKUP($D84,$E$4:$CZ$32,28,FALSE)*'Incremental Repayments'!$I$22)),0),0)</f>
        <v>0</v>
      </c>
      <c r="BC84" s="783">
        <f>IF('Incremental Repayments'!$R$22="Debt",IF(AND(BC$4&gt;=$D84,BC$4&lt;$D84+'Incremental Repayments'!$I$31),-PMT('Interest Rate'!$J$16,'Incremental Repayments'!$I$31,(HLOOKUP($D84,$E$4:$CZ$32,28,FALSE)*'Incremental Repayments'!$I$22)),0),0)</f>
        <v>0</v>
      </c>
      <c r="BD84" s="783">
        <f>IF('Incremental Repayments'!$R$22="Debt",IF(AND(BD$4&gt;=$D84,BD$4&lt;$D84+'Incremental Repayments'!$I$31),-PMT('Interest Rate'!$J$16,'Incremental Repayments'!$I$31,(HLOOKUP($D84,$E$4:$CZ$32,28,FALSE)*'Incremental Repayments'!$I$22)),0),0)</f>
        <v>0</v>
      </c>
      <c r="BE84" s="783">
        <f>IF('Incremental Repayments'!$R$22="Debt",IF(AND(BE$4&gt;=$D84,BE$4&lt;$D84+'Incremental Repayments'!$I$31),-PMT('Interest Rate'!$J$16,'Incremental Repayments'!$I$31,(HLOOKUP($D84,$E$4:$CZ$32,28,FALSE)*'Incremental Repayments'!$I$22)),0),0)</f>
        <v>0</v>
      </c>
      <c r="BF84" s="783">
        <f>IF('Incremental Repayments'!$R$22="Debt",IF(AND(BF$4&gt;=$D84,BF$4&lt;$D84+'Incremental Repayments'!$I$31),-PMT('Interest Rate'!$J$16,'Incremental Repayments'!$I$31,(HLOOKUP($D84,$E$4:$CZ$32,28,FALSE)*'Incremental Repayments'!$I$22)),0),0)</f>
        <v>0</v>
      </c>
      <c r="BG84" s="783">
        <f>IF('Incremental Repayments'!$R$22="Debt",IF(AND(BG$4&gt;=$D84,BG$4&lt;$D84+'Incremental Repayments'!$I$31),-PMT('Interest Rate'!$J$16,'Incremental Repayments'!$I$31,(HLOOKUP($D84,$E$4:$CZ$32,28,FALSE)*'Incremental Repayments'!$I$22)),0),0)</f>
        <v>0</v>
      </c>
      <c r="BH84" s="783">
        <f>IF('Incremental Repayments'!$R$22="Debt",IF(AND(BH$4&gt;=$D84,BH$4&lt;$D84+'Incremental Repayments'!$I$31),-PMT('Interest Rate'!$J$16,'Incremental Repayments'!$I$31,(HLOOKUP($D84,$E$4:$CZ$32,28,FALSE)*'Incremental Repayments'!$I$22)),0),0)</f>
        <v>0</v>
      </c>
      <c r="BI84" s="783">
        <f>IF('Incremental Repayments'!$R$22="Debt",IF(AND(BI$4&gt;=$D84,BI$4&lt;$D84+'Incremental Repayments'!$I$31),-PMT('Interest Rate'!$J$16,'Incremental Repayments'!$I$31,(HLOOKUP($D84,$E$4:$CZ$32,28,FALSE)*'Incremental Repayments'!$I$22)),0),0)</f>
        <v>0</v>
      </c>
      <c r="BJ84" s="783">
        <f>IF('Incremental Repayments'!$R$22="Debt",IF(AND(BJ$4&gt;=$D84,BJ$4&lt;$D84+'Incremental Repayments'!$I$31),-PMT('Interest Rate'!$J$16,'Incremental Repayments'!$I$31,(HLOOKUP($D84,$E$4:$CZ$32,28,FALSE)*'Incremental Repayments'!$I$22)),0),0)</f>
        <v>0</v>
      </c>
      <c r="BK84" s="783">
        <f>IF('Incremental Repayments'!$R$22="Debt",IF(AND(BK$4&gt;=$D84,BK$4&lt;$D84+'Incremental Repayments'!$I$31),-PMT('Interest Rate'!$J$16,'Incremental Repayments'!$I$31,(HLOOKUP($D84,$E$4:$CZ$32,28,FALSE)*'Incremental Repayments'!$I$22)),0),0)</f>
        <v>0</v>
      </c>
      <c r="BL84" s="783">
        <f>IF('Incremental Repayments'!$R$22="Debt",IF(AND(BL$4&gt;=$D84,BL$4&lt;$D84+'Incremental Repayments'!$I$31),-PMT('Interest Rate'!$J$16,'Incremental Repayments'!$I$31,(HLOOKUP($D84,$E$4:$CZ$32,28,FALSE)*'Incremental Repayments'!$I$22)),0),0)</f>
        <v>0</v>
      </c>
      <c r="BM84" s="783">
        <f>IF('Incremental Repayments'!$R$22="Debt",IF(AND(BM$4&gt;=$D84,BM$4&lt;$D84+'Incremental Repayments'!$I$31),-PMT('Interest Rate'!$J$16,'Incremental Repayments'!$I$31,(HLOOKUP($D84,$E$4:$CZ$32,28,FALSE)*'Incremental Repayments'!$I$22)),0),0)</f>
        <v>0</v>
      </c>
      <c r="BN84" s="783">
        <f>IF('Incremental Repayments'!$R$22="Debt",IF(AND(BN$4&gt;=$D84,BN$4&lt;$D84+'Incremental Repayments'!$I$31),-PMT('Interest Rate'!$J$16,'Incremental Repayments'!$I$31,(HLOOKUP($D84,$E$4:$CZ$32,28,FALSE)*'Incremental Repayments'!$I$22)),0),0)</f>
        <v>0</v>
      </c>
      <c r="BO84" s="783">
        <f>IF('Incremental Repayments'!$R$22="Debt",IF(AND(BO$4&gt;=$D84,BO$4&lt;$D84+'Incremental Repayments'!$I$31),-PMT('Interest Rate'!$J$16,'Incremental Repayments'!$I$31,(HLOOKUP($D84,$E$4:$CZ$32,28,FALSE)*'Incremental Repayments'!$I$22)),0),0)</f>
        <v>0</v>
      </c>
      <c r="BP84" s="783">
        <f>IF('Incremental Repayments'!$R$22="Debt",IF(AND(BP$4&gt;=$D84,BP$4&lt;$D84+'Incremental Repayments'!$I$31),-PMT('Interest Rate'!$J$16,'Incremental Repayments'!$I$31,(HLOOKUP($D84,$E$4:$CZ$32,28,FALSE)*'Incremental Repayments'!$I$22)),0),0)</f>
        <v>0</v>
      </c>
      <c r="BQ84" s="783">
        <f>IF('Incremental Repayments'!$R$22="Debt",IF(AND(BQ$4&gt;=$D84,BQ$4&lt;$D84+'Incremental Repayments'!$I$31),-PMT('Interest Rate'!$J$16,'Incremental Repayments'!$I$31,(HLOOKUP($D84,$E$4:$CZ$32,28,FALSE)*'Incremental Repayments'!$I$22)),0),0)</f>
        <v>0</v>
      </c>
      <c r="BR84" s="783">
        <f>IF('Incremental Repayments'!$R$22="Debt",IF(AND(BR$4&gt;=$D84,BR$4&lt;$D84+'Incremental Repayments'!$I$31),-PMT('Interest Rate'!$J$16,'Incremental Repayments'!$I$31,(HLOOKUP($D84,$E$4:$CZ$32,28,FALSE)*'Incremental Repayments'!$I$22)),0),0)</f>
        <v>0</v>
      </c>
      <c r="BS84" s="783">
        <f>IF('Incremental Repayments'!$R$22="Debt",IF(AND(BS$4&gt;=$D84,BS$4&lt;$D84+'Incremental Repayments'!$I$31),-PMT('Interest Rate'!$J$16,'Incremental Repayments'!$I$31,(HLOOKUP($D84,$E$4:$CZ$32,28,FALSE)*'Incremental Repayments'!$I$22)),0),0)</f>
        <v>0</v>
      </c>
      <c r="BT84" s="783">
        <f>IF('Incremental Repayments'!$R$22="Debt",IF(AND(BT$4&gt;=$D84,BT$4&lt;$D84+'Incremental Repayments'!$I$31),-PMT('Interest Rate'!$J$16,'Incremental Repayments'!$I$31,(HLOOKUP($D84,$E$4:$CZ$32,28,FALSE)*'Incremental Repayments'!$I$22)),0),0)</f>
        <v>0</v>
      </c>
      <c r="BU84" s="783">
        <f>IF('Incremental Repayments'!$R$22="Debt",IF(AND(BU$4&gt;=$D84,BU$4&lt;$D84+'Incremental Repayments'!$I$31),-PMT('Interest Rate'!$J$16,'Incremental Repayments'!$I$31,(HLOOKUP($D84,$E$4:$CZ$32,28,FALSE)*'Incremental Repayments'!$I$22)),0),0)</f>
        <v>0</v>
      </c>
      <c r="BV84" s="783">
        <f>IF('Incremental Repayments'!$R$22="Debt",IF(AND(BV$4&gt;=$D84,BV$4&lt;$D84+'Incremental Repayments'!$I$31),-PMT('Interest Rate'!$J$16,'Incremental Repayments'!$I$31,(HLOOKUP($D84,$E$4:$CZ$32,28,FALSE)*'Incremental Repayments'!$I$22)),0),0)</f>
        <v>0</v>
      </c>
      <c r="BW84" s="783">
        <f>IF('Incremental Repayments'!$R$22="Debt",IF(AND(BW$4&gt;=$D84,BW$4&lt;$D84+'Incremental Repayments'!$I$31),-PMT('Interest Rate'!$J$16,'Incremental Repayments'!$I$31,(HLOOKUP($D84,$E$4:$CZ$32,28,FALSE)*'Incremental Repayments'!$I$22)),0),0)</f>
        <v>0</v>
      </c>
      <c r="BX84" s="783">
        <f>IF('Incremental Repayments'!$R$22="Debt",IF(AND(BX$4&gt;=$D84,BX$4&lt;$D84+'Incremental Repayments'!$I$31),-PMT('Interest Rate'!$J$16,'Incremental Repayments'!$I$31,(HLOOKUP($D84,$E$4:$CZ$32,28,FALSE)*'Incremental Repayments'!$I$22)),0),0)</f>
        <v>0</v>
      </c>
      <c r="BY84" s="783">
        <f>IF('Incremental Repayments'!$R$22="Debt",IF(AND(BY$4&gt;=$D84,BY$4&lt;$D84+'Incremental Repayments'!$I$31),-PMT('Interest Rate'!$J$16,'Incremental Repayments'!$I$31,(HLOOKUP($D84,$E$4:$CZ$32,28,FALSE)*'Incremental Repayments'!$I$22)),0),0)</f>
        <v>0</v>
      </c>
      <c r="BZ84" s="783">
        <f>IF('Incremental Repayments'!$R$22="Debt",IF(AND(BZ$4&gt;=$D84,BZ$4&lt;$D84+'Incremental Repayments'!$I$31),-PMT('Interest Rate'!$J$16,'Incremental Repayments'!$I$31,(HLOOKUP($D84,$E$4:$CZ$32,28,FALSE)*'Incremental Repayments'!$I$22)),0),0)</f>
        <v>0</v>
      </c>
      <c r="CA84" s="783">
        <f>IF('Incremental Repayments'!$R$22="Debt",IF(AND(CA$4&gt;=$D84,CA$4&lt;$D84+'Incremental Repayments'!$I$31),-PMT('Interest Rate'!$J$16,'Incremental Repayments'!$I$31,(HLOOKUP($D84,$E$4:$CZ$32,28,FALSE)*'Incremental Repayments'!$I$22)),0),0)</f>
        <v>0</v>
      </c>
      <c r="CB84" s="783">
        <f>IF('Incremental Repayments'!$R$22="Debt",IF(AND(CB$4&gt;=$D84,CB$4&lt;$D84+'Incremental Repayments'!$I$31),-PMT('Interest Rate'!$J$16,'Incremental Repayments'!$I$31,(HLOOKUP($D84,$E$4:$CZ$32,28,FALSE)*'Incremental Repayments'!$I$22)),0),0)</f>
        <v>0</v>
      </c>
      <c r="CC84" s="783">
        <f>IF('Incremental Repayments'!$R$22="Debt",IF(AND(CC$4&gt;=$D84,CC$4&lt;$D84+'Incremental Repayments'!$I$31),-PMT('Interest Rate'!$J$16,'Incremental Repayments'!$I$31,(HLOOKUP($D84,$E$4:$CZ$32,28,FALSE)*'Incremental Repayments'!$I$22)),0),0)</f>
        <v>0</v>
      </c>
      <c r="CD84" s="783">
        <f>IF('Incremental Repayments'!$R$22="Debt",IF(AND(CD$4&gt;=$D84,CD$4&lt;$D84+'Incremental Repayments'!$I$31),-PMT('Interest Rate'!$J$16,'Incremental Repayments'!$I$31,(HLOOKUP($D84,$E$4:$CZ$32,28,FALSE)*'Incremental Repayments'!$I$22)),0),0)</f>
        <v>0</v>
      </c>
      <c r="CE84" s="783">
        <f>IF('Incremental Repayments'!$R$22="Debt",IF(AND(CE$4&gt;=$D84,CE$4&lt;$D84+'Incremental Repayments'!$I$31),-PMT('Interest Rate'!$J$16,'Incremental Repayments'!$I$31,(HLOOKUP($D84,$E$4:$CZ$32,28,FALSE)*'Incremental Repayments'!$I$22)),0),0)</f>
        <v>0</v>
      </c>
      <c r="CF84" s="783">
        <f>IF('Incremental Repayments'!$R$22="Debt",IF(AND(CF$4&gt;=$D84,CF$4&lt;$D84+'Incremental Repayments'!$I$31),-PMT('Interest Rate'!$J$16,'Incremental Repayments'!$I$31,(HLOOKUP($D84,$E$4:$CZ$32,28,FALSE)*'Incremental Repayments'!$I$22)),0),0)</f>
        <v>0</v>
      </c>
      <c r="CG84" s="783">
        <f>IF('Incremental Repayments'!$R$22="Debt",IF(AND(CG$4&gt;=$D84,CG$4&lt;$D84+'Incremental Repayments'!$I$31),-PMT('Interest Rate'!$J$16,'Incremental Repayments'!$I$31,(HLOOKUP($D84,$E$4:$CZ$32,28,FALSE)*'Incremental Repayments'!$I$22)),0),0)</f>
        <v>0</v>
      </c>
      <c r="CH84" s="783">
        <f>IF('Incremental Repayments'!$R$22="Debt",IF(AND(CH$4&gt;=$D84,CH$4&lt;$D84+'Incremental Repayments'!$I$31),-PMT('Interest Rate'!$J$16,'Incremental Repayments'!$I$31,(HLOOKUP($D84,$E$4:$CZ$32,28,FALSE)*'Incremental Repayments'!$I$22)),0),0)</f>
        <v>0</v>
      </c>
      <c r="CI84" s="783">
        <f>IF('Incremental Repayments'!$R$22="Debt",IF(AND(CI$4&gt;=$D84,CI$4&lt;$D84+'Incremental Repayments'!$I$31),-PMT('Interest Rate'!$J$16,'Incremental Repayments'!$I$31,(HLOOKUP($D84,$E$4:$CZ$32,28,FALSE)*'Incremental Repayments'!$I$22)),0),0)</f>
        <v>0</v>
      </c>
      <c r="CJ84" s="783">
        <f>IF('Incremental Repayments'!$R$22="Debt",IF(AND(CJ$4&gt;=$D84,CJ$4&lt;$D84+'Incremental Repayments'!$I$31),-PMT('Interest Rate'!$J$16,'Incremental Repayments'!$I$31,(HLOOKUP($D84,$E$4:$CZ$32,28,FALSE)*'Incremental Repayments'!$I$22)),0),0)</f>
        <v>0</v>
      </c>
      <c r="CK84" s="783">
        <f>IF('Incremental Repayments'!$R$22="Debt",IF(AND(CK$4&gt;=$D84,CK$4&lt;$D84+'Incremental Repayments'!$I$31),-PMT('Interest Rate'!$J$16,'Incremental Repayments'!$I$31,(HLOOKUP($D84,$E$4:$CZ$32,28,FALSE)*'Incremental Repayments'!$I$22)),0),0)</f>
        <v>0</v>
      </c>
      <c r="CL84" s="783">
        <f>IF('Incremental Repayments'!$R$22="Debt",IF(AND(CL$4&gt;=$D84,CL$4&lt;$D84+'Incremental Repayments'!$I$31),-PMT('Interest Rate'!$J$16,'Incremental Repayments'!$I$31,(HLOOKUP($D84,$E$4:$CZ$32,28,FALSE)*'Incremental Repayments'!$I$22)),0),0)</f>
        <v>0</v>
      </c>
      <c r="CM84" s="783">
        <f>IF('Incremental Repayments'!$R$22="Debt",IF(AND(CM$4&gt;=$D84,CM$4&lt;$D84+'Incremental Repayments'!$I$31),-PMT('Interest Rate'!$J$16,'Incremental Repayments'!$I$31,(HLOOKUP($D84,$E$4:$CZ$32,28,FALSE)*'Incremental Repayments'!$I$22)),0),0)</f>
        <v>0</v>
      </c>
      <c r="CN84" s="783">
        <f>IF('Incremental Repayments'!$R$22="Debt",IF(AND(CN$4&gt;=$D84,CN$4&lt;$D84+'Incremental Repayments'!$I$31),-PMT('Interest Rate'!$J$16,'Incremental Repayments'!$I$31,(HLOOKUP($D84,$E$4:$CZ$32,28,FALSE)*'Incremental Repayments'!$I$22)),0),0)</f>
        <v>0</v>
      </c>
      <c r="CO84" s="783">
        <f>IF('Incremental Repayments'!$R$22="Debt",IF(AND(CO$4&gt;=$D84,CO$4&lt;$D84+'Incremental Repayments'!$I$31),-PMT('Interest Rate'!$J$16,'Incremental Repayments'!$I$31,(HLOOKUP($D84,$E$4:$CZ$32,28,FALSE)*'Incremental Repayments'!$I$22)),0),0)</f>
        <v>0</v>
      </c>
      <c r="CP84" s="783">
        <f>IF('Incremental Repayments'!$R$22="Debt",IF(AND(CP$4&gt;=$D84,CP$4&lt;$D84+'Incremental Repayments'!$I$31),-PMT('Interest Rate'!$J$16,'Incremental Repayments'!$I$31,(HLOOKUP($D84,$E$4:$CZ$32,28,FALSE)*'Incremental Repayments'!$I$22)),0),0)</f>
        <v>0</v>
      </c>
      <c r="CQ84" s="783">
        <f>IF('Incremental Repayments'!$R$22="Debt",IF(AND(CQ$4&gt;=$D84,CQ$4&lt;$D84+'Incremental Repayments'!$I$31),-PMT('Interest Rate'!$J$16,'Incremental Repayments'!$I$31,(HLOOKUP($D84,$E$4:$CZ$32,28,FALSE)*'Incremental Repayments'!$I$22)),0),0)</f>
        <v>0</v>
      </c>
      <c r="CR84" s="783">
        <f>IF('Incremental Repayments'!$R$22="Debt",IF(AND(CR$4&gt;=$D84,CR$4&lt;$D84+'Incremental Repayments'!$I$31),-PMT('Interest Rate'!$J$16,'Incremental Repayments'!$I$31,(HLOOKUP($D84,$E$4:$CZ$32,28,FALSE)*'Incremental Repayments'!$I$22)),0),0)</f>
        <v>0</v>
      </c>
      <c r="CS84" s="783">
        <f>IF('Incremental Repayments'!$R$22="Debt",IF(AND(CS$4&gt;=$D84,CS$4&lt;$D84+'Incremental Repayments'!$I$31),-PMT('Interest Rate'!$J$16,'Incremental Repayments'!$I$31,(HLOOKUP($D84,$E$4:$CZ$32,28,FALSE)*'Incremental Repayments'!$I$22)),0),0)</f>
        <v>0</v>
      </c>
      <c r="CT84" s="783">
        <f>IF('Incremental Repayments'!$R$22="Debt",IF(AND(CT$4&gt;=$D84,CT$4&lt;$D84+'Incremental Repayments'!$I$31),-PMT('Interest Rate'!$J$16,'Incremental Repayments'!$I$31,(HLOOKUP($D84,$E$4:$CZ$32,28,FALSE)*'Incremental Repayments'!$I$22)),0),0)</f>
        <v>0</v>
      </c>
      <c r="CU84" s="783">
        <f>IF('Incremental Repayments'!$R$22="Debt",IF(AND(CU$4&gt;=$D84,CU$4&lt;$D84+'Incremental Repayments'!$I$31),-PMT('Interest Rate'!$J$16,'Incremental Repayments'!$I$31,(HLOOKUP($D84,$E$4:$CZ$32,28,FALSE)*'Incremental Repayments'!$I$22)),0),0)</f>
        <v>0</v>
      </c>
      <c r="CV84" s="783">
        <f>IF('Incremental Repayments'!$R$22="Debt",IF(AND(CV$4&gt;=$D84,CV$4&lt;$D84+'Incremental Repayments'!$I$31),-PMT('Interest Rate'!$J$16,'Incremental Repayments'!$I$31,(HLOOKUP($D84,$E$4:$CZ$32,28,FALSE)*'Incremental Repayments'!$I$22)),0),0)</f>
        <v>0</v>
      </c>
      <c r="CW84" s="783">
        <f>IF('Incremental Repayments'!$R$22="Debt",IF(AND(CW$4&gt;=$D84,CW$4&lt;$D84+'Incremental Repayments'!$I$31),-PMT('Interest Rate'!$J$16,'Incremental Repayments'!$I$31,(HLOOKUP($D84,$E$4:$CZ$32,28,FALSE)*'Incremental Repayments'!$I$22)),0),0)</f>
        <v>0</v>
      </c>
      <c r="CX84" s="783">
        <f>IF('Incremental Repayments'!$R$22="Debt",IF(AND(CX$4&gt;=$D84,CX$4&lt;$D84+'Incremental Repayments'!$I$31),-PMT('Interest Rate'!$J$16,'Incremental Repayments'!$I$31,(HLOOKUP($D84,$E$4:$CZ$32,28,FALSE)*'Incremental Repayments'!$I$22)),0),0)</f>
        <v>0</v>
      </c>
      <c r="CY84" s="783">
        <f>IF('Incremental Repayments'!$R$22="Debt",IF(AND(CY$4&gt;=$D84,CY$4&lt;$D84+'Incremental Repayments'!$I$31),-PMT('Interest Rate'!$J$16,'Incremental Repayments'!$I$31,(HLOOKUP($D84,$E$4:$CZ$32,28,FALSE)*'Incremental Repayments'!$I$22)),0),0)</f>
        <v>0</v>
      </c>
      <c r="CZ84" s="783">
        <f>IF('Incremental Repayments'!$R$22="Debt",IF(AND(CZ$4&gt;=$D84,CZ$4&lt;$D84+'Incremental Repayments'!$I$31),-PMT('Interest Rate'!$J$16,'Incremental Repayments'!$I$31,(HLOOKUP($D84,$E$4:$CZ$32,28,FALSE)*'Incremental Repayments'!$I$22)),0),0)</f>
        <v>0</v>
      </c>
    </row>
    <row r="85" spans="2:104" x14ac:dyDescent="0.25">
      <c r="B85" s="480" t="str">
        <f>CONCATENATE("Series ",D85,"A Bonds (at ",'Interest Rate'!$J$16*100,"% Interest)")</f>
        <v>Series 2063A Bonds (at 4.5% Interest)</v>
      </c>
      <c r="C85" s="480"/>
      <c r="D85" s="492">
        <f t="shared" si="47"/>
        <v>2063</v>
      </c>
      <c r="E85" s="783">
        <f>IF('Incremental Repayments'!$R$22="Debt",IF(AND(E$4&gt;=$D85,E$4&lt;$D85+'Incremental Repayments'!$I$31),-PMT('Interest Rate'!$J$16,'Incremental Repayments'!$I$31,(HLOOKUP($D85,$E$4:$CZ$32,28,FALSE)*'Incremental Repayments'!$I$22)),0),0)</f>
        <v>0</v>
      </c>
      <c r="F85" s="783">
        <f>IF('Incremental Repayments'!$R$22="Debt",IF(AND(F$4&gt;=$D85,F$4&lt;$D85+'Incremental Repayments'!$I$31),-PMT('Interest Rate'!$J$16,'Incremental Repayments'!$I$31,(HLOOKUP($D85,$E$4:$CZ$32,28,FALSE)*'Incremental Repayments'!$I$22)),0),0)</f>
        <v>0</v>
      </c>
      <c r="G85" s="783">
        <f>IF('Incremental Repayments'!$R$22="Debt",IF(AND(G$4&gt;=$D85,G$4&lt;$D85+'Incremental Repayments'!$I$31),-PMT('Interest Rate'!$J$16,'Incremental Repayments'!$I$31,(HLOOKUP($D85,$E$4:$CZ$32,28,FALSE)*'Incremental Repayments'!$I$22)),0),0)</f>
        <v>0</v>
      </c>
      <c r="H85" s="783">
        <f>IF('Incremental Repayments'!$R$22="Debt",IF(AND(H$4&gt;=$D85,H$4&lt;$D85+'Incremental Repayments'!$I$31),-PMT('Interest Rate'!$J$16,'Incremental Repayments'!$I$31,(HLOOKUP($D85,$E$4:$CZ$32,28,FALSE)*'Incremental Repayments'!$I$22)),0),0)</f>
        <v>0</v>
      </c>
      <c r="I85" s="783">
        <f>IF('Incremental Repayments'!$R$22="Debt",IF(AND(I$4&gt;=$D85,I$4&lt;$D85+'Incremental Repayments'!$I$31),-PMT('Interest Rate'!$J$16,'Incremental Repayments'!$I$31,(HLOOKUP($D85,$E$4:$CZ$32,28,FALSE)*'Incremental Repayments'!$I$22)),0),0)</f>
        <v>0</v>
      </c>
      <c r="J85" s="783">
        <f>IF('Incremental Repayments'!$R$22="Debt",IF(AND(J$4&gt;=$D85,J$4&lt;$D85+'Incremental Repayments'!$I$31),-PMT('Interest Rate'!$J$16,'Incremental Repayments'!$I$31,(HLOOKUP($D85,$E$4:$CZ$32,28,FALSE)*'Incremental Repayments'!$I$22)),0),0)</f>
        <v>0</v>
      </c>
      <c r="K85" s="783">
        <f>IF('Incremental Repayments'!$R$22="Debt",IF(AND(K$4&gt;=$D85,K$4&lt;$D85+'Incremental Repayments'!$I$31),-PMT('Interest Rate'!$J$16,'Incremental Repayments'!$I$31,(HLOOKUP($D85,$E$4:$CZ$32,28,FALSE)*'Incremental Repayments'!$I$22)),0),0)</f>
        <v>0</v>
      </c>
      <c r="L85" s="783">
        <f>IF('Incremental Repayments'!$R$22="Debt",IF(AND(L$4&gt;=$D85,L$4&lt;$D85+'Incremental Repayments'!$I$31),-PMT('Interest Rate'!$J$16,'Incremental Repayments'!$I$31,(HLOOKUP($D85,$E$4:$CZ$32,28,FALSE)*'Incremental Repayments'!$I$22)),0),0)</f>
        <v>0</v>
      </c>
      <c r="M85" s="783">
        <f>IF('Incremental Repayments'!$R$22="Debt",IF(AND(M$4&gt;=$D85,M$4&lt;$D85+'Incremental Repayments'!$I$31),-PMT('Interest Rate'!$J$16,'Incremental Repayments'!$I$31,(HLOOKUP($D85,$E$4:$CZ$32,28,FALSE)*'Incremental Repayments'!$I$22)),0),0)</f>
        <v>0</v>
      </c>
      <c r="N85" s="783">
        <f>IF('Incremental Repayments'!$R$22="Debt",IF(AND(N$4&gt;=$D85,N$4&lt;$D85+'Incremental Repayments'!$I$31),-PMT('Interest Rate'!$J$16,'Incremental Repayments'!$I$31,(HLOOKUP($D85,$E$4:$CZ$32,28,FALSE)*'Incremental Repayments'!$I$22)),0),0)</f>
        <v>0</v>
      </c>
      <c r="O85" s="783">
        <f>IF('Incremental Repayments'!$R$22="Debt",IF(AND(O$4&gt;=$D85,O$4&lt;$D85+'Incremental Repayments'!$I$31),-PMT('Interest Rate'!$J$16,'Incremental Repayments'!$I$31,(HLOOKUP($D85,$E$4:$CZ$32,28,FALSE)*'Incremental Repayments'!$I$22)),0),0)</f>
        <v>0</v>
      </c>
      <c r="P85" s="783">
        <f>IF('Incremental Repayments'!$R$22="Debt",IF(AND(P$4&gt;=$D85,P$4&lt;$D85+'Incremental Repayments'!$I$31),-PMT('Interest Rate'!$J$16,'Incremental Repayments'!$I$31,(HLOOKUP($D85,$E$4:$CZ$32,28,FALSE)*'Incremental Repayments'!$I$22)),0),0)</f>
        <v>0</v>
      </c>
      <c r="Q85" s="783">
        <f>IF('Incremental Repayments'!$R$22="Debt",IF(AND(Q$4&gt;=$D85,Q$4&lt;$D85+'Incremental Repayments'!$I$31),-PMT('Interest Rate'!$J$16,'Incremental Repayments'!$I$31,(HLOOKUP($D85,$E$4:$CZ$32,28,FALSE)*'Incremental Repayments'!$I$22)),0),0)</f>
        <v>0</v>
      </c>
      <c r="R85" s="783">
        <f>IF('Incremental Repayments'!$R$22="Debt",IF(AND(R$4&gt;=$D85,R$4&lt;$D85+'Incremental Repayments'!$I$31),-PMT('Interest Rate'!$J$16,'Incremental Repayments'!$I$31,(HLOOKUP($D85,$E$4:$CZ$32,28,FALSE)*'Incremental Repayments'!$I$22)),0),0)</f>
        <v>0</v>
      </c>
      <c r="S85" s="783">
        <f>IF('Incremental Repayments'!$R$22="Debt",IF(AND(S$4&gt;=$D85,S$4&lt;$D85+'Incremental Repayments'!$I$31),-PMT('Interest Rate'!$J$16,'Incremental Repayments'!$I$31,(HLOOKUP($D85,$E$4:$CZ$32,28,FALSE)*'Incremental Repayments'!$I$22)),0),0)</f>
        <v>0</v>
      </c>
      <c r="T85" s="783">
        <f>IF('Incremental Repayments'!$R$22="Debt",IF(AND(T$4&gt;=$D85,T$4&lt;$D85+'Incremental Repayments'!$I$31),-PMT('Interest Rate'!$J$16,'Incremental Repayments'!$I$31,(HLOOKUP($D85,$E$4:$CZ$32,28,FALSE)*'Incremental Repayments'!$I$22)),0),0)</f>
        <v>0</v>
      </c>
      <c r="U85" s="783">
        <f>IF('Incremental Repayments'!$R$22="Debt",IF(AND(U$4&gt;=$D85,U$4&lt;$D85+'Incremental Repayments'!$I$31),-PMT('Interest Rate'!$J$16,'Incremental Repayments'!$I$31,(HLOOKUP($D85,$E$4:$CZ$32,28,FALSE)*'Incremental Repayments'!$I$22)),0),0)</f>
        <v>0</v>
      </c>
      <c r="V85" s="783">
        <f>IF('Incremental Repayments'!$R$22="Debt",IF(AND(V$4&gt;=$D85,V$4&lt;$D85+'Incremental Repayments'!$I$31),-PMT('Interest Rate'!$J$16,'Incremental Repayments'!$I$31,(HLOOKUP($D85,$E$4:$CZ$32,28,FALSE)*'Incremental Repayments'!$I$22)),0),0)</f>
        <v>0</v>
      </c>
      <c r="W85" s="783">
        <f>IF('Incremental Repayments'!$R$22="Debt",IF(AND(W$4&gt;=$D85,W$4&lt;$D85+'Incremental Repayments'!$I$31),-PMT('Interest Rate'!$J$16,'Incremental Repayments'!$I$31,(HLOOKUP($D85,$E$4:$CZ$32,28,FALSE)*'Incremental Repayments'!$I$22)),0),0)</f>
        <v>0</v>
      </c>
      <c r="X85" s="783">
        <f>IF('Incremental Repayments'!$R$22="Debt",IF(AND(X$4&gt;=$D85,X$4&lt;$D85+'Incremental Repayments'!$I$31),-PMT('Interest Rate'!$J$16,'Incremental Repayments'!$I$31,(HLOOKUP($D85,$E$4:$CZ$32,28,FALSE)*'Incremental Repayments'!$I$22)),0),0)</f>
        <v>0</v>
      </c>
      <c r="Y85" s="783">
        <f>IF('Incremental Repayments'!$R$22="Debt",IF(AND(Y$4&gt;=$D85,Y$4&lt;$D85+'Incremental Repayments'!$I$31),-PMT('Interest Rate'!$J$16,'Incremental Repayments'!$I$31,(HLOOKUP($D85,$E$4:$CZ$32,28,FALSE)*'Incremental Repayments'!$I$22)),0),0)</f>
        <v>0</v>
      </c>
      <c r="Z85" s="783">
        <f>IF('Incremental Repayments'!$R$22="Debt",IF(AND(Z$4&gt;=$D85,Z$4&lt;$D85+'Incremental Repayments'!$I$31),-PMT('Interest Rate'!$J$16,'Incremental Repayments'!$I$31,(HLOOKUP($D85,$E$4:$CZ$32,28,FALSE)*'Incremental Repayments'!$I$22)),0),0)</f>
        <v>0</v>
      </c>
      <c r="AA85" s="783">
        <f>IF('Incremental Repayments'!$R$22="Debt",IF(AND(AA$4&gt;=$D85,AA$4&lt;$D85+'Incremental Repayments'!$I$31),-PMT('Interest Rate'!$J$16,'Incremental Repayments'!$I$31,(HLOOKUP($D85,$E$4:$CZ$32,28,FALSE)*'Incremental Repayments'!$I$22)),0),0)</f>
        <v>0</v>
      </c>
      <c r="AB85" s="783">
        <f>IF('Incremental Repayments'!$R$22="Debt",IF(AND(AB$4&gt;=$D85,AB$4&lt;$D85+'Incremental Repayments'!$I$31),-PMT('Interest Rate'!$J$16,'Incremental Repayments'!$I$31,(HLOOKUP($D85,$E$4:$CZ$32,28,FALSE)*'Incremental Repayments'!$I$22)),0),0)</f>
        <v>0</v>
      </c>
      <c r="AC85" s="783">
        <f>IF('Incremental Repayments'!$R$22="Debt",IF(AND(AC$4&gt;=$D85,AC$4&lt;$D85+'Incremental Repayments'!$I$31),-PMT('Interest Rate'!$J$16,'Incremental Repayments'!$I$31,(HLOOKUP($D85,$E$4:$CZ$32,28,FALSE)*'Incremental Repayments'!$I$22)),0),0)</f>
        <v>0</v>
      </c>
      <c r="AD85" s="783">
        <f>IF('Incremental Repayments'!$R$22="Debt",IF(AND(AD$4&gt;=$D85,AD$4&lt;$D85+'Incremental Repayments'!$I$31),-PMT('Interest Rate'!$J$16,'Incremental Repayments'!$I$31,(HLOOKUP($D85,$E$4:$CZ$32,28,FALSE)*'Incremental Repayments'!$I$22)),0),0)</f>
        <v>0</v>
      </c>
      <c r="AE85" s="783">
        <f>IF('Incremental Repayments'!$R$22="Debt",IF(AND(AE$4&gt;=$D85,AE$4&lt;$D85+'Incremental Repayments'!$I$31),-PMT('Interest Rate'!$J$16,'Incremental Repayments'!$I$31,(HLOOKUP($D85,$E$4:$CZ$32,28,FALSE)*'Incremental Repayments'!$I$22)),0),0)</f>
        <v>0</v>
      </c>
      <c r="AF85" s="783">
        <f>IF('Incremental Repayments'!$R$22="Debt",IF(AND(AF$4&gt;=$D85,AF$4&lt;$D85+'Incremental Repayments'!$I$31),-PMT('Interest Rate'!$J$16,'Incremental Repayments'!$I$31,(HLOOKUP($D85,$E$4:$CZ$32,28,FALSE)*'Incremental Repayments'!$I$22)),0),0)</f>
        <v>0</v>
      </c>
      <c r="AG85" s="783">
        <f>IF('Incremental Repayments'!$R$22="Debt",IF(AND(AG$4&gt;=$D85,AG$4&lt;$D85+'Incremental Repayments'!$I$31),-PMT('Interest Rate'!$J$16,'Incremental Repayments'!$I$31,(HLOOKUP($D85,$E$4:$CZ$32,28,FALSE)*'Incremental Repayments'!$I$22)),0),0)</f>
        <v>0</v>
      </c>
      <c r="AH85" s="783">
        <f>IF('Incremental Repayments'!$R$22="Debt",IF(AND(AH$4&gt;=$D85,AH$4&lt;$D85+'Incremental Repayments'!$I$31),-PMT('Interest Rate'!$J$16,'Incremental Repayments'!$I$31,(HLOOKUP($D85,$E$4:$CZ$32,28,FALSE)*'Incremental Repayments'!$I$22)),0),0)</f>
        <v>0</v>
      </c>
      <c r="AI85" s="783">
        <f>IF('Incremental Repayments'!$R$22="Debt",IF(AND(AI$4&gt;=$D85,AI$4&lt;$D85+'Incremental Repayments'!$I$31),-PMT('Interest Rate'!$J$16,'Incremental Repayments'!$I$31,(HLOOKUP($D85,$E$4:$CZ$32,28,FALSE)*'Incremental Repayments'!$I$22)),0),0)</f>
        <v>0</v>
      </c>
      <c r="AJ85" s="783">
        <f>IF('Incremental Repayments'!$R$22="Debt",IF(AND(AJ$4&gt;=$D85,AJ$4&lt;$D85+'Incremental Repayments'!$I$31),-PMT('Interest Rate'!$J$16,'Incremental Repayments'!$I$31,(HLOOKUP($D85,$E$4:$CZ$32,28,FALSE)*'Incremental Repayments'!$I$22)),0),0)</f>
        <v>0</v>
      </c>
      <c r="AK85" s="783">
        <f>IF('Incremental Repayments'!$R$22="Debt",IF(AND(AK$4&gt;=$D85,AK$4&lt;$D85+'Incremental Repayments'!$I$31),-PMT('Interest Rate'!$J$16,'Incremental Repayments'!$I$31,(HLOOKUP($D85,$E$4:$CZ$32,28,FALSE)*'Incremental Repayments'!$I$22)),0),0)</f>
        <v>0</v>
      </c>
      <c r="AL85" s="783">
        <f>IF('Incremental Repayments'!$R$22="Debt",IF(AND(AL$4&gt;=$D85,AL$4&lt;$D85+'Incremental Repayments'!$I$31),-PMT('Interest Rate'!$J$16,'Incremental Repayments'!$I$31,(HLOOKUP($D85,$E$4:$CZ$32,28,FALSE)*'Incremental Repayments'!$I$22)),0),0)</f>
        <v>0</v>
      </c>
      <c r="AM85" s="783">
        <f>IF('Incremental Repayments'!$R$22="Debt",IF(AND(AM$4&gt;=$D85,AM$4&lt;$D85+'Incremental Repayments'!$I$31),-PMT('Interest Rate'!$J$16,'Incremental Repayments'!$I$31,(HLOOKUP($D85,$E$4:$CZ$32,28,FALSE)*'Incremental Repayments'!$I$22)),0),0)</f>
        <v>0</v>
      </c>
      <c r="AN85" s="783">
        <f>IF('Incremental Repayments'!$R$22="Debt",IF(AND(AN$4&gt;=$D85,AN$4&lt;$D85+'Incremental Repayments'!$I$31),-PMT('Interest Rate'!$J$16,'Incremental Repayments'!$I$31,(HLOOKUP($D85,$E$4:$CZ$32,28,FALSE)*'Incremental Repayments'!$I$22)),0),0)</f>
        <v>0</v>
      </c>
      <c r="AO85" s="783">
        <f>IF('Incremental Repayments'!$R$22="Debt",IF(AND(AO$4&gt;=$D85,AO$4&lt;$D85+'Incremental Repayments'!$I$31),-PMT('Interest Rate'!$J$16,'Incremental Repayments'!$I$31,(HLOOKUP($D85,$E$4:$CZ$32,28,FALSE)*'Incremental Repayments'!$I$22)),0),0)</f>
        <v>0</v>
      </c>
      <c r="AP85" s="783">
        <f>IF('Incremental Repayments'!$R$22="Debt",IF(AND(AP$4&gt;=$D85,AP$4&lt;$D85+'Incremental Repayments'!$I$31),-PMT('Interest Rate'!$J$16,'Incremental Repayments'!$I$31,(HLOOKUP($D85,$E$4:$CZ$32,28,FALSE)*'Incremental Repayments'!$I$22)),0),0)</f>
        <v>0</v>
      </c>
      <c r="AQ85" s="783">
        <f>IF('Incremental Repayments'!$R$22="Debt",IF(AND(AQ$4&gt;=$D85,AQ$4&lt;$D85+'Incremental Repayments'!$I$31),-PMT('Interest Rate'!$J$16,'Incremental Repayments'!$I$31,(HLOOKUP($D85,$E$4:$CZ$32,28,FALSE)*'Incremental Repayments'!$I$22)),0),0)</f>
        <v>0</v>
      </c>
      <c r="AR85" s="783">
        <f>IF('Incremental Repayments'!$R$22="Debt",IF(AND(AR$4&gt;=$D85,AR$4&lt;$D85+'Incremental Repayments'!$I$31),-PMT('Interest Rate'!$J$16,'Incremental Repayments'!$I$31,(HLOOKUP($D85,$E$4:$CZ$32,28,FALSE)*'Incremental Repayments'!$I$22)),0),0)</f>
        <v>0</v>
      </c>
      <c r="AS85" s="783">
        <f>IF('Incremental Repayments'!$R$22="Debt",IF(AND(AS$4&gt;=$D85,AS$4&lt;$D85+'Incremental Repayments'!$I$31),-PMT('Interest Rate'!$J$16,'Incremental Repayments'!$I$31,(HLOOKUP($D85,$E$4:$CZ$32,28,FALSE)*'Incremental Repayments'!$I$22)),0),0)</f>
        <v>0</v>
      </c>
      <c r="AT85" s="783">
        <f>IF('Incremental Repayments'!$R$22="Debt",IF(AND(AT$4&gt;=$D85,AT$4&lt;$D85+'Incremental Repayments'!$I$31),-PMT('Interest Rate'!$J$16,'Incremental Repayments'!$I$31,(HLOOKUP($D85,$E$4:$CZ$32,28,FALSE)*'Incremental Repayments'!$I$22)),0),0)</f>
        <v>0</v>
      </c>
      <c r="AU85" s="783">
        <f>IF('Incremental Repayments'!$R$22="Debt",IF(AND(AU$4&gt;=$D85,AU$4&lt;$D85+'Incremental Repayments'!$I$31),-PMT('Interest Rate'!$J$16,'Incremental Repayments'!$I$31,(HLOOKUP($D85,$E$4:$CZ$32,28,FALSE)*'Incremental Repayments'!$I$22)),0),0)</f>
        <v>0</v>
      </c>
      <c r="AV85" s="783">
        <f>IF('Incremental Repayments'!$R$22="Debt",IF(AND(AV$4&gt;=$D85,AV$4&lt;$D85+'Incremental Repayments'!$I$31),-PMT('Interest Rate'!$J$16,'Incremental Repayments'!$I$31,(HLOOKUP($D85,$E$4:$CZ$32,28,FALSE)*'Incremental Repayments'!$I$22)),0),0)</f>
        <v>0</v>
      </c>
      <c r="AW85" s="783">
        <f>IF('Incremental Repayments'!$R$22="Debt",IF(AND(AW$4&gt;=$D85,AW$4&lt;$D85+'Incremental Repayments'!$I$31),-PMT('Interest Rate'!$J$16,'Incremental Repayments'!$I$31,(HLOOKUP($D85,$E$4:$CZ$32,28,FALSE)*'Incremental Repayments'!$I$22)),0),0)</f>
        <v>0</v>
      </c>
      <c r="AX85" s="783">
        <f>IF('Incremental Repayments'!$R$22="Debt",IF(AND(AX$4&gt;=$D85,AX$4&lt;$D85+'Incremental Repayments'!$I$31),-PMT('Interest Rate'!$J$16,'Incremental Repayments'!$I$31,(HLOOKUP($D85,$E$4:$CZ$32,28,FALSE)*'Incremental Repayments'!$I$22)),0),0)</f>
        <v>0</v>
      </c>
      <c r="AY85" s="783">
        <f>IF('Incremental Repayments'!$R$22="Debt",IF(AND(AY$4&gt;=$D85,AY$4&lt;$D85+'Incremental Repayments'!$I$31),-PMT('Interest Rate'!$J$16,'Incremental Repayments'!$I$31,(HLOOKUP($D85,$E$4:$CZ$32,28,FALSE)*'Incremental Repayments'!$I$22)),0),0)</f>
        <v>0</v>
      </c>
      <c r="AZ85" s="783">
        <f>IF('Incremental Repayments'!$R$22="Debt",IF(AND(AZ$4&gt;=$D85,AZ$4&lt;$D85+'Incremental Repayments'!$I$31),-PMT('Interest Rate'!$J$16,'Incremental Repayments'!$I$31,(HLOOKUP($D85,$E$4:$CZ$32,28,FALSE)*'Incremental Repayments'!$I$22)),0),0)</f>
        <v>0</v>
      </c>
      <c r="BA85" s="783">
        <f>IF('Incremental Repayments'!$R$22="Debt",IF(AND(BA$4&gt;=$D85,BA$4&lt;$D85+'Incremental Repayments'!$I$31),-PMT('Interest Rate'!$J$16,'Incremental Repayments'!$I$31,(HLOOKUP($D85,$E$4:$CZ$32,28,FALSE)*'Incremental Repayments'!$I$22)),0),0)</f>
        <v>0</v>
      </c>
      <c r="BB85" s="783">
        <f>IF('Incremental Repayments'!$R$22="Debt",IF(AND(BB$4&gt;=$D85,BB$4&lt;$D85+'Incremental Repayments'!$I$31),-PMT('Interest Rate'!$J$16,'Incremental Repayments'!$I$31,(HLOOKUP($D85,$E$4:$CZ$32,28,FALSE)*'Incremental Repayments'!$I$22)),0),0)</f>
        <v>0</v>
      </c>
      <c r="BC85" s="783">
        <f>IF('Incremental Repayments'!$R$22="Debt",IF(AND(BC$4&gt;=$D85,BC$4&lt;$D85+'Incremental Repayments'!$I$31),-PMT('Interest Rate'!$J$16,'Incremental Repayments'!$I$31,(HLOOKUP($D85,$E$4:$CZ$32,28,FALSE)*'Incremental Repayments'!$I$22)),0),0)</f>
        <v>0</v>
      </c>
      <c r="BD85" s="783">
        <f>IF('Incremental Repayments'!$R$22="Debt",IF(AND(BD$4&gt;=$D85,BD$4&lt;$D85+'Incremental Repayments'!$I$31),-PMT('Interest Rate'!$J$16,'Incremental Repayments'!$I$31,(HLOOKUP($D85,$E$4:$CZ$32,28,FALSE)*'Incremental Repayments'!$I$22)),0),0)</f>
        <v>0</v>
      </c>
      <c r="BE85" s="783">
        <f>IF('Incremental Repayments'!$R$22="Debt",IF(AND(BE$4&gt;=$D85,BE$4&lt;$D85+'Incremental Repayments'!$I$31),-PMT('Interest Rate'!$J$16,'Incremental Repayments'!$I$31,(HLOOKUP($D85,$E$4:$CZ$32,28,FALSE)*'Incremental Repayments'!$I$22)),0),0)</f>
        <v>0</v>
      </c>
      <c r="BF85" s="783">
        <f>IF('Incremental Repayments'!$R$22="Debt",IF(AND(BF$4&gt;=$D85,BF$4&lt;$D85+'Incremental Repayments'!$I$31),-PMT('Interest Rate'!$J$16,'Incremental Repayments'!$I$31,(HLOOKUP($D85,$E$4:$CZ$32,28,FALSE)*'Incremental Repayments'!$I$22)),0),0)</f>
        <v>0</v>
      </c>
      <c r="BG85" s="783">
        <f>IF('Incremental Repayments'!$R$22="Debt",IF(AND(BG$4&gt;=$D85,BG$4&lt;$D85+'Incremental Repayments'!$I$31),-PMT('Interest Rate'!$J$16,'Incremental Repayments'!$I$31,(HLOOKUP($D85,$E$4:$CZ$32,28,FALSE)*'Incremental Repayments'!$I$22)),0),0)</f>
        <v>0</v>
      </c>
      <c r="BH85" s="783">
        <f>IF('Incremental Repayments'!$R$22="Debt",IF(AND(BH$4&gt;=$D85,BH$4&lt;$D85+'Incremental Repayments'!$I$31),-PMT('Interest Rate'!$J$16,'Incremental Repayments'!$I$31,(HLOOKUP($D85,$E$4:$CZ$32,28,FALSE)*'Incremental Repayments'!$I$22)),0),0)</f>
        <v>0</v>
      </c>
      <c r="BI85" s="783">
        <f>IF('Incremental Repayments'!$R$22="Debt",IF(AND(BI$4&gt;=$D85,BI$4&lt;$D85+'Incremental Repayments'!$I$31),-PMT('Interest Rate'!$J$16,'Incremental Repayments'!$I$31,(HLOOKUP($D85,$E$4:$CZ$32,28,FALSE)*'Incremental Repayments'!$I$22)),0),0)</f>
        <v>0</v>
      </c>
      <c r="BJ85" s="783">
        <f>IF('Incremental Repayments'!$R$22="Debt",IF(AND(BJ$4&gt;=$D85,BJ$4&lt;$D85+'Incremental Repayments'!$I$31),-PMT('Interest Rate'!$J$16,'Incremental Repayments'!$I$31,(HLOOKUP($D85,$E$4:$CZ$32,28,FALSE)*'Incremental Repayments'!$I$22)),0),0)</f>
        <v>0</v>
      </c>
      <c r="BK85" s="783">
        <f>IF('Incremental Repayments'!$R$22="Debt",IF(AND(BK$4&gt;=$D85,BK$4&lt;$D85+'Incremental Repayments'!$I$31),-PMT('Interest Rate'!$J$16,'Incremental Repayments'!$I$31,(HLOOKUP($D85,$E$4:$CZ$32,28,FALSE)*'Incremental Repayments'!$I$22)),0),0)</f>
        <v>0</v>
      </c>
      <c r="BL85" s="783">
        <f>IF('Incremental Repayments'!$R$22="Debt",IF(AND(BL$4&gt;=$D85,BL$4&lt;$D85+'Incremental Repayments'!$I$31),-PMT('Interest Rate'!$J$16,'Incremental Repayments'!$I$31,(HLOOKUP($D85,$E$4:$CZ$32,28,FALSE)*'Incremental Repayments'!$I$22)),0),0)</f>
        <v>0</v>
      </c>
      <c r="BM85" s="783">
        <f>IF('Incremental Repayments'!$R$22="Debt",IF(AND(BM$4&gt;=$D85,BM$4&lt;$D85+'Incremental Repayments'!$I$31),-PMT('Interest Rate'!$J$16,'Incremental Repayments'!$I$31,(HLOOKUP($D85,$E$4:$CZ$32,28,FALSE)*'Incremental Repayments'!$I$22)),0),0)</f>
        <v>0</v>
      </c>
      <c r="BN85" s="783">
        <f>IF('Incremental Repayments'!$R$22="Debt",IF(AND(BN$4&gt;=$D85,BN$4&lt;$D85+'Incremental Repayments'!$I$31),-PMT('Interest Rate'!$J$16,'Incremental Repayments'!$I$31,(HLOOKUP($D85,$E$4:$CZ$32,28,FALSE)*'Incremental Repayments'!$I$22)),0),0)</f>
        <v>0</v>
      </c>
      <c r="BO85" s="783">
        <f>IF('Incremental Repayments'!$R$22="Debt",IF(AND(BO$4&gt;=$D85,BO$4&lt;$D85+'Incremental Repayments'!$I$31),-PMT('Interest Rate'!$J$16,'Incremental Repayments'!$I$31,(HLOOKUP($D85,$E$4:$CZ$32,28,FALSE)*'Incremental Repayments'!$I$22)),0),0)</f>
        <v>0</v>
      </c>
      <c r="BP85" s="783">
        <f>IF('Incremental Repayments'!$R$22="Debt",IF(AND(BP$4&gt;=$D85,BP$4&lt;$D85+'Incremental Repayments'!$I$31),-PMT('Interest Rate'!$J$16,'Incremental Repayments'!$I$31,(HLOOKUP($D85,$E$4:$CZ$32,28,FALSE)*'Incremental Repayments'!$I$22)),0),0)</f>
        <v>0</v>
      </c>
      <c r="BQ85" s="783">
        <f>IF('Incremental Repayments'!$R$22="Debt",IF(AND(BQ$4&gt;=$D85,BQ$4&lt;$D85+'Incremental Repayments'!$I$31),-PMT('Interest Rate'!$J$16,'Incremental Repayments'!$I$31,(HLOOKUP($D85,$E$4:$CZ$32,28,FALSE)*'Incremental Repayments'!$I$22)),0),0)</f>
        <v>0</v>
      </c>
      <c r="BR85" s="783">
        <f>IF('Incremental Repayments'!$R$22="Debt",IF(AND(BR$4&gt;=$D85,BR$4&lt;$D85+'Incremental Repayments'!$I$31),-PMT('Interest Rate'!$J$16,'Incremental Repayments'!$I$31,(HLOOKUP($D85,$E$4:$CZ$32,28,FALSE)*'Incremental Repayments'!$I$22)),0),0)</f>
        <v>0</v>
      </c>
      <c r="BS85" s="783">
        <f>IF('Incremental Repayments'!$R$22="Debt",IF(AND(BS$4&gt;=$D85,BS$4&lt;$D85+'Incremental Repayments'!$I$31),-PMT('Interest Rate'!$J$16,'Incremental Repayments'!$I$31,(HLOOKUP($D85,$E$4:$CZ$32,28,FALSE)*'Incremental Repayments'!$I$22)),0),0)</f>
        <v>0</v>
      </c>
      <c r="BT85" s="783">
        <f>IF('Incremental Repayments'!$R$22="Debt",IF(AND(BT$4&gt;=$D85,BT$4&lt;$D85+'Incremental Repayments'!$I$31),-PMT('Interest Rate'!$J$16,'Incremental Repayments'!$I$31,(HLOOKUP($D85,$E$4:$CZ$32,28,FALSE)*'Incremental Repayments'!$I$22)),0),0)</f>
        <v>0</v>
      </c>
      <c r="BU85" s="783">
        <f>IF('Incremental Repayments'!$R$22="Debt",IF(AND(BU$4&gt;=$D85,BU$4&lt;$D85+'Incremental Repayments'!$I$31),-PMT('Interest Rate'!$J$16,'Incremental Repayments'!$I$31,(HLOOKUP($D85,$E$4:$CZ$32,28,FALSE)*'Incremental Repayments'!$I$22)),0),0)</f>
        <v>0</v>
      </c>
      <c r="BV85" s="783">
        <f>IF('Incremental Repayments'!$R$22="Debt",IF(AND(BV$4&gt;=$D85,BV$4&lt;$D85+'Incremental Repayments'!$I$31),-PMT('Interest Rate'!$J$16,'Incremental Repayments'!$I$31,(HLOOKUP($D85,$E$4:$CZ$32,28,FALSE)*'Incremental Repayments'!$I$22)),0),0)</f>
        <v>0</v>
      </c>
      <c r="BW85" s="783">
        <f>IF('Incremental Repayments'!$R$22="Debt",IF(AND(BW$4&gt;=$D85,BW$4&lt;$D85+'Incremental Repayments'!$I$31),-PMT('Interest Rate'!$J$16,'Incremental Repayments'!$I$31,(HLOOKUP($D85,$E$4:$CZ$32,28,FALSE)*'Incremental Repayments'!$I$22)),0),0)</f>
        <v>0</v>
      </c>
      <c r="BX85" s="783">
        <f>IF('Incremental Repayments'!$R$22="Debt",IF(AND(BX$4&gt;=$D85,BX$4&lt;$D85+'Incremental Repayments'!$I$31),-PMT('Interest Rate'!$J$16,'Incremental Repayments'!$I$31,(HLOOKUP($D85,$E$4:$CZ$32,28,FALSE)*'Incremental Repayments'!$I$22)),0),0)</f>
        <v>0</v>
      </c>
      <c r="BY85" s="783">
        <f>IF('Incremental Repayments'!$R$22="Debt",IF(AND(BY$4&gt;=$D85,BY$4&lt;$D85+'Incremental Repayments'!$I$31),-PMT('Interest Rate'!$J$16,'Incremental Repayments'!$I$31,(HLOOKUP($D85,$E$4:$CZ$32,28,FALSE)*'Incremental Repayments'!$I$22)),0),0)</f>
        <v>0</v>
      </c>
      <c r="BZ85" s="783">
        <f>IF('Incremental Repayments'!$R$22="Debt",IF(AND(BZ$4&gt;=$D85,BZ$4&lt;$D85+'Incremental Repayments'!$I$31),-PMT('Interest Rate'!$J$16,'Incremental Repayments'!$I$31,(HLOOKUP($D85,$E$4:$CZ$32,28,FALSE)*'Incremental Repayments'!$I$22)),0),0)</f>
        <v>0</v>
      </c>
      <c r="CA85" s="783">
        <f>IF('Incremental Repayments'!$R$22="Debt",IF(AND(CA$4&gt;=$D85,CA$4&lt;$D85+'Incremental Repayments'!$I$31),-PMT('Interest Rate'!$J$16,'Incremental Repayments'!$I$31,(HLOOKUP($D85,$E$4:$CZ$32,28,FALSE)*'Incremental Repayments'!$I$22)),0),0)</f>
        <v>0</v>
      </c>
      <c r="CB85" s="783">
        <f>IF('Incremental Repayments'!$R$22="Debt",IF(AND(CB$4&gt;=$D85,CB$4&lt;$D85+'Incremental Repayments'!$I$31),-PMT('Interest Rate'!$J$16,'Incremental Repayments'!$I$31,(HLOOKUP($D85,$E$4:$CZ$32,28,FALSE)*'Incremental Repayments'!$I$22)),0),0)</f>
        <v>0</v>
      </c>
      <c r="CC85" s="783">
        <f>IF('Incremental Repayments'!$R$22="Debt",IF(AND(CC$4&gt;=$D85,CC$4&lt;$D85+'Incremental Repayments'!$I$31),-PMT('Interest Rate'!$J$16,'Incremental Repayments'!$I$31,(HLOOKUP($D85,$E$4:$CZ$32,28,FALSE)*'Incremental Repayments'!$I$22)),0),0)</f>
        <v>0</v>
      </c>
      <c r="CD85" s="783">
        <f>IF('Incremental Repayments'!$R$22="Debt",IF(AND(CD$4&gt;=$D85,CD$4&lt;$D85+'Incremental Repayments'!$I$31),-PMT('Interest Rate'!$J$16,'Incremental Repayments'!$I$31,(HLOOKUP($D85,$E$4:$CZ$32,28,FALSE)*'Incremental Repayments'!$I$22)),0),0)</f>
        <v>0</v>
      </c>
      <c r="CE85" s="783">
        <f>IF('Incremental Repayments'!$R$22="Debt",IF(AND(CE$4&gt;=$D85,CE$4&lt;$D85+'Incremental Repayments'!$I$31),-PMT('Interest Rate'!$J$16,'Incremental Repayments'!$I$31,(HLOOKUP($D85,$E$4:$CZ$32,28,FALSE)*'Incremental Repayments'!$I$22)),0),0)</f>
        <v>0</v>
      </c>
      <c r="CF85" s="783">
        <f>IF('Incremental Repayments'!$R$22="Debt",IF(AND(CF$4&gt;=$D85,CF$4&lt;$D85+'Incremental Repayments'!$I$31),-PMT('Interest Rate'!$J$16,'Incremental Repayments'!$I$31,(HLOOKUP($D85,$E$4:$CZ$32,28,FALSE)*'Incremental Repayments'!$I$22)),0),0)</f>
        <v>0</v>
      </c>
      <c r="CG85" s="783">
        <f>IF('Incremental Repayments'!$R$22="Debt",IF(AND(CG$4&gt;=$D85,CG$4&lt;$D85+'Incremental Repayments'!$I$31),-PMT('Interest Rate'!$J$16,'Incremental Repayments'!$I$31,(HLOOKUP($D85,$E$4:$CZ$32,28,FALSE)*'Incremental Repayments'!$I$22)),0),0)</f>
        <v>0</v>
      </c>
      <c r="CH85" s="783">
        <f>IF('Incremental Repayments'!$R$22="Debt",IF(AND(CH$4&gt;=$D85,CH$4&lt;$D85+'Incremental Repayments'!$I$31),-PMT('Interest Rate'!$J$16,'Incremental Repayments'!$I$31,(HLOOKUP($D85,$E$4:$CZ$32,28,FALSE)*'Incremental Repayments'!$I$22)),0),0)</f>
        <v>0</v>
      </c>
      <c r="CI85" s="783">
        <f>IF('Incremental Repayments'!$R$22="Debt",IF(AND(CI$4&gt;=$D85,CI$4&lt;$D85+'Incremental Repayments'!$I$31),-PMT('Interest Rate'!$J$16,'Incremental Repayments'!$I$31,(HLOOKUP($D85,$E$4:$CZ$32,28,FALSE)*'Incremental Repayments'!$I$22)),0),0)</f>
        <v>0</v>
      </c>
      <c r="CJ85" s="783">
        <f>IF('Incremental Repayments'!$R$22="Debt",IF(AND(CJ$4&gt;=$D85,CJ$4&lt;$D85+'Incremental Repayments'!$I$31),-PMT('Interest Rate'!$J$16,'Incremental Repayments'!$I$31,(HLOOKUP($D85,$E$4:$CZ$32,28,FALSE)*'Incremental Repayments'!$I$22)),0),0)</f>
        <v>0</v>
      </c>
      <c r="CK85" s="783">
        <f>IF('Incremental Repayments'!$R$22="Debt",IF(AND(CK$4&gt;=$D85,CK$4&lt;$D85+'Incremental Repayments'!$I$31),-PMT('Interest Rate'!$J$16,'Incremental Repayments'!$I$31,(HLOOKUP($D85,$E$4:$CZ$32,28,FALSE)*'Incremental Repayments'!$I$22)),0),0)</f>
        <v>0</v>
      </c>
      <c r="CL85" s="783">
        <f>IF('Incremental Repayments'!$R$22="Debt",IF(AND(CL$4&gt;=$D85,CL$4&lt;$D85+'Incremental Repayments'!$I$31),-PMT('Interest Rate'!$J$16,'Incremental Repayments'!$I$31,(HLOOKUP($D85,$E$4:$CZ$32,28,FALSE)*'Incremental Repayments'!$I$22)),0),0)</f>
        <v>0</v>
      </c>
      <c r="CM85" s="783">
        <f>IF('Incremental Repayments'!$R$22="Debt",IF(AND(CM$4&gt;=$D85,CM$4&lt;$D85+'Incremental Repayments'!$I$31),-PMT('Interest Rate'!$J$16,'Incremental Repayments'!$I$31,(HLOOKUP($D85,$E$4:$CZ$32,28,FALSE)*'Incremental Repayments'!$I$22)),0),0)</f>
        <v>0</v>
      </c>
      <c r="CN85" s="783">
        <f>IF('Incremental Repayments'!$R$22="Debt",IF(AND(CN$4&gt;=$D85,CN$4&lt;$D85+'Incremental Repayments'!$I$31),-PMT('Interest Rate'!$J$16,'Incremental Repayments'!$I$31,(HLOOKUP($D85,$E$4:$CZ$32,28,FALSE)*'Incremental Repayments'!$I$22)),0),0)</f>
        <v>0</v>
      </c>
      <c r="CO85" s="783">
        <f>IF('Incremental Repayments'!$R$22="Debt",IF(AND(CO$4&gt;=$D85,CO$4&lt;$D85+'Incremental Repayments'!$I$31),-PMT('Interest Rate'!$J$16,'Incremental Repayments'!$I$31,(HLOOKUP($D85,$E$4:$CZ$32,28,FALSE)*'Incremental Repayments'!$I$22)),0),0)</f>
        <v>0</v>
      </c>
      <c r="CP85" s="783">
        <f>IF('Incremental Repayments'!$R$22="Debt",IF(AND(CP$4&gt;=$D85,CP$4&lt;$D85+'Incremental Repayments'!$I$31),-PMT('Interest Rate'!$J$16,'Incremental Repayments'!$I$31,(HLOOKUP($D85,$E$4:$CZ$32,28,FALSE)*'Incremental Repayments'!$I$22)),0),0)</f>
        <v>0</v>
      </c>
      <c r="CQ85" s="783">
        <f>IF('Incremental Repayments'!$R$22="Debt",IF(AND(CQ$4&gt;=$D85,CQ$4&lt;$D85+'Incremental Repayments'!$I$31),-PMT('Interest Rate'!$J$16,'Incremental Repayments'!$I$31,(HLOOKUP($D85,$E$4:$CZ$32,28,FALSE)*'Incremental Repayments'!$I$22)),0),0)</f>
        <v>0</v>
      </c>
      <c r="CR85" s="783">
        <f>IF('Incremental Repayments'!$R$22="Debt",IF(AND(CR$4&gt;=$D85,CR$4&lt;$D85+'Incremental Repayments'!$I$31),-PMT('Interest Rate'!$J$16,'Incremental Repayments'!$I$31,(HLOOKUP($D85,$E$4:$CZ$32,28,FALSE)*'Incremental Repayments'!$I$22)),0),0)</f>
        <v>0</v>
      </c>
      <c r="CS85" s="783">
        <f>IF('Incremental Repayments'!$R$22="Debt",IF(AND(CS$4&gt;=$D85,CS$4&lt;$D85+'Incremental Repayments'!$I$31),-PMT('Interest Rate'!$J$16,'Incremental Repayments'!$I$31,(HLOOKUP($D85,$E$4:$CZ$32,28,FALSE)*'Incremental Repayments'!$I$22)),0),0)</f>
        <v>0</v>
      </c>
      <c r="CT85" s="783">
        <f>IF('Incremental Repayments'!$R$22="Debt",IF(AND(CT$4&gt;=$D85,CT$4&lt;$D85+'Incremental Repayments'!$I$31),-PMT('Interest Rate'!$J$16,'Incremental Repayments'!$I$31,(HLOOKUP($D85,$E$4:$CZ$32,28,FALSE)*'Incremental Repayments'!$I$22)),0),0)</f>
        <v>0</v>
      </c>
      <c r="CU85" s="783">
        <f>IF('Incremental Repayments'!$R$22="Debt",IF(AND(CU$4&gt;=$D85,CU$4&lt;$D85+'Incremental Repayments'!$I$31),-PMT('Interest Rate'!$J$16,'Incremental Repayments'!$I$31,(HLOOKUP($D85,$E$4:$CZ$32,28,FALSE)*'Incremental Repayments'!$I$22)),0),0)</f>
        <v>0</v>
      </c>
      <c r="CV85" s="783">
        <f>IF('Incremental Repayments'!$R$22="Debt",IF(AND(CV$4&gt;=$D85,CV$4&lt;$D85+'Incremental Repayments'!$I$31),-PMT('Interest Rate'!$J$16,'Incremental Repayments'!$I$31,(HLOOKUP($D85,$E$4:$CZ$32,28,FALSE)*'Incremental Repayments'!$I$22)),0),0)</f>
        <v>0</v>
      </c>
      <c r="CW85" s="783">
        <f>IF('Incremental Repayments'!$R$22="Debt",IF(AND(CW$4&gt;=$D85,CW$4&lt;$D85+'Incremental Repayments'!$I$31),-PMT('Interest Rate'!$J$16,'Incremental Repayments'!$I$31,(HLOOKUP($D85,$E$4:$CZ$32,28,FALSE)*'Incremental Repayments'!$I$22)),0),0)</f>
        <v>0</v>
      </c>
      <c r="CX85" s="783">
        <f>IF('Incremental Repayments'!$R$22="Debt",IF(AND(CX$4&gt;=$D85,CX$4&lt;$D85+'Incremental Repayments'!$I$31),-PMT('Interest Rate'!$J$16,'Incremental Repayments'!$I$31,(HLOOKUP($D85,$E$4:$CZ$32,28,FALSE)*'Incremental Repayments'!$I$22)),0),0)</f>
        <v>0</v>
      </c>
      <c r="CY85" s="783">
        <f>IF('Incremental Repayments'!$R$22="Debt",IF(AND(CY$4&gt;=$D85,CY$4&lt;$D85+'Incremental Repayments'!$I$31),-PMT('Interest Rate'!$J$16,'Incremental Repayments'!$I$31,(HLOOKUP($D85,$E$4:$CZ$32,28,FALSE)*'Incremental Repayments'!$I$22)),0),0)</f>
        <v>0</v>
      </c>
      <c r="CZ85" s="783">
        <f>IF('Incremental Repayments'!$R$22="Debt",IF(AND(CZ$4&gt;=$D85,CZ$4&lt;$D85+'Incremental Repayments'!$I$31),-PMT('Interest Rate'!$J$16,'Incremental Repayments'!$I$31,(HLOOKUP($D85,$E$4:$CZ$32,28,FALSE)*'Incremental Repayments'!$I$22)),0),0)</f>
        <v>0</v>
      </c>
    </row>
    <row r="86" spans="2:104" x14ac:dyDescent="0.25">
      <c r="B86" s="480" t="str">
        <f>CONCATENATE("Series ",D86,"A Bonds (at ",'Interest Rate'!$J$16*100,"% Interest)")</f>
        <v>Series 2064A Bonds (at 4.5% Interest)</v>
      </c>
      <c r="C86" s="480"/>
      <c r="D86" s="492">
        <f t="shared" si="47"/>
        <v>2064</v>
      </c>
      <c r="E86" s="783">
        <f>IF('Incremental Repayments'!$R$22="Debt",IF(AND(E$4&gt;=$D86,E$4&lt;$D86+'Incremental Repayments'!$I$31),-PMT('Interest Rate'!$J$16,'Incremental Repayments'!$I$31,(HLOOKUP($D86,$E$4:$CZ$32,28,FALSE)*'Incremental Repayments'!$I$22)),0),0)</f>
        <v>0</v>
      </c>
      <c r="F86" s="783">
        <f>IF('Incremental Repayments'!$R$22="Debt",IF(AND(F$4&gt;=$D86,F$4&lt;$D86+'Incremental Repayments'!$I$31),-PMT('Interest Rate'!$J$16,'Incremental Repayments'!$I$31,(HLOOKUP($D86,$E$4:$CZ$32,28,FALSE)*'Incremental Repayments'!$I$22)),0),0)</f>
        <v>0</v>
      </c>
      <c r="G86" s="783">
        <f>IF('Incremental Repayments'!$R$22="Debt",IF(AND(G$4&gt;=$D86,G$4&lt;$D86+'Incremental Repayments'!$I$31),-PMT('Interest Rate'!$J$16,'Incremental Repayments'!$I$31,(HLOOKUP($D86,$E$4:$CZ$32,28,FALSE)*'Incremental Repayments'!$I$22)),0),0)</f>
        <v>0</v>
      </c>
      <c r="H86" s="783">
        <f>IF('Incremental Repayments'!$R$22="Debt",IF(AND(H$4&gt;=$D86,H$4&lt;$D86+'Incremental Repayments'!$I$31),-PMT('Interest Rate'!$J$16,'Incremental Repayments'!$I$31,(HLOOKUP($D86,$E$4:$CZ$32,28,FALSE)*'Incremental Repayments'!$I$22)),0),0)</f>
        <v>0</v>
      </c>
      <c r="I86" s="783">
        <f>IF('Incremental Repayments'!$R$22="Debt",IF(AND(I$4&gt;=$D86,I$4&lt;$D86+'Incremental Repayments'!$I$31),-PMT('Interest Rate'!$J$16,'Incremental Repayments'!$I$31,(HLOOKUP($D86,$E$4:$CZ$32,28,FALSE)*'Incremental Repayments'!$I$22)),0),0)</f>
        <v>0</v>
      </c>
      <c r="J86" s="783">
        <f>IF('Incremental Repayments'!$R$22="Debt",IF(AND(J$4&gt;=$D86,J$4&lt;$D86+'Incremental Repayments'!$I$31),-PMT('Interest Rate'!$J$16,'Incremental Repayments'!$I$31,(HLOOKUP($D86,$E$4:$CZ$32,28,FALSE)*'Incremental Repayments'!$I$22)),0),0)</f>
        <v>0</v>
      </c>
      <c r="K86" s="783">
        <f>IF('Incremental Repayments'!$R$22="Debt",IF(AND(K$4&gt;=$D86,K$4&lt;$D86+'Incremental Repayments'!$I$31),-PMT('Interest Rate'!$J$16,'Incremental Repayments'!$I$31,(HLOOKUP($D86,$E$4:$CZ$32,28,FALSE)*'Incremental Repayments'!$I$22)),0),0)</f>
        <v>0</v>
      </c>
      <c r="L86" s="783">
        <f>IF('Incremental Repayments'!$R$22="Debt",IF(AND(L$4&gt;=$D86,L$4&lt;$D86+'Incremental Repayments'!$I$31),-PMT('Interest Rate'!$J$16,'Incremental Repayments'!$I$31,(HLOOKUP($D86,$E$4:$CZ$32,28,FALSE)*'Incremental Repayments'!$I$22)),0),0)</f>
        <v>0</v>
      </c>
      <c r="M86" s="783">
        <f>IF('Incremental Repayments'!$R$22="Debt",IF(AND(M$4&gt;=$D86,M$4&lt;$D86+'Incremental Repayments'!$I$31),-PMT('Interest Rate'!$J$16,'Incremental Repayments'!$I$31,(HLOOKUP($D86,$E$4:$CZ$32,28,FALSE)*'Incremental Repayments'!$I$22)),0),0)</f>
        <v>0</v>
      </c>
      <c r="N86" s="783">
        <f>IF('Incremental Repayments'!$R$22="Debt",IF(AND(N$4&gt;=$D86,N$4&lt;$D86+'Incremental Repayments'!$I$31),-PMT('Interest Rate'!$J$16,'Incremental Repayments'!$I$31,(HLOOKUP($D86,$E$4:$CZ$32,28,FALSE)*'Incremental Repayments'!$I$22)),0),0)</f>
        <v>0</v>
      </c>
      <c r="O86" s="783">
        <f>IF('Incremental Repayments'!$R$22="Debt",IF(AND(O$4&gt;=$D86,O$4&lt;$D86+'Incremental Repayments'!$I$31),-PMT('Interest Rate'!$J$16,'Incremental Repayments'!$I$31,(HLOOKUP($D86,$E$4:$CZ$32,28,FALSE)*'Incremental Repayments'!$I$22)),0),0)</f>
        <v>0</v>
      </c>
      <c r="P86" s="783">
        <f>IF('Incremental Repayments'!$R$22="Debt",IF(AND(P$4&gt;=$D86,P$4&lt;$D86+'Incremental Repayments'!$I$31),-PMT('Interest Rate'!$J$16,'Incremental Repayments'!$I$31,(HLOOKUP($D86,$E$4:$CZ$32,28,FALSE)*'Incremental Repayments'!$I$22)),0),0)</f>
        <v>0</v>
      </c>
      <c r="Q86" s="783">
        <f>IF('Incremental Repayments'!$R$22="Debt",IF(AND(Q$4&gt;=$D86,Q$4&lt;$D86+'Incremental Repayments'!$I$31),-PMT('Interest Rate'!$J$16,'Incremental Repayments'!$I$31,(HLOOKUP($D86,$E$4:$CZ$32,28,FALSE)*'Incremental Repayments'!$I$22)),0),0)</f>
        <v>0</v>
      </c>
      <c r="R86" s="783">
        <f>IF('Incremental Repayments'!$R$22="Debt",IF(AND(R$4&gt;=$D86,R$4&lt;$D86+'Incremental Repayments'!$I$31),-PMT('Interest Rate'!$J$16,'Incremental Repayments'!$I$31,(HLOOKUP($D86,$E$4:$CZ$32,28,FALSE)*'Incremental Repayments'!$I$22)),0),0)</f>
        <v>0</v>
      </c>
      <c r="S86" s="783">
        <f>IF('Incremental Repayments'!$R$22="Debt",IF(AND(S$4&gt;=$D86,S$4&lt;$D86+'Incremental Repayments'!$I$31),-PMT('Interest Rate'!$J$16,'Incremental Repayments'!$I$31,(HLOOKUP($D86,$E$4:$CZ$32,28,FALSE)*'Incremental Repayments'!$I$22)),0),0)</f>
        <v>0</v>
      </c>
      <c r="T86" s="783">
        <f>IF('Incremental Repayments'!$R$22="Debt",IF(AND(T$4&gt;=$D86,T$4&lt;$D86+'Incremental Repayments'!$I$31),-PMT('Interest Rate'!$J$16,'Incremental Repayments'!$I$31,(HLOOKUP($D86,$E$4:$CZ$32,28,FALSE)*'Incremental Repayments'!$I$22)),0),0)</f>
        <v>0</v>
      </c>
      <c r="U86" s="783">
        <f>IF('Incremental Repayments'!$R$22="Debt",IF(AND(U$4&gt;=$D86,U$4&lt;$D86+'Incremental Repayments'!$I$31),-PMT('Interest Rate'!$J$16,'Incremental Repayments'!$I$31,(HLOOKUP($D86,$E$4:$CZ$32,28,FALSE)*'Incremental Repayments'!$I$22)),0),0)</f>
        <v>0</v>
      </c>
      <c r="V86" s="783">
        <f>IF('Incremental Repayments'!$R$22="Debt",IF(AND(V$4&gt;=$D86,V$4&lt;$D86+'Incremental Repayments'!$I$31),-PMT('Interest Rate'!$J$16,'Incremental Repayments'!$I$31,(HLOOKUP($D86,$E$4:$CZ$32,28,FALSE)*'Incremental Repayments'!$I$22)),0),0)</f>
        <v>0</v>
      </c>
      <c r="W86" s="783">
        <f>IF('Incremental Repayments'!$R$22="Debt",IF(AND(W$4&gt;=$D86,W$4&lt;$D86+'Incremental Repayments'!$I$31),-PMT('Interest Rate'!$J$16,'Incremental Repayments'!$I$31,(HLOOKUP($D86,$E$4:$CZ$32,28,FALSE)*'Incremental Repayments'!$I$22)),0),0)</f>
        <v>0</v>
      </c>
      <c r="X86" s="783">
        <f>IF('Incremental Repayments'!$R$22="Debt",IF(AND(X$4&gt;=$D86,X$4&lt;$D86+'Incremental Repayments'!$I$31),-PMT('Interest Rate'!$J$16,'Incremental Repayments'!$I$31,(HLOOKUP($D86,$E$4:$CZ$32,28,FALSE)*'Incremental Repayments'!$I$22)),0),0)</f>
        <v>0</v>
      </c>
      <c r="Y86" s="783">
        <f>IF('Incremental Repayments'!$R$22="Debt",IF(AND(Y$4&gt;=$D86,Y$4&lt;$D86+'Incremental Repayments'!$I$31),-PMT('Interest Rate'!$J$16,'Incremental Repayments'!$I$31,(HLOOKUP($D86,$E$4:$CZ$32,28,FALSE)*'Incremental Repayments'!$I$22)),0),0)</f>
        <v>0</v>
      </c>
      <c r="Z86" s="783">
        <f>IF('Incremental Repayments'!$R$22="Debt",IF(AND(Z$4&gt;=$D86,Z$4&lt;$D86+'Incremental Repayments'!$I$31),-PMT('Interest Rate'!$J$16,'Incremental Repayments'!$I$31,(HLOOKUP($D86,$E$4:$CZ$32,28,FALSE)*'Incremental Repayments'!$I$22)),0),0)</f>
        <v>0</v>
      </c>
      <c r="AA86" s="783">
        <f>IF('Incremental Repayments'!$R$22="Debt",IF(AND(AA$4&gt;=$D86,AA$4&lt;$D86+'Incremental Repayments'!$I$31),-PMT('Interest Rate'!$J$16,'Incremental Repayments'!$I$31,(HLOOKUP($D86,$E$4:$CZ$32,28,FALSE)*'Incremental Repayments'!$I$22)),0),0)</f>
        <v>0</v>
      </c>
      <c r="AB86" s="783">
        <f>IF('Incremental Repayments'!$R$22="Debt",IF(AND(AB$4&gt;=$D86,AB$4&lt;$D86+'Incremental Repayments'!$I$31),-PMT('Interest Rate'!$J$16,'Incremental Repayments'!$I$31,(HLOOKUP($D86,$E$4:$CZ$32,28,FALSE)*'Incremental Repayments'!$I$22)),0),0)</f>
        <v>0</v>
      </c>
      <c r="AC86" s="783">
        <f>IF('Incremental Repayments'!$R$22="Debt",IF(AND(AC$4&gt;=$D86,AC$4&lt;$D86+'Incremental Repayments'!$I$31),-PMT('Interest Rate'!$J$16,'Incremental Repayments'!$I$31,(HLOOKUP($D86,$E$4:$CZ$32,28,FALSE)*'Incremental Repayments'!$I$22)),0),0)</f>
        <v>0</v>
      </c>
      <c r="AD86" s="783">
        <f>IF('Incremental Repayments'!$R$22="Debt",IF(AND(AD$4&gt;=$D86,AD$4&lt;$D86+'Incremental Repayments'!$I$31),-PMT('Interest Rate'!$J$16,'Incremental Repayments'!$I$31,(HLOOKUP($D86,$E$4:$CZ$32,28,FALSE)*'Incremental Repayments'!$I$22)),0),0)</f>
        <v>0</v>
      </c>
      <c r="AE86" s="783">
        <f>IF('Incremental Repayments'!$R$22="Debt",IF(AND(AE$4&gt;=$D86,AE$4&lt;$D86+'Incremental Repayments'!$I$31),-PMT('Interest Rate'!$J$16,'Incremental Repayments'!$I$31,(HLOOKUP($D86,$E$4:$CZ$32,28,FALSE)*'Incremental Repayments'!$I$22)),0),0)</f>
        <v>0</v>
      </c>
      <c r="AF86" s="783">
        <f>IF('Incremental Repayments'!$R$22="Debt",IF(AND(AF$4&gt;=$D86,AF$4&lt;$D86+'Incremental Repayments'!$I$31),-PMT('Interest Rate'!$J$16,'Incremental Repayments'!$I$31,(HLOOKUP($D86,$E$4:$CZ$32,28,FALSE)*'Incremental Repayments'!$I$22)),0),0)</f>
        <v>0</v>
      </c>
      <c r="AG86" s="783">
        <f>IF('Incremental Repayments'!$R$22="Debt",IF(AND(AG$4&gt;=$D86,AG$4&lt;$D86+'Incremental Repayments'!$I$31),-PMT('Interest Rate'!$J$16,'Incremental Repayments'!$I$31,(HLOOKUP($D86,$E$4:$CZ$32,28,FALSE)*'Incremental Repayments'!$I$22)),0),0)</f>
        <v>0</v>
      </c>
      <c r="AH86" s="783">
        <f>IF('Incremental Repayments'!$R$22="Debt",IF(AND(AH$4&gt;=$D86,AH$4&lt;$D86+'Incremental Repayments'!$I$31),-PMT('Interest Rate'!$J$16,'Incremental Repayments'!$I$31,(HLOOKUP($D86,$E$4:$CZ$32,28,FALSE)*'Incremental Repayments'!$I$22)),0),0)</f>
        <v>0</v>
      </c>
      <c r="AI86" s="783">
        <f>IF('Incremental Repayments'!$R$22="Debt",IF(AND(AI$4&gt;=$D86,AI$4&lt;$D86+'Incremental Repayments'!$I$31),-PMT('Interest Rate'!$J$16,'Incremental Repayments'!$I$31,(HLOOKUP($D86,$E$4:$CZ$32,28,FALSE)*'Incremental Repayments'!$I$22)),0),0)</f>
        <v>0</v>
      </c>
      <c r="AJ86" s="783">
        <f>IF('Incremental Repayments'!$R$22="Debt",IF(AND(AJ$4&gt;=$D86,AJ$4&lt;$D86+'Incremental Repayments'!$I$31),-PMT('Interest Rate'!$J$16,'Incremental Repayments'!$I$31,(HLOOKUP($D86,$E$4:$CZ$32,28,FALSE)*'Incremental Repayments'!$I$22)),0),0)</f>
        <v>0</v>
      </c>
      <c r="AK86" s="783">
        <f>IF('Incremental Repayments'!$R$22="Debt",IF(AND(AK$4&gt;=$D86,AK$4&lt;$D86+'Incremental Repayments'!$I$31),-PMT('Interest Rate'!$J$16,'Incremental Repayments'!$I$31,(HLOOKUP($D86,$E$4:$CZ$32,28,FALSE)*'Incremental Repayments'!$I$22)),0),0)</f>
        <v>0</v>
      </c>
      <c r="AL86" s="783">
        <f>IF('Incremental Repayments'!$R$22="Debt",IF(AND(AL$4&gt;=$D86,AL$4&lt;$D86+'Incremental Repayments'!$I$31),-PMT('Interest Rate'!$J$16,'Incremental Repayments'!$I$31,(HLOOKUP($D86,$E$4:$CZ$32,28,FALSE)*'Incremental Repayments'!$I$22)),0),0)</f>
        <v>0</v>
      </c>
      <c r="AM86" s="783">
        <f>IF('Incremental Repayments'!$R$22="Debt",IF(AND(AM$4&gt;=$D86,AM$4&lt;$D86+'Incremental Repayments'!$I$31),-PMT('Interest Rate'!$J$16,'Incremental Repayments'!$I$31,(HLOOKUP($D86,$E$4:$CZ$32,28,FALSE)*'Incremental Repayments'!$I$22)),0),0)</f>
        <v>0</v>
      </c>
      <c r="AN86" s="783">
        <f>IF('Incremental Repayments'!$R$22="Debt",IF(AND(AN$4&gt;=$D86,AN$4&lt;$D86+'Incremental Repayments'!$I$31),-PMT('Interest Rate'!$J$16,'Incremental Repayments'!$I$31,(HLOOKUP($D86,$E$4:$CZ$32,28,FALSE)*'Incremental Repayments'!$I$22)),0),0)</f>
        <v>0</v>
      </c>
      <c r="AO86" s="783">
        <f>IF('Incremental Repayments'!$R$22="Debt",IF(AND(AO$4&gt;=$D86,AO$4&lt;$D86+'Incremental Repayments'!$I$31),-PMT('Interest Rate'!$J$16,'Incremental Repayments'!$I$31,(HLOOKUP($D86,$E$4:$CZ$32,28,FALSE)*'Incremental Repayments'!$I$22)),0),0)</f>
        <v>0</v>
      </c>
      <c r="AP86" s="783">
        <f>IF('Incremental Repayments'!$R$22="Debt",IF(AND(AP$4&gt;=$D86,AP$4&lt;$D86+'Incremental Repayments'!$I$31),-PMT('Interest Rate'!$J$16,'Incremental Repayments'!$I$31,(HLOOKUP($D86,$E$4:$CZ$32,28,FALSE)*'Incremental Repayments'!$I$22)),0),0)</f>
        <v>0</v>
      </c>
      <c r="AQ86" s="783">
        <f>IF('Incremental Repayments'!$R$22="Debt",IF(AND(AQ$4&gt;=$D86,AQ$4&lt;$D86+'Incremental Repayments'!$I$31),-PMT('Interest Rate'!$J$16,'Incremental Repayments'!$I$31,(HLOOKUP($D86,$E$4:$CZ$32,28,FALSE)*'Incremental Repayments'!$I$22)),0),0)</f>
        <v>0</v>
      </c>
      <c r="AR86" s="783">
        <f>IF('Incremental Repayments'!$R$22="Debt",IF(AND(AR$4&gt;=$D86,AR$4&lt;$D86+'Incremental Repayments'!$I$31),-PMT('Interest Rate'!$J$16,'Incremental Repayments'!$I$31,(HLOOKUP($D86,$E$4:$CZ$32,28,FALSE)*'Incremental Repayments'!$I$22)),0),0)</f>
        <v>0</v>
      </c>
      <c r="AS86" s="783">
        <f>IF('Incremental Repayments'!$R$22="Debt",IF(AND(AS$4&gt;=$D86,AS$4&lt;$D86+'Incremental Repayments'!$I$31),-PMT('Interest Rate'!$J$16,'Incremental Repayments'!$I$31,(HLOOKUP($D86,$E$4:$CZ$32,28,FALSE)*'Incremental Repayments'!$I$22)),0),0)</f>
        <v>0</v>
      </c>
      <c r="AT86" s="783">
        <f>IF('Incremental Repayments'!$R$22="Debt",IF(AND(AT$4&gt;=$D86,AT$4&lt;$D86+'Incremental Repayments'!$I$31),-PMT('Interest Rate'!$J$16,'Incremental Repayments'!$I$31,(HLOOKUP($D86,$E$4:$CZ$32,28,FALSE)*'Incremental Repayments'!$I$22)),0),0)</f>
        <v>0</v>
      </c>
      <c r="AU86" s="783">
        <f>IF('Incremental Repayments'!$R$22="Debt",IF(AND(AU$4&gt;=$D86,AU$4&lt;$D86+'Incremental Repayments'!$I$31),-PMT('Interest Rate'!$J$16,'Incremental Repayments'!$I$31,(HLOOKUP($D86,$E$4:$CZ$32,28,FALSE)*'Incremental Repayments'!$I$22)),0),0)</f>
        <v>0</v>
      </c>
      <c r="AV86" s="783">
        <f>IF('Incremental Repayments'!$R$22="Debt",IF(AND(AV$4&gt;=$D86,AV$4&lt;$D86+'Incremental Repayments'!$I$31),-PMT('Interest Rate'!$J$16,'Incremental Repayments'!$I$31,(HLOOKUP($D86,$E$4:$CZ$32,28,FALSE)*'Incremental Repayments'!$I$22)),0),0)</f>
        <v>0</v>
      </c>
      <c r="AW86" s="783">
        <f>IF('Incremental Repayments'!$R$22="Debt",IF(AND(AW$4&gt;=$D86,AW$4&lt;$D86+'Incremental Repayments'!$I$31),-PMT('Interest Rate'!$J$16,'Incremental Repayments'!$I$31,(HLOOKUP($D86,$E$4:$CZ$32,28,FALSE)*'Incremental Repayments'!$I$22)),0),0)</f>
        <v>0</v>
      </c>
      <c r="AX86" s="783">
        <f>IF('Incremental Repayments'!$R$22="Debt",IF(AND(AX$4&gt;=$D86,AX$4&lt;$D86+'Incremental Repayments'!$I$31),-PMT('Interest Rate'!$J$16,'Incremental Repayments'!$I$31,(HLOOKUP($D86,$E$4:$CZ$32,28,FALSE)*'Incremental Repayments'!$I$22)),0),0)</f>
        <v>0</v>
      </c>
      <c r="AY86" s="783">
        <f>IF('Incremental Repayments'!$R$22="Debt",IF(AND(AY$4&gt;=$D86,AY$4&lt;$D86+'Incremental Repayments'!$I$31),-PMT('Interest Rate'!$J$16,'Incremental Repayments'!$I$31,(HLOOKUP($D86,$E$4:$CZ$32,28,FALSE)*'Incremental Repayments'!$I$22)),0),0)</f>
        <v>0</v>
      </c>
      <c r="AZ86" s="783">
        <f>IF('Incremental Repayments'!$R$22="Debt",IF(AND(AZ$4&gt;=$D86,AZ$4&lt;$D86+'Incremental Repayments'!$I$31),-PMT('Interest Rate'!$J$16,'Incremental Repayments'!$I$31,(HLOOKUP($D86,$E$4:$CZ$32,28,FALSE)*'Incremental Repayments'!$I$22)),0),0)</f>
        <v>0</v>
      </c>
      <c r="BA86" s="783">
        <f>IF('Incremental Repayments'!$R$22="Debt",IF(AND(BA$4&gt;=$D86,BA$4&lt;$D86+'Incremental Repayments'!$I$31),-PMT('Interest Rate'!$J$16,'Incremental Repayments'!$I$31,(HLOOKUP($D86,$E$4:$CZ$32,28,FALSE)*'Incremental Repayments'!$I$22)),0),0)</f>
        <v>0</v>
      </c>
      <c r="BB86" s="783">
        <f>IF('Incremental Repayments'!$R$22="Debt",IF(AND(BB$4&gt;=$D86,BB$4&lt;$D86+'Incremental Repayments'!$I$31),-PMT('Interest Rate'!$J$16,'Incremental Repayments'!$I$31,(HLOOKUP($D86,$E$4:$CZ$32,28,FALSE)*'Incremental Repayments'!$I$22)),0),0)</f>
        <v>0</v>
      </c>
      <c r="BC86" s="783">
        <f>IF('Incremental Repayments'!$R$22="Debt",IF(AND(BC$4&gt;=$D86,BC$4&lt;$D86+'Incremental Repayments'!$I$31),-PMT('Interest Rate'!$J$16,'Incremental Repayments'!$I$31,(HLOOKUP($D86,$E$4:$CZ$32,28,FALSE)*'Incremental Repayments'!$I$22)),0),0)</f>
        <v>0</v>
      </c>
      <c r="BD86" s="783">
        <f>IF('Incremental Repayments'!$R$22="Debt",IF(AND(BD$4&gt;=$D86,BD$4&lt;$D86+'Incremental Repayments'!$I$31),-PMT('Interest Rate'!$J$16,'Incremental Repayments'!$I$31,(HLOOKUP($D86,$E$4:$CZ$32,28,FALSE)*'Incremental Repayments'!$I$22)),0),0)</f>
        <v>0</v>
      </c>
      <c r="BE86" s="783">
        <f>IF('Incremental Repayments'!$R$22="Debt",IF(AND(BE$4&gt;=$D86,BE$4&lt;$D86+'Incremental Repayments'!$I$31),-PMT('Interest Rate'!$J$16,'Incremental Repayments'!$I$31,(HLOOKUP($D86,$E$4:$CZ$32,28,FALSE)*'Incremental Repayments'!$I$22)),0),0)</f>
        <v>0</v>
      </c>
      <c r="BF86" s="783">
        <f>IF('Incremental Repayments'!$R$22="Debt",IF(AND(BF$4&gt;=$D86,BF$4&lt;$D86+'Incremental Repayments'!$I$31),-PMT('Interest Rate'!$J$16,'Incremental Repayments'!$I$31,(HLOOKUP($D86,$E$4:$CZ$32,28,FALSE)*'Incremental Repayments'!$I$22)),0),0)</f>
        <v>0</v>
      </c>
      <c r="BG86" s="783">
        <f>IF('Incremental Repayments'!$R$22="Debt",IF(AND(BG$4&gt;=$D86,BG$4&lt;$D86+'Incremental Repayments'!$I$31),-PMT('Interest Rate'!$J$16,'Incremental Repayments'!$I$31,(HLOOKUP($D86,$E$4:$CZ$32,28,FALSE)*'Incremental Repayments'!$I$22)),0),0)</f>
        <v>0</v>
      </c>
      <c r="BH86" s="783">
        <f>IF('Incremental Repayments'!$R$22="Debt",IF(AND(BH$4&gt;=$D86,BH$4&lt;$D86+'Incremental Repayments'!$I$31),-PMT('Interest Rate'!$J$16,'Incremental Repayments'!$I$31,(HLOOKUP($D86,$E$4:$CZ$32,28,FALSE)*'Incremental Repayments'!$I$22)),0),0)</f>
        <v>0</v>
      </c>
      <c r="BI86" s="783">
        <f>IF('Incremental Repayments'!$R$22="Debt",IF(AND(BI$4&gt;=$D86,BI$4&lt;$D86+'Incremental Repayments'!$I$31),-PMT('Interest Rate'!$J$16,'Incremental Repayments'!$I$31,(HLOOKUP($D86,$E$4:$CZ$32,28,FALSE)*'Incremental Repayments'!$I$22)),0),0)</f>
        <v>0</v>
      </c>
      <c r="BJ86" s="783">
        <f>IF('Incremental Repayments'!$R$22="Debt",IF(AND(BJ$4&gt;=$D86,BJ$4&lt;$D86+'Incremental Repayments'!$I$31),-PMT('Interest Rate'!$J$16,'Incremental Repayments'!$I$31,(HLOOKUP($D86,$E$4:$CZ$32,28,FALSE)*'Incremental Repayments'!$I$22)),0),0)</f>
        <v>0</v>
      </c>
      <c r="BK86" s="783">
        <f>IF('Incremental Repayments'!$R$22="Debt",IF(AND(BK$4&gt;=$D86,BK$4&lt;$D86+'Incremental Repayments'!$I$31),-PMT('Interest Rate'!$J$16,'Incremental Repayments'!$I$31,(HLOOKUP($D86,$E$4:$CZ$32,28,FALSE)*'Incremental Repayments'!$I$22)),0),0)</f>
        <v>0</v>
      </c>
      <c r="BL86" s="783">
        <f>IF('Incremental Repayments'!$R$22="Debt",IF(AND(BL$4&gt;=$D86,BL$4&lt;$D86+'Incremental Repayments'!$I$31),-PMT('Interest Rate'!$J$16,'Incremental Repayments'!$I$31,(HLOOKUP($D86,$E$4:$CZ$32,28,FALSE)*'Incremental Repayments'!$I$22)),0),0)</f>
        <v>0</v>
      </c>
      <c r="BM86" s="783">
        <f>IF('Incremental Repayments'!$R$22="Debt",IF(AND(BM$4&gt;=$D86,BM$4&lt;$D86+'Incremental Repayments'!$I$31),-PMT('Interest Rate'!$J$16,'Incremental Repayments'!$I$31,(HLOOKUP($D86,$E$4:$CZ$32,28,FALSE)*'Incremental Repayments'!$I$22)),0),0)</f>
        <v>0</v>
      </c>
      <c r="BN86" s="783">
        <f>IF('Incremental Repayments'!$R$22="Debt",IF(AND(BN$4&gt;=$D86,BN$4&lt;$D86+'Incremental Repayments'!$I$31),-PMT('Interest Rate'!$J$16,'Incremental Repayments'!$I$31,(HLOOKUP($D86,$E$4:$CZ$32,28,FALSE)*'Incremental Repayments'!$I$22)),0),0)</f>
        <v>0</v>
      </c>
      <c r="BO86" s="783">
        <f>IF('Incremental Repayments'!$R$22="Debt",IF(AND(BO$4&gt;=$D86,BO$4&lt;$D86+'Incremental Repayments'!$I$31),-PMT('Interest Rate'!$J$16,'Incremental Repayments'!$I$31,(HLOOKUP($D86,$E$4:$CZ$32,28,FALSE)*'Incremental Repayments'!$I$22)),0),0)</f>
        <v>0</v>
      </c>
      <c r="BP86" s="783">
        <f>IF('Incremental Repayments'!$R$22="Debt",IF(AND(BP$4&gt;=$D86,BP$4&lt;$D86+'Incremental Repayments'!$I$31),-PMT('Interest Rate'!$J$16,'Incremental Repayments'!$I$31,(HLOOKUP($D86,$E$4:$CZ$32,28,FALSE)*'Incremental Repayments'!$I$22)),0),0)</f>
        <v>0</v>
      </c>
      <c r="BQ86" s="783">
        <f>IF('Incremental Repayments'!$R$22="Debt",IF(AND(BQ$4&gt;=$D86,BQ$4&lt;$D86+'Incremental Repayments'!$I$31),-PMT('Interest Rate'!$J$16,'Incremental Repayments'!$I$31,(HLOOKUP($D86,$E$4:$CZ$32,28,FALSE)*'Incremental Repayments'!$I$22)),0),0)</f>
        <v>0</v>
      </c>
      <c r="BR86" s="783">
        <f>IF('Incremental Repayments'!$R$22="Debt",IF(AND(BR$4&gt;=$D86,BR$4&lt;$D86+'Incremental Repayments'!$I$31),-PMT('Interest Rate'!$J$16,'Incremental Repayments'!$I$31,(HLOOKUP($D86,$E$4:$CZ$32,28,FALSE)*'Incremental Repayments'!$I$22)),0),0)</f>
        <v>0</v>
      </c>
      <c r="BS86" s="783">
        <f>IF('Incremental Repayments'!$R$22="Debt",IF(AND(BS$4&gt;=$D86,BS$4&lt;$D86+'Incremental Repayments'!$I$31),-PMT('Interest Rate'!$J$16,'Incremental Repayments'!$I$31,(HLOOKUP($D86,$E$4:$CZ$32,28,FALSE)*'Incremental Repayments'!$I$22)),0),0)</f>
        <v>0</v>
      </c>
      <c r="BT86" s="783">
        <f>IF('Incremental Repayments'!$R$22="Debt",IF(AND(BT$4&gt;=$D86,BT$4&lt;$D86+'Incremental Repayments'!$I$31),-PMT('Interest Rate'!$J$16,'Incremental Repayments'!$I$31,(HLOOKUP($D86,$E$4:$CZ$32,28,FALSE)*'Incremental Repayments'!$I$22)),0),0)</f>
        <v>0</v>
      </c>
      <c r="BU86" s="783">
        <f>IF('Incremental Repayments'!$R$22="Debt",IF(AND(BU$4&gt;=$D86,BU$4&lt;$D86+'Incremental Repayments'!$I$31),-PMT('Interest Rate'!$J$16,'Incremental Repayments'!$I$31,(HLOOKUP($D86,$E$4:$CZ$32,28,FALSE)*'Incremental Repayments'!$I$22)),0),0)</f>
        <v>0</v>
      </c>
      <c r="BV86" s="783">
        <f>IF('Incremental Repayments'!$R$22="Debt",IF(AND(BV$4&gt;=$D86,BV$4&lt;$D86+'Incremental Repayments'!$I$31),-PMT('Interest Rate'!$J$16,'Incremental Repayments'!$I$31,(HLOOKUP($D86,$E$4:$CZ$32,28,FALSE)*'Incremental Repayments'!$I$22)),0),0)</f>
        <v>0</v>
      </c>
      <c r="BW86" s="783">
        <f>IF('Incremental Repayments'!$R$22="Debt",IF(AND(BW$4&gt;=$D86,BW$4&lt;$D86+'Incremental Repayments'!$I$31),-PMT('Interest Rate'!$J$16,'Incremental Repayments'!$I$31,(HLOOKUP($D86,$E$4:$CZ$32,28,FALSE)*'Incremental Repayments'!$I$22)),0),0)</f>
        <v>0</v>
      </c>
      <c r="BX86" s="783">
        <f>IF('Incremental Repayments'!$R$22="Debt",IF(AND(BX$4&gt;=$D86,BX$4&lt;$D86+'Incremental Repayments'!$I$31),-PMT('Interest Rate'!$J$16,'Incremental Repayments'!$I$31,(HLOOKUP($D86,$E$4:$CZ$32,28,FALSE)*'Incremental Repayments'!$I$22)),0),0)</f>
        <v>0</v>
      </c>
      <c r="BY86" s="783">
        <f>IF('Incremental Repayments'!$R$22="Debt",IF(AND(BY$4&gt;=$D86,BY$4&lt;$D86+'Incremental Repayments'!$I$31),-PMT('Interest Rate'!$J$16,'Incremental Repayments'!$I$31,(HLOOKUP($D86,$E$4:$CZ$32,28,FALSE)*'Incremental Repayments'!$I$22)),0),0)</f>
        <v>0</v>
      </c>
      <c r="BZ86" s="783">
        <f>IF('Incremental Repayments'!$R$22="Debt",IF(AND(BZ$4&gt;=$D86,BZ$4&lt;$D86+'Incremental Repayments'!$I$31),-PMT('Interest Rate'!$J$16,'Incremental Repayments'!$I$31,(HLOOKUP($D86,$E$4:$CZ$32,28,FALSE)*'Incremental Repayments'!$I$22)),0),0)</f>
        <v>0</v>
      </c>
      <c r="CA86" s="783">
        <f>IF('Incremental Repayments'!$R$22="Debt",IF(AND(CA$4&gt;=$D86,CA$4&lt;$D86+'Incremental Repayments'!$I$31),-PMT('Interest Rate'!$J$16,'Incremental Repayments'!$I$31,(HLOOKUP($D86,$E$4:$CZ$32,28,FALSE)*'Incremental Repayments'!$I$22)),0),0)</f>
        <v>0</v>
      </c>
      <c r="CB86" s="783">
        <f>IF('Incremental Repayments'!$R$22="Debt",IF(AND(CB$4&gt;=$D86,CB$4&lt;$D86+'Incremental Repayments'!$I$31),-PMT('Interest Rate'!$J$16,'Incremental Repayments'!$I$31,(HLOOKUP($D86,$E$4:$CZ$32,28,FALSE)*'Incremental Repayments'!$I$22)),0),0)</f>
        <v>0</v>
      </c>
      <c r="CC86" s="783">
        <f>IF('Incremental Repayments'!$R$22="Debt",IF(AND(CC$4&gt;=$D86,CC$4&lt;$D86+'Incremental Repayments'!$I$31),-PMT('Interest Rate'!$J$16,'Incremental Repayments'!$I$31,(HLOOKUP($D86,$E$4:$CZ$32,28,FALSE)*'Incremental Repayments'!$I$22)),0),0)</f>
        <v>0</v>
      </c>
      <c r="CD86" s="783">
        <f>IF('Incremental Repayments'!$R$22="Debt",IF(AND(CD$4&gt;=$D86,CD$4&lt;$D86+'Incremental Repayments'!$I$31),-PMT('Interest Rate'!$J$16,'Incremental Repayments'!$I$31,(HLOOKUP($D86,$E$4:$CZ$32,28,FALSE)*'Incremental Repayments'!$I$22)),0),0)</f>
        <v>0</v>
      </c>
      <c r="CE86" s="783">
        <f>IF('Incremental Repayments'!$R$22="Debt",IF(AND(CE$4&gt;=$D86,CE$4&lt;$D86+'Incremental Repayments'!$I$31),-PMT('Interest Rate'!$J$16,'Incremental Repayments'!$I$31,(HLOOKUP($D86,$E$4:$CZ$32,28,FALSE)*'Incremental Repayments'!$I$22)),0),0)</f>
        <v>0</v>
      </c>
      <c r="CF86" s="783">
        <f>IF('Incremental Repayments'!$R$22="Debt",IF(AND(CF$4&gt;=$D86,CF$4&lt;$D86+'Incremental Repayments'!$I$31),-PMT('Interest Rate'!$J$16,'Incremental Repayments'!$I$31,(HLOOKUP($D86,$E$4:$CZ$32,28,FALSE)*'Incremental Repayments'!$I$22)),0),0)</f>
        <v>0</v>
      </c>
      <c r="CG86" s="783">
        <f>IF('Incremental Repayments'!$R$22="Debt",IF(AND(CG$4&gt;=$D86,CG$4&lt;$D86+'Incremental Repayments'!$I$31),-PMT('Interest Rate'!$J$16,'Incremental Repayments'!$I$31,(HLOOKUP($D86,$E$4:$CZ$32,28,FALSE)*'Incremental Repayments'!$I$22)),0),0)</f>
        <v>0</v>
      </c>
      <c r="CH86" s="783">
        <f>IF('Incremental Repayments'!$R$22="Debt",IF(AND(CH$4&gt;=$D86,CH$4&lt;$D86+'Incremental Repayments'!$I$31),-PMT('Interest Rate'!$J$16,'Incremental Repayments'!$I$31,(HLOOKUP($D86,$E$4:$CZ$32,28,FALSE)*'Incremental Repayments'!$I$22)),0),0)</f>
        <v>0</v>
      </c>
      <c r="CI86" s="783">
        <f>IF('Incremental Repayments'!$R$22="Debt",IF(AND(CI$4&gt;=$D86,CI$4&lt;$D86+'Incremental Repayments'!$I$31),-PMT('Interest Rate'!$J$16,'Incremental Repayments'!$I$31,(HLOOKUP($D86,$E$4:$CZ$32,28,FALSE)*'Incremental Repayments'!$I$22)),0),0)</f>
        <v>0</v>
      </c>
      <c r="CJ86" s="783">
        <f>IF('Incremental Repayments'!$R$22="Debt",IF(AND(CJ$4&gt;=$D86,CJ$4&lt;$D86+'Incremental Repayments'!$I$31),-PMT('Interest Rate'!$J$16,'Incremental Repayments'!$I$31,(HLOOKUP($D86,$E$4:$CZ$32,28,FALSE)*'Incremental Repayments'!$I$22)),0),0)</f>
        <v>0</v>
      </c>
      <c r="CK86" s="783">
        <f>IF('Incremental Repayments'!$R$22="Debt",IF(AND(CK$4&gt;=$D86,CK$4&lt;$D86+'Incremental Repayments'!$I$31),-PMT('Interest Rate'!$J$16,'Incremental Repayments'!$I$31,(HLOOKUP($D86,$E$4:$CZ$32,28,FALSE)*'Incremental Repayments'!$I$22)),0),0)</f>
        <v>0</v>
      </c>
      <c r="CL86" s="783">
        <f>IF('Incremental Repayments'!$R$22="Debt",IF(AND(CL$4&gt;=$D86,CL$4&lt;$D86+'Incremental Repayments'!$I$31),-PMT('Interest Rate'!$J$16,'Incremental Repayments'!$I$31,(HLOOKUP($D86,$E$4:$CZ$32,28,FALSE)*'Incremental Repayments'!$I$22)),0),0)</f>
        <v>0</v>
      </c>
      <c r="CM86" s="783">
        <f>IF('Incremental Repayments'!$R$22="Debt",IF(AND(CM$4&gt;=$D86,CM$4&lt;$D86+'Incremental Repayments'!$I$31),-PMT('Interest Rate'!$J$16,'Incremental Repayments'!$I$31,(HLOOKUP($D86,$E$4:$CZ$32,28,FALSE)*'Incremental Repayments'!$I$22)),0),0)</f>
        <v>0</v>
      </c>
      <c r="CN86" s="783">
        <f>IF('Incremental Repayments'!$R$22="Debt",IF(AND(CN$4&gt;=$D86,CN$4&lt;$D86+'Incremental Repayments'!$I$31),-PMT('Interest Rate'!$J$16,'Incremental Repayments'!$I$31,(HLOOKUP($D86,$E$4:$CZ$32,28,FALSE)*'Incremental Repayments'!$I$22)),0),0)</f>
        <v>0</v>
      </c>
      <c r="CO86" s="783">
        <f>IF('Incremental Repayments'!$R$22="Debt",IF(AND(CO$4&gt;=$D86,CO$4&lt;$D86+'Incremental Repayments'!$I$31),-PMT('Interest Rate'!$J$16,'Incremental Repayments'!$I$31,(HLOOKUP($D86,$E$4:$CZ$32,28,FALSE)*'Incremental Repayments'!$I$22)),0),0)</f>
        <v>0</v>
      </c>
      <c r="CP86" s="783">
        <f>IF('Incremental Repayments'!$R$22="Debt",IF(AND(CP$4&gt;=$D86,CP$4&lt;$D86+'Incremental Repayments'!$I$31),-PMT('Interest Rate'!$J$16,'Incremental Repayments'!$I$31,(HLOOKUP($D86,$E$4:$CZ$32,28,FALSE)*'Incremental Repayments'!$I$22)),0),0)</f>
        <v>0</v>
      </c>
      <c r="CQ86" s="783">
        <f>IF('Incremental Repayments'!$R$22="Debt",IF(AND(CQ$4&gt;=$D86,CQ$4&lt;$D86+'Incremental Repayments'!$I$31),-PMT('Interest Rate'!$J$16,'Incremental Repayments'!$I$31,(HLOOKUP($D86,$E$4:$CZ$32,28,FALSE)*'Incremental Repayments'!$I$22)),0),0)</f>
        <v>0</v>
      </c>
      <c r="CR86" s="783">
        <f>IF('Incremental Repayments'!$R$22="Debt",IF(AND(CR$4&gt;=$D86,CR$4&lt;$D86+'Incremental Repayments'!$I$31),-PMT('Interest Rate'!$J$16,'Incremental Repayments'!$I$31,(HLOOKUP($D86,$E$4:$CZ$32,28,FALSE)*'Incremental Repayments'!$I$22)),0),0)</f>
        <v>0</v>
      </c>
      <c r="CS86" s="783">
        <f>IF('Incremental Repayments'!$R$22="Debt",IF(AND(CS$4&gt;=$D86,CS$4&lt;$D86+'Incremental Repayments'!$I$31),-PMT('Interest Rate'!$J$16,'Incremental Repayments'!$I$31,(HLOOKUP($D86,$E$4:$CZ$32,28,FALSE)*'Incremental Repayments'!$I$22)),0),0)</f>
        <v>0</v>
      </c>
      <c r="CT86" s="783">
        <f>IF('Incremental Repayments'!$R$22="Debt",IF(AND(CT$4&gt;=$D86,CT$4&lt;$D86+'Incremental Repayments'!$I$31),-PMT('Interest Rate'!$J$16,'Incremental Repayments'!$I$31,(HLOOKUP($D86,$E$4:$CZ$32,28,FALSE)*'Incremental Repayments'!$I$22)),0),0)</f>
        <v>0</v>
      </c>
      <c r="CU86" s="783">
        <f>IF('Incremental Repayments'!$R$22="Debt",IF(AND(CU$4&gt;=$D86,CU$4&lt;$D86+'Incremental Repayments'!$I$31),-PMT('Interest Rate'!$J$16,'Incremental Repayments'!$I$31,(HLOOKUP($D86,$E$4:$CZ$32,28,FALSE)*'Incremental Repayments'!$I$22)),0),0)</f>
        <v>0</v>
      </c>
      <c r="CV86" s="783">
        <f>IF('Incremental Repayments'!$R$22="Debt",IF(AND(CV$4&gt;=$D86,CV$4&lt;$D86+'Incremental Repayments'!$I$31),-PMT('Interest Rate'!$J$16,'Incremental Repayments'!$I$31,(HLOOKUP($D86,$E$4:$CZ$32,28,FALSE)*'Incremental Repayments'!$I$22)),0),0)</f>
        <v>0</v>
      </c>
      <c r="CW86" s="783">
        <f>IF('Incremental Repayments'!$R$22="Debt",IF(AND(CW$4&gt;=$D86,CW$4&lt;$D86+'Incremental Repayments'!$I$31),-PMT('Interest Rate'!$J$16,'Incremental Repayments'!$I$31,(HLOOKUP($D86,$E$4:$CZ$32,28,FALSE)*'Incremental Repayments'!$I$22)),0),0)</f>
        <v>0</v>
      </c>
      <c r="CX86" s="783">
        <f>IF('Incremental Repayments'!$R$22="Debt",IF(AND(CX$4&gt;=$D86,CX$4&lt;$D86+'Incremental Repayments'!$I$31),-PMT('Interest Rate'!$J$16,'Incremental Repayments'!$I$31,(HLOOKUP($D86,$E$4:$CZ$32,28,FALSE)*'Incremental Repayments'!$I$22)),0),0)</f>
        <v>0</v>
      </c>
      <c r="CY86" s="783">
        <f>IF('Incremental Repayments'!$R$22="Debt",IF(AND(CY$4&gt;=$D86,CY$4&lt;$D86+'Incremental Repayments'!$I$31),-PMT('Interest Rate'!$J$16,'Incremental Repayments'!$I$31,(HLOOKUP($D86,$E$4:$CZ$32,28,FALSE)*'Incremental Repayments'!$I$22)),0),0)</f>
        <v>0</v>
      </c>
      <c r="CZ86" s="783">
        <f>IF('Incremental Repayments'!$R$22="Debt",IF(AND(CZ$4&gt;=$D86,CZ$4&lt;$D86+'Incremental Repayments'!$I$31),-PMT('Interest Rate'!$J$16,'Incremental Repayments'!$I$31,(HLOOKUP($D86,$E$4:$CZ$32,28,FALSE)*'Incremental Repayments'!$I$22)),0),0)</f>
        <v>0</v>
      </c>
    </row>
    <row r="87" spans="2:104" x14ac:dyDescent="0.25">
      <c r="B87" s="480" t="str">
        <f>CONCATENATE("Series ",D87,"A Bonds (at ",'Interest Rate'!$J$16*100,"% Interest)")</f>
        <v>Series 2065A Bonds (at 4.5% Interest)</v>
      </c>
      <c r="C87" s="480"/>
      <c r="D87" s="492">
        <f t="shared" si="47"/>
        <v>2065</v>
      </c>
      <c r="E87" s="783">
        <f>IF('Incremental Repayments'!$R$22="Debt",IF(AND(E$4&gt;=$D87,E$4&lt;$D87+'Incremental Repayments'!$I$31),-PMT('Interest Rate'!$J$16,'Incremental Repayments'!$I$31,(HLOOKUP($D87,$E$4:$CZ$32,28,FALSE)*'Incremental Repayments'!$I$22)),0),0)</f>
        <v>0</v>
      </c>
      <c r="F87" s="783">
        <f>IF('Incremental Repayments'!$R$22="Debt",IF(AND(F$4&gt;=$D87,F$4&lt;$D87+'Incremental Repayments'!$I$31),-PMT('Interest Rate'!$J$16,'Incremental Repayments'!$I$31,(HLOOKUP($D87,$E$4:$CZ$32,28,FALSE)*'Incremental Repayments'!$I$22)),0),0)</f>
        <v>0</v>
      </c>
      <c r="G87" s="783">
        <f>IF('Incremental Repayments'!$R$22="Debt",IF(AND(G$4&gt;=$D87,G$4&lt;$D87+'Incremental Repayments'!$I$31),-PMT('Interest Rate'!$J$16,'Incremental Repayments'!$I$31,(HLOOKUP($D87,$E$4:$CZ$32,28,FALSE)*'Incremental Repayments'!$I$22)),0),0)</f>
        <v>0</v>
      </c>
      <c r="H87" s="783">
        <f>IF('Incremental Repayments'!$R$22="Debt",IF(AND(H$4&gt;=$D87,H$4&lt;$D87+'Incremental Repayments'!$I$31),-PMT('Interest Rate'!$J$16,'Incremental Repayments'!$I$31,(HLOOKUP($D87,$E$4:$CZ$32,28,FALSE)*'Incremental Repayments'!$I$22)),0),0)</f>
        <v>0</v>
      </c>
      <c r="I87" s="783">
        <f>IF('Incremental Repayments'!$R$22="Debt",IF(AND(I$4&gt;=$D87,I$4&lt;$D87+'Incremental Repayments'!$I$31),-PMT('Interest Rate'!$J$16,'Incremental Repayments'!$I$31,(HLOOKUP($D87,$E$4:$CZ$32,28,FALSE)*'Incremental Repayments'!$I$22)),0),0)</f>
        <v>0</v>
      </c>
      <c r="J87" s="783">
        <f>IF('Incremental Repayments'!$R$22="Debt",IF(AND(J$4&gt;=$D87,J$4&lt;$D87+'Incremental Repayments'!$I$31),-PMT('Interest Rate'!$J$16,'Incremental Repayments'!$I$31,(HLOOKUP($D87,$E$4:$CZ$32,28,FALSE)*'Incremental Repayments'!$I$22)),0),0)</f>
        <v>0</v>
      </c>
      <c r="K87" s="783">
        <f>IF('Incremental Repayments'!$R$22="Debt",IF(AND(K$4&gt;=$D87,K$4&lt;$D87+'Incremental Repayments'!$I$31),-PMT('Interest Rate'!$J$16,'Incremental Repayments'!$I$31,(HLOOKUP($D87,$E$4:$CZ$32,28,FALSE)*'Incremental Repayments'!$I$22)),0),0)</f>
        <v>0</v>
      </c>
      <c r="L87" s="783">
        <f>IF('Incremental Repayments'!$R$22="Debt",IF(AND(L$4&gt;=$D87,L$4&lt;$D87+'Incremental Repayments'!$I$31),-PMT('Interest Rate'!$J$16,'Incremental Repayments'!$I$31,(HLOOKUP($D87,$E$4:$CZ$32,28,FALSE)*'Incremental Repayments'!$I$22)),0),0)</f>
        <v>0</v>
      </c>
      <c r="M87" s="783">
        <f>IF('Incremental Repayments'!$R$22="Debt",IF(AND(M$4&gt;=$D87,M$4&lt;$D87+'Incremental Repayments'!$I$31),-PMT('Interest Rate'!$J$16,'Incremental Repayments'!$I$31,(HLOOKUP($D87,$E$4:$CZ$32,28,FALSE)*'Incremental Repayments'!$I$22)),0),0)</f>
        <v>0</v>
      </c>
      <c r="N87" s="783">
        <f>IF('Incremental Repayments'!$R$22="Debt",IF(AND(N$4&gt;=$D87,N$4&lt;$D87+'Incremental Repayments'!$I$31),-PMT('Interest Rate'!$J$16,'Incremental Repayments'!$I$31,(HLOOKUP($D87,$E$4:$CZ$32,28,FALSE)*'Incremental Repayments'!$I$22)),0),0)</f>
        <v>0</v>
      </c>
      <c r="O87" s="783">
        <f>IF('Incremental Repayments'!$R$22="Debt",IF(AND(O$4&gt;=$D87,O$4&lt;$D87+'Incremental Repayments'!$I$31),-PMT('Interest Rate'!$J$16,'Incremental Repayments'!$I$31,(HLOOKUP($D87,$E$4:$CZ$32,28,FALSE)*'Incremental Repayments'!$I$22)),0),0)</f>
        <v>0</v>
      </c>
      <c r="P87" s="783">
        <f>IF('Incremental Repayments'!$R$22="Debt",IF(AND(P$4&gt;=$D87,P$4&lt;$D87+'Incremental Repayments'!$I$31),-PMT('Interest Rate'!$J$16,'Incremental Repayments'!$I$31,(HLOOKUP($D87,$E$4:$CZ$32,28,FALSE)*'Incremental Repayments'!$I$22)),0),0)</f>
        <v>0</v>
      </c>
      <c r="Q87" s="783">
        <f>IF('Incremental Repayments'!$R$22="Debt",IF(AND(Q$4&gt;=$D87,Q$4&lt;$D87+'Incremental Repayments'!$I$31),-PMT('Interest Rate'!$J$16,'Incremental Repayments'!$I$31,(HLOOKUP($D87,$E$4:$CZ$32,28,FALSE)*'Incremental Repayments'!$I$22)),0),0)</f>
        <v>0</v>
      </c>
      <c r="R87" s="783">
        <f>IF('Incremental Repayments'!$R$22="Debt",IF(AND(R$4&gt;=$D87,R$4&lt;$D87+'Incremental Repayments'!$I$31),-PMT('Interest Rate'!$J$16,'Incremental Repayments'!$I$31,(HLOOKUP($D87,$E$4:$CZ$32,28,FALSE)*'Incremental Repayments'!$I$22)),0),0)</f>
        <v>0</v>
      </c>
      <c r="S87" s="783">
        <f>IF('Incremental Repayments'!$R$22="Debt",IF(AND(S$4&gt;=$D87,S$4&lt;$D87+'Incremental Repayments'!$I$31),-PMT('Interest Rate'!$J$16,'Incremental Repayments'!$I$31,(HLOOKUP($D87,$E$4:$CZ$32,28,FALSE)*'Incremental Repayments'!$I$22)),0),0)</f>
        <v>0</v>
      </c>
      <c r="T87" s="783">
        <f>IF('Incremental Repayments'!$R$22="Debt",IF(AND(T$4&gt;=$D87,T$4&lt;$D87+'Incremental Repayments'!$I$31),-PMT('Interest Rate'!$J$16,'Incremental Repayments'!$I$31,(HLOOKUP($D87,$E$4:$CZ$32,28,FALSE)*'Incremental Repayments'!$I$22)),0),0)</f>
        <v>0</v>
      </c>
      <c r="U87" s="783">
        <f>IF('Incremental Repayments'!$R$22="Debt",IF(AND(U$4&gt;=$D87,U$4&lt;$D87+'Incremental Repayments'!$I$31),-PMT('Interest Rate'!$J$16,'Incremental Repayments'!$I$31,(HLOOKUP($D87,$E$4:$CZ$32,28,FALSE)*'Incremental Repayments'!$I$22)),0),0)</f>
        <v>0</v>
      </c>
      <c r="V87" s="783">
        <f>IF('Incremental Repayments'!$R$22="Debt",IF(AND(V$4&gt;=$D87,V$4&lt;$D87+'Incremental Repayments'!$I$31),-PMT('Interest Rate'!$J$16,'Incremental Repayments'!$I$31,(HLOOKUP($D87,$E$4:$CZ$32,28,FALSE)*'Incremental Repayments'!$I$22)),0),0)</f>
        <v>0</v>
      </c>
      <c r="W87" s="783">
        <f>IF('Incremental Repayments'!$R$22="Debt",IF(AND(W$4&gt;=$D87,W$4&lt;$D87+'Incremental Repayments'!$I$31),-PMT('Interest Rate'!$J$16,'Incremental Repayments'!$I$31,(HLOOKUP($D87,$E$4:$CZ$32,28,FALSE)*'Incremental Repayments'!$I$22)),0),0)</f>
        <v>0</v>
      </c>
      <c r="X87" s="783">
        <f>IF('Incremental Repayments'!$R$22="Debt",IF(AND(X$4&gt;=$D87,X$4&lt;$D87+'Incremental Repayments'!$I$31),-PMT('Interest Rate'!$J$16,'Incremental Repayments'!$I$31,(HLOOKUP($D87,$E$4:$CZ$32,28,FALSE)*'Incremental Repayments'!$I$22)),0),0)</f>
        <v>0</v>
      </c>
      <c r="Y87" s="783">
        <f>IF('Incremental Repayments'!$R$22="Debt",IF(AND(Y$4&gt;=$D87,Y$4&lt;$D87+'Incremental Repayments'!$I$31),-PMT('Interest Rate'!$J$16,'Incremental Repayments'!$I$31,(HLOOKUP($D87,$E$4:$CZ$32,28,FALSE)*'Incremental Repayments'!$I$22)),0),0)</f>
        <v>0</v>
      </c>
      <c r="Z87" s="783">
        <f>IF('Incremental Repayments'!$R$22="Debt",IF(AND(Z$4&gt;=$D87,Z$4&lt;$D87+'Incremental Repayments'!$I$31),-PMT('Interest Rate'!$J$16,'Incremental Repayments'!$I$31,(HLOOKUP($D87,$E$4:$CZ$32,28,FALSE)*'Incremental Repayments'!$I$22)),0),0)</f>
        <v>0</v>
      </c>
      <c r="AA87" s="783">
        <f>IF('Incremental Repayments'!$R$22="Debt",IF(AND(AA$4&gt;=$D87,AA$4&lt;$D87+'Incremental Repayments'!$I$31),-PMT('Interest Rate'!$J$16,'Incremental Repayments'!$I$31,(HLOOKUP($D87,$E$4:$CZ$32,28,FALSE)*'Incremental Repayments'!$I$22)),0),0)</f>
        <v>0</v>
      </c>
      <c r="AB87" s="783">
        <f>IF('Incremental Repayments'!$R$22="Debt",IF(AND(AB$4&gt;=$D87,AB$4&lt;$D87+'Incremental Repayments'!$I$31),-PMT('Interest Rate'!$J$16,'Incremental Repayments'!$I$31,(HLOOKUP($D87,$E$4:$CZ$32,28,FALSE)*'Incremental Repayments'!$I$22)),0),0)</f>
        <v>0</v>
      </c>
      <c r="AC87" s="783">
        <f>IF('Incremental Repayments'!$R$22="Debt",IF(AND(AC$4&gt;=$D87,AC$4&lt;$D87+'Incremental Repayments'!$I$31),-PMT('Interest Rate'!$J$16,'Incremental Repayments'!$I$31,(HLOOKUP($D87,$E$4:$CZ$32,28,FALSE)*'Incremental Repayments'!$I$22)),0),0)</f>
        <v>0</v>
      </c>
      <c r="AD87" s="783">
        <f>IF('Incremental Repayments'!$R$22="Debt",IF(AND(AD$4&gt;=$D87,AD$4&lt;$D87+'Incremental Repayments'!$I$31),-PMT('Interest Rate'!$J$16,'Incremental Repayments'!$I$31,(HLOOKUP($D87,$E$4:$CZ$32,28,FALSE)*'Incremental Repayments'!$I$22)),0),0)</f>
        <v>0</v>
      </c>
      <c r="AE87" s="783">
        <f>IF('Incremental Repayments'!$R$22="Debt",IF(AND(AE$4&gt;=$D87,AE$4&lt;$D87+'Incremental Repayments'!$I$31),-PMT('Interest Rate'!$J$16,'Incremental Repayments'!$I$31,(HLOOKUP($D87,$E$4:$CZ$32,28,FALSE)*'Incremental Repayments'!$I$22)),0),0)</f>
        <v>0</v>
      </c>
      <c r="AF87" s="783">
        <f>IF('Incremental Repayments'!$R$22="Debt",IF(AND(AF$4&gt;=$D87,AF$4&lt;$D87+'Incremental Repayments'!$I$31),-PMT('Interest Rate'!$J$16,'Incremental Repayments'!$I$31,(HLOOKUP($D87,$E$4:$CZ$32,28,FALSE)*'Incremental Repayments'!$I$22)),0),0)</f>
        <v>0</v>
      </c>
      <c r="AG87" s="783">
        <f>IF('Incremental Repayments'!$R$22="Debt",IF(AND(AG$4&gt;=$D87,AG$4&lt;$D87+'Incremental Repayments'!$I$31),-PMT('Interest Rate'!$J$16,'Incremental Repayments'!$I$31,(HLOOKUP($D87,$E$4:$CZ$32,28,FALSE)*'Incremental Repayments'!$I$22)),0),0)</f>
        <v>0</v>
      </c>
      <c r="AH87" s="783">
        <f>IF('Incremental Repayments'!$R$22="Debt",IF(AND(AH$4&gt;=$D87,AH$4&lt;$D87+'Incremental Repayments'!$I$31),-PMT('Interest Rate'!$J$16,'Incremental Repayments'!$I$31,(HLOOKUP($D87,$E$4:$CZ$32,28,FALSE)*'Incremental Repayments'!$I$22)),0),0)</f>
        <v>0</v>
      </c>
      <c r="AI87" s="783">
        <f>IF('Incremental Repayments'!$R$22="Debt",IF(AND(AI$4&gt;=$D87,AI$4&lt;$D87+'Incremental Repayments'!$I$31),-PMT('Interest Rate'!$J$16,'Incremental Repayments'!$I$31,(HLOOKUP($D87,$E$4:$CZ$32,28,FALSE)*'Incremental Repayments'!$I$22)),0),0)</f>
        <v>0</v>
      </c>
      <c r="AJ87" s="783">
        <f>IF('Incremental Repayments'!$R$22="Debt",IF(AND(AJ$4&gt;=$D87,AJ$4&lt;$D87+'Incremental Repayments'!$I$31),-PMT('Interest Rate'!$J$16,'Incremental Repayments'!$I$31,(HLOOKUP($D87,$E$4:$CZ$32,28,FALSE)*'Incremental Repayments'!$I$22)),0),0)</f>
        <v>0</v>
      </c>
      <c r="AK87" s="783">
        <f>IF('Incremental Repayments'!$R$22="Debt",IF(AND(AK$4&gt;=$D87,AK$4&lt;$D87+'Incremental Repayments'!$I$31),-PMT('Interest Rate'!$J$16,'Incremental Repayments'!$I$31,(HLOOKUP($D87,$E$4:$CZ$32,28,FALSE)*'Incremental Repayments'!$I$22)),0),0)</f>
        <v>0</v>
      </c>
      <c r="AL87" s="783">
        <f>IF('Incremental Repayments'!$R$22="Debt",IF(AND(AL$4&gt;=$D87,AL$4&lt;$D87+'Incremental Repayments'!$I$31),-PMT('Interest Rate'!$J$16,'Incremental Repayments'!$I$31,(HLOOKUP($D87,$E$4:$CZ$32,28,FALSE)*'Incremental Repayments'!$I$22)),0),0)</f>
        <v>0</v>
      </c>
      <c r="AM87" s="783">
        <f>IF('Incremental Repayments'!$R$22="Debt",IF(AND(AM$4&gt;=$D87,AM$4&lt;$D87+'Incremental Repayments'!$I$31),-PMT('Interest Rate'!$J$16,'Incremental Repayments'!$I$31,(HLOOKUP($D87,$E$4:$CZ$32,28,FALSE)*'Incremental Repayments'!$I$22)),0),0)</f>
        <v>0</v>
      </c>
      <c r="AN87" s="783">
        <f>IF('Incremental Repayments'!$R$22="Debt",IF(AND(AN$4&gt;=$D87,AN$4&lt;$D87+'Incremental Repayments'!$I$31),-PMT('Interest Rate'!$J$16,'Incremental Repayments'!$I$31,(HLOOKUP($D87,$E$4:$CZ$32,28,FALSE)*'Incremental Repayments'!$I$22)),0),0)</f>
        <v>0</v>
      </c>
      <c r="AO87" s="783">
        <f>IF('Incremental Repayments'!$R$22="Debt",IF(AND(AO$4&gt;=$D87,AO$4&lt;$D87+'Incremental Repayments'!$I$31),-PMT('Interest Rate'!$J$16,'Incremental Repayments'!$I$31,(HLOOKUP($D87,$E$4:$CZ$32,28,FALSE)*'Incremental Repayments'!$I$22)),0),0)</f>
        <v>0</v>
      </c>
      <c r="AP87" s="783">
        <f>IF('Incremental Repayments'!$R$22="Debt",IF(AND(AP$4&gt;=$D87,AP$4&lt;$D87+'Incremental Repayments'!$I$31),-PMT('Interest Rate'!$J$16,'Incremental Repayments'!$I$31,(HLOOKUP($D87,$E$4:$CZ$32,28,FALSE)*'Incremental Repayments'!$I$22)),0),0)</f>
        <v>0</v>
      </c>
      <c r="AQ87" s="783">
        <f>IF('Incremental Repayments'!$R$22="Debt",IF(AND(AQ$4&gt;=$D87,AQ$4&lt;$D87+'Incremental Repayments'!$I$31),-PMT('Interest Rate'!$J$16,'Incremental Repayments'!$I$31,(HLOOKUP($D87,$E$4:$CZ$32,28,FALSE)*'Incremental Repayments'!$I$22)),0),0)</f>
        <v>0</v>
      </c>
      <c r="AR87" s="783">
        <f>IF('Incremental Repayments'!$R$22="Debt",IF(AND(AR$4&gt;=$D87,AR$4&lt;$D87+'Incremental Repayments'!$I$31),-PMT('Interest Rate'!$J$16,'Incremental Repayments'!$I$31,(HLOOKUP($D87,$E$4:$CZ$32,28,FALSE)*'Incremental Repayments'!$I$22)),0),0)</f>
        <v>0</v>
      </c>
      <c r="AS87" s="783">
        <f>IF('Incremental Repayments'!$R$22="Debt",IF(AND(AS$4&gt;=$D87,AS$4&lt;$D87+'Incremental Repayments'!$I$31),-PMT('Interest Rate'!$J$16,'Incremental Repayments'!$I$31,(HLOOKUP($D87,$E$4:$CZ$32,28,FALSE)*'Incremental Repayments'!$I$22)),0),0)</f>
        <v>0</v>
      </c>
      <c r="AT87" s="783">
        <f>IF('Incremental Repayments'!$R$22="Debt",IF(AND(AT$4&gt;=$D87,AT$4&lt;$D87+'Incremental Repayments'!$I$31),-PMT('Interest Rate'!$J$16,'Incremental Repayments'!$I$31,(HLOOKUP($D87,$E$4:$CZ$32,28,FALSE)*'Incremental Repayments'!$I$22)),0),0)</f>
        <v>0</v>
      </c>
      <c r="AU87" s="783">
        <f>IF('Incremental Repayments'!$R$22="Debt",IF(AND(AU$4&gt;=$D87,AU$4&lt;$D87+'Incremental Repayments'!$I$31),-PMT('Interest Rate'!$J$16,'Incremental Repayments'!$I$31,(HLOOKUP($D87,$E$4:$CZ$32,28,FALSE)*'Incremental Repayments'!$I$22)),0),0)</f>
        <v>0</v>
      </c>
      <c r="AV87" s="783">
        <f>IF('Incremental Repayments'!$R$22="Debt",IF(AND(AV$4&gt;=$D87,AV$4&lt;$D87+'Incremental Repayments'!$I$31),-PMT('Interest Rate'!$J$16,'Incremental Repayments'!$I$31,(HLOOKUP($D87,$E$4:$CZ$32,28,FALSE)*'Incremental Repayments'!$I$22)),0),0)</f>
        <v>0</v>
      </c>
      <c r="AW87" s="783">
        <f>IF('Incremental Repayments'!$R$22="Debt",IF(AND(AW$4&gt;=$D87,AW$4&lt;$D87+'Incremental Repayments'!$I$31),-PMT('Interest Rate'!$J$16,'Incremental Repayments'!$I$31,(HLOOKUP($D87,$E$4:$CZ$32,28,FALSE)*'Incremental Repayments'!$I$22)),0),0)</f>
        <v>0</v>
      </c>
      <c r="AX87" s="783">
        <f>IF('Incremental Repayments'!$R$22="Debt",IF(AND(AX$4&gt;=$D87,AX$4&lt;$D87+'Incremental Repayments'!$I$31),-PMT('Interest Rate'!$J$16,'Incremental Repayments'!$I$31,(HLOOKUP($D87,$E$4:$CZ$32,28,FALSE)*'Incremental Repayments'!$I$22)),0),0)</f>
        <v>0</v>
      </c>
      <c r="AY87" s="783">
        <f>IF('Incremental Repayments'!$R$22="Debt",IF(AND(AY$4&gt;=$D87,AY$4&lt;$D87+'Incremental Repayments'!$I$31),-PMT('Interest Rate'!$J$16,'Incremental Repayments'!$I$31,(HLOOKUP($D87,$E$4:$CZ$32,28,FALSE)*'Incremental Repayments'!$I$22)),0),0)</f>
        <v>0</v>
      </c>
      <c r="AZ87" s="783">
        <f>IF('Incremental Repayments'!$R$22="Debt",IF(AND(AZ$4&gt;=$D87,AZ$4&lt;$D87+'Incremental Repayments'!$I$31),-PMT('Interest Rate'!$J$16,'Incremental Repayments'!$I$31,(HLOOKUP($D87,$E$4:$CZ$32,28,FALSE)*'Incremental Repayments'!$I$22)),0),0)</f>
        <v>0</v>
      </c>
      <c r="BA87" s="783">
        <f>IF('Incremental Repayments'!$R$22="Debt",IF(AND(BA$4&gt;=$D87,BA$4&lt;$D87+'Incremental Repayments'!$I$31),-PMT('Interest Rate'!$J$16,'Incremental Repayments'!$I$31,(HLOOKUP($D87,$E$4:$CZ$32,28,FALSE)*'Incremental Repayments'!$I$22)),0),0)</f>
        <v>0</v>
      </c>
      <c r="BB87" s="783">
        <f>IF('Incremental Repayments'!$R$22="Debt",IF(AND(BB$4&gt;=$D87,BB$4&lt;$D87+'Incremental Repayments'!$I$31),-PMT('Interest Rate'!$J$16,'Incremental Repayments'!$I$31,(HLOOKUP($D87,$E$4:$CZ$32,28,FALSE)*'Incremental Repayments'!$I$22)),0),0)</f>
        <v>0</v>
      </c>
      <c r="BC87" s="783">
        <f>IF('Incremental Repayments'!$R$22="Debt",IF(AND(BC$4&gt;=$D87,BC$4&lt;$D87+'Incremental Repayments'!$I$31),-PMT('Interest Rate'!$J$16,'Incremental Repayments'!$I$31,(HLOOKUP($D87,$E$4:$CZ$32,28,FALSE)*'Incremental Repayments'!$I$22)),0),0)</f>
        <v>0</v>
      </c>
      <c r="BD87" s="783">
        <f>IF('Incremental Repayments'!$R$22="Debt",IF(AND(BD$4&gt;=$D87,BD$4&lt;$D87+'Incremental Repayments'!$I$31),-PMT('Interest Rate'!$J$16,'Incremental Repayments'!$I$31,(HLOOKUP($D87,$E$4:$CZ$32,28,FALSE)*'Incremental Repayments'!$I$22)),0),0)</f>
        <v>0</v>
      </c>
      <c r="BE87" s="783">
        <f>IF('Incremental Repayments'!$R$22="Debt",IF(AND(BE$4&gt;=$D87,BE$4&lt;$D87+'Incremental Repayments'!$I$31),-PMT('Interest Rate'!$J$16,'Incremental Repayments'!$I$31,(HLOOKUP($D87,$E$4:$CZ$32,28,FALSE)*'Incremental Repayments'!$I$22)),0),0)</f>
        <v>0</v>
      </c>
      <c r="BF87" s="783">
        <f>IF('Incremental Repayments'!$R$22="Debt",IF(AND(BF$4&gt;=$D87,BF$4&lt;$D87+'Incremental Repayments'!$I$31),-PMT('Interest Rate'!$J$16,'Incremental Repayments'!$I$31,(HLOOKUP($D87,$E$4:$CZ$32,28,FALSE)*'Incremental Repayments'!$I$22)),0),0)</f>
        <v>0</v>
      </c>
      <c r="BG87" s="783">
        <f>IF('Incremental Repayments'!$R$22="Debt",IF(AND(BG$4&gt;=$D87,BG$4&lt;$D87+'Incremental Repayments'!$I$31),-PMT('Interest Rate'!$J$16,'Incremental Repayments'!$I$31,(HLOOKUP($D87,$E$4:$CZ$32,28,FALSE)*'Incremental Repayments'!$I$22)),0),0)</f>
        <v>0</v>
      </c>
      <c r="BH87" s="783">
        <f>IF('Incremental Repayments'!$R$22="Debt",IF(AND(BH$4&gt;=$D87,BH$4&lt;$D87+'Incremental Repayments'!$I$31),-PMT('Interest Rate'!$J$16,'Incremental Repayments'!$I$31,(HLOOKUP($D87,$E$4:$CZ$32,28,FALSE)*'Incremental Repayments'!$I$22)),0),0)</f>
        <v>0</v>
      </c>
      <c r="BI87" s="783">
        <f>IF('Incremental Repayments'!$R$22="Debt",IF(AND(BI$4&gt;=$D87,BI$4&lt;$D87+'Incremental Repayments'!$I$31),-PMT('Interest Rate'!$J$16,'Incremental Repayments'!$I$31,(HLOOKUP($D87,$E$4:$CZ$32,28,FALSE)*'Incremental Repayments'!$I$22)),0),0)</f>
        <v>0</v>
      </c>
      <c r="BJ87" s="783">
        <f>IF('Incremental Repayments'!$R$22="Debt",IF(AND(BJ$4&gt;=$D87,BJ$4&lt;$D87+'Incremental Repayments'!$I$31),-PMT('Interest Rate'!$J$16,'Incremental Repayments'!$I$31,(HLOOKUP($D87,$E$4:$CZ$32,28,FALSE)*'Incremental Repayments'!$I$22)),0),0)</f>
        <v>0</v>
      </c>
      <c r="BK87" s="783">
        <f>IF('Incremental Repayments'!$R$22="Debt",IF(AND(BK$4&gt;=$D87,BK$4&lt;$D87+'Incremental Repayments'!$I$31),-PMT('Interest Rate'!$J$16,'Incremental Repayments'!$I$31,(HLOOKUP($D87,$E$4:$CZ$32,28,FALSE)*'Incremental Repayments'!$I$22)),0),0)</f>
        <v>0</v>
      </c>
      <c r="BL87" s="783">
        <f>IF('Incremental Repayments'!$R$22="Debt",IF(AND(BL$4&gt;=$D87,BL$4&lt;$D87+'Incremental Repayments'!$I$31),-PMT('Interest Rate'!$J$16,'Incremental Repayments'!$I$31,(HLOOKUP($D87,$E$4:$CZ$32,28,FALSE)*'Incremental Repayments'!$I$22)),0),0)</f>
        <v>0</v>
      </c>
      <c r="BM87" s="783">
        <f>IF('Incremental Repayments'!$R$22="Debt",IF(AND(BM$4&gt;=$D87,BM$4&lt;$D87+'Incremental Repayments'!$I$31),-PMT('Interest Rate'!$J$16,'Incremental Repayments'!$I$31,(HLOOKUP($D87,$E$4:$CZ$32,28,FALSE)*'Incremental Repayments'!$I$22)),0),0)</f>
        <v>0</v>
      </c>
      <c r="BN87" s="783">
        <f>IF('Incremental Repayments'!$R$22="Debt",IF(AND(BN$4&gt;=$D87,BN$4&lt;$D87+'Incremental Repayments'!$I$31),-PMT('Interest Rate'!$J$16,'Incremental Repayments'!$I$31,(HLOOKUP($D87,$E$4:$CZ$32,28,FALSE)*'Incremental Repayments'!$I$22)),0),0)</f>
        <v>0</v>
      </c>
      <c r="BO87" s="783">
        <f>IF('Incremental Repayments'!$R$22="Debt",IF(AND(BO$4&gt;=$D87,BO$4&lt;$D87+'Incremental Repayments'!$I$31),-PMT('Interest Rate'!$J$16,'Incremental Repayments'!$I$31,(HLOOKUP($D87,$E$4:$CZ$32,28,FALSE)*'Incremental Repayments'!$I$22)),0),0)</f>
        <v>0</v>
      </c>
      <c r="BP87" s="783">
        <f>IF('Incremental Repayments'!$R$22="Debt",IF(AND(BP$4&gt;=$D87,BP$4&lt;$D87+'Incremental Repayments'!$I$31),-PMT('Interest Rate'!$J$16,'Incremental Repayments'!$I$31,(HLOOKUP($D87,$E$4:$CZ$32,28,FALSE)*'Incremental Repayments'!$I$22)),0),0)</f>
        <v>0</v>
      </c>
      <c r="BQ87" s="783">
        <f>IF('Incremental Repayments'!$R$22="Debt",IF(AND(BQ$4&gt;=$D87,BQ$4&lt;$D87+'Incremental Repayments'!$I$31),-PMT('Interest Rate'!$J$16,'Incremental Repayments'!$I$31,(HLOOKUP($D87,$E$4:$CZ$32,28,FALSE)*'Incremental Repayments'!$I$22)),0),0)</f>
        <v>0</v>
      </c>
      <c r="BR87" s="783">
        <f>IF('Incremental Repayments'!$R$22="Debt",IF(AND(BR$4&gt;=$D87,BR$4&lt;$D87+'Incremental Repayments'!$I$31),-PMT('Interest Rate'!$J$16,'Incremental Repayments'!$I$31,(HLOOKUP($D87,$E$4:$CZ$32,28,FALSE)*'Incremental Repayments'!$I$22)),0),0)</f>
        <v>0</v>
      </c>
      <c r="BS87" s="783">
        <f>IF('Incremental Repayments'!$R$22="Debt",IF(AND(BS$4&gt;=$D87,BS$4&lt;$D87+'Incremental Repayments'!$I$31),-PMT('Interest Rate'!$J$16,'Incremental Repayments'!$I$31,(HLOOKUP($D87,$E$4:$CZ$32,28,FALSE)*'Incremental Repayments'!$I$22)),0),0)</f>
        <v>0</v>
      </c>
      <c r="BT87" s="783">
        <f>IF('Incremental Repayments'!$R$22="Debt",IF(AND(BT$4&gt;=$D87,BT$4&lt;$D87+'Incremental Repayments'!$I$31),-PMT('Interest Rate'!$J$16,'Incremental Repayments'!$I$31,(HLOOKUP($D87,$E$4:$CZ$32,28,FALSE)*'Incremental Repayments'!$I$22)),0),0)</f>
        <v>0</v>
      </c>
      <c r="BU87" s="783">
        <f>IF('Incremental Repayments'!$R$22="Debt",IF(AND(BU$4&gt;=$D87,BU$4&lt;$D87+'Incremental Repayments'!$I$31),-PMT('Interest Rate'!$J$16,'Incremental Repayments'!$I$31,(HLOOKUP($D87,$E$4:$CZ$32,28,FALSE)*'Incremental Repayments'!$I$22)),0),0)</f>
        <v>0</v>
      </c>
      <c r="BV87" s="783">
        <f>IF('Incremental Repayments'!$R$22="Debt",IF(AND(BV$4&gt;=$D87,BV$4&lt;$D87+'Incremental Repayments'!$I$31),-PMT('Interest Rate'!$J$16,'Incremental Repayments'!$I$31,(HLOOKUP($D87,$E$4:$CZ$32,28,FALSE)*'Incremental Repayments'!$I$22)),0),0)</f>
        <v>0</v>
      </c>
      <c r="BW87" s="783">
        <f>IF('Incremental Repayments'!$R$22="Debt",IF(AND(BW$4&gt;=$D87,BW$4&lt;$D87+'Incremental Repayments'!$I$31),-PMT('Interest Rate'!$J$16,'Incremental Repayments'!$I$31,(HLOOKUP($D87,$E$4:$CZ$32,28,FALSE)*'Incremental Repayments'!$I$22)),0),0)</f>
        <v>0</v>
      </c>
      <c r="BX87" s="783">
        <f>IF('Incremental Repayments'!$R$22="Debt",IF(AND(BX$4&gt;=$D87,BX$4&lt;$D87+'Incremental Repayments'!$I$31),-PMT('Interest Rate'!$J$16,'Incremental Repayments'!$I$31,(HLOOKUP($D87,$E$4:$CZ$32,28,FALSE)*'Incremental Repayments'!$I$22)),0),0)</f>
        <v>0</v>
      </c>
      <c r="BY87" s="783">
        <f>IF('Incremental Repayments'!$R$22="Debt",IF(AND(BY$4&gt;=$D87,BY$4&lt;$D87+'Incremental Repayments'!$I$31),-PMT('Interest Rate'!$J$16,'Incremental Repayments'!$I$31,(HLOOKUP($D87,$E$4:$CZ$32,28,FALSE)*'Incremental Repayments'!$I$22)),0),0)</f>
        <v>0</v>
      </c>
      <c r="BZ87" s="783">
        <f>IF('Incremental Repayments'!$R$22="Debt",IF(AND(BZ$4&gt;=$D87,BZ$4&lt;$D87+'Incremental Repayments'!$I$31),-PMT('Interest Rate'!$J$16,'Incremental Repayments'!$I$31,(HLOOKUP($D87,$E$4:$CZ$32,28,FALSE)*'Incremental Repayments'!$I$22)),0),0)</f>
        <v>0</v>
      </c>
      <c r="CA87" s="783">
        <f>IF('Incremental Repayments'!$R$22="Debt",IF(AND(CA$4&gt;=$D87,CA$4&lt;$D87+'Incremental Repayments'!$I$31),-PMT('Interest Rate'!$J$16,'Incremental Repayments'!$I$31,(HLOOKUP($D87,$E$4:$CZ$32,28,FALSE)*'Incremental Repayments'!$I$22)),0),0)</f>
        <v>0</v>
      </c>
      <c r="CB87" s="783">
        <f>IF('Incremental Repayments'!$R$22="Debt",IF(AND(CB$4&gt;=$D87,CB$4&lt;$D87+'Incremental Repayments'!$I$31),-PMT('Interest Rate'!$J$16,'Incremental Repayments'!$I$31,(HLOOKUP($D87,$E$4:$CZ$32,28,FALSE)*'Incremental Repayments'!$I$22)),0),0)</f>
        <v>0</v>
      </c>
      <c r="CC87" s="783">
        <f>IF('Incremental Repayments'!$R$22="Debt",IF(AND(CC$4&gt;=$D87,CC$4&lt;$D87+'Incremental Repayments'!$I$31),-PMT('Interest Rate'!$J$16,'Incremental Repayments'!$I$31,(HLOOKUP($D87,$E$4:$CZ$32,28,FALSE)*'Incremental Repayments'!$I$22)),0),0)</f>
        <v>0</v>
      </c>
      <c r="CD87" s="783">
        <f>IF('Incremental Repayments'!$R$22="Debt",IF(AND(CD$4&gt;=$D87,CD$4&lt;$D87+'Incremental Repayments'!$I$31),-PMT('Interest Rate'!$J$16,'Incremental Repayments'!$I$31,(HLOOKUP($D87,$E$4:$CZ$32,28,FALSE)*'Incremental Repayments'!$I$22)),0),0)</f>
        <v>0</v>
      </c>
      <c r="CE87" s="783">
        <f>IF('Incremental Repayments'!$R$22="Debt",IF(AND(CE$4&gt;=$D87,CE$4&lt;$D87+'Incremental Repayments'!$I$31),-PMT('Interest Rate'!$J$16,'Incremental Repayments'!$I$31,(HLOOKUP($D87,$E$4:$CZ$32,28,FALSE)*'Incremental Repayments'!$I$22)),0),0)</f>
        <v>0</v>
      </c>
      <c r="CF87" s="783">
        <f>IF('Incremental Repayments'!$R$22="Debt",IF(AND(CF$4&gt;=$D87,CF$4&lt;$D87+'Incremental Repayments'!$I$31),-PMT('Interest Rate'!$J$16,'Incremental Repayments'!$I$31,(HLOOKUP($D87,$E$4:$CZ$32,28,FALSE)*'Incremental Repayments'!$I$22)),0),0)</f>
        <v>0</v>
      </c>
      <c r="CG87" s="783">
        <f>IF('Incremental Repayments'!$R$22="Debt",IF(AND(CG$4&gt;=$D87,CG$4&lt;$D87+'Incremental Repayments'!$I$31),-PMT('Interest Rate'!$J$16,'Incremental Repayments'!$I$31,(HLOOKUP($D87,$E$4:$CZ$32,28,FALSE)*'Incremental Repayments'!$I$22)),0),0)</f>
        <v>0</v>
      </c>
      <c r="CH87" s="783">
        <f>IF('Incremental Repayments'!$R$22="Debt",IF(AND(CH$4&gt;=$D87,CH$4&lt;$D87+'Incremental Repayments'!$I$31),-PMT('Interest Rate'!$J$16,'Incremental Repayments'!$I$31,(HLOOKUP($D87,$E$4:$CZ$32,28,FALSE)*'Incremental Repayments'!$I$22)),0),0)</f>
        <v>0</v>
      </c>
      <c r="CI87" s="783">
        <f>IF('Incremental Repayments'!$R$22="Debt",IF(AND(CI$4&gt;=$D87,CI$4&lt;$D87+'Incremental Repayments'!$I$31),-PMT('Interest Rate'!$J$16,'Incremental Repayments'!$I$31,(HLOOKUP($D87,$E$4:$CZ$32,28,FALSE)*'Incremental Repayments'!$I$22)),0),0)</f>
        <v>0</v>
      </c>
      <c r="CJ87" s="783">
        <f>IF('Incremental Repayments'!$R$22="Debt",IF(AND(CJ$4&gt;=$D87,CJ$4&lt;$D87+'Incremental Repayments'!$I$31),-PMT('Interest Rate'!$J$16,'Incremental Repayments'!$I$31,(HLOOKUP($D87,$E$4:$CZ$32,28,FALSE)*'Incremental Repayments'!$I$22)),0),0)</f>
        <v>0</v>
      </c>
      <c r="CK87" s="783">
        <f>IF('Incremental Repayments'!$R$22="Debt",IF(AND(CK$4&gt;=$D87,CK$4&lt;$D87+'Incremental Repayments'!$I$31),-PMT('Interest Rate'!$J$16,'Incremental Repayments'!$I$31,(HLOOKUP($D87,$E$4:$CZ$32,28,FALSE)*'Incremental Repayments'!$I$22)),0),0)</f>
        <v>0</v>
      </c>
      <c r="CL87" s="783">
        <f>IF('Incremental Repayments'!$R$22="Debt",IF(AND(CL$4&gt;=$D87,CL$4&lt;$D87+'Incremental Repayments'!$I$31),-PMT('Interest Rate'!$J$16,'Incremental Repayments'!$I$31,(HLOOKUP($D87,$E$4:$CZ$32,28,FALSE)*'Incremental Repayments'!$I$22)),0),0)</f>
        <v>0</v>
      </c>
      <c r="CM87" s="783">
        <f>IF('Incremental Repayments'!$R$22="Debt",IF(AND(CM$4&gt;=$D87,CM$4&lt;$D87+'Incremental Repayments'!$I$31),-PMT('Interest Rate'!$J$16,'Incremental Repayments'!$I$31,(HLOOKUP($D87,$E$4:$CZ$32,28,FALSE)*'Incremental Repayments'!$I$22)),0),0)</f>
        <v>0</v>
      </c>
      <c r="CN87" s="783">
        <f>IF('Incremental Repayments'!$R$22="Debt",IF(AND(CN$4&gt;=$D87,CN$4&lt;$D87+'Incremental Repayments'!$I$31),-PMT('Interest Rate'!$J$16,'Incremental Repayments'!$I$31,(HLOOKUP($D87,$E$4:$CZ$32,28,FALSE)*'Incremental Repayments'!$I$22)),0),0)</f>
        <v>0</v>
      </c>
      <c r="CO87" s="783">
        <f>IF('Incremental Repayments'!$R$22="Debt",IF(AND(CO$4&gt;=$D87,CO$4&lt;$D87+'Incremental Repayments'!$I$31),-PMT('Interest Rate'!$J$16,'Incremental Repayments'!$I$31,(HLOOKUP($D87,$E$4:$CZ$32,28,FALSE)*'Incremental Repayments'!$I$22)),0),0)</f>
        <v>0</v>
      </c>
      <c r="CP87" s="783">
        <f>IF('Incremental Repayments'!$R$22="Debt",IF(AND(CP$4&gt;=$D87,CP$4&lt;$D87+'Incremental Repayments'!$I$31),-PMT('Interest Rate'!$J$16,'Incremental Repayments'!$I$31,(HLOOKUP($D87,$E$4:$CZ$32,28,FALSE)*'Incremental Repayments'!$I$22)),0),0)</f>
        <v>0</v>
      </c>
      <c r="CQ87" s="783">
        <f>IF('Incremental Repayments'!$R$22="Debt",IF(AND(CQ$4&gt;=$D87,CQ$4&lt;$D87+'Incremental Repayments'!$I$31),-PMT('Interest Rate'!$J$16,'Incremental Repayments'!$I$31,(HLOOKUP($D87,$E$4:$CZ$32,28,FALSE)*'Incremental Repayments'!$I$22)),0),0)</f>
        <v>0</v>
      </c>
      <c r="CR87" s="783">
        <f>IF('Incremental Repayments'!$R$22="Debt",IF(AND(CR$4&gt;=$D87,CR$4&lt;$D87+'Incremental Repayments'!$I$31),-PMT('Interest Rate'!$J$16,'Incremental Repayments'!$I$31,(HLOOKUP($D87,$E$4:$CZ$32,28,FALSE)*'Incremental Repayments'!$I$22)),0),0)</f>
        <v>0</v>
      </c>
      <c r="CS87" s="783">
        <f>IF('Incremental Repayments'!$R$22="Debt",IF(AND(CS$4&gt;=$D87,CS$4&lt;$D87+'Incremental Repayments'!$I$31),-PMT('Interest Rate'!$J$16,'Incremental Repayments'!$I$31,(HLOOKUP($D87,$E$4:$CZ$32,28,FALSE)*'Incremental Repayments'!$I$22)),0),0)</f>
        <v>0</v>
      </c>
      <c r="CT87" s="783">
        <f>IF('Incremental Repayments'!$R$22="Debt",IF(AND(CT$4&gt;=$D87,CT$4&lt;$D87+'Incremental Repayments'!$I$31),-PMT('Interest Rate'!$J$16,'Incremental Repayments'!$I$31,(HLOOKUP($D87,$E$4:$CZ$32,28,FALSE)*'Incremental Repayments'!$I$22)),0),0)</f>
        <v>0</v>
      </c>
      <c r="CU87" s="783">
        <f>IF('Incremental Repayments'!$R$22="Debt",IF(AND(CU$4&gt;=$D87,CU$4&lt;$D87+'Incremental Repayments'!$I$31),-PMT('Interest Rate'!$J$16,'Incremental Repayments'!$I$31,(HLOOKUP($D87,$E$4:$CZ$32,28,FALSE)*'Incremental Repayments'!$I$22)),0),0)</f>
        <v>0</v>
      </c>
      <c r="CV87" s="783">
        <f>IF('Incremental Repayments'!$R$22="Debt",IF(AND(CV$4&gt;=$D87,CV$4&lt;$D87+'Incremental Repayments'!$I$31),-PMT('Interest Rate'!$J$16,'Incremental Repayments'!$I$31,(HLOOKUP($D87,$E$4:$CZ$32,28,FALSE)*'Incremental Repayments'!$I$22)),0),0)</f>
        <v>0</v>
      </c>
      <c r="CW87" s="783">
        <f>IF('Incremental Repayments'!$R$22="Debt",IF(AND(CW$4&gt;=$D87,CW$4&lt;$D87+'Incremental Repayments'!$I$31),-PMT('Interest Rate'!$J$16,'Incremental Repayments'!$I$31,(HLOOKUP($D87,$E$4:$CZ$32,28,FALSE)*'Incremental Repayments'!$I$22)),0),0)</f>
        <v>0</v>
      </c>
      <c r="CX87" s="783">
        <f>IF('Incremental Repayments'!$R$22="Debt",IF(AND(CX$4&gt;=$D87,CX$4&lt;$D87+'Incremental Repayments'!$I$31),-PMT('Interest Rate'!$J$16,'Incremental Repayments'!$I$31,(HLOOKUP($D87,$E$4:$CZ$32,28,FALSE)*'Incremental Repayments'!$I$22)),0),0)</f>
        <v>0</v>
      </c>
      <c r="CY87" s="783">
        <f>IF('Incremental Repayments'!$R$22="Debt",IF(AND(CY$4&gt;=$D87,CY$4&lt;$D87+'Incremental Repayments'!$I$31),-PMT('Interest Rate'!$J$16,'Incremental Repayments'!$I$31,(HLOOKUP($D87,$E$4:$CZ$32,28,FALSE)*'Incremental Repayments'!$I$22)),0),0)</f>
        <v>0</v>
      </c>
      <c r="CZ87" s="783">
        <f>IF('Incremental Repayments'!$R$22="Debt",IF(AND(CZ$4&gt;=$D87,CZ$4&lt;$D87+'Incremental Repayments'!$I$31),-PMT('Interest Rate'!$J$16,'Incremental Repayments'!$I$31,(HLOOKUP($D87,$E$4:$CZ$32,28,FALSE)*'Incremental Repayments'!$I$22)),0),0)</f>
        <v>0</v>
      </c>
    </row>
    <row r="88" spans="2:104" x14ac:dyDescent="0.25">
      <c r="B88" s="480" t="str">
        <f>CONCATENATE("Series ",D88,"A Bonds (at ",'Interest Rate'!$J$16*100,"% Interest)")</f>
        <v>Series 2066A Bonds (at 4.5% Interest)</v>
      </c>
      <c r="C88" s="480"/>
      <c r="D88" s="492">
        <f t="shared" si="47"/>
        <v>2066</v>
      </c>
      <c r="E88" s="783">
        <f>IF('Incremental Repayments'!$R$22="Debt",IF(AND(E$4&gt;=$D88,E$4&lt;$D88+'Incremental Repayments'!$I$31),-PMT('Interest Rate'!$J$16,'Incremental Repayments'!$I$31,(HLOOKUP($D88,$E$4:$CZ$32,28,FALSE)*'Incremental Repayments'!$I$22)),0),0)</f>
        <v>0</v>
      </c>
      <c r="F88" s="783">
        <f>IF('Incremental Repayments'!$R$22="Debt",IF(AND(F$4&gt;=$D88,F$4&lt;$D88+'Incremental Repayments'!$I$31),-PMT('Interest Rate'!$J$16,'Incremental Repayments'!$I$31,(HLOOKUP($D88,$E$4:$CZ$32,28,FALSE)*'Incremental Repayments'!$I$22)),0),0)</f>
        <v>0</v>
      </c>
      <c r="G88" s="783">
        <f>IF('Incremental Repayments'!$R$22="Debt",IF(AND(G$4&gt;=$D88,G$4&lt;$D88+'Incremental Repayments'!$I$31),-PMT('Interest Rate'!$J$16,'Incremental Repayments'!$I$31,(HLOOKUP($D88,$E$4:$CZ$32,28,FALSE)*'Incremental Repayments'!$I$22)),0),0)</f>
        <v>0</v>
      </c>
      <c r="H88" s="783">
        <f>IF('Incremental Repayments'!$R$22="Debt",IF(AND(H$4&gt;=$D88,H$4&lt;$D88+'Incremental Repayments'!$I$31),-PMT('Interest Rate'!$J$16,'Incremental Repayments'!$I$31,(HLOOKUP($D88,$E$4:$CZ$32,28,FALSE)*'Incremental Repayments'!$I$22)),0),0)</f>
        <v>0</v>
      </c>
      <c r="I88" s="783">
        <f>IF('Incremental Repayments'!$R$22="Debt",IF(AND(I$4&gt;=$D88,I$4&lt;$D88+'Incremental Repayments'!$I$31),-PMT('Interest Rate'!$J$16,'Incremental Repayments'!$I$31,(HLOOKUP($D88,$E$4:$CZ$32,28,FALSE)*'Incremental Repayments'!$I$22)),0),0)</f>
        <v>0</v>
      </c>
      <c r="J88" s="783">
        <f>IF('Incremental Repayments'!$R$22="Debt",IF(AND(J$4&gt;=$D88,J$4&lt;$D88+'Incremental Repayments'!$I$31),-PMT('Interest Rate'!$J$16,'Incremental Repayments'!$I$31,(HLOOKUP($D88,$E$4:$CZ$32,28,FALSE)*'Incremental Repayments'!$I$22)),0),0)</f>
        <v>0</v>
      </c>
      <c r="K88" s="783">
        <f>IF('Incremental Repayments'!$R$22="Debt",IF(AND(K$4&gt;=$D88,K$4&lt;$D88+'Incremental Repayments'!$I$31),-PMT('Interest Rate'!$J$16,'Incremental Repayments'!$I$31,(HLOOKUP($D88,$E$4:$CZ$32,28,FALSE)*'Incremental Repayments'!$I$22)),0),0)</f>
        <v>0</v>
      </c>
      <c r="L88" s="783">
        <f>IF('Incremental Repayments'!$R$22="Debt",IF(AND(L$4&gt;=$D88,L$4&lt;$D88+'Incremental Repayments'!$I$31),-PMT('Interest Rate'!$J$16,'Incremental Repayments'!$I$31,(HLOOKUP($D88,$E$4:$CZ$32,28,FALSE)*'Incremental Repayments'!$I$22)),0),0)</f>
        <v>0</v>
      </c>
      <c r="M88" s="783">
        <f>IF('Incremental Repayments'!$R$22="Debt",IF(AND(M$4&gt;=$D88,M$4&lt;$D88+'Incremental Repayments'!$I$31),-PMT('Interest Rate'!$J$16,'Incremental Repayments'!$I$31,(HLOOKUP($D88,$E$4:$CZ$32,28,FALSE)*'Incremental Repayments'!$I$22)),0),0)</f>
        <v>0</v>
      </c>
      <c r="N88" s="783">
        <f>IF('Incremental Repayments'!$R$22="Debt",IF(AND(N$4&gt;=$D88,N$4&lt;$D88+'Incremental Repayments'!$I$31),-PMT('Interest Rate'!$J$16,'Incremental Repayments'!$I$31,(HLOOKUP($D88,$E$4:$CZ$32,28,FALSE)*'Incremental Repayments'!$I$22)),0),0)</f>
        <v>0</v>
      </c>
      <c r="O88" s="783">
        <f>IF('Incremental Repayments'!$R$22="Debt",IF(AND(O$4&gt;=$D88,O$4&lt;$D88+'Incremental Repayments'!$I$31),-PMT('Interest Rate'!$J$16,'Incremental Repayments'!$I$31,(HLOOKUP($D88,$E$4:$CZ$32,28,FALSE)*'Incremental Repayments'!$I$22)),0),0)</f>
        <v>0</v>
      </c>
      <c r="P88" s="783">
        <f>IF('Incremental Repayments'!$R$22="Debt",IF(AND(P$4&gt;=$D88,P$4&lt;$D88+'Incremental Repayments'!$I$31),-PMT('Interest Rate'!$J$16,'Incremental Repayments'!$I$31,(HLOOKUP($D88,$E$4:$CZ$32,28,FALSE)*'Incremental Repayments'!$I$22)),0),0)</f>
        <v>0</v>
      </c>
      <c r="Q88" s="783">
        <f>IF('Incremental Repayments'!$R$22="Debt",IF(AND(Q$4&gt;=$D88,Q$4&lt;$D88+'Incremental Repayments'!$I$31),-PMT('Interest Rate'!$J$16,'Incremental Repayments'!$I$31,(HLOOKUP($D88,$E$4:$CZ$32,28,FALSE)*'Incremental Repayments'!$I$22)),0),0)</f>
        <v>0</v>
      </c>
      <c r="R88" s="783">
        <f>IF('Incremental Repayments'!$R$22="Debt",IF(AND(R$4&gt;=$D88,R$4&lt;$D88+'Incremental Repayments'!$I$31),-PMT('Interest Rate'!$J$16,'Incremental Repayments'!$I$31,(HLOOKUP($D88,$E$4:$CZ$32,28,FALSE)*'Incremental Repayments'!$I$22)),0),0)</f>
        <v>0</v>
      </c>
      <c r="S88" s="783">
        <f>IF('Incremental Repayments'!$R$22="Debt",IF(AND(S$4&gt;=$D88,S$4&lt;$D88+'Incremental Repayments'!$I$31),-PMT('Interest Rate'!$J$16,'Incremental Repayments'!$I$31,(HLOOKUP($D88,$E$4:$CZ$32,28,FALSE)*'Incremental Repayments'!$I$22)),0),0)</f>
        <v>0</v>
      </c>
      <c r="T88" s="783">
        <f>IF('Incremental Repayments'!$R$22="Debt",IF(AND(T$4&gt;=$D88,T$4&lt;$D88+'Incremental Repayments'!$I$31),-PMT('Interest Rate'!$J$16,'Incremental Repayments'!$I$31,(HLOOKUP($D88,$E$4:$CZ$32,28,FALSE)*'Incremental Repayments'!$I$22)),0),0)</f>
        <v>0</v>
      </c>
      <c r="U88" s="783">
        <f>IF('Incremental Repayments'!$R$22="Debt",IF(AND(U$4&gt;=$D88,U$4&lt;$D88+'Incremental Repayments'!$I$31),-PMT('Interest Rate'!$J$16,'Incremental Repayments'!$I$31,(HLOOKUP($D88,$E$4:$CZ$32,28,FALSE)*'Incremental Repayments'!$I$22)),0),0)</f>
        <v>0</v>
      </c>
      <c r="V88" s="783">
        <f>IF('Incremental Repayments'!$R$22="Debt",IF(AND(V$4&gt;=$D88,V$4&lt;$D88+'Incremental Repayments'!$I$31),-PMT('Interest Rate'!$J$16,'Incremental Repayments'!$I$31,(HLOOKUP($D88,$E$4:$CZ$32,28,FALSE)*'Incremental Repayments'!$I$22)),0),0)</f>
        <v>0</v>
      </c>
      <c r="W88" s="783">
        <f>IF('Incremental Repayments'!$R$22="Debt",IF(AND(W$4&gt;=$D88,W$4&lt;$D88+'Incremental Repayments'!$I$31),-PMT('Interest Rate'!$J$16,'Incremental Repayments'!$I$31,(HLOOKUP($D88,$E$4:$CZ$32,28,FALSE)*'Incremental Repayments'!$I$22)),0),0)</f>
        <v>0</v>
      </c>
      <c r="X88" s="783">
        <f>IF('Incremental Repayments'!$R$22="Debt",IF(AND(X$4&gt;=$D88,X$4&lt;$D88+'Incremental Repayments'!$I$31),-PMT('Interest Rate'!$J$16,'Incremental Repayments'!$I$31,(HLOOKUP($D88,$E$4:$CZ$32,28,FALSE)*'Incremental Repayments'!$I$22)),0),0)</f>
        <v>0</v>
      </c>
      <c r="Y88" s="783">
        <f>IF('Incremental Repayments'!$R$22="Debt",IF(AND(Y$4&gt;=$D88,Y$4&lt;$D88+'Incremental Repayments'!$I$31),-PMT('Interest Rate'!$J$16,'Incremental Repayments'!$I$31,(HLOOKUP($D88,$E$4:$CZ$32,28,FALSE)*'Incremental Repayments'!$I$22)),0),0)</f>
        <v>0</v>
      </c>
      <c r="Z88" s="783">
        <f>IF('Incremental Repayments'!$R$22="Debt",IF(AND(Z$4&gt;=$D88,Z$4&lt;$D88+'Incremental Repayments'!$I$31),-PMT('Interest Rate'!$J$16,'Incremental Repayments'!$I$31,(HLOOKUP($D88,$E$4:$CZ$32,28,FALSE)*'Incremental Repayments'!$I$22)),0),0)</f>
        <v>0</v>
      </c>
      <c r="AA88" s="783">
        <f>IF('Incremental Repayments'!$R$22="Debt",IF(AND(AA$4&gt;=$D88,AA$4&lt;$D88+'Incremental Repayments'!$I$31),-PMT('Interest Rate'!$J$16,'Incremental Repayments'!$I$31,(HLOOKUP($D88,$E$4:$CZ$32,28,FALSE)*'Incremental Repayments'!$I$22)),0),0)</f>
        <v>0</v>
      </c>
      <c r="AB88" s="783">
        <f>IF('Incremental Repayments'!$R$22="Debt",IF(AND(AB$4&gt;=$D88,AB$4&lt;$D88+'Incremental Repayments'!$I$31),-PMT('Interest Rate'!$J$16,'Incremental Repayments'!$I$31,(HLOOKUP($D88,$E$4:$CZ$32,28,FALSE)*'Incremental Repayments'!$I$22)),0),0)</f>
        <v>0</v>
      </c>
      <c r="AC88" s="783">
        <f>IF('Incremental Repayments'!$R$22="Debt",IF(AND(AC$4&gt;=$D88,AC$4&lt;$D88+'Incremental Repayments'!$I$31),-PMT('Interest Rate'!$J$16,'Incremental Repayments'!$I$31,(HLOOKUP($D88,$E$4:$CZ$32,28,FALSE)*'Incremental Repayments'!$I$22)),0),0)</f>
        <v>0</v>
      </c>
      <c r="AD88" s="783">
        <f>IF('Incremental Repayments'!$R$22="Debt",IF(AND(AD$4&gt;=$D88,AD$4&lt;$D88+'Incremental Repayments'!$I$31),-PMT('Interest Rate'!$J$16,'Incremental Repayments'!$I$31,(HLOOKUP($D88,$E$4:$CZ$32,28,FALSE)*'Incremental Repayments'!$I$22)),0),0)</f>
        <v>0</v>
      </c>
      <c r="AE88" s="783">
        <f>IF('Incremental Repayments'!$R$22="Debt",IF(AND(AE$4&gt;=$D88,AE$4&lt;$D88+'Incremental Repayments'!$I$31),-PMT('Interest Rate'!$J$16,'Incremental Repayments'!$I$31,(HLOOKUP($D88,$E$4:$CZ$32,28,FALSE)*'Incremental Repayments'!$I$22)),0),0)</f>
        <v>0</v>
      </c>
      <c r="AF88" s="783">
        <f>IF('Incremental Repayments'!$R$22="Debt",IF(AND(AF$4&gt;=$D88,AF$4&lt;$D88+'Incremental Repayments'!$I$31),-PMT('Interest Rate'!$J$16,'Incremental Repayments'!$I$31,(HLOOKUP($D88,$E$4:$CZ$32,28,FALSE)*'Incremental Repayments'!$I$22)),0),0)</f>
        <v>0</v>
      </c>
      <c r="AG88" s="783">
        <f>IF('Incremental Repayments'!$R$22="Debt",IF(AND(AG$4&gt;=$D88,AG$4&lt;$D88+'Incremental Repayments'!$I$31),-PMT('Interest Rate'!$J$16,'Incremental Repayments'!$I$31,(HLOOKUP($D88,$E$4:$CZ$32,28,FALSE)*'Incremental Repayments'!$I$22)),0),0)</f>
        <v>0</v>
      </c>
      <c r="AH88" s="783">
        <f>IF('Incremental Repayments'!$R$22="Debt",IF(AND(AH$4&gt;=$D88,AH$4&lt;$D88+'Incremental Repayments'!$I$31),-PMT('Interest Rate'!$J$16,'Incremental Repayments'!$I$31,(HLOOKUP($D88,$E$4:$CZ$32,28,FALSE)*'Incremental Repayments'!$I$22)),0),0)</f>
        <v>0</v>
      </c>
      <c r="AI88" s="783">
        <f>IF('Incremental Repayments'!$R$22="Debt",IF(AND(AI$4&gt;=$D88,AI$4&lt;$D88+'Incremental Repayments'!$I$31),-PMT('Interest Rate'!$J$16,'Incremental Repayments'!$I$31,(HLOOKUP($D88,$E$4:$CZ$32,28,FALSE)*'Incremental Repayments'!$I$22)),0),0)</f>
        <v>0</v>
      </c>
      <c r="AJ88" s="783">
        <f>IF('Incremental Repayments'!$R$22="Debt",IF(AND(AJ$4&gt;=$D88,AJ$4&lt;$D88+'Incremental Repayments'!$I$31),-PMT('Interest Rate'!$J$16,'Incremental Repayments'!$I$31,(HLOOKUP($D88,$E$4:$CZ$32,28,FALSE)*'Incremental Repayments'!$I$22)),0),0)</f>
        <v>0</v>
      </c>
      <c r="AK88" s="783">
        <f>IF('Incremental Repayments'!$R$22="Debt",IF(AND(AK$4&gt;=$D88,AK$4&lt;$D88+'Incremental Repayments'!$I$31),-PMT('Interest Rate'!$J$16,'Incremental Repayments'!$I$31,(HLOOKUP($D88,$E$4:$CZ$32,28,FALSE)*'Incremental Repayments'!$I$22)),0),0)</f>
        <v>0</v>
      </c>
      <c r="AL88" s="783">
        <f>IF('Incremental Repayments'!$R$22="Debt",IF(AND(AL$4&gt;=$D88,AL$4&lt;$D88+'Incremental Repayments'!$I$31),-PMT('Interest Rate'!$J$16,'Incremental Repayments'!$I$31,(HLOOKUP($D88,$E$4:$CZ$32,28,FALSE)*'Incremental Repayments'!$I$22)),0),0)</f>
        <v>0</v>
      </c>
      <c r="AM88" s="783">
        <f>IF('Incremental Repayments'!$R$22="Debt",IF(AND(AM$4&gt;=$D88,AM$4&lt;$D88+'Incremental Repayments'!$I$31),-PMT('Interest Rate'!$J$16,'Incremental Repayments'!$I$31,(HLOOKUP($D88,$E$4:$CZ$32,28,FALSE)*'Incremental Repayments'!$I$22)),0),0)</f>
        <v>0</v>
      </c>
      <c r="AN88" s="783">
        <f>IF('Incremental Repayments'!$R$22="Debt",IF(AND(AN$4&gt;=$D88,AN$4&lt;$D88+'Incremental Repayments'!$I$31),-PMT('Interest Rate'!$J$16,'Incremental Repayments'!$I$31,(HLOOKUP($D88,$E$4:$CZ$32,28,FALSE)*'Incremental Repayments'!$I$22)),0),0)</f>
        <v>0</v>
      </c>
      <c r="AO88" s="783">
        <f>IF('Incremental Repayments'!$R$22="Debt",IF(AND(AO$4&gt;=$D88,AO$4&lt;$D88+'Incremental Repayments'!$I$31),-PMT('Interest Rate'!$J$16,'Incremental Repayments'!$I$31,(HLOOKUP($D88,$E$4:$CZ$32,28,FALSE)*'Incremental Repayments'!$I$22)),0),0)</f>
        <v>0</v>
      </c>
      <c r="AP88" s="783">
        <f>IF('Incremental Repayments'!$R$22="Debt",IF(AND(AP$4&gt;=$D88,AP$4&lt;$D88+'Incremental Repayments'!$I$31),-PMT('Interest Rate'!$J$16,'Incremental Repayments'!$I$31,(HLOOKUP($D88,$E$4:$CZ$32,28,FALSE)*'Incremental Repayments'!$I$22)),0),0)</f>
        <v>0</v>
      </c>
      <c r="AQ88" s="783">
        <f>IF('Incremental Repayments'!$R$22="Debt",IF(AND(AQ$4&gt;=$D88,AQ$4&lt;$D88+'Incremental Repayments'!$I$31),-PMT('Interest Rate'!$J$16,'Incremental Repayments'!$I$31,(HLOOKUP($D88,$E$4:$CZ$32,28,FALSE)*'Incremental Repayments'!$I$22)),0),0)</f>
        <v>0</v>
      </c>
      <c r="AR88" s="783">
        <f>IF('Incremental Repayments'!$R$22="Debt",IF(AND(AR$4&gt;=$D88,AR$4&lt;$D88+'Incremental Repayments'!$I$31),-PMT('Interest Rate'!$J$16,'Incremental Repayments'!$I$31,(HLOOKUP($D88,$E$4:$CZ$32,28,FALSE)*'Incremental Repayments'!$I$22)),0),0)</f>
        <v>0</v>
      </c>
      <c r="AS88" s="783">
        <f>IF('Incremental Repayments'!$R$22="Debt",IF(AND(AS$4&gt;=$D88,AS$4&lt;$D88+'Incremental Repayments'!$I$31),-PMT('Interest Rate'!$J$16,'Incremental Repayments'!$I$31,(HLOOKUP($D88,$E$4:$CZ$32,28,FALSE)*'Incremental Repayments'!$I$22)),0),0)</f>
        <v>0</v>
      </c>
      <c r="AT88" s="783">
        <f>IF('Incremental Repayments'!$R$22="Debt",IF(AND(AT$4&gt;=$D88,AT$4&lt;$D88+'Incremental Repayments'!$I$31),-PMT('Interest Rate'!$J$16,'Incremental Repayments'!$I$31,(HLOOKUP($D88,$E$4:$CZ$32,28,FALSE)*'Incremental Repayments'!$I$22)),0),0)</f>
        <v>0</v>
      </c>
      <c r="AU88" s="783">
        <f>IF('Incremental Repayments'!$R$22="Debt",IF(AND(AU$4&gt;=$D88,AU$4&lt;$D88+'Incremental Repayments'!$I$31),-PMT('Interest Rate'!$J$16,'Incremental Repayments'!$I$31,(HLOOKUP($D88,$E$4:$CZ$32,28,FALSE)*'Incremental Repayments'!$I$22)),0),0)</f>
        <v>0</v>
      </c>
      <c r="AV88" s="783">
        <f>IF('Incremental Repayments'!$R$22="Debt",IF(AND(AV$4&gt;=$D88,AV$4&lt;$D88+'Incremental Repayments'!$I$31),-PMT('Interest Rate'!$J$16,'Incremental Repayments'!$I$31,(HLOOKUP($D88,$E$4:$CZ$32,28,FALSE)*'Incremental Repayments'!$I$22)),0),0)</f>
        <v>0</v>
      </c>
      <c r="AW88" s="783">
        <f>IF('Incremental Repayments'!$R$22="Debt",IF(AND(AW$4&gt;=$D88,AW$4&lt;$D88+'Incremental Repayments'!$I$31),-PMT('Interest Rate'!$J$16,'Incremental Repayments'!$I$31,(HLOOKUP($D88,$E$4:$CZ$32,28,FALSE)*'Incremental Repayments'!$I$22)),0),0)</f>
        <v>0</v>
      </c>
      <c r="AX88" s="783">
        <f>IF('Incremental Repayments'!$R$22="Debt",IF(AND(AX$4&gt;=$D88,AX$4&lt;$D88+'Incremental Repayments'!$I$31),-PMT('Interest Rate'!$J$16,'Incremental Repayments'!$I$31,(HLOOKUP($D88,$E$4:$CZ$32,28,FALSE)*'Incremental Repayments'!$I$22)),0),0)</f>
        <v>0</v>
      </c>
      <c r="AY88" s="783">
        <f>IF('Incremental Repayments'!$R$22="Debt",IF(AND(AY$4&gt;=$D88,AY$4&lt;$D88+'Incremental Repayments'!$I$31),-PMT('Interest Rate'!$J$16,'Incremental Repayments'!$I$31,(HLOOKUP($D88,$E$4:$CZ$32,28,FALSE)*'Incremental Repayments'!$I$22)),0),0)</f>
        <v>0</v>
      </c>
      <c r="AZ88" s="783">
        <f>IF('Incremental Repayments'!$R$22="Debt",IF(AND(AZ$4&gt;=$D88,AZ$4&lt;$D88+'Incremental Repayments'!$I$31),-PMT('Interest Rate'!$J$16,'Incremental Repayments'!$I$31,(HLOOKUP($D88,$E$4:$CZ$32,28,FALSE)*'Incremental Repayments'!$I$22)),0),0)</f>
        <v>0</v>
      </c>
      <c r="BA88" s="783">
        <f>IF('Incremental Repayments'!$R$22="Debt",IF(AND(BA$4&gt;=$D88,BA$4&lt;$D88+'Incremental Repayments'!$I$31),-PMT('Interest Rate'!$J$16,'Incremental Repayments'!$I$31,(HLOOKUP($D88,$E$4:$CZ$32,28,FALSE)*'Incremental Repayments'!$I$22)),0),0)</f>
        <v>0</v>
      </c>
      <c r="BB88" s="783">
        <f>IF('Incremental Repayments'!$R$22="Debt",IF(AND(BB$4&gt;=$D88,BB$4&lt;$D88+'Incremental Repayments'!$I$31),-PMT('Interest Rate'!$J$16,'Incremental Repayments'!$I$31,(HLOOKUP($D88,$E$4:$CZ$32,28,FALSE)*'Incremental Repayments'!$I$22)),0),0)</f>
        <v>0</v>
      </c>
      <c r="BC88" s="783">
        <f>IF('Incremental Repayments'!$R$22="Debt",IF(AND(BC$4&gt;=$D88,BC$4&lt;$D88+'Incremental Repayments'!$I$31),-PMT('Interest Rate'!$J$16,'Incremental Repayments'!$I$31,(HLOOKUP($D88,$E$4:$CZ$32,28,FALSE)*'Incremental Repayments'!$I$22)),0),0)</f>
        <v>0</v>
      </c>
      <c r="BD88" s="783">
        <f>IF('Incremental Repayments'!$R$22="Debt",IF(AND(BD$4&gt;=$D88,BD$4&lt;$D88+'Incremental Repayments'!$I$31),-PMT('Interest Rate'!$J$16,'Incremental Repayments'!$I$31,(HLOOKUP($D88,$E$4:$CZ$32,28,FALSE)*'Incremental Repayments'!$I$22)),0),0)</f>
        <v>0</v>
      </c>
      <c r="BE88" s="783">
        <f>IF('Incremental Repayments'!$R$22="Debt",IF(AND(BE$4&gt;=$D88,BE$4&lt;$D88+'Incremental Repayments'!$I$31),-PMT('Interest Rate'!$J$16,'Incremental Repayments'!$I$31,(HLOOKUP($D88,$E$4:$CZ$32,28,FALSE)*'Incremental Repayments'!$I$22)),0),0)</f>
        <v>0</v>
      </c>
      <c r="BF88" s="783">
        <f>IF('Incremental Repayments'!$R$22="Debt",IF(AND(BF$4&gt;=$D88,BF$4&lt;$D88+'Incremental Repayments'!$I$31),-PMT('Interest Rate'!$J$16,'Incremental Repayments'!$I$31,(HLOOKUP($D88,$E$4:$CZ$32,28,FALSE)*'Incremental Repayments'!$I$22)),0),0)</f>
        <v>0</v>
      </c>
      <c r="BG88" s="783">
        <f>IF('Incremental Repayments'!$R$22="Debt",IF(AND(BG$4&gt;=$D88,BG$4&lt;$D88+'Incremental Repayments'!$I$31),-PMT('Interest Rate'!$J$16,'Incremental Repayments'!$I$31,(HLOOKUP($D88,$E$4:$CZ$32,28,FALSE)*'Incremental Repayments'!$I$22)),0),0)</f>
        <v>0</v>
      </c>
      <c r="BH88" s="783">
        <f>IF('Incremental Repayments'!$R$22="Debt",IF(AND(BH$4&gt;=$D88,BH$4&lt;$D88+'Incremental Repayments'!$I$31),-PMT('Interest Rate'!$J$16,'Incremental Repayments'!$I$31,(HLOOKUP($D88,$E$4:$CZ$32,28,FALSE)*'Incremental Repayments'!$I$22)),0),0)</f>
        <v>0</v>
      </c>
      <c r="BI88" s="783">
        <f>IF('Incremental Repayments'!$R$22="Debt",IF(AND(BI$4&gt;=$D88,BI$4&lt;$D88+'Incremental Repayments'!$I$31),-PMT('Interest Rate'!$J$16,'Incremental Repayments'!$I$31,(HLOOKUP($D88,$E$4:$CZ$32,28,FALSE)*'Incremental Repayments'!$I$22)),0),0)</f>
        <v>0</v>
      </c>
      <c r="BJ88" s="783">
        <f>IF('Incremental Repayments'!$R$22="Debt",IF(AND(BJ$4&gt;=$D88,BJ$4&lt;$D88+'Incremental Repayments'!$I$31),-PMT('Interest Rate'!$J$16,'Incremental Repayments'!$I$31,(HLOOKUP($D88,$E$4:$CZ$32,28,FALSE)*'Incremental Repayments'!$I$22)),0),0)</f>
        <v>0</v>
      </c>
      <c r="BK88" s="783">
        <f>IF('Incremental Repayments'!$R$22="Debt",IF(AND(BK$4&gt;=$D88,BK$4&lt;$D88+'Incremental Repayments'!$I$31),-PMT('Interest Rate'!$J$16,'Incremental Repayments'!$I$31,(HLOOKUP($D88,$E$4:$CZ$32,28,FALSE)*'Incremental Repayments'!$I$22)),0),0)</f>
        <v>0</v>
      </c>
      <c r="BL88" s="783">
        <f>IF('Incremental Repayments'!$R$22="Debt",IF(AND(BL$4&gt;=$D88,BL$4&lt;$D88+'Incremental Repayments'!$I$31),-PMT('Interest Rate'!$J$16,'Incremental Repayments'!$I$31,(HLOOKUP($D88,$E$4:$CZ$32,28,FALSE)*'Incremental Repayments'!$I$22)),0),0)</f>
        <v>0</v>
      </c>
      <c r="BM88" s="783">
        <f>IF('Incremental Repayments'!$R$22="Debt",IF(AND(BM$4&gt;=$D88,BM$4&lt;$D88+'Incremental Repayments'!$I$31),-PMT('Interest Rate'!$J$16,'Incremental Repayments'!$I$31,(HLOOKUP($D88,$E$4:$CZ$32,28,FALSE)*'Incremental Repayments'!$I$22)),0),0)</f>
        <v>0</v>
      </c>
      <c r="BN88" s="783">
        <f>IF('Incremental Repayments'!$R$22="Debt",IF(AND(BN$4&gt;=$D88,BN$4&lt;$D88+'Incremental Repayments'!$I$31),-PMT('Interest Rate'!$J$16,'Incremental Repayments'!$I$31,(HLOOKUP($D88,$E$4:$CZ$32,28,FALSE)*'Incremental Repayments'!$I$22)),0),0)</f>
        <v>0</v>
      </c>
      <c r="BO88" s="783">
        <f>IF('Incremental Repayments'!$R$22="Debt",IF(AND(BO$4&gt;=$D88,BO$4&lt;$D88+'Incremental Repayments'!$I$31),-PMT('Interest Rate'!$J$16,'Incremental Repayments'!$I$31,(HLOOKUP($D88,$E$4:$CZ$32,28,FALSE)*'Incremental Repayments'!$I$22)),0),0)</f>
        <v>0</v>
      </c>
      <c r="BP88" s="783">
        <f>IF('Incremental Repayments'!$R$22="Debt",IF(AND(BP$4&gt;=$D88,BP$4&lt;$D88+'Incremental Repayments'!$I$31),-PMT('Interest Rate'!$J$16,'Incremental Repayments'!$I$31,(HLOOKUP($D88,$E$4:$CZ$32,28,FALSE)*'Incremental Repayments'!$I$22)),0),0)</f>
        <v>0</v>
      </c>
      <c r="BQ88" s="783">
        <f>IF('Incremental Repayments'!$R$22="Debt",IF(AND(BQ$4&gt;=$D88,BQ$4&lt;$D88+'Incremental Repayments'!$I$31),-PMT('Interest Rate'!$J$16,'Incremental Repayments'!$I$31,(HLOOKUP($D88,$E$4:$CZ$32,28,FALSE)*'Incremental Repayments'!$I$22)),0),0)</f>
        <v>0</v>
      </c>
      <c r="BR88" s="783">
        <f>IF('Incremental Repayments'!$R$22="Debt",IF(AND(BR$4&gt;=$D88,BR$4&lt;$D88+'Incremental Repayments'!$I$31),-PMT('Interest Rate'!$J$16,'Incremental Repayments'!$I$31,(HLOOKUP($D88,$E$4:$CZ$32,28,FALSE)*'Incremental Repayments'!$I$22)),0),0)</f>
        <v>0</v>
      </c>
      <c r="BS88" s="783">
        <f>IF('Incremental Repayments'!$R$22="Debt",IF(AND(BS$4&gt;=$D88,BS$4&lt;$D88+'Incremental Repayments'!$I$31),-PMT('Interest Rate'!$J$16,'Incremental Repayments'!$I$31,(HLOOKUP($D88,$E$4:$CZ$32,28,FALSE)*'Incremental Repayments'!$I$22)),0),0)</f>
        <v>0</v>
      </c>
      <c r="BT88" s="783">
        <f>IF('Incremental Repayments'!$R$22="Debt",IF(AND(BT$4&gt;=$D88,BT$4&lt;$D88+'Incremental Repayments'!$I$31),-PMT('Interest Rate'!$J$16,'Incremental Repayments'!$I$31,(HLOOKUP($D88,$E$4:$CZ$32,28,FALSE)*'Incremental Repayments'!$I$22)),0),0)</f>
        <v>0</v>
      </c>
      <c r="BU88" s="783">
        <f>IF('Incremental Repayments'!$R$22="Debt",IF(AND(BU$4&gt;=$D88,BU$4&lt;$D88+'Incremental Repayments'!$I$31),-PMT('Interest Rate'!$J$16,'Incremental Repayments'!$I$31,(HLOOKUP($D88,$E$4:$CZ$32,28,FALSE)*'Incremental Repayments'!$I$22)),0),0)</f>
        <v>0</v>
      </c>
      <c r="BV88" s="783">
        <f>IF('Incremental Repayments'!$R$22="Debt",IF(AND(BV$4&gt;=$D88,BV$4&lt;$D88+'Incremental Repayments'!$I$31),-PMT('Interest Rate'!$J$16,'Incremental Repayments'!$I$31,(HLOOKUP($D88,$E$4:$CZ$32,28,FALSE)*'Incremental Repayments'!$I$22)),0),0)</f>
        <v>0</v>
      </c>
      <c r="BW88" s="783">
        <f>IF('Incremental Repayments'!$R$22="Debt",IF(AND(BW$4&gt;=$D88,BW$4&lt;$D88+'Incremental Repayments'!$I$31),-PMT('Interest Rate'!$J$16,'Incremental Repayments'!$I$31,(HLOOKUP($D88,$E$4:$CZ$32,28,FALSE)*'Incremental Repayments'!$I$22)),0),0)</f>
        <v>0</v>
      </c>
      <c r="BX88" s="783">
        <f>IF('Incremental Repayments'!$R$22="Debt",IF(AND(BX$4&gt;=$D88,BX$4&lt;$D88+'Incremental Repayments'!$I$31),-PMT('Interest Rate'!$J$16,'Incremental Repayments'!$I$31,(HLOOKUP($D88,$E$4:$CZ$32,28,FALSE)*'Incremental Repayments'!$I$22)),0),0)</f>
        <v>0</v>
      </c>
      <c r="BY88" s="783">
        <f>IF('Incremental Repayments'!$R$22="Debt",IF(AND(BY$4&gt;=$D88,BY$4&lt;$D88+'Incremental Repayments'!$I$31),-PMT('Interest Rate'!$J$16,'Incremental Repayments'!$I$31,(HLOOKUP($D88,$E$4:$CZ$32,28,FALSE)*'Incremental Repayments'!$I$22)),0),0)</f>
        <v>0</v>
      </c>
      <c r="BZ88" s="783">
        <f>IF('Incremental Repayments'!$R$22="Debt",IF(AND(BZ$4&gt;=$D88,BZ$4&lt;$D88+'Incremental Repayments'!$I$31),-PMT('Interest Rate'!$J$16,'Incremental Repayments'!$I$31,(HLOOKUP($D88,$E$4:$CZ$32,28,FALSE)*'Incremental Repayments'!$I$22)),0),0)</f>
        <v>0</v>
      </c>
      <c r="CA88" s="783">
        <f>IF('Incremental Repayments'!$R$22="Debt",IF(AND(CA$4&gt;=$D88,CA$4&lt;$D88+'Incremental Repayments'!$I$31),-PMT('Interest Rate'!$J$16,'Incremental Repayments'!$I$31,(HLOOKUP($D88,$E$4:$CZ$32,28,FALSE)*'Incremental Repayments'!$I$22)),0),0)</f>
        <v>0</v>
      </c>
      <c r="CB88" s="783">
        <f>IF('Incremental Repayments'!$R$22="Debt",IF(AND(CB$4&gt;=$D88,CB$4&lt;$D88+'Incremental Repayments'!$I$31),-PMT('Interest Rate'!$J$16,'Incremental Repayments'!$I$31,(HLOOKUP($D88,$E$4:$CZ$32,28,FALSE)*'Incremental Repayments'!$I$22)),0),0)</f>
        <v>0</v>
      </c>
      <c r="CC88" s="783">
        <f>IF('Incremental Repayments'!$R$22="Debt",IF(AND(CC$4&gt;=$D88,CC$4&lt;$D88+'Incremental Repayments'!$I$31),-PMT('Interest Rate'!$J$16,'Incremental Repayments'!$I$31,(HLOOKUP($D88,$E$4:$CZ$32,28,FALSE)*'Incremental Repayments'!$I$22)),0),0)</f>
        <v>0</v>
      </c>
      <c r="CD88" s="783">
        <f>IF('Incremental Repayments'!$R$22="Debt",IF(AND(CD$4&gt;=$D88,CD$4&lt;$D88+'Incremental Repayments'!$I$31),-PMT('Interest Rate'!$J$16,'Incremental Repayments'!$I$31,(HLOOKUP($D88,$E$4:$CZ$32,28,FALSE)*'Incremental Repayments'!$I$22)),0),0)</f>
        <v>0</v>
      </c>
      <c r="CE88" s="783">
        <f>IF('Incremental Repayments'!$R$22="Debt",IF(AND(CE$4&gt;=$D88,CE$4&lt;$D88+'Incremental Repayments'!$I$31),-PMT('Interest Rate'!$J$16,'Incremental Repayments'!$I$31,(HLOOKUP($D88,$E$4:$CZ$32,28,FALSE)*'Incremental Repayments'!$I$22)),0),0)</f>
        <v>0</v>
      </c>
      <c r="CF88" s="783">
        <f>IF('Incremental Repayments'!$R$22="Debt",IF(AND(CF$4&gt;=$D88,CF$4&lt;$D88+'Incremental Repayments'!$I$31),-PMT('Interest Rate'!$J$16,'Incremental Repayments'!$I$31,(HLOOKUP($D88,$E$4:$CZ$32,28,FALSE)*'Incremental Repayments'!$I$22)),0),0)</f>
        <v>0</v>
      </c>
      <c r="CG88" s="783">
        <f>IF('Incremental Repayments'!$R$22="Debt",IF(AND(CG$4&gt;=$D88,CG$4&lt;$D88+'Incremental Repayments'!$I$31),-PMT('Interest Rate'!$J$16,'Incremental Repayments'!$I$31,(HLOOKUP($D88,$E$4:$CZ$32,28,FALSE)*'Incremental Repayments'!$I$22)),0),0)</f>
        <v>0</v>
      </c>
      <c r="CH88" s="783">
        <f>IF('Incremental Repayments'!$R$22="Debt",IF(AND(CH$4&gt;=$D88,CH$4&lt;$D88+'Incremental Repayments'!$I$31),-PMT('Interest Rate'!$J$16,'Incremental Repayments'!$I$31,(HLOOKUP($D88,$E$4:$CZ$32,28,FALSE)*'Incremental Repayments'!$I$22)),0),0)</f>
        <v>0</v>
      </c>
      <c r="CI88" s="783">
        <f>IF('Incremental Repayments'!$R$22="Debt",IF(AND(CI$4&gt;=$D88,CI$4&lt;$D88+'Incremental Repayments'!$I$31),-PMT('Interest Rate'!$J$16,'Incremental Repayments'!$I$31,(HLOOKUP($D88,$E$4:$CZ$32,28,FALSE)*'Incremental Repayments'!$I$22)),0),0)</f>
        <v>0</v>
      </c>
      <c r="CJ88" s="783">
        <f>IF('Incremental Repayments'!$R$22="Debt",IF(AND(CJ$4&gt;=$D88,CJ$4&lt;$D88+'Incremental Repayments'!$I$31),-PMT('Interest Rate'!$J$16,'Incremental Repayments'!$I$31,(HLOOKUP($D88,$E$4:$CZ$32,28,FALSE)*'Incremental Repayments'!$I$22)),0),0)</f>
        <v>0</v>
      </c>
      <c r="CK88" s="783">
        <f>IF('Incremental Repayments'!$R$22="Debt",IF(AND(CK$4&gt;=$D88,CK$4&lt;$D88+'Incremental Repayments'!$I$31),-PMT('Interest Rate'!$J$16,'Incremental Repayments'!$I$31,(HLOOKUP($D88,$E$4:$CZ$32,28,FALSE)*'Incremental Repayments'!$I$22)),0),0)</f>
        <v>0</v>
      </c>
      <c r="CL88" s="783">
        <f>IF('Incremental Repayments'!$R$22="Debt",IF(AND(CL$4&gt;=$D88,CL$4&lt;$D88+'Incremental Repayments'!$I$31),-PMT('Interest Rate'!$J$16,'Incremental Repayments'!$I$31,(HLOOKUP($D88,$E$4:$CZ$32,28,FALSE)*'Incremental Repayments'!$I$22)),0),0)</f>
        <v>0</v>
      </c>
      <c r="CM88" s="783">
        <f>IF('Incremental Repayments'!$R$22="Debt",IF(AND(CM$4&gt;=$D88,CM$4&lt;$D88+'Incremental Repayments'!$I$31),-PMT('Interest Rate'!$J$16,'Incremental Repayments'!$I$31,(HLOOKUP($D88,$E$4:$CZ$32,28,FALSE)*'Incremental Repayments'!$I$22)),0),0)</f>
        <v>0</v>
      </c>
      <c r="CN88" s="783">
        <f>IF('Incremental Repayments'!$R$22="Debt",IF(AND(CN$4&gt;=$D88,CN$4&lt;$D88+'Incremental Repayments'!$I$31),-PMT('Interest Rate'!$J$16,'Incremental Repayments'!$I$31,(HLOOKUP($D88,$E$4:$CZ$32,28,FALSE)*'Incremental Repayments'!$I$22)),0),0)</f>
        <v>0</v>
      </c>
      <c r="CO88" s="783">
        <f>IF('Incremental Repayments'!$R$22="Debt",IF(AND(CO$4&gt;=$D88,CO$4&lt;$D88+'Incremental Repayments'!$I$31),-PMT('Interest Rate'!$J$16,'Incremental Repayments'!$I$31,(HLOOKUP($D88,$E$4:$CZ$32,28,FALSE)*'Incremental Repayments'!$I$22)),0),0)</f>
        <v>0</v>
      </c>
      <c r="CP88" s="783">
        <f>IF('Incremental Repayments'!$R$22="Debt",IF(AND(CP$4&gt;=$D88,CP$4&lt;$D88+'Incremental Repayments'!$I$31),-PMT('Interest Rate'!$J$16,'Incremental Repayments'!$I$31,(HLOOKUP($D88,$E$4:$CZ$32,28,FALSE)*'Incremental Repayments'!$I$22)),0),0)</f>
        <v>0</v>
      </c>
      <c r="CQ88" s="783">
        <f>IF('Incremental Repayments'!$R$22="Debt",IF(AND(CQ$4&gt;=$D88,CQ$4&lt;$D88+'Incremental Repayments'!$I$31),-PMT('Interest Rate'!$J$16,'Incremental Repayments'!$I$31,(HLOOKUP($D88,$E$4:$CZ$32,28,FALSE)*'Incremental Repayments'!$I$22)),0),0)</f>
        <v>0</v>
      </c>
      <c r="CR88" s="783">
        <f>IF('Incremental Repayments'!$R$22="Debt",IF(AND(CR$4&gt;=$D88,CR$4&lt;$D88+'Incremental Repayments'!$I$31),-PMT('Interest Rate'!$J$16,'Incremental Repayments'!$I$31,(HLOOKUP($D88,$E$4:$CZ$32,28,FALSE)*'Incremental Repayments'!$I$22)),0),0)</f>
        <v>0</v>
      </c>
      <c r="CS88" s="783">
        <f>IF('Incremental Repayments'!$R$22="Debt",IF(AND(CS$4&gt;=$D88,CS$4&lt;$D88+'Incremental Repayments'!$I$31),-PMT('Interest Rate'!$J$16,'Incremental Repayments'!$I$31,(HLOOKUP($D88,$E$4:$CZ$32,28,FALSE)*'Incremental Repayments'!$I$22)),0),0)</f>
        <v>0</v>
      </c>
      <c r="CT88" s="783">
        <f>IF('Incremental Repayments'!$R$22="Debt",IF(AND(CT$4&gt;=$D88,CT$4&lt;$D88+'Incremental Repayments'!$I$31),-PMT('Interest Rate'!$J$16,'Incremental Repayments'!$I$31,(HLOOKUP($D88,$E$4:$CZ$32,28,FALSE)*'Incremental Repayments'!$I$22)),0),0)</f>
        <v>0</v>
      </c>
      <c r="CU88" s="783">
        <f>IF('Incremental Repayments'!$R$22="Debt",IF(AND(CU$4&gt;=$D88,CU$4&lt;$D88+'Incremental Repayments'!$I$31),-PMT('Interest Rate'!$J$16,'Incremental Repayments'!$I$31,(HLOOKUP($D88,$E$4:$CZ$32,28,FALSE)*'Incremental Repayments'!$I$22)),0),0)</f>
        <v>0</v>
      </c>
      <c r="CV88" s="783">
        <f>IF('Incremental Repayments'!$R$22="Debt",IF(AND(CV$4&gt;=$D88,CV$4&lt;$D88+'Incremental Repayments'!$I$31),-PMT('Interest Rate'!$J$16,'Incremental Repayments'!$I$31,(HLOOKUP($D88,$E$4:$CZ$32,28,FALSE)*'Incremental Repayments'!$I$22)),0),0)</f>
        <v>0</v>
      </c>
      <c r="CW88" s="783">
        <f>IF('Incremental Repayments'!$R$22="Debt",IF(AND(CW$4&gt;=$D88,CW$4&lt;$D88+'Incremental Repayments'!$I$31),-PMT('Interest Rate'!$J$16,'Incremental Repayments'!$I$31,(HLOOKUP($D88,$E$4:$CZ$32,28,FALSE)*'Incremental Repayments'!$I$22)),0),0)</f>
        <v>0</v>
      </c>
      <c r="CX88" s="783">
        <f>IF('Incremental Repayments'!$R$22="Debt",IF(AND(CX$4&gt;=$D88,CX$4&lt;$D88+'Incremental Repayments'!$I$31),-PMT('Interest Rate'!$J$16,'Incremental Repayments'!$I$31,(HLOOKUP($D88,$E$4:$CZ$32,28,FALSE)*'Incremental Repayments'!$I$22)),0),0)</f>
        <v>0</v>
      </c>
      <c r="CY88" s="783">
        <f>IF('Incremental Repayments'!$R$22="Debt",IF(AND(CY$4&gt;=$D88,CY$4&lt;$D88+'Incremental Repayments'!$I$31),-PMT('Interest Rate'!$J$16,'Incremental Repayments'!$I$31,(HLOOKUP($D88,$E$4:$CZ$32,28,FALSE)*'Incremental Repayments'!$I$22)),0),0)</f>
        <v>0</v>
      </c>
      <c r="CZ88" s="783">
        <f>IF('Incremental Repayments'!$R$22="Debt",IF(AND(CZ$4&gt;=$D88,CZ$4&lt;$D88+'Incremental Repayments'!$I$31),-PMT('Interest Rate'!$J$16,'Incremental Repayments'!$I$31,(HLOOKUP($D88,$E$4:$CZ$32,28,FALSE)*'Incremental Repayments'!$I$22)),0),0)</f>
        <v>0</v>
      </c>
    </row>
    <row r="89" spans="2:104" x14ac:dyDescent="0.25">
      <c r="B89" s="480" t="str">
        <f>CONCATENATE("Series ",D89,"A Bonds (at ",'Interest Rate'!$J$16*100,"% Interest)")</f>
        <v>Series 2067A Bonds (at 4.5% Interest)</v>
      </c>
      <c r="C89" s="480"/>
      <c r="D89" s="492">
        <f t="shared" si="47"/>
        <v>2067</v>
      </c>
      <c r="E89" s="783">
        <f>IF('Incremental Repayments'!$R$22="Debt",IF(AND(E$4&gt;=$D89,E$4&lt;$D89+'Incremental Repayments'!$I$31),-PMT('Interest Rate'!$J$16,'Incremental Repayments'!$I$31,(HLOOKUP($D89,$E$4:$CZ$32,28,FALSE)*'Incremental Repayments'!$I$22)),0),0)</f>
        <v>0</v>
      </c>
      <c r="F89" s="783">
        <f>IF('Incremental Repayments'!$R$22="Debt",IF(AND(F$4&gt;=$D89,F$4&lt;$D89+'Incremental Repayments'!$I$31),-PMT('Interest Rate'!$J$16,'Incremental Repayments'!$I$31,(HLOOKUP($D89,$E$4:$CZ$32,28,FALSE)*'Incremental Repayments'!$I$22)),0),0)</f>
        <v>0</v>
      </c>
      <c r="G89" s="783">
        <f>IF('Incremental Repayments'!$R$22="Debt",IF(AND(G$4&gt;=$D89,G$4&lt;$D89+'Incremental Repayments'!$I$31),-PMT('Interest Rate'!$J$16,'Incremental Repayments'!$I$31,(HLOOKUP($D89,$E$4:$CZ$32,28,FALSE)*'Incremental Repayments'!$I$22)),0),0)</f>
        <v>0</v>
      </c>
      <c r="H89" s="783">
        <f>IF('Incremental Repayments'!$R$22="Debt",IF(AND(H$4&gt;=$D89,H$4&lt;$D89+'Incremental Repayments'!$I$31),-PMT('Interest Rate'!$J$16,'Incremental Repayments'!$I$31,(HLOOKUP($D89,$E$4:$CZ$32,28,FALSE)*'Incremental Repayments'!$I$22)),0),0)</f>
        <v>0</v>
      </c>
      <c r="I89" s="783">
        <f>IF('Incremental Repayments'!$R$22="Debt",IF(AND(I$4&gt;=$D89,I$4&lt;$D89+'Incremental Repayments'!$I$31),-PMT('Interest Rate'!$J$16,'Incremental Repayments'!$I$31,(HLOOKUP($D89,$E$4:$CZ$32,28,FALSE)*'Incremental Repayments'!$I$22)),0),0)</f>
        <v>0</v>
      </c>
      <c r="J89" s="783">
        <f>IF('Incremental Repayments'!$R$22="Debt",IF(AND(J$4&gt;=$D89,J$4&lt;$D89+'Incremental Repayments'!$I$31),-PMT('Interest Rate'!$J$16,'Incremental Repayments'!$I$31,(HLOOKUP($D89,$E$4:$CZ$32,28,FALSE)*'Incremental Repayments'!$I$22)),0),0)</f>
        <v>0</v>
      </c>
      <c r="K89" s="783">
        <f>IF('Incremental Repayments'!$R$22="Debt",IF(AND(K$4&gt;=$D89,K$4&lt;$D89+'Incremental Repayments'!$I$31),-PMT('Interest Rate'!$J$16,'Incremental Repayments'!$I$31,(HLOOKUP($D89,$E$4:$CZ$32,28,FALSE)*'Incremental Repayments'!$I$22)),0),0)</f>
        <v>0</v>
      </c>
      <c r="L89" s="783">
        <f>IF('Incremental Repayments'!$R$22="Debt",IF(AND(L$4&gt;=$D89,L$4&lt;$D89+'Incremental Repayments'!$I$31),-PMT('Interest Rate'!$J$16,'Incremental Repayments'!$I$31,(HLOOKUP($D89,$E$4:$CZ$32,28,FALSE)*'Incremental Repayments'!$I$22)),0),0)</f>
        <v>0</v>
      </c>
      <c r="M89" s="783">
        <f>IF('Incremental Repayments'!$R$22="Debt",IF(AND(M$4&gt;=$D89,M$4&lt;$D89+'Incremental Repayments'!$I$31),-PMT('Interest Rate'!$J$16,'Incremental Repayments'!$I$31,(HLOOKUP($D89,$E$4:$CZ$32,28,FALSE)*'Incremental Repayments'!$I$22)),0),0)</f>
        <v>0</v>
      </c>
      <c r="N89" s="783">
        <f>IF('Incremental Repayments'!$R$22="Debt",IF(AND(N$4&gt;=$D89,N$4&lt;$D89+'Incremental Repayments'!$I$31),-PMT('Interest Rate'!$J$16,'Incremental Repayments'!$I$31,(HLOOKUP($D89,$E$4:$CZ$32,28,FALSE)*'Incremental Repayments'!$I$22)),0),0)</f>
        <v>0</v>
      </c>
      <c r="O89" s="783">
        <f>IF('Incremental Repayments'!$R$22="Debt",IF(AND(O$4&gt;=$D89,O$4&lt;$D89+'Incremental Repayments'!$I$31),-PMT('Interest Rate'!$J$16,'Incremental Repayments'!$I$31,(HLOOKUP($D89,$E$4:$CZ$32,28,FALSE)*'Incremental Repayments'!$I$22)),0),0)</f>
        <v>0</v>
      </c>
      <c r="P89" s="783">
        <f>IF('Incremental Repayments'!$R$22="Debt",IF(AND(P$4&gt;=$D89,P$4&lt;$D89+'Incremental Repayments'!$I$31),-PMT('Interest Rate'!$J$16,'Incremental Repayments'!$I$31,(HLOOKUP($D89,$E$4:$CZ$32,28,FALSE)*'Incremental Repayments'!$I$22)),0),0)</f>
        <v>0</v>
      </c>
      <c r="Q89" s="783">
        <f>IF('Incremental Repayments'!$R$22="Debt",IF(AND(Q$4&gt;=$D89,Q$4&lt;$D89+'Incremental Repayments'!$I$31),-PMT('Interest Rate'!$J$16,'Incremental Repayments'!$I$31,(HLOOKUP($D89,$E$4:$CZ$32,28,FALSE)*'Incremental Repayments'!$I$22)),0),0)</f>
        <v>0</v>
      </c>
      <c r="R89" s="783">
        <f>IF('Incremental Repayments'!$R$22="Debt",IF(AND(R$4&gt;=$D89,R$4&lt;$D89+'Incremental Repayments'!$I$31),-PMT('Interest Rate'!$J$16,'Incremental Repayments'!$I$31,(HLOOKUP($D89,$E$4:$CZ$32,28,FALSE)*'Incremental Repayments'!$I$22)),0),0)</f>
        <v>0</v>
      </c>
      <c r="S89" s="783">
        <f>IF('Incremental Repayments'!$R$22="Debt",IF(AND(S$4&gt;=$D89,S$4&lt;$D89+'Incremental Repayments'!$I$31),-PMT('Interest Rate'!$J$16,'Incremental Repayments'!$I$31,(HLOOKUP($D89,$E$4:$CZ$32,28,FALSE)*'Incremental Repayments'!$I$22)),0),0)</f>
        <v>0</v>
      </c>
      <c r="T89" s="783">
        <f>IF('Incremental Repayments'!$R$22="Debt",IF(AND(T$4&gt;=$D89,T$4&lt;$D89+'Incremental Repayments'!$I$31),-PMT('Interest Rate'!$J$16,'Incremental Repayments'!$I$31,(HLOOKUP($D89,$E$4:$CZ$32,28,FALSE)*'Incremental Repayments'!$I$22)),0),0)</f>
        <v>0</v>
      </c>
      <c r="U89" s="783">
        <f>IF('Incremental Repayments'!$R$22="Debt",IF(AND(U$4&gt;=$D89,U$4&lt;$D89+'Incremental Repayments'!$I$31),-PMT('Interest Rate'!$J$16,'Incremental Repayments'!$I$31,(HLOOKUP($D89,$E$4:$CZ$32,28,FALSE)*'Incremental Repayments'!$I$22)),0),0)</f>
        <v>0</v>
      </c>
      <c r="V89" s="783">
        <f>IF('Incremental Repayments'!$R$22="Debt",IF(AND(V$4&gt;=$D89,V$4&lt;$D89+'Incremental Repayments'!$I$31),-PMT('Interest Rate'!$J$16,'Incremental Repayments'!$I$31,(HLOOKUP($D89,$E$4:$CZ$32,28,FALSE)*'Incremental Repayments'!$I$22)),0),0)</f>
        <v>0</v>
      </c>
      <c r="W89" s="783">
        <f>IF('Incremental Repayments'!$R$22="Debt",IF(AND(W$4&gt;=$D89,W$4&lt;$D89+'Incremental Repayments'!$I$31),-PMT('Interest Rate'!$J$16,'Incremental Repayments'!$I$31,(HLOOKUP($D89,$E$4:$CZ$32,28,FALSE)*'Incremental Repayments'!$I$22)),0),0)</f>
        <v>0</v>
      </c>
      <c r="X89" s="783">
        <f>IF('Incremental Repayments'!$R$22="Debt",IF(AND(X$4&gt;=$D89,X$4&lt;$D89+'Incremental Repayments'!$I$31),-PMT('Interest Rate'!$J$16,'Incremental Repayments'!$I$31,(HLOOKUP($D89,$E$4:$CZ$32,28,FALSE)*'Incremental Repayments'!$I$22)),0),0)</f>
        <v>0</v>
      </c>
      <c r="Y89" s="783">
        <f>IF('Incremental Repayments'!$R$22="Debt",IF(AND(Y$4&gt;=$D89,Y$4&lt;$D89+'Incremental Repayments'!$I$31),-PMT('Interest Rate'!$J$16,'Incremental Repayments'!$I$31,(HLOOKUP($D89,$E$4:$CZ$32,28,FALSE)*'Incremental Repayments'!$I$22)),0),0)</f>
        <v>0</v>
      </c>
      <c r="Z89" s="783">
        <f>IF('Incremental Repayments'!$R$22="Debt",IF(AND(Z$4&gt;=$D89,Z$4&lt;$D89+'Incremental Repayments'!$I$31),-PMT('Interest Rate'!$J$16,'Incremental Repayments'!$I$31,(HLOOKUP($D89,$E$4:$CZ$32,28,FALSE)*'Incremental Repayments'!$I$22)),0),0)</f>
        <v>0</v>
      </c>
      <c r="AA89" s="783">
        <f>IF('Incremental Repayments'!$R$22="Debt",IF(AND(AA$4&gt;=$D89,AA$4&lt;$D89+'Incremental Repayments'!$I$31),-PMT('Interest Rate'!$J$16,'Incremental Repayments'!$I$31,(HLOOKUP($D89,$E$4:$CZ$32,28,FALSE)*'Incremental Repayments'!$I$22)),0),0)</f>
        <v>0</v>
      </c>
      <c r="AB89" s="783">
        <f>IF('Incremental Repayments'!$R$22="Debt",IF(AND(AB$4&gt;=$D89,AB$4&lt;$D89+'Incremental Repayments'!$I$31),-PMT('Interest Rate'!$J$16,'Incremental Repayments'!$I$31,(HLOOKUP($D89,$E$4:$CZ$32,28,FALSE)*'Incremental Repayments'!$I$22)),0),0)</f>
        <v>0</v>
      </c>
      <c r="AC89" s="783">
        <f>IF('Incremental Repayments'!$R$22="Debt",IF(AND(AC$4&gt;=$D89,AC$4&lt;$D89+'Incremental Repayments'!$I$31),-PMT('Interest Rate'!$J$16,'Incremental Repayments'!$I$31,(HLOOKUP($D89,$E$4:$CZ$32,28,FALSE)*'Incremental Repayments'!$I$22)),0),0)</f>
        <v>0</v>
      </c>
      <c r="AD89" s="783">
        <f>IF('Incremental Repayments'!$R$22="Debt",IF(AND(AD$4&gt;=$D89,AD$4&lt;$D89+'Incremental Repayments'!$I$31),-PMT('Interest Rate'!$J$16,'Incremental Repayments'!$I$31,(HLOOKUP($D89,$E$4:$CZ$32,28,FALSE)*'Incremental Repayments'!$I$22)),0),0)</f>
        <v>0</v>
      </c>
      <c r="AE89" s="783">
        <f>IF('Incremental Repayments'!$R$22="Debt",IF(AND(AE$4&gt;=$D89,AE$4&lt;$D89+'Incremental Repayments'!$I$31),-PMT('Interest Rate'!$J$16,'Incremental Repayments'!$I$31,(HLOOKUP($D89,$E$4:$CZ$32,28,FALSE)*'Incremental Repayments'!$I$22)),0),0)</f>
        <v>0</v>
      </c>
      <c r="AF89" s="783">
        <f>IF('Incremental Repayments'!$R$22="Debt",IF(AND(AF$4&gt;=$D89,AF$4&lt;$D89+'Incremental Repayments'!$I$31),-PMT('Interest Rate'!$J$16,'Incremental Repayments'!$I$31,(HLOOKUP($D89,$E$4:$CZ$32,28,FALSE)*'Incremental Repayments'!$I$22)),0),0)</f>
        <v>0</v>
      </c>
      <c r="AG89" s="783">
        <f>IF('Incremental Repayments'!$R$22="Debt",IF(AND(AG$4&gt;=$D89,AG$4&lt;$D89+'Incremental Repayments'!$I$31),-PMT('Interest Rate'!$J$16,'Incremental Repayments'!$I$31,(HLOOKUP($D89,$E$4:$CZ$32,28,FALSE)*'Incremental Repayments'!$I$22)),0),0)</f>
        <v>0</v>
      </c>
      <c r="AH89" s="783">
        <f>IF('Incremental Repayments'!$R$22="Debt",IF(AND(AH$4&gt;=$D89,AH$4&lt;$D89+'Incremental Repayments'!$I$31),-PMT('Interest Rate'!$J$16,'Incremental Repayments'!$I$31,(HLOOKUP($D89,$E$4:$CZ$32,28,FALSE)*'Incremental Repayments'!$I$22)),0),0)</f>
        <v>0</v>
      </c>
      <c r="AI89" s="783">
        <f>IF('Incremental Repayments'!$R$22="Debt",IF(AND(AI$4&gt;=$D89,AI$4&lt;$D89+'Incremental Repayments'!$I$31),-PMT('Interest Rate'!$J$16,'Incremental Repayments'!$I$31,(HLOOKUP($D89,$E$4:$CZ$32,28,FALSE)*'Incremental Repayments'!$I$22)),0),0)</f>
        <v>0</v>
      </c>
      <c r="AJ89" s="783">
        <f>IF('Incremental Repayments'!$R$22="Debt",IF(AND(AJ$4&gt;=$D89,AJ$4&lt;$D89+'Incremental Repayments'!$I$31),-PMT('Interest Rate'!$J$16,'Incremental Repayments'!$I$31,(HLOOKUP($D89,$E$4:$CZ$32,28,FALSE)*'Incremental Repayments'!$I$22)),0),0)</f>
        <v>0</v>
      </c>
      <c r="AK89" s="783">
        <f>IF('Incremental Repayments'!$R$22="Debt",IF(AND(AK$4&gt;=$D89,AK$4&lt;$D89+'Incremental Repayments'!$I$31),-PMT('Interest Rate'!$J$16,'Incremental Repayments'!$I$31,(HLOOKUP($D89,$E$4:$CZ$32,28,FALSE)*'Incremental Repayments'!$I$22)),0),0)</f>
        <v>0</v>
      </c>
      <c r="AL89" s="783">
        <f>IF('Incremental Repayments'!$R$22="Debt",IF(AND(AL$4&gt;=$D89,AL$4&lt;$D89+'Incremental Repayments'!$I$31),-PMT('Interest Rate'!$J$16,'Incremental Repayments'!$I$31,(HLOOKUP($D89,$E$4:$CZ$32,28,FALSE)*'Incremental Repayments'!$I$22)),0),0)</f>
        <v>0</v>
      </c>
      <c r="AM89" s="783">
        <f>IF('Incremental Repayments'!$R$22="Debt",IF(AND(AM$4&gt;=$D89,AM$4&lt;$D89+'Incremental Repayments'!$I$31),-PMT('Interest Rate'!$J$16,'Incremental Repayments'!$I$31,(HLOOKUP($D89,$E$4:$CZ$32,28,FALSE)*'Incremental Repayments'!$I$22)),0),0)</f>
        <v>0</v>
      </c>
      <c r="AN89" s="783">
        <f>IF('Incremental Repayments'!$R$22="Debt",IF(AND(AN$4&gt;=$D89,AN$4&lt;$D89+'Incremental Repayments'!$I$31),-PMT('Interest Rate'!$J$16,'Incremental Repayments'!$I$31,(HLOOKUP($D89,$E$4:$CZ$32,28,FALSE)*'Incremental Repayments'!$I$22)),0),0)</f>
        <v>0</v>
      </c>
      <c r="AO89" s="783">
        <f>IF('Incremental Repayments'!$R$22="Debt",IF(AND(AO$4&gt;=$D89,AO$4&lt;$D89+'Incremental Repayments'!$I$31),-PMT('Interest Rate'!$J$16,'Incremental Repayments'!$I$31,(HLOOKUP($D89,$E$4:$CZ$32,28,FALSE)*'Incremental Repayments'!$I$22)),0),0)</f>
        <v>0</v>
      </c>
      <c r="AP89" s="783">
        <f>IF('Incremental Repayments'!$R$22="Debt",IF(AND(AP$4&gt;=$D89,AP$4&lt;$D89+'Incremental Repayments'!$I$31),-PMT('Interest Rate'!$J$16,'Incremental Repayments'!$I$31,(HLOOKUP($D89,$E$4:$CZ$32,28,FALSE)*'Incremental Repayments'!$I$22)),0),0)</f>
        <v>0</v>
      </c>
      <c r="AQ89" s="783">
        <f>IF('Incremental Repayments'!$R$22="Debt",IF(AND(AQ$4&gt;=$D89,AQ$4&lt;$D89+'Incremental Repayments'!$I$31),-PMT('Interest Rate'!$J$16,'Incremental Repayments'!$I$31,(HLOOKUP($D89,$E$4:$CZ$32,28,FALSE)*'Incremental Repayments'!$I$22)),0),0)</f>
        <v>0</v>
      </c>
      <c r="AR89" s="783">
        <f>IF('Incremental Repayments'!$R$22="Debt",IF(AND(AR$4&gt;=$D89,AR$4&lt;$D89+'Incremental Repayments'!$I$31),-PMT('Interest Rate'!$J$16,'Incremental Repayments'!$I$31,(HLOOKUP($D89,$E$4:$CZ$32,28,FALSE)*'Incremental Repayments'!$I$22)),0),0)</f>
        <v>0</v>
      </c>
      <c r="AS89" s="783">
        <f>IF('Incremental Repayments'!$R$22="Debt",IF(AND(AS$4&gt;=$D89,AS$4&lt;$D89+'Incremental Repayments'!$I$31),-PMT('Interest Rate'!$J$16,'Incremental Repayments'!$I$31,(HLOOKUP($D89,$E$4:$CZ$32,28,FALSE)*'Incremental Repayments'!$I$22)),0),0)</f>
        <v>0</v>
      </c>
      <c r="AT89" s="783">
        <f>IF('Incremental Repayments'!$R$22="Debt",IF(AND(AT$4&gt;=$D89,AT$4&lt;$D89+'Incremental Repayments'!$I$31),-PMT('Interest Rate'!$J$16,'Incremental Repayments'!$I$31,(HLOOKUP($D89,$E$4:$CZ$32,28,FALSE)*'Incremental Repayments'!$I$22)),0),0)</f>
        <v>0</v>
      </c>
      <c r="AU89" s="783">
        <f>IF('Incremental Repayments'!$R$22="Debt",IF(AND(AU$4&gt;=$D89,AU$4&lt;$D89+'Incremental Repayments'!$I$31),-PMT('Interest Rate'!$J$16,'Incremental Repayments'!$I$31,(HLOOKUP($D89,$E$4:$CZ$32,28,FALSE)*'Incremental Repayments'!$I$22)),0),0)</f>
        <v>0</v>
      </c>
      <c r="AV89" s="783">
        <f>IF('Incremental Repayments'!$R$22="Debt",IF(AND(AV$4&gt;=$D89,AV$4&lt;$D89+'Incremental Repayments'!$I$31),-PMT('Interest Rate'!$J$16,'Incremental Repayments'!$I$31,(HLOOKUP($D89,$E$4:$CZ$32,28,FALSE)*'Incremental Repayments'!$I$22)),0),0)</f>
        <v>0</v>
      </c>
      <c r="AW89" s="783">
        <f>IF('Incremental Repayments'!$R$22="Debt",IF(AND(AW$4&gt;=$D89,AW$4&lt;$D89+'Incremental Repayments'!$I$31),-PMT('Interest Rate'!$J$16,'Incremental Repayments'!$I$31,(HLOOKUP($D89,$E$4:$CZ$32,28,FALSE)*'Incremental Repayments'!$I$22)),0),0)</f>
        <v>0</v>
      </c>
      <c r="AX89" s="783">
        <f>IF('Incremental Repayments'!$R$22="Debt",IF(AND(AX$4&gt;=$D89,AX$4&lt;$D89+'Incremental Repayments'!$I$31),-PMT('Interest Rate'!$J$16,'Incremental Repayments'!$I$31,(HLOOKUP($D89,$E$4:$CZ$32,28,FALSE)*'Incremental Repayments'!$I$22)),0),0)</f>
        <v>0</v>
      </c>
      <c r="AY89" s="783">
        <f>IF('Incremental Repayments'!$R$22="Debt",IF(AND(AY$4&gt;=$D89,AY$4&lt;$D89+'Incremental Repayments'!$I$31),-PMT('Interest Rate'!$J$16,'Incremental Repayments'!$I$31,(HLOOKUP($D89,$E$4:$CZ$32,28,FALSE)*'Incremental Repayments'!$I$22)),0),0)</f>
        <v>0</v>
      </c>
      <c r="AZ89" s="783">
        <f>IF('Incremental Repayments'!$R$22="Debt",IF(AND(AZ$4&gt;=$D89,AZ$4&lt;$D89+'Incremental Repayments'!$I$31),-PMT('Interest Rate'!$J$16,'Incremental Repayments'!$I$31,(HLOOKUP($D89,$E$4:$CZ$32,28,FALSE)*'Incremental Repayments'!$I$22)),0),0)</f>
        <v>0</v>
      </c>
      <c r="BA89" s="783">
        <f>IF('Incremental Repayments'!$R$22="Debt",IF(AND(BA$4&gt;=$D89,BA$4&lt;$D89+'Incremental Repayments'!$I$31),-PMT('Interest Rate'!$J$16,'Incremental Repayments'!$I$31,(HLOOKUP($D89,$E$4:$CZ$32,28,FALSE)*'Incremental Repayments'!$I$22)),0),0)</f>
        <v>0</v>
      </c>
      <c r="BB89" s="783">
        <f>IF('Incremental Repayments'!$R$22="Debt",IF(AND(BB$4&gt;=$D89,BB$4&lt;$D89+'Incremental Repayments'!$I$31),-PMT('Interest Rate'!$J$16,'Incremental Repayments'!$I$31,(HLOOKUP($D89,$E$4:$CZ$32,28,FALSE)*'Incremental Repayments'!$I$22)),0),0)</f>
        <v>0</v>
      </c>
      <c r="BC89" s="783">
        <f>IF('Incremental Repayments'!$R$22="Debt",IF(AND(BC$4&gt;=$D89,BC$4&lt;$D89+'Incremental Repayments'!$I$31),-PMT('Interest Rate'!$J$16,'Incremental Repayments'!$I$31,(HLOOKUP($D89,$E$4:$CZ$32,28,FALSE)*'Incremental Repayments'!$I$22)),0),0)</f>
        <v>0</v>
      </c>
      <c r="BD89" s="783">
        <f>IF('Incremental Repayments'!$R$22="Debt",IF(AND(BD$4&gt;=$D89,BD$4&lt;$D89+'Incremental Repayments'!$I$31),-PMT('Interest Rate'!$J$16,'Incremental Repayments'!$I$31,(HLOOKUP($D89,$E$4:$CZ$32,28,FALSE)*'Incremental Repayments'!$I$22)),0),0)</f>
        <v>0</v>
      </c>
      <c r="BE89" s="783">
        <f>IF('Incremental Repayments'!$R$22="Debt",IF(AND(BE$4&gt;=$D89,BE$4&lt;$D89+'Incremental Repayments'!$I$31),-PMT('Interest Rate'!$J$16,'Incremental Repayments'!$I$31,(HLOOKUP($D89,$E$4:$CZ$32,28,FALSE)*'Incremental Repayments'!$I$22)),0),0)</f>
        <v>0</v>
      </c>
      <c r="BF89" s="783">
        <f>IF('Incremental Repayments'!$R$22="Debt",IF(AND(BF$4&gt;=$D89,BF$4&lt;$D89+'Incremental Repayments'!$I$31),-PMT('Interest Rate'!$J$16,'Incremental Repayments'!$I$31,(HLOOKUP($D89,$E$4:$CZ$32,28,FALSE)*'Incremental Repayments'!$I$22)),0),0)</f>
        <v>0</v>
      </c>
      <c r="BG89" s="783">
        <f>IF('Incremental Repayments'!$R$22="Debt",IF(AND(BG$4&gt;=$D89,BG$4&lt;$D89+'Incremental Repayments'!$I$31),-PMT('Interest Rate'!$J$16,'Incremental Repayments'!$I$31,(HLOOKUP($D89,$E$4:$CZ$32,28,FALSE)*'Incremental Repayments'!$I$22)),0),0)</f>
        <v>0</v>
      </c>
      <c r="BH89" s="783">
        <f>IF('Incremental Repayments'!$R$22="Debt",IF(AND(BH$4&gt;=$D89,BH$4&lt;$D89+'Incremental Repayments'!$I$31),-PMT('Interest Rate'!$J$16,'Incremental Repayments'!$I$31,(HLOOKUP($D89,$E$4:$CZ$32,28,FALSE)*'Incremental Repayments'!$I$22)),0),0)</f>
        <v>0</v>
      </c>
      <c r="BI89" s="783">
        <f>IF('Incremental Repayments'!$R$22="Debt",IF(AND(BI$4&gt;=$D89,BI$4&lt;$D89+'Incremental Repayments'!$I$31),-PMT('Interest Rate'!$J$16,'Incremental Repayments'!$I$31,(HLOOKUP($D89,$E$4:$CZ$32,28,FALSE)*'Incremental Repayments'!$I$22)),0),0)</f>
        <v>0</v>
      </c>
      <c r="BJ89" s="783">
        <f>IF('Incremental Repayments'!$R$22="Debt",IF(AND(BJ$4&gt;=$D89,BJ$4&lt;$D89+'Incremental Repayments'!$I$31),-PMT('Interest Rate'!$J$16,'Incremental Repayments'!$I$31,(HLOOKUP($D89,$E$4:$CZ$32,28,FALSE)*'Incremental Repayments'!$I$22)),0),0)</f>
        <v>0</v>
      </c>
      <c r="BK89" s="783">
        <f>IF('Incremental Repayments'!$R$22="Debt",IF(AND(BK$4&gt;=$D89,BK$4&lt;$D89+'Incremental Repayments'!$I$31),-PMT('Interest Rate'!$J$16,'Incremental Repayments'!$I$31,(HLOOKUP($D89,$E$4:$CZ$32,28,FALSE)*'Incremental Repayments'!$I$22)),0),0)</f>
        <v>0</v>
      </c>
      <c r="BL89" s="783">
        <f>IF('Incremental Repayments'!$R$22="Debt",IF(AND(BL$4&gt;=$D89,BL$4&lt;$D89+'Incremental Repayments'!$I$31),-PMT('Interest Rate'!$J$16,'Incremental Repayments'!$I$31,(HLOOKUP($D89,$E$4:$CZ$32,28,FALSE)*'Incremental Repayments'!$I$22)),0),0)</f>
        <v>0</v>
      </c>
      <c r="BM89" s="783">
        <f>IF('Incremental Repayments'!$R$22="Debt",IF(AND(BM$4&gt;=$D89,BM$4&lt;$D89+'Incremental Repayments'!$I$31),-PMT('Interest Rate'!$J$16,'Incremental Repayments'!$I$31,(HLOOKUP($D89,$E$4:$CZ$32,28,FALSE)*'Incremental Repayments'!$I$22)),0),0)</f>
        <v>0</v>
      </c>
      <c r="BN89" s="783">
        <f>IF('Incremental Repayments'!$R$22="Debt",IF(AND(BN$4&gt;=$D89,BN$4&lt;$D89+'Incremental Repayments'!$I$31),-PMT('Interest Rate'!$J$16,'Incremental Repayments'!$I$31,(HLOOKUP($D89,$E$4:$CZ$32,28,FALSE)*'Incremental Repayments'!$I$22)),0),0)</f>
        <v>0</v>
      </c>
      <c r="BO89" s="783">
        <f>IF('Incremental Repayments'!$R$22="Debt",IF(AND(BO$4&gt;=$D89,BO$4&lt;$D89+'Incremental Repayments'!$I$31),-PMT('Interest Rate'!$J$16,'Incremental Repayments'!$I$31,(HLOOKUP($D89,$E$4:$CZ$32,28,FALSE)*'Incremental Repayments'!$I$22)),0),0)</f>
        <v>0</v>
      </c>
      <c r="BP89" s="783">
        <f>IF('Incremental Repayments'!$R$22="Debt",IF(AND(BP$4&gt;=$D89,BP$4&lt;$D89+'Incremental Repayments'!$I$31),-PMT('Interest Rate'!$J$16,'Incremental Repayments'!$I$31,(HLOOKUP($D89,$E$4:$CZ$32,28,FALSE)*'Incremental Repayments'!$I$22)),0),0)</f>
        <v>0</v>
      </c>
      <c r="BQ89" s="783">
        <f>IF('Incremental Repayments'!$R$22="Debt",IF(AND(BQ$4&gt;=$D89,BQ$4&lt;$D89+'Incremental Repayments'!$I$31),-PMT('Interest Rate'!$J$16,'Incremental Repayments'!$I$31,(HLOOKUP($D89,$E$4:$CZ$32,28,FALSE)*'Incremental Repayments'!$I$22)),0),0)</f>
        <v>0</v>
      </c>
      <c r="BR89" s="783">
        <f>IF('Incremental Repayments'!$R$22="Debt",IF(AND(BR$4&gt;=$D89,BR$4&lt;$D89+'Incremental Repayments'!$I$31),-PMT('Interest Rate'!$J$16,'Incremental Repayments'!$I$31,(HLOOKUP($D89,$E$4:$CZ$32,28,FALSE)*'Incremental Repayments'!$I$22)),0),0)</f>
        <v>0</v>
      </c>
      <c r="BS89" s="783">
        <f>IF('Incremental Repayments'!$R$22="Debt",IF(AND(BS$4&gt;=$D89,BS$4&lt;$D89+'Incremental Repayments'!$I$31),-PMT('Interest Rate'!$J$16,'Incremental Repayments'!$I$31,(HLOOKUP($D89,$E$4:$CZ$32,28,FALSE)*'Incremental Repayments'!$I$22)),0),0)</f>
        <v>0</v>
      </c>
      <c r="BT89" s="783">
        <f>IF('Incremental Repayments'!$R$22="Debt",IF(AND(BT$4&gt;=$D89,BT$4&lt;$D89+'Incremental Repayments'!$I$31),-PMT('Interest Rate'!$J$16,'Incremental Repayments'!$I$31,(HLOOKUP($D89,$E$4:$CZ$32,28,FALSE)*'Incremental Repayments'!$I$22)),0),0)</f>
        <v>0</v>
      </c>
      <c r="BU89" s="783">
        <f>IF('Incremental Repayments'!$R$22="Debt",IF(AND(BU$4&gt;=$D89,BU$4&lt;$D89+'Incremental Repayments'!$I$31),-PMT('Interest Rate'!$J$16,'Incremental Repayments'!$I$31,(HLOOKUP($D89,$E$4:$CZ$32,28,FALSE)*'Incremental Repayments'!$I$22)),0),0)</f>
        <v>0</v>
      </c>
      <c r="BV89" s="783">
        <f>IF('Incremental Repayments'!$R$22="Debt",IF(AND(BV$4&gt;=$D89,BV$4&lt;$D89+'Incremental Repayments'!$I$31),-PMT('Interest Rate'!$J$16,'Incremental Repayments'!$I$31,(HLOOKUP($D89,$E$4:$CZ$32,28,FALSE)*'Incremental Repayments'!$I$22)),0),0)</f>
        <v>0</v>
      </c>
      <c r="BW89" s="783">
        <f>IF('Incremental Repayments'!$R$22="Debt",IF(AND(BW$4&gt;=$D89,BW$4&lt;$D89+'Incremental Repayments'!$I$31),-PMT('Interest Rate'!$J$16,'Incremental Repayments'!$I$31,(HLOOKUP($D89,$E$4:$CZ$32,28,FALSE)*'Incremental Repayments'!$I$22)),0),0)</f>
        <v>0</v>
      </c>
      <c r="BX89" s="783">
        <f>IF('Incremental Repayments'!$R$22="Debt",IF(AND(BX$4&gt;=$D89,BX$4&lt;$D89+'Incremental Repayments'!$I$31),-PMT('Interest Rate'!$J$16,'Incremental Repayments'!$I$31,(HLOOKUP($D89,$E$4:$CZ$32,28,FALSE)*'Incremental Repayments'!$I$22)),0),0)</f>
        <v>0</v>
      </c>
      <c r="BY89" s="783">
        <f>IF('Incremental Repayments'!$R$22="Debt",IF(AND(BY$4&gt;=$D89,BY$4&lt;$D89+'Incremental Repayments'!$I$31),-PMT('Interest Rate'!$J$16,'Incremental Repayments'!$I$31,(HLOOKUP($D89,$E$4:$CZ$32,28,FALSE)*'Incremental Repayments'!$I$22)),0),0)</f>
        <v>0</v>
      </c>
      <c r="BZ89" s="783">
        <f>IF('Incremental Repayments'!$R$22="Debt",IF(AND(BZ$4&gt;=$D89,BZ$4&lt;$D89+'Incremental Repayments'!$I$31),-PMT('Interest Rate'!$J$16,'Incremental Repayments'!$I$31,(HLOOKUP($D89,$E$4:$CZ$32,28,FALSE)*'Incremental Repayments'!$I$22)),0),0)</f>
        <v>0</v>
      </c>
      <c r="CA89" s="783">
        <f>IF('Incremental Repayments'!$R$22="Debt",IF(AND(CA$4&gt;=$D89,CA$4&lt;$D89+'Incremental Repayments'!$I$31),-PMT('Interest Rate'!$J$16,'Incremental Repayments'!$I$31,(HLOOKUP($D89,$E$4:$CZ$32,28,FALSE)*'Incremental Repayments'!$I$22)),0),0)</f>
        <v>0</v>
      </c>
      <c r="CB89" s="783">
        <f>IF('Incremental Repayments'!$R$22="Debt",IF(AND(CB$4&gt;=$D89,CB$4&lt;$D89+'Incremental Repayments'!$I$31),-PMT('Interest Rate'!$J$16,'Incremental Repayments'!$I$31,(HLOOKUP($D89,$E$4:$CZ$32,28,FALSE)*'Incremental Repayments'!$I$22)),0),0)</f>
        <v>0</v>
      </c>
      <c r="CC89" s="783">
        <f>IF('Incremental Repayments'!$R$22="Debt",IF(AND(CC$4&gt;=$D89,CC$4&lt;$D89+'Incremental Repayments'!$I$31),-PMT('Interest Rate'!$J$16,'Incremental Repayments'!$I$31,(HLOOKUP($D89,$E$4:$CZ$32,28,FALSE)*'Incremental Repayments'!$I$22)),0),0)</f>
        <v>0</v>
      </c>
      <c r="CD89" s="783">
        <f>IF('Incremental Repayments'!$R$22="Debt",IF(AND(CD$4&gt;=$D89,CD$4&lt;$D89+'Incremental Repayments'!$I$31),-PMT('Interest Rate'!$J$16,'Incremental Repayments'!$I$31,(HLOOKUP($D89,$E$4:$CZ$32,28,FALSE)*'Incremental Repayments'!$I$22)),0),0)</f>
        <v>0</v>
      </c>
      <c r="CE89" s="783">
        <f>IF('Incremental Repayments'!$R$22="Debt",IF(AND(CE$4&gt;=$D89,CE$4&lt;$D89+'Incremental Repayments'!$I$31),-PMT('Interest Rate'!$J$16,'Incremental Repayments'!$I$31,(HLOOKUP($D89,$E$4:$CZ$32,28,FALSE)*'Incremental Repayments'!$I$22)),0),0)</f>
        <v>0</v>
      </c>
      <c r="CF89" s="783">
        <f>IF('Incremental Repayments'!$R$22="Debt",IF(AND(CF$4&gt;=$D89,CF$4&lt;$D89+'Incremental Repayments'!$I$31),-PMT('Interest Rate'!$J$16,'Incremental Repayments'!$I$31,(HLOOKUP($D89,$E$4:$CZ$32,28,FALSE)*'Incremental Repayments'!$I$22)),0),0)</f>
        <v>0</v>
      </c>
      <c r="CG89" s="783">
        <f>IF('Incremental Repayments'!$R$22="Debt",IF(AND(CG$4&gt;=$D89,CG$4&lt;$D89+'Incremental Repayments'!$I$31),-PMT('Interest Rate'!$J$16,'Incremental Repayments'!$I$31,(HLOOKUP($D89,$E$4:$CZ$32,28,FALSE)*'Incremental Repayments'!$I$22)),0),0)</f>
        <v>0</v>
      </c>
      <c r="CH89" s="783">
        <f>IF('Incremental Repayments'!$R$22="Debt",IF(AND(CH$4&gt;=$D89,CH$4&lt;$D89+'Incremental Repayments'!$I$31),-PMT('Interest Rate'!$J$16,'Incremental Repayments'!$I$31,(HLOOKUP($D89,$E$4:$CZ$32,28,FALSE)*'Incremental Repayments'!$I$22)),0),0)</f>
        <v>0</v>
      </c>
      <c r="CI89" s="783">
        <f>IF('Incremental Repayments'!$R$22="Debt",IF(AND(CI$4&gt;=$D89,CI$4&lt;$D89+'Incremental Repayments'!$I$31),-PMT('Interest Rate'!$J$16,'Incremental Repayments'!$I$31,(HLOOKUP($D89,$E$4:$CZ$32,28,FALSE)*'Incremental Repayments'!$I$22)),0),0)</f>
        <v>0</v>
      </c>
      <c r="CJ89" s="783">
        <f>IF('Incremental Repayments'!$R$22="Debt",IF(AND(CJ$4&gt;=$D89,CJ$4&lt;$D89+'Incremental Repayments'!$I$31),-PMT('Interest Rate'!$J$16,'Incremental Repayments'!$I$31,(HLOOKUP($D89,$E$4:$CZ$32,28,FALSE)*'Incremental Repayments'!$I$22)),0),0)</f>
        <v>0</v>
      </c>
      <c r="CK89" s="783">
        <f>IF('Incremental Repayments'!$R$22="Debt",IF(AND(CK$4&gt;=$D89,CK$4&lt;$D89+'Incremental Repayments'!$I$31),-PMT('Interest Rate'!$J$16,'Incremental Repayments'!$I$31,(HLOOKUP($D89,$E$4:$CZ$32,28,FALSE)*'Incremental Repayments'!$I$22)),0),0)</f>
        <v>0</v>
      </c>
      <c r="CL89" s="783">
        <f>IF('Incremental Repayments'!$R$22="Debt",IF(AND(CL$4&gt;=$D89,CL$4&lt;$D89+'Incremental Repayments'!$I$31),-PMT('Interest Rate'!$J$16,'Incremental Repayments'!$I$31,(HLOOKUP($D89,$E$4:$CZ$32,28,FALSE)*'Incremental Repayments'!$I$22)),0),0)</f>
        <v>0</v>
      </c>
      <c r="CM89" s="783">
        <f>IF('Incremental Repayments'!$R$22="Debt",IF(AND(CM$4&gt;=$D89,CM$4&lt;$D89+'Incremental Repayments'!$I$31),-PMT('Interest Rate'!$J$16,'Incremental Repayments'!$I$31,(HLOOKUP($D89,$E$4:$CZ$32,28,FALSE)*'Incremental Repayments'!$I$22)),0),0)</f>
        <v>0</v>
      </c>
      <c r="CN89" s="783">
        <f>IF('Incremental Repayments'!$R$22="Debt",IF(AND(CN$4&gt;=$D89,CN$4&lt;$D89+'Incremental Repayments'!$I$31),-PMT('Interest Rate'!$J$16,'Incremental Repayments'!$I$31,(HLOOKUP($D89,$E$4:$CZ$32,28,FALSE)*'Incremental Repayments'!$I$22)),0),0)</f>
        <v>0</v>
      </c>
      <c r="CO89" s="783">
        <f>IF('Incremental Repayments'!$R$22="Debt",IF(AND(CO$4&gt;=$D89,CO$4&lt;$D89+'Incremental Repayments'!$I$31),-PMT('Interest Rate'!$J$16,'Incremental Repayments'!$I$31,(HLOOKUP($D89,$E$4:$CZ$32,28,FALSE)*'Incremental Repayments'!$I$22)),0),0)</f>
        <v>0</v>
      </c>
      <c r="CP89" s="783">
        <f>IF('Incremental Repayments'!$R$22="Debt",IF(AND(CP$4&gt;=$D89,CP$4&lt;$D89+'Incremental Repayments'!$I$31),-PMT('Interest Rate'!$J$16,'Incremental Repayments'!$I$31,(HLOOKUP($D89,$E$4:$CZ$32,28,FALSE)*'Incremental Repayments'!$I$22)),0),0)</f>
        <v>0</v>
      </c>
      <c r="CQ89" s="783">
        <f>IF('Incremental Repayments'!$R$22="Debt",IF(AND(CQ$4&gt;=$D89,CQ$4&lt;$D89+'Incremental Repayments'!$I$31),-PMT('Interest Rate'!$J$16,'Incremental Repayments'!$I$31,(HLOOKUP($D89,$E$4:$CZ$32,28,FALSE)*'Incremental Repayments'!$I$22)),0),0)</f>
        <v>0</v>
      </c>
      <c r="CR89" s="783">
        <f>IF('Incremental Repayments'!$R$22="Debt",IF(AND(CR$4&gt;=$D89,CR$4&lt;$D89+'Incremental Repayments'!$I$31),-PMT('Interest Rate'!$J$16,'Incremental Repayments'!$I$31,(HLOOKUP($D89,$E$4:$CZ$32,28,FALSE)*'Incremental Repayments'!$I$22)),0),0)</f>
        <v>0</v>
      </c>
      <c r="CS89" s="783">
        <f>IF('Incremental Repayments'!$R$22="Debt",IF(AND(CS$4&gt;=$D89,CS$4&lt;$D89+'Incremental Repayments'!$I$31),-PMT('Interest Rate'!$J$16,'Incremental Repayments'!$I$31,(HLOOKUP($D89,$E$4:$CZ$32,28,FALSE)*'Incremental Repayments'!$I$22)),0),0)</f>
        <v>0</v>
      </c>
      <c r="CT89" s="783">
        <f>IF('Incremental Repayments'!$R$22="Debt",IF(AND(CT$4&gt;=$D89,CT$4&lt;$D89+'Incremental Repayments'!$I$31),-PMT('Interest Rate'!$J$16,'Incremental Repayments'!$I$31,(HLOOKUP($D89,$E$4:$CZ$32,28,FALSE)*'Incremental Repayments'!$I$22)),0),0)</f>
        <v>0</v>
      </c>
      <c r="CU89" s="783">
        <f>IF('Incremental Repayments'!$R$22="Debt",IF(AND(CU$4&gt;=$D89,CU$4&lt;$D89+'Incremental Repayments'!$I$31),-PMT('Interest Rate'!$J$16,'Incremental Repayments'!$I$31,(HLOOKUP($D89,$E$4:$CZ$32,28,FALSE)*'Incremental Repayments'!$I$22)),0),0)</f>
        <v>0</v>
      </c>
      <c r="CV89" s="783">
        <f>IF('Incremental Repayments'!$R$22="Debt",IF(AND(CV$4&gt;=$D89,CV$4&lt;$D89+'Incremental Repayments'!$I$31),-PMT('Interest Rate'!$J$16,'Incremental Repayments'!$I$31,(HLOOKUP($D89,$E$4:$CZ$32,28,FALSE)*'Incremental Repayments'!$I$22)),0),0)</f>
        <v>0</v>
      </c>
      <c r="CW89" s="783">
        <f>IF('Incremental Repayments'!$R$22="Debt",IF(AND(CW$4&gt;=$D89,CW$4&lt;$D89+'Incremental Repayments'!$I$31),-PMT('Interest Rate'!$J$16,'Incremental Repayments'!$I$31,(HLOOKUP($D89,$E$4:$CZ$32,28,FALSE)*'Incremental Repayments'!$I$22)),0),0)</f>
        <v>0</v>
      </c>
      <c r="CX89" s="783">
        <f>IF('Incremental Repayments'!$R$22="Debt",IF(AND(CX$4&gt;=$D89,CX$4&lt;$D89+'Incremental Repayments'!$I$31),-PMT('Interest Rate'!$J$16,'Incremental Repayments'!$I$31,(HLOOKUP($D89,$E$4:$CZ$32,28,FALSE)*'Incremental Repayments'!$I$22)),0),0)</f>
        <v>0</v>
      </c>
      <c r="CY89" s="783">
        <f>IF('Incremental Repayments'!$R$22="Debt",IF(AND(CY$4&gt;=$D89,CY$4&lt;$D89+'Incremental Repayments'!$I$31),-PMT('Interest Rate'!$J$16,'Incremental Repayments'!$I$31,(HLOOKUP($D89,$E$4:$CZ$32,28,FALSE)*'Incremental Repayments'!$I$22)),0),0)</f>
        <v>0</v>
      </c>
      <c r="CZ89" s="783">
        <f>IF('Incremental Repayments'!$R$22="Debt",IF(AND(CZ$4&gt;=$D89,CZ$4&lt;$D89+'Incremental Repayments'!$I$31),-PMT('Interest Rate'!$J$16,'Incremental Repayments'!$I$31,(HLOOKUP($D89,$E$4:$CZ$32,28,FALSE)*'Incremental Repayments'!$I$22)),0),0)</f>
        <v>0</v>
      </c>
    </row>
    <row r="90" spans="2:104" x14ac:dyDescent="0.25">
      <c r="B90" s="480" t="str">
        <f>CONCATENATE("Series ",D90,"A Bonds (at ",'Interest Rate'!$J$16*100,"% Interest)")</f>
        <v>Series 2068A Bonds (at 4.5% Interest)</v>
      </c>
      <c r="C90" s="480"/>
      <c r="D90" s="492">
        <f t="shared" si="47"/>
        <v>2068</v>
      </c>
      <c r="E90" s="783">
        <f>IF('Incremental Repayments'!$R$22="Debt",IF(AND(E$4&gt;=$D90,E$4&lt;$D90+'Incremental Repayments'!$I$31),-PMT('Interest Rate'!$J$16,'Incremental Repayments'!$I$31,(HLOOKUP($D90,$E$4:$CZ$32,28,FALSE)*'Incremental Repayments'!$I$22)),0),0)</f>
        <v>0</v>
      </c>
      <c r="F90" s="783">
        <f>IF('Incremental Repayments'!$R$22="Debt",IF(AND(F$4&gt;=$D90,F$4&lt;$D90+'Incremental Repayments'!$I$31),-PMT('Interest Rate'!$J$16,'Incremental Repayments'!$I$31,(HLOOKUP($D90,$E$4:$CZ$32,28,FALSE)*'Incremental Repayments'!$I$22)),0),0)</f>
        <v>0</v>
      </c>
      <c r="G90" s="783">
        <f>IF('Incremental Repayments'!$R$22="Debt",IF(AND(G$4&gt;=$D90,G$4&lt;$D90+'Incremental Repayments'!$I$31),-PMT('Interest Rate'!$J$16,'Incremental Repayments'!$I$31,(HLOOKUP($D90,$E$4:$CZ$32,28,FALSE)*'Incremental Repayments'!$I$22)),0),0)</f>
        <v>0</v>
      </c>
      <c r="H90" s="783">
        <f>IF('Incremental Repayments'!$R$22="Debt",IF(AND(H$4&gt;=$D90,H$4&lt;$D90+'Incremental Repayments'!$I$31),-PMT('Interest Rate'!$J$16,'Incremental Repayments'!$I$31,(HLOOKUP($D90,$E$4:$CZ$32,28,FALSE)*'Incremental Repayments'!$I$22)),0),0)</f>
        <v>0</v>
      </c>
      <c r="I90" s="783">
        <f>IF('Incremental Repayments'!$R$22="Debt",IF(AND(I$4&gt;=$D90,I$4&lt;$D90+'Incremental Repayments'!$I$31),-PMT('Interest Rate'!$J$16,'Incremental Repayments'!$I$31,(HLOOKUP($D90,$E$4:$CZ$32,28,FALSE)*'Incremental Repayments'!$I$22)),0),0)</f>
        <v>0</v>
      </c>
      <c r="J90" s="783">
        <f>IF('Incremental Repayments'!$R$22="Debt",IF(AND(J$4&gt;=$D90,J$4&lt;$D90+'Incremental Repayments'!$I$31),-PMT('Interest Rate'!$J$16,'Incremental Repayments'!$I$31,(HLOOKUP($D90,$E$4:$CZ$32,28,FALSE)*'Incremental Repayments'!$I$22)),0),0)</f>
        <v>0</v>
      </c>
      <c r="K90" s="783">
        <f>IF('Incremental Repayments'!$R$22="Debt",IF(AND(K$4&gt;=$D90,K$4&lt;$D90+'Incremental Repayments'!$I$31),-PMT('Interest Rate'!$J$16,'Incremental Repayments'!$I$31,(HLOOKUP($D90,$E$4:$CZ$32,28,FALSE)*'Incremental Repayments'!$I$22)),0),0)</f>
        <v>0</v>
      </c>
      <c r="L90" s="783">
        <f>IF('Incremental Repayments'!$R$22="Debt",IF(AND(L$4&gt;=$D90,L$4&lt;$D90+'Incremental Repayments'!$I$31),-PMT('Interest Rate'!$J$16,'Incremental Repayments'!$I$31,(HLOOKUP($D90,$E$4:$CZ$32,28,FALSE)*'Incremental Repayments'!$I$22)),0),0)</f>
        <v>0</v>
      </c>
      <c r="M90" s="783">
        <f>IF('Incremental Repayments'!$R$22="Debt",IF(AND(M$4&gt;=$D90,M$4&lt;$D90+'Incremental Repayments'!$I$31),-PMT('Interest Rate'!$J$16,'Incremental Repayments'!$I$31,(HLOOKUP($D90,$E$4:$CZ$32,28,FALSE)*'Incremental Repayments'!$I$22)),0),0)</f>
        <v>0</v>
      </c>
      <c r="N90" s="783">
        <f>IF('Incremental Repayments'!$R$22="Debt",IF(AND(N$4&gt;=$D90,N$4&lt;$D90+'Incremental Repayments'!$I$31),-PMT('Interest Rate'!$J$16,'Incremental Repayments'!$I$31,(HLOOKUP($D90,$E$4:$CZ$32,28,FALSE)*'Incremental Repayments'!$I$22)),0),0)</f>
        <v>0</v>
      </c>
      <c r="O90" s="783">
        <f>IF('Incremental Repayments'!$R$22="Debt",IF(AND(O$4&gt;=$D90,O$4&lt;$D90+'Incremental Repayments'!$I$31),-PMT('Interest Rate'!$J$16,'Incremental Repayments'!$I$31,(HLOOKUP($D90,$E$4:$CZ$32,28,FALSE)*'Incremental Repayments'!$I$22)),0),0)</f>
        <v>0</v>
      </c>
      <c r="P90" s="783">
        <f>IF('Incremental Repayments'!$R$22="Debt",IF(AND(P$4&gt;=$D90,P$4&lt;$D90+'Incremental Repayments'!$I$31),-PMT('Interest Rate'!$J$16,'Incremental Repayments'!$I$31,(HLOOKUP($D90,$E$4:$CZ$32,28,FALSE)*'Incremental Repayments'!$I$22)),0),0)</f>
        <v>0</v>
      </c>
      <c r="Q90" s="783">
        <f>IF('Incremental Repayments'!$R$22="Debt",IF(AND(Q$4&gt;=$D90,Q$4&lt;$D90+'Incremental Repayments'!$I$31),-PMT('Interest Rate'!$J$16,'Incremental Repayments'!$I$31,(HLOOKUP($D90,$E$4:$CZ$32,28,FALSE)*'Incremental Repayments'!$I$22)),0),0)</f>
        <v>0</v>
      </c>
      <c r="R90" s="783">
        <f>IF('Incremental Repayments'!$R$22="Debt",IF(AND(R$4&gt;=$D90,R$4&lt;$D90+'Incremental Repayments'!$I$31),-PMT('Interest Rate'!$J$16,'Incremental Repayments'!$I$31,(HLOOKUP($D90,$E$4:$CZ$32,28,FALSE)*'Incremental Repayments'!$I$22)),0),0)</f>
        <v>0</v>
      </c>
      <c r="S90" s="783">
        <f>IF('Incremental Repayments'!$R$22="Debt",IF(AND(S$4&gt;=$D90,S$4&lt;$D90+'Incremental Repayments'!$I$31),-PMT('Interest Rate'!$J$16,'Incremental Repayments'!$I$31,(HLOOKUP($D90,$E$4:$CZ$32,28,FALSE)*'Incremental Repayments'!$I$22)),0),0)</f>
        <v>0</v>
      </c>
      <c r="T90" s="783">
        <f>IF('Incremental Repayments'!$R$22="Debt",IF(AND(T$4&gt;=$D90,T$4&lt;$D90+'Incremental Repayments'!$I$31),-PMT('Interest Rate'!$J$16,'Incremental Repayments'!$I$31,(HLOOKUP($D90,$E$4:$CZ$32,28,FALSE)*'Incremental Repayments'!$I$22)),0),0)</f>
        <v>0</v>
      </c>
      <c r="U90" s="783">
        <f>IF('Incremental Repayments'!$R$22="Debt",IF(AND(U$4&gt;=$D90,U$4&lt;$D90+'Incremental Repayments'!$I$31),-PMT('Interest Rate'!$J$16,'Incremental Repayments'!$I$31,(HLOOKUP($D90,$E$4:$CZ$32,28,FALSE)*'Incremental Repayments'!$I$22)),0),0)</f>
        <v>0</v>
      </c>
      <c r="V90" s="783">
        <f>IF('Incremental Repayments'!$R$22="Debt",IF(AND(V$4&gt;=$D90,V$4&lt;$D90+'Incremental Repayments'!$I$31),-PMT('Interest Rate'!$J$16,'Incremental Repayments'!$I$31,(HLOOKUP($D90,$E$4:$CZ$32,28,FALSE)*'Incremental Repayments'!$I$22)),0),0)</f>
        <v>0</v>
      </c>
      <c r="W90" s="783">
        <f>IF('Incremental Repayments'!$R$22="Debt",IF(AND(W$4&gt;=$D90,W$4&lt;$D90+'Incremental Repayments'!$I$31),-PMT('Interest Rate'!$J$16,'Incremental Repayments'!$I$31,(HLOOKUP($D90,$E$4:$CZ$32,28,FALSE)*'Incremental Repayments'!$I$22)),0),0)</f>
        <v>0</v>
      </c>
      <c r="X90" s="783">
        <f>IF('Incremental Repayments'!$R$22="Debt",IF(AND(X$4&gt;=$D90,X$4&lt;$D90+'Incremental Repayments'!$I$31),-PMT('Interest Rate'!$J$16,'Incremental Repayments'!$I$31,(HLOOKUP($D90,$E$4:$CZ$32,28,FALSE)*'Incremental Repayments'!$I$22)),0),0)</f>
        <v>0</v>
      </c>
      <c r="Y90" s="783">
        <f>IF('Incremental Repayments'!$R$22="Debt",IF(AND(Y$4&gt;=$D90,Y$4&lt;$D90+'Incremental Repayments'!$I$31),-PMT('Interest Rate'!$J$16,'Incremental Repayments'!$I$31,(HLOOKUP($D90,$E$4:$CZ$32,28,FALSE)*'Incremental Repayments'!$I$22)),0),0)</f>
        <v>0</v>
      </c>
      <c r="Z90" s="783">
        <f>IF('Incremental Repayments'!$R$22="Debt",IF(AND(Z$4&gt;=$D90,Z$4&lt;$D90+'Incremental Repayments'!$I$31),-PMT('Interest Rate'!$J$16,'Incremental Repayments'!$I$31,(HLOOKUP($D90,$E$4:$CZ$32,28,FALSE)*'Incremental Repayments'!$I$22)),0),0)</f>
        <v>0</v>
      </c>
      <c r="AA90" s="783">
        <f>IF('Incremental Repayments'!$R$22="Debt",IF(AND(AA$4&gt;=$D90,AA$4&lt;$D90+'Incremental Repayments'!$I$31),-PMT('Interest Rate'!$J$16,'Incremental Repayments'!$I$31,(HLOOKUP($D90,$E$4:$CZ$32,28,FALSE)*'Incremental Repayments'!$I$22)),0),0)</f>
        <v>0</v>
      </c>
      <c r="AB90" s="783">
        <f>IF('Incremental Repayments'!$R$22="Debt",IF(AND(AB$4&gt;=$D90,AB$4&lt;$D90+'Incremental Repayments'!$I$31),-PMT('Interest Rate'!$J$16,'Incremental Repayments'!$I$31,(HLOOKUP($D90,$E$4:$CZ$32,28,FALSE)*'Incremental Repayments'!$I$22)),0),0)</f>
        <v>0</v>
      </c>
      <c r="AC90" s="783">
        <f>IF('Incremental Repayments'!$R$22="Debt",IF(AND(AC$4&gt;=$D90,AC$4&lt;$D90+'Incremental Repayments'!$I$31),-PMT('Interest Rate'!$J$16,'Incremental Repayments'!$I$31,(HLOOKUP($D90,$E$4:$CZ$32,28,FALSE)*'Incremental Repayments'!$I$22)),0),0)</f>
        <v>0</v>
      </c>
      <c r="AD90" s="783">
        <f>IF('Incremental Repayments'!$R$22="Debt",IF(AND(AD$4&gt;=$D90,AD$4&lt;$D90+'Incremental Repayments'!$I$31),-PMT('Interest Rate'!$J$16,'Incremental Repayments'!$I$31,(HLOOKUP($D90,$E$4:$CZ$32,28,FALSE)*'Incremental Repayments'!$I$22)),0),0)</f>
        <v>0</v>
      </c>
      <c r="AE90" s="783">
        <f>IF('Incremental Repayments'!$R$22="Debt",IF(AND(AE$4&gt;=$D90,AE$4&lt;$D90+'Incremental Repayments'!$I$31),-PMT('Interest Rate'!$J$16,'Incremental Repayments'!$I$31,(HLOOKUP($D90,$E$4:$CZ$32,28,FALSE)*'Incremental Repayments'!$I$22)),0),0)</f>
        <v>0</v>
      </c>
      <c r="AF90" s="783">
        <f>IF('Incremental Repayments'!$R$22="Debt",IF(AND(AF$4&gt;=$D90,AF$4&lt;$D90+'Incremental Repayments'!$I$31),-PMT('Interest Rate'!$J$16,'Incremental Repayments'!$I$31,(HLOOKUP($D90,$E$4:$CZ$32,28,FALSE)*'Incremental Repayments'!$I$22)),0),0)</f>
        <v>0</v>
      </c>
      <c r="AG90" s="783">
        <f>IF('Incremental Repayments'!$R$22="Debt",IF(AND(AG$4&gt;=$D90,AG$4&lt;$D90+'Incremental Repayments'!$I$31),-PMT('Interest Rate'!$J$16,'Incremental Repayments'!$I$31,(HLOOKUP($D90,$E$4:$CZ$32,28,FALSE)*'Incremental Repayments'!$I$22)),0),0)</f>
        <v>0</v>
      </c>
      <c r="AH90" s="783">
        <f>IF('Incremental Repayments'!$R$22="Debt",IF(AND(AH$4&gt;=$D90,AH$4&lt;$D90+'Incremental Repayments'!$I$31),-PMT('Interest Rate'!$J$16,'Incremental Repayments'!$I$31,(HLOOKUP($D90,$E$4:$CZ$32,28,FALSE)*'Incremental Repayments'!$I$22)),0),0)</f>
        <v>0</v>
      </c>
      <c r="AI90" s="783">
        <f>IF('Incremental Repayments'!$R$22="Debt",IF(AND(AI$4&gt;=$D90,AI$4&lt;$D90+'Incremental Repayments'!$I$31),-PMT('Interest Rate'!$J$16,'Incremental Repayments'!$I$31,(HLOOKUP($D90,$E$4:$CZ$32,28,FALSE)*'Incremental Repayments'!$I$22)),0),0)</f>
        <v>0</v>
      </c>
      <c r="AJ90" s="783">
        <f>IF('Incremental Repayments'!$R$22="Debt",IF(AND(AJ$4&gt;=$D90,AJ$4&lt;$D90+'Incremental Repayments'!$I$31),-PMT('Interest Rate'!$J$16,'Incremental Repayments'!$I$31,(HLOOKUP($D90,$E$4:$CZ$32,28,FALSE)*'Incremental Repayments'!$I$22)),0),0)</f>
        <v>0</v>
      </c>
      <c r="AK90" s="783">
        <f>IF('Incremental Repayments'!$R$22="Debt",IF(AND(AK$4&gt;=$D90,AK$4&lt;$D90+'Incremental Repayments'!$I$31),-PMT('Interest Rate'!$J$16,'Incremental Repayments'!$I$31,(HLOOKUP($D90,$E$4:$CZ$32,28,FALSE)*'Incremental Repayments'!$I$22)),0),0)</f>
        <v>0</v>
      </c>
      <c r="AL90" s="783">
        <f>IF('Incremental Repayments'!$R$22="Debt",IF(AND(AL$4&gt;=$D90,AL$4&lt;$D90+'Incremental Repayments'!$I$31),-PMT('Interest Rate'!$J$16,'Incremental Repayments'!$I$31,(HLOOKUP($D90,$E$4:$CZ$32,28,FALSE)*'Incremental Repayments'!$I$22)),0),0)</f>
        <v>0</v>
      </c>
      <c r="AM90" s="783">
        <f>IF('Incremental Repayments'!$R$22="Debt",IF(AND(AM$4&gt;=$D90,AM$4&lt;$D90+'Incremental Repayments'!$I$31),-PMT('Interest Rate'!$J$16,'Incremental Repayments'!$I$31,(HLOOKUP($D90,$E$4:$CZ$32,28,FALSE)*'Incremental Repayments'!$I$22)),0),0)</f>
        <v>0</v>
      </c>
      <c r="AN90" s="783">
        <f>IF('Incremental Repayments'!$R$22="Debt",IF(AND(AN$4&gt;=$D90,AN$4&lt;$D90+'Incremental Repayments'!$I$31),-PMT('Interest Rate'!$J$16,'Incremental Repayments'!$I$31,(HLOOKUP($D90,$E$4:$CZ$32,28,FALSE)*'Incremental Repayments'!$I$22)),0),0)</f>
        <v>0</v>
      </c>
      <c r="AO90" s="783">
        <f>IF('Incremental Repayments'!$R$22="Debt",IF(AND(AO$4&gt;=$D90,AO$4&lt;$D90+'Incremental Repayments'!$I$31),-PMT('Interest Rate'!$J$16,'Incremental Repayments'!$I$31,(HLOOKUP($D90,$E$4:$CZ$32,28,FALSE)*'Incremental Repayments'!$I$22)),0),0)</f>
        <v>0</v>
      </c>
      <c r="AP90" s="783">
        <f>IF('Incremental Repayments'!$R$22="Debt",IF(AND(AP$4&gt;=$D90,AP$4&lt;$D90+'Incremental Repayments'!$I$31),-PMT('Interest Rate'!$J$16,'Incremental Repayments'!$I$31,(HLOOKUP($D90,$E$4:$CZ$32,28,FALSE)*'Incremental Repayments'!$I$22)),0),0)</f>
        <v>0</v>
      </c>
      <c r="AQ90" s="783">
        <f>IF('Incremental Repayments'!$R$22="Debt",IF(AND(AQ$4&gt;=$D90,AQ$4&lt;$D90+'Incremental Repayments'!$I$31),-PMT('Interest Rate'!$J$16,'Incremental Repayments'!$I$31,(HLOOKUP($D90,$E$4:$CZ$32,28,FALSE)*'Incremental Repayments'!$I$22)),0),0)</f>
        <v>0</v>
      </c>
      <c r="AR90" s="783">
        <f>IF('Incremental Repayments'!$R$22="Debt",IF(AND(AR$4&gt;=$D90,AR$4&lt;$D90+'Incremental Repayments'!$I$31),-PMT('Interest Rate'!$J$16,'Incremental Repayments'!$I$31,(HLOOKUP($D90,$E$4:$CZ$32,28,FALSE)*'Incremental Repayments'!$I$22)),0),0)</f>
        <v>0</v>
      </c>
      <c r="AS90" s="783">
        <f>IF('Incremental Repayments'!$R$22="Debt",IF(AND(AS$4&gt;=$D90,AS$4&lt;$D90+'Incremental Repayments'!$I$31),-PMT('Interest Rate'!$J$16,'Incremental Repayments'!$I$31,(HLOOKUP($D90,$E$4:$CZ$32,28,FALSE)*'Incremental Repayments'!$I$22)),0),0)</f>
        <v>0</v>
      </c>
      <c r="AT90" s="783">
        <f>IF('Incremental Repayments'!$R$22="Debt",IF(AND(AT$4&gt;=$D90,AT$4&lt;$D90+'Incremental Repayments'!$I$31),-PMT('Interest Rate'!$J$16,'Incremental Repayments'!$I$31,(HLOOKUP($D90,$E$4:$CZ$32,28,FALSE)*'Incremental Repayments'!$I$22)),0),0)</f>
        <v>0</v>
      </c>
      <c r="AU90" s="783">
        <f>IF('Incremental Repayments'!$R$22="Debt",IF(AND(AU$4&gt;=$D90,AU$4&lt;$D90+'Incremental Repayments'!$I$31),-PMT('Interest Rate'!$J$16,'Incremental Repayments'!$I$31,(HLOOKUP($D90,$E$4:$CZ$32,28,FALSE)*'Incremental Repayments'!$I$22)),0),0)</f>
        <v>0</v>
      </c>
      <c r="AV90" s="783">
        <f>IF('Incremental Repayments'!$R$22="Debt",IF(AND(AV$4&gt;=$D90,AV$4&lt;$D90+'Incremental Repayments'!$I$31),-PMT('Interest Rate'!$J$16,'Incremental Repayments'!$I$31,(HLOOKUP($D90,$E$4:$CZ$32,28,FALSE)*'Incremental Repayments'!$I$22)),0),0)</f>
        <v>0</v>
      </c>
      <c r="AW90" s="783">
        <f>IF('Incremental Repayments'!$R$22="Debt",IF(AND(AW$4&gt;=$D90,AW$4&lt;$D90+'Incremental Repayments'!$I$31),-PMT('Interest Rate'!$J$16,'Incremental Repayments'!$I$31,(HLOOKUP($D90,$E$4:$CZ$32,28,FALSE)*'Incremental Repayments'!$I$22)),0),0)</f>
        <v>0</v>
      </c>
      <c r="AX90" s="783">
        <f>IF('Incremental Repayments'!$R$22="Debt",IF(AND(AX$4&gt;=$D90,AX$4&lt;$D90+'Incremental Repayments'!$I$31),-PMT('Interest Rate'!$J$16,'Incremental Repayments'!$I$31,(HLOOKUP($D90,$E$4:$CZ$32,28,FALSE)*'Incremental Repayments'!$I$22)),0),0)</f>
        <v>0</v>
      </c>
      <c r="AY90" s="783">
        <f>IF('Incremental Repayments'!$R$22="Debt",IF(AND(AY$4&gt;=$D90,AY$4&lt;$D90+'Incremental Repayments'!$I$31),-PMT('Interest Rate'!$J$16,'Incremental Repayments'!$I$31,(HLOOKUP($D90,$E$4:$CZ$32,28,FALSE)*'Incremental Repayments'!$I$22)),0),0)</f>
        <v>0</v>
      </c>
      <c r="AZ90" s="783">
        <f>IF('Incremental Repayments'!$R$22="Debt",IF(AND(AZ$4&gt;=$D90,AZ$4&lt;$D90+'Incremental Repayments'!$I$31),-PMT('Interest Rate'!$J$16,'Incremental Repayments'!$I$31,(HLOOKUP($D90,$E$4:$CZ$32,28,FALSE)*'Incremental Repayments'!$I$22)),0),0)</f>
        <v>0</v>
      </c>
      <c r="BA90" s="783">
        <f>IF('Incremental Repayments'!$R$22="Debt",IF(AND(BA$4&gt;=$D90,BA$4&lt;$D90+'Incremental Repayments'!$I$31),-PMT('Interest Rate'!$J$16,'Incremental Repayments'!$I$31,(HLOOKUP($D90,$E$4:$CZ$32,28,FALSE)*'Incremental Repayments'!$I$22)),0),0)</f>
        <v>0</v>
      </c>
      <c r="BB90" s="783">
        <f>IF('Incremental Repayments'!$R$22="Debt",IF(AND(BB$4&gt;=$D90,BB$4&lt;$D90+'Incremental Repayments'!$I$31),-PMT('Interest Rate'!$J$16,'Incremental Repayments'!$I$31,(HLOOKUP($D90,$E$4:$CZ$32,28,FALSE)*'Incremental Repayments'!$I$22)),0),0)</f>
        <v>0</v>
      </c>
      <c r="BC90" s="783">
        <f>IF('Incremental Repayments'!$R$22="Debt",IF(AND(BC$4&gt;=$D90,BC$4&lt;$D90+'Incremental Repayments'!$I$31),-PMT('Interest Rate'!$J$16,'Incremental Repayments'!$I$31,(HLOOKUP($D90,$E$4:$CZ$32,28,FALSE)*'Incremental Repayments'!$I$22)),0),0)</f>
        <v>0</v>
      </c>
      <c r="BD90" s="783">
        <f>IF('Incremental Repayments'!$R$22="Debt",IF(AND(BD$4&gt;=$D90,BD$4&lt;$D90+'Incremental Repayments'!$I$31),-PMT('Interest Rate'!$J$16,'Incremental Repayments'!$I$31,(HLOOKUP($D90,$E$4:$CZ$32,28,FALSE)*'Incremental Repayments'!$I$22)),0),0)</f>
        <v>0</v>
      </c>
      <c r="BE90" s="783">
        <f>IF('Incremental Repayments'!$R$22="Debt",IF(AND(BE$4&gt;=$D90,BE$4&lt;$D90+'Incremental Repayments'!$I$31),-PMT('Interest Rate'!$J$16,'Incremental Repayments'!$I$31,(HLOOKUP($D90,$E$4:$CZ$32,28,FALSE)*'Incremental Repayments'!$I$22)),0),0)</f>
        <v>0</v>
      </c>
      <c r="BF90" s="783">
        <f>IF('Incremental Repayments'!$R$22="Debt",IF(AND(BF$4&gt;=$D90,BF$4&lt;$D90+'Incremental Repayments'!$I$31),-PMT('Interest Rate'!$J$16,'Incremental Repayments'!$I$31,(HLOOKUP($D90,$E$4:$CZ$32,28,FALSE)*'Incremental Repayments'!$I$22)),0),0)</f>
        <v>0</v>
      </c>
      <c r="BG90" s="783">
        <f>IF('Incremental Repayments'!$R$22="Debt",IF(AND(BG$4&gt;=$D90,BG$4&lt;$D90+'Incremental Repayments'!$I$31),-PMT('Interest Rate'!$J$16,'Incremental Repayments'!$I$31,(HLOOKUP($D90,$E$4:$CZ$32,28,FALSE)*'Incremental Repayments'!$I$22)),0),0)</f>
        <v>0</v>
      </c>
      <c r="BH90" s="783">
        <f>IF('Incremental Repayments'!$R$22="Debt",IF(AND(BH$4&gt;=$D90,BH$4&lt;$D90+'Incremental Repayments'!$I$31),-PMT('Interest Rate'!$J$16,'Incremental Repayments'!$I$31,(HLOOKUP($D90,$E$4:$CZ$32,28,FALSE)*'Incremental Repayments'!$I$22)),0),0)</f>
        <v>0</v>
      </c>
      <c r="BI90" s="783">
        <f>IF('Incremental Repayments'!$R$22="Debt",IF(AND(BI$4&gt;=$D90,BI$4&lt;$D90+'Incremental Repayments'!$I$31),-PMT('Interest Rate'!$J$16,'Incremental Repayments'!$I$31,(HLOOKUP($D90,$E$4:$CZ$32,28,FALSE)*'Incremental Repayments'!$I$22)),0),0)</f>
        <v>0</v>
      </c>
      <c r="BJ90" s="783">
        <f>IF('Incremental Repayments'!$R$22="Debt",IF(AND(BJ$4&gt;=$D90,BJ$4&lt;$D90+'Incremental Repayments'!$I$31),-PMT('Interest Rate'!$J$16,'Incremental Repayments'!$I$31,(HLOOKUP($D90,$E$4:$CZ$32,28,FALSE)*'Incremental Repayments'!$I$22)),0),0)</f>
        <v>0</v>
      </c>
      <c r="BK90" s="783">
        <f>IF('Incremental Repayments'!$R$22="Debt",IF(AND(BK$4&gt;=$D90,BK$4&lt;$D90+'Incremental Repayments'!$I$31),-PMT('Interest Rate'!$J$16,'Incremental Repayments'!$I$31,(HLOOKUP($D90,$E$4:$CZ$32,28,FALSE)*'Incremental Repayments'!$I$22)),0),0)</f>
        <v>0</v>
      </c>
      <c r="BL90" s="783">
        <f>IF('Incremental Repayments'!$R$22="Debt",IF(AND(BL$4&gt;=$D90,BL$4&lt;$D90+'Incremental Repayments'!$I$31),-PMT('Interest Rate'!$J$16,'Incremental Repayments'!$I$31,(HLOOKUP($D90,$E$4:$CZ$32,28,FALSE)*'Incremental Repayments'!$I$22)),0),0)</f>
        <v>0</v>
      </c>
      <c r="BM90" s="783">
        <f>IF('Incremental Repayments'!$R$22="Debt",IF(AND(BM$4&gt;=$D90,BM$4&lt;$D90+'Incremental Repayments'!$I$31),-PMT('Interest Rate'!$J$16,'Incremental Repayments'!$I$31,(HLOOKUP($D90,$E$4:$CZ$32,28,FALSE)*'Incremental Repayments'!$I$22)),0),0)</f>
        <v>0</v>
      </c>
      <c r="BN90" s="783">
        <f>IF('Incremental Repayments'!$R$22="Debt",IF(AND(BN$4&gt;=$D90,BN$4&lt;$D90+'Incremental Repayments'!$I$31),-PMT('Interest Rate'!$J$16,'Incremental Repayments'!$I$31,(HLOOKUP($D90,$E$4:$CZ$32,28,FALSE)*'Incremental Repayments'!$I$22)),0),0)</f>
        <v>0</v>
      </c>
      <c r="BO90" s="783">
        <f>IF('Incremental Repayments'!$R$22="Debt",IF(AND(BO$4&gt;=$D90,BO$4&lt;$D90+'Incremental Repayments'!$I$31),-PMT('Interest Rate'!$J$16,'Incremental Repayments'!$I$31,(HLOOKUP($D90,$E$4:$CZ$32,28,FALSE)*'Incremental Repayments'!$I$22)),0),0)</f>
        <v>0</v>
      </c>
      <c r="BP90" s="783">
        <f>IF('Incremental Repayments'!$R$22="Debt",IF(AND(BP$4&gt;=$D90,BP$4&lt;$D90+'Incremental Repayments'!$I$31),-PMT('Interest Rate'!$J$16,'Incremental Repayments'!$I$31,(HLOOKUP($D90,$E$4:$CZ$32,28,FALSE)*'Incremental Repayments'!$I$22)),0),0)</f>
        <v>0</v>
      </c>
      <c r="BQ90" s="783">
        <f>IF('Incremental Repayments'!$R$22="Debt",IF(AND(BQ$4&gt;=$D90,BQ$4&lt;$D90+'Incremental Repayments'!$I$31),-PMT('Interest Rate'!$J$16,'Incremental Repayments'!$I$31,(HLOOKUP($D90,$E$4:$CZ$32,28,FALSE)*'Incremental Repayments'!$I$22)),0),0)</f>
        <v>0</v>
      </c>
      <c r="BR90" s="783">
        <f>IF('Incremental Repayments'!$R$22="Debt",IF(AND(BR$4&gt;=$D90,BR$4&lt;$D90+'Incremental Repayments'!$I$31),-PMT('Interest Rate'!$J$16,'Incremental Repayments'!$I$31,(HLOOKUP($D90,$E$4:$CZ$32,28,FALSE)*'Incremental Repayments'!$I$22)),0),0)</f>
        <v>0</v>
      </c>
      <c r="BS90" s="783">
        <f>IF('Incremental Repayments'!$R$22="Debt",IF(AND(BS$4&gt;=$D90,BS$4&lt;$D90+'Incremental Repayments'!$I$31),-PMT('Interest Rate'!$J$16,'Incremental Repayments'!$I$31,(HLOOKUP($D90,$E$4:$CZ$32,28,FALSE)*'Incremental Repayments'!$I$22)),0),0)</f>
        <v>0</v>
      </c>
      <c r="BT90" s="783">
        <f>IF('Incremental Repayments'!$R$22="Debt",IF(AND(BT$4&gt;=$D90,BT$4&lt;$D90+'Incremental Repayments'!$I$31),-PMT('Interest Rate'!$J$16,'Incremental Repayments'!$I$31,(HLOOKUP($D90,$E$4:$CZ$32,28,FALSE)*'Incremental Repayments'!$I$22)),0),0)</f>
        <v>0</v>
      </c>
      <c r="BU90" s="783">
        <f>IF('Incremental Repayments'!$R$22="Debt",IF(AND(BU$4&gt;=$D90,BU$4&lt;$D90+'Incremental Repayments'!$I$31),-PMT('Interest Rate'!$J$16,'Incremental Repayments'!$I$31,(HLOOKUP($D90,$E$4:$CZ$32,28,FALSE)*'Incremental Repayments'!$I$22)),0),0)</f>
        <v>0</v>
      </c>
      <c r="BV90" s="783">
        <f>IF('Incremental Repayments'!$R$22="Debt",IF(AND(BV$4&gt;=$D90,BV$4&lt;$D90+'Incremental Repayments'!$I$31),-PMT('Interest Rate'!$J$16,'Incremental Repayments'!$I$31,(HLOOKUP($D90,$E$4:$CZ$32,28,FALSE)*'Incremental Repayments'!$I$22)),0),0)</f>
        <v>0</v>
      </c>
      <c r="BW90" s="783">
        <f>IF('Incremental Repayments'!$R$22="Debt",IF(AND(BW$4&gt;=$D90,BW$4&lt;$D90+'Incremental Repayments'!$I$31),-PMT('Interest Rate'!$J$16,'Incremental Repayments'!$I$31,(HLOOKUP($D90,$E$4:$CZ$32,28,FALSE)*'Incremental Repayments'!$I$22)),0),0)</f>
        <v>0</v>
      </c>
      <c r="BX90" s="783">
        <f>IF('Incremental Repayments'!$R$22="Debt",IF(AND(BX$4&gt;=$D90,BX$4&lt;$D90+'Incremental Repayments'!$I$31),-PMT('Interest Rate'!$J$16,'Incremental Repayments'!$I$31,(HLOOKUP($D90,$E$4:$CZ$32,28,FALSE)*'Incremental Repayments'!$I$22)),0),0)</f>
        <v>0</v>
      </c>
      <c r="BY90" s="783">
        <f>IF('Incremental Repayments'!$R$22="Debt",IF(AND(BY$4&gt;=$D90,BY$4&lt;$D90+'Incremental Repayments'!$I$31),-PMT('Interest Rate'!$J$16,'Incremental Repayments'!$I$31,(HLOOKUP($D90,$E$4:$CZ$32,28,FALSE)*'Incremental Repayments'!$I$22)),0),0)</f>
        <v>0</v>
      </c>
      <c r="BZ90" s="783">
        <f>IF('Incremental Repayments'!$R$22="Debt",IF(AND(BZ$4&gt;=$D90,BZ$4&lt;$D90+'Incremental Repayments'!$I$31),-PMT('Interest Rate'!$J$16,'Incremental Repayments'!$I$31,(HLOOKUP($D90,$E$4:$CZ$32,28,FALSE)*'Incremental Repayments'!$I$22)),0),0)</f>
        <v>0</v>
      </c>
      <c r="CA90" s="783">
        <f>IF('Incremental Repayments'!$R$22="Debt",IF(AND(CA$4&gt;=$D90,CA$4&lt;$D90+'Incremental Repayments'!$I$31),-PMT('Interest Rate'!$J$16,'Incremental Repayments'!$I$31,(HLOOKUP($D90,$E$4:$CZ$32,28,FALSE)*'Incremental Repayments'!$I$22)),0),0)</f>
        <v>0</v>
      </c>
      <c r="CB90" s="783">
        <f>IF('Incremental Repayments'!$R$22="Debt",IF(AND(CB$4&gt;=$D90,CB$4&lt;$D90+'Incremental Repayments'!$I$31),-PMT('Interest Rate'!$J$16,'Incremental Repayments'!$I$31,(HLOOKUP($D90,$E$4:$CZ$32,28,FALSE)*'Incremental Repayments'!$I$22)),0),0)</f>
        <v>0</v>
      </c>
      <c r="CC90" s="783">
        <f>IF('Incremental Repayments'!$R$22="Debt",IF(AND(CC$4&gt;=$D90,CC$4&lt;$D90+'Incremental Repayments'!$I$31),-PMT('Interest Rate'!$J$16,'Incremental Repayments'!$I$31,(HLOOKUP($D90,$E$4:$CZ$32,28,FALSE)*'Incremental Repayments'!$I$22)),0),0)</f>
        <v>0</v>
      </c>
      <c r="CD90" s="783">
        <f>IF('Incremental Repayments'!$R$22="Debt",IF(AND(CD$4&gt;=$D90,CD$4&lt;$D90+'Incremental Repayments'!$I$31),-PMT('Interest Rate'!$J$16,'Incremental Repayments'!$I$31,(HLOOKUP($D90,$E$4:$CZ$32,28,FALSE)*'Incremental Repayments'!$I$22)),0),0)</f>
        <v>0</v>
      </c>
      <c r="CE90" s="783">
        <f>IF('Incremental Repayments'!$R$22="Debt",IF(AND(CE$4&gt;=$D90,CE$4&lt;$D90+'Incremental Repayments'!$I$31),-PMT('Interest Rate'!$J$16,'Incremental Repayments'!$I$31,(HLOOKUP($D90,$E$4:$CZ$32,28,FALSE)*'Incremental Repayments'!$I$22)),0),0)</f>
        <v>0</v>
      </c>
      <c r="CF90" s="783">
        <f>IF('Incremental Repayments'!$R$22="Debt",IF(AND(CF$4&gt;=$D90,CF$4&lt;$D90+'Incremental Repayments'!$I$31),-PMT('Interest Rate'!$J$16,'Incremental Repayments'!$I$31,(HLOOKUP($D90,$E$4:$CZ$32,28,FALSE)*'Incremental Repayments'!$I$22)),0),0)</f>
        <v>0</v>
      </c>
      <c r="CG90" s="783">
        <f>IF('Incremental Repayments'!$R$22="Debt",IF(AND(CG$4&gt;=$D90,CG$4&lt;$D90+'Incremental Repayments'!$I$31),-PMT('Interest Rate'!$J$16,'Incremental Repayments'!$I$31,(HLOOKUP($D90,$E$4:$CZ$32,28,FALSE)*'Incremental Repayments'!$I$22)),0),0)</f>
        <v>0</v>
      </c>
      <c r="CH90" s="783">
        <f>IF('Incremental Repayments'!$R$22="Debt",IF(AND(CH$4&gt;=$D90,CH$4&lt;$D90+'Incremental Repayments'!$I$31),-PMT('Interest Rate'!$J$16,'Incremental Repayments'!$I$31,(HLOOKUP($D90,$E$4:$CZ$32,28,FALSE)*'Incremental Repayments'!$I$22)),0),0)</f>
        <v>0</v>
      </c>
      <c r="CI90" s="783">
        <f>IF('Incremental Repayments'!$R$22="Debt",IF(AND(CI$4&gt;=$D90,CI$4&lt;$D90+'Incremental Repayments'!$I$31),-PMT('Interest Rate'!$J$16,'Incremental Repayments'!$I$31,(HLOOKUP($D90,$E$4:$CZ$32,28,FALSE)*'Incremental Repayments'!$I$22)),0),0)</f>
        <v>0</v>
      </c>
      <c r="CJ90" s="783">
        <f>IF('Incremental Repayments'!$R$22="Debt",IF(AND(CJ$4&gt;=$D90,CJ$4&lt;$D90+'Incremental Repayments'!$I$31),-PMT('Interest Rate'!$J$16,'Incremental Repayments'!$I$31,(HLOOKUP($D90,$E$4:$CZ$32,28,FALSE)*'Incremental Repayments'!$I$22)),0),0)</f>
        <v>0</v>
      </c>
      <c r="CK90" s="783">
        <f>IF('Incremental Repayments'!$R$22="Debt",IF(AND(CK$4&gt;=$D90,CK$4&lt;$D90+'Incremental Repayments'!$I$31),-PMT('Interest Rate'!$J$16,'Incremental Repayments'!$I$31,(HLOOKUP($D90,$E$4:$CZ$32,28,FALSE)*'Incremental Repayments'!$I$22)),0),0)</f>
        <v>0</v>
      </c>
      <c r="CL90" s="783">
        <f>IF('Incremental Repayments'!$R$22="Debt",IF(AND(CL$4&gt;=$D90,CL$4&lt;$D90+'Incremental Repayments'!$I$31),-PMT('Interest Rate'!$J$16,'Incremental Repayments'!$I$31,(HLOOKUP($D90,$E$4:$CZ$32,28,FALSE)*'Incremental Repayments'!$I$22)),0),0)</f>
        <v>0</v>
      </c>
      <c r="CM90" s="783">
        <f>IF('Incremental Repayments'!$R$22="Debt",IF(AND(CM$4&gt;=$D90,CM$4&lt;$D90+'Incremental Repayments'!$I$31),-PMT('Interest Rate'!$J$16,'Incremental Repayments'!$I$31,(HLOOKUP($D90,$E$4:$CZ$32,28,FALSE)*'Incremental Repayments'!$I$22)),0),0)</f>
        <v>0</v>
      </c>
      <c r="CN90" s="783">
        <f>IF('Incremental Repayments'!$R$22="Debt",IF(AND(CN$4&gt;=$D90,CN$4&lt;$D90+'Incremental Repayments'!$I$31),-PMT('Interest Rate'!$J$16,'Incremental Repayments'!$I$31,(HLOOKUP($D90,$E$4:$CZ$32,28,FALSE)*'Incremental Repayments'!$I$22)),0),0)</f>
        <v>0</v>
      </c>
      <c r="CO90" s="783">
        <f>IF('Incremental Repayments'!$R$22="Debt",IF(AND(CO$4&gt;=$D90,CO$4&lt;$D90+'Incremental Repayments'!$I$31),-PMT('Interest Rate'!$J$16,'Incremental Repayments'!$I$31,(HLOOKUP($D90,$E$4:$CZ$32,28,FALSE)*'Incremental Repayments'!$I$22)),0),0)</f>
        <v>0</v>
      </c>
      <c r="CP90" s="783">
        <f>IF('Incremental Repayments'!$R$22="Debt",IF(AND(CP$4&gt;=$D90,CP$4&lt;$D90+'Incremental Repayments'!$I$31),-PMT('Interest Rate'!$J$16,'Incremental Repayments'!$I$31,(HLOOKUP($D90,$E$4:$CZ$32,28,FALSE)*'Incremental Repayments'!$I$22)),0),0)</f>
        <v>0</v>
      </c>
      <c r="CQ90" s="783">
        <f>IF('Incremental Repayments'!$R$22="Debt",IF(AND(CQ$4&gt;=$D90,CQ$4&lt;$D90+'Incremental Repayments'!$I$31),-PMT('Interest Rate'!$J$16,'Incremental Repayments'!$I$31,(HLOOKUP($D90,$E$4:$CZ$32,28,FALSE)*'Incremental Repayments'!$I$22)),0),0)</f>
        <v>0</v>
      </c>
      <c r="CR90" s="783">
        <f>IF('Incremental Repayments'!$R$22="Debt",IF(AND(CR$4&gt;=$D90,CR$4&lt;$D90+'Incremental Repayments'!$I$31),-PMT('Interest Rate'!$J$16,'Incremental Repayments'!$I$31,(HLOOKUP($D90,$E$4:$CZ$32,28,FALSE)*'Incremental Repayments'!$I$22)),0),0)</f>
        <v>0</v>
      </c>
      <c r="CS90" s="783">
        <f>IF('Incremental Repayments'!$R$22="Debt",IF(AND(CS$4&gt;=$D90,CS$4&lt;$D90+'Incremental Repayments'!$I$31),-PMT('Interest Rate'!$J$16,'Incremental Repayments'!$I$31,(HLOOKUP($D90,$E$4:$CZ$32,28,FALSE)*'Incremental Repayments'!$I$22)),0),0)</f>
        <v>0</v>
      </c>
      <c r="CT90" s="783">
        <f>IF('Incremental Repayments'!$R$22="Debt",IF(AND(CT$4&gt;=$D90,CT$4&lt;$D90+'Incremental Repayments'!$I$31),-PMT('Interest Rate'!$J$16,'Incremental Repayments'!$I$31,(HLOOKUP($D90,$E$4:$CZ$32,28,FALSE)*'Incremental Repayments'!$I$22)),0),0)</f>
        <v>0</v>
      </c>
      <c r="CU90" s="783">
        <f>IF('Incremental Repayments'!$R$22="Debt",IF(AND(CU$4&gt;=$D90,CU$4&lt;$D90+'Incremental Repayments'!$I$31),-PMT('Interest Rate'!$J$16,'Incremental Repayments'!$I$31,(HLOOKUP($D90,$E$4:$CZ$32,28,FALSE)*'Incremental Repayments'!$I$22)),0),0)</f>
        <v>0</v>
      </c>
      <c r="CV90" s="783">
        <f>IF('Incremental Repayments'!$R$22="Debt",IF(AND(CV$4&gt;=$D90,CV$4&lt;$D90+'Incremental Repayments'!$I$31),-PMT('Interest Rate'!$J$16,'Incremental Repayments'!$I$31,(HLOOKUP($D90,$E$4:$CZ$32,28,FALSE)*'Incremental Repayments'!$I$22)),0),0)</f>
        <v>0</v>
      </c>
      <c r="CW90" s="783">
        <f>IF('Incremental Repayments'!$R$22="Debt",IF(AND(CW$4&gt;=$D90,CW$4&lt;$D90+'Incremental Repayments'!$I$31),-PMT('Interest Rate'!$J$16,'Incremental Repayments'!$I$31,(HLOOKUP($D90,$E$4:$CZ$32,28,FALSE)*'Incremental Repayments'!$I$22)),0),0)</f>
        <v>0</v>
      </c>
      <c r="CX90" s="783">
        <f>IF('Incremental Repayments'!$R$22="Debt",IF(AND(CX$4&gt;=$D90,CX$4&lt;$D90+'Incremental Repayments'!$I$31),-PMT('Interest Rate'!$J$16,'Incremental Repayments'!$I$31,(HLOOKUP($D90,$E$4:$CZ$32,28,FALSE)*'Incremental Repayments'!$I$22)),0),0)</f>
        <v>0</v>
      </c>
      <c r="CY90" s="783">
        <f>IF('Incremental Repayments'!$R$22="Debt",IF(AND(CY$4&gt;=$D90,CY$4&lt;$D90+'Incremental Repayments'!$I$31),-PMT('Interest Rate'!$J$16,'Incremental Repayments'!$I$31,(HLOOKUP($D90,$E$4:$CZ$32,28,FALSE)*'Incremental Repayments'!$I$22)),0),0)</f>
        <v>0</v>
      </c>
      <c r="CZ90" s="783">
        <f>IF('Incremental Repayments'!$R$22="Debt",IF(AND(CZ$4&gt;=$D90,CZ$4&lt;$D90+'Incremental Repayments'!$I$31),-PMT('Interest Rate'!$J$16,'Incremental Repayments'!$I$31,(HLOOKUP($D90,$E$4:$CZ$32,28,FALSE)*'Incremental Repayments'!$I$22)),0),0)</f>
        <v>0</v>
      </c>
    </row>
    <row r="91" spans="2:104" x14ac:dyDescent="0.25">
      <c r="B91" s="480" t="str">
        <f>CONCATENATE("Series ",D91,"A Bonds (at ",'Interest Rate'!$J$16*100,"% Interest)")</f>
        <v>Series 2069A Bonds (at 4.5% Interest)</v>
      </c>
      <c r="C91" s="480"/>
      <c r="D91" s="492">
        <f t="shared" si="47"/>
        <v>2069</v>
      </c>
      <c r="E91" s="783">
        <f>IF('Incremental Repayments'!$R$22="Debt",IF(AND(E$4&gt;=$D91,E$4&lt;$D91+'Incremental Repayments'!$I$31),-PMT('Interest Rate'!$J$16,'Incremental Repayments'!$I$31,(HLOOKUP($D91,$E$4:$CZ$32,28,FALSE)*'Incremental Repayments'!$I$22)),0),0)</f>
        <v>0</v>
      </c>
      <c r="F91" s="783">
        <f>IF('Incremental Repayments'!$R$22="Debt",IF(AND(F$4&gt;=$D91,F$4&lt;$D91+'Incremental Repayments'!$I$31),-PMT('Interest Rate'!$J$16,'Incremental Repayments'!$I$31,(HLOOKUP($D91,$E$4:$CZ$32,28,FALSE)*'Incremental Repayments'!$I$22)),0),0)</f>
        <v>0</v>
      </c>
      <c r="G91" s="783">
        <f>IF('Incremental Repayments'!$R$22="Debt",IF(AND(G$4&gt;=$D91,G$4&lt;$D91+'Incremental Repayments'!$I$31),-PMT('Interest Rate'!$J$16,'Incremental Repayments'!$I$31,(HLOOKUP($D91,$E$4:$CZ$32,28,FALSE)*'Incremental Repayments'!$I$22)),0),0)</f>
        <v>0</v>
      </c>
      <c r="H91" s="783">
        <f>IF('Incremental Repayments'!$R$22="Debt",IF(AND(H$4&gt;=$D91,H$4&lt;$D91+'Incremental Repayments'!$I$31),-PMT('Interest Rate'!$J$16,'Incremental Repayments'!$I$31,(HLOOKUP($D91,$E$4:$CZ$32,28,FALSE)*'Incremental Repayments'!$I$22)),0),0)</f>
        <v>0</v>
      </c>
      <c r="I91" s="783">
        <f>IF('Incremental Repayments'!$R$22="Debt",IF(AND(I$4&gt;=$D91,I$4&lt;$D91+'Incremental Repayments'!$I$31),-PMT('Interest Rate'!$J$16,'Incremental Repayments'!$I$31,(HLOOKUP($D91,$E$4:$CZ$32,28,FALSE)*'Incremental Repayments'!$I$22)),0),0)</f>
        <v>0</v>
      </c>
      <c r="J91" s="783">
        <f>IF('Incremental Repayments'!$R$22="Debt",IF(AND(J$4&gt;=$D91,J$4&lt;$D91+'Incremental Repayments'!$I$31),-PMT('Interest Rate'!$J$16,'Incremental Repayments'!$I$31,(HLOOKUP($D91,$E$4:$CZ$32,28,FALSE)*'Incremental Repayments'!$I$22)),0),0)</f>
        <v>0</v>
      </c>
      <c r="K91" s="783">
        <f>IF('Incremental Repayments'!$R$22="Debt",IF(AND(K$4&gt;=$D91,K$4&lt;$D91+'Incremental Repayments'!$I$31),-PMT('Interest Rate'!$J$16,'Incremental Repayments'!$I$31,(HLOOKUP($D91,$E$4:$CZ$32,28,FALSE)*'Incremental Repayments'!$I$22)),0),0)</f>
        <v>0</v>
      </c>
      <c r="L91" s="783">
        <f>IF('Incremental Repayments'!$R$22="Debt",IF(AND(L$4&gt;=$D91,L$4&lt;$D91+'Incremental Repayments'!$I$31),-PMT('Interest Rate'!$J$16,'Incremental Repayments'!$I$31,(HLOOKUP($D91,$E$4:$CZ$32,28,FALSE)*'Incremental Repayments'!$I$22)),0),0)</f>
        <v>0</v>
      </c>
      <c r="M91" s="783">
        <f>IF('Incremental Repayments'!$R$22="Debt",IF(AND(M$4&gt;=$D91,M$4&lt;$D91+'Incremental Repayments'!$I$31),-PMT('Interest Rate'!$J$16,'Incremental Repayments'!$I$31,(HLOOKUP($D91,$E$4:$CZ$32,28,FALSE)*'Incremental Repayments'!$I$22)),0),0)</f>
        <v>0</v>
      </c>
      <c r="N91" s="783">
        <f>IF('Incremental Repayments'!$R$22="Debt",IF(AND(N$4&gt;=$D91,N$4&lt;$D91+'Incremental Repayments'!$I$31),-PMT('Interest Rate'!$J$16,'Incremental Repayments'!$I$31,(HLOOKUP($D91,$E$4:$CZ$32,28,FALSE)*'Incremental Repayments'!$I$22)),0),0)</f>
        <v>0</v>
      </c>
      <c r="O91" s="783">
        <f>IF('Incremental Repayments'!$R$22="Debt",IF(AND(O$4&gt;=$D91,O$4&lt;$D91+'Incremental Repayments'!$I$31),-PMT('Interest Rate'!$J$16,'Incremental Repayments'!$I$31,(HLOOKUP($D91,$E$4:$CZ$32,28,FALSE)*'Incremental Repayments'!$I$22)),0),0)</f>
        <v>0</v>
      </c>
      <c r="P91" s="783">
        <f>IF('Incremental Repayments'!$R$22="Debt",IF(AND(P$4&gt;=$D91,P$4&lt;$D91+'Incremental Repayments'!$I$31),-PMT('Interest Rate'!$J$16,'Incremental Repayments'!$I$31,(HLOOKUP($D91,$E$4:$CZ$32,28,FALSE)*'Incremental Repayments'!$I$22)),0),0)</f>
        <v>0</v>
      </c>
      <c r="Q91" s="783">
        <f>IF('Incremental Repayments'!$R$22="Debt",IF(AND(Q$4&gt;=$D91,Q$4&lt;$D91+'Incremental Repayments'!$I$31),-PMT('Interest Rate'!$J$16,'Incremental Repayments'!$I$31,(HLOOKUP($D91,$E$4:$CZ$32,28,FALSE)*'Incremental Repayments'!$I$22)),0),0)</f>
        <v>0</v>
      </c>
      <c r="R91" s="783">
        <f>IF('Incremental Repayments'!$R$22="Debt",IF(AND(R$4&gt;=$D91,R$4&lt;$D91+'Incremental Repayments'!$I$31),-PMT('Interest Rate'!$J$16,'Incremental Repayments'!$I$31,(HLOOKUP($D91,$E$4:$CZ$32,28,FALSE)*'Incremental Repayments'!$I$22)),0),0)</f>
        <v>0</v>
      </c>
      <c r="S91" s="783">
        <f>IF('Incremental Repayments'!$R$22="Debt",IF(AND(S$4&gt;=$D91,S$4&lt;$D91+'Incremental Repayments'!$I$31),-PMT('Interest Rate'!$J$16,'Incremental Repayments'!$I$31,(HLOOKUP($D91,$E$4:$CZ$32,28,FALSE)*'Incremental Repayments'!$I$22)),0),0)</f>
        <v>0</v>
      </c>
      <c r="T91" s="783">
        <f>IF('Incremental Repayments'!$R$22="Debt",IF(AND(T$4&gt;=$D91,T$4&lt;$D91+'Incremental Repayments'!$I$31),-PMT('Interest Rate'!$J$16,'Incremental Repayments'!$I$31,(HLOOKUP($D91,$E$4:$CZ$32,28,FALSE)*'Incremental Repayments'!$I$22)),0),0)</f>
        <v>0</v>
      </c>
      <c r="U91" s="783">
        <f>IF('Incremental Repayments'!$R$22="Debt",IF(AND(U$4&gt;=$D91,U$4&lt;$D91+'Incremental Repayments'!$I$31),-PMT('Interest Rate'!$J$16,'Incremental Repayments'!$I$31,(HLOOKUP($D91,$E$4:$CZ$32,28,FALSE)*'Incremental Repayments'!$I$22)),0),0)</f>
        <v>0</v>
      </c>
      <c r="V91" s="783">
        <f>IF('Incremental Repayments'!$R$22="Debt",IF(AND(V$4&gt;=$D91,V$4&lt;$D91+'Incremental Repayments'!$I$31),-PMT('Interest Rate'!$J$16,'Incremental Repayments'!$I$31,(HLOOKUP($D91,$E$4:$CZ$32,28,FALSE)*'Incremental Repayments'!$I$22)),0),0)</f>
        <v>0</v>
      </c>
      <c r="W91" s="783">
        <f>IF('Incremental Repayments'!$R$22="Debt",IF(AND(W$4&gt;=$D91,W$4&lt;$D91+'Incremental Repayments'!$I$31),-PMT('Interest Rate'!$J$16,'Incremental Repayments'!$I$31,(HLOOKUP($D91,$E$4:$CZ$32,28,FALSE)*'Incremental Repayments'!$I$22)),0),0)</f>
        <v>0</v>
      </c>
      <c r="X91" s="783">
        <f>IF('Incremental Repayments'!$R$22="Debt",IF(AND(X$4&gt;=$D91,X$4&lt;$D91+'Incremental Repayments'!$I$31),-PMT('Interest Rate'!$J$16,'Incremental Repayments'!$I$31,(HLOOKUP($D91,$E$4:$CZ$32,28,FALSE)*'Incremental Repayments'!$I$22)),0),0)</f>
        <v>0</v>
      </c>
      <c r="Y91" s="783">
        <f>IF('Incremental Repayments'!$R$22="Debt",IF(AND(Y$4&gt;=$D91,Y$4&lt;$D91+'Incremental Repayments'!$I$31),-PMT('Interest Rate'!$J$16,'Incremental Repayments'!$I$31,(HLOOKUP($D91,$E$4:$CZ$32,28,FALSE)*'Incremental Repayments'!$I$22)),0),0)</f>
        <v>0</v>
      </c>
      <c r="Z91" s="783">
        <f>IF('Incremental Repayments'!$R$22="Debt",IF(AND(Z$4&gt;=$D91,Z$4&lt;$D91+'Incremental Repayments'!$I$31),-PMT('Interest Rate'!$J$16,'Incremental Repayments'!$I$31,(HLOOKUP($D91,$E$4:$CZ$32,28,FALSE)*'Incremental Repayments'!$I$22)),0),0)</f>
        <v>0</v>
      </c>
      <c r="AA91" s="783">
        <f>IF('Incremental Repayments'!$R$22="Debt",IF(AND(AA$4&gt;=$D91,AA$4&lt;$D91+'Incremental Repayments'!$I$31),-PMT('Interest Rate'!$J$16,'Incremental Repayments'!$I$31,(HLOOKUP($D91,$E$4:$CZ$32,28,FALSE)*'Incremental Repayments'!$I$22)),0),0)</f>
        <v>0</v>
      </c>
      <c r="AB91" s="783">
        <f>IF('Incremental Repayments'!$R$22="Debt",IF(AND(AB$4&gt;=$D91,AB$4&lt;$D91+'Incremental Repayments'!$I$31),-PMT('Interest Rate'!$J$16,'Incremental Repayments'!$I$31,(HLOOKUP($D91,$E$4:$CZ$32,28,FALSE)*'Incremental Repayments'!$I$22)),0),0)</f>
        <v>0</v>
      </c>
      <c r="AC91" s="783">
        <f>IF('Incremental Repayments'!$R$22="Debt",IF(AND(AC$4&gt;=$D91,AC$4&lt;$D91+'Incremental Repayments'!$I$31),-PMT('Interest Rate'!$J$16,'Incremental Repayments'!$I$31,(HLOOKUP($D91,$E$4:$CZ$32,28,FALSE)*'Incremental Repayments'!$I$22)),0),0)</f>
        <v>0</v>
      </c>
      <c r="AD91" s="783">
        <f>IF('Incremental Repayments'!$R$22="Debt",IF(AND(AD$4&gt;=$D91,AD$4&lt;$D91+'Incremental Repayments'!$I$31),-PMT('Interest Rate'!$J$16,'Incremental Repayments'!$I$31,(HLOOKUP($D91,$E$4:$CZ$32,28,FALSE)*'Incremental Repayments'!$I$22)),0),0)</f>
        <v>0</v>
      </c>
      <c r="AE91" s="783">
        <f>IF('Incremental Repayments'!$R$22="Debt",IF(AND(AE$4&gt;=$D91,AE$4&lt;$D91+'Incremental Repayments'!$I$31),-PMT('Interest Rate'!$J$16,'Incremental Repayments'!$I$31,(HLOOKUP($D91,$E$4:$CZ$32,28,FALSE)*'Incremental Repayments'!$I$22)),0),0)</f>
        <v>0</v>
      </c>
      <c r="AF91" s="783">
        <f>IF('Incremental Repayments'!$R$22="Debt",IF(AND(AF$4&gt;=$D91,AF$4&lt;$D91+'Incremental Repayments'!$I$31),-PMT('Interest Rate'!$J$16,'Incremental Repayments'!$I$31,(HLOOKUP($D91,$E$4:$CZ$32,28,FALSE)*'Incremental Repayments'!$I$22)),0),0)</f>
        <v>0</v>
      </c>
      <c r="AG91" s="783">
        <f>IF('Incremental Repayments'!$R$22="Debt",IF(AND(AG$4&gt;=$D91,AG$4&lt;$D91+'Incremental Repayments'!$I$31),-PMT('Interest Rate'!$J$16,'Incremental Repayments'!$I$31,(HLOOKUP($D91,$E$4:$CZ$32,28,FALSE)*'Incremental Repayments'!$I$22)),0),0)</f>
        <v>0</v>
      </c>
      <c r="AH91" s="783">
        <f>IF('Incremental Repayments'!$R$22="Debt",IF(AND(AH$4&gt;=$D91,AH$4&lt;$D91+'Incremental Repayments'!$I$31),-PMT('Interest Rate'!$J$16,'Incremental Repayments'!$I$31,(HLOOKUP($D91,$E$4:$CZ$32,28,FALSE)*'Incremental Repayments'!$I$22)),0),0)</f>
        <v>0</v>
      </c>
      <c r="AI91" s="783">
        <f>IF('Incremental Repayments'!$R$22="Debt",IF(AND(AI$4&gt;=$D91,AI$4&lt;$D91+'Incremental Repayments'!$I$31),-PMT('Interest Rate'!$J$16,'Incremental Repayments'!$I$31,(HLOOKUP($D91,$E$4:$CZ$32,28,FALSE)*'Incremental Repayments'!$I$22)),0),0)</f>
        <v>0</v>
      </c>
      <c r="AJ91" s="783">
        <f>IF('Incremental Repayments'!$R$22="Debt",IF(AND(AJ$4&gt;=$D91,AJ$4&lt;$D91+'Incremental Repayments'!$I$31),-PMT('Interest Rate'!$J$16,'Incremental Repayments'!$I$31,(HLOOKUP($D91,$E$4:$CZ$32,28,FALSE)*'Incremental Repayments'!$I$22)),0),0)</f>
        <v>0</v>
      </c>
      <c r="AK91" s="783">
        <f>IF('Incremental Repayments'!$R$22="Debt",IF(AND(AK$4&gt;=$D91,AK$4&lt;$D91+'Incremental Repayments'!$I$31),-PMT('Interest Rate'!$J$16,'Incremental Repayments'!$I$31,(HLOOKUP($D91,$E$4:$CZ$32,28,FALSE)*'Incremental Repayments'!$I$22)),0),0)</f>
        <v>0</v>
      </c>
      <c r="AL91" s="783">
        <f>IF('Incremental Repayments'!$R$22="Debt",IF(AND(AL$4&gt;=$D91,AL$4&lt;$D91+'Incremental Repayments'!$I$31),-PMT('Interest Rate'!$J$16,'Incremental Repayments'!$I$31,(HLOOKUP($D91,$E$4:$CZ$32,28,FALSE)*'Incremental Repayments'!$I$22)),0),0)</f>
        <v>0</v>
      </c>
      <c r="AM91" s="783">
        <f>IF('Incremental Repayments'!$R$22="Debt",IF(AND(AM$4&gt;=$D91,AM$4&lt;$D91+'Incremental Repayments'!$I$31),-PMT('Interest Rate'!$J$16,'Incremental Repayments'!$I$31,(HLOOKUP($D91,$E$4:$CZ$32,28,FALSE)*'Incremental Repayments'!$I$22)),0),0)</f>
        <v>0</v>
      </c>
      <c r="AN91" s="783">
        <f>IF('Incremental Repayments'!$R$22="Debt",IF(AND(AN$4&gt;=$D91,AN$4&lt;$D91+'Incremental Repayments'!$I$31),-PMT('Interest Rate'!$J$16,'Incremental Repayments'!$I$31,(HLOOKUP($D91,$E$4:$CZ$32,28,FALSE)*'Incremental Repayments'!$I$22)),0),0)</f>
        <v>0</v>
      </c>
      <c r="AO91" s="783">
        <f>IF('Incremental Repayments'!$R$22="Debt",IF(AND(AO$4&gt;=$D91,AO$4&lt;$D91+'Incremental Repayments'!$I$31),-PMT('Interest Rate'!$J$16,'Incremental Repayments'!$I$31,(HLOOKUP($D91,$E$4:$CZ$32,28,FALSE)*'Incremental Repayments'!$I$22)),0),0)</f>
        <v>0</v>
      </c>
      <c r="AP91" s="783">
        <f>IF('Incremental Repayments'!$R$22="Debt",IF(AND(AP$4&gt;=$D91,AP$4&lt;$D91+'Incremental Repayments'!$I$31),-PMT('Interest Rate'!$J$16,'Incremental Repayments'!$I$31,(HLOOKUP($D91,$E$4:$CZ$32,28,FALSE)*'Incremental Repayments'!$I$22)),0),0)</f>
        <v>0</v>
      </c>
      <c r="AQ91" s="783">
        <f>IF('Incremental Repayments'!$R$22="Debt",IF(AND(AQ$4&gt;=$D91,AQ$4&lt;$D91+'Incremental Repayments'!$I$31),-PMT('Interest Rate'!$J$16,'Incremental Repayments'!$I$31,(HLOOKUP($D91,$E$4:$CZ$32,28,FALSE)*'Incremental Repayments'!$I$22)),0),0)</f>
        <v>0</v>
      </c>
      <c r="AR91" s="783">
        <f>IF('Incremental Repayments'!$R$22="Debt",IF(AND(AR$4&gt;=$D91,AR$4&lt;$D91+'Incremental Repayments'!$I$31),-PMT('Interest Rate'!$J$16,'Incremental Repayments'!$I$31,(HLOOKUP($D91,$E$4:$CZ$32,28,FALSE)*'Incremental Repayments'!$I$22)),0),0)</f>
        <v>0</v>
      </c>
      <c r="AS91" s="783">
        <f>IF('Incremental Repayments'!$R$22="Debt",IF(AND(AS$4&gt;=$D91,AS$4&lt;$D91+'Incremental Repayments'!$I$31),-PMT('Interest Rate'!$J$16,'Incremental Repayments'!$I$31,(HLOOKUP($D91,$E$4:$CZ$32,28,FALSE)*'Incremental Repayments'!$I$22)),0),0)</f>
        <v>0</v>
      </c>
      <c r="AT91" s="783">
        <f>IF('Incremental Repayments'!$R$22="Debt",IF(AND(AT$4&gt;=$D91,AT$4&lt;$D91+'Incremental Repayments'!$I$31),-PMT('Interest Rate'!$J$16,'Incremental Repayments'!$I$31,(HLOOKUP($D91,$E$4:$CZ$32,28,FALSE)*'Incremental Repayments'!$I$22)),0),0)</f>
        <v>0</v>
      </c>
      <c r="AU91" s="783">
        <f>IF('Incremental Repayments'!$R$22="Debt",IF(AND(AU$4&gt;=$D91,AU$4&lt;$D91+'Incremental Repayments'!$I$31),-PMT('Interest Rate'!$J$16,'Incremental Repayments'!$I$31,(HLOOKUP($D91,$E$4:$CZ$32,28,FALSE)*'Incremental Repayments'!$I$22)),0),0)</f>
        <v>0</v>
      </c>
      <c r="AV91" s="783">
        <f>IF('Incremental Repayments'!$R$22="Debt",IF(AND(AV$4&gt;=$D91,AV$4&lt;$D91+'Incremental Repayments'!$I$31),-PMT('Interest Rate'!$J$16,'Incremental Repayments'!$I$31,(HLOOKUP($D91,$E$4:$CZ$32,28,FALSE)*'Incremental Repayments'!$I$22)),0),0)</f>
        <v>0</v>
      </c>
      <c r="AW91" s="783">
        <f>IF('Incremental Repayments'!$R$22="Debt",IF(AND(AW$4&gt;=$D91,AW$4&lt;$D91+'Incremental Repayments'!$I$31),-PMT('Interest Rate'!$J$16,'Incremental Repayments'!$I$31,(HLOOKUP($D91,$E$4:$CZ$32,28,FALSE)*'Incremental Repayments'!$I$22)),0),0)</f>
        <v>0</v>
      </c>
      <c r="AX91" s="783">
        <f>IF('Incremental Repayments'!$R$22="Debt",IF(AND(AX$4&gt;=$D91,AX$4&lt;$D91+'Incremental Repayments'!$I$31),-PMT('Interest Rate'!$J$16,'Incremental Repayments'!$I$31,(HLOOKUP($D91,$E$4:$CZ$32,28,FALSE)*'Incremental Repayments'!$I$22)),0),0)</f>
        <v>0</v>
      </c>
      <c r="AY91" s="783">
        <f>IF('Incremental Repayments'!$R$22="Debt",IF(AND(AY$4&gt;=$D91,AY$4&lt;$D91+'Incremental Repayments'!$I$31),-PMT('Interest Rate'!$J$16,'Incremental Repayments'!$I$31,(HLOOKUP($D91,$E$4:$CZ$32,28,FALSE)*'Incremental Repayments'!$I$22)),0),0)</f>
        <v>0</v>
      </c>
      <c r="AZ91" s="783">
        <f>IF('Incremental Repayments'!$R$22="Debt",IF(AND(AZ$4&gt;=$D91,AZ$4&lt;$D91+'Incremental Repayments'!$I$31),-PMT('Interest Rate'!$J$16,'Incremental Repayments'!$I$31,(HLOOKUP($D91,$E$4:$CZ$32,28,FALSE)*'Incremental Repayments'!$I$22)),0),0)</f>
        <v>0</v>
      </c>
      <c r="BA91" s="783">
        <f>IF('Incremental Repayments'!$R$22="Debt",IF(AND(BA$4&gt;=$D91,BA$4&lt;$D91+'Incremental Repayments'!$I$31),-PMT('Interest Rate'!$J$16,'Incremental Repayments'!$I$31,(HLOOKUP($D91,$E$4:$CZ$32,28,FALSE)*'Incremental Repayments'!$I$22)),0),0)</f>
        <v>0</v>
      </c>
      <c r="BB91" s="783">
        <f>IF('Incremental Repayments'!$R$22="Debt",IF(AND(BB$4&gt;=$D91,BB$4&lt;$D91+'Incremental Repayments'!$I$31),-PMT('Interest Rate'!$J$16,'Incremental Repayments'!$I$31,(HLOOKUP($D91,$E$4:$CZ$32,28,FALSE)*'Incremental Repayments'!$I$22)),0),0)</f>
        <v>0</v>
      </c>
      <c r="BC91" s="783">
        <f>IF('Incremental Repayments'!$R$22="Debt",IF(AND(BC$4&gt;=$D91,BC$4&lt;$D91+'Incremental Repayments'!$I$31),-PMT('Interest Rate'!$J$16,'Incremental Repayments'!$I$31,(HLOOKUP($D91,$E$4:$CZ$32,28,FALSE)*'Incremental Repayments'!$I$22)),0),0)</f>
        <v>0</v>
      </c>
      <c r="BD91" s="783">
        <f>IF('Incremental Repayments'!$R$22="Debt",IF(AND(BD$4&gt;=$D91,BD$4&lt;$D91+'Incremental Repayments'!$I$31),-PMT('Interest Rate'!$J$16,'Incremental Repayments'!$I$31,(HLOOKUP($D91,$E$4:$CZ$32,28,FALSE)*'Incremental Repayments'!$I$22)),0),0)</f>
        <v>0</v>
      </c>
      <c r="BE91" s="783">
        <f>IF('Incremental Repayments'!$R$22="Debt",IF(AND(BE$4&gt;=$D91,BE$4&lt;$D91+'Incremental Repayments'!$I$31),-PMT('Interest Rate'!$J$16,'Incremental Repayments'!$I$31,(HLOOKUP($D91,$E$4:$CZ$32,28,FALSE)*'Incremental Repayments'!$I$22)),0),0)</f>
        <v>0</v>
      </c>
      <c r="BF91" s="783">
        <f>IF('Incremental Repayments'!$R$22="Debt",IF(AND(BF$4&gt;=$D91,BF$4&lt;$D91+'Incremental Repayments'!$I$31),-PMT('Interest Rate'!$J$16,'Incremental Repayments'!$I$31,(HLOOKUP($D91,$E$4:$CZ$32,28,FALSE)*'Incremental Repayments'!$I$22)),0),0)</f>
        <v>0</v>
      </c>
      <c r="BG91" s="783">
        <f>IF('Incremental Repayments'!$R$22="Debt",IF(AND(BG$4&gt;=$D91,BG$4&lt;$D91+'Incremental Repayments'!$I$31),-PMT('Interest Rate'!$J$16,'Incremental Repayments'!$I$31,(HLOOKUP($D91,$E$4:$CZ$32,28,FALSE)*'Incremental Repayments'!$I$22)),0),0)</f>
        <v>0</v>
      </c>
      <c r="BH91" s="783">
        <f>IF('Incremental Repayments'!$R$22="Debt",IF(AND(BH$4&gt;=$D91,BH$4&lt;$D91+'Incremental Repayments'!$I$31),-PMT('Interest Rate'!$J$16,'Incremental Repayments'!$I$31,(HLOOKUP($D91,$E$4:$CZ$32,28,FALSE)*'Incremental Repayments'!$I$22)),0),0)</f>
        <v>0</v>
      </c>
      <c r="BI91" s="783">
        <f>IF('Incremental Repayments'!$R$22="Debt",IF(AND(BI$4&gt;=$D91,BI$4&lt;$D91+'Incremental Repayments'!$I$31),-PMT('Interest Rate'!$J$16,'Incremental Repayments'!$I$31,(HLOOKUP($D91,$E$4:$CZ$32,28,FALSE)*'Incremental Repayments'!$I$22)),0),0)</f>
        <v>0</v>
      </c>
      <c r="BJ91" s="783">
        <f>IF('Incremental Repayments'!$R$22="Debt",IF(AND(BJ$4&gt;=$D91,BJ$4&lt;$D91+'Incremental Repayments'!$I$31),-PMT('Interest Rate'!$J$16,'Incremental Repayments'!$I$31,(HLOOKUP($D91,$E$4:$CZ$32,28,FALSE)*'Incremental Repayments'!$I$22)),0),0)</f>
        <v>0</v>
      </c>
      <c r="BK91" s="783">
        <f>IF('Incremental Repayments'!$R$22="Debt",IF(AND(BK$4&gt;=$D91,BK$4&lt;$D91+'Incremental Repayments'!$I$31),-PMT('Interest Rate'!$J$16,'Incremental Repayments'!$I$31,(HLOOKUP($D91,$E$4:$CZ$32,28,FALSE)*'Incremental Repayments'!$I$22)),0),0)</f>
        <v>0</v>
      </c>
      <c r="BL91" s="783">
        <f>IF('Incremental Repayments'!$R$22="Debt",IF(AND(BL$4&gt;=$D91,BL$4&lt;$D91+'Incremental Repayments'!$I$31),-PMT('Interest Rate'!$J$16,'Incremental Repayments'!$I$31,(HLOOKUP($D91,$E$4:$CZ$32,28,FALSE)*'Incremental Repayments'!$I$22)),0),0)</f>
        <v>0</v>
      </c>
      <c r="BM91" s="783">
        <f>IF('Incremental Repayments'!$R$22="Debt",IF(AND(BM$4&gt;=$D91,BM$4&lt;$D91+'Incremental Repayments'!$I$31),-PMT('Interest Rate'!$J$16,'Incremental Repayments'!$I$31,(HLOOKUP($D91,$E$4:$CZ$32,28,FALSE)*'Incremental Repayments'!$I$22)),0),0)</f>
        <v>0</v>
      </c>
      <c r="BN91" s="783">
        <f>IF('Incremental Repayments'!$R$22="Debt",IF(AND(BN$4&gt;=$D91,BN$4&lt;$D91+'Incremental Repayments'!$I$31),-PMT('Interest Rate'!$J$16,'Incremental Repayments'!$I$31,(HLOOKUP($D91,$E$4:$CZ$32,28,FALSE)*'Incremental Repayments'!$I$22)),0),0)</f>
        <v>0</v>
      </c>
      <c r="BO91" s="783">
        <f>IF('Incremental Repayments'!$R$22="Debt",IF(AND(BO$4&gt;=$D91,BO$4&lt;$D91+'Incremental Repayments'!$I$31),-PMT('Interest Rate'!$J$16,'Incremental Repayments'!$I$31,(HLOOKUP($D91,$E$4:$CZ$32,28,FALSE)*'Incremental Repayments'!$I$22)),0),0)</f>
        <v>0</v>
      </c>
      <c r="BP91" s="783">
        <f>IF('Incremental Repayments'!$R$22="Debt",IF(AND(BP$4&gt;=$D91,BP$4&lt;$D91+'Incremental Repayments'!$I$31),-PMT('Interest Rate'!$J$16,'Incremental Repayments'!$I$31,(HLOOKUP($D91,$E$4:$CZ$32,28,FALSE)*'Incremental Repayments'!$I$22)),0),0)</f>
        <v>0</v>
      </c>
      <c r="BQ91" s="783">
        <f>IF('Incremental Repayments'!$R$22="Debt",IF(AND(BQ$4&gt;=$D91,BQ$4&lt;$D91+'Incremental Repayments'!$I$31),-PMT('Interest Rate'!$J$16,'Incremental Repayments'!$I$31,(HLOOKUP($D91,$E$4:$CZ$32,28,FALSE)*'Incremental Repayments'!$I$22)),0),0)</f>
        <v>0</v>
      </c>
      <c r="BR91" s="783">
        <f>IF('Incremental Repayments'!$R$22="Debt",IF(AND(BR$4&gt;=$D91,BR$4&lt;$D91+'Incremental Repayments'!$I$31),-PMT('Interest Rate'!$J$16,'Incremental Repayments'!$I$31,(HLOOKUP($D91,$E$4:$CZ$32,28,FALSE)*'Incremental Repayments'!$I$22)),0),0)</f>
        <v>0</v>
      </c>
      <c r="BS91" s="783">
        <f>IF('Incremental Repayments'!$R$22="Debt",IF(AND(BS$4&gt;=$D91,BS$4&lt;$D91+'Incremental Repayments'!$I$31),-PMT('Interest Rate'!$J$16,'Incremental Repayments'!$I$31,(HLOOKUP($D91,$E$4:$CZ$32,28,FALSE)*'Incremental Repayments'!$I$22)),0),0)</f>
        <v>0</v>
      </c>
      <c r="BT91" s="783">
        <f>IF('Incremental Repayments'!$R$22="Debt",IF(AND(BT$4&gt;=$D91,BT$4&lt;$D91+'Incremental Repayments'!$I$31),-PMT('Interest Rate'!$J$16,'Incremental Repayments'!$I$31,(HLOOKUP($D91,$E$4:$CZ$32,28,FALSE)*'Incremental Repayments'!$I$22)),0),0)</f>
        <v>0</v>
      </c>
      <c r="BU91" s="783">
        <f>IF('Incremental Repayments'!$R$22="Debt",IF(AND(BU$4&gt;=$D91,BU$4&lt;$D91+'Incremental Repayments'!$I$31),-PMT('Interest Rate'!$J$16,'Incremental Repayments'!$I$31,(HLOOKUP($D91,$E$4:$CZ$32,28,FALSE)*'Incremental Repayments'!$I$22)),0),0)</f>
        <v>0</v>
      </c>
      <c r="BV91" s="783">
        <f>IF('Incremental Repayments'!$R$22="Debt",IF(AND(BV$4&gt;=$D91,BV$4&lt;$D91+'Incremental Repayments'!$I$31),-PMT('Interest Rate'!$J$16,'Incremental Repayments'!$I$31,(HLOOKUP($D91,$E$4:$CZ$32,28,FALSE)*'Incremental Repayments'!$I$22)),0),0)</f>
        <v>0</v>
      </c>
      <c r="BW91" s="783">
        <f>IF('Incremental Repayments'!$R$22="Debt",IF(AND(BW$4&gt;=$D91,BW$4&lt;$D91+'Incremental Repayments'!$I$31),-PMT('Interest Rate'!$J$16,'Incremental Repayments'!$I$31,(HLOOKUP($D91,$E$4:$CZ$32,28,FALSE)*'Incremental Repayments'!$I$22)),0),0)</f>
        <v>0</v>
      </c>
      <c r="BX91" s="783">
        <f>IF('Incremental Repayments'!$R$22="Debt",IF(AND(BX$4&gt;=$D91,BX$4&lt;$D91+'Incremental Repayments'!$I$31),-PMT('Interest Rate'!$J$16,'Incremental Repayments'!$I$31,(HLOOKUP($D91,$E$4:$CZ$32,28,FALSE)*'Incremental Repayments'!$I$22)),0),0)</f>
        <v>0</v>
      </c>
      <c r="BY91" s="783">
        <f>IF('Incremental Repayments'!$R$22="Debt",IF(AND(BY$4&gt;=$D91,BY$4&lt;$D91+'Incremental Repayments'!$I$31),-PMT('Interest Rate'!$J$16,'Incremental Repayments'!$I$31,(HLOOKUP($D91,$E$4:$CZ$32,28,FALSE)*'Incremental Repayments'!$I$22)),0),0)</f>
        <v>0</v>
      </c>
      <c r="BZ91" s="783">
        <f>IF('Incremental Repayments'!$R$22="Debt",IF(AND(BZ$4&gt;=$D91,BZ$4&lt;$D91+'Incremental Repayments'!$I$31),-PMT('Interest Rate'!$J$16,'Incremental Repayments'!$I$31,(HLOOKUP($D91,$E$4:$CZ$32,28,FALSE)*'Incremental Repayments'!$I$22)),0),0)</f>
        <v>0</v>
      </c>
      <c r="CA91" s="783">
        <f>IF('Incremental Repayments'!$R$22="Debt",IF(AND(CA$4&gt;=$D91,CA$4&lt;$D91+'Incremental Repayments'!$I$31),-PMT('Interest Rate'!$J$16,'Incremental Repayments'!$I$31,(HLOOKUP($D91,$E$4:$CZ$32,28,FALSE)*'Incremental Repayments'!$I$22)),0),0)</f>
        <v>0</v>
      </c>
      <c r="CB91" s="783">
        <f>IF('Incremental Repayments'!$R$22="Debt",IF(AND(CB$4&gt;=$D91,CB$4&lt;$D91+'Incremental Repayments'!$I$31),-PMT('Interest Rate'!$J$16,'Incremental Repayments'!$I$31,(HLOOKUP($D91,$E$4:$CZ$32,28,FALSE)*'Incremental Repayments'!$I$22)),0),0)</f>
        <v>0</v>
      </c>
      <c r="CC91" s="783">
        <f>IF('Incremental Repayments'!$R$22="Debt",IF(AND(CC$4&gt;=$D91,CC$4&lt;$D91+'Incremental Repayments'!$I$31),-PMT('Interest Rate'!$J$16,'Incremental Repayments'!$I$31,(HLOOKUP($D91,$E$4:$CZ$32,28,FALSE)*'Incremental Repayments'!$I$22)),0),0)</f>
        <v>0</v>
      </c>
      <c r="CD91" s="783">
        <f>IF('Incremental Repayments'!$R$22="Debt",IF(AND(CD$4&gt;=$D91,CD$4&lt;$D91+'Incremental Repayments'!$I$31),-PMT('Interest Rate'!$J$16,'Incremental Repayments'!$I$31,(HLOOKUP($D91,$E$4:$CZ$32,28,FALSE)*'Incremental Repayments'!$I$22)),0),0)</f>
        <v>0</v>
      </c>
      <c r="CE91" s="783">
        <f>IF('Incremental Repayments'!$R$22="Debt",IF(AND(CE$4&gt;=$D91,CE$4&lt;$D91+'Incremental Repayments'!$I$31),-PMT('Interest Rate'!$J$16,'Incremental Repayments'!$I$31,(HLOOKUP($D91,$E$4:$CZ$32,28,FALSE)*'Incremental Repayments'!$I$22)),0),0)</f>
        <v>0</v>
      </c>
      <c r="CF91" s="783">
        <f>IF('Incremental Repayments'!$R$22="Debt",IF(AND(CF$4&gt;=$D91,CF$4&lt;$D91+'Incremental Repayments'!$I$31),-PMT('Interest Rate'!$J$16,'Incremental Repayments'!$I$31,(HLOOKUP($D91,$E$4:$CZ$32,28,FALSE)*'Incremental Repayments'!$I$22)),0),0)</f>
        <v>0</v>
      </c>
      <c r="CG91" s="783">
        <f>IF('Incremental Repayments'!$R$22="Debt",IF(AND(CG$4&gt;=$D91,CG$4&lt;$D91+'Incremental Repayments'!$I$31),-PMT('Interest Rate'!$J$16,'Incremental Repayments'!$I$31,(HLOOKUP($D91,$E$4:$CZ$32,28,FALSE)*'Incremental Repayments'!$I$22)),0),0)</f>
        <v>0</v>
      </c>
      <c r="CH91" s="783">
        <f>IF('Incremental Repayments'!$R$22="Debt",IF(AND(CH$4&gt;=$D91,CH$4&lt;$D91+'Incremental Repayments'!$I$31),-PMT('Interest Rate'!$J$16,'Incremental Repayments'!$I$31,(HLOOKUP($D91,$E$4:$CZ$32,28,FALSE)*'Incremental Repayments'!$I$22)),0),0)</f>
        <v>0</v>
      </c>
      <c r="CI91" s="783">
        <f>IF('Incremental Repayments'!$R$22="Debt",IF(AND(CI$4&gt;=$D91,CI$4&lt;$D91+'Incremental Repayments'!$I$31),-PMT('Interest Rate'!$J$16,'Incremental Repayments'!$I$31,(HLOOKUP($D91,$E$4:$CZ$32,28,FALSE)*'Incremental Repayments'!$I$22)),0),0)</f>
        <v>0</v>
      </c>
      <c r="CJ91" s="783">
        <f>IF('Incremental Repayments'!$R$22="Debt",IF(AND(CJ$4&gt;=$D91,CJ$4&lt;$D91+'Incremental Repayments'!$I$31),-PMT('Interest Rate'!$J$16,'Incremental Repayments'!$I$31,(HLOOKUP($D91,$E$4:$CZ$32,28,FALSE)*'Incremental Repayments'!$I$22)),0),0)</f>
        <v>0</v>
      </c>
      <c r="CK91" s="783">
        <f>IF('Incremental Repayments'!$R$22="Debt",IF(AND(CK$4&gt;=$D91,CK$4&lt;$D91+'Incremental Repayments'!$I$31),-PMT('Interest Rate'!$J$16,'Incremental Repayments'!$I$31,(HLOOKUP($D91,$E$4:$CZ$32,28,FALSE)*'Incremental Repayments'!$I$22)),0),0)</f>
        <v>0</v>
      </c>
      <c r="CL91" s="783">
        <f>IF('Incremental Repayments'!$R$22="Debt",IF(AND(CL$4&gt;=$D91,CL$4&lt;$D91+'Incremental Repayments'!$I$31),-PMT('Interest Rate'!$J$16,'Incremental Repayments'!$I$31,(HLOOKUP($D91,$E$4:$CZ$32,28,FALSE)*'Incremental Repayments'!$I$22)),0),0)</f>
        <v>0</v>
      </c>
      <c r="CM91" s="783">
        <f>IF('Incremental Repayments'!$R$22="Debt",IF(AND(CM$4&gt;=$D91,CM$4&lt;$D91+'Incremental Repayments'!$I$31),-PMT('Interest Rate'!$J$16,'Incremental Repayments'!$I$31,(HLOOKUP($D91,$E$4:$CZ$32,28,FALSE)*'Incremental Repayments'!$I$22)),0),0)</f>
        <v>0</v>
      </c>
      <c r="CN91" s="783">
        <f>IF('Incremental Repayments'!$R$22="Debt",IF(AND(CN$4&gt;=$D91,CN$4&lt;$D91+'Incremental Repayments'!$I$31),-PMT('Interest Rate'!$J$16,'Incremental Repayments'!$I$31,(HLOOKUP($D91,$E$4:$CZ$32,28,FALSE)*'Incremental Repayments'!$I$22)),0),0)</f>
        <v>0</v>
      </c>
      <c r="CO91" s="783">
        <f>IF('Incremental Repayments'!$R$22="Debt",IF(AND(CO$4&gt;=$D91,CO$4&lt;$D91+'Incremental Repayments'!$I$31),-PMT('Interest Rate'!$J$16,'Incremental Repayments'!$I$31,(HLOOKUP($D91,$E$4:$CZ$32,28,FALSE)*'Incremental Repayments'!$I$22)),0),0)</f>
        <v>0</v>
      </c>
      <c r="CP91" s="783">
        <f>IF('Incremental Repayments'!$R$22="Debt",IF(AND(CP$4&gt;=$D91,CP$4&lt;$D91+'Incremental Repayments'!$I$31),-PMT('Interest Rate'!$J$16,'Incremental Repayments'!$I$31,(HLOOKUP($D91,$E$4:$CZ$32,28,FALSE)*'Incremental Repayments'!$I$22)),0),0)</f>
        <v>0</v>
      </c>
      <c r="CQ91" s="783">
        <f>IF('Incremental Repayments'!$R$22="Debt",IF(AND(CQ$4&gt;=$D91,CQ$4&lt;$D91+'Incremental Repayments'!$I$31),-PMT('Interest Rate'!$J$16,'Incremental Repayments'!$I$31,(HLOOKUP($D91,$E$4:$CZ$32,28,FALSE)*'Incremental Repayments'!$I$22)),0),0)</f>
        <v>0</v>
      </c>
      <c r="CR91" s="783">
        <f>IF('Incremental Repayments'!$R$22="Debt",IF(AND(CR$4&gt;=$D91,CR$4&lt;$D91+'Incremental Repayments'!$I$31),-PMT('Interest Rate'!$J$16,'Incremental Repayments'!$I$31,(HLOOKUP($D91,$E$4:$CZ$32,28,FALSE)*'Incremental Repayments'!$I$22)),0),0)</f>
        <v>0</v>
      </c>
      <c r="CS91" s="783">
        <f>IF('Incremental Repayments'!$R$22="Debt",IF(AND(CS$4&gt;=$D91,CS$4&lt;$D91+'Incremental Repayments'!$I$31),-PMT('Interest Rate'!$J$16,'Incremental Repayments'!$I$31,(HLOOKUP($D91,$E$4:$CZ$32,28,FALSE)*'Incremental Repayments'!$I$22)),0),0)</f>
        <v>0</v>
      </c>
      <c r="CT91" s="783">
        <f>IF('Incremental Repayments'!$R$22="Debt",IF(AND(CT$4&gt;=$D91,CT$4&lt;$D91+'Incremental Repayments'!$I$31),-PMT('Interest Rate'!$J$16,'Incremental Repayments'!$I$31,(HLOOKUP($D91,$E$4:$CZ$32,28,FALSE)*'Incremental Repayments'!$I$22)),0),0)</f>
        <v>0</v>
      </c>
      <c r="CU91" s="783">
        <f>IF('Incremental Repayments'!$R$22="Debt",IF(AND(CU$4&gt;=$D91,CU$4&lt;$D91+'Incremental Repayments'!$I$31),-PMT('Interest Rate'!$J$16,'Incremental Repayments'!$I$31,(HLOOKUP($D91,$E$4:$CZ$32,28,FALSE)*'Incremental Repayments'!$I$22)),0),0)</f>
        <v>0</v>
      </c>
      <c r="CV91" s="783">
        <f>IF('Incremental Repayments'!$R$22="Debt",IF(AND(CV$4&gt;=$D91,CV$4&lt;$D91+'Incremental Repayments'!$I$31),-PMT('Interest Rate'!$J$16,'Incremental Repayments'!$I$31,(HLOOKUP($D91,$E$4:$CZ$32,28,FALSE)*'Incremental Repayments'!$I$22)),0),0)</f>
        <v>0</v>
      </c>
      <c r="CW91" s="783">
        <f>IF('Incremental Repayments'!$R$22="Debt",IF(AND(CW$4&gt;=$D91,CW$4&lt;$D91+'Incremental Repayments'!$I$31),-PMT('Interest Rate'!$J$16,'Incremental Repayments'!$I$31,(HLOOKUP($D91,$E$4:$CZ$32,28,FALSE)*'Incremental Repayments'!$I$22)),0),0)</f>
        <v>0</v>
      </c>
      <c r="CX91" s="783">
        <f>IF('Incremental Repayments'!$R$22="Debt",IF(AND(CX$4&gt;=$D91,CX$4&lt;$D91+'Incremental Repayments'!$I$31),-PMT('Interest Rate'!$J$16,'Incremental Repayments'!$I$31,(HLOOKUP($D91,$E$4:$CZ$32,28,FALSE)*'Incremental Repayments'!$I$22)),0),0)</f>
        <v>0</v>
      </c>
      <c r="CY91" s="783">
        <f>IF('Incremental Repayments'!$R$22="Debt",IF(AND(CY$4&gt;=$D91,CY$4&lt;$D91+'Incremental Repayments'!$I$31),-PMT('Interest Rate'!$J$16,'Incremental Repayments'!$I$31,(HLOOKUP($D91,$E$4:$CZ$32,28,FALSE)*'Incremental Repayments'!$I$22)),0),0)</f>
        <v>0</v>
      </c>
      <c r="CZ91" s="783">
        <f>IF('Incremental Repayments'!$R$22="Debt",IF(AND(CZ$4&gt;=$D91,CZ$4&lt;$D91+'Incremental Repayments'!$I$31),-PMT('Interest Rate'!$J$16,'Incremental Repayments'!$I$31,(HLOOKUP($D91,$E$4:$CZ$32,28,FALSE)*'Incremental Repayments'!$I$22)),0),0)</f>
        <v>0</v>
      </c>
    </row>
    <row r="92" spans="2:104" x14ac:dyDescent="0.25">
      <c r="B92" s="480" t="str">
        <f>CONCATENATE("Series ",D92,"A Bonds (at ",'Interest Rate'!$J$16*100,"% Interest)")</f>
        <v>Series 2070A Bonds (at 4.5% Interest)</v>
      </c>
      <c r="C92" s="480"/>
      <c r="D92" s="492">
        <f t="shared" si="47"/>
        <v>2070</v>
      </c>
      <c r="E92" s="783">
        <f>IF('Incremental Repayments'!$R$22="Debt",IF(AND(E$4&gt;=$D92,E$4&lt;$D92+'Incremental Repayments'!$I$31),-PMT('Interest Rate'!$J$16,'Incremental Repayments'!$I$31,(HLOOKUP($D92,$E$4:$CZ$32,28,FALSE)*'Incremental Repayments'!$I$22)),0),0)</f>
        <v>0</v>
      </c>
      <c r="F92" s="783">
        <f>IF('Incremental Repayments'!$R$22="Debt",IF(AND(F$4&gt;=$D92,F$4&lt;$D92+'Incremental Repayments'!$I$31),-PMT('Interest Rate'!$J$16,'Incremental Repayments'!$I$31,(HLOOKUP($D92,$E$4:$CZ$32,28,FALSE)*'Incremental Repayments'!$I$22)),0),0)</f>
        <v>0</v>
      </c>
      <c r="G92" s="783">
        <f>IF('Incremental Repayments'!$R$22="Debt",IF(AND(G$4&gt;=$D92,G$4&lt;$D92+'Incremental Repayments'!$I$31),-PMT('Interest Rate'!$J$16,'Incremental Repayments'!$I$31,(HLOOKUP($D92,$E$4:$CZ$32,28,FALSE)*'Incremental Repayments'!$I$22)),0),0)</f>
        <v>0</v>
      </c>
      <c r="H92" s="783">
        <f>IF('Incremental Repayments'!$R$22="Debt",IF(AND(H$4&gt;=$D92,H$4&lt;$D92+'Incremental Repayments'!$I$31),-PMT('Interest Rate'!$J$16,'Incremental Repayments'!$I$31,(HLOOKUP($D92,$E$4:$CZ$32,28,FALSE)*'Incremental Repayments'!$I$22)),0),0)</f>
        <v>0</v>
      </c>
      <c r="I92" s="783">
        <f>IF('Incremental Repayments'!$R$22="Debt",IF(AND(I$4&gt;=$D92,I$4&lt;$D92+'Incremental Repayments'!$I$31),-PMT('Interest Rate'!$J$16,'Incremental Repayments'!$I$31,(HLOOKUP($D92,$E$4:$CZ$32,28,FALSE)*'Incremental Repayments'!$I$22)),0),0)</f>
        <v>0</v>
      </c>
      <c r="J92" s="783">
        <f>IF('Incremental Repayments'!$R$22="Debt",IF(AND(J$4&gt;=$D92,J$4&lt;$D92+'Incremental Repayments'!$I$31),-PMT('Interest Rate'!$J$16,'Incremental Repayments'!$I$31,(HLOOKUP($D92,$E$4:$CZ$32,28,FALSE)*'Incremental Repayments'!$I$22)),0),0)</f>
        <v>0</v>
      </c>
      <c r="K92" s="783">
        <f>IF('Incremental Repayments'!$R$22="Debt",IF(AND(K$4&gt;=$D92,K$4&lt;$D92+'Incremental Repayments'!$I$31),-PMT('Interest Rate'!$J$16,'Incremental Repayments'!$I$31,(HLOOKUP($D92,$E$4:$CZ$32,28,FALSE)*'Incremental Repayments'!$I$22)),0),0)</f>
        <v>0</v>
      </c>
      <c r="L92" s="783">
        <f>IF('Incremental Repayments'!$R$22="Debt",IF(AND(L$4&gt;=$D92,L$4&lt;$D92+'Incremental Repayments'!$I$31),-PMT('Interest Rate'!$J$16,'Incremental Repayments'!$I$31,(HLOOKUP($D92,$E$4:$CZ$32,28,FALSE)*'Incremental Repayments'!$I$22)),0),0)</f>
        <v>0</v>
      </c>
      <c r="M92" s="783">
        <f>IF('Incremental Repayments'!$R$22="Debt",IF(AND(M$4&gt;=$D92,M$4&lt;$D92+'Incremental Repayments'!$I$31),-PMT('Interest Rate'!$J$16,'Incremental Repayments'!$I$31,(HLOOKUP($D92,$E$4:$CZ$32,28,FALSE)*'Incremental Repayments'!$I$22)),0),0)</f>
        <v>0</v>
      </c>
      <c r="N92" s="783">
        <f>IF('Incremental Repayments'!$R$22="Debt",IF(AND(N$4&gt;=$D92,N$4&lt;$D92+'Incremental Repayments'!$I$31),-PMT('Interest Rate'!$J$16,'Incremental Repayments'!$I$31,(HLOOKUP($D92,$E$4:$CZ$32,28,FALSE)*'Incremental Repayments'!$I$22)),0),0)</f>
        <v>0</v>
      </c>
      <c r="O92" s="783">
        <f>IF('Incremental Repayments'!$R$22="Debt",IF(AND(O$4&gt;=$D92,O$4&lt;$D92+'Incremental Repayments'!$I$31),-PMT('Interest Rate'!$J$16,'Incremental Repayments'!$I$31,(HLOOKUP($D92,$E$4:$CZ$32,28,FALSE)*'Incremental Repayments'!$I$22)),0),0)</f>
        <v>0</v>
      </c>
      <c r="P92" s="783">
        <f>IF('Incremental Repayments'!$R$22="Debt",IF(AND(P$4&gt;=$D92,P$4&lt;$D92+'Incremental Repayments'!$I$31),-PMT('Interest Rate'!$J$16,'Incremental Repayments'!$I$31,(HLOOKUP($D92,$E$4:$CZ$32,28,FALSE)*'Incremental Repayments'!$I$22)),0),0)</f>
        <v>0</v>
      </c>
      <c r="Q92" s="783">
        <f>IF('Incremental Repayments'!$R$22="Debt",IF(AND(Q$4&gt;=$D92,Q$4&lt;$D92+'Incremental Repayments'!$I$31),-PMT('Interest Rate'!$J$16,'Incremental Repayments'!$I$31,(HLOOKUP($D92,$E$4:$CZ$32,28,FALSE)*'Incremental Repayments'!$I$22)),0),0)</f>
        <v>0</v>
      </c>
      <c r="R92" s="783">
        <f>IF('Incremental Repayments'!$R$22="Debt",IF(AND(R$4&gt;=$D92,R$4&lt;$D92+'Incremental Repayments'!$I$31),-PMT('Interest Rate'!$J$16,'Incremental Repayments'!$I$31,(HLOOKUP($D92,$E$4:$CZ$32,28,FALSE)*'Incremental Repayments'!$I$22)),0),0)</f>
        <v>0</v>
      </c>
      <c r="S92" s="783">
        <f>IF('Incremental Repayments'!$R$22="Debt",IF(AND(S$4&gt;=$D92,S$4&lt;$D92+'Incremental Repayments'!$I$31),-PMT('Interest Rate'!$J$16,'Incremental Repayments'!$I$31,(HLOOKUP($D92,$E$4:$CZ$32,28,FALSE)*'Incremental Repayments'!$I$22)),0),0)</f>
        <v>0</v>
      </c>
      <c r="T92" s="783">
        <f>IF('Incremental Repayments'!$R$22="Debt",IF(AND(T$4&gt;=$D92,T$4&lt;$D92+'Incremental Repayments'!$I$31),-PMT('Interest Rate'!$J$16,'Incremental Repayments'!$I$31,(HLOOKUP($D92,$E$4:$CZ$32,28,FALSE)*'Incremental Repayments'!$I$22)),0),0)</f>
        <v>0</v>
      </c>
      <c r="U92" s="783">
        <f>IF('Incremental Repayments'!$R$22="Debt",IF(AND(U$4&gt;=$D92,U$4&lt;$D92+'Incremental Repayments'!$I$31),-PMT('Interest Rate'!$J$16,'Incremental Repayments'!$I$31,(HLOOKUP($D92,$E$4:$CZ$32,28,FALSE)*'Incremental Repayments'!$I$22)),0),0)</f>
        <v>0</v>
      </c>
      <c r="V92" s="783">
        <f>IF('Incremental Repayments'!$R$22="Debt",IF(AND(V$4&gt;=$D92,V$4&lt;$D92+'Incremental Repayments'!$I$31),-PMT('Interest Rate'!$J$16,'Incremental Repayments'!$I$31,(HLOOKUP($D92,$E$4:$CZ$32,28,FALSE)*'Incremental Repayments'!$I$22)),0),0)</f>
        <v>0</v>
      </c>
      <c r="W92" s="783">
        <f>IF('Incremental Repayments'!$R$22="Debt",IF(AND(W$4&gt;=$D92,W$4&lt;$D92+'Incremental Repayments'!$I$31),-PMT('Interest Rate'!$J$16,'Incremental Repayments'!$I$31,(HLOOKUP($D92,$E$4:$CZ$32,28,FALSE)*'Incremental Repayments'!$I$22)),0),0)</f>
        <v>0</v>
      </c>
      <c r="X92" s="783">
        <f>IF('Incremental Repayments'!$R$22="Debt",IF(AND(X$4&gt;=$D92,X$4&lt;$D92+'Incremental Repayments'!$I$31),-PMT('Interest Rate'!$J$16,'Incremental Repayments'!$I$31,(HLOOKUP($D92,$E$4:$CZ$32,28,FALSE)*'Incremental Repayments'!$I$22)),0),0)</f>
        <v>0</v>
      </c>
      <c r="Y92" s="783">
        <f>IF('Incremental Repayments'!$R$22="Debt",IF(AND(Y$4&gt;=$D92,Y$4&lt;$D92+'Incremental Repayments'!$I$31),-PMT('Interest Rate'!$J$16,'Incremental Repayments'!$I$31,(HLOOKUP($D92,$E$4:$CZ$32,28,FALSE)*'Incremental Repayments'!$I$22)),0),0)</f>
        <v>0</v>
      </c>
      <c r="Z92" s="783">
        <f>IF('Incremental Repayments'!$R$22="Debt",IF(AND(Z$4&gt;=$D92,Z$4&lt;$D92+'Incremental Repayments'!$I$31),-PMT('Interest Rate'!$J$16,'Incremental Repayments'!$I$31,(HLOOKUP($D92,$E$4:$CZ$32,28,FALSE)*'Incremental Repayments'!$I$22)),0),0)</f>
        <v>0</v>
      </c>
      <c r="AA92" s="783">
        <f>IF('Incremental Repayments'!$R$22="Debt",IF(AND(AA$4&gt;=$D92,AA$4&lt;$D92+'Incremental Repayments'!$I$31),-PMT('Interest Rate'!$J$16,'Incremental Repayments'!$I$31,(HLOOKUP($D92,$E$4:$CZ$32,28,FALSE)*'Incremental Repayments'!$I$22)),0),0)</f>
        <v>0</v>
      </c>
      <c r="AB92" s="783">
        <f>IF('Incremental Repayments'!$R$22="Debt",IF(AND(AB$4&gt;=$D92,AB$4&lt;$D92+'Incremental Repayments'!$I$31),-PMT('Interest Rate'!$J$16,'Incremental Repayments'!$I$31,(HLOOKUP($D92,$E$4:$CZ$32,28,FALSE)*'Incremental Repayments'!$I$22)),0),0)</f>
        <v>0</v>
      </c>
      <c r="AC92" s="783">
        <f>IF('Incremental Repayments'!$R$22="Debt",IF(AND(AC$4&gt;=$D92,AC$4&lt;$D92+'Incremental Repayments'!$I$31),-PMT('Interest Rate'!$J$16,'Incremental Repayments'!$I$31,(HLOOKUP($D92,$E$4:$CZ$32,28,FALSE)*'Incremental Repayments'!$I$22)),0),0)</f>
        <v>0</v>
      </c>
      <c r="AD92" s="783">
        <f>IF('Incremental Repayments'!$R$22="Debt",IF(AND(AD$4&gt;=$D92,AD$4&lt;$D92+'Incremental Repayments'!$I$31),-PMT('Interest Rate'!$J$16,'Incremental Repayments'!$I$31,(HLOOKUP($D92,$E$4:$CZ$32,28,FALSE)*'Incremental Repayments'!$I$22)),0),0)</f>
        <v>0</v>
      </c>
      <c r="AE92" s="783">
        <f>IF('Incremental Repayments'!$R$22="Debt",IF(AND(AE$4&gt;=$D92,AE$4&lt;$D92+'Incremental Repayments'!$I$31),-PMT('Interest Rate'!$J$16,'Incremental Repayments'!$I$31,(HLOOKUP($D92,$E$4:$CZ$32,28,FALSE)*'Incremental Repayments'!$I$22)),0),0)</f>
        <v>0</v>
      </c>
      <c r="AF92" s="783">
        <f>IF('Incremental Repayments'!$R$22="Debt",IF(AND(AF$4&gt;=$D92,AF$4&lt;$D92+'Incremental Repayments'!$I$31),-PMT('Interest Rate'!$J$16,'Incremental Repayments'!$I$31,(HLOOKUP($D92,$E$4:$CZ$32,28,FALSE)*'Incremental Repayments'!$I$22)),0),0)</f>
        <v>0</v>
      </c>
      <c r="AG92" s="783">
        <f>IF('Incremental Repayments'!$R$22="Debt",IF(AND(AG$4&gt;=$D92,AG$4&lt;$D92+'Incremental Repayments'!$I$31),-PMT('Interest Rate'!$J$16,'Incremental Repayments'!$I$31,(HLOOKUP($D92,$E$4:$CZ$32,28,FALSE)*'Incremental Repayments'!$I$22)),0),0)</f>
        <v>0</v>
      </c>
      <c r="AH92" s="783">
        <f>IF('Incremental Repayments'!$R$22="Debt",IF(AND(AH$4&gt;=$D92,AH$4&lt;$D92+'Incremental Repayments'!$I$31),-PMT('Interest Rate'!$J$16,'Incremental Repayments'!$I$31,(HLOOKUP($D92,$E$4:$CZ$32,28,FALSE)*'Incremental Repayments'!$I$22)),0),0)</f>
        <v>0</v>
      </c>
      <c r="AI92" s="783">
        <f>IF('Incremental Repayments'!$R$22="Debt",IF(AND(AI$4&gt;=$D92,AI$4&lt;$D92+'Incremental Repayments'!$I$31),-PMT('Interest Rate'!$J$16,'Incremental Repayments'!$I$31,(HLOOKUP($D92,$E$4:$CZ$32,28,FALSE)*'Incremental Repayments'!$I$22)),0),0)</f>
        <v>0</v>
      </c>
      <c r="AJ92" s="783">
        <f>IF('Incremental Repayments'!$R$22="Debt",IF(AND(AJ$4&gt;=$D92,AJ$4&lt;$D92+'Incremental Repayments'!$I$31),-PMT('Interest Rate'!$J$16,'Incremental Repayments'!$I$31,(HLOOKUP($D92,$E$4:$CZ$32,28,FALSE)*'Incremental Repayments'!$I$22)),0),0)</f>
        <v>0</v>
      </c>
      <c r="AK92" s="783">
        <f>IF('Incremental Repayments'!$R$22="Debt",IF(AND(AK$4&gt;=$D92,AK$4&lt;$D92+'Incremental Repayments'!$I$31),-PMT('Interest Rate'!$J$16,'Incremental Repayments'!$I$31,(HLOOKUP($D92,$E$4:$CZ$32,28,FALSE)*'Incremental Repayments'!$I$22)),0),0)</f>
        <v>0</v>
      </c>
      <c r="AL92" s="783">
        <f>IF('Incremental Repayments'!$R$22="Debt",IF(AND(AL$4&gt;=$D92,AL$4&lt;$D92+'Incremental Repayments'!$I$31),-PMT('Interest Rate'!$J$16,'Incremental Repayments'!$I$31,(HLOOKUP($D92,$E$4:$CZ$32,28,FALSE)*'Incremental Repayments'!$I$22)),0),0)</f>
        <v>0</v>
      </c>
      <c r="AM92" s="783">
        <f>IF('Incremental Repayments'!$R$22="Debt",IF(AND(AM$4&gt;=$D92,AM$4&lt;$D92+'Incremental Repayments'!$I$31),-PMT('Interest Rate'!$J$16,'Incremental Repayments'!$I$31,(HLOOKUP($D92,$E$4:$CZ$32,28,FALSE)*'Incremental Repayments'!$I$22)),0),0)</f>
        <v>0</v>
      </c>
      <c r="AN92" s="783">
        <f>IF('Incremental Repayments'!$R$22="Debt",IF(AND(AN$4&gt;=$D92,AN$4&lt;$D92+'Incremental Repayments'!$I$31),-PMT('Interest Rate'!$J$16,'Incremental Repayments'!$I$31,(HLOOKUP($D92,$E$4:$CZ$32,28,FALSE)*'Incremental Repayments'!$I$22)),0),0)</f>
        <v>0</v>
      </c>
      <c r="AO92" s="783">
        <f>IF('Incremental Repayments'!$R$22="Debt",IF(AND(AO$4&gt;=$D92,AO$4&lt;$D92+'Incremental Repayments'!$I$31),-PMT('Interest Rate'!$J$16,'Incremental Repayments'!$I$31,(HLOOKUP($D92,$E$4:$CZ$32,28,FALSE)*'Incremental Repayments'!$I$22)),0),0)</f>
        <v>0</v>
      </c>
      <c r="AP92" s="783">
        <f>IF('Incremental Repayments'!$R$22="Debt",IF(AND(AP$4&gt;=$D92,AP$4&lt;$D92+'Incremental Repayments'!$I$31),-PMT('Interest Rate'!$J$16,'Incremental Repayments'!$I$31,(HLOOKUP($D92,$E$4:$CZ$32,28,FALSE)*'Incremental Repayments'!$I$22)),0),0)</f>
        <v>0</v>
      </c>
      <c r="AQ92" s="783">
        <f>IF('Incremental Repayments'!$R$22="Debt",IF(AND(AQ$4&gt;=$D92,AQ$4&lt;$D92+'Incremental Repayments'!$I$31),-PMT('Interest Rate'!$J$16,'Incremental Repayments'!$I$31,(HLOOKUP($D92,$E$4:$CZ$32,28,FALSE)*'Incremental Repayments'!$I$22)),0),0)</f>
        <v>0</v>
      </c>
      <c r="AR92" s="783">
        <f>IF('Incremental Repayments'!$R$22="Debt",IF(AND(AR$4&gt;=$D92,AR$4&lt;$D92+'Incremental Repayments'!$I$31),-PMT('Interest Rate'!$J$16,'Incremental Repayments'!$I$31,(HLOOKUP($D92,$E$4:$CZ$32,28,FALSE)*'Incremental Repayments'!$I$22)),0),0)</f>
        <v>0</v>
      </c>
      <c r="AS92" s="783">
        <f>IF('Incremental Repayments'!$R$22="Debt",IF(AND(AS$4&gt;=$D92,AS$4&lt;$D92+'Incremental Repayments'!$I$31),-PMT('Interest Rate'!$J$16,'Incremental Repayments'!$I$31,(HLOOKUP($D92,$E$4:$CZ$32,28,FALSE)*'Incremental Repayments'!$I$22)),0),0)</f>
        <v>0</v>
      </c>
      <c r="AT92" s="783">
        <f>IF('Incremental Repayments'!$R$22="Debt",IF(AND(AT$4&gt;=$D92,AT$4&lt;$D92+'Incremental Repayments'!$I$31),-PMT('Interest Rate'!$J$16,'Incremental Repayments'!$I$31,(HLOOKUP($D92,$E$4:$CZ$32,28,FALSE)*'Incremental Repayments'!$I$22)),0),0)</f>
        <v>0</v>
      </c>
      <c r="AU92" s="783">
        <f>IF('Incremental Repayments'!$R$22="Debt",IF(AND(AU$4&gt;=$D92,AU$4&lt;$D92+'Incremental Repayments'!$I$31),-PMT('Interest Rate'!$J$16,'Incremental Repayments'!$I$31,(HLOOKUP($D92,$E$4:$CZ$32,28,FALSE)*'Incremental Repayments'!$I$22)),0),0)</f>
        <v>0</v>
      </c>
      <c r="AV92" s="783">
        <f>IF('Incremental Repayments'!$R$22="Debt",IF(AND(AV$4&gt;=$D92,AV$4&lt;$D92+'Incremental Repayments'!$I$31),-PMT('Interest Rate'!$J$16,'Incremental Repayments'!$I$31,(HLOOKUP($D92,$E$4:$CZ$32,28,FALSE)*'Incremental Repayments'!$I$22)),0),0)</f>
        <v>0</v>
      </c>
      <c r="AW92" s="783">
        <f>IF('Incremental Repayments'!$R$22="Debt",IF(AND(AW$4&gt;=$D92,AW$4&lt;$D92+'Incremental Repayments'!$I$31),-PMT('Interest Rate'!$J$16,'Incremental Repayments'!$I$31,(HLOOKUP($D92,$E$4:$CZ$32,28,FALSE)*'Incremental Repayments'!$I$22)),0),0)</f>
        <v>0</v>
      </c>
      <c r="AX92" s="783">
        <f>IF('Incremental Repayments'!$R$22="Debt",IF(AND(AX$4&gt;=$D92,AX$4&lt;$D92+'Incremental Repayments'!$I$31),-PMT('Interest Rate'!$J$16,'Incremental Repayments'!$I$31,(HLOOKUP($D92,$E$4:$CZ$32,28,FALSE)*'Incremental Repayments'!$I$22)),0),0)</f>
        <v>0</v>
      </c>
      <c r="AY92" s="783">
        <f>IF('Incremental Repayments'!$R$22="Debt",IF(AND(AY$4&gt;=$D92,AY$4&lt;$D92+'Incremental Repayments'!$I$31),-PMT('Interest Rate'!$J$16,'Incremental Repayments'!$I$31,(HLOOKUP($D92,$E$4:$CZ$32,28,FALSE)*'Incremental Repayments'!$I$22)),0),0)</f>
        <v>0</v>
      </c>
      <c r="AZ92" s="783">
        <f>IF('Incremental Repayments'!$R$22="Debt",IF(AND(AZ$4&gt;=$D92,AZ$4&lt;$D92+'Incremental Repayments'!$I$31),-PMT('Interest Rate'!$J$16,'Incremental Repayments'!$I$31,(HLOOKUP($D92,$E$4:$CZ$32,28,FALSE)*'Incremental Repayments'!$I$22)),0),0)</f>
        <v>0</v>
      </c>
      <c r="BA92" s="783">
        <f>IF('Incremental Repayments'!$R$22="Debt",IF(AND(BA$4&gt;=$D92,BA$4&lt;$D92+'Incremental Repayments'!$I$31),-PMT('Interest Rate'!$J$16,'Incremental Repayments'!$I$31,(HLOOKUP($D92,$E$4:$CZ$32,28,FALSE)*'Incremental Repayments'!$I$22)),0),0)</f>
        <v>0</v>
      </c>
      <c r="BB92" s="783">
        <f>IF('Incremental Repayments'!$R$22="Debt",IF(AND(BB$4&gt;=$D92,BB$4&lt;$D92+'Incremental Repayments'!$I$31),-PMT('Interest Rate'!$J$16,'Incremental Repayments'!$I$31,(HLOOKUP($D92,$E$4:$CZ$32,28,FALSE)*'Incremental Repayments'!$I$22)),0),0)</f>
        <v>0</v>
      </c>
      <c r="BC92" s="783">
        <f>IF('Incremental Repayments'!$R$22="Debt",IF(AND(BC$4&gt;=$D92,BC$4&lt;$D92+'Incremental Repayments'!$I$31),-PMT('Interest Rate'!$J$16,'Incremental Repayments'!$I$31,(HLOOKUP($D92,$E$4:$CZ$32,28,FALSE)*'Incremental Repayments'!$I$22)),0),0)</f>
        <v>0</v>
      </c>
      <c r="BD92" s="783">
        <f>IF('Incremental Repayments'!$R$22="Debt",IF(AND(BD$4&gt;=$D92,BD$4&lt;$D92+'Incremental Repayments'!$I$31),-PMT('Interest Rate'!$J$16,'Incremental Repayments'!$I$31,(HLOOKUP($D92,$E$4:$CZ$32,28,FALSE)*'Incremental Repayments'!$I$22)),0),0)</f>
        <v>0</v>
      </c>
      <c r="BE92" s="783">
        <f>IF('Incremental Repayments'!$R$22="Debt",IF(AND(BE$4&gt;=$D92,BE$4&lt;$D92+'Incremental Repayments'!$I$31),-PMT('Interest Rate'!$J$16,'Incremental Repayments'!$I$31,(HLOOKUP($D92,$E$4:$CZ$32,28,FALSE)*'Incremental Repayments'!$I$22)),0),0)</f>
        <v>0</v>
      </c>
      <c r="BF92" s="783">
        <f>IF('Incremental Repayments'!$R$22="Debt",IF(AND(BF$4&gt;=$D92,BF$4&lt;$D92+'Incremental Repayments'!$I$31),-PMT('Interest Rate'!$J$16,'Incremental Repayments'!$I$31,(HLOOKUP($D92,$E$4:$CZ$32,28,FALSE)*'Incremental Repayments'!$I$22)),0),0)</f>
        <v>0</v>
      </c>
      <c r="BG92" s="783">
        <f>IF('Incremental Repayments'!$R$22="Debt",IF(AND(BG$4&gt;=$D92,BG$4&lt;$D92+'Incremental Repayments'!$I$31),-PMT('Interest Rate'!$J$16,'Incremental Repayments'!$I$31,(HLOOKUP($D92,$E$4:$CZ$32,28,FALSE)*'Incremental Repayments'!$I$22)),0),0)</f>
        <v>0</v>
      </c>
      <c r="BH92" s="783">
        <f>IF('Incremental Repayments'!$R$22="Debt",IF(AND(BH$4&gt;=$D92,BH$4&lt;$D92+'Incremental Repayments'!$I$31),-PMT('Interest Rate'!$J$16,'Incremental Repayments'!$I$31,(HLOOKUP($D92,$E$4:$CZ$32,28,FALSE)*'Incremental Repayments'!$I$22)),0),0)</f>
        <v>0</v>
      </c>
      <c r="BI92" s="783">
        <f>IF('Incremental Repayments'!$R$22="Debt",IF(AND(BI$4&gt;=$D92,BI$4&lt;$D92+'Incremental Repayments'!$I$31),-PMT('Interest Rate'!$J$16,'Incremental Repayments'!$I$31,(HLOOKUP($D92,$E$4:$CZ$32,28,FALSE)*'Incremental Repayments'!$I$22)),0),0)</f>
        <v>0</v>
      </c>
      <c r="BJ92" s="783">
        <f>IF('Incremental Repayments'!$R$22="Debt",IF(AND(BJ$4&gt;=$D92,BJ$4&lt;$D92+'Incremental Repayments'!$I$31),-PMT('Interest Rate'!$J$16,'Incremental Repayments'!$I$31,(HLOOKUP($D92,$E$4:$CZ$32,28,FALSE)*'Incremental Repayments'!$I$22)),0),0)</f>
        <v>0</v>
      </c>
      <c r="BK92" s="783">
        <f>IF('Incremental Repayments'!$R$22="Debt",IF(AND(BK$4&gt;=$D92,BK$4&lt;$D92+'Incremental Repayments'!$I$31),-PMT('Interest Rate'!$J$16,'Incremental Repayments'!$I$31,(HLOOKUP($D92,$E$4:$CZ$32,28,FALSE)*'Incremental Repayments'!$I$22)),0),0)</f>
        <v>0</v>
      </c>
      <c r="BL92" s="783">
        <f>IF('Incremental Repayments'!$R$22="Debt",IF(AND(BL$4&gt;=$D92,BL$4&lt;$D92+'Incremental Repayments'!$I$31),-PMT('Interest Rate'!$J$16,'Incremental Repayments'!$I$31,(HLOOKUP($D92,$E$4:$CZ$32,28,FALSE)*'Incremental Repayments'!$I$22)),0),0)</f>
        <v>0</v>
      </c>
      <c r="BM92" s="783">
        <f>IF('Incremental Repayments'!$R$22="Debt",IF(AND(BM$4&gt;=$D92,BM$4&lt;$D92+'Incremental Repayments'!$I$31),-PMT('Interest Rate'!$J$16,'Incremental Repayments'!$I$31,(HLOOKUP($D92,$E$4:$CZ$32,28,FALSE)*'Incremental Repayments'!$I$22)),0),0)</f>
        <v>0</v>
      </c>
      <c r="BN92" s="783">
        <f>IF('Incremental Repayments'!$R$22="Debt",IF(AND(BN$4&gt;=$D92,BN$4&lt;$D92+'Incremental Repayments'!$I$31),-PMT('Interest Rate'!$J$16,'Incremental Repayments'!$I$31,(HLOOKUP($D92,$E$4:$CZ$32,28,FALSE)*'Incremental Repayments'!$I$22)),0),0)</f>
        <v>0</v>
      </c>
      <c r="BO92" s="783">
        <f>IF('Incremental Repayments'!$R$22="Debt",IF(AND(BO$4&gt;=$D92,BO$4&lt;$D92+'Incremental Repayments'!$I$31),-PMT('Interest Rate'!$J$16,'Incremental Repayments'!$I$31,(HLOOKUP($D92,$E$4:$CZ$32,28,FALSE)*'Incremental Repayments'!$I$22)),0),0)</f>
        <v>0</v>
      </c>
      <c r="BP92" s="783">
        <f>IF('Incremental Repayments'!$R$22="Debt",IF(AND(BP$4&gt;=$D92,BP$4&lt;$D92+'Incremental Repayments'!$I$31),-PMT('Interest Rate'!$J$16,'Incremental Repayments'!$I$31,(HLOOKUP($D92,$E$4:$CZ$32,28,FALSE)*'Incremental Repayments'!$I$22)),0),0)</f>
        <v>0</v>
      </c>
      <c r="BQ92" s="783">
        <f>IF('Incremental Repayments'!$R$22="Debt",IF(AND(BQ$4&gt;=$D92,BQ$4&lt;$D92+'Incremental Repayments'!$I$31),-PMT('Interest Rate'!$J$16,'Incremental Repayments'!$I$31,(HLOOKUP($D92,$E$4:$CZ$32,28,FALSE)*'Incremental Repayments'!$I$22)),0),0)</f>
        <v>0</v>
      </c>
      <c r="BR92" s="783">
        <f>IF('Incremental Repayments'!$R$22="Debt",IF(AND(BR$4&gt;=$D92,BR$4&lt;$D92+'Incremental Repayments'!$I$31),-PMT('Interest Rate'!$J$16,'Incremental Repayments'!$I$31,(HLOOKUP($D92,$E$4:$CZ$32,28,FALSE)*'Incremental Repayments'!$I$22)),0),0)</f>
        <v>0</v>
      </c>
      <c r="BS92" s="783">
        <f>IF('Incremental Repayments'!$R$22="Debt",IF(AND(BS$4&gt;=$D92,BS$4&lt;$D92+'Incremental Repayments'!$I$31),-PMT('Interest Rate'!$J$16,'Incremental Repayments'!$I$31,(HLOOKUP($D92,$E$4:$CZ$32,28,FALSE)*'Incremental Repayments'!$I$22)),0),0)</f>
        <v>0</v>
      </c>
      <c r="BT92" s="783">
        <f>IF('Incremental Repayments'!$R$22="Debt",IF(AND(BT$4&gt;=$D92,BT$4&lt;$D92+'Incremental Repayments'!$I$31),-PMT('Interest Rate'!$J$16,'Incremental Repayments'!$I$31,(HLOOKUP($D92,$E$4:$CZ$32,28,FALSE)*'Incremental Repayments'!$I$22)),0),0)</f>
        <v>0</v>
      </c>
      <c r="BU92" s="783">
        <f>IF('Incremental Repayments'!$R$22="Debt",IF(AND(BU$4&gt;=$D92,BU$4&lt;$D92+'Incremental Repayments'!$I$31),-PMT('Interest Rate'!$J$16,'Incremental Repayments'!$I$31,(HLOOKUP($D92,$E$4:$CZ$32,28,FALSE)*'Incremental Repayments'!$I$22)),0),0)</f>
        <v>0</v>
      </c>
      <c r="BV92" s="783">
        <f>IF('Incremental Repayments'!$R$22="Debt",IF(AND(BV$4&gt;=$D92,BV$4&lt;$D92+'Incremental Repayments'!$I$31),-PMT('Interest Rate'!$J$16,'Incremental Repayments'!$I$31,(HLOOKUP($D92,$E$4:$CZ$32,28,FALSE)*'Incremental Repayments'!$I$22)),0),0)</f>
        <v>0</v>
      </c>
      <c r="BW92" s="783">
        <f>IF('Incremental Repayments'!$R$22="Debt",IF(AND(BW$4&gt;=$D92,BW$4&lt;$D92+'Incremental Repayments'!$I$31),-PMT('Interest Rate'!$J$16,'Incremental Repayments'!$I$31,(HLOOKUP($D92,$E$4:$CZ$32,28,FALSE)*'Incremental Repayments'!$I$22)),0),0)</f>
        <v>0</v>
      </c>
      <c r="BX92" s="783">
        <f>IF('Incremental Repayments'!$R$22="Debt",IF(AND(BX$4&gt;=$D92,BX$4&lt;$D92+'Incremental Repayments'!$I$31),-PMT('Interest Rate'!$J$16,'Incremental Repayments'!$I$31,(HLOOKUP($D92,$E$4:$CZ$32,28,FALSE)*'Incremental Repayments'!$I$22)),0),0)</f>
        <v>0</v>
      </c>
      <c r="BY92" s="783">
        <f>IF('Incremental Repayments'!$R$22="Debt",IF(AND(BY$4&gt;=$D92,BY$4&lt;$D92+'Incremental Repayments'!$I$31),-PMT('Interest Rate'!$J$16,'Incremental Repayments'!$I$31,(HLOOKUP($D92,$E$4:$CZ$32,28,FALSE)*'Incremental Repayments'!$I$22)),0),0)</f>
        <v>0</v>
      </c>
      <c r="BZ92" s="783">
        <f>IF('Incremental Repayments'!$R$22="Debt",IF(AND(BZ$4&gt;=$D92,BZ$4&lt;$D92+'Incremental Repayments'!$I$31),-PMT('Interest Rate'!$J$16,'Incremental Repayments'!$I$31,(HLOOKUP($D92,$E$4:$CZ$32,28,FALSE)*'Incremental Repayments'!$I$22)),0),0)</f>
        <v>0</v>
      </c>
      <c r="CA92" s="783">
        <f>IF('Incremental Repayments'!$R$22="Debt",IF(AND(CA$4&gt;=$D92,CA$4&lt;$D92+'Incremental Repayments'!$I$31),-PMT('Interest Rate'!$J$16,'Incremental Repayments'!$I$31,(HLOOKUP($D92,$E$4:$CZ$32,28,FALSE)*'Incremental Repayments'!$I$22)),0),0)</f>
        <v>0</v>
      </c>
      <c r="CB92" s="783">
        <f>IF('Incremental Repayments'!$R$22="Debt",IF(AND(CB$4&gt;=$D92,CB$4&lt;$D92+'Incremental Repayments'!$I$31),-PMT('Interest Rate'!$J$16,'Incremental Repayments'!$I$31,(HLOOKUP($D92,$E$4:$CZ$32,28,FALSE)*'Incremental Repayments'!$I$22)),0),0)</f>
        <v>0</v>
      </c>
      <c r="CC92" s="783">
        <f>IF('Incremental Repayments'!$R$22="Debt",IF(AND(CC$4&gt;=$D92,CC$4&lt;$D92+'Incremental Repayments'!$I$31),-PMT('Interest Rate'!$J$16,'Incremental Repayments'!$I$31,(HLOOKUP($D92,$E$4:$CZ$32,28,FALSE)*'Incremental Repayments'!$I$22)),0),0)</f>
        <v>0</v>
      </c>
      <c r="CD92" s="783">
        <f>IF('Incremental Repayments'!$R$22="Debt",IF(AND(CD$4&gt;=$D92,CD$4&lt;$D92+'Incremental Repayments'!$I$31),-PMT('Interest Rate'!$J$16,'Incremental Repayments'!$I$31,(HLOOKUP($D92,$E$4:$CZ$32,28,FALSE)*'Incremental Repayments'!$I$22)),0),0)</f>
        <v>0</v>
      </c>
      <c r="CE92" s="783">
        <f>IF('Incremental Repayments'!$R$22="Debt",IF(AND(CE$4&gt;=$D92,CE$4&lt;$D92+'Incremental Repayments'!$I$31),-PMT('Interest Rate'!$J$16,'Incremental Repayments'!$I$31,(HLOOKUP($D92,$E$4:$CZ$32,28,FALSE)*'Incremental Repayments'!$I$22)),0),0)</f>
        <v>0</v>
      </c>
      <c r="CF92" s="783">
        <f>IF('Incremental Repayments'!$R$22="Debt",IF(AND(CF$4&gt;=$D92,CF$4&lt;$D92+'Incremental Repayments'!$I$31),-PMT('Interest Rate'!$J$16,'Incremental Repayments'!$I$31,(HLOOKUP($D92,$E$4:$CZ$32,28,FALSE)*'Incremental Repayments'!$I$22)),0),0)</f>
        <v>0</v>
      </c>
      <c r="CG92" s="783">
        <f>IF('Incremental Repayments'!$R$22="Debt",IF(AND(CG$4&gt;=$D92,CG$4&lt;$D92+'Incremental Repayments'!$I$31),-PMT('Interest Rate'!$J$16,'Incremental Repayments'!$I$31,(HLOOKUP($D92,$E$4:$CZ$32,28,FALSE)*'Incremental Repayments'!$I$22)),0),0)</f>
        <v>0</v>
      </c>
      <c r="CH92" s="783">
        <f>IF('Incremental Repayments'!$R$22="Debt",IF(AND(CH$4&gt;=$D92,CH$4&lt;$D92+'Incremental Repayments'!$I$31),-PMT('Interest Rate'!$J$16,'Incremental Repayments'!$I$31,(HLOOKUP($D92,$E$4:$CZ$32,28,FALSE)*'Incremental Repayments'!$I$22)),0),0)</f>
        <v>0</v>
      </c>
      <c r="CI92" s="783">
        <f>IF('Incremental Repayments'!$R$22="Debt",IF(AND(CI$4&gt;=$D92,CI$4&lt;$D92+'Incremental Repayments'!$I$31),-PMT('Interest Rate'!$J$16,'Incremental Repayments'!$I$31,(HLOOKUP($D92,$E$4:$CZ$32,28,FALSE)*'Incremental Repayments'!$I$22)),0),0)</f>
        <v>0</v>
      </c>
      <c r="CJ92" s="783">
        <f>IF('Incremental Repayments'!$R$22="Debt",IF(AND(CJ$4&gt;=$D92,CJ$4&lt;$D92+'Incremental Repayments'!$I$31),-PMT('Interest Rate'!$J$16,'Incremental Repayments'!$I$31,(HLOOKUP($D92,$E$4:$CZ$32,28,FALSE)*'Incremental Repayments'!$I$22)),0),0)</f>
        <v>0</v>
      </c>
      <c r="CK92" s="783">
        <f>IF('Incremental Repayments'!$R$22="Debt",IF(AND(CK$4&gt;=$D92,CK$4&lt;$D92+'Incremental Repayments'!$I$31),-PMT('Interest Rate'!$J$16,'Incremental Repayments'!$I$31,(HLOOKUP($D92,$E$4:$CZ$32,28,FALSE)*'Incremental Repayments'!$I$22)),0),0)</f>
        <v>0</v>
      </c>
      <c r="CL92" s="783">
        <f>IF('Incremental Repayments'!$R$22="Debt",IF(AND(CL$4&gt;=$D92,CL$4&lt;$D92+'Incremental Repayments'!$I$31),-PMT('Interest Rate'!$J$16,'Incremental Repayments'!$I$31,(HLOOKUP($D92,$E$4:$CZ$32,28,FALSE)*'Incremental Repayments'!$I$22)),0),0)</f>
        <v>0</v>
      </c>
      <c r="CM92" s="783">
        <f>IF('Incremental Repayments'!$R$22="Debt",IF(AND(CM$4&gt;=$D92,CM$4&lt;$D92+'Incremental Repayments'!$I$31),-PMT('Interest Rate'!$J$16,'Incremental Repayments'!$I$31,(HLOOKUP($D92,$E$4:$CZ$32,28,FALSE)*'Incremental Repayments'!$I$22)),0),0)</f>
        <v>0</v>
      </c>
      <c r="CN92" s="783">
        <f>IF('Incremental Repayments'!$R$22="Debt",IF(AND(CN$4&gt;=$D92,CN$4&lt;$D92+'Incremental Repayments'!$I$31),-PMT('Interest Rate'!$J$16,'Incremental Repayments'!$I$31,(HLOOKUP($D92,$E$4:$CZ$32,28,FALSE)*'Incremental Repayments'!$I$22)),0),0)</f>
        <v>0</v>
      </c>
      <c r="CO92" s="783">
        <f>IF('Incremental Repayments'!$R$22="Debt",IF(AND(CO$4&gt;=$D92,CO$4&lt;$D92+'Incremental Repayments'!$I$31),-PMT('Interest Rate'!$J$16,'Incremental Repayments'!$I$31,(HLOOKUP($D92,$E$4:$CZ$32,28,FALSE)*'Incremental Repayments'!$I$22)),0),0)</f>
        <v>0</v>
      </c>
      <c r="CP92" s="783">
        <f>IF('Incremental Repayments'!$R$22="Debt",IF(AND(CP$4&gt;=$D92,CP$4&lt;$D92+'Incremental Repayments'!$I$31),-PMT('Interest Rate'!$J$16,'Incremental Repayments'!$I$31,(HLOOKUP($D92,$E$4:$CZ$32,28,FALSE)*'Incremental Repayments'!$I$22)),0),0)</f>
        <v>0</v>
      </c>
      <c r="CQ92" s="783">
        <f>IF('Incremental Repayments'!$R$22="Debt",IF(AND(CQ$4&gt;=$D92,CQ$4&lt;$D92+'Incremental Repayments'!$I$31),-PMT('Interest Rate'!$J$16,'Incremental Repayments'!$I$31,(HLOOKUP($D92,$E$4:$CZ$32,28,FALSE)*'Incremental Repayments'!$I$22)),0),0)</f>
        <v>0</v>
      </c>
      <c r="CR92" s="783">
        <f>IF('Incremental Repayments'!$R$22="Debt",IF(AND(CR$4&gt;=$D92,CR$4&lt;$D92+'Incremental Repayments'!$I$31),-PMT('Interest Rate'!$J$16,'Incremental Repayments'!$I$31,(HLOOKUP($D92,$E$4:$CZ$32,28,FALSE)*'Incremental Repayments'!$I$22)),0),0)</f>
        <v>0</v>
      </c>
      <c r="CS92" s="783">
        <f>IF('Incremental Repayments'!$R$22="Debt",IF(AND(CS$4&gt;=$D92,CS$4&lt;$D92+'Incremental Repayments'!$I$31),-PMT('Interest Rate'!$J$16,'Incremental Repayments'!$I$31,(HLOOKUP($D92,$E$4:$CZ$32,28,FALSE)*'Incremental Repayments'!$I$22)),0),0)</f>
        <v>0</v>
      </c>
      <c r="CT92" s="783">
        <f>IF('Incremental Repayments'!$R$22="Debt",IF(AND(CT$4&gt;=$D92,CT$4&lt;$D92+'Incremental Repayments'!$I$31),-PMT('Interest Rate'!$J$16,'Incremental Repayments'!$I$31,(HLOOKUP($D92,$E$4:$CZ$32,28,FALSE)*'Incremental Repayments'!$I$22)),0),0)</f>
        <v>0</v>
      </c>
      <c r="CU92" s="783">
        <f>IF('Incremental Repayments'!$R$22="Debt",IF(AND(CU$4&gt;=$D92,CU$4&lt;$D92+'Incremental Repayments'!$I$31),-PMT('Interest Rate'!$J$16,'Incremental Repayments'!$I$31,(HLOOKUP($D92,$E$4:$CZ$32,28,FALSE)*'Incremental Repayments'!$I$22)),0),0)</f>
        <v>0</v>
      </c>
      <c r="CV92" s="783">
        <f>IF('Incremental Repayments'!$R$22="Debt",IF(AND(CV$4&gt;=$D92,CV$4&lt;$D92+'Incremental Repayments'!$I$31),-PMT('Interest Rate'!$J$16,'Incremental Repayments'!$I$31,(HLOOKUP($D92,$E$4:$CZ$32,28,FALSE)*'Incremental Repayments'!$I$22)),0),0)</f>
        <v>0</v>
      </c>
      <c r="CW92" s="783">
        <f>IF('Incremental Repayments'!$R$22="Debt",IF(AND(CW$4&gt;=$D92,CW$4&lt;$D92+'Incremental Repayments'!$I$31),-PMT('Interest Rate'!$J$16,'Incremental Repayments'!$I$31,(HLOOKUP($D92,$E$4:$CZ$32,28,FALSE)*'Incremental Repayments'!$I$22)),0),0)</f>
        <v>0</v>
      </c>
      <c r="CX92" s="783">
        <f>IF('Incremental Repayments'!$R$22="Debt",IF(AND(CX$4&gt;=$D92,CX$4&lt;$D92+'Incremental Repayments'!$I$31),-PMT('Interest Rate'!$J$16,'Incremental Repayments'!$I$31,(HLOOKUP($D92,$E$4:$CZ$32,28,FALSE)*'Incremental Repayments'!$I$22)),0),0)</f>
        <v>0</v>
      </c>
      <c r="CY92" s="783">
        <f>IF('Incremental Repayments'!$R$22="Debt",IF(AND(CY$4&gt;=$D92,CY$4&lt;$D92+'Incremental Repayments'!$I$31),-PMT('Interest Rate'!$J$16,'Incremental Repayments'!$I$31,(HLOOKUP($D92,$E$4:$CZ$32,28,FALSE)*'Incremental Repayments'!$I$22)),0),0)</f>
        <v>0</v>
      </c>
      <c r="CZ92" s="783">
        <f>IF('Incremental Repayments'!$R$22="Debt",IF(AND(CZ$4&gt;=$D92,CZ$4&lt;$D92+'Incremental Repayments'!$I$31),-PMT('Interest Rate'!$J$16,'Incremental Repayments'!$I$31,(HLOOKUP($D92,$E$4:$CZ$32,28,FALSE)*'Incremental Repayments'!$I$22)),0),0)</f>
        <v>0</v>
      </c>
    </row>
    <row r="93" spans="2:104" x14ac:dyDescent="0.25">
      <c r="B93" s="480" t="str">
        <f>CONCATENATE("Series ",D93,"A Bonds (at ",'Interest Rate'!$J$16*100,"% Interest)")</f>
        <v>Series 2071A Bonds (at 4.5% Interest)</v>
      </c>
      <c r="C93" s="480"/>
      <c r="D93" s="492">
        <f t="shared" si="47"/>
        <v>2071</v>
      </c>
      <c r="E93" s="783">
        <f>IF('Incremental Repayments'!$R$22="Debt",IF(AND(E$4&gt;=$D93,E$4&lt;$D93+'Incremental Repayments'!$I$31),-PMT('Interest Rate'!$J$16,'Incremental Repayments'!$I$31,(HLOOKUP($D93,$E$4:$CZ$32,28,FALSE)*'Incremental Repayments'!$I$22)),0),0)</f>
        <v>0</v>
      </c>
      <c r="F93" s="783">
        <f>IF('Incremental Repayments'!$R$22="Debt",IF(AND(F$4&gt;=$D93,F$4&lt;$D93+'Incremental Repayments'!$I$31),-PMT('Interest Rate'!$J$16,'Incremental Repayments'!$I$31,(HLOOKUP($D93,$E$4:$CZ$32,28,FALSE)*'Incremental Repayments'!$I$22)),0),0)</f>
        <v>0</v>
      </c>
      <c r="G93" s="783">
        <f>IF('Incremental Repayments'!$R$22="Debt",IF(AND(G$4&gt;=$D93,G$4&lt;$D93+'Incremental Repayments'!$I$31),-PMT('Interest Rate'!$J$16,'Incremental Repayments'!$I$31,(HLOOKUP($D93,$E$4:$CZ$32,28,FALSE)*'Incremental Repayments'!$I$22)),0),0)</f>
        <v>0</v>
      </c>
      <c r="H93" s="783">
        <f>IF('Incremental Repayments'!$R$22="Debt",IF(AND(H$4&gt;=$D93,H$4&lt;$D93+'Incremental Repayments'!$I$31),-PMT('Interest Rate'!$J$16,'Incremental Repayments'!$I$31,(HLOOKUP($D93,$E$4:$CZ$32,28,FALSE)*'Incremental Repayments'!$I$22)),0),0)</f>
        <v>0</v>
      </c>
      <c r="I93" s="783">
        <f>IF('Incremental Repayments'!$R$22="Debt",IF(AND(I$4&gt;=$D93,I$4&lt;$D93+'Incremental Repayments'!$I$31),-PMT('Interest Rate'!$J$16,'Incremental Repayments'!$I$31,(HLOOKUP($D93,$E$4:$CZ$32,28,FALSE)*'Incremental Repayments'!$I$22)),0),0)</f>
        <v>0</v>
      </c>
      <c r="J93" s="783">
        <f>IF('Incremental Repayments'!$R$22="Debt",IF(AND(J$4&gt;=$D93,J$4&lt;$D93+'Incremental Repayments'!$I$31),-PMT('Interest Rate'!$J$16,'Incremental Repayments'!$I$31,(HLOOKUP($D93,$E$4:$CZ$32,28,FALSE)*'Incremental Repayments'!$I$22)),0),0)</f>
        <v>0</v>
      </c>
      <c r="K93" s="783">
        <f>IF('Incremental Repayments'!$R$22="Debt",IF(AND(K$4&gt;=$D93,K$4&lt;$D93+'Incremental Repayments'!$I$31),-PMT('Interest Rate'!$J$16,'Incremental Repayments'!$I$31,(HLOOKUP($D93,$E$4:$CZ$32,28,FALSE)*'Incremental Repayments'!$I$22)),0),0)</f>
        <v>0</v>
      </c>
      <c r="L93" s="783">
        <f>IF('Incremental Repayments'!$R$22="Debt",IF(AND(L$4&gt;=$D93,L$4&lt;$D93+'Incremental Repayments'!$I$31),-PMT('Interest Rate'!$J$16,'Incremental Repayments'!$I$31,(HLOOKUP($D93,$E$4:$CZ$32,28,FALSE)*'Incremental Repayments'!$I$22)),0),0)</f>
        <v>0</v>
      </c>
      <c r="M93" s="783">
        <f>IF('Incremental Repayments'!$R$22="Debt",IF(AND(M$4&gt;=$D93,M$4&lt;$D93+'Incremental Repayments'!$I$31),-PMT('Interest Rate'!$J$16,'Incremental Repayments'!$I$31,(HLOOKUP($D93,$E$4:$CZ$32,28,FALSE)*'Incremental Repayments'!$I$22)),0),0)</f>
        <v>0</v>
      </c>
      <c r="N93" s="783">
        <f>IF('Incremental Repayments'!$R$22="Debt",IF(AND(N$4&gt;=$D93,N$4&lt;$D93+'Incremental Repayments'!$I$31),-PMT('Interest Rate'!$J$16,'Incremental Repayments'!$I$31,(HLOOKUP($D93,$E$4:$CZ$32,28,FALSE)*'Incremental Repayments'!$I$22)),0),0)</f>
        <v>0</v>
      </c>
      <c r="O93" s="783">
        <f>IF('Incremental Repayments'!$R$22="Debt",IF(AND(O$4&gt;=$D93,O$4&lt;$D93+'Incremental Repayments'!$I$31),-PMT('Interest Rate'!$J$16,'Incremental Repayments'!$I$31,(HLOOKUP($D93,$E$4:$CZ$32,28,FALSE)*'Incremental Repayments'!$I$22)),0),0)</f>
        <v>0</v>
      </c>
      <c r="P93" s="783">
        <f>IF('Incremental Repayments'!$R$22="Debt",IF(AND(P$4&gt;=$D93,P$4&lt;$D93+'Incremental Repayments'!$I$31),-PMT('Interest Rate'!$J$16,'Incremental Repayments'!$I$31,(HLOOKUP($D93,$E$4:$CZ$32,28,FALSE)*'Incremental Repayments'!$I$22)),0),0)</f>
        <v>0</v>
      </c>
      <c r="Q93" s="783">
        <f>IF('Incremental Repayments'!$R$22="Debt",IF(AND(Q$4&gt;=$D93,Q$4&lt;$D93+'Incremental Repayments'!$I$31),-PMT('Interest Rate'!$J$16,'Incremental Repayments'!$I$31,(HLOOKUP($D93,$E$4:$CZ$32,28,FALSE)*'Incremental Repayments'!$I$22)),0),0)</f>
        <v>0</v>
      </c>
      <c r="R93" s="783">
        <f>IF('Incremental Repayments'!$R$22="Debt",IF(AND(R$4&gt;=$D93,R$4&lt;$D93+'Incremental Repayments'!$I$31),-PMT('Interest Rate'!$J$16,'Incremental Repayments'!$I$31,(HLOOKUP($D93,$E$4:$CZ$32,28,FALSE)*'Incremental Repayments'!$I$22)),0),0)</f>
        <v>0</v>
      </c>
      <c r="S93" s="783">
        <f>IF('Incremental Repayments'!$R$22="Debt",IF(AND(S$4&gt;=$D93,S$4&lt;$D93+'Incremental Repayments'!$I$31),-PMT('Interest Rate'!$J$16,'Incremental Repayments'!$I$31,(HLOOKUP($D93,$E$4:$CZ$32,28,FALSE)*'Incremental Repayments'!$I$22)),0),0)</f>
        <v>0</v>
      </c>
      <c r="T93" s="783">
        <f>IF('Incremental Repayments'!$R$22="Debt",IF(AND(T$4&gt;=$D93,T$4&lt;$D93+'Incremental Repayments'!$I$31),-PMT('Interest Rate'!$J$16,'Incremental Repayments'!$I$31,(HLOOKUP($D93,$E$4:$CZ$32,28,FALSE)*'Incremental Repayments'!$I$22)),0),0)</f>
        <v>0</v>
      </c>
      <c r="U93" s="783">
        <f>IF('Incremental Repayments'!$R$22="Debt",IF(AND(U$4&gt;=$D93,U$4&lt;$D93+'Incremental Repayments'!$I$31),-PMT('Interest Rate'!$J$16,'Incremental Repayments'!$I$31,(HLOOKUP($D93,$E$4:$CZ$32,28,FALSE)*'Incremental Repayments'!$I$22)),0),0)</f>
        <v>0</v>
      </c>
      <c r="V93" s="783">
        <f>IF('Incremental Repayments'!$R$22="Debt",IF(AND(V$4&gt;=$D93,V$4&lt;$D93+'Incremental Repayments'!$I$31),-PMT('Interest Rate'!$J$16,'Incremental Repayments'!$I$31,(HLOOKUP($D93,$E$4:$CZ$32,28,FALSE)*'Incremental Repayments'!$I$22)),0),0)</f>
        <v>0</v>
      </c>
      <c r="W93" s="783">
        <f>IF('Incremental Repayments'!$R$22="Debt",IF(AND(W$4&gt;=$D93,W$4&lt;$D93+'Incremental Repayments'!$I$31),-PMT('Interest Rate'!$J$16,'Incremental Repayments'!$I$31,(HLOOKUP($D93,$E$4:$CZ$32,28,FALSE)*'Incremental Repayments'!$I$22)),0),0)</f>
        <v>0</v>
      </c>
      <c r="X93" s="783">
        <f>IF('Incremental Repayments'!$R$22="Debt",IF(AND(X$4&gt;=$D93,X$4&lt;$D93+'Incremental Repayments'!$I$31),-PMT('Interest Rate'!$J$16,'Incremental Repayments'!$I$31,(HLOOKUP($D93,$E$4:$CZ$32,28,FALSE)*'Incremental Repayments'!$I$22)),0),0)</f>
        <v>0</v>
      </c>
      <c r="Y93" s="783">
        <f>IF('Incremental Repayments'!$R$22="Debt",IF(AND(Y$4&gt;=$D93,Y$4&lt;$D93+'Incremental Repayments'!$I$31),-PMT('Interest Rate'!$J$16,'Incremental Repayments'!$I$31,(HLOOKUP($D93,$E$4:$CZ$32,28,FALSE)*'Incremental Repayments'!$I$22)),0),0)</f>
        <v>0</v>
      </c>
      <c r="Z93" s="783">
        <f>IF('Incremental Repayments'!$R$22="Debt",IF(AND(Z$4&gt;=$D93,Z$4&lt;$D93+'Incremental Repayments'!$I$31),-PMT('Interest Rate'!$J$16,'Incremental Repayments'!$I$31,(HLOOKUP($D93,$E$4:$CZ$32,28,FALSE)*'Incremental Repayments'!$I$22)),0),0)</f>
        <v>0</v>
      </c>
      <c r="AA93" s="783">
        <f>IF('Incremental Repayments'!$R$22="Debt",IF(AND(AA$4&gt;=$D93,AA$4&lt;$D93+'Incremental Repayments'!$I$31),-PMT('Interest Rate'!$J$16,'Incremental Repayments'!$I$31,(HLOOKUP($D93,$E$4:$CZ$32,28,FALSE)*'Incremental Repayments'!$I$22)),0),0)</f>
        <v>0</v>
      </c>
      <c r="AB93" s="783">
        <f>IF('Incremental Repayments'!$R$22="Debt",IF(AND(AB$4&gt;=$D93,AB$4&lt;$D93+'Incremental Repayments'!$I$31),-PMT('Interest Rate'!$J$16,'Incremental Repayments'!$I$31,(HLOOKUP($D93,$E$4:$CZ$32,28,FALSE)*'Incremental Repayments'!$I$22)),0),0)</f>
        <v>0</v>
      </c>
      <c r="AC93" s="783">
        <f>IF('Incremental Repayments'!$R$22="Debt",IF(AND(AC$4&gt;=$D93,AC$4&lt;$D93+'Incremental Repayments'!$I$31),-PMT('Interest Rate'!$J$16,'Incremental Repayments'!$I$31,(HLOOKUP($D93,$E$4:$CZ$32,28,FALSE)*'Incremental Repayments'!$I$22)),0),0)</f>
        <v>0</v>
      </c>
      <c r="AD93" s="783">
        <f>IF('Incremental Repayments'!$R$22="Debt",IF(AND(AD$4&gt;=$D93,AD$4&lt;$D93+'Incremental Repayments'!$I$31),-PMT('Interest Rate'!$J$16,'Incremental Repayments'!$I$31,(HLOOKUP($D93,$E$4:$CZ$32,28,FALSE)*'Incremental Repayments'!$I$22)),0),0)</f>
        <v>0</v>
      </c>
      <c r="AE93" s="783">
        <f>IF('Incremental Repayments'!$R$22="Debt",IF(AND(AE$4&gt;=$D93,AE$4&lt;$D93+'Incremental Repayments'!$I$31),-PMT('Interest Rate'!$J$16,'Incremental Repayments'!$I$31,(HLOOKUP($D93,$E$4:$CZ$32,28,FALSE)*'Incremental Repayments'!$I$22)),0),0)</f>
        <v>0</v>
      </c>
      <c r="AF93" s="783">
        <f>IF('Incremental Repayments'!$R$22="Debt",IF(AND(AF$4&gt;=$D93,AF$4&lt;$D93+'Incremental Repayments'!$I$31),-PMT('Interest Rate'!$J$16,'Incremental Repayments'!$I$31,(HLOOKUP($D93,$E$4:$CZ$32,28,FALSE)*'Incremental Repayments'!$I$22)),0),0)</f>
        <v>0</v>
      </c>
      <c r="AG93" s="783">
        <f>IF('Incremental Repayments'!$R$22="Debt",IF(AND(AG$4&gt;=$D93,AG$4&lt;$D93+'Incremental Repayments'!$I$31),-PMT('Interest Rate'!$J$16,'Incremental Repayments'!$I$31,(HLOOKUP($D93,$E$4:$CZ$32,28,FALSE)*'Incremental Repayments'!$I$22)),0),0)</f>
        <v>0</v>
      </c>
      <c r="AH93" s="783">
        <f>IF('Incremental Repayments'!$R$22="Debt",IF(AND(AH$4&gt;=$D93,AH$4&lt;$D93+'Incremental Repayments'!$I$31),-PMT('Interest Rate'!$J$16,'Incremental Repayments'!$I$31,(HLOOKUP($D93,$E$4:$CZ$32,28,FALSE)*'Incremental Repayments'!$I$22)),0),0)</f>
        <v>0</v>
      </c>
      <c r="AI93" s="783">
        <f>IF('Incremental Repayments'!$R$22="Debt",IF(AND(AI$4&gt;=$D93,AI$4&lt;$D93+'Incremental Repayments'!$I$31),-PMT('Interest Rate'!$J$16,'Incremental Repayments'!$I$31,(HLOOKUP($D93,$E$4:$CZ$32,28,FALSE)*'Incremental Repayments'!$I$22)),0),0)</f>
        <v>0</v>
      </c>
      <c r="AJ93" s="783">
        <f>IF('Incremental Repayments'!$R$22="Debt",IF(AND(AJ$4&gt;=$D93,AJ$4&lt;$D93+'Incremental Repayments'!$I$31),-PMT('Interest Rate'!$J$16,'Incremental Repayments'!$I$31,(HLOOKUP($D93,$E$4:$CZ$32,28,FALSE)*'Incremental Repayments'!$I$22)),0),0)</f>
        <v>0</v>
      </c>
      <c r="AK93" s="783">
        <f>IF('Incremental Repayments'!$R$22="Debt",IF(AND(AK$4&gt;=$D93,AK$4&lt;$D93+'Incremental Repayments'!$I$31),-PMT('Interest Rate'!$J$16,'Incremental Repayments'!$I$31,(HLOOKUP($D93,$E$4:$CZ$32,28,FALSE)*'Incremental Repayments'!$I$22)),0),0)</f>
        <v>0</v>
      </c>
      <c r="AL93" s="783">
        <f>IF('Incremental Repayments'!$R$22="Debt",IF(AND(AL$4&gt;=$D93,AL$4&lt;$D93+'Incremental Repayments'!$I$31),-PMT('Interest Rate'!$J$16,'Incremental Repayments'!$I$31,(HLOOKUP($D93,$E$4:$CZ$32,28,FALSE)*'Incremental Repayments'!$I$22)),0),0)</f>
        <v>0</v>
      </c>
      <c r="AM93" s="783">
        <f>IF('Incremental Repayments'!$R$22="Debt",IF(AND(AM$4&gt;=$D93,AM$4&lt;$D93+'Incremental Repayments'!$I$31),-PMT('Interest Rate'!$J$16,'Incremental Repayments'!$I$31,(HLOOKUP($D93,$E$4:$CZ$32,28,FALSE)*'Incremental Repayments'!$I$22)),0),0)</f>
        <v>0</v>
      </c>
      <c r="AN93" s="783">
        <f>IF('Incremental Repayments'!$R$22="Debt",IF(AND(AN$4&gt;=$D93,AN$4&lt;$D93+'Incremental Repayments'!$I$31),-PMT('Interest Rate'!$J$16,'Incremental Repayments'!$I$31,(HLOOKUP($D93,$E$4:$CZ$32,28,FALSE)*'Incremental Repayments'!$I$22)),0),0)</f>
        <v>0</v>
      </c>
      <c r="AO93" s="783">
        <f>IF('Incremental Repayments'!$R$22="Debt",IF(AND(AO$4&gt;=$D93,AO$4&lt;$D93+'Incremental Repayments'!$I$31),-PMT('Interest Rate'!$J$16,'Incremental Repayments'!$I$31,(HLOOKUP($D93,$E$4:$CZ$32,28,FALSE)*'Incremental Repayments'!$I$22)),0),0)</f>
        <v>0</v>
      </c>
      <c r="AP93" s="783">
        <f>IF('Incremental Repayments'!$R$22="Debt",IF(AND(AP$4&gt;=$D93,AP$4&lt;$D93+'Incremental Repayments'!$I$31),-PMT('Interest Rate'!$J$16,'Incremental Repayments'!$I$31,(HLOOKUP($D93,$E$4:$CZ$32,28,FALSE)*'Incremental Repayments'!$I$22)),0),0)</f>
        <v>0</v>
      </c>
      <c r="AQ93" s="783">
        <f>IF('Incremental Repayments'!$R$22="Debt",IF(AND(AQ$4&gt;=$D93,AQ$4&lt;$D93+'Incremental Repayments'!$I$31),-PMT('Interest Rate'!$J$16,'Incremental Repayments'!$I$31,(HLOOKUP($D93,$E$4:$CZ$32,28,FALSE)*'Incremental Repayments'!$I$22)),0),0)</f>
        <v>0</v>
      </c>
      <c r="AR93" s="783">
        <f>IF('Incremental Repayments'!$R$22="Debt",IF(AND(AR$4&gt;=$D93,AR$4&lt;$D93+'Incremental Repayments'!$I$31),-PMT('Interest Rate'!$J$16,'Incremental Repayments'!$I$31,(HLOOKUP($D93,$E$4:$CZ$32,28,FALSE)*'Incremental Repayments'!$I$22)),0),0)</f>
        <v>0</v>
      </c>
      <c r="AS93" s="783">
        <f>IF('Incremental Repayments'!$R$22="Debt",IF(AND(AS$4&gt;=$D93,AS$4&lt;$D93+'Incremental Repayments'!$I$31),-PMT('Interest Rate'!$J$16,'Incremental Repayments'!$I$31,(HLOOKUP($D93,$E$4:$CZ$32,28,FALSE)*'Incremental Repayments'!$I$22)),0),0)</f>
        <v>0</v>
      </c>
      <c r="AT93" s="783">
        <f>IF('Incremental Repayments'!$R$22="Debt",IF(AND(AT$4&gt;=$D93,AT$4&lt;$D93+'Incremental Repayments'!$I$31),-PMT('Interest Rate'!$J$16,'Incremental Repayments'!$I$31,(HLOOKUP($D93,$E$4:$CZ$32,28,FALSE)*'Incremental Repayments'!$I$22)),0),0)</f>
        <v>0</v>
      </c>
      <c r="AU93" s="783">
        <f>IF('Incremental Repayments'!$R$22="Debt",IF(AND(AU$4&gt;=$D93,AU$4&lt;$D93+'Incremental Repayments'!$I$31),-PMT('Interest Rate'!$J$16,'Incremental Repayments'!$I$31,(HLOOKUP($D93,$E$4:$CZ$32,28,FALSE)*'Incremental Repayments'!$I$22)),0),0)</f>
        <v>0</v>
      </c>
      <c r="AV93" s="783">
        <f>IF('Incremental Repayments'!$R$22="Debt",IF(AND(AV$4&gt;=$D93,AV$4&lt;$D93+'Incremental Repayments'!$I$31),-PMT('Interest Rate'!$J$16,'Incremental Repayments'!$I$31,(HLOOKUP($D93,$E$4:$CZ$32,28,FALSE)*'Incremental Repayments'!$I$22)),0),0)</f>
        <v>0</v>
      </c>
      <c r="AW93" s="783">
        <f>IF('Incremental Repayments'!$R$22="Debt",IF(AND(AW$4&gt;=$D93,AW$4&lt;$D93+'Incremental Repayments'!$I$31),-PMT('Interest Rate'!$J$16,'Incremental Repayments'!$I$31,(HLOOKUP($D93,$E$4:$CZ$32,28,FALSE)*'Incremental Repayments'!$I$22)),0),0)</f>
        <v>0</v>
      </c>
      <c r="AX93" s="783">
        <f>IF('Incremental Repayments'!$R$22="Debt",IF(AND(AX$4&gt;=$D93,AX$4&lt;$D93+'Incremental Repayments'!$I$31),-PMT('Interest Rate'!$J$16,'Incremental Repayments'!$I$31,(HLOOKUP($D93,$E$4:$CZ$32,28,FALSE)*'Incremental Repayments'!$I$22)),0),0)</f>
        <v>0</v>
      </c>
      <c r="AY93" s="783">
        <f>IF('Incremental Repayments'!$R$22="Debt",IF(AND(AY$4&gt;=$D93,AY$4&lt;$D93+'Incremental Repayments'!$I$31),-PMT('Interest Rate'!$J$16,'Incremental Repayments'!$I$31,(HLOOKUP($D93,$E$4:$CZ$32,28,FALSE)*'Incremental Repayments'!$I$22)),0),0)</f>
        <v>0</v>
      </c>
      <c r="AZ93" s="783">
        <f>IF('Incremental Repayments'!$R$22="Debt",IF(AND(AZ$4&gt;=$D93,AZ$4&lt;$D93+'Incremental Repayments'!$I$31),-PMT('Interest Rate'!$J$16,'Incremental Repayments'!$I$31,(HLOOKUP($D93,$E$4:$CZ$32,28,FALSE)*'Incremental Repayments'!$I$22)),0),0)</f>
        <v>0</v>
      </c>
      <c r="BA93" s="783">
        <f>IF('Incremental Repayments'!$R$22="Debt",IF(AND(BA$4&gt;=$D93,BA$4&lt;$D93+'Incremental Repayments'!$I$31),-PMT('Interest Rate'!$J$16,'Incremental Repayments'!$I$31,(HLOOKUP($D93,$E$4:$CZ$32,28,FALSE)*'Incremental Repayments'!$I$22)),0),0)</f>
        <v>0</v>
      </c>
      <c r="BB93" s="783">
        <f>IF('Incremental Repayments'!$R$22="Debt",IF(AND(BB$4&gt;=$D93,BB$4&lt;$D93+'Incremental Repayments'!$I$31),-PMT('Interest Rate'!$J$16,'Incremental Repayments'!$I$31,(HLOOKUP($D93,$E$4:$CZ$32,28,FALSE)*'Incremental Repayments'!$I$22)),0),0)</f>
        <v>0</v>
      </c>
      <c r="BC93" s="783">
        <f>IF('Incremental Repayments'!$R$22="Debt",IF(AND(BC$4&gt;=$D93,BC$4&lt;$D93+'Incremental Repayments'!$I$31),-PMT('Interest Rate'!$J$16,'Incremental Repayments'!$I$31,(HLOOKUP($D93,$E$4:$CZ$32,28,FALSE)*'Incremental Repayments'!$I$22)),0),0)</f>
        <v>0</v>
      </c>
      <c r="BD93" s="783">
        <f>IF('Incremental Repayments'!$R$22="Debt",IF(AND(BD$4&gt;=$D93,BD$4&lt;$D93+'Incremental Repayments'!$I$31),-PMT('Interest Rate'!$J$16,'Incremental Repayments'!$I$31,(HLOOKUP($D93,$E$4:$CZ$32,28,FALSE)*'Incremental Repayments'!$I$22)),0),0)</f>
        <v>0</v>
      </c>
      <c r="BE93" s="783">
        <f>IF('Incremental Repayments'!$R$22="Debt",IF(AND(BE$4&gt;=$D93,BE$4&lt;$D93+'Incremental Repayments'!$I$31),-PMT('Interest Rate'!$J$16,'Incremental Repayments'!$I$31,(HLOOKUP($D93,$E$4:$CZ$32,28,FALSE)*'Incremental Repayments'!$I$22)),0),0)</f>
        <v>0</v>
      </c>
      <c r="BF93" s="783">
        <f>IF('Incremental Repayments'!$R$22="Debt",IF(AND(BF$4&gt;=$D93,BF$4&lt;$D93+'Incremental Repayments'!$I$31),-PMT('Interest Rate'!$J$16,'Incremental Repayments'!$I$31,(HLOOKUP($D93,$E$4:$CZ$32,28,FALSE)*'Incremental Repayments'!$I$22)),0),0)</f>
        <v>0</v>
      </c>
      <c r="BG93" s="783">
        <f>IF('Incremental Repayments'!$R$22="Debt",IF(AND(BG$4&gt;=$D93,BG$4&lt;$D93+'Incremental Repayments'!$I$31),-PMT('Interest Rate'!$J$16,'Incremental Repayments'!$I$31,(HLOOKUP($D93,$E$4:$CZ$32,28,FALSE)*'Incremental Repayments'!$I$22)),0),0)</f>
        <v>0</v>
      </c>
      <c r="BH93" s="783">
        <f>IF('Incremental Repayments'!$R$22="Debt",IF(AND(BH$4&gt;=$D93,BH$4&lt;$D93+'Incremental Repayments'!$I$31),-PMT('Interest Rate'!$J$16,'Incremental Repayments'!$I$31,(HLOOKUP($D93,$E$4:$CZ$32,28,FALSE)*'Incremental Repayments'!$I$22)),0),0)</f>
        <v>0</v>
      </c>
      <c r="BI93" s="783">
        <f>IF('Incremental Repayments'!$R$22="Debt",IF(AND(BI$4&gt;=$D93,BI$4&lt;$D93+'Incremental Repayments'!$I$31),-PMT('Interest Rate'!$J$16,'Incremental Repayments'!$I$31,(HLOOKUP($D93,$E$4:$CZ$32,28,FALSE)*'Incremental Repayments'!$I$22)),0),0)</f>
        <v>0</v>
      </c>
      <c r="BJ93" s="783">
        <f>IF('Incremental Repayments'!$R$22="Debt",IF(AND(BJ$4&gt;=$D93,BJ$4&lt;$D93+'Incremental Repayments'!$I$31),-PMT('Interest Rate'!$J$16,'Incremental Repayments'!$I$31,(HLOOKUP($D93,$E$4:$CZ$32,28,FALSE)*'Incremental Repayments'!$I$22)),0),0)</f>
        <v>0</v>
      </c>
      <c r="BK93" s="783">
        <f>IF('Incremental Repayments'!$R$22="Debt",IF(AND(BK$4&gt;=$D93,BK$4&lt;$D93+'Incremental Repayments'!$I$31),-PMT('Interest Rate'!$J$16,'Incremental Repayments'!$I$31,(HLOOKUP($D93,$E$4:$CZ$32,28,FALSE)*'Incremental Repayments'!$I$22)),0),0)</f>
        <v>0</v>
      </c>
      <c r="BL93" s="783">
        <f>IF('Incremental Repayments'!$R$22="Debt",IF(AND(BL$4&gt;=$D93,BL$4&lt;$D93+'Incremental Repayments'!$I$31),-PMT('Interest Rate'!$J$16,'Incremental Repayments'!$I$31,(HLOOKUP($D93,$E$4:$CZ$32,28,FALSE)*'Incremental Repayments'!$I$22)),0),0)</f>
        <v>0</v>
      </c>
      <c r="BM93" s="783">
        <f>IF('Incremental Repayments'!$R$22="Debt",IF(AND(BM$4&gt;=$D93,BM$4&lt;$D93+'Incremental Repayments'!$I$31),-PMT('Interest Rate'!$J$16,'Incremental Repayments'!$I$31,(HLOOKUP($D93,$E$4:$CZ$32,28,FALSE)*'Incremental Repayments'!$I$22)),0),0)</f>
        <v>0</v>
      </c>
      <c r="BN93" s="783">
        <f>IF('Incremental Repayments'!$R$22="Debt",IF(AND(BN$4&gt;=$D93,BN$4&lt;$D93+'Incremental Repayments'!$I$31),-PMT('Interest Rate'!$J$16,'Incremental Repayments'!$I$31,(HLOOKUP($D93,$E$4:$CZ$32,28,FALSE)*'Incremental Repayments'!$I$22)),0),0)</f>
        <v>0</v>
      </c>
      <c r="BO93" s="783">
        <f>IF('Incremental Repayments'!$R$22="Debt",IF(AND(BO$4&gt;=$D93,BO$4&lt;$D93+'Incremental Repayments'!$I$31),-PMT('Interest Rate'!$J$16,'Incremental Repayments'!$I$31,(HLOOKUP($D93,$E$4:$CZ$32,28,FALSE)*'Incremental Repayments'!$I$22)),0),0)</f>
        <v>0</v>
      </c>
      <c r="BP93" s="783">
        <f>IF('Incremental Repayments'!$R$22="Debt",IF(AND(BP$4&gt;=$D93,BP$4&lt;$D93+'Incremental Repayments'!$I$31),-PMT('Interest Rate'!$J$16,'Incremental Repayments'!$I$31,(HLOOKUP($D93,$E$4:$CZ$32,28,FALSE)*'Incremental Repayments'!$I$22)),0),0)</f>
        <v>0</v>
      </c>
      <c r="BQ93" s="783">
        <f>IF('Incremental Repayments'!$R$22="Debt",IF(AND(BQ$4&gt;=$D93,BQ$4&lt;$D93+'Incremental Repayments'!$I$31),-PMT('Interest Rate'!$J$16,'Incremental Repayments'!$I$31,(HLOOKUP($D93,$E$4:$CZ$32,28,FALSE)*'Incremental Repayments'!$I$22)),0),0)</f>
        <v>0</v>
      </c>
      <c r="BR93" s="783">
        <f>IF('Incremental Repayments'!$R$22="Debt",IF(AND(BR$4&gt;=$D93,BR$4&lt;$D93+'Incremental Repayments'!$I$31),-PMT('Interest Rate'!$J$16,'Incremental Repayments'!$I$31,(HLOOKUP($D93,$E$4:$CZ$32,28,FALSE)*'Incremental Repayments'!$I$22)),0),0)</f>
        <v>0</v>
      </c>
      <c r="BS93" s="783">
        <f>IF('Incremental Repayments'!$R$22="Debt",IF(AND(BS$4&gt;=$D93,BS$4&lt;$D93+'Incremental Repayments'!$I$31),-PMT('Interest Rate'!$J$16,'Incremental Repayments'!$I$31,(HLOOKUP($D93,$E$4:$CZ$32,28,FALSE)*'Incremental Repayments'!$I$22)),0),0)</f>
        <v>0</v>
      </c>
      <c r="BT93" s="783">
        <f>IF('Incremental Repayments'!$R$22="Debt",IF(AND(BT$4&gt;=$D93,BT$4&lt;$D93+'Incremental Repayments'!$I$31),-PMT('Interest Rate'!$J$16,'Incremental Repayments'!$I$31,(HLOOKUP($D93,$E$4:$CZ$32,28,FALSE)*'Incremental Repayments'!$I$22)),0),0)</f>
        <v>0</v>
      </c>
      <c r="BU93" s="783">
        <f>IF('Incremental Repayments'!$R$22="Debt",IF(AND(BU$4&gt;=$D93,BU$4&lt;$D93+'Incremental Repayments'!$I$31),-PMT('Interest Rate'!$J$16,'Incremental Repayments'!$I$31,(HLOOKUP($D93,$E$4:$CZ$32,28,FALSE)*'Incremental Repayments'!$I$22)),0),0)</f>
        <v>0</v>
      </c>
      <c r="BV93" s="783">
        <f>IF('Incremental Repayments'!$R$22="Debt",IF(AND(BV$4&gt;=$D93,BV$4&lt;$D93+'Incremental Repayments'!$I$31),-PMT('Interest Rate'!$J$16,'Incremental Repayments'!$I$31,(HLOOKUP($D93,$E$4:$CZ$32,28,FALSE)*'Incremental Repayments'!$I$22)),0),0)</f>
        <v>0</v>
      </c>
      <c r="BW93" s="783">
        <f>IF('Incremental Repayments'!$R$22="Debt",IF(AND(BW$4&gt;=$D93,BW$4&lt;$D93+'Incremental Repayments'!$I$31),-PMT('Interest Rate'!$J$16,'Incremental Repayments'!$I$31,(HLOOKUP($D93,$E$4:$CZ$32,28,FALSE)*'Incremental Repayments'!$I$22)),0),0)</f>
        <v>0</v>
      </c>
      <c r="BX93" s="783">
        <f>IF('Incremental Repayments'!$R$22="Debt",IF(AND(BX$4&gt;=$D93,BX$4&lt;$D93+'Incremental Repayments'!$I$31),-PMT('Interest Rate'!$J$16,'Incremental Repayments'!$I$31,(HLOOKUP($D93,$E$4:$CZ$32,28,FALSE)*'Incremental Repayments'!$I$22)),0),0)</f>
        <v>0</v>
      </c>
      <c r="BY93" s="783">
        <f>IF('Incremental Repayments'!$R$22="Debt",IF(AND(BY$4&gt;=$D93,BY$4&lt;$D93+'Incremental Repayments'!$I$31),-PMT('Interest Rate'!$J$16,'Incremental Repayments'!$I$31,(HLOOKUP($D93,$E$4:$CZ$32,28,FALSE)*'Incremental Repayments'!$I$22)),0),0)</f>
        <v>0</v>
      </c>
      <c r="BZ93" s="783">
        <f>IF('Incremental Repayments'!$R$22="Debt",IF(AND(BZ$4&gt;=$D93,BZ$4&lt;$D93+'Incremental Repayments'!$I$31),-PMT('Interest Rate'!$J$16,'Incremental Repayments'!$I$31,(HLOOKUP($D93,$E$4:$CZ$32,28,FALSE)*'Incremental Repayments'!$I$22)),0),0)</f>
        <v>0</v>
      </c>
      <c r="CA93" s="783">
        <f>IF('Incremental Repayments'!$R$22="Debt",IF(AND(CA$4&gt;=$D93,CA$4&lt;$D93+'Incremental Repayments'!$I$31),-PMT('Interest Rate'!$J$16,'Incremental Repayments'!$I$31,(HLOOKUP($D93,$E$4:$CZ$32,28,FALSE)*'Incremental Repayments'!$I$22)),0),0)</f>
        <v>0</v>
      </c>
      <c r="CB93" s="783">
        <f>IF('Incremental Repayments'!$R$22="Debt",IF(AND(CB$4&gt;=$D93,CB$4&lt;$D93+'Incremental Repayments'!$I$31),-PMT('Interest Rate'!$J$16,'Incremental Repayments'!$I$31,(HLOOKUP($D93,$E$4:$CZ$32,28,FALSE)*'Incremental Repayments'!$I$22)),0),0)</f>
        <v>0</v>
      </c>
      <c r="CC93" s="783">
        <f>IF('Incremental Repayments'!$R$22="Debt",IF(AND(CC$4&gt;=$D93,CC$4&lt;$D93+'Incremental Repayments'!$I$31),-PMT('Interest Rate'!$J$16,'Incremental Repayments'!$I$31,(HLOOKUP($D93,$E$4:$CZ$32,28,FALSE)*'Incremental Repayments'!$I$22)),0),0)</f>
        <v>0</v>
      </c>
      <c r="CD93" s="783">
        <f>IF('Incremental Repayments'!$R$22="Debt",IF(AND(CD$4&gt;=$D93,CD$4&lt;$D93+'Incremental Repayments'!$I$31),-PMT('Interest Rate'!$J$16,'Incremental Repayments'!$I$31,(HLOOKUP($D93,$E$4:$CZ$32,28,FALSE)*'Incremental Repayments'!$I$22)),0),0)</f>
        <v>0</v>
      </c>
      <c r="CE93" s="783">
        <f>IF('Incremental Repayments'!$R$22="Debt",IF(AND(CE$4&gt;=$D93,CE$4&lt;$D93+'Incremental Repayments'!$I$31),-PMT('Interest Rate'!$J$16,'Incremental Repayments'!$I$31,(HLOOKUP($D93,$E$4:$CZ$32,28,FALSE)*'Incremental Repayments'!$I$22)),0),0)</f>
        <v>0</v>
      </c>
      <c r="CF93" s="783">
        <f>IF('Incremental Repayments'!$R$22="Debt",IF(AND(CF$4&gt;=$D93,CF$4&lt;$D93+'Incremental Repayments'!$I$31),-PMT('Interest Rate'!$J$16,'Incremental Repayments'!$I$31,(HLOOKUP($D93,$E$4:$CZ$32,28,FALSE)*'Incremental Repayments'!$I$22)),0),0)</f>
        <v>0</v>
      </c>
      <c r="CG93" s="783">
        <f>IF('Incremental Repayments'!$R$22="Debt",IF(AND(CG$4&gt;=$D93,CG$4&lt;$D93+'Incremental Repayments'!$I$31),-PMT('Interest Rate'!$J$16,'Incremental Repayments'!$I$31,(HLOOKUP($D93,$E$4:$CZ$32,28,FALSE)*'Incremental Repayments'!$I$22)),0),0)</f>
        <v>0</v>
      </c>
      <c r="CH93" s="783">
        <f>IF('Incremental Repayments'!$R$22="Debt",IF(AND(CH$4&gt;=$D93,CH$4&lt;$D93+'Incremental Repayments'!$I$31),-PMT('Interest Rate'!$J$16,'Incremental Repayments'!$I$31,(HLOOKUP($D93,$E$4:$CZ$32,28,FALSE)*'Incremental Repayments'!$I$22)),0),0)</f>
        <v>0</v>
      </c>
      <c r="CI93" s="783">
        <f>IF('Incremental Repayments'!$R$22="Debt",IF(AND(CI$4&gt;=$D93,CI$4&lt;$D93+'Incremental Repayments'!$I$31),-PMT('Interest Rate'!$J$16,'Incremental Repayments'!$I$31,(HLOOKUP($D93,$E$4:$CZ$32,28,FALSE)*'Incremental Repayments'!$I$22)),0),0)</f>
        <v>0</v>
      </c>
      <c r="CJ93" s="783">
        <f>IF('Incremental Repayments'!$R$22="Debt",IF(AND(CJ$4&gt;=$D93,CJ$4&lt;$D93+'Incremental Repayments'!$I$31),-PMT('Interest Rate'!$J$16,'Incremental Repayments'!$I$31,(HLOOKUP($D93,$E$4:$CZ$32,28,FALSE)*'Incremental Repayments'!$I$22)),0),0)</f>
        <v>0</v>
      </c>
      <c r="CK93" s="783">
        <f>IF('Incremental Repayments'!$R$22="Debt",IF(AND(CK$4&gt;=$D93,CK$4&lt;$D93+'Incremental Repayments'!$I$31),-PMT('Interest Rate'!$J$16,'Incremental Repayments'!$I$31,(HLOOKUP($D93,$E$4:$CZ$32,28,FALSE)*'Incremental Repayments'!$I$22)),0),0)</f>
        <v>0</v>
      </c>
      <c r="CL93" s="783">
        <f>IF('Incremental Repayments'!$R$22="Debt",IF(AND(CL$4&gt;=$D93,CL$4&lt;$D93+'Incremental Repayments'!$I$31),-PMT('Interest Rate'!$J$16,'Incremental Repayments'!$I$31,(HLOOKUP($D93,$E$4:$CZ$32,28,FALSE)*'Incremental Repayments'!$I$22)),0),0)</f>
        <v>0</v>
      </c>
      <c r="CM93" s="783">
        <f>IF('Incremental Repayments'!$R$22="Debt",IF(AND(CM$4&gt;=$D93,CM$4&lt;$D93+'Incremental Repayments'!$I$31),-PMT('Interest Rate'!$J$16,'Incremental Repayments'!$I$31,(HLOOKUP($D93,$E$4:$CZ$32,28,FALSE)*'Incremental Repayments'!$I$22)),0),0)</f>
        <v>0</v>
      </c>
      <c r="CN93" s="783">
        <f>IF('Incremental Repayments'!$R$22="Debt",IF(AND(CN$4&gt;=$D93,CN$4&lt;$D93+'Incremental Repayments'!$I$31),-PMT('Interest Rate'!$J$16,'Incremental Repayments'!$I$31,(HLOOKUP($D93,$E$4:$CZ$32,28,FALSE)*'Incremental Repayments'!$I$22)),0),0)</f>
        <v>0</v>
      </c>
      <c r="CO93" s="783">
        <f>IF('Incremental Repayments'!$R$22="Debt",IF(AND(CO$4&gt;=$D93,CO$4&lt;$D93+'Incremental Repayments'!$I$31),-PMT('Interest Rate'!$J$16,'Incremental Repayments'!$I$31,(HLOOKUP($D93,$E$4:$CZ$32,28,FALSE)*'Incremental Repayments'!$I$22)),0),0)</f>
        <v>0</v>
      </c>
      <c r="CP93" s="783">
        <f>IF('Incremental Repayments'!$R$22="Debt",IF(AND(CP$4&gt;=$D93,CP$4&lt;$D93+'Incremental Repayments'!$I$31),-PMT('Interest Rate'!$J$16,'Incremental Repayments'!$I$31,(HLOOKUP($D93,$E$4:$CZ$32,28,FALSE)*'Incremental Repayments'!$I$22)),0),0)</f>
        <v>0</v>
      </c>
      <c r="CQ93" s="783">
        <f>IF('Incremental Repayments'!$R$22="Debt",IF(AND(CQ$4&gt;=$D93,CQ$4&lt;$D93+'Incremental Repayments'!$I$31),-PMT('Interest Rate'!$J$16,'Incremental Repayments'!$I$31,(HLOOKUP($D93,$E$4:$CZ$32,28,FALSE)*'Incremental Repayments'!$I$22)),0),0)</f>
        <v>0</v>
      </c>
      <c r="CR93" s="783">
        <f>IF('Incremental Repayments'!$R$22="Debt",IF(AND(CR$4&gt;=$D93,CR$4&lt;$D93+'Incremental Repayments'!$I$31),-PMT('Interest Rate'!$J$16,'Incremental Repayments'!$I$31,(HLOOKUP($D93,$E$4:$CZ$32,28,FALSE)*'Incremental Repayments'!$I$22)),0),0)</f>
        <v>0</v>
      </c>
      <c r="CS93" s="783">
        <f>IF('Incremental Repayments'!$R$22="Debt",IF(AND(CS$4&gt;=$D93,CS$4&lt;$D93+'Incremental Repayments'!$I$31),-PMT('Interest Rate'!$J$16,'Incremental Repayments'!$I$31,(HLOOKUP($D93,$E$4:$CZ$32,28,FALSE)*'Incremental Repayments'!$I$22)),0),0)</f>
        <v>0</v>
      </c>
      <c r="CT93" s="783">
        <f>IF('Incremental Repayments'!$R$22="Debt",IF(AND(CT$4&gt;=$D93,CT$4&lt;$D93+'Incremental Repayments'!$I$31),-PMT('Interest Rate'!$J$16,'Incremental Repayments'!$I$31,(HLOOKUP($D93,$E$4:$CZ$32,28,FALSE)*'Incremental Repayments'!$I$22)),0),0)</f>
        <v>0</v>
      </c>
      <c r="CU93" s="783">
        <f>IF('Incremental Repayments'!$R$22="Debt",IF(AND(CU$4&gt;=$D93,CU$4&lt;$D93+'Incremental Repayments'!$I$31),-PMT('Interest Rate'!$J$16,'Incremental Repayments'!$I$31,(HLOOKUP($D93,$E$4:$CZ$32,28,FALSE)*'Incremental Repayments'!$I$22)),0),0)</f>
        <v>0</v>
      </c>
      <c r="CV93" s="783">
        <f>IF('Incremental Repayments'!$R$22="Debt",IF(AND(CV$4&gt;=$D93,CV$4&lt;$D93+'Incremental Repayments'!$I$31),-PMT('Interest Rate'!$J$16,'Incremental Repayments'!$I$31,(HLOOKUP($D93,$E$4:$CZ$32,28,FALSE)*'Incremental Repayments'!$I$22)),0),0)</f>
        <v>0</v>
      </c>
      <c r="CW93" s="783">
        <f>IF('Incremental Repayments'!$R$22="Debt",IF(AND(CW$4&gt;=$D93,CW$4&lt;$D93+'Incremental Repayments'!$I$31),-PMT('Interest Rate'!$J$16,'Incremental Repayments'!$I$31,(HLOOKUP($D93,$E$4:$CZ$32,28,FALSE)*'Incremental Repayments'!$I$22)),0),0)</f>
        <v>0</v>
      </c>
      <c r="CX93" s="783">
        <f>IF('Incremental Repayments'!$R$22="Debt",IF(AND(CX$4&gt;=$D93,CX$4&lt;$D93+'Incremental Repayments'!$I$31),-PMT('Interest Rate'!$J$16,'Incremental Repayments'!$I$31,(HLOOKUP($D93,$E$4:$CZ$32,28,FALSE)*'Incremental Repayments'!$I$22)),0),0)</f>
        <v>0</v>
      </c>
      <c r="CY93" s="783">
        <f>IF('Incremental Repayments'!$R$22="Debt",IF(AND(CY$4&gt;=$D93,CY$4&lt;$D93+'Incremental Repayments'!$I$31),-PMT('Interest Rate'!$J$16,'Incremental Repayments'!$I$31,(HLOOKUP($D93,$E$4:$CZ$32,28,FALSE)*'Incremental Repayments'!$I$22)),0),0)</f>
        <v>0</v>
      </c>
      <c r="CZ93" s="783">
        <f>IF('Incremental Repayments'!$R$22="Debt",IF(AND(CZ$4&gt;=$D93,CZ$4&lt;$D93+'Incremental Repayments'!$I$31),-PMT('Interest Rate'!$J$16,'Incremental Repayments'!$I$31,(HLOOKUP($D93,$E$4:$CZ$32,28,FALSE)*'Incremental Repayments'!$I$22)),0),0)</f>
        <v>0</v>
      </c>
    </row>
    <row r="94" spans="2:104" x14ac:dyDescent="0.25">
      <c r="B94" s="480" t="str">
        <f>CONCATENATE("Series ",D94,"A Bonds (at ",'Interest Rate'!$J$16*100,"% Interest)")</f>
        <v>Series 2072A Bonds (at 4.5% Interest)</v>
      </c>
      <c r="C94" s="480"/>
      <c r="D94" s="492">
        <f t="shared" si="47"/>
        <v>2072</v>
      </c>
      <c r="E94" s="783">
        <f>IF('Incremental Repayments'!$R$22="Debt",IF(AND(E$4&gt;=$D94,E$4&lt;$D94+'Incremental Repayments'!$I$31),-PMT('Interest Rate'!$J$16,'Incremental Repayments'!$I$31,(HLOOKUP($D94,$E$4:$CZ$32,28,FALSE)*'Incremental Repayments'!$I$22)),0),0)</f>
        <v>0</v>
      </c>
      <c r="F94" s="783">
        <f>IF('Incremental Repayments'!$R$22="Debt",IF(AND(F$4&gt;=$D94,F$4&lt;$D94+'Incremental Repayments'!$I$31),-PMT('Interest Rate'!$J$16,'Incremental Repayments'!$I$31,(HLOOKUP($D94,$E$4:$CZ$32,28,FALSE)*'Incremental Repayments'!$I$22)),0),0)</f>
        <v>0</v>
      </c>
      <c r="G94" s="783">
        <f>IF('Incremental Repayments'!$R$22="Debt",IF(AND(G$4&gt;=$D94,G$4&lt;$D94+'Incremental Repayments'!$I$31),-PMT('Interest Rate'!$J$16,'Incremental Repayments'!$I$31,(HLOOKUP($D94,$E$4:$CZ$32,28,FALSE)*'Incremental Repayments'!$I$22)),0),0)</f>
        <v>0</v>
      </c>
      <c r="H94" s="783">
        <f>IF('Incremental Repayments'!$R$22="Debt",IF(AND(H$4&gt;=$D94,H$4&lt;$D94+'Incremental Repayments'!$I$31),-PMT('Interest Rate'!$J$16,'Incremental Repayments'!$I$31,(HLOOKUP($D94,$E$4:$CZ$32,28,FALSE)*'Incremental Repayments'!$I$22)),0),0)</f>
        <v>0</v>
      </c>
      <c r="I94" s="783">
        <f>IF('Incremental Repayments'!$R$22="Debt",IF(AND(I$4&gt;=$D94,I$4&lt;$D94+'Incremental Repayments'!$I$31),-PMT('Interest Rate'!$J$16,'Incremental Repayments'!$I$31,(HLOOKUP($D94,$E$4:$CZ$32,28,FALSE)*'Incremental Repayments'!$I$22)),0),0)</f>
        <v>0</v>
      </c>
      <c r="J94" s="783">
        <f>IF('Incremental Repayments'!$R$22="Debt",IF(AND(J$4&gt;=$D94,J$4&lt;$D94+'Incremental Repayments'!$I$31),-PMT('Interest Rate'!$J$16,'Incremental Repayments'!$I$31,(HLOOKUP($D94,$E$4:$CZ$32,28,FALSE)*'Incremental Repayments'!$I$22)),0),0)</f>
        <v>0</v>
      </c>
      <c r="K94" s="783">
        <f>IF('Incremental Repayments'!$R$22="Debt",IF(AND(K$4&gt;=$D94,K$4&lt;$D94+'Incremental Repayments'!$I$31),-PMT('Interest Rate'!$J$16,'Incremental Repayments'!$I$31,(HLOOKUP($D94,$E$4:$CZ$32,28,FALSE)*'Incremental Repayments'!$I$22)),0),0)</f>
        <v>0</v>
      </c>
      <c r="L94" s="783">
        <f>IF('Incremental Repayments'!$R$22="Debt",IF(AND(L$4&gt;=$D94,L$4&lt;$D94+'Incremental Repayments'!$I$31),-PMT('Interest Rate'!$J$16,'Incremental Repayments'!$I$31,(HLOOKUP($D94,$E$4:$CZ$32,28,FALSE)*'Incremental Repayments'!$I$22)),0),0)</f>
        <v>0</v>
      </c>
      <c r="M94" s="783">
        <f>IF('Incremental Repayments'!$R$22="Debt",IF(AND(M$4&gt;=$D94,M$4&lt;$D94+'Incremental Repayments'!$I$31),-PMT('Interest Rate'!$J$16,'Incremental Repayments'!$I$31,(HLOOKUP($D94,$E$4:$CZ$32,28,FALSE)*'Incremental Repayments'!$I$22)),0),0)</f>
        <v>0</v>
      </c>
      <c r="N94" s="783">
        <f>IF('Incremental Repayments'!$R$22="Debt",IF(AND(N$4&gt;=$D94,N$4&lt;$D94+'Incremental Repayments'!$I$31),-PMT('Interest Rate'!$J$16,'Incremental Repayments'!$I$31,(HLOOKUP($D94,$E$4:$CZ$32,28,FALSE)*'Incremental Repayments'!$I$22)),0),0)</f>
        <v>0</v>
      </c>
      <c r="O94" s="783">
        <f>IF('Incremental Repayments'!$R$22="Debt",IF(AND(O$4&gt;=$D94,O$4&lt;$D94+'Incremental Repayments'!$I$31),-PMT('Interest Rate'!$J$16,'Incremental Repayments'!$I$31,(HLOOKUP($D94,$E$4:$CZ$32,28,FALSE)*'Incremental Repayments'!$I$22)),0),0)</f>
        <v>0</v>
      </c>
      <c r="P94" s="783">
        <f>IF('Incremental Repayments'!$R$22="Debt",IF(AND(P$4&gt;=$D94,P$4&lt;$D94+'Incremental Repayments'!$I$31),-PMT('Interest Rate'!$J$16,'Incremental Repayments'!$I$31,(HLOOKUP($D94,$E$4:$CZ$32,28,FALSE)*'Incremental Repayments'!$I$22)),0),0)</f>
        <v>0</v>
      </c>
      <c r="Q94" s="783">
        <f>IF('Incremental Repayments'!$R$22="Debt",IF(AND(Q$4&gt;=$D94,Q$4&lt;$D94+'Incremental Repayments'!$I$31),-PMT('Interest Rate'!$J$16,'Incremental Repayments'!$I$31,(HLOOKUP($D94,$E$4:$CZ$32,28,FALSE)*'Incremental Repayments'!$I$22)),0),0)</f>
        <v>0</v>
      </c>
      <c r="R94" s="783">
        <f>IF('Incremental Repayments'!$R$22="Debt",IF(AND(R$4&gt;=$D94,R$4&lt;$D94+'Incremental Repayments'!$I$31),-PMT('Interest Rate'!$J$16,'Incremental Repayments'!$I$31,(HLOOKUP($D94,$E$4:$CZ$32,28,FALSE)*'Incremental Repayments'!$I$22)),0),0)</f>
        <v>0</v>
      </c>
      <c r="S94" s="783">
        <f>IF('Incremental Repayments'!$R$22="Debt",IF(AND(S$4&gt;=$D94,S$4&lt;$D94+'Incremental Repayments'!$I$31),-PMT('Interest Rate'!$J$16,'Incremental Repayments'!$I$31,(HLOOKUP($D94,$E$4:$CZ$32,28,FALSE)*'Incremental Repayments'!$I$22)),0),0)</f>
        <v>0</v>
      </c>
      <c r="T94" s="783">
        <f>IF('Incremental Repayments'!$R$22="Debt",IF(AND(T$4&gt;=$D94,T$4&lt;$D94+'Incremental Repayments'!$I$31),-PMT('Interest Rate'!$J$16,'Incremental Repayments'!$I$31,(HLOOKUP($D94,$E$4:$CZ$32,28,FALSE)*'Incremental Repayments'!$I$22)),0),0)</f>
        <v>0</v>
      </c>
      <c r="U94" s="783">
        <f>IF('Incremental Repayments'!$R$22="Debt",IF(AND(U$4&gt;=$D94,U$4&lt;$D94+'Incremental Repayments'!$I$31),-PMT('Interest Rate'!$J$16,'Incremental Repayments'!$I$31,(HLOOKUP($D94,$E$4:$CZ$32,28,FALSE)*'Incremental Repayments'!$I$22)),0),0)</f>
        <v>0</v>
      </c>
      <c r="V94" s="783">
        <f>IF('Incremental Repayments'!$R$22="Debt",IF(AND(V$4&gt;=$D94,V$4&lt;$D94+'Incremental Repayments'!$I$31),-PMT('Interest Rate'!$J$16,'Incremental Repayments'!$I$31,(HLOOKUP($D94,$E$4:$CZ$32,28,FALSE)*'Incremental Repayments'!$I$22)),0),0)</f>
        <v>0</v>
      </c>
      <c r="W94" s="783">
        <f>IF('Incremental Repayments'!$R$22="Debt",IF(AND(W$4&gt;=$D94,W$4&lt;$D94+'Incremental Repayments'!$I$31),-PMT('Interest Rate'!$J$16,'Incremental Repayments'!$I$31,(HLOOKUP($D94,$E$4:$CZ$32,28,FALSE)*'Incremental Repayments'!$I$22)),0),0)</f>
        <v>0</v>
      </c>
      <c r="X94" s="783">
        <f>IF('Incremental Repayments'!$R$22="Debt",IF(AND(X$4&gt;=$D94,X$4&lt;$D94+'Incremental Repayments'!$I$31),-PMT('Interest Rate'!$J$16,'Incremental Repayments'!$I$31,(HLOOKUP($D94,$E$4:$CZ$32,28,FALSE)*'Incremental Repayments'!$I$22)),0),0)</f>
        <v>0</v>
      </c>
      <c r="Y94" s="783">
        <f>IF('Incremental Repayments'!$R$22="Debt",IF(AND(Y$4&gt;=$D94,Y$4&lt;$D94+'Incremental Repayments'!$I$31),-PMT('Interest Rate'!$J$16,'Incremental Repayments'!$I$31,(HLOOKUP($D94,$E$4:$CZ$32,28,FALSE)*'Incremental Repayments'!$I$22)),0),0)</f>
        <v>0</v>
      </c>
      <c r="Z94" s="783">
        <f>IF('Incremental Repayments'!$R$22="Debt",IF(AND(Z$4&gt;=$D94,Z$4&lt;$D94+'Incremental Repayments'!$I$31),-PMT('Interest Rate'!$J$16,'Incremental Repayments'!$I$31,(HLOOKUP($D94,$E$4:$CZ$32,28,FALSE)*'Incremental Repayments'!$I$22)),0),0)</f>
        <v>0</v>
      </c>
      <c r="AA94" s="783">
        <f>IF('Incremental Repayments'!$R$22="Debt",IF(AND(AA$4&gt;=$D94,AA$4&lt;$D94+'Incremental Repayments'!$I$31),-PMT('Interest Rate'!$J$16,'Incremental Repayments'!$I$31,(HLOOKUP($D94,$E$4:$CZ$32,28,FALSE)*'Incremental Repayments'!$I$22)),0),0)</f>
        <v>0</v>
      </c>
      <c r="AB94" s="783">
        <f>IF('Incremental Repayments'!$R$22="Debt",IF(AND(AB$4&gt;=$D94,AB$4&lt;$D94+'Incremental Repayments'!$I$31),-PMT('Interest Rate'!$J$16,'Incremental Repayments'!$I$31,(HLOOKUP($D94,$E$4:$CZ$32,28,FALSE)*'Incremental Repayments'!$I$22)),0),0)</f>
        <v>0</v>
      </c>
      <c r="AC94" s="783">
        <f>IF('Incremental Repayments'!$R$22="Debt",IF(AND(AC$4&gt;=$D94,AC$4&lt;$D94+'Incremental Repayments'!$I$31),-PMT('Interest Rate'!$J$16,'Incremental Repayments'!$I$31,(HLOOKUP($D94,$E$4:$CZ$32,28,FALSE)*'Incremental Repayments'!$I$22)),0),0)</f>
        <v>0</v>
      </c>
      <c r="AD94" s="783">
        <f>IF('Incremental Repayments'!$R$22="Debt",IF(AND(AD$4&gt;=$D94,AD$4&lt;$D94+'Incremental Repayments'!$I$31),-PMT('Interest Rate'!$J$16,'Incremental Repayments'!$I$31,(HLOOKUP($D94,$E$4:$CZ$32,28,FALSE)*'Incremental Repayments'!$I$22)),0),0)</f>
        <v>0</v>
      </c>
      <c r="AE94" s="783">
        <f>IF('Incremental Repayments'!$R$22="Debt",IF(AND(AE$4&gt;=$D94,AE$4&lt;$D94+'Incremental Repayments'!$I$31),-PMT('Interest Rate'!$J$16,'Incremental Repayments'!$I$31,(HLOOKUP($D94,$E$4:$CZ$32,28,FALSE)*'Incremental Repayments'!$I$22)),0),0)</f>
        <v>0</v>
      </c>
      <c r="AF94" s="783">
        <f>IF('Incremental Repayments'!$R$22="Debt",IF(AND(AF$4&gt;=$D94,AF$4&lt;$D94+'Incremental Repayments'!$I$31),-PMT('Interest Rate'!$J$16,'Incremental Repayments'!$I$31,(HLOOKUP($D94,$E$4:$CZ$32,28,FALSE)*'Incremental Repayments'!$I$22)),0),0)</f>
        <v>0</v>
      </c>
      <c r="AG94" s="783">
        <f>IF('Incremental Repayments'!$R$22="Debt",IF(AND(AG$4&gt;=$D94,AG$4&lt;$D94+'Incremental Repayments'!$I$31),-PMT('Interest Rate'!$J$16,'Incremental Repayments'!$I$31,(HLOOKUP($D94,$E$4:$CZ$32,28,FALSE)*'Incremental Repayments'!$I$22)),0),0)</f>
        <v>0</v>
      </c>
      <c r="AH94" s="783">
        <f>IF('Incremental Repayments'!$R$22="Debt",IF(AND(AH$4&gt;=$D94,AH$4&lt;$D94+'Incremental Repayments'!$I$31),-PMT('Interest Rate'!$J$16,'Incremental Repayments'!$I$31,(HLOOKUP($D94,$E$4:$CZ$32,28,FALSE)*'Incremental Repayments'!$I$22)),0),0)</f>
        <v>0</v>
      </c>
      <c r="AI94" s="783">
        <f>IF('Incremental Repayments'!$R$22="Debt",IF(AND(AI$4&gt;=$D94,AI$4&lt;$D94+'Incremental Repayments'!$I$31),-PMT('Interest Rate'!$J$16,'Incremental Repayments'!$I$31,(HLOOKUP($D94,$E$4:$CZ$32,28,FALSE)*'Incremental Repayments'!$I$22)),0),0)</f>
        <v>0</v>
      </c>
      <c r="AJ94" s="783">
        <f>IF('Incremental Repayments'!$R$22="Debt",IF(AND(AJ$4&gt;=$D94,AJ$4&lt;$D94+'Incremental Repayments'!$I$31),-PMT('Interest Rate'!$J$16,'Incremental Repayments'!$I$31,(HLOOKUP($D94,$E$4:$CZ$32,28,FALSE)*'Incremental Repayments'!$I$22)),0),0)</f>
        <v>0</v>
      </c>
      <c r="AK94" s="783">
        <f>IF('Incremental Repayments'!$R$22="Debt",IF(AND(AK$4&gt;=$D94,AK$4&lt;$D94+'Incremental Repayments'!$I$31),-PMT('Interest Rate'!$J$16,'Incremental Repayments'!$I$31,(HLOOKUP($D94,$E$4:$CZ$32,28,FALSE)*'Incremental Repayments'!$I$22)),0),0)</f>
        <v>0</v>
      </c>
      <c r="AL94" s="783">
        <f>IF('Incremental Repayments'!$R$22="Debt",IF(AND(AL$4&gt;=$D94,AL$4&lt;$D94+'Incremental Repayments'!$I$31),-PMT('Interest Rate'!$J$16,'Incremental Repayments'!$I$31,(HLOOKUP($D94,$E$4:$CZ$32,28,FALSE)*'Incremental Repayments'!$I$22)),0),0)</f>
        <v>0</v>
      </c>
      <c r="AM94" s="783">
        <f>IF('Incremental Repayments'!$R$22="Debt",IF(AND(AM$4&gt;=$D94,AM$4&lt;$D94+'Incremental Repayments'!$I$31),-PMT('Interest Rate'!$J$16,'Incremental Repayments'!$I$31,(HLOOKUP($D94,$E$4:$CZ$32,28,FALSE)*'Incremental Repayments'!$I$22)),0),0)</f>
        <v>0</v>
      </c>
      <c r="AN94" s="783">
        <f>IF('Incremental Repayments'!$R$22="Debt",IF(AND(AN$4&gt;=$D94,AN$4&lt;$D94+'Incremental Repayments'!$I$31),-PMT('Interest Rate'!$J$16,'Incremental Repayments'!$I$31,(HLOOKUP($D94,$E$4:$CZ$32,28,FALSE)*'Incremental Repayments'!$I$22)),0),0)</f>
        <v>0</v>
      </c>
      <c r="AO94" s="783">
        <f>IF('Incremental Repayments'!$R$22="Debt",IF(AND(AO$4&gt;=$D94,AO$4&lt;$D94+'Incremental Repayments'!$I$31),-PMT('Interest Rate'!$J$16,'Incremental Repayments'!$I$31,(HLOOKUP($D94,$E$4:$CZ$32,28,FALSE)*'Incremental Repayments'!$I$22)),0),0)</f>
        <v>0</v>
      </c>
      <c r="AP94" s="783">
        <f>IF('Incremental Repayments'!$R$22="Debt",IF(AND(AP$4&gt;=$D94,AP$4&lt;$D94+'Incremental Repayments'!$I$31),-PMT('Interest Rate'!$J$16,'Incremental Repayments'!$I$31,(HLOOKUP($D94,$E$4:$CZ$32,28,FALSE)*'Incremental Repayments'!$I$22)),0),0)</f>
        <v>0</v>
      </c>
      <c r="AQ94" s="783">
        <f>IF('Incremental Repayments'!$R$22="Debt",IF(AND(AQ$4&gt;=$D94,AQ$4&lt;$D94+'Incremental Repayments'!$I$31),-PMT('Interest Rate'!$J$16,'Incremental Repayments'!$I$31,(HLOOKUP($D94,$E$4:$CZ$32,28,FALSE)*'Incremental Repayments'!$I$22)),0),0)</f>
        <v>0</v>
      </c>
      <c r="AR94" s="783">
        <f>IF('Incremental Repayments'!$R$22="Debt",IF(AND(AR$4&gt;=$D94,AR$4&lt;$D94+'Incremental Repayments'!$I$31),-PMT('Interest Rate'!$J$16,'Incremental Repayments'!$I$31,(HLOOKUP($D94,$E$4:$CZ$32,28,FALSE)*'Incremental Repayments'!$I$22)),0),0)</f>
        <v>0</v>
      </c>
      <c r="AS94" s="783">
        <f>IF('Incremental Repayments'!$R$22="Debt",IF(AND(AS$4&gt;=$D94,AS$4&lt;$D94+'Incremental Repayments'!$I$31),-PMT('Interest Rate'!$J$16,'Incremental Repayments'!$I$31,(HLOOKUP($D94,$E$4:$CZ$32,28,FALSE)*'Incremental Repayments'!$I$22)),0),0)</f>
        <v>0</v>
      </c>
      <c r="AT94" s="783">
        <f>IF('Incremental Repayments'!$R$22="Debt",IF(AND(AT$4&gt;=$D94,AT$4&lt;$D94+'Incremental Repayments'!$I$31),-PMT('Interest Rate'!$J$16,'Incremental Repayments'!$I$31,(HLOOKUP($D94,$E$4:$CZ$32,28,FALSE)*'Incremental Repayments'!$I$22)),0),0)</f>
        <v>0</v>
      </c>
      <c r="AU94" s="783">
        <f>IF('Incremental Repayments'!$R$22="Debt",IF(AND(AU$4&gt;=$D94,AU$4&lt;$D94+'Incremental Repayments'!$I$31),-PMT('Interest Rate'!$J$16,'Incremental Repayments'!$I$31,(HLOOKUP($D94,$E$4:$CZ$32,28,FALSE)*'Incremental Repayments'!$I$22)),0),0)</f>
        <v>0</v>
      </c>
      <c r="AV94" s="783">
        <f>IF('Incremental Repayments'!$R$22="Debt",IF(AND(AV$4&gt;=$D94,AV$4&lt;$D94+'Incremental Repayments'!$I$31),-PMT('Interest Rate'!$J$16,'Incremental Repayments'!$I$31,(HLOOKUP($D94,$E$4:$CZ$32,28,FALSE)*'Incremental Repayments'!$I$22)),0),0)</f>
        <v>0</v>
      </c>
      <c r="AW94" s="783">
        <f>IF('Incremental Repayments'!$R$22="Debt",IF(AND(AW$4&gt;=$D94,AW$4&lt;$D94+'Incremental Repayments'!$I$31),-PMT('Interest Rate'!$J$16,'Incremental Repayments'!$I$31,(HLOOKUP($D94,$E$4:$CZ$32,28,FALSE)*'Incremental Repayments'!$I$22)),0),0)</f>
        <v>0</v>
      </c>
      <c r="AX94" s="783">
        <f>IF('Incremental Repayments'!$R$22="Debt",IF(AND(AX$4&gt;=$D94,AX$4&lt;$D94+'Incremental Repayments'!$I$31),-PMT('Interest Rate'!$J$16,'Incremental Repayments'!$I$31,(HLOOKUP($D94,$E$4:$CZ$32,28,FALSE)*'Incremental Repayments'!$I$22)),0),0)</f>
        <v>0</v>
      </c>
      <c r="AY94" s="783">
        <f>IF('Incremental Repayments'!$R$22="Debt",IF(AND(AY$4&gt;=$D94,AY$4&lt;$D94+'Incremental Repayments'!$I$31),-PMT('Interest Rate'!$J$16,'Incremental Repayments'!$I$31,(HLOOKUP($D94,$E$4:$CZ$32,28,FALSE)*'Incremental Repayments'!$I$22)),0),0)</f>
        <v>0</v>
      </c>
      <c r="AZ94" s="783">
        <f>IF('Incremental Repayments'!$R$22="Debt",IF(AND(AZ$4&gt;=$D94,AZ$4&lt;$D94+'Incremental Repayments'!$I$31),-PMT('Interest Rate'!$J$16,'Incremental Repayments'!$I$31,(HLOOKUP($D94,$E$4:$CZ$32,28,FALSE)*'Incremental Repayments'!$I$22)),0),0)</f>
        <v>0</v>
      </c>
      <c r="BA94" s="783">
        <f>IF('Incremental Repayments'!$R$22="Debt",IF(AND(BA$4&gt;=$D94,BA$4&lt;$D94+'Incremental Repayments'!$I$31),-PMT('Interest Rate'!$J$16,'Incremental Repayments'!$I$31,(HLOOKUP($D94,$E$4:$CZ$32,28,FALSE)*'Incremental Repayments'!$I$22)),0),0)</f>
        <v>0</v>
      </c>
      <c r="BB94" s="783">
        <f>IF('Incremental Repayments'!$R$22="Debt",IF(AND(BB$4&gt;=$D94,BB$4&lt;$D94+'Incremental Repayments'!$I$31),-PMT('Interest Rate'!$J$16,'Incremental Repayments'!$I$31,(HLOOKUP($D94,$E$4:$CZ$32,28,FALSE)*'Incremental Repayments'!$I$22)),0),0)</f>
        <v>0</v>
      </c>
      <c r="BC94" s="783">
        <f>IF('Incremental Repayments'!$R$22="Debt",IF(AND(BC$4&gt;=$D94,BC$4&lt;$D94+'Incremental Repayments'!$I$31),-PMT('Interest Rate'!$J$16,'Incremental Repayments'!$I$31,(HLOOKUP($D94,$E$4:$CZ$32,28,FALSE)*'Incremental Repayments'!$I$22)),0),0)</f>
        <v>0</v>
      </c>
      <c r="BD94" s="783">
        <f>IF('Incremental Repayments'!$R$22="Debt",IF(AND(BD$4&gt;=$D94,BD$4&lt;$D94+'Incremental Repayments'!$I$31),-PMT('Interest Rate'!$J$16,'Incremental Repayments'!$I$31,(HLOOKUP($D94,$E$4:$CZ$32,28,FALSE)*'Incremental Repayments'!$I$22)),0),0)</f>
        <v>0</v>
      </c>
      <c r="BE94" s="783">
        <f>IF('Incremental Repayments'!$R$22="Debt",IF(AND(BE$4&gt;=$D94,BE$4&lt;$D94+'Incremental Repayments'!$I$31),-PMT('Interest Rate'!$J$16,'Incremental Repayments'!$I$31,(HLOOKUP($D94,$E$4:$CZ$32,28,FALSE)*'Incremental Repayments'!$I$22)),0),0)</f>
        <v>0</v>
      </c>
      <c r="BF94" s="783">
        <f>IF('Incremental Repayments'!$R$22="Debt",IF(AND(BF$4&gt;=$D94,BF$4&lt;$D94+'Incremental Repayments'!$I$31),-PMT('Interest Rate'!$J$16,'Incremental Repayments'!$I$31,(HLOOKUP($D94,$E$4:$CZ$32,28,FALSE)*'Incremental Repayments'!$I$22)),0),0)</f>
        <v>0</v>
      </c>
      <c r="BG94" s="783">
        <f>IF('Incremental Repayments'!$R$22="Debt",IF(AND(BG$4&gt;=$D94,BG$4&lt;$D94+'Incremental Repayments'!$I$31),-PMT('Interest Rate'!$J$16,'Incremental Repayments'!$I$31,(HLOOKUP($D94,$E$4:$CZ$32,28,FALSE)*'Incremental Repayments'!$I$22)),0),0)</f>
        <v>0</v>
      </c>
      <c r="BH94" s="783">
        <f>IF('Incremental Repayments'!$R$22="Debt",IF(AND(BH$4&gt;=$D94,BH$4&lt;$D94+'Incremental Repayments'!$I$31),-PMT('Interest Rate'!$J$16,'Incremental Repayments'!$I$31,(HLOOKUP($D94,$E$4:$CZ$32,28,FALSE)*'Incremental Repayments'!$I$22)),0),0)</f>
        <v>0</v>
      </c>
      <c r="BI94" s="783">
        <f>IF('Incremental Repayments'!$R$22="Debt",IF(AND(BI$4&gt;=$D94,BI$4&lt;$D94+'Incremental Repayments'!$I$31),-PMT('Interest Rate'!$J$16,'Incremental Repayments'!$I$31,(HLOOKUP($D94,$E$4:$CZ$32,28,FALSE)*'Incremental Repayments'!$I$22)),0),0)</f>
        <v>0</v>
      </c>
      <c r="BJ94" s="783">
        <f>IF('Incremental Repayments'!$R$22="Debt",IF(AND(BJ$4&gt;=$D94,BJ$4&lt;$D94+'Incremental Repayments'!$I$31),-PMT('Interest Rate'!$J$16,'Incremental Repayments'!$I$31,(HLOOKUP($D94,$E$4:$CZ$32,28,FALSE)*'Incremental Repayments'!$I$22)),0),0)</f>
        <v>0</v>
      </c>
      <c r="BK94" s="783">
        <f>IF('Incremental Repayments'!$R$22="Debt",IF(AND(BK$4&gt;=$D94,BK$4&lt;$D94+'Incremental Repayments'!$I$31),-PMT('Interest Rate'!$J$16,'Incremental Repayments'!$I$31,(HLOOKUP($D94,$E$4:$CZ$32,28,FALSE)*'Incremental Repayments'!$I$22)),0),0)</f>
        <v>0</v>
      </c>
      <c r="BL94" s="783">
        <f>IF('Incremental Repayments'!$R$22="Debt",IF(AND(BL$4&gt;=$D94,BL$4&lt;$D94+'Incremental Repayments'!$I$31),-PMT('Interest Rate'!$J$16,'Incremental Repayments'!$I$31,(HLOOKUP($D94,$E$4:$CZ$32,28,FALSE)*'Incremental Repayments'!$I$22)),0),0)</f>
        <v>0</v>
      </c>
      <c r="BM94" s="783">
        <f>IF('Incremental Repayments'!$R$22="Debt",IF(AND(BM$4&gt;=$D94,BM$4&lt;$D94+'Incremental Repayments'!$I$31),-PMT('Interest Rate'!$J$16,'Incremental Repayments'!$I$31,(HLOOKUP($D94,$E$4:$CZ$32,28,FALSE)*'Incremental Repayments'!$I$22)),0),0)</f>
        <v>0</v>
      </c>
      <c r="BN94" s="783">
        <f>IF('Incremental Repayments'!$R$22="Debt",IF(AND(BN$4&gt;=$D94,BN$4&lt;$D94+'Incremental Repayments'!$I$31),-PMT('Interest Rate'!$J$16,'Incremental Repayments'!$I$31,(HLOOKUP($D94,$E$4:$CZ$32,28,FALSE)*'Incremental Repayments'!$I$22)),0),0)</f>
        <v>0</v>
      </c>
      <c r="BO94" s="783">
        <f>IF('Incremental Repayments'!$R$22="Debt",IF(AND(BO$4&gt;=$D94,BO$4&lt;$D94+'Incremental Repayments'!$I$31),-PMT('Interest Rate'!$J$16,'Incremental Repayments'!$I$31,(HLOOKUP($D94,$E$4:$CZ$32,28,FALSE)*'Incremental Repayments'!$I$22)),0),0)</f>
        <v>0</v>
      </c>
      <c r="BP94" s="783">
        <f>IF('Incremental Repayments'!$R$22="Debt",IF(AND(BP$4&gt;=$D94,BP$4&lt;$D94+'Incremental Repayments'!$I$31),-PMT('Interest Rate'!$J$16,'Incremental Repayments'!$I$31,(HLOOKUP($D94,$E$4:$CZ$32,28,FALSE)*'Incremental Repayments'!$I$22)),0),0)</f>
        <v>0</v>
      </c>
      <c r="BQ94" s="783">
        <f>IF('Incremental Repayments'!$R$22="Debt",IF(AND(BQ$4&gt;=$D94,BQ$4&lt;$D94+'Incremental Repayments'!$I$31),-PMT('Interest Rate'!$J$16,'Incremental Repayments'!$I$31,(HLOOKUP($D94,$E$4:$CZ$32,28,FALSE)*'Incremental Repayments'!$I$22)),0),0)</f>
        <v>0</v>
      </c>
      <c r="BR94" s="783">
        <f>IF('Incremental Repayments'!$R$22="Debt",IF(AND(BR$4&gt;=$D94,BR$4&lt;$D94+'Incremental Repayments'!$I$31),-PMT('Interest Rate'!$J$16,'Incremental Repayments'!$I$31,(HLOOKUP($D94,$E$4:$CZ$32,28,FALSE)*'Incremental Repayments'!$I$22)),0),0)</f>
        <v>0</v>
      </c>
      <c r="BS94" s="783">
        <f>IF('Incremental Repayments'!$R$22="Debt",IF(AND(BS$4&gt;=$D94,BS$4&lt;$D94+'Incremental Repayments'!$I$31),-PMT('Interest Rate'!$J$16,'Incremental Repayments'!$I$31,(HLOOKUP($D94,$E$4:$CZ$32,28,FALSE)*'Incremental Repayments'!$I$22)),0),0)</f>
        <v>0</v>
      </c>
      <c r="BT94" s="783">
        <f>IF('Incremental Repayments'!$R$22="Debt",IF(AND(BT$4&gt;=$D94,BT$4&lt;$D94+'Incremental Repayments'!$I$31),-PMT('Interest Rate'!$J$16,'Incremental Repayments'!$I$31,(HLOOKUP($D94,$E$4:$CZ$32,28,FALSE)*'Incremental Repayments'!$I$22)),0),0)</f>
        <v>0</v>
      </c>
      <c r="BU94" s="783">
        <f>IF('Incremental Repayments'!$R$22="Debt",IF(AND(BU$4&gt;=$D94,BU$4&lt;$D94+'Incremental Repayments'!$I$31),-PMT('Interest Rate'!$J$16,'Incremental Repayments'!$I$31,(HLOOKUP($D94,$E$4:$CZ$32,28,FALSE)*'Incremental Repayments'!$I$22)),0),0)</f>
        <v>0</v>
      </c>
      <c r="BV94" s="783">
        <f>IF('Incremental Repayments'!$R$22="Debt",IF(AND(BV$4&gt;=$D94,BV$4&lt;$D94+'Incremental Repayments'!$I$31),-PMT('Interest Rate'!$J$16,'Incremental Repayments'!$I$31,(HLOOKUP($D94,$E$4:$CZ$32,28,FALSE)*'Incremental Repayments'!$I$22)),0),0)</f>
        <v>0</v>
      </c>
      <c r="BW94" s="783">
        <f>IF('Incremental Repayments'!$R$22="Debt",IF(AND(BW$4&gt;=$D94,BW$4&lt;$D94+'Incremental Repayments'!$I$31),-PMT('Interest Rate'!$J$16,'Incremental Repayments'!$I$31,(HLOOKUP($D94,$E$4:$CZ$32,28,FALSE)*'Incremental Repayments'!$I$22)),0),0)</f>
        <v>0</v>
      </c>
      <c r="BX94" s="783">
        <f>IF('Incremental Repayments'!$R$22="Debt",IF(AND(BX$4&gt;=$D94,BX$4&lt;$D94+'Incremental Repayments'!$I$31),-PMT('Interest Rate'!$J$16,'Incremental Repayments'!$I$31,(HLOOKUP($D94,$E$4:$CZ$32,28,FALSE)*'Incremental Repayments'!$I$22)),0),0)</f>
        <v>0</v>
      </c>
      <c r="BY94" s="783">
        <f>IF('Incremental Repayments'!$R$22="Debt",IF(AND(BY$4&gt;=$D94,BY$4&lt;$D94+'Incremental Repayments'!$I$31),-PMT('Interest Rate'!$J$16,'Incremental Repayments'!$I$31,(HLOOKUP($D94,$E$4:$CZ$32,28,FALSE)*'Incremental Repayments'!$I$22)),0),0)</f>
        <v>0</v>
      </c>
      <c r="BZ94" s="783">
        <f>IF('Incremental Repayments'!$R$22="Debt",IF(AND(BZ$4&gt;=$D94,BZ$4&lt;$D94+'Incremental Repayments'!$I$31),-PMT('Interest Rate'!$J$16,'Incremental Repayments'!$I$31,(HLOOKUP($D94,$E$4:$CZ$32,28,FALSE)*'Incremental Repayments'!$I$22)),0),0)</f>
        <v>0</v>
      </c>
      <c r="CA94" s="783">
        <f>IF('Incremental Repayments'!$R$22="Debt",IF(AND(CA$4&gt;=$D94,CA$4&lt;$D94+'Incremental Repayments'!$I$31),-PMT('Interest Rate'!$J$16,'Incremental Repayments'!$I$31,(HLOOKUP($D94,$E$4:$CZ$32,28,FALSE)*'Incremental Repayments'!$I$22)),0),0)</f>
        <v>0</v>
      </c>
      <c r="CB94" s="783">
        <f>IF('Incremental Repayments'!$R$22="Debt",IF(AND(CB$4&gt;=$D94,CB$4&lt;$D94+'Incremental Repayments'!$I$31),-PMT('Interest Rate'!$J$16,'Incremental Repayments'!$I$31,(HLOOKUP($D94,$E$4:$CZ$32,28,FALSE)*'Incremental Repayments'!$I$22)),0),0)</f>
        <v>0</v>
      </c>
      <c r="CC94" s="783">
        <f>IF('Incremental Repayments'!$R$22="Debt",IF(AND(CC$4&gt;=$D94,CC$4&lt;$D94+'Incremental Repayments'!$I$31),-PMT('Interest Rate'!$J$16,'Incremental Repayments'!$I$31,(HLOOKUP($D94,$E$4:$CZ$32,28,FALSE)*'Incremental Repayments'!$I$22)),0),0)</f>
        <v>0</v>
      </c>
      <c r="CD94" s="783">
        <f>IF('Incremental Repayments'!$R$22="Debt",IF(AND(CD$4&gt;=$D94,CD$4&lt;$D94+'Incremental Repayments'!$I$31),-PMT('Interest Rate'!$J$16,'Incremental Repayments'!$I$31,(HLOOKUP($D94,$E$4:$CZ$32,28,FALSE)*'Incremental Repayments'!$I$22)),0),0)</f>
        <v>0</v>
      </c>
      <c r="CE94" s="783">
        <f>IF('Incremental Repayments'!$R$22="Debt",IF(AND(CE$4&gt;=$D94,CE$4&lt;$D94+'Incremental Repayments'!$I$31),-PMT('Interest Rate'!$J$16,'Incremental Repayments'!$I$31,(HLOOKUP($D94,$E$4:$CZ$32,28,FALSE)*'Incremental Repayments'!$I$22)),0),0)</f>
        <v>0</v>
      </c>
      <c r="CF94" s="783">
        <f>IF('Incremental Repayments'!$R$22="Debt",IF(AND(CF$4&gt;=$D94,CF$4&lt;$D94+'Incremental Repayments'!$I$31),-PMT('Interest Rate'!$J$16,'Incremental Repayments'!$I$31,(HLOOKUP($D94,$E$4:$CZ$32,28,FALSE)*'Incremental Repayments'!$I$22)),0),0)</f>
        <v>0</v>
      </c>
      <c r="CG94" s="783">
        <f>IF('Incremental Repayments'!$R$22="Debt",IF(AND(CG$4&gt;=$D94,CG$4&lt;$D94+'Incremental Repayments'!$I$31),-PMT('Interest Rate'!$J$16,'Incremental Repayments'!$I$31,(HLOOKUP($D94,$E$4:$CZ$32,28,FALSE)*'Incremental Repayments'!$I$22)),0),0)</f>
        <v>0</v>
      </c>
      <c r="CH94" s="783">
        <f>IF('Incremental Repayments'!$R$22="Debt",IF(AND(CH$4&gt;=$D94,CH$4&lt;$D94+'Incremental Repayments'!$I$31),-PMT('Interest Rate'!$J$16,'Incremental Repayments'!$I$31,(HLOOKUP($D94,$E$4:$CZ$32,28,FALSE)*'Incremental Repayments'!$I$22)),0),0)</f>
        <v>0</v>
      </c>
      <c r="CI94" s="783">
        <f>IF('Incremental Repayments'!$R$22="Debt",IF(AND(CI$4&gt;=$D94,CI$4&lt;$D94+'Incremental Repayments'!$I$31),-PMT('Interest Rate'!$J$16,'Incremental Repayments'!$I$31,(HLOOKUP($D94,$E$4:$CZ$32,28,FALSE)*'Incremental Repayments'!$I$22)),0),0)</f>
        <v>0</v>
      </c>
      <c r="CJ94" s="783">
        <f>IF('Incremental Repayments'!$R$22="Debt",IF(AND(CJ$4&gt;=$D94,CJ$4&lt;$D94+'Incremental Repayments'!$I$31),-PMT('Interest Rate'!$J$16,'Incremental Repayments'!$I$31,(HLOOKUP($D94,$E$4:$CZ$32,28,FALSE)*'Incremental Repayments'!$I$22)),0),0)</f>
        <v>0</v>
      </c>
      <c r="CK94" s="783">
        <f>IF('Incremental Repayments'!$R$22="Debt",IF(AND(CK$4&gt;=$D94,CK$4&lt;$D94+'Incremental Repayments'!$I$31),-PMT('Interest Rate'!$J$16,'Incremental Repayments'!$I$31,(HLOOKUP($D94,$E$4:$CZ$32,28,FALSE)*'Incremental Repayments'!$I$22)),0),0)</f>
        <v>0</v>
      </c>
      <c r="CL94" s="783">
        <f>IF('Incremental Repayments'!$R$22="Debt",IF(AND(CL$4&gt;=$D94,CL$4&lt;$D94+'Incremental Repayments'!$I$31),-PMT('Interest Rate'!$J$16,'Incremental Repayments'!$I$31,(HLOOKUP($D94,$E$4:$CZ$32,28,FALSE)*'Incremental Repayments'!$I$22)),0),0)</f>
        <v>0</v>
      </c>
      <c r="CM94" s="783">
        <f>IF('Incremental Repayments'!$R$22="Debt",IF(AND(CM$4&gt;=$D94,CM$4&lt;$D94+'Incremental Repayments'!$I$31),-PMT('Interest Rate'!$J$16,'Incremental Repayments'!$I$31,(HLOOKUP($D94,$E$4:$CZ$32,28,FALSE)*'Incremental Repayments'!$I$22)),0),0)</f>
        <v>0</v>
      </c>
      <c r="CN94" s="783">
        <f>IF('Incremental Repayments'!$R$22="Debt",IF(AND(CN$4&gt;=$D94,CN$4&lt;$D94+'Incremental Repayments'!$I$31),-PMT('Interest Rate'!$J$16,'Incremental Repayments'!$I$31,(HLOOKUP($D94,$E$4:$CZ$32,28,FALSE)*'Incremental Repayments'!$I$22)),0),0)</f>
        <v>0</v>
      </c>
      <c r="CO94" s="783">
        <f>IF('Incremental Repayments'!$R$22="Debt",IF(AND(CO$4&gt;=$D94,CO$4&lt;$D94+'Incremental Repayments'!$I$31),-PMT('Interest Rate'!$J$16,'Incremental Repayments'!$I$31,(HLOOKUP($D94,$E$4:$CZ$32,28,FALSE)*'Incremental Repayments'!$I$22)),0),0)</f>
        <v>0</v>
      </c>
      <c r="CP94" s="783">
        <f>IF('Incremental Repayments'!$R$22="Debt",IF(AND(CP$4&gt;=$D94,CP$4&lt;$D94+'Incremental Repayments'!$I$31),-PMT('Interest Rate'!$J$16,'Incremental Repayments'!$I$31,(HLOOKUP($D94,$E$4:$CZ$32,28,FALSE)*'Incremental Repayments'!$I$22)),0),0)</f>
        <v>0</v>
      </c>
      <c r="CQ94" s="783">
        <f>IF('Incremental Repayments'!$R$22="Debt",IF(AND(CQ$4&gt;=$D94,CQ$4&lt;$D94+'Incremental Repayments'!$I$31),-PMT('Interest Rate'!$J$16,'Incremental Repayments'!$I$31,(HLOOKUP($D94,$E$4:$CZ$32,28,FALSE)*'Incremental Repayments'!$I$22)),0),0)</f>
        <v>0</v>
      </c>
      <c r="CR94" s="783">
        <f>IF('Incremental Repayments'!$R$22="Debt",IF(AND(CR$4&gt;=$D94,CR$4&lt;$D94+'Incremental Repayments'!$I$31),-PMT('Interest Rate'!$J$16,'Incremental Repayments'!$I$31,(HLOOKUP($D94,$E$4:$CZ$32,28,FALSE)*'Incremental Repayments'!$I$22)),0),0)</f>
        <v>0</v>
      </c>
      <c r="CS94" s="783">
        <f>IF('Incremental Repayments'!$R$22="Debt",IF(AND(CS$4&gt;=$D94,CS$4&lt;$D94+'Incremental Repayments'!$I$31),-PMT('Interest Rate'!$J$16,'Incremental Repayments'!$I$31,(HLOOKUP($D94,$E$4:$CZ$32,28,FALSE)*'Incremental Repayments'!$I$22)),0),0)</f>
        <v>0</v>
      </c>
      <c r="CT94" s="783">
        <f>IF('Incremental Repayments'!$R$22="Debt",IF(AND(CT$4&gt;=$D94,CT$4&lt;$D94+'Incremental Repayments'!$I$31),-PMT('Interest Rate'!$J$16,'Incremental Repayments'!$I$31,(HLOOKUP($D94,$E$4:$CZ$32,28,FALSE)*'Incremental Repayments'!$I$22)),0),0)</f>
        <v>0</v>
      </c>
      <c r="CU94" s="783">
        <f>IF('Incremental Repayments'!$R$22="Debt",IF(AND(CU$4&gt;=$D94,CU$4&lt;$D94+'Incremental Repayments'!$I$31),-PMT('Interest Rate'!$J$16,'Incremental Repayments'!$I$31,(HLOOKUP($D94,$E$4:$CZ$32,28,FALSE)*'Incremental Repayments'!$I$22)),0),0)</f>
        <v>0</v>
      </c>
      <c r="CV94" s="783">
        <f>IF('Incremental Repayments'!$R$22="Debt",IF(AND(CV$4&gt;=$D94,CV$4&lt;$D94+'Incremental Repayments'!$I$31),-PMT('Interest Rate'!$J$16,'Incremental Repayments'!$I$31,(HLOOKUP($D94,$E$4:$CZ$32,28,FALSE)*'Incremental Repayments'!$I$22)),0),0)</f>
        <v>0</v>
      </c>
      <c r="CW94" s="783">
        <f>IF('Incremental Repayments'!$R$22="Debt",IF(AND(CW$4&gt;=$D94,CW$4&lt;$D94+'Incremental Repayments'!$I$31),-PMT('Interest Rate'!$J$16,'Incremental Repayments'!$I$31,(HLOOKUP($D94,$E$4:$CZ$32,28,FALSE)*'Incremental Repayments'!$I$22)),0),0)</f>
        <v>0</v>
      </c>
      <c r="CX94" s="783">
        <f>IF('Incremental Repayments'!$R$22="Debt",IF(AND(CX$4&gt;=$D94,CX$4&lt;$D94+'Incremental Repayments'!$I$31),-PMT('Interest Rate'!$J$16,'Incremental Repayments'!$I$31,(HLOOKUP($D94,$E$4:$CZ$32,28,FALSE)*'Incremental Repayments'!$I$22)),0),0)</f>
        <v>0</v>
      </c>
      <c r="CY94" s="783">
        <f>IF('Incremental Repayments'!$R$22="Debt",IF(AND(CY$4&gt;=$D94,CY$4&lt;$D94+'Incremental Repayments'!$I$31),-PMT('Interest Rate'!$J$16,'Incremental Repayments'!$I$31,(HLOOKUP($D94,$E$4:$CZ$32,28,FALSE)*'Incremental Repayments'!$I$22)),0),0)</f>
        <v>0</v>
      </c>
      <c r="CZ94" s="783">
        <f>IF('Incremental Repayments'!$R$22="Debt",IF(AND(CZ$4&gt;=$D94,CZ$4&lt;$D94+'Incremental Repayments'!$I$31),-PMT('Interest Rate'!$J$16,'Incremental Repayments'!$I$31,(HLOOKUP($D94,$E$4:$CZ$32,28,FALSE)*'Incremental Repayments'!$I$22)),0),0)</f>
        <v>0</v>
      </c>
    </row>
    <row r="95" spans="2:104" x14ac:dyDescent="0.25">
      <c r="B95" s="480" t="str">
        <f>CONCATENATE("Series ",D95,"A Bonds (at ",'Interest Rate'!$J$16*100,"% Interest)")</f>
        <v>Series 2073A Bonds (at 4.5% Interest)</v>
      </c>
      <c r="C95" s="480"/>
      <c r="D95" s="492">
        <f t="shared" si="47"/>
        <v>2073</v>
      </c>
      <c r="E95" s="783">
        <f>IF('Incremental Repayments'!$R$22="Debt",IF(AND(E$4&gt;=$D95,E$4&lt;$D95+'Incremental Repayments'!$I$31),-PMT('Interest Rate'!$J$16,'Incremental Repayments'!$I$31,(HLOOKUP($D95,$E$4:$CZ$32,28,FALSE)*'Incremental Repayments'!$I$22)),0),0)</f>
        <v>0</v>
      </c>
      <c r="F95" s="783">
        <f>IF('Incremental Repayments'!$R$22="Debt",IF(AND(F$4&gt;=$D95,F$4&lt;$D95+'Incremental Repayments'!$I$31),-PMT('Interest Rate'!$J$16,'Incremental Repayments'!$I$31,(HLOOKUP($D95,$E$4:$CZ$32,28,FALSE)*'Incremental Repayments'!$I$22)),0),0)</f>
        <v>0</v>
      </c>
      <c r="G95" s="783">
        <f>IF('Incremental Repayments'!$R$22="Debt",IF(AND(G$4&gt;=$D95,G$4&lt;$D95+'Incremental Repayments'!$I$31),-PMT('Interest Rate'!$J$16,'Incremental Repayments'!$I$31,(HLOOKUP($D95,$E$4:$CZ$32,28,FALSE)*'Incremental Repayments'!$I$22)),0),0)</f>
        <v>0</v>
      </c>
      <c r="H95" s="783">
        <f>IF('Incremental Repayments'!$R$22="Debt",IF(AND(H$4&gt;=$D95,H$4&lt;$D95+'Incremental Repayments'!$I$31),-PMT('Interest Rate'!$J$16,'Incremental Repayments'!$I$31,(HLOOKUP($D95,$E$4:$CZ$32,28,FALSE)*'Incremental Repayments'!$I$22)),0),0)</f>
        <v>0</v>
      </c>
      <c r="I95" s="783">
        <f>IF('Incremental Repayments'!$R$22="Debt",IF(AND(I$4&gt;=$D95,I$4&lt;$D95+'Incremental Repayments'!$I$31),-PMT('Interest Rate'!$J$16,'Incremental Repayments'!$I$31,(HLOOKUP($D95,$E$4:$CZ$32,28,FALSE)*'Incremental Repayments'!$I$22)),0),0)</f>
        <v>0</v>
      </c>
      <c r="J95" s="783">
        <f>IF('Incremental Repayments'!$R$22="Debt",IF(AND(J$4&gt;=$D95,J$4&lt;$D95+'Incremental Repayments'!$I$31),-PMT('Interest Rate'!$J$16,'Incremental Repayments'!$I$31,(HLOOKUP($D95,$E$4:$CZ$32,28,FALSE)*'Incremental Repayments'!$I$22)),0),0)</f>
        <v>0</v>
      </c>
      <c r="K95" s="783">
        <f>IF('Incremental Repayments'!$R$22="Debt",IF(AND(K$4&gt;=$D95,K$4&lt;$D95+'Incremental Repayments'!$I$31),-PMT('Interest Rate'!$J$16,'Incremental Repayments'!$I$31,(HLOOKUP($D95,$E$4:$CZ$32,28,FALSE)*'Incremental Repayments'!$I$22)),0),0)</f>
        <v>0</v>
      </c>
      <c r="L95" s="783">
        <f>IF('Incremental Repayments'!$R$22="Debt",IF(AND(L$4&gt;=$D95,L$4&lt;$D95+'Incremental Repayments'!$I$31),-PMT('Interest Rate'!$J$16,'Incremental Repayments'!$I$31,(HLOOKUP($D95,$E$4:$CZ$32,28,FALSE)*'Incremental Repayments'!$I$22)),0),0)</f>
        <v>0</v>
      </c>
      <c r="M95" s="783">
        <f>IF('Incremental Repayments'!$R$22="Debt",IF(AND(M$4&gt;=$D95,M$4&lt;$D95+'Incremental Repayments'!$I$31),-PMT('Interest Rate'!$J$16,'Incremental Repayments'!$I$31,(HLOOKUP($D95,$E$4:$CZ$32,28,FALSE)*'Incremental Repayments'!$I$22)),0),0)</f>
        <v>0</v>
      </c>
      <c r="N95" s="783">
        <f>IF('Incremental Repayments'!$R$22="Debt",IF(AND(N$4&gt;=$D95,N$4&lt;$D95+'Incremental Repayments'!$I$31),-PMT('Interest Rate'!$J$16,'Incremental Repayments'!$I$31,(HLOOKUP($D95,$E$4:$CZ$32,28,FALSE)*'Incremental Repayments'!$I$22)),0),0)</f>
        <v>0</v>
      </c>
      <c r="O95" s="783">
        <f>IF('Incremental Repayments'!$R$22="Debt",IF(AND(O$4&gt;=$D95,O$4&lt;$D95+'Incremental Repayments'!$I$31),-PMT('Interest Rate'!$J$16,'Incremental Repayments'!$I$31,(HLOOKUP($D95,$E$4:$CZ$32,28,FALSE)*'Incremental Repayments'!$I$22)),0),0)</f>
        <v>0</v>
      </c>
      <c r="P95" s="783">
        <f>IF('Incremental Repayments'!$R$22="Debt",IF(AND(P$4&gt;=$D95,P$4&lt;$D95+'Incremental Repayments'!$I$31),-PMT('Interest Rate'!$J$16,'Incremental Repayments'!$I$31,(HLOOKUP($D95,$E$4:$CZ$32,28,FALSE)*'Incremental Repayments'!$I$22)),0),0)</f>
        <v>0</v>
      </c>
      <c r="Q95" s="783">
        <f>IF('Incremental Repayments'!$R$22="Debt",IF(AND(Q$4&gt;=$D95,Q$4&lt;$D95+'Incremental Repayments'!$I$31),-PMT('Interest Rate'!$J$16,'Incremental Repayments'!$I$31,(HLOOKUP($D95,$E$4:$CZ$32,28,FALSE)*'Incremental Repayments'!$I$22)),0),0)</f>
        <v>0</v>
      </c>
      <c r="R95" s="783">
        <f>IF('Incremental Repayments'!$R$22="Debt",IF(AND(R$4&gt;=$D95,R$4&lt;$D95+'Incremental Repayments'!$I$31),-PMT('Interest Rate'!$J$16,'Incremental Repayments'!$I$31,(HLOOKUP($D95,$E$4:$CZ$32,28,FALSE)*'Incremental Repayments'!$I$22)),0),0)</f>
        <v>0</v>
      </c>
      <c r="S95" s="783">
        <f>IF('Incremental Repayments'!$R$22="Debt",IF(AND(S$4&gt;=$D95,S$4&lt;$D95+'Incremental Repayments'!$I$31),-PMT('Interest Rate'!$J$16,'Incremental Repayments'!$I$31,(HLOOKUP($D95,$E$4:$CZ$32,28,FALSE)*'Incremental Repayments'!$I$22)),0),0)</f>
        <v>0</v>
      </c>
      <c r="T95" s="783">
        <f>IF('Incremental Repayments'!$R$22="Debt",IF(AND(T$4&gt;=$D95,T$4&lt;$D95+'Incremental Repayments'!$I$31),-PMT('Interest Rate'!$J$16,'Incremental Repayments'!$I$31,(HLOOKUP($D95,$E$4:$CZ$32,28,FALSE)*'Incremental Repayments'!$I$22)),0),0)</f>
        <v>0</v>
      </c>
      <c r="U95" s="783">
        <f>IF('Incremental Repayments'!$R$22="Debt",IF(AND(U$4&gt;=$D95,U$4&lt;$D95+'Incremental Repayments'!$I$31),-PMT('Interest Rate'!$J$16,'Incremental Repayments'!$I$31,(HLOOKUP($D95,$E$4:$CZ$32,28,FALSE)*'Incremental Repayments'!$I$22)),0),0)</f>
        <v>0</v>
      </c>
      <c r="V95" s="783">
        <f>IF('Incremental Repayments'!$R$22="Debt",IF(AND(V$4&gt;=$D95,V$4&lt;$D95+'Incremental Repayments'!$I$31),-PMT('Interest Rate'!$J$16,'Incremental Repayments'!$I$31,(HLOOKUP($D95,$E$4:$CZ$32,28,FALSE)*'Incremental Repayments'!$I$22)),0),0)</f>
        <v>0</v>
      </c>
      <c r="W95" s="783">
        <f>IF('Incremental Repayments'!$R$22="Debt",IF(AND(W$4&gt;=$D95,W$4&lt;$D95+'Incremental Repayments'!$I$31),-PMT('Interest Rate'!$J$16,'Incremental Repayments'!$I$31,(HLOOKUP($D95,$E$4:$CZ$32,28,FALSE)*'Incremental Repayments'!$I$22)),0),0)</f>
        <v>0</v>
      </c>
      <c r="X95" s="783">
        <f>IF('Incremental Repayments'!$R$22="Debt",IF(AND(X$4&gt;=$D95,X$4&lt;$D95+'Incremental Repayments'!$I$31),-PMT('Interest Rate'!$J$16,'Incremental Repayments'!$I$31,(HLOOKUP($D95,$E$4:$CZ$32,28,FALSE)*'Incremental Repayments'!$I$22)),0),0)</f>
        <v>0</v>
      </c>
      <c r="Y95" s="783">
        <f>IF('Incremental Repayments'!$R$22="Debt",IF(AND(Y$4&gt;=$D95,Y$4&lt;$D95+'Incremental Repayments'!$I$31),-PMT('Interest Rate'!$J$16,'Incremental Repayments'!$I$31,(HLOOKUP($D95,$E$4:$CZ$32,28,FALSE)*'Incremental Repayments'!$I$22)),0),0)</f>
        <v>0</v>
      </c>
      <c r="Z95" s="783">
        <f>IF('Incremental Repayments'!$R$22="Debt",IF(AND(Z$4&gt;=$D95,Z$4&lt;$D95+'Incremental Repayments'!$I$31),-PMT('Interest Rate'!$J$16,'Incremental Repayments'!$I$31,(HLOOKUP($D95,$E$4:$CZ$32,28,FALSE)*'Incremental Repayments'!$I$22)),0),0)</f>
        <v>0</v>
      </c>
      <c r="AA95" s="783">
        <f>IF('Incremental Repayments'!$R$22="Debt",IF(AND(AA$4&gt;=$D95,AA$4&lt;$D95+'Incremental Repayments'!$I$31),-PMT('Interest Rate'!$J$16,'Incremental Repayments'!$I$31,(HLOOKUP($D95,$E$4:$CZ$32,28,FALSE)*'Incremental Repayments'!$I$22)),0),0)</f>
        <v>0</v>
      </c>
      <c r="AB95" s="783">
        <f>IF('Incremental Repayments'!$R$22="Debt",IF(AND(AB$4&gt;=$D95,AB$4&lt;$D95+'Incremental Repayments'!$I$31),-PMT('Interest Rate'!$J$16,'Incremental Repayments'!$I$31,(HLOOKUP($D95,$E$4:$CZ$32,28,FALSE)*'Incremental Repayments'!$I$22)),0),0)</f>
        <v>0</v>
      </c>
      <c r="AC95" s="783">
        <f>IF('Incremental Repayments'!$R$22="Debt",IF(AND(AC$4&gt;=$D95,AC$4&lt;$D95+'Incremental Repayments'!$I$31),-PMT('Interest Rate'!$J$16,'Incremental Repayments'!$I$31,(HLOOKUP($D95,$E$4:$CZ$32,28,FALSE)*'Incremental Repayments'!$I$22)),0),0)</f>
        <v>0</v>
      </c>
      <c r="AD95" s="783">
        <f>IF('Incremental Repayments'!$R$22="Debt",IF(AND(AD$4&gt;=$D95,AD$4&lt;$D95+'Incremental Repayments'!$I$31),-PMT('Interest Rate'!$J$16,'Incremental Repayments'!$I$31,(HLOOKUP($D95,$E$4:$CZ$32,28,FALSE)*'Incremental Repayments'!$I$22)),0),0)</f>
        <v>0</v>
      </c>
      <c r="AE95" s="783">
        <f>IF('Incremental Repayments'!$R$22="Debt",IF(AND(AE$4&gt;=$D95,AE$4&lt;$D95+'Incremental Repayments'!$I$31),-PMT('Interest Rate'!$J$16,'Incremental Repayments'!$I$31,(HLOOKUP($D95,$E$4:$CZ$32,28,FALSE)*'Incremental Repayments'!$I$22)),0),0)</f>
        <v>0</v>
      </c>
      <c r="AF95" s="783">
        <f>IF('Incremental Repayments'!$R$22="Debt",IF(AND(AF$4&gt;=$D95,AF$4&lt;$D95+'Incremental Repayments'!$I$31),-PMT('Interest Rate'!$J$16,'Incremental Repayments'!$I$31,(HLOOKUP($D95,$E$4:$CZ$32,28,FALSE)*'Incremental Repayments'!$I$22)),0),0)</f>
        <v>0</v>
      </c>
      <c r="AG95" s="783">
        <f>IF('Incremental Repayments'!$R$22="Debt",IF(AND(AG$4&gt;=$D95,AG$4&lt;$D95+'Incremental Repayments'!$I$31),-PMT('Interest Rate'!$J$16,'Incremental Repayments'!$I$31,(HLOOKUP($D95,$E$4:$CZ$32,28,FALSE)*'Incremental Repayments'!$I$22)),0),0)</f>
        <v>0</v>
      </c>
      <c r="AH95" s="783">
        <f>IF('Incremental Repayments'!$R$22="Debt",IF(AND(AH$4&gt;=$D95,AH$4&lt;$D95+'Incremental Repayments'!$I$31),-PMT('Interest Rate'!$J$16,'Incremental Repayments'!$I$31,(HLOOKUP($D95,$E$4:$CZ$32,28,FALSE)*'Incremental Repayments'!$I$22)),0),0)</f>
        <v>0</v>
      </c>
      <c r="AI95" s="783">
        <f>IF('Incremental Repayments'!$R$22="Debt",IF(AND(AI$4&gt;=$D95,AI$4&lt;$D95+'Incremental Repayments'!$I$31),-PMT('Interest Rate'!$J$16,'Incremental Repayments'!$I$31,(HLOOKUP($D95,$E$4:$CZ$32,28,FALSE)*'Incremental Repayments'!$I$22)),0),0)</f>
        <v>0</v>
      </c>
      <c r="AJ95" s="783">
        <f>IF('Incremental Repayments'!$R$22="Debt",IF(AND(AJ$4&gt;=$D95,AJ$4&lt;$D95+'Incremental Repayments'!$I$31),-PMT('Interest Rate'!$J$16,'Incremental Repayments'!$I$31,(HLOOKUP($D95,$E$4:$CZ$32,28,FALSE)*'Incremental Repayments'!$I$22)),0),0)</f>
        <v>0</v>
      </c>
      <c r="AK95" s="783">
        <f>IF('Incremental Repayments'!$R$22="Debt",IF(AND(AK$4&gt;=$D95,AK$4&lt;$D95+'Incremental Repayments'!$I$31),-PMT('Interest Rate'!$J$16,'Incremental Repayments'!$I$31,(HLOOKUP($D95,$E$4:$CZ$32,28,FALSE)*'Incremental Repayments'!$I$22)),0),0)</f>
        <v>0</v>
      </c>
      <c r="AL95" s="783">
        <f>IF('Incremental Repayments'!$R$22="Debt",IF(AND(AL$4&gt;=$D95,AL$4&lt;$D95+'Incremental Repayments'!$I$31),-PMT('Interest Rate'!$J$16,'Incremental Repayments'!$I$31,(HLOOKUP($D95,$E$4:$CZ$32,28,FALSE)*'Incremental Repayments'!$I$22)),0),0)</f>
        <v>0</v>
      </c>
      <c r="AM95" s="783">
        <f>IF('Incremental Repayments'!$R$22="Debt",IF(AND(AM$4&gt;=$D95,AM$4&lt;$D95+'Incremental Repayments'!$I$31),-PMT('Interest Rate'!$J$16,'Incremental Repayments'!$I$31,(HLOOKUP($D95,$E$4:$CZ$32,28,FALSE)*'Incremental Repayments'!$I$22)),0),0)</f>
        <v>0</v>
      </c>
      <c r="AN95" s="783">
        <f>IF('Incremental Repayments'!$R$22="Debt",IF(AND(AN$4&gt;=$D95,AN$4&lt;$D95+'Incremental Repayments'!$I$31),-PMT('Interest Rate'!$J$16,'Incremental Repayments'!$I$31,(HLOOKUP($D95,$E$4:$CZ$32,28,FALSE)*'Incremental Repayments'!$I$22)),0),0)</f>
        <v>0</v>
      </c>
      <c r="AO95" s="783">
        <f>IF('Incremental Repayments'!$R$22="Debt",IF(AND(AO$4&gt;=$D95,AO$4&lt;$D95+'Incremental Repayments'!$I$31),-PMT('Interest Rate'!$J$16,'Incremental Repayments'!$I$31,(HLOOKUP($D95,$E$4:$CZ$32,28,FALSE)*'Incremental Repayments'!$I$22)),0),0)</f>
        <v>0</v>
      </c>
      <c r="AP95" s="783">
        <f>IF('Incremental Repayments'!$R$22="Debt",IF(AND(AP$4&gt;=$D95,AP$4&lt;$D95+'Incremental Repayments'!$I$31),-PMT('Interest Rate'!$J$16,'Incremental Repayments'!$I$31,(HLOOKUP($D95,$E$4:$CZ$32,28,FALSE)*'Incremental Repayments'!$I$22)),0),0)</f>
        <v>0</v>
      </c>
      <c r="AQ95" s="783">
        <f>IF('Incremental Repayments'!$R$22="Debt",IF(AND(AQ$4&gt;=$D95,AQ$4&lt;$D95+'Incremental Repayments'!$I$31),-PMT('Interest Rate'!$J$16,'Incremental Repayments'!$I$31,(HLOOKUP($D95,$E$4:$CZ$32,28,FALSE)*'Incremental Repayments'!$I$22)),0),0)</f>
        <v>0</v>
      </c>
      <c r="AR95" s="783">
        <f>IF('Incremental Repayments'!$R$22="Debt",IF(AND(AR$4&gt;=$D95,AR$4&lt;$D95+'Incremental Repayments'!$I$31),-PMT('Interest Rate'!$J$16,'Incremental Repayments'!$I$31,(HLOOKUP($D95,$E$4:$CZ$32,28,FALSE)*'Incremental Repayments'!$I$22)),0),0)</f>
        <v>0</v>
      </c>
      <c r="AS95" s="783">
        <f>IF('Incremental Repayments'!$R$22="Debt",IF(AND(AS$4&gt;=$D95,AS$4&lt;$D95+'Incremental Repayments'!$I$31),-PMT('Interest Rate'!$J$16,'Incremental Repayments'!$I$31,(HLOOKUP($D95,$E$4:$CZ$32,28,FALSE)*'Incremental Repayments'!$I$22)),0),0)</f>
        <v>0</v>
      </c>
      <c r="AT95" s="783">
        <f>IF('Incremental Repayments'!$R$22="Debt",IF(AND(AT$4&gt;=$D95,AT$4&lt;$D95+'Incremental Repayments'!$I$31),-PMT('Interest Rate'!$J$16,'Incremental Repayments'!$I$31,(HLOOKUP($D95,$E$4:$CZ$32,28,FALSE)*'Incremental Repayments'!$I$22)),0),0)</f>
        <v>0</v>
      </c>
      <c r="AU95" s="783">
        <f>IF('Incremental Repayments'!$R$22="Debt",IF(AND(AU$4&gt;=$D95,AU$4&lt;$D95+'Incremental Repayments'!$I$31),-PMT('Interest Rate'!$J$16,'Incremental Repayments'!$I$31,(HLOOKUP($D95,$E$4:$CZ$32,28,FALSE)*'Incremental Repayments'!$I$22)),0),0)</f>
        <v>0</v>
      </c>
      <c r="AV95" s="783">
        <f>IF('Incremental Repayments'!$R$22="Debt",IF(AND(AV$4&gt;=$D95,AV$4&lt;$D95+'Incremental Repayments'!$I$31),-PMT('Interest Rate'!$J$16,'Incremental Repayments'!$I$31,(HLOOKUP($D95,$E$4:$CZ$32,28,FALSE)*'Incremental Repayments'!$I$22)),0),0)</f>
        <v>0</v>
      </c>
      <c r="AW95" s="783">
        <f>IF('Incremental Repayments'!$R$22="Debt",IF(AND(AW$4&gt;=$D95,AW$4&lt;$D95+'Incremental Repayments'!$I$31),-PMT('Interest Rate'!$J$16,'Incremental Repayments'!$I$31,(HLOOKUP($D95,$E$4:$CZ$32,28,FALSE)*'Incremental Repayments'!$I$22)),0),0)</f>
        <v>0</v>
      </c>
      <c r="AX95" s="783">
        <f>IF('Incremental Repayments'!$R$22="Debt",IF(AND(AX$4&gt;=$D95,AX$4&lt;$D95+'Incremental Repayments'!$I$31),-PMT('Interest Rate'!$J$16,'Incremental Repayments'!$I$31,(HLOOKUP($D95,$E$4:$CZ$32,28,FALSE)*'Incremental Repayments'!$I$22)),0),0)</f>
        <v>0</v>
      </c>
      <c r="AY95" s="783">
        <f>IF('Incremental Repayments'!$R$22="Debt",IF(AND(AY$4&gt;=$D95,AY$4&lt;$D95+'Incremental Repayments'!$I$31),-PMT('Interest Rate'!$J$16,'Incremental Repayments'!$I$31,(HLOOKUP($D95,$E$4:$CZ$32,28,FALSE)*'Incremental Repayments'!$I$22)),0),0)</f>
        <v>0</v>
      </c>
      <c r="AZ95" s="783">
        <f>IF('Incremental Repayments'!$R$22="Debt",IF(AND(AZ$4&gt;=$D95,AZ$4&lt;$D95+'Incremental Repayments'!$I$31),-PMT('Interest Rate'!$J$16,'Incremental Repayments'!$I$31,(HLOOKUP($D95,$E$4:$CZ$32,28,FALSE)*'Incremental Repayments'!$I$22)),0),0)</f>
        <v>0</v>
      </c>
      <c r="BA95" s="783">
        <f>IF('Incremental Repayments'!$R$22="Debt",IF(AND(BA$4&gt;=$D95,BA$4&lt;$D95+'Incremental Repayments'!$I$31),-PMT('Interest Rate'!$J$16,'Incremental Repayments'!$I$31,(HLOOKUP($D95,$E$4:$CZ$32,28,FALSE)*'Incremental Repayments'!$I$22)),0),0)</f>
        <v>0</v>
      </c>
      <c r="BB95" s="783">
        <f>IF('Incremental Repayments'!$R$22="Debt",IF(AND(BB$4&gt;=$D95,BB$4&lt;$D95+'Incremental Repayments'!$I$31),-PMT('Interest Rate'!$J$16,'Incremental Repayments'!$I$31,(HLOOKUP($D95,$E$4:$CZ$32,28,FALSE)*'Incremental Repayments'!$I$22)),0),0)</f>
        <v>0</v>
      </c>
      <c r="BC95" s="783">
        <f>IF('Incremental Repayments'!$R$22="Debt",IF(AND(BC$4&gt;=$D95,BC$4&lt;$D95+'Incremental Repayments'!$I$31),-PMT('Interest Rate'!$J$16,'Incremental Repayments'!$I$31,(HLOOKUP($D95,$E$4:$CZ$32,28,FALSE)*'Incremental Repayments'!$I$22)),0),0)</f>
        <v>0</v>
      </c>
      <c r="BD95" s="783">
        <f>IF('Incremental Repayments'!$R$22="Debt",IF(AND(BD$4&gt;=$D95,BD$4&lt;$D95+'Incremental Repayments'!$I$31),-PMT('Interest Rate'!$J$16,'Incremental Repayments'!$I$31,(HLOOKUP($D95,$E$4:$CZ$32,28,FALSE)*'Incremental Repayments'!$I$22)),0),0)</f>
        <v>0</v>
      </c>
      <c r="BE95" s="783">
        <f>IF('Incremental Repayments'!$R$22="Debt",IF(AND(BE$4&gt;=$D95,BE$4&lt;$D95+'Incremental Repayments'!$I$31),-PMT('Interest Rate'!$J$16,'Incremental Repayments'!$I$31,(HLOOKUP($D95,$E$4:$CZ$32,28,FALSE)*'Incremental Repayments'!$I$22)),0),0)</f>
        <v>0</v>
      </c>
      <c r="BF95" s="783">
        <f>IF('Incremental Repayments'!$R$22="Debt",IF(AND(BF$4&gt;=$D95,BF$4&lt;$D95+'Incremental Repayments'!$I$31),-PMT('Interest Rate'!$J$16,'Incremental Repayments'!$I$31,(HLOOKUP($D95,$E$4:$CZ$32,28,FALSE)*'Incremental Repayments'!$I$22)),0),0)</f>
        <v>0</v>
      </c>
      <c r="BG95" s="783">
        <f>IF('Incremental Repayments'!$R$22="Debt",IF(AND(BG$4&gt;=$D95,BG$4&lt;$D95+'Incremental Repayments'!$I$31),-PMT('Interest Rate'!$J$16,'Incremental Repayments'!$I$31,(HLOOKUP($D95,$E$4:$CZ$32,28,FALSE)*'Incremental Repayments'!$I$22)),0),0)</f>
        <v>0</v>
      </c>
      <c r="BH95" s="783">
        <f>IF('Incremental Repayments'!$R$22="Debt",IF(AND(BH$4&gt;=$D95,BH$4&lt;$D95+'Incremental Repayments'!$I$31),-PMT('Interest Rate'!$J$16,'Incremental Repayments'!$I$31,(HLOOKUP($D95,$E$4:$CZ$32,28,FALSE)*'Incremental Repayments'!$I$22)),0),0)</f>
        <v>0</v>
      </c>
      <c r="BI95" s="783">
        <f>IF('Incremental Repayments'!$R$22="Debt",IF(AND(BI$4&gt;=$D95,BI$4&lt;$D95+'Incremental Repayments'!$I$31),-PMT('Interest Rate'!$J$16,'Incremental Repayments'!$I$31,(HLOOKUP($D95,$E$4:$CZ$32,28,FALSE)*'Incremental Repayments'!$I$22)),0),0)</f>
        <v>0</v>
      </c>
      <c r="BJ95" s="783">
        <f>IF('Incremental Repayments'!$R$22="Debt",IF(AND(BJ$4&gt;=$D95,BJ$4&lt;$D95+'Incremental Repayments'!$I$31),-PMT('Interest Rate'!$J$16,'Incremental Repayments'!$I$31,(HLOOKUP($D95,$E$4:$CZ$32,28,FALSE)*'Incremental Repayments'!$I$22)),0),0)</f>
        <v>0</v>
      </c>
      <c r="BK95" s="783">
        <f>IF('Incremental Repayments'!$R$22="Debt",IF(AND(BK$4&gt;=$D95,BK$4&lt;$D95+'Incremental Repayments'!$I$31),-PMT('Interest Rate'!$J$16,'Incremental Repayments'!$I$31,(HLOOKUP($D95,$E$4:$CZ$32,28,FALSE)*'Incremental Repayments'!$I$22)),0),0)</f>
        <v>0</v>
      </c>
      <c r="BL95" s="783">
        <f>IF('Incremental Repayments'!$R$22="Debt",IF(AND(BL$4&gt;=$D95,BL$4&lt;$D95+'Incremental Repayments'!$I$31),-PMT('Interest Rate'!$J$16,'Incremental Repayments'!$I$31,(HLOOKUP($D95,$E$4:$CZ$32,28,FALSE)*'Incremental Repayments'!$I$22)),0),0)</f>
        <v>0</v>
      </c>
      <c r="BM95" s="783">
        <f>IF('Incremental Repayments'!$R$22="Debt",IF(AND(BM$4&gt;=$D95,BM$4&lt;$D95+'Incremental Repayments'!$I$31),-PMT('Interest Rate'!$J$16,'Incremental Repayments'!$I$31,(HLOOKUP($D95,$E$4:$CZ$32,28,FALSE)*'Incremental Repayments'!$I$22)),0),0)</f>
        <v>0</v>
      </c>
      <c r="BN95" s="783">
        <f>IF('Incremental Repayments'!$R$22="Debt",IF(AND(BN$4&gt;=$D95,BN$4&lt;$D95+'Incremental Repayments'!$I$31),-PMT('Interest Rate'!$J$16,'Incremental Repayments'!$I$31,(HLOOKUP($D95,$E$4:$CZ$32,28,FALSE)*'Incremental Repayments'!$I$22)),0),0)</f>
        <v>0</v>
      </c>
      <c r="BO95" s="783">
        <f>IF('Incremental Repayments'!$R$22="Debt",IF(AND(BO$4&gt;=$D95,BO$4&lt;$D95+'Incremental Repayments'!$I$31),-PMT('Interest Rate'!$J$16,'Incremental Repayments'!$I$31,(HLOOKUP($D95,$E$4:$CZ$32,28,FALSE)*'Incremental Repayments'!$I$22)),0),0)</f>
        <v>0</v>
      </c>
      <c r="BP95" s="783">
        <f>IF('Incremental Repayments'!$R$22="Debt",IF(AND(BP$4&gt;=$D95,BP$4&lt;$D95+'Incremental Repayments'!$I$31),-PMT('Interest Rate'!$J$16,'Incremental Repayments'!$I$31,(HLOOKUP($D95,$E$4:$CZ$32,28,FALSE)*'Incremental Repayments'!$I$22)),0),0)</f>
        <v>0</v>
      </c>
      <c r="BQ95" s="783">
        <f>IF('Incremental Repayments'!$R$22="Debt",IF(AND(BQ$4&gt;=$D95,BQ$4&lt;$D95+'Incremental Repayments'!$I$31),-PMT('Interest Rate'!$J$16,'Incremental Repayments'!$I$31,(HLOOKUP($D95,$E$4:$CZ$32,28,FALSE)*'Incremental Repayments'!$I$22)),0),0)</f>
        <v>0</v>
      </c>
      <c r="BR95" s="783">
        <f>IF('Incremental Repayments'!$R$22="Debt",IF(AND(BR$4&gt;=$D95,BR$4&lt;$D95+'Incremental Repayments'!$I$31),-PMT('Interest Rate'!$J$16,'Incremental Repayments'!$I$31,(HLOOKUP($D95,$E$4:$CZ$32,28,FALSE)*'Incremental Repayments'!$I$22)),0),0)</f>
        <v>0</v>
      </c>
      <c r="BS95" s="783">
        <f>IF('Incremental Repayments'!$R$22="Debt",IF(AND(BS$4&gt;=$D95,BS$4&lt;$D95+'Incremental Repayments'!$I$31),-PMT('Interest Rate'!$J$16,'Incremental Repayments'!$I$31,(HLOOKUP($D95,$E$4:$CZ$32,28,FALSE)*'Incremental Repayments'!$I$22)),0),0)</f>
        <v>0</v>
      </c>
      <c r="BT95" s="783">
        <f>IF('Incremental Repayments'!$R$22="Debt",IF(AND(BT$4&gt;=$D95,BT$4&lt;$D95+'Incremental Repayments'!$I$31),-PMT('Interest Rate'!$J$16,'Incremental Repayments'!$I$31,(HLOOKUP($D95,$E$4:$CZ$32,28,FALSE)*'Incremental Repayments'!$I$22)),0),0)</f>
        <v>0</v>
      </c>
      <c r="BU95" s="783">
        <f>IF('Incremental Repayments'!$R$22="Debt",IF(AND(BU$4&gt;=$D95,BU$4&lt;$D95+'Incremental Repayments'!$I$31),-PMT('Interest Rate'!$J$16,'Incremental Repayments'!$I$31,(HLOOKUP($D95,$E$4:$CZ$32,28,FALSE)*'Incremental Repayments'!$I$22)),0),0)</f>
        <v>0</v>
      </c>
      <c r="BV95" s="783">
        <f>IF('Incremental Repayments'!$R$22="Debt",IF(AND(BV$4&gt;=$D95,BV$4&lt;$D95+'Incremental Repayments'!$I$31),-PMT('Interest Rate'!$J$16,'Incremental Repayments'!$I$31,(HLOOKUP($D95,$E$4:$CZ$32,28,FALSE)*'Incremental Repayments'!$I$22)),0),0)</f>
        <v>0</v>
      </c>
      <c r="BW95" s="783">
        <f>IF('Incremental Repayments'!$R$22="Debt",IF(AND(BW$4&gt;=$D95,BW$4&lt;$D95+'Incremental Repayments'!$I$31),-PMT('Interest Rate'!$J$16,'Incremental Repayments'!$I$31,(HLOOKUP($D95,$E$4:$CZ$32,28,FALSE)*'Incremental Repayments'!$I$22)),0),0)</f>
        <v>0</v>
      </c>
      <c r="BX95" s="783">
        <f>IF('Incremental Repayments'!$R$22="Debt",IF(AND(BX$4&gt;=$D95,BX$4&lt;$D95+'Incremental Repayments'!$I$31),-PMT('Interest Rate'!$J$16,'Incremental Repayments'!$I$31,(HLOOKUP($D95,$E$4:$CZ$32,28,FALSE)*'Incremental Repayments'!$I$22)),0),0)</f>
        <v>0</v>
      </c>
      <c r="BY95" s="783">
        <f>IF('Incremental Repayments'!$R$22="Debt",IF(AND(BY$4&gt;=$D95,BY$4&lt;$D95+'Incremental Repayments'!$I$31),-PMT('Interest Rate'!$J$16,'Incremental Repayments'!$I$31,(HLOOKUP($D95,$E$4:$CZ$32,28,FALSE)*'Incremental Repayments'!$I$22)),0),0)</f>
        <v>0</v>
      </c>
      <c r="BZ95" s="783">
        <f>IF('Incremental Repayments'!$R$22="Debt",IF(AND(BZ$4&gt;=$D95,BZ$4&lt;$D95+'Incremental Repayments'!$I$31),-PMT('Interest Rate'!$J$16,'Incremental Repayments'!$I$31,(HLOOKUP($D95,$E$4:$CZ$32,28,FALSE)*'Incremental Repayments'!$I$22)),0),0)</f>
        <v>0</v>
      </c>
      <c r="CA95" s="783">
        <f>IF('Incremental Repayments'!$R$22="Debt",IF(AND(CA$4&gt;=$D95,CA$4&lt;$D95+'Incremental Repayments'!$I$31),-PMT('Interest Rate'!$J$16,'Incremental Repayments'!$I$31,(HLOOKUP($D95,$E$4:$CZ$32,28,FALSE)*'Incremental Repayments'!$I$22)),0),0)</f>
        <v>0</v>
      </c>
      <c r="CB95" s="783">
        <f>IF('Incremental Repayments'!$R$22="Debt",IF(AND(CB$4&gt;=$D95,CB$4&lt;$D95+'Incremental Repayments'!$I$31),-PMT('Interest Rate'!$J$16,'Incremental Repayments'!$I$31,(HLOOKUP($D95,$E$4:$CZ$32,28,FALSE)*'Incremental Repayments'!$I$22)),0),0)</f>
        <v>0</v>
      </c>
      <c r="CC95" s="783">
        <f>IF('Incremental Repayments'!$R$22="Debt",IF(AND(CC$4&gt;=$D95,CC$4&lt;$D95+'Incremental Repayments'!$I$31),-PMT('Interest Rate'!$J$16,'Incremental Repayments'!$I$31,(HLOOKUP($D95,$E$4:$CZ$32,28,FALSE)*'Incremental Repayments'!$I$22)),0),0)</f>
        <v>0</v>
      </c>
      <c r="CD95" s="783">
        <f>IF('Incremental Repayments'!$R$22="Debt",IF(AND(CD$4&gt;=$D95,CD$4&lt;$D95+'Incremental Repayments'!$I$31),-PMT('Interest Rate'!$J$16,'Incremental Repayments'!$I$31,(HLOOKUP($D95,$E$4:$CZ$32,28,FALSE)*'Incremental Repayments'!$I$22)),0),0)</f>
        <v>0</v>
      </c>
      <c r="CE95" s="783">
        <f>IF('Incremental Repayments'!$R$22="Debt",IF(AND(CE$4&gt;=$D95,CE$4&lt;$D95+'Incremental Repayments'!$I$31),-PMT('Interest Rate'!$J$16,'Incremental Repayments'!$I$31,(HLOOKUP($D95,$E$4:$CZ$32,28,FALSE)*'Incremental Repayments'!$I$22)),0),0)</f>
        <v>0</v>
      </c>
      <c r="CF95" s="783">
        <f>IF('Incremental Repayments'!$R$22="Debt",IF(AND(CF$4&gt;=$D95,CF$4&lt;$D95+'Incremental Repayments'!$I$31),-PMT('Interest Rate'!$J$16,'Incremental Repayments'!$I$31,(HLOOKUP($D95,$E$4:$CZ$32,28,FALSE)*'Incremental Repayments'!$I$22)),0),0)</f>
        <v>0</v>
      </c>
      <c r="CG95" s="783">
        <f>IF('Incremental Repayments'!$R$22="Debt",IF(AND(CG$4&gt;=$D95,CG$4&lt;$D95+'Incremental Repayments'!$I$31),-PMT('Interest Rate'!$J$16,'Incremental Repayments'!$I$31,(HLOOKUP($D95,$E$4:$CZ$32,28,FALSE)*'Incremental Repayments'!$I$22)),0),0)</f>
        <v>0</v>
      </c>
      <c r="CH95" s="783">
        <f>IF('Incremental Repayments'!$R$22="Debt",IF(AND(CH$4&gt;=$D95,CH$4&lt;$D95+'Incremental Repayments'!$I$31),-PMT('Interest Rate'!$J$16,'Incremental Repayments'!$I$31,(HLOOKUP($D95,$E$4:$CZ$32,28,FALSE)*'Incremental Repayments'!$I$22)),0),0)</f>
        <v>0</v>
      </c>
      <c r="CI95" s="783">
        <f>IF('Incremental Repayments'!$R$22="Debt",IF(AND(CI$4&gt;=$D95,CI$4&lt;$D95+'Incremental Repayments'!$I$31),-PMT('Interest Rate'!$J$16,'Incremental Repayments'!$I$31,(HLOOKUP($D95,$E$4:$CZ$32,28,FALSE)*'Incremental Repayments'!$I$22)),0),0)</f>
        <v>0</v>
      </c>
      <c r="CJ95" s="783">
        <f>IF('Incremental Repayments'!$R$22="Debt",IF(AND(CJ$4&gt;=$D95,CJ$4&lt;$D95+'Incremental Repayments'!$I$31),-PMT('Interest Rate'!$J$16,'Incremental Repayments'!$I$31,(HLOOKUP($D95,$E$4:$CZ$32,28,FALSE)*'Incremental Repayments'!$I$22)),0),0)</f>
        <v>0</v>
      </c>
      <c r="CK95" s="783">
        <f>IF('Incremental Repayments'!$R$22="Debt",IF(AND(CK$4&gt;=$D95,CK$4&lt;$D95+'Incremental Repayments'!$I$31),-PMT('Interest Rate'!$J$16,'Incremental Repayments'!$I$31,(HLOOKUP($D95,$E$4:$CZ$32,28,FALSE)*'Incremental Repayments'!$I$22)),0),0)</f>
        <v>0</v>
      </c>
      <c r="CL95" s="783">
        <f>IF('Incremental Repayments'!$R$22="Debt",IF(AND(CL$4&gt;=$D95,CL$4&lt;$D95+'Incremental Repayments'!$I$31),-PMT('Interest Rate'!$J$16,'Incremental Repayments'!$I$31,(HLOOKUP($D95,$E$4:$CZ$32,28,FALSE)*'Incremental Repayments'!$I$22)),0),0)</f>
        <v>0</v>
      </c>
      <c r="CM95" s="783">
        <f>IF('Incremental Repayments'!$R$22="Debt",IF(AND(CM$4&gt;=$D95,CM$4&lt;$D95+'Incremental Repayments'!$I$31),-PMT('Interest Rate'!$J$16,'Incremental Repayments'!$I$31,(HLOOKUP($D95,$E$4:$CZ$32,28,FALSE)*'Incremental Repayments'!$I$22)),0),0)</f>
        <v>0</v>
      </c>
      <c r="CN95" s="783">
        <f>IF('Incremental Repayments'!$R$22="Debt",IF(AND(CN$4&gt;=$D95,CN$4&lt;$D95+'Incremental Repayments'!$I$31),-PMT('Interest Rate'!$J$16,'Incremental Repayments'!$I$31,(HLOOKUP($D95,$E$4:$CZ$32,28,FALSE)*'Incremental Repayments'!$I$22)),0),0)</f>
        <v>0</v>
      </c>
      <c r="CO95" s="783">
        <f>IF('Incremental Repayments'!$R$22="Debt",IF(AND(CO$4&gt;=$D95,CO$4&lt;$D95+'Incremental Repayments'!$I$31),-PMT('Interest Rate'!$J$16,'Incremental Repayments'!$I$31,(HLOOKUP($D95,$E$4:$CZ$32,28,FALSE)*'Incremental Repayments'!$I$22)),0),0)</f>
        <v>0</v>
      </c>
      <c r="CP95" s="783">
        <f>IF('Incremental Repayments'!$R$22="Debt",IF(AND(CP$4&gt;=$D95,CP$4&lt;$D95+'Incremental Repayments'!$I$31),-PMT('Interest Rate'!$J$16,'Incremental Repayments'!$I$31,(HLOOKUP($D95,$E$4:$CZ$32,28,FALSE)*'Incremental Repayments'!$I$22)),0),0)</f>
        <v>0</v>
      </c>
      <c r="CQ95" s="783">
        <f>IF('Incremental Repayments'!$R$22="Debt",IF(AND(CQ$4&gt;=$D95,CQ$4&lt;$D95+'Incremental Repayments'!$I$31),-PMT('Interest Rate'!$J$16,'Incremental Repayments'!$I$31,(HLOOKUP($D95,$E$4:$CZ$32,28,FALSE)*'Incremental Repayments'!$I$22)),0),0)</f>
        <v>0</v>
      </c>
      <c r="CR95" s="783">
        <f>IF('Incremental Repayments'!$R$22="Debt",IF(AND(CR$4&gt;=$D95,CR$4&lt;$D95+'Incremental Repayments'!$I$31),-PMT('Interest Rate'!$J$16,'Incremental Repayments'!$I$31,(HLOOKUP($D95,$E$4:$CZ$32,28,FALSE)*'Incremental Repayments'!$I$22)),0),0)</f>
        <v>0</v>
      </c>
      <c r="CS95" s="783">
        <f>IF('Incremental Repayments'!$R$22="Debt",IF(AND(CS$4&gt;=$D95,CS$4&lt;$D95+'Incremental Repayments'!$I$31),-PMT('Interest Rate'!$J$16,'Incremental Repayments'!$I$31,(HLOOKUP($D95,$E$4:$CZ$32,28,FALSE)*'Incremental Repayments'!$I$22)),0),0)</f>
        <v>0</v>
      </c>
      <c r="CT95" s="783">
        <f>IF('Incremental Repayments'!$R$22="Debt",IF(AND(CT$4&gt;=$D95,CT$4&lt;$D95+'Incremental Repayments'!$I$31),-PMT('Interest Rate'!$J$16,'Incremental Repayments'!$I$31,(HLOOKUP($D95,$E$4:$CZ$32,28,FALSE)*'Incremental Repayments'!$I$22)),0),0)</f>
        <v>0</v>
      </c>
      <c r="CU95" s="783">
        <f>IF('Incremental Repayments'!$R$22="Debt",IF(AND(CU$4&gt;=$D95,CU$4&lt;$D95+'Incremental Repayments'!$I$31),-PMT('Interest Rate'!$J$16,'Incremental Repayments'!$I$31,(HLOOKUP($D95,$E$4:$CZ$32,28,FALSE)*'Incremental Repayments'!$I$22)),0),0)</f>
        <v>0</v>
      </c>
      <c r="CV95" s="783">
        <f>IF('Incremental Repayments'!$R$22="Debt",IF(AND(CV$4&gt;=$D95,CV$4&lt;$D95+'Incremental Repayments'!$I$31),-PMT('Interest Rate'!$J$16,'Incremental Repayments'!$I$31,(HLOOKUP($D95,$E$4:$CZ$32,28,FALSE)*'Incremental Repayments'!$I$22)),0),0)</f>
        <v>0</v>
      </c>
      <c r="CW95" s="783">
        <f>IF('Incremental Repayments'!$R$22="Debt",IF(AND(CW$4&gt;=$D95,CW$4&lt;$D95+'Incremental Repayments'!$I$31),-PMT('Interest Rate'!$J$16,'Incremental Repayments'!$I$31,(HLOOKUP($D95,$E$4:$CZ$32,28,FALSE)*'Incremental Repayments'!$I$22)),0),0)</f>
        <v>0</v>
      </c>
      <c r="CX95" s="783">
        <f>IF('Incremental Repayments'!$R$22="Debt",IF(AND(CX$4&gt;=$D95,CX$4&lt;$D95+'Incremental Repayments'!$I$31),-PMT('Interest Rate'!$J$16,'Incremental Repayments'!$I$31,(HLOOKUP($D95,$E$4:$CZ$32,28,FALSE)*'Incremental Repayments'!$I$22)),0),0)</f>
        <v>0</v>
      </c>
      <c r="CY95" s="783">
        <f>IF('Incremental Repayments'!$R$22="Debt",IF(AND(CY$4&gt;=$D95,CY$4&lt;$D95+'Incremental Repayments'!$I$31),-PMT('Interest Rate'!$J$16,'Incremental Repayments'!$I$31,(HLOOKUP($D95,$E$4:$CZ$32,28,FALSE)*'Incremental Repayments'!$I$22)),0),0)</f>
        <v>0</v>
      </c>
      <c r="CZ95" s="783">
        <f>IF('Incremental Repayments'!$R$22="Debt",IF(AND(CZ$4&gt;=$D95,CZ$4&lt;$D95+'Incremental Repayments'!$I$31),-PMT('Interest Rate'!$J$16,'Incremental Repayments'!$I$31,(HLOOKUP($D95,$E$4:$CZ$32,28,FALSE)*'Incremental Repayments'!$I$22)),0),0)</f>
        <v>0</v>
      </c>
    </row>
    <row r="96" spans="2:104" x14ac:dyDescent="0.25">
      <c r="B96" s="480" t="str">
        <f>CONCATENATE("Series ",D96,"A Bonds (at ",'Interest Rate'!$J$16*100,"% Interest)")</f>
        <v>Series 2074A Bonds (at 4.5% Interest)</v>
      </c>
      <c r="C96" s="480"/>
      <c r="D96" s="492">
        <f t="shared" si="47"/>
        <v>2074</v>
      </c>
      <c r="E96" s="783">
        <f>IF('Incremental Repayments'!$R$22="Debt",IF(AND(E$4&gt;=$D96,E$4&lt;$D96+'Incremental Repayments'!$I$31),-PMT('Interest Rate'!$J$16,'Incremental Repayments'!$I$31,(HLOOKUP($D96,$E$4:$CZ$32,28,FALSE)*'Incremental Repayments'!$I$22)),0),0)</f>
        <v>0</v>
      </c>
      <c r="F96" s="783">
        <f>IF('Incremental Repayments'!$R$22="Debt",IF(AND(F$4&gt;=$D96,F$4&lt;$D96+'Incremental Repayments'!$I$31),-PMT('Interest Rate'!$J$16,'Incremental Repayments'!$I$31,(HLOOKUP($D96,$E$4:$CZ$32,28,FALSE)*'Incremental Repayments'!$I$22)),0),0)</f>
        <v>0</v>
      </c>
      <c r="G96" s="783">
        <f>IF('Incremental Repayments'!$R$22="Debt",IF(AND(G$4&gt;=$D96,G$4&lt;$D96+'Incremental Repayments'!$I$31),-PMT('Interest Rate'!$J$16,'Incremental Repayments'!$I$31,(HLOOKUP($D96,$E$4:$CZ$32,28,FALSE)*'Incremental Repayments'!$I$22)),0),0)</f>
        <v>0</v>
      </c>
      <c r="H96" s="783">
        <f>IF('Incremental Repayments'!$R$22="Debt",IF(AND(H$4&gt;=$D96,H$4&lt;$D96+'Incremental Repayments'!$I$31),-PMT('Interest Rate'!$J$16,'Incremental Repayments'!$I$31,(HLOOKUP($D96,$E$4:$CZ$32,28,FALSE)*'Incremental Repayments'!$I$22)),0),0)</f>
        <v>0</v>
      </c>
      <c r="I96" s="783">
        <f>IF('Incremental Repayments'!$R$22="Debt",IF(AND(I$4&gt;=$D96,I$4&lt;$D96+'Incremental Repayments'!$I$31),-PMT('Interest Rate'!$J$16,'Incremental Repayments'!$I$31,(HLOOKUP($D96,$E$4:$CZ$32,28,FALSE)*'Incremental Repayments'!$I$22)),0),0)</f>
        <v>0</v>
      </c>
      <c r="J96" s="783">
        <f>IF('Incremental Repayments'!$R$22="Debt",IF(AND(J$4&gt;=$D96,J$4&lt;$D96+'Incremental Repayments'!$I$31),-PMT('Interest Rate'!$J$16,'Incremental Repayments'!$I$31,(HLOOKUP($D96,$E$4:$CZ$32,28,FALSE)*'Incremental Repayments'!$I$22)),0),0)</f>
        <v>0</v>
      </c>
      <c r="K96" s="783">
        <f>IF('Incremental Repayments'!$R$22="Debt",IF(AND(K$4&gt;=$D96,K$4&lt;$D96+'Incremental Repayments'!$I$31),-PMT('Interest Rate'!$J$16,'Incremental Repayments'!$I$31,(HLOOKUP($D96,$E$4:$CZ$32,28,FALSE)*'Incremental Repayments'!$I$22)),0),0)</f>
        <v>0</v>
      </c>
      <c r="L96" s="783">
        <f>IF('Incremental Repayments'!$R$22="Debt",IF(AND(L$4&gt;=$D96,L$4&lt;$D96+'Incremental Repayments'!$I$31),-PMT('Interest Rate'!$J$16,'Incremental Repayments'!$I$31,(HLOOKUP($D96,$E$4:$CZ$32,28,FALSE)*'Incremental Repayments'!$I$22)),0),0)</f>
        <v>0</v>
      </c>
      <c r="M96" s="783">
        <f>IF('Incremental Repayments'!$R$22="Debt",IF(AND(M$4&gt;=$D96,M$4&lt;$D96+'Incremental Repayments'!$I$31),-PMT('Interest Rate'!$J$16,'Incremental Repayments'!$I$31,(HLOOKUP($D96,$E$4:$CZ$32,28,FALSE)*'Incremental Repayments'!$I$22)),0),0)</f>
        <v>0</v>
      </c>
      <c r="N96" s="783">
        <f>IF('Incremental Repayments'!$R$22="Debt",IF(AND(N$4&gt;=$D96,N$4&lt;$D96+'Incremental Repayments'!$I$31),-PMT('Interest Rate'!$J$16,'Incremental Repayments'!$I$31,(HLOOKUP($D96,$E$4:$CZ$32,28,FALSE)*'Incremental Repayments'!$I$22)),0),0)</f>
        <v>0</v>
      </c>
      <c r="O96" s="783">
        <f>IF('Incremental Repayments'!$R$22="Debt",IF(AND(O$4&gt;=$D96,O$4&lt;$D96+'Incremental Repayments'!$I$31),-PMT('Interest Rate'!$J$16,'Incremental Repayments'!$I$31,(HLOOKUP($D96,$E$4:$CZ$32,28,FALSE)*'Incremental Repayments'!$I$22)),0),0)</f>
        <v>0</v>
      </c>
      <c r="P96" s="783">
        <f>IF('Incremental Repayments'!$R$22="Debt",IF(AND(P$4&gt;=$D96,P$4&lt;$D96+'Incremental Repayments'!$I$31),-PMT('Interest Rate'!$J$16,'Incremental Repayments'!$I$31,(HLOOKUP($D96,$E$4:$CZ$32,28,FALSE)*'Incremental Repayments'!$I$22)),0),0)</f>
        <v>0</v>
      </c>
      <c r="Q96" s="783">
        <f>IF('Incremental Repayments'!$R$22="Debt",IF(AND(Q$4&gt;=$D96,Q$4&lt;$D96+'Incremental Repayments'!$I$31),-PMT('Interest Rate'!$J$16,'Incremental Repayments'!$I$31,(HLOOKUP($D96,$E$4:$CZ$32,28,FALSE)*'Incremental Repayments'!$I$22)),0),0)</f>
        <v>0</v>
      </c>
      <c r="R96" s="783">
        <f>IF('Incremental Repayments'!$R$22="Debt",IF(AND(R$4&gt;=$D96,R$4&lt;$D96+'Incremental Repayments'!$I$31),-PMT('Interest Rate'!$J$16,'Incremental Repayments'!$I$31,(HLOOKUP($D96,$E$4:$CZ$32,28,FALSE)*'Incremental Repayments'!$I$22)),0),0)</f>
        <v>0</v>
      </c>
      <c r="S96" s="783">
        <f>IF('Incremental Repayments'!$R$22="Debt",IF(AND(S$4&gt;=$D96,S$4&lt;$D96+'Incremental Repayments'!$I$31),-PMT('Interest Rate'!$J$16,'Incremental Repayments'!$I$31,(HLOOKUP($D96,$E$4:$CZ$32,28,FALSE)*'Incremental Repayments'!$I$22)),0),0)</f>
        <v>0</v>
      </c>
      <c r="T96" s="783">
        <f>IF('Incremental Repayments'!$R$22="Debt",IF(AND(T$4&gt;=$D96,T$4&lt;$D96+'Incremental Repayments'!$I$31),-PMT('Interest Rate'!$J$16,'Incremental Repayments'!$I$31,(HLOOKUP($D96,$E$4:$CZ$32,28,FALSE)*'Incremental Repayments'!$I$22)),0),0)</f>
        <v>0</v>
      </c>
      <c r="U96" s="783">
        <f>IF('Incremental Repayments'!$R$22="Debt",IF(AND(U$4&gt;=$D96,U$4&lt;$D96+'Incremental Repayments'!$I$31),-PMT('Interest Rate'!$J$16,'Incremental Repayments'!$I$31,(HLOOKUP($D96,$E$4:$CZ$32,28,FALSE)*'Incremental Repayments'!$I$22)),0),0)</f>
        <v>0</v>
      </c>
      <c r="V96" s="783">
        <f>IF('Incremental Repayments'!$R$22="Debt",IF(AND(V$4&gt;=$D96,V$4&lt;$D96+'Incremental Repayments'!$I$31),-PMT('Interest Rate'!$J$16,'Incremental Repayments'!$I$31,(HLOOKUP($D96,$E$4:$CZ$32,28,FALSE)*'Incremental Repayments'!$I$22)),0),0)</f>
        <v>0</v>
      </c>
      <c r="W96" s="783">
        <f>IF('Incremental Repayments'!$R$22="Debt",IF(AND(W$4&gt;=$D96,W$4&lt;$D96+'Incremental Repayments'!$I$31),-PMT('Interest Rate'!$J$16,'Incremental Repayments'!$I$31,(HLOOKUP($D96,$E$4:$CZ$32,28,FALSE)*'Incremental Repayments'!$I$22)),0),0)</f>
        <v>0</v>
      </c>
      <c r="X96" s="783">
        <f>IF('Incremental Repayments'!$R$22="Debt",IF(AND(X$4&gt;=$D96,X$4&lt;$D96+'Incremental Repayments'!$I$31),-PMT('Interest Rate'!$J$16,'Incremental Repayments'!$I$31,(HLOOKUP($D96,$E$4:$CZ$32,28,FALSE)*'Incremental Repayments'!$I$22)),0),0)</f>
        <v>0</v>
      </c>
      <c r="Y96" s="783">
        <f>IF('Incremental Repayments'!$R$22="Debt",IF(AND(Y$4&gt;=$D96,Y$4&lt;$D96+'Incremental Repayments'!$I$31),-PMT('Interest Rate'!$J$16,'Incremental Repayments'!$I$31,(HLOOKUP($D96,$E$4:$CZ$32,28,FALSE)*'Incremental Repayments'!$I$22)),0),0)</f>
        <v>0</v>
      </c>
      <c r="Z96" s="783">
        <f>IF('Incremental Repayments'!$R$22="Debt",IF(AND(Z$4&gt;=$D96,Z$4&lt;$D96+'Incremental Repayments'!$I$31),-PMT('Interest Rate'!$J$16,'Incremental Repayments'!$I$31,(HLOOKUP($D96,$E$4:$CZ$32,28,FALSE)*'Incremental Repayments'!$I$22)),0),0)</f>
        <v>0</v>
      </c>
      <c r="AA96" s="783">
        <f>IF('Incremental Repayments'!$R$22="Debt",IF(AND(AA$4&gt;=$D96,AA$4&lt;$D96+'Incremental Repayments'!$I$31),-PMT('Interest Rate'!$J$16,'Incremental Repayments'!$I$31,(HLOOKUP($D96,$E$4:$CZ$32,28,FALSE)*'Incremental Repayments'!$I$22)),0),0)</f>
        <v>0</v>
      </c>
      <c r="AB96" s="783">
        <f>IF('Incremental Repayments'!$R$22="Debt",IF(AND(AB$4&gt;=$D96,AB$4&lt;$D96+'Incremental Repayments'!$I$31),-PMT('Interest Rate'!$J$16,'Incremental Repayments'!$I$31,(HLOOKUP($D96,$E$4:$CZ$32,28,FALSE)*'Incremental Repayments'!$I$22)),0),0)</f>
        <v>0</v>
      </c>
      <c r="AC96" s="783">
        <f>IF('Incremental Repayments'!$R$22="Debt",IF(AND(AC$4&gt;=$D96,AC$4&lt;$D96+'Incremental Repayments'!$I$31),-PMT('Interest Rate'!$J$16,'Incremental Repayments'!$I$31,(HLOOKUP($D96,$E$4:$CZ$32,28,FALSE)*'Incremental Repayments'!$I$22)),0),0)</f>
        <v>0</v>
      </c>
      <c r="AD96" s="783">
        <f>IF('Incremental Repayments'!$R$22="Debt",IF(AND(AD$4&gt;=$D96,AD$4&lt;$D96+'Incremental Repayments'!$I$31),-PMT('Interest Rate'!$J$16,'Incremental Repayments'!$I$31,(HLOOKUP($D96,$E$4:$CZ$32,28,FALSE)*'Incremental Repayments'!$I$22)),0),0)</f>
        <v>0</v>
      </c>
      <c r="AE96" s="783">
        <f>IF('Incremental Repayments'!$R$22="Debt",IF(AND(AE$4&gt;=$D96,AE$4&lt;$D96+'Incremental Repayments'!$I$31),-PMT('Interest Rate'!$J$16,'Incremental Repayments'!$I$31,(HLOOKUP($D96,$E$4:$CZ$32,28,FALSE)*'Incremental Repayments'!$I$22)),0),0)</f>
        <v>0</v>
      </c>
      <c r="AF96" s="783">
        <f>IF('Incremental Repayments'!$R$22="Debt",IF(AND(AF$4&gt;=$D96,AF$4&lt;$D96+'Incremental Repayments'!$I$31),-PMT('Interest Rate'!$J$16,'Incremental Repayments'!$I$31,(HLOOKUP($D96,$E$4:$CZ$32,28,FALSE)*'Incremental Repayments'!$I$22)),0),0)</f>
        <v>0</v>
      </c>
      <c r="AG96" s="783">
        <f>IF('Incremental Repayments'!$R$22="Debt",IF(AND(AG$4&gt;=$D96,AG$4&lt;$D96+'Incremental Repayments'!$I$31),-PMT('Interest Rate'!$J$16,'Incremental Repayments'!$I$31,(HLOOKUP($D96,$E$4:$CZ$32,28,FALSE)*'Incremental Repayments'!$I$22)),0),0)</f>
        <v>0</v>
      </c>
      <c r="AH96" s="783">
        <f>IF('Incremental Repayments'!$R$22="Debt",IF(AND(AH$4&gt;=$D96,AH$4&lt;$D96+'Incremental Repayments'!$I$31),-PMT('Interest Rate'!$J$16,'Incremental Repayments'!$I$31,(HLOOKUP($D96,$E$4:$CZ$32,28,FALSE)*'Incremental Repayments'!$I$22)),0),0)</f>
        <v>0</v>
      </c>
      <c r="AI96" s="783">
        <f>IF('Incremental Repayments'!$R$22="Debt",IF(AND(AI$4&gt;=$D96,AI$4&lt;$D96+'Incremental Repayments'!$I$31),-PMT('Interest Rate'!$J$16,'Incremental Repayments'!$I$31,(HLOOKUP($D96,$E$4:$CZ$32,28,FALSE)*'Incremental Repayments'!$I$22)),0),0)</f>
        <v>0</v>
      </c>
      <c r="AJ96" s="783">
        <f>IF('Incremental Repayments'!$R$22="Debt",IF(AND(AJ$4&gt;=$D96,AJ$4&lt;$D96+'Incremental Repayments'!$I$31),-PMT('Interest Rate'!$J$16,'Incremental Repayments'!$I$31,(HLOOKUP($D96,$E$4:$CZ$32,28,FALSE)*'Incremental Repayments'!$I$22)),0),0)</f>
        <v>0</v>
      </c>
      <c r="AK96" s="783">
        <f>IF('Incremental Repayments'!$R$22="Debt",IF(AND(AK$4&gt;=$D96,AK$4&lt;$D96+'Incremental Repayments'!$I$31),-PMT('Interest Rate'!$J$16,'Incremental Repayments'!$I$31,(HLOOKUP($D96,$E$4:$CZ$32,28,FALSE)*'Incremental Repayments'!$I$22)),0),0)</f>
        <v>0</v>
      </c>
      <c r="AL96" s="783">
        <f>IF('Incremental Repayments'!$R$22="Debt",IF(AND(AL$4&gt;=$D96,AL$4&lt;$D96+'Incremental Repayments'!$I$31),-PMT('Interest Rate'!$J$16,'Incremental Repayments'!$I$31,(HLOOKUP($D96,$E$4:$CZ$32,28,FALSE)*'Incremental Repayments'!$I$22)),0),0)</f>
        <v>0</v>
      </c>
      <c r="AM96" s="783">
        <f>IF('Incremental Repayments'!$R$22="Debt",IF(AND(AM$4&gt;=$D96,AM$4&lt;$D96+'Incremental Repayments'!$I$31),-PMT('Interest Rate'!$J$16,'Incremental Repayments'!$I$31,(HLOOKUP($D96,$E$4:$CZ$32,28,FALSE)*'Incremental Repayments'!$I$22)),0),0)</f>
        <v>0</v>
      </c>
      <c r="AN96" s="783">
        <f>IF('Incremental Repayments'!$R$22="Debt",IF(AND(AN$4&gt;=$D96,AN$4&lt;$D96+'Incremental Repayments'!$I$31),-PMT('Interest Rate'!$J$16,'Incremental Repayments'!$I$31,(HLOOKUP($D96,$E$4:$CZ$32,28,FALSE)*'Incremental Repayments'!$I$22)),0),0)</f>
        <v>0</v>
      </c>
      <c r="AO96" s="783">
        <f>IF('Incremental Repayments'!$R$22="Debt",IF(AND(AO$4&gt;=$D96,AO$4&lt;$D96+'Incremental Repayments'!$I$31),-PMT('Interest Rate'!$J$16,'Incremental Repayments'!$I$31,(HLOOKUP($D96,$E$4:$CZ$32,28,FALSE)*'Incremental Repayments'!$I$22)),0),0)</f>
        <v>0</v>
      </c>
      <c r="AP96" s="783">
        <f>IF('Incremental Repayments'!$R$22="Debt",IF(AND(AP$4&gt;=$D96,AP$4&lt;$D96+'Incremental Repayments'!$I$31),-PMT('Interest Rate'!$J$16,'Incremental Repayments'!$I$31,(HLOOKUP($D96,$E$4:$CZ$32,28,FALSE)*'Incremental Repayments'!$I$22)),0),0)</f>
        <v>0</v>
      </c>
      <c r="AQ96" s="783">
        <f>IF('Incremental Repayments'!$R$22="Debt",IF(AND(AQ$4&gt;=$D96,AQ$4&lt;$D96+'Incremental Repayments'!$I$31),-PMT('Interest Rate'!$J$16,'Incremental Repayments'!$I$31,(HLOOKUP($D96,$E$4:$CZ$32,28,FALSE)*'Incremental Repayments'!$I$22)),0),0)</f>
        <v>0</v>
      </c>
      <c r="AR96" s="783">
        <f>IF('Incremental Repayments'!$R$22="Debt",IF(AND(AR$4&gt;=$D96,AR$4&lt;$D96+'Incremental Repayments'!$I$31),-PMT('Interest Rate'!$J$16,'Incremental Repayments'!$I$31,(HLOOKUP($D96,$E$4:$CZ$32,28,FALSE)*'Incremental Repayments'!$I$22)),0),0)</f>
        <v>0</v>
      </c>
      <c r="AS96" s="783">
        <f>IF('Incremental Repayments'!$R$22="Debt",IF(AND(AS$4&gt;=$D96,AS$4&lt;$D96+'Incremental Repayments'!$I$31),-PMT('Interest Rate'!$J$16,'Incremental Repayments'!$I$31,(HLOOKUP($D96,$E$4:$CZ$32,28,FALSE)*'Incremental Repayments'!$I$22)),0),0)</f>
        <v>0</v>
      </c>
      <c r="AT96" s="783">
        <f>IF('Incremental Repayments'!$R$22="Debt",IF(AND(AT$4&gt;=$D96,AT$4&lt;$D96+'Incremental Repayments'!$I$31),-PMT('Interest Rate'!$J$16,'Incremental Repayments'!$I$31,(HLOOKUP($D96,$E$4:$CZ$32,28,FALSE)*'Incremental Repayments'!$I$22)),0),0)</f>
        <v>0</v>
      </c>
      <c r="AU96" s="783">
        <f>IF('Incremental Repayments'!$R$22="Debt",IF(AND(AU$4&gt;=$D96,AU$4&lt;$D96+'Incremental Repayments'!$I$31),-PMT('Interest Rate'!$J$16,'Incremental Repayments'!$I$31,(HLOOKUP($D96,$E$4:$CZ$32,28,FALSE)*'Incremental Repayments'!$I$22)),0),0)</f>
        <v>0</v>
      </c>
      <c r="AV96" s="783">
        <f>IF('Incremental Repayments'!$R$22="Debt",IF(AND(AV$4&gt;=$D96,AV$4&lt;$D96+'Incremental Repayments'!$I$31),-PMT('Interest Rate'!$J$16,'Incremental Repayments'!$I$31,(HLOOKUP($D96,$E$4:$CZ$32,28,FALSE)*'Incremental Repayments'!$I$22)),0),0)</f>
        <v>0</v>
      </c>
      <c r="AW96" s="783">
        <f>IF('Incremental Repayments'!$R$22="Debt",IF(AND(AW$4&gt;=$D96,AW$4&lt;$D96+'Incremental Repayments'!$I$31),-PMT('Interest Rate'!$J$16,'Incremental Repayments'!$I$31,(HLOOKUP($D96,$E$4:$CZ$32,28,FALSE)*'Incremental Repayments'!$I$22)),0),0)</f>
        <v>0</v>
      </c>
      <c r="AX96" s="783">
        <f>IF('Incremental Repayments'!$R$22="Debt",IF(AND(AX$4&gt;=$D96,AX$4&lt;$D96+'Incremental Repayments'!$I$31),-PMT('Interest Rate'!$J$16,'Incremental Repayments'!$I$31,(HLOOKUP($D96,$E$4:$CZ$32,28,FALSE)*'Incremental Repayments'!$I$22)),0),0)</f>
        <v>0</v>
      </c>
      <c r="AY96" s="783">
        <f>IF('Incremental Repayments'!$R$22="Debt",IF(AND(AY$4&gt;=$D96,AY$4&lt;$D96+'Incremental Repayments'!$I$31),-PMT('Interest Rate'!$J$16,'Incremental Repayments'!$I$31,(HLOOKUP($D96,$E$4:$CZ$32,28,FALSE)*'Incremental Repayments'!$I$22)),0),0)</f>
        <v>0</v>
      </c>
      <c r="AZ96" s="783">
        <f>IF('Incremental Repayments'!$R$22="Debt",IF(AND(AZ$4&gt;=$D96,AZ$4&lt;$D96+'Incremental Repayments'!$I$31),-PMT('Interest Rate'!$J$16,'Incremental Repayments'!$I$31,(HLOOKUP($D96,$E$4:$CZ$32,28,FALSE)*'Incremental Repayments'!$I$22)),0),0)</f>
        <v>0</v>
      </c>
      <c r="BA96" s="783">
        <f>IF('Incremental Repayments'!$R$22="Debt",IF(AND(BA$4&gt;=$D96,BA$4&lt;$D96+'Incremental Repayments'!$I$31),-PMT('Interest Rate'!$J$16,'Incremental Repayments'!$I$31,(HLOOKUP($D96,$E$4:$CZ$32,28,FALSE)*'Incremental Repayments'!$I$22)),0),0)</f>
        <v>0</v>
      </c>
      <c r="BB96" s="783">
        <f>IF('Incremental Repayments'!$R$22="Debt",IF(AND(BB$4&gt;=$D96,BB$4&lt;$D96+'Incremental Repayments'!$I$31),-PMT('Interest Rate'!$J$16,'Incremental Repayments'!$I$31,(HLOOKUP($D96,$E$4:$CZ$32,28,FALSE)*'Incremental Repayments'!$I$22)),0),0)</f>
        <v>0</v>
      </c>
      <c r="BC96" s="783">
        <f>IF('Incremental Repayments'!$R$22="Debt",IF(AND(BC$4&gt;=$D96,BC$4&lt;$D96+'Incremental Repayments'!$I$31),-PMT('Interest Rate'!$J$16,'Incremental Repayments'!$I$31,(HLOOKUP($D96,$E$4:$CZ$32,28,FALSE)*'Incremental Repayments'!$I$22)),0),0)</f>
        <v>0</v>
      </c>
      <c r="BD96" s="783">
        <f>IF('Incremental Repayments'!$R$22="Debt",IF(AND(BD$4&gt;=$D96,BD$4&lt;$D96+'Incremental Repayments'!$I$31),-PMT('Interest Rate'!$J$16,'Incremental Repayments'!$I$31,(HLOOKUP($D96,$E$4:$CZ$32,28,FALSE)*'Incremental Repayments'!$I$22)),0),0)</f>
        <v>0</v>
      </c>
      <c r="BE96" s="783">
        <f>IF('Incremental Repayments'!$R$22="Debt",IF(AND(BE$4&gt;=$D96,BE$4&lt;$D96+'Incremental Repayments'!$I$31),-PMT('Interest Rate'!$J$16,'Incremental Repayments'!$I$31,(HLOOKUP($D96,$E$4:$CZ$32,28,FALSE)*'Incremental Repayments'!$I$22)),0),0)</f>
        <v>0</v>
      </c>
      <c r="BF96" s="783">
        <f>IF('Incremental Repayments'!$R$22="Debt",IF(AND(BF$4&gt;=$D96,BF$4&lt;$D96+'Incremental Repayments'!$I$31),-PMT('Interest Rate'!$J$16,'Incremental Repayments'!$I$31,(HLOOKUP($D96,$E$4:$CZ$32,28,FALSE)*'Incremental Repayments'!$I$22)),0),0)</f>
        <v>0</v>
      </c>
      <c r="BG96" s="783">
        <f>IF('Incremental Repayments'!$R$22="Debt",IF(AND(BG$4&gt;=$D96,BG$4&lt;$D96+'Incremental Repayments'!$I$31),-PMT('Interest Rate'!$J$16,'Incremental Repayments'!$I$31,(HLOOKUP($D96,$E$4:$CZ$32,28,FALSE)*'Incremental Repayments'!$I$22)),0),0)</f>
        <v>0</v>
      </c>
      <c r="BH96" s="783">
        <f>IF('Incremental Repayments'!$R$22="Debt",IF(AND(BH$4&gt;=$D96,BH$4&lt;$D96+'Incremental Repayments'!$I$31),-PMT('Interest Rate'!$J$16,'Incremental Repayments'!$I$31,(HLOOKUP($D96,$E$4:$CZ$32,28,FALSE)*'Incremental Repayments'!$I$22)),0),0)</f>
        <v>0</v>
      </c>
      <c r="BI96" s="783">
        <f>IF('Incremental Repayments'!$R$22="Debt",IF(AND(BI$4&gt;=$D96,BI$4&lt;$D96+'Incremental Repayments'!$I$31),-PMT('Interest Rate'!$J$16,'Incremental Repayments'!$I$31,(HLOOKUP($D96,$E$4:$CZ$32,28,FALSE)*'Incremental Repayments'!$I$22)),0),0)</f>
        <v>0</v>
      </c>
      <c r="BJ96" s="783">
        <f>IF('Incremental Repayments'!$R$22="Debt",IF(AND(BJ$4&gt;=$D96,BJ$4&lt;$D96+'Incremental Repayments'!$I$31),-PMT('Interest Rate'!$J$16,'Incremental Repayments'!$I$31,(HLOOKUP($D96,$E$4:$CZ$32,28,FALSE)*'Incremental Repayments'!$I$22)),0),0)</f>
        <v>0</v>
      </c>
      <c r="BK96" s="783">
        <f>IF('Incremental Repayments'!$R$22="Debt",IF(AND(BK$4&gt;=$D96,BK$4&lt;$D96+'Incremental Repayments'!$I$31),-PMT('Interest Rate'!$J$16,'Incremental Repayments'!$I$31,(HLOOKUP($D96,$E$4:$CZ$32,28,FALSE)*'Incremental Repayments'!$I$22)),0),0)</f>
        <v>0</v>
      </c>
      <c r="BL96" s="783">
        <f>IF('Incremental Repayments'!$R$22="Debt",IF(AND(BL$4&gt;=$D96,BL$4&lt;$D96+'Incremental Repayments'!$I$31),-PMT('Interest Rate'!$J$16,'Incremental Repayments'!$I$31,(HLOOKUP($D96,$E$4:$CZ$32,28,FALSE)*'Incremental Repayments'!$I$22)),0),0)</f>
        <v>0</v>
      </c>
      <c r="BM96" s="783">
        <f>IF('Incremental Repayments'!$R$22="Debt",IF(AND(BM$4&gt;=$D96,BM$4&lt;$D96+'Incremental Repayments'!$I$31),-PMT('Interest Rate'!$J$16,'Incremental Repayments'!$I$31,(HLOOKUP($D96,$E$4:$CZ$32,28,FALSE)*'Incremental Repayments'!$I$22)),0),0)</f>
        <v>0</v>
      </c>
      <c r="BN96" s="783">
        <f>IF('Incremental Repayments'!$R$22="Debt",IF(AND(BN$4&gt;=$D96,BN$4&lt;$D96+'Incremental Repayments'!$I$31),-PMT('Interest Rate'!$J$16,'Incremental Repayments'!$I$31,(HLOOKUP($D96,$E$4:$CZ$32,28,FALSE)*'Incremental Repayments'!$I$22)),0),0)</f>
        <v>0</v>
      </c>
      <c r="BO96" s="783">
        <f>IF('Incremental Repayments'!$R$22="Debt",IF(AND(BO$4&gt;=$D96,BO$4&lt;$D96+'Incremental Repayments'!$I$31),-PMT('Interest Rate'!$J$16,'Incremental Repayments'!$I$31,(HLOOKUP($D96,$E$4:$CZ$32,28,FALSE)*'Incremental Repayments'!$I$22)),0),0)</f>
        <v>0</v>
      </c>
      <c r="BP96" s="783">
        <f>IF('Incremental Repayments'!$R$22="Debt",IF(AND(BP$4&gt;=$D96,BP$4&lt;$D96+'Incremental Repayments'!$I$31),-PMT('Interest Rate'!$J$16,'Incremental Repayments'!$I$31,(HLOOKUP($D96,$E$4:$CZ$32,28,FALSE)*'Incremental Repayments'!$I$22)),0),0)</f>
        <v>0</v>
      </c>
      <c r="BQ96" s="783">
        <f>IF('Incremental Repayments'!$R$22="Debt",IF(AND(BQ$4&gt;=$D96,BQ$4&lt;$D96+'Incremental Repayments'!$I$31),-PMT('Interest Rate'!$J$16,'Incremental Repayments'!$I$31,(HLOOKUP($D96,$E$4:$CZ$32,28,FALSE)*'Incremental Repayments'!$I$22)),0),0)</f>
        <v>0</v>
      </c>
      <c r="BR96" s="783">
        <f>IF('Incremental Repayments'!$R$22="Debt",IF(AND(BR$4&gt;=$D96,BR$4&lt;$D96+'Incremental Repayments'!$I$31),-PMT('Interest Rate'!$J$16,'Incremental Repayments'!$I$31,(HLOOKUP($D96,$E$4:$CZ$32,28,FALSE)*'Incremental Repayments'!$I$22)),0),0)</f>
        <v>0</v>
      </c>
      <c r="BS96" s="783">
        <f>IF('Incremental Repayments'!$R$22="Debt",IF(AND(BS$4&gt;=$D96,BS$4&lt;$D96+'Incremental Repayments'!$I$31),-PMT('Interest Rate'!$J$16,'Incremental Repayments'!$I$31,(HLOOKUP($D96,$E$4:$CZ$32,28,FALSE)*'Incremental Repayments'!$I$22)),0),0)</f>
        <v>0</v>
      </c>
      <c r="BT96" s="783">
        <f>IF('Incremental Repayments'!$R$22="Debt",IF(AND(BT$4&gt;=$D96,BT$4&lt;$D96+'Incremental Repayments'!$I$31),-PMT('Interest Rate'!$J$16,'Incremental Repayments'!$I$31,(HLOOKUP($D96,$E$4:$CZ$32,28,FALSE)*'Incremental Repayments'!$I$22)),0),0)</f>
        <v>0</v>
      </c>
      <c r="BU96" s="783">
        <f>IF('Incremental Repayments'!$R$22="Debt",IF(AND(BU$4&gt;=$D96,BU$4&lt;$D96+'Incremental Repayments'!$I$31),-PMT('Interest Rate'!$J$16,'Incremental Repayments'!$I$31,(HLOOKUP($D96,$E$4:$CZ$32,28,FALSE)*'Incremental Repayments'!$I$22)),0),0)</f>
        <v>0</v>
      </c>
      <c r="BV96" s="783">
        <f>IF('Incremental Repayments'!$R$22="Debt",IF(AND(BV$4&gt;=$D96,BV$4&lt;$D96+'Incremental Repayments'!$I$31),-PMT('Interest Rate'!$J$16,'Incremental Repayments'!$I$31,(HLOOKUP($D96,$E$4:$CZ$32,28,FALSE)*'Incremental Repayments'!$I$22)),0),0)</f>
        <v>0</v>
      </c>
      <c r="BW96" s="783">
        <f>IF('Incremental Repayments'!$R$22="Debt",IF(AND(BW$4&gt;=$D96,BW$4&lt;$D96+'Incremental Repayments'!$I$31),-PMT('Interest Rate'!$J$16,'Incremental Repayments'!$I$31,(HLOOKUP($D96,$E$4:$CZ$32,28,FALSE)*'Incremental Repayments'!$I$22)),0),0)</f>
        <v>0</v>
      </c>
      <c r="BX96" s="783">
        <f>IF('Incremental Repayments'!$R$22="Debt",IF(AND(BX$4&gt;=$D96,BX$4&lt;$D96+'Incremental Repayments'!$I$31),-PMT('Interest Rate'!$J$16,'Incremental Repayments'!$I$31,(HLOOKUP($D96,$E$4:$CZ$32,28,FALSE)*'Incremental Repayments'!$I$22)),0),0)</f>
        <v>0</v>
      </c>
      <c r="BY96" s="783">
        <f>IF('Incremental Repayments'!$R$22="Debt",IF(AND(BY$4&gt;=$D96,BY$4&lt;$D96+'Incremental Repayments'!$I$31),-PMT('Interest Rate'!$J$16,'Incremental Repayments'!$I$31,(HLOOKUP($D96,$E$4:$CZ$32,28,FALSE)*'Incremental Repayments'!$I$22)),0),0)</f>
        <v>0</v>
      </c>
      <c r="BZ96" s="783">
        <f>IF('Incremental Repayments'!$R$22="Debt",IF(AND(BZ$4&gt;=$D96,BZ$4&lt;$D96+'Incremental Repayments'!$I$31),-PMT('Interest Rate'!$J$16,'Incremental Repayments'!$I$31,(HLOOKUP($D96,$E$4:$CZ$32,28,FALSE)*'Incremental Repayments'!$I$22)),0),0)</f>
        <v>0</v>
      </c>
      <c r="CA96" s="783">
        <f>IF('Incremental Repayments'!$R$22="Debt",IF(AND(CA$4&gt;=$D96,CA$4&lt;$D96+'Incremental Repayments'!$I$31),-PMT('Interest Rate'!$J$16,'Incremental Repayments'!$I$31,(HLOOKUP($D96,$E$4:$CZ$32,28,FALSE)*'Incremental Repayments'!$I$22)),0),0)</f>
        <v>0</v>
      </c>
      <c r="CB96" s="783">
        <f>IF('Incremental Repayments'!$R$22="Debt",IF(AND(CB$4&gt;=$D96,CB$4&lt;$D96+'Incremental Repayments'!$I$31),-PMT('Interest Rate'!$J$16,'Incremental Repayments'!$I$31,(HLOOKUP($D96,$E$4:$CZ$32,28,FALSE)*'Incremental Repayments'!$I$22)),0),0)</f>
        <v>0</v>
      </c>
      <c r="CC96" s="783">
        <f>IF('Incremental Repayments'!$R$22="Debt",IF(AND(CC$4&gt;=$D96,CC$4&lt;$D96+'Incremental Repayments'!$I$31),-PMT('Interest Rate'!$J$16,'Incremental Repayments'!$I$31,(HLOOKUP($D96,$E$4:$CZ$32,28,FALSE)*'Incremental Repayments'!$I$22)),0),0)</f>
        <v>0</v>
      </c>
      <c r="CD96" s="783">
        <f>IF('Incremental Repayments'!$R$22="Debt",IF(AND(CD$4&gt;=$D96,CD$4&lt;$D96+'Incremental Repayments'!$I$31),-PMT('Interest Rate'!$J$16,'Incremental Repayments'!$I$31,(HLOOKUP($D96,$E$4:$CZ$32,28,FALSE)*'Incremental Repayments'!$I$22)),0),0)</f>
        <v>0</v>
      </c>
      <c r="CE96" s="783">
        <f>IF('Incremental Repayments'!$R$22="Debt",IF(AND(CE$4&gt;=$D96,CE$4&lt;$D96+'Incremental Repayments'!$I$31),-PMT('Interest Rate'!$J$16,'Incremental Repayments'!$I$31,(HLOOKUP($D96,$E$4:$CZ$32,28,FALSE)*'Incremental Repayments'!$I$22)),0),0)</f>
        <v>0</v>
      </c>
      <c r="CF96" s="783">
        <f>IF('Incremental Repayments'!$R$22="Debt",IF(AND(CF$4&gt;=$D96,CF$4&lt;$D96+'Incremental Repayments'!$I$31),-PMT('Interest Rate'!$J$16,'Incremental Repayments'!$I$31,(HLOOKUP($D96,$E$4:$CZ$32,28,FALSE)*'Incremental Repayments'!$I$22)),0),0)</f>
        <v>0</v>
      </c>
      <c r="CG96" s="783">
        <f>IF('Incremental Repayments'!$R$22="Debt",IF(AND(CG$4&gt;=$D96,CG$4&lt;$D96+'Incremental Repayments'!$I$31),-PMT('Interest Rate'!$J$16,'Incremental Repayments'!$I$31,(HLOOKUP($D96,$E$4:$CZ$32,28,FALSE)*'Incremental Repayments'!$I$22)),0),0)</f>
        <v>0</v>
      </c>
      <c r="CH96" s="783">
        <f>IF('Incremental Repayments'!$R$22="Debt",IF(AND(CH$4&gt;=$D96,CH$4&lt;$D96+'Incremental Repayments'!$I$31),-PMT('Interest Rate'!$J$16,'Incremental Repayments'!$I$31,(HLOOKUP($D96,$E$4:$CZ$32,28,FALSE)*'Incremental Repayments'!$I$22)),0),0)</f>
        <v>0</v>
      </c>
      <c r="CI96" s="783">
        <f>IF('Incremental Repayments'!$R$22="Debt",IF(AND(CI$4&gt;=$D96,CI$4&lt;$D96+'Incremental Repayments'!$I$31),-PMT('Interest Rate'!$J$16,'Incremental Repayments'!$I$31,(HLOOKUP($D96,$E$4:$CZ$32,28,FALSE)*'Incremental Repayments'!$I$22)),0),0)</f>
        <v>0</v>
      </c>
      <c r="CJ96" s="783">
        <f>IF('Incremental Repayments'!$R$22="Debt",IF(AND(CJ$4&gt;=$D96,CJ$4&lt;$D96+'Incremental Repayments'!$I$31),-PMT('Interest Rate'!$J$16,'Incremental Repayments'!$I$31,(HLOOKUP($D96,$E$4:$CZ$32,28,FALSE)*'Incremental Repayments'!$I$22)),0),0)</f>
        <v>0</v>
      </c>
      <c r="CK96" s="783">
        <f>IF('Incremental Repayments'!$R$22="Debt",IF(AND(CK$4&gt;=$D96,CK$4&lt;$D96+'Incremental Repayments'!$I$31),-PMT('Interest Rate'!$J$16,'Incremental Repayments'!$I$31,(HLOOKUP($D96,$E$4:$CZ$32,28,FALSE)*'Incremental Repayments'!$I$22)),0),0)</f>
        <v>0</v>
      </c>
      <c r="CL96" s="783">
        <f>IF('Incremental Repayments'!$R$22="Debt",IF(AND(CL$4&gt;=$D96,CL$4&lt;$D96+'Incremental Repayments'!$I$31),-PMT('Interest Rate'!$J$16,'Incremental Repayments'!$I$31,(HLOOKUP($D96,$E$4:$CZ$32,28,FALSE)*'Incremental Repayments'!$I$22)),0),0)</f>
        <v>0</v>
      </c>
      <c r="CM96" s="783">
        <f>IF('Incremental Repayments'!$R$22="Debt",IF(AND(CM$4&gt;=$D96,CM$4&lt;$D96+'Incremental Repayments'!$I$31),-PMT('Interest Rate'!$J$16,'Incremental Repayments'!$I$31,(HLOOKUP($D96,$E$4:$CZ$32,28,FALSE)*'Incremental Repayments'!$I$22)),0),0)</f>
        <v>0</v>
      </c>
      <c r="CN96" s="783">
        <f>IF('Incremental Repayments'!$R$22="Debt",IF(AND(CN$4&gt;=$D96,CN$4&lt;$D96+'Incremental Repayments'!$I$31),-PMT('Interest Rate'!$J$16,'Incremental Repayments'!$I$31,(HLOOKUP($D96,$E$4:$CZ$32,28,FALSE)*'Incremental Repayments'!$I$22)),0),0)</f>
        <v>0</v>
      </c>
      <c r="CO96" s="783">
        <f>IF('Incremental Repayments'!$R$22="Debt",IF(AND(CO$4&gt;=$D96,CO$4&lt;$D96+'Incremental Repayments'!$I$31),-PMT('Interest Rate'!$J$16,'Incremental Repayments'!$I$31,(HLOOKUP($D96,$E$4:$CZ$32,28,FALSE)*'Incremental Repayments'!$I$22)),0),0)</f>
        <v>0</v>
      </c>
      <c r="CP96" s="783">
        <f>IF('Incremental Repayments'!$R$22="Debt",IF(AND(CP$4&gt;=$D96,CP$4&lt;$D96+'Incremental Repayments'!$I$31),-PMT('Interest Rate'!$J$16,'Incremental Repayments'!$I$31,(HLOOKUP($D96,$E$4:$CZ$32,28,FALSE)*'Incremental Repayments'!$I$22)),0),0)</f>
        <v>0</v>
      </c>
      <c r="CQ96" s="783">
        <f>IF('Incremental Repayments'!$R$22="Debt",IF(AND(CQ$4&gt;=$D96,CQ$4&lt;$D96+'Incremental Repayments'!$I$31),-PMT('Interest Rate'!$J$16,'Incremental Repayments'!$I$31,(HLOOKUP($D96,$E$4:$CZ$32,28,FALSE)*'Incremental Repayments'!$I$22)),0),0)</f>
        <v>0</v>
      </c>
      <c r="CR96" s="783">
        <f>IF('Incremental Repayments'!$R$22="Debt",IF(AND(CR$4&gt;=$D96,CR$4&lt;$D96+'Incremental Repayments'!$I$31),-PMT('Interest Rate'!$J$16,'Incremental Repayments'!$I$31,(HLOOKUP($D96,$E$4:$CZ$32,28,FALSE)*'Incremental Repayments'!$I$22)),0),0)</f>
        <v>0</v>
      </c>
      <c r="CS96" s="783">
        <f>IF('Incremental Repayments'!$R$22="Debt",IF(AND(CS$4&gt;=$D96,CS$4&lt;$D96+'Incremental Repayments'!$I$31),-PMT('Interest Rate'!$J$16,'Incremental Repayments'!$I$31,(HLOOKUP($D96,$E$4:$CZ$32,28,FALSE)*'Incremental Repayments'!$I$22)),0),0)</f>
        <v>0</v>
      </c>
      <c r="CT96" s="783">
        <f>IF('Incremental Repayments'!$R$22="Debt",IF(AND(CT$4&gt;=$D96,CT$4&lt;$D96+'Incremental Repayments'!$I$31),-PMT('Interest Rate'!$J$16,'Incremental Repayments'!$I$31,(HLOOKUP($D96,$E$4:$CZ$32,28,FALSE)*'Incremental Repayments'!$I$22)),0),0)</f>
        <v>0</v>
      </c>
      <c r="CU96" s="783">
        <f>IF('Incremental Repayments'!$R$22="Debt",IF(AND(CU$4&gt;=$D96,CU$4&lt;$D96+'Incremental Repayments'!$I$31),-PMT('Interest Rate'!$J$16,'Incremental Repayments'!$I$31,(HLOOKUP($D96,$E$4:$CZ$32,28,FALSE)*'Incremental Repayments'!$I$22)),0),0)</f>
        <v>0</v>
      </c>
      <c r="CV96" s="783">
        <f>IF('Incremental Repayments'!$R$22="Debt",IF(AND(CV$4&gt;=$D96,CV$4&lt;$D96+'Incremental Repayments'!$I$31),-PMT('Interest Rate'!$J$16,'Incremental Repayments'!$I$31,(HLOOKUP($D96,$E$4:$CZ$32,28,FALSE)*'Incremental Repayments'!$I$22)),0),0)</f>
        <v>0</v>
      </c>
      <c r="CW96" s="783">
        <f>IF('Incremental Repayments'!$R$22="Debt",IF(AND(CW$4&gt;=$D96,CW$4&lt;$D96+'Incremental Repayments'!$I$31),-PMT('Interest Rate'!$J$16,'Incremental Repayments'!$I$31,(HLOOKUP($D96,$E$4:$CZ$32,28,FALSE)*'Incremental Repayments'!$I$22)),0),0)</f>
        <v>0</v>
      </c>
      <c r="CX96" s="783">
        <f>IF('Incremental Repayments'!$R$22="Debt",IF(AND(CX$4&gt;=$D96,CX$4&lt;$D96+'Incremental Repayments'!$I$31),-PMT('Interest Rate'!$J$16,'Incremental Repayments'!$I$31,(HLOOKUP($D96,$E$4:$CZ$32,28,FALSE)*'Incremental Repayments'!$I$22)),0),0)</f>
        <v>0</v>
      </c>
      <c r="CY96" s="783">
        <f>IF('Incremental Repayments'!$R$22="Debt",IF(AND(CY$4&gt;=$D96,CY$4&lt;$D96+'Incremental Repayments'!$I$31),-PMT('Interest Rate'!$J$16,'Incremental Repayments'!$I$31,(HLOOKUP($D96,$E$4:$CZ$32,28,FALSE)*'Incremental Repayments'!$I$22)),0),0)</f>
        <v>0</v>
      </c>
      <c r="CZ96" s="783">
        <f>IF('Incremental Repayments'!$R$22="Debt",IF(AND(CZ$4&gt;=$D96,CZ$4&lt;$D96+'Incremental Repayments'!$I$31),-PMT('Interest Rate'!$J$16,'Incremental Repayments'!$I$31,(HLOOKUP($D96,$E$4:$CZ$32,28,FALSE)*'Incremental Repayments'!$I$22)),0),0)</f>
        <v>0</v>
      </c>
    </row>
    <row r="97" spans="2:104" x14ac:dyDescent="0.25">
      <c r="B97" s="480" t="str">
        <f>CONCATENATE("Series ",D97,"A Bonds (at ",'Interest Rate'!$J$16*100,"% Interest)")</f>
        <v>Series 2075A Bonds (at 4.5% Interest)</v>
      </c>
      <c r="C97" s="480"/>
      <c r="D97" s="492">
        <f t="shared" si="47"/>
        <v>2075</v>
      </c>
      <c r="E97" s="783">
        <f>IF('Incremental Repayments'!$R$22="Debt",IF(AND(E$4&gt;=$D97,E$4&lt;$D97+'Incremental Repayments'!$I$31),-PMT('Interest Rate'!$J$16,'Incremental Repayments'!$I$31,(HLOOKUP($D97,$E$4:$CZ$32,28,FALSE)*'Incremental Repayments'!$I$22)),0),0)</f>
        <v>0</v>
      </c>
      <c r="F97" s="783">
        <f>IF('Incremental Repayments'!$R$22="Debt",IF(AND(F$4&gt;=$D97,F$4&lt;$D97+'Incremental Repayments'!$I$31),-PMT('Interest Rate'!$J$16,'Incremental Repayments'!$I$31,(HLOOKUP($D97,$E$4:$CZ$32,28,FALSE)*'Incremental Repayments'!$I$22)),0),0)</f>
        <v>0</v>
      </c>
      <c r="G97" s="783">
        <f>IF('Incremental Repayments'!$R$22="Debt",IF(AND(G$4&gt;=$D97,G$4&lt;$D97+'Incremental Repayments'!$I$31),-PMT('Interest Rate'!$J$16,'Incremental Repayments'!$I$31,(HLOOKUP($D97,$E$4:$CZ$32,28,FALSE)*'Incremental Repayments'!$I$22)),0),0)</f>
        <v>0</v>
      </c>
      <c r="H97" s="783">
        <f>IF('Incremental Repayments'!$R$22="Debt",IF(AND(H$4&gt;=$D97,H$4&lt;$D97+'Incremental Repayments'!$I$31),-PMT('Interest Rate'!$J$16,'Incremental Repayments'!$I$31,(HLOOKUP($D97,$E$4:$CZ$32,28,FALSE)*'Incremental Repayments'!$I$22)),0),0)</f>
        <v>0</v>
      </c>
      <c r="I97" s="783">
        <f>IF('Incremental Repayments'!$R$22="Debt",IF(AND(I$4&gt;=$D97,I$4&lt;$D97+'Incremental Repayments'!$I$31),-PMT('Interest Rate'!$J$16,'Incremental Repayments'!$I$31,(HLOOKUP($D97,$E$4:$CZ$32,28,FALSE)*'Incremental Repayments'!$I$22)),0),0)</f>
        <v>0</v>
      </c>
      <c r="J97" s="783">
        <f>IF('Incremental Repayments'!$R$22="Debt",IF(AND(J$4&gt;=$D97,J$4&lt;$D97+'Incremental Repayments'!$I$31),-PMT('Interest Rate'!$J$16,'Incremental Repayments'!$I$31,(HLOOKUP($D97,$E$4:$CZ$32,28,FALSE)*'Incremental Repayments'!$I$22)),0),0)</f>
        <v>0</v>
      </c>
      <c r="K97" s="783">
        <f>IF('Incremental Repayments'!$R$22="Debt",IF(AND(K$4&gt;=$D97,K$4&lt;$D97+'Incremental Repayments'!$I$31),-PMT('Interest Rate'!$J$16,'Incremental Repayments'!$I$31,(HLOOKUP($D97,$E$4:$CZ$32,28,FALSE)*'Incremental Repayments'!$I$22)),0),0)</f>
        <v>0</v>
      </c>
      <c r="L97" s="783">
        <f>IF('Incremental Repayments'!$R$22="Debt",IF(AND(L$4&gt;=$D97,L$4&lt;$D97+'Incremental Repayments'!$I$31),-PMT('Interest Rate'!$J$16,'Incremental Repayments'!$I$31,(HLOOKUP($D97,$E$4:$CZ$32,28,FALSE)*'Incremental Repayments'!$I$22)),0),0)</f>
        <v>0</v>
      </c>
      <c r="M97" s="783">
        <f>IF('Incremental Repayments'!$R$22="Debt",IF(AND(M$4&gt;=$D97,M$4&lt;$D97+'Incremental Repayments'!$I$31),-PMT('Interest Rate'!$J$16,'Incremental Repayments'!$I$31,(HLOOKUP($D97,$E$4:$CZ$32,28,FALSE)*'Incremental Repayments'!$I$22)),0),0)</f>
        <v>0</v>
      </c>
      <c r="N97" s="783">
        <f>IF('Incremental Repayments'!$R$22="Debt",IF(AND(N$4&gt;=$D97,N$4&lt;$D97+'Incremental Repayments'!$I$31),-PMT('Interest Rate'!$J$16,'Incremental Repayments'!$I$31,(HLOOKUP($D97,$E$4:$CZ$32,28,FALSE)*'Incremental Repayments'!$I$22)),0),0)</f>
        <v>0</v>
      </c>
      <c r="O97" s="783">
        <f>IF('Incremental Repayments'!$R$22="Debt",IF(AND(O$4&gt;=$D97,O$4&lt;$D97+'Incremental Repayments'!$I$31),-PMT('Interest Rate'!$J$16,'Incremental Repayments'!$I$31,(HLOOKUP($D97,$E$4:$CZ$32,28,FALSE)*'Incremental Repayments'!$I$22)),0),0)</f>
        <v>0</v>
      </c>
      <c r="P97" s="783">
        <f>IF('Incremental Repayments'!$R$22="Debt",IF(AND(P$4&gt;=$D97,P$4&lt;$D97+'Incremental Repayments'!$I$31),-PMT('Interest Rate'!$J$16,'Incremental Repayments'!$I$31,(HLOOKUP($D97,$E$4:$CZ$32,28,FALSE)*'Incremental Repayments'!$I$22)),0),0)</f>
        <v>0</v>
      </c>
      <c r="Q97" s="783">
        <f>IF('Incremental Repayments'!$R$22="Debt",IF(AND(Q$4&gt;=$D97,Q$4&lt;$D97+'Incremental Repayments'!$I$31),-PMT('Interest Rate'!$J$16,'Incremental Repayments'!$I$31,(HLOOKUP($D97,$E$4:$CZ$32,28,FALSE)*'Incremental Repayments'!$I$22)),0),0)</f>
        <v>0</v>
      </c>
      <c r="R97" s="783">
        <f>IF('Incremental Repayments'!$R$22="Debt",IF(AND(R$4&gt;=$D97,R$4&lt;$D97+'Incremental Repayments'!$I$31),-PMT('Interest Rate'!$J$16,'Incremental Repayments'!$I$31,(HLOOKUP($D97,$E$4:$CZ$32,28,FALSE)*'Incremental Repayments'!$I$22)),0),0)</f>
        <v>0</v>
      </c>
      <c r="S97" s="783">
        <f>IF('Incremental Repayments'!$R$22="Debt",IF(AND(S$4&gt;=$D97,S$4&lt;$D97+'Incremental Repayments'!$I$31),-PMT('Interest Rate'!$J$16,'Incremental Repayments'!$I$31,(HLOOKUP($D97,$E$4:$CZ$32,28,FALSE)*'Incremental Repayments'!$I$22)),0),0)</f>
        <v>0</v>
      </c>
      <c r="T97" s="783">
        <f>IF('Incremental Repayments'!$R$22="Debt",IF(AND(T$4&gt;=$D97,T$4&lt;$D97+'Incremental Repayments'!$I$31),-PMT('Interest Rate'!$J$16,'Incremental Repayments'!$I$31,(HLOOKUP($D97,$E$4:$CZ$32,28,FALSE)*'Incremental Repayments'!$I$22)),0),0)</f>
        <v>0</v>
      </c>
      <c r="U97" s="783">
        <f>IF('Incremental Repayments'!$R$22="Debt",IF(AND(U$4&gt;=$D97,U$4&lt;$D97+'Incremental Repayments'!$I$31),-PMT('Interest Rate'!$J$16,'Incremental Repayments'!$I$31,(HLOOKUP($D97,$E$4:$CZ$32,28,FALSE)*'Incremental Repayments'!$I$22)),0),0)</f>
        <v>0</v>
      </c>
      <c r="V97" s="783">
        <f>IF('Incremental Repayments'!$R$22="Debt",IF(AND(V$4&gt;=$D97,V$4&lt;$D97+'Incremental Repayments'!$I$31),-PMT('Interest Rate'!$J$16,'Incremental Repayments'!$I$31,(HLOOKUP($D97,$E$4:$CZ$32,28,FALSE)*'Incremental Repayments'!$I$22)),0),0)</f>
        <v>0</v>
      </c>
      <c r="W97" s="783">
        <f>IF('Incremental Repayments'!$R$22="Debt",IF(AND(W$4&gt;=$D97,W$4&lt;$D97+'Incremental Repayments'!$I$31),-PMT('Interest Rate'!$J$16,'Incremental Repayments'!$I$31,(HLOOKUP($D97,$E$4:$CZ$32,28,FALSE)*'Incremental Repayments'!$I$22)),0),0)</f>
        <v>0</v>
      </c>
      <c r="X97" s="783">
        <f>IF('Incremental Repayments'!$R$22="Debt",IF(AND(X$4&gt;=$D97,X$4&lt;$D97+'Incremental Repayments'!$I$31),-PMT('Interest Rate'!$J$16,'Incremental Repayments'!$I$31,(HLOOKUP($D97,$E$4:$CZ$32,28,FALSE)*'Incremental Repayments'!$I$22)),0),0)</f>
        <v>0</v>
      </c>
      <c r="Y97" s="783">
        <f>IF('Incremental Repayments'!$R$22="Debt",IF(AND(Y$4&gt;=$D97,Y$4&lt;$D97+'Incremental Repayments'!$I$31),-PMT('Interest Rate'!$J$16,'Incremental Repayments'!$I$31,(HLOOKUP($D97,$E$4:$CZ$32,28,FALSE)*'Incremental Repayments'!$I$22)),0),0)</f>
        <v>0</v>
      </c>
      <c r="Z97" s="783">
        <f>IF('Incremental Repayments'!$R$22="Debt",IF(AND(Z$4&gt;=$D97,Z$4&lt;$D97+'Incremental Repayments'!$I$31),-PMT('Interest Rate'!$J$16,'Incremental Repayments'!$I$31,(HLOOKUP($D97,$E$4:$CZ$32,28,FALSE)*'Incremental Repayments'!$I$22)),0),0)</f>
        <v>0</v>
      </c>
      <c r="AA97" s="783">
        <f>IF('Incremental Repayments'!$R$22="Debt",IF(AND(AA$4&gt;=$D97,AA$4&lt;$D97+'Incremental Repayments'!$I$31),-PMT('Interest Rate'!$J$16,'Incremental Repayments'!$I$31,(HLOOKUP($D97,$E$4:$CZ$32,28,FALSE)*'Incremental Repayments'!$I$22)),0),0)</f>
        <v>0</v>
      </c>
      <c r="AB97" s="783">
        <f>IF('Incremental Repayments'!$R$22="Debt",IF(AND(AB$4&gt;=$D97,AB$4&lt;$D97+'Incremental Repayments'!$I$31),-PMT('Interest Rate'!$J$16,'Incremental Repayments'!$I$31,(HLOOKUP($D97,$E$4:$CZ$32,28,FALSE)*'Incremental Repayments'!$I$22)),0),0)</f>
        <v>0</v>
      </c>
      <c r="AC97" s="783">
        <f>IF('Incremental Repayments'!$R$22="Debt",IF(AND(AC$4&gt;=$D97,AC$4&lt;$D97+'Incremental Repayments'!$I$31),-PMT('Interest Rate'!$J$16,'Incremental Repayments'!$I$31,(HLOOKUP($D97,$E$4:$CZ$32,28,FALSE)*'Incremental Repayments'!$I$22)),0),0)</f>
        <v>0</v>
      </c>
      <c r="AD97" s="783">
        <f>IF('Incremental Repayments'!$R$22="Debt",IF(AND(AD$4&gt;=$D97,AD$4&lt;$D97+'Incremental Repayments'!$I$31),-PMT('Interest Rate'!$J$16,'Incremental Repayments'!$I$31,(HLOOKUP($D97,$E$4:$CZ$32,28,FALSE)*'Incremental Repayments'!$I$22)),0),0)</f>
        <v>0</v>
      </c>
      <c r="AE97" s="783">
        <f>IF('Incremental Repayments'!$R$22="Debt",IF(AND(AE$4&gt;=$D97,AE$4&lt;$D97+'Incremental Repayments'!$I$31),-PMT('Interest Rate'!$J$16,'Incremental Repayments'!$I$31,(HLOOKUP($D97,$E$4:$CZ$32,28,FALSE)*'Incremental Repayments'!$I$22)),0),0)</f>
        <v>0</v>
      </c>
      <c r="AF97" s="783">
        <f>IF('Incremental Repayments'!$R$22="Debt",IF(AND(AF$4&gt;=$D97,AF$4&lt;$D97+'Incremental Repayments'!$I$31),-PMT('Interest Rate'!$J$16,'Incremental Repayments'!$I$31,(HLOOKUP($D97,$E$4:$CZ$32,28,FALSE)*'Incremental Repayments'!$I$22)),0),0)</f>
        <v>0</v>
      </c>
      <c r="AG97" s="783">
        <f>IF('Incremental Repayments'!$R$22="Debt",IF(AND(AG$4&gt;=$D97,AG$4&lt;$D97+'Incremental Repayments'!$I$31),-PMT('Interest Rate'!$J$16,'Incremental Repayments'!$I$31,(HLOOKUP($D97,$E$4:$CZ$32,28,FALSE)*'Incremental Repayments'!$I$22)),0),0)</f>
        <v>0</v>
      </c>
      <c r="AH97" s="783">
        <f>IF('Incremental Repayments'!$R$22="Debt",IF(AND(AH$4&gt;=$D97,AH$4&lt;$D97+'Incremental Repayments'!$I$31),-PMT('Interest Rate'!$J$16,'Incremental Repayments'!$I$31,(HLOOKUP($D97,$E$4:$CZ$32,28,FALSE)*'Incremental Repayments'!$I$22)),0),0)</f>
        <v>0</v>
      </c>
      <c r="AI97" s="783">
        <f>IF('Incremental Repayments'!$R$22="Debt",IF(AND(AI$4&gt;=$D97,AI$4&lt;$D97+'Incremental Repayments'!$I$31),-PMT('Interest Rate'!$J$16,'Incremental Repayments'!$I$31,(HLOOKUP($D97,$E$4:$CZ$32,28,FALSE)*'Incremental Repayments'!$I$22)),0),0)</f>
        <v>0</v>
      </c>
      <c r="AJ97" s="783">
        <f>IF('Incremental Repayments'!$R$22="Debt",IF(AND(AJ$4&gt;=$D97,AJ$4&lt;$D97+'Incremental Repayments'!$I$31),-PMT('Interest Rate'!$J$16,'Incremental Repayments'!$I$31,(HLOOKUP($D97,$E$4:$CZ$32,28,FALSE)*'Incremental Repayments'!$I$22)),0),0)</f>
        <v>0</v>
      </c>
      <c r="AK97" s="783">
        <f>IF('Incremental Repayments'!$R$22="Debt",IF(AND(AK$4&gt;=$D97,AK$4&lt;$D97+'Incremental Repayments'!$I$31),-PMT('Interest Rate'!$J$16,'Incremental Repayments'!$I$31,(HLOOKUP($D97,$E$4:$CZ$32,28,FALSE)*'Incremental Repayments'!$I$22)),0),0)</f>
        <v>0</v>
      </c>
      <c r="AL97" s="783">
        <f>IF('Incremental Repayments'!$R$22="Debt",IF(AND(AL$4&gt;=$D97,AL$4&lt;$D97+'Incremental Repayments'!$I$31),-PMT('Interest Rate'!$J$16,'Incremental Repayments'!$I$31,(HLOOKUP($D97,$E$4:$CZ$32,28,FALSE)*'Incremental Repayments'!$I$22)),0),0)</f>
        <v>0</v>
      </c>
      <c r="AM97" s="783">
        <f>IF('Incremental Repayments'!$R$22="Debt",IF(AND(AM$4&gt;=$D97,AM$4&lt;$D97+'Incremental Repayments'!$I$31),-PMT('Interest Rate'!$J$16,'Incremental Repayments'!$I$31,(HLOOKUP($D97,$E$4:$CZ$32,28,FALSE)*'Incremental Repayments'!$I$22)),0),0)</f>
        <v>0</v>
      </c>
      <c r="AN97" s="783">
        <f>IF('Incremental Repayments'!$R$22="Debt",IF(AND(AN$4&gt;=$D97,AN$4&lt;$D97+'Incremental Repayments'!$I$31),-PMT('Interest Rate'!$J$16,'Incremental Repayments'!$I$31,(HLOOKUP($D97,$E$4:$CZ$32,28,FALSE)*'Incremental Repayments'!$I$22)),0),0)</f>
        <v>0</v>
      </c>
      <c r="AO97" s="783">
        <f>IF('Incremental Repayments'!$R$22="Debt",IF(AND(AO$4&gt;=$D97,AO$4&lt;$D97+'Incremental Repayments'!$I$31),-PMT('Interest Rate'!$J$16,'Incremental Repayments'!$I$31,(HLOOKUP($D97,$E$4:$CZ$32,28,FALSE)*'Incremental Repayments'!$I$22)),0),0)</f>
        <v>0</v>
      </c>
      <c r="AP97" s="783">
        <f>IF('Incremental Repayments'!$R$22="Debt",IF(AND(AP$4&gt;=$D97,AP$4&lt;$D97+'Incremental Repayments'!$I$31),-PMT('Interest Rate'!$J$16,'Incremental Repayments'!$I$31,(HLOOKUP($D97,$E$4:$CZ$32,28,FALSE)*'Incremental Repayments'!$I$22)),0),0)</f>
        <v>0</v>
      </c>
      <c r="AQ97" s="783">
        <f>IF('Incremental Repayments'!$R$22="Debt",IF(AND(AQ$4&gt;=$D97,AQ$4&lt;$D97+'Incremental Repayments'!$I$31),-PMT('Interest Rate'!$J$16,'Incremental Repayments'!$I$31,(HLOOKUP($D97,$E$4:$CZ$32,28,FALSE)*'Incremental Repayments'!$I$22)),0),0)</f>
        <v>0</v>
      </c>
      <c r="AR97" s="783">
        <f>IF('Incremental Repayments'!$R$22="Debt",IF(AND(AR$4&gt;=$D97,AR$4&lt;$D97+'Incremental Repayments'!$I$31),-PMT('Interest Rate'!$J$16,'Incremental Repayments'!$I$31,(HLOOKUP($D97,$E$4:$CZ$32,28,FALSE)*'Incremental Repayments'!$I$22)),0),0)</f>
        <v>0</v>
      </c>
      <c r="AS97" s="783">
        <f>IF('Incremental Repayments'!$R$22="Debt",IF(AND(AS$4&gt;=$D97,AS$4&lt;$D97+'Incremental Repayments'!$I$31),-PMT('Interest Rate'!$J$16,'Incremental Repayments'!$I$31,(HLOOKUP($D97,$E$4:$CZ$32,28,FALSE)*'Incremental Repayments'!$I$22)),0),0)</f>
        <v>0</v>
      </c>
      <c r="AT97" s="783">
        <f>IF('Incremental Repayments'!$R$22="Debt",IF(AND(AT$4&gt;=$D97,AT$4&lt;$D97+'Incremental Repayments'!$I$31),-PMT('Interest Rate'!$J$16,'Incremental Repayments'!$I$31,(HLOOKUP($D97,$E$4:$CZ$32,28,FALSE)*'Incremental Repayments'!$I$22)),0),0)</f>
        <v>0</v>
      </c>
      <c r="AU97" s="783">
        <f>IF('Incremental Repayments'!$R$22="Debt",IF(AND(AU$4&gt;=$D97,AU$4&lt;$D97+'Incremental Repayments'!$I$31),-PMT('Interest Rate'!$J$16,'Incremental Repayments'!$I$31,(HLOOKUP($D97,$E$4:$CZ$32,28,FALSE)*'Incremental Repayments'!$I$22)),0),0)</f>
        <v>0</v>
      </c>
      <c r="AV97" s="783">
        <f>IF('Incremental Repayments'!$R$22="Debt",IF(AND(AV$4&gt;=$D97,AV$4&lt;$D97+'Incremental Repayments'!$I$31),-PMT('Interest Rate'!$J$16,'Incremental Repayments'!$I$31,(HLOOKUP($D97,$E$4:$CZ$32,28,FALSE)*'Incremental Repayments'!$I$22)),0),0)</f>
        <v>0</v>
      </c>
      <c r="AW97" s="783">
        <f>IF('Incremental Repayments'!$R$22="Debt",IF(AND(AW$4&gt;=$D97,AW$4&lt;$D97+'Incremental Repayments'!$I$31),-PMT('Interest Rate'!$J$16,'Incremental Repayments'!$I$31,(HLOOKUP($D97,$E$4:$CZ$32,28,FALSE)*'Incremental Repayments'!$I$22)),0),0)</f>
        <v>0</v>
      </c>
      <c r="AX97" s="783">
        <f>IF('Incremental Repayments'!$R$22="Debt",IF(AND(AX$4&gt;=$D97,AX$4&lt;$D97+'Incremental Repayments'!$I$31),-PMT('Interest Rate'!$J$16,'Incremental Repayments'!$I$31,(HLOOKUP($D97,$E$4:$CZ$32,28,FALSE)*'Incremental Repayments'!$I$22)),0),0)</f>
        <v>0</v>
      </c>
      <c r="AY97" s="783">
        <f>IF('Incremental Repayments'!$R$22="Debt",IF(AND(AY$4&gt;=$D97,AY$4&lt;$D97+'Incremental Repayments'!$I$31),-PMT('Interest Rate'!$J$16,'Incremental Repayments'!$I$31,(HLOOKUP($D97,$E$4:$CZ$32,28,FALSE)*'Incremental Repayments'!$I$22)),0),0)</f>
        <v>0</v>
      </c>
      <c r="AZ97" s="783">
        <f>IF('Incremental Repayments'!$R$22="Debt",IF(AND(AZ$4&gt;=$D97,AZ$4&lt;$D97+'Incremental Repayments'!$I$31),-PMT('Interest Rate'!$J$16,'Incremental Repayments'!$I$31,(HLOOKUP($D97,$E$4:$CZ$32,28,FALSE)*'Incremental Repayments'!$I$22)),0),0)</f>
        <v>0</v>
      </c>
      <c r="BA97" s="783">
        <f>IF('Incremental Repayments'!$R$22="Debt",IF(AND(BA$4&gt;=$D97,BA$4&lt;$D97+'Incremental Repayments'!$I$31),-PMT('Interest Rate'!$J$16,'Incremental Repayments'!$I$31,(HLOOKUP($D97,$E$4:$CZ$32,28,FALSE)*'Incremental Repayments'!$I$22)),0),0)</f>
        <v>0</v>
      </c>
      <c r="BB97" s="783">
        <f>IF('Incremental Repayments'!$R$22="Debt",IF(AND(BB$4&gt;=$D97,BB$4&lt;$D97+'Incremental Repayments'!$I$31),-PMT('Interest Rate'!$J$16,'Incremental Repayments'!$I$31,(HLOOKUP($D97,$E$4:$CZ$32,28,FALSE)*'Incremental Repayments'!$I$22)),0),0)</f>
        <v>0</v>
      </c>
      <c r="BC97" s="783">
        <f>IF('Incremental Repayments'!$R$22="Debt",IF(AND(BC$4&gt;=$D97,BC$4&lt;$D97+'Incremental Repayments'!$I$31),-PMT('Interest Rate'!$J$16,'Incremental Repayments'!$I$31,(HLOOKUP($D97,$E$4:$CZ$32,28,FALSE)*'Incremental Repayments'!$I$22)),0),0)</f>
        <v>0</v>
      </c>
      <c r="BD97" s="783">
        <f>IF('Incremental Repayments'!$R$22="Debt",IF(AND(BD$4&gt;=$D97,BD$4&lt;$D97+'Incremental Repayments'!$I$31),-PMT('Interest Rate'!$J$16,'Incremental Repayments'!$I$31,(HLOOKUP($D97,$E$4:$CZ$32,28,FALSE)*'Incremental Repayments'!$I$22)),0),0)</f>
        <v>0</v>
      </c>
      <c r="BE97" s="783">
        <f>IF('Incremental Repayments'!$R$22="Debt",IF(AND(BE$4&gt;=$D97,BE$4&lt;$D97+'Incremental Repayments'!$I$31),-PMT('Interest Rate'!$J$16,'Incremental Repayments'!$I$31,(HLOOKUP($D97,$E$4:$CZ$32,28,FALSE)*'Incremental Repayments'!$I$22)),0),0)</f>
        <v>0</v>
      </c>
      <c r="BF97" s="783">
        <f>IF('Incremental Repayments'!$R$22="Debt",IF(AND(BF$4&gt;=$D97,BF$4&lt;$D97+'Incremental Repayments'!$I$31),-PMT('Interest Rate'!$J$16,'Incremental Repayments'!$I$31,(HLOOKUP($D97,$E$4:$CZ$32,28,FALSE)*'Incremental Repayments'!$I$22)),0),0)</f>
        <v>0</v>
      </c>
      <c r="BG97" s="783">
        <f>IF('Incremental Repayments'!$R$22="Debt",IF(AND(BG$4&gt;=$D97,BG$4&lt;$D97+'Incremental Repayments'!$I$31),-PMT('Interest Rate'!$J$16,'Incremental Repayments'!$I$31,(HLOOKUP($D97,$E$4:$CZ$32,28,FALSE)*'Incremental Repayments'!$I$22)),0),0)</f>
        <v>0</v>
      </c>
      <c r="BH97" s="783">
        <f>IF('Incremental Repayments'!$R$22="Debt",IF(AND(BH$4&gt;=$D97,BH$4&lt;$D97+'Incremental Repayments'!$I$31),-PMT('Interest Rate'!$J$16,'Incremental Repayments'!$I$31,(HLOOKUP($D97,$E$4:$CZ$32,28,FALSE)*'Incremental Repayments'!$I$22)),0),0)</f>
        <v>0</v>
      </c>
      <c r="BI97" s="783">
        <f>IF('Incremental Repayments'!$R$22="Debt",IF(AND(BI$4&gt;=$D97,BI$4&lt;$D97+'Incremental Repayments'!$I$31),-PMT('Interest Rate'!$J$16,'Incremental Repayments'!$I$31,(HLOOKUP($D97,$E$4:$CZ$32,28,FALSE)*'Incremental Repayments'!$I$22)),0),0)</f>
        <v>0</v>
      </c>
      <c r="BJ97" s="783">
        <f>IF('Incremental Repayments'!$R$22="Debt",IF(AND(BJ$4&gt;=$D97,BJ$4&lt;$D97+'Incremental Repayments'!$I$31),-PMT('Interest Rate'!$J$16,'Incremental Repayments'!$I$31,(HLOOKUP($D97,$E$4:$CZ$32,28,FALSE)*'Incremental Repayments'!$I$22)),0),0)</f>
        <v>0</v>
      </c>
      <c r="BK97" s="783">
        <f>IF('Incremental Repayments'!$R$22="Debt",IF(AND(BK$4&gt;=$D97,BK$4&lt;$D97+'Incremental Repayments'!$I$31),-PMT('Interest Rate'!$J$16,'Incremental Repayments'!$I$31,(HLOOKUP($D97,$E$4:$CZ$32,28,FALSE)*'Incremental Repayments'!$I$22)),0),0)</f>
        <v>0</v>
      </c>
      <c r="BL97" s="783">
        <f>IF('Incremental Repayments'!$R$22="Debt",IF(AND(BL$4&gt;=$D97,BL$4&lt;$D97+'Incremental Repayments'!$I$31),-PMT('Interest Rate'!$J$16,'Incremental Repayments'!$I$31,(HLOOKUP($D97,$E$4:$CZ$32,28,FALSE)*'Incremental Repayments'!$I$22)),0),0)</f>
        <v>0</v>
      </c>
      <c r="BM97" s="783">
        <f>IF('Incremental Repayments'!$R$22="Debt",IF(AND(BM$4&gt;=$D97,BM$4&lt;$D97+'Incremental Repayments'!$I$31),-PMT('Interest Rate'!$J$16,'Incremental Repayments'!$I$31,(HLOOKUP($D97,$E$4:$CZ$32,28,FALSE)*'Incremental Repayments'!$I$22)),0),0)</f>
        <v>0</v>
      </c>
      <c r="BN97" s="783">
        <f>IF('Incremental Repayments'!$R$22="Debt",IF(AND(BN$4&gt;=$D97,BN$4&lt;$D97+'Incremental Repayments'!$I$31),-PMT('Interest Rate'!$J$16,'Incremental Repayments'!$I$31,(HLOOKUP($D97,$E$4:$CZ$32,28,FALSE)*'Incremental Repayments'!$I$22)),0),0)</f>
        <v>0</v>
      </c>
      <c r="BO97" s="783">
        <f>IF('Incremental Repayments'!$R$22="Debt",IF(AND(BO$4&gt;=$D97,BO$4&lt;$D97+'Incremental Repayments'!$I$31),-PMT('Interest Rate'!$J$16,'Incremental Repayments'!$I$31,(HLOOKUP($D97,$E$4:$CZ$32,28,FALSE)*'Incremental Repayments'!$I$22)),0),0)</f>
        <v>0</v>
      </c>
      <c r="BP97" s="783">
        <f>IF('Incremental Repayments'!$R$22="Debt",IF(AND(BP$4&gt;=$D97,BP$4&lt;$D97+'Incremental Repayments'!$I$31),-PMT('Interest Rate'!$J$16,'Incremental Repayments'!$I$31,(HLOOKUP($D97,$E$4:$CZ$32,28,FALSE)*'Incremental Repayments'!$I$22)),0),0)</f>
        <v>0</v>
      </c>
      <c r="BQ97" s="783">
        <f>IF('Incremental Repayments'!$R$22="Debt",IF(AND(BQ$4&gt;=$D97,BQ$4&lt;$D97+'Incremental Repayments'!$I$31),-PMT('Interest Rate'!$J$16,'Incremental Repayments'!$I$31,(HLOOKUP($D97,$E$4:$CZ$32,28,FALSE)*'Incremental Repayments'!$I$22)),0),0)</f>
        <v>0</v>
      </c>
      <c r="BR97" s="783">
        <f>IF('Incremental Repayments'!$R$22="Debt",IF(AND(BR$4&gt;=$D97,BR$4&lt;$D97+'Incremental Repayments'!$I$31),-PMT('Interest Rate'!$J$16,'Incremental Repayments'!$I$31,(HLOOKUP($D97,$E$4:$CZ$32,28,FALSE)*'Incremental Repayments'!$I$22)),0),0)</f>
        <v>0</v>
      </c>
      <c r="BS97" s="783">
        <f>IF('Incremental Repayments'!$R$22="Debt",IF(AND(BS$4&gt;=$D97,BS$4&lt;$D97+'Incremental Repayments'!$I$31),-PMT('Interest Rate'!$J$16,'Incremental Repayments'!$I$31,(HLOOKUP($D97,$E$4:$CZ$32,28,FALSE)*'Incremental Repayments'!$I$22)),0),0)</f>
        <v>0</v>
      </c>
      <c r="BT97" s="783">
        <f>IF('Incremental Repayments'!$R$22="Debt",IF(AND(BT$4&gt;=$D97,BT$4&lt;$D97+'Incremental Repayments'!$I$31),-PMT('Interest Rate'!$J$16,'Incremental Repayments'!$I$31,(HLOOKUP($D97,$E$4:$CZ$32,28,FALSE)*'Incremental Repayments'!$I$22)),0),0)</f>
        <v>0</v>
      </c>
      <c r="BU97" s="783">
        <f>IF('Incremental Repayments'!$R$22="Debt",IF(AND(BU$4&gt;=$D97,BU$4&lt;$D97+'Incremental Repayments'!$I$31),-PMT('Interest Rate'!$J$16,'Incremental Repayments'!$I$31,(HLOOKUP($D97,$E$4:$CZ$32,28,FALSE)*'Incremental Repayments'!$I$22)),0),0)</f>
        <v>0</v>
      </c>
      <c r="BV97" s="783">
        <f>IF('Incremental Repayments'!$R$22="Debt",IF(AND(BV$4&gt;=$D97,BV$4&lt;$D97+'Incremental Repayments'!$I$31),-PMT('Interest Rate'!$J$16,'Incremental Repayments'!$I$31,(HLOOKUP($D97,$E$4:$CZ$32,28,FALSE)*'Incremental Repayments'!$I$22)),0),0)</f>
        <v>0</v>
      </c>
      <c r="BW97" s="783">
        <f>IF('Incremental Repayments'!$R$22="Debt",IF(AND(BW$4&gt;=$D97,BW$4&lt;$D97+'Incremental Repayments'!$I$31),-PMT('Interest Rate'!$J$16,'Incremental Repayments'!$I$31,(HLOOKUP($D97,$E$4:$CZ$32,28,FALSE)*'Incremental Repayments'!$I$22)),0),0)</f>
        <v>0</v>
      </c>
      <c r="BX97" s="783">
        <f>IF('Incremental Repayments'!$R$22="Debt",IF(AND(BX$4&gt;=$D97,BX$4&lt;$D97+'Incremental Repayments'!$I$31),-PMT('Interest Rate'!$J$16,'Incremental Repayments'!$I$31,(HLOOKUP($D97,$E$4:$CZ$32,28,FALSE)*'Incremental Repayments'!$I$22)),0),0)</f>
        <v>0</v>
      </c>
      <c r="BY97" s="783">
        <f>IF('Incremental Repayments'!$R$22="Debt",IF(AND(BY$4&gt;=$D97,BY$4&lt;$D97+'Incremental Repayments'!$I$31),-PMT('Interest Rate'!$J$16,'Incremental Repayments'!$I$31,(HLOOKUP($D97,$E$4:$CZ$32,28,FALSE)*'Incremental Repayments'!$I$22)),0),0)</f>
        <v>0</v>
      </c>
      <c r="BZ97" s="783">
        <f>IF('Incremental Repayments'!$R$22="Debt",IF(AND(BZ$4&gt;=$D97,BZ$4&lt;$D97+'Incremental Repayments'!$I$31),-PMT('Interest Rate'!$J$16,'Incremental Repayments'!$I$31,(HLOOKUP($D97,$E$4:$CZ$32,28,FALSE)*'Incremental Repayments'!$I$22)),0),0)</f>
        <v>0</v>
      </c>
      <c r="CA97" s="783">
        <f>IF('Incremental Repayments'!$R$22="Debt",IF(AND(CA$4&gt;=$D97,CA$4&lt;$D97+'Incremental Repayments'!$I$31),-PMT('Interest Rate'!$J$16,'Incremental Repayments'!$I$31,(HLOOKUP($D97,$E$4:$CZ$32,28,FALSE)*'Incremental Repayments'!$I$22)),0),0)</f>
        <v>0</v>
      </c>
      <c r="CB97" s="783">
        <f>IF('Incremental Repayments'!$R$22="Debt",IF(AND(CB$4&gt;=$D97,CB$4&lt;$D97+'Incremental Repayments'!$I$31),-PMT('Interest Rate'!$J$16,'Incremental Repayments'!$I$31,(HLOOKUP($D97,$E$4:$CZ$32,28,FALSE)*'Incremental Repayments'!$I$22)),0),0)</f>
        <v>0</v>
      </c>
      <c r="CC97" s="783">
        <f>IF('Incremental Repayments'!$R$22="Debt",IF(AND(CC$4&gt;=$D97,CC$4&lt;$D97+'Incremental Repayments'!$I$31),-PMT('Interest Rate'!$J$16,'Incremental Repayments'!$I$31,(HLOOKUP($D97,$E$4:$CZ$32,28,FALSE)*'Incremental Repayments'!$I$22)),0),0)</f>
        <v>0</v>
      </c>
      <c r="CD97" s="783">
        <f>IF('Incremental Repayments'!$R$22="Debt",IF(AND(CD$4&gt;=$D97,CD$4&lt;$D97+'Incremental Repayments'!$I$31),-PMT('Interest Rate'!$J$16,'Incremental Repayments'!$I$31,(HLOOKUP($D97,$E$4:$CZ$32,28,FALSE)*'Incremental Repayments'!$I$22)),0),0)</f>
        <v>0</v>
      </c>
      <c r="CE97" s="783">
        <f>IF('Incremental Repayments'!$R$22="Debt",IF(AND(CE$4&gt;=$D97,CE$4&lt;$D97+'Incremental Repayments'!$I$31),-PMT('Interest Rate'!$J$16,'Incremental Repayments'!$I$31,(HLOOKUP($D97,$E$4:$CZ$32,28,FALSE)*'Incremental Repayments'!$I$22)),0),0)</f>
        <v>0</v>
      </c>
      <c r="CF97" s="783">
        <f>IF('Incremental Repayments'!$R$22="Debt",IF(AND(CF$4&gt;=$D97,CF$4&lt;$D97+'Incremental Repayments'!$I$31),-PMT('Interest Rate'!$J$16,'Incremental Repayments'!$I$31,(HLOOKUP($D97,$E$4:$CZ$32,28,FALSE)*'Incremental Repayments'!$I$22)),0),0)</f>
        <v>0</v>
      </c>
      <c r="CG97" s="783">
        <f>IF('Incremental Repayments'!$R$22="Debt",IF(AND(CG$4&gt;=$D97,CG$4&lt;$D97+'Incremental Repayments'!$I$31),-PMT('Interest Rate'!$J$16,'Incremental Repayments'!$I$31,(HLOOKUP($D97,$E$4:$CZ$32,28,FALSE)*'Incremental Repayments'!$I$22)),0),0)</f>
        <v>0</v>
      </c>
      <c r="CH97" s="783">
        <f>IF('Incremental Repayments'!$R$22="Debt",IF(AND(CH$4&gt;=$D97,CH$4&lt;$D97+'Incremental Repayments'!$I$31),-PMT('Interest Rate'!$J$16,'Incremental Repayments'!$I$31,(HLOOKUP($D97,$E$4:$CZ$32,28,FALSE)*'Incremental Repayments'!$I$22)),0),0)</f>
        <v>0</v>
      </c>
      <c r="CI97" s="783">
        <f>IF('Incremental Repayments'!$R$22="Debt",IF(AND(CI$4&gt;=$D97,CI$4&lt;$D97+'Incremental Repayments'!$I$31),-PMT('Interest Rate'!$J$16,'Incremental Repayments'!$I$31,(HLOOKUP($D97,$E$4:$CZ$32,28,FALSE)*'Incremental Repayments'!$I$22)),0),0)</f>
        <v>0</v>
      </c>
      <c r="CJ97" s="783">
        <f>IF('Incremental Repayments'!$R$22="Debt",IF(AND(CJ$4&gt;=$D97,CJ$4&lt;$D97+'Incremental Repayments'!$I$31),-PMT('Interest Rate'!$J$16,'Incremental Repayments'!$I$31,(HLOOKUP($D97,$E$4:$CZ$32,28,FALSE)*'Incremental Repayments'!$I$22)),0),0)</f>
        <v>0</v>
      </c>
      <c r="CK97" s="783">
        <f>IF('Incremental Repayments'!$R$22="Debt",IF(AND(CK$4&gt;=$D97,CK$4&lt;$D97+'Incremental Repayments'!$I$31),-PMT('Interest Rate'!$J$16,'Incremental Repayments'!$I$31,(HLOOKUP($D97,$E$4:$CZ$32,28,FALSE)*'Incremental Repayments'!$I$22)),0),0)</f>
        <v>0</v>
      </c>
      <c r="CL97" s="783">
        <f>IF('Incremental Repayments'!$R$22="Debt",IF(AND(CL$4&gt;=$D97,CL$4&lt;$D97+'Incremental Repayments'!$I$31),-PMT('Interest Rate'!$J$16,'Incremental Repayments'!$I$31,(HLOOKUP($D97,$E$4:$CZ$32,28,FALSE)*'Incremental Repayments'!$I$22)),0),0)</f>
        <v>0</v>
      </c>
      <c r="CM97" s="783">
        <f>IF('Incremental Repayments'!$R$22="Debt",IF(AND(CM$4&gt;=$D97,CM$4&lt;$D97+'Incremental Repayments'!$I$31),-PMT('Interest Rate'!$J$16,'Incremental Repayments'!$I$31,(HLOOKUP($D97,$E$4:$CZ$32,28,FALSE)*'Incremental Repayments'!$I$22)),0),0)</f>
        <v>0</v>
      </c>
      <c r="CN97" s="783">
        <f>IF('Incremental Repayments'!$R$22="Debt",IF(AND(CN$4&gt;=$D97,CN$4&lt;$D97+'Incremental Repayments'!$I$31),-PMT('Interest Rate'!$J$16,'Incremental Repayments'!$I$31,(HLOOKUP($D97,$E$4:$CZ$32,28,FALSE)*'Incremental Repayments'!$I$22)),0),0)</f>
        <v>0</v>
      </c>
      <c r="CO97" s="783">
        <f>IF('Incremental Repayments'!$R$22="Debt",IF(AND(CO$4&gt;=$D97,CO$4&lt;$D97+'Incremental Repayments'!$I$31),-PMT('Interest Rate'!$J$16,'Incremental Repayments'!$I$31,(HLOOKUP($D97,$E$4:$CZ$32,28,FALSE)*'Incremental Repayments'!$I$22)),0),0)</f>
        <v>0</v>
      </c>
      <c r="CP97" s="783">
        <f>IF('Incremental Repayments'!$R$22="Debt",IF(AND(CP$4&gt;=$D97,CP$4&lt;$D97+'Incremental Repayments'!$I$31),-PMT('Interest Rate'!$J$16,'Incremental Repayments'!$I$31,(HLOOKUP($D97,$E$4:$CZ$32,28,FALSE)*'Incremental Repayments'!$I$22)),0),0)</f>
        <v>0</v>
      </c>
      <c r="CQ97" s="783">
        <f>IF('Incremental Repayments'!$R$22="Debt",IF(AND(CQ$4&gt;=$D97,CQ$4&lt;$D97+'Incremental Repayments'!$I$31),-PMT('Interest Rate'!$J$16,'Incremental Repayments'!$I$31,(HLOOKUP($D97,$E$4:$CZ$32,28,FALSE)*'Incremental Repayments'!$I$22)),0),0)</f>
        <v>0</v>
      </c>
      <c r="CR97" s="783">
        <f>IF('Incremental Repayments'!$R$22="Debt",IF(AND(CR$4&gt;=$D97,CR$4&lt;$D97+'Incremental Repayments'!$I$31),-PMT('Interest Rate'!$J$16,'Incremental Repayments'!$I$31,(HLOOKUP($D97,$E$4:$CZ$32,28,FALSE)*'Incremental Repayments'!$I$22)),0),0)</f>
        <v>0</v>
      </c>
      <c r="CS97" s="783">
        <f>IF('Incremental Repayments'!$R$22="Debt",IF(AND(CS$4&gt;=$D97,CS$4&lt;$D97+'Incremental Repayments'!$I$31),-PMT('Interest Rate'!$J$16,'Incremental Repayments'!$I$31,(HLOOKUP($D97,$E$4:$CZ$32,28,FALSE)*'Incremental Repayments'!$I$22)),0),0)</f>
        <v>0</v>
      </c>
      <c r="CT97" s="783">
        <f>IF('Incremental Repayments'!$R$22="Debt",IF(AND(CT$4&gt;=$D97,CT$4&lt;$D97+'Incremental Repayments'!$I$31),-PMT('Interest Rate'!$J$16,'Incremental Repayments'!$I$31,(HLOOKUP($D97,$E$4:$CZ$32,28,FALSE)*'Incremental Repayments'!$I$22)),0),0)</f>
        <v>0</v>
      </c>
      <c r="CU97" s="783">
        <f>IF('Incremental Repayments'!$R$22="Debt",IF(AND(CU$4&gt;=$D97,CU$4&lt;$D97+'Incremental Repayments'!$I$31),-PMT('Interest Rate'!$J$16,'Incremental Repayments'!$I$31,(HLOOKUP($D97,$E$4:$CZ$32,28,FALSE)*'Incremental Repayments'!$I$22)),0),0)</f>
        <v>0</v>
      </c>
      <c r="CV97" s="783">
        <f>IF('Incremental Repayments'!$R$22="Debt",IF(AND(CV$4&gt;=$D97,CV$4&lt;$D97+'Incremental Repayments'!$I$31),-PMT('Interest Rate'!$J$16,'Incremental Repayments'!$I$31,(HLOOKUP($D97,$E$4:$CZ$32,28,FALSE)*'Incremental Repayments'!$I$22)),0),0)</f>
        <v>0</v>
      </c>
      <c r="CW97" s="783">
        <f>IF('Incremental Repayments'!$R$22="Debt",IF(AND(CW$4&gt;=$D97,CW$4&lt;$D97+'Incremental Repayments'!$I$31),-PMT('Interest Rate'!$J$16,'Incremental Repayments'!$I$31,(HLOOKUP($D97,$E$4:$CZ$32,28,FALSE)*'Incremental Repayments'!$I$22)),0),0)</f>
        <v>0</v>
      </c>
      <c r="CX97" s="783">
        <f>IF('Incremental Repayments'!$R$22="Debt",IF(AND(CX$4&gt;=$D97,CX$4&lt;$D97+'Incremental Repayments'!$I$31),-PMT('Interest Rate'!$J$16,'Incremental Repayments'!$I$31,(HLOOKUP($D97,$E$4:$CZ$32,28,FALSE)*'Incremental Repayments'!$I$22)),0),0)</f>
        <v>0</v>
      </c>
      <c r="CY97" s="783">
        <f>IF('Incremental Repayments'!$R$22="Debt",IF(AND(CY$4&gt;=$D97,CY$4&lt;$D97+'Incremental Repayments'!$I$31),-PMT('Interest Rate'!$J$16,'Incremental Repayments'!$I$31,(HLOOKUP($D97,$E$4:$CZ$32,28,FALSE)*'Incremental Repayments'!$I$22)),0),0)</f>
        <v>0</v>
      </c>
      <c r="CZ97" s="783">
        <f>IF('Incremental Repayments'!$R$22="Debt",IF(AND(CZ$4&gt;=$D97,CZ$4&lt;$D97+'Incremental Repayments'!$I$31),-PMT('Interest Rate'!$J$16,'Incremental Repayments'!$I$31,(HLOOKUP($D97,$E$4:$CZ$32,28,FALSE)*'Incremental Repayments'!$I$22)),0),0)</f>
        <v>0</v>
      </c>
    </row>
    <row r="98" spans="2:104" x14ac:dyDescent="0.25">
      <c r="B98" s="480" t="str">
        <f>CONCATENATE("Series ",D98,"A Bonds (at ",'Interest Rate'!$J$16*100,"% Interest)")</f>
        <v>Series 2076A Bonds (at 4.5% Interest)</v>
      </c>
      <c r="C98" s="480"/>
      <c r="D98" s="492">
        <f t="shared" si="47"/>
        <v>2076</v>
      </c>
      <c r="E98" s="783">
        <f>IF('Incremental Repayments'!$R$22="Debt",IF(AND(E$4&gt;=$D98,E$4&lt;$D98+'Incremental Repayments'!$I$31),-PMT('Interest Rate'!$J$16,'Incremental Repayments'!$I$31,(HLOOKUP($D98,$E$4:$CZ$32,28,FALSE)*'Incremental Repayments'!$I$22)),0),0)</f>
        <v>0</v>
      </c>
      <c r="F98" s="783">
        <f>IF('Incremental Repayments'!$R$22="Debt",IF(AND(F$4&gt;=$D98,F$4&lt;$D98+'Incremental Repayments'!$I$31),-PMT('Interest Rate'!$J$16,'Incremental Repayments'!$I$31,(HLOOKUP($D98,$E$4:$CZ$32,28,FALSE)*'Incremental Repayments'!$I$22)),0),0)</f>
        <v>0</v>
      </c>
      <c r="G98" s="783">
        <f>IF('Incremental Repayments'!$R$22="Debt",IF(AND(G$4&gt;=$D98,G$4&lt;$D98+'Incremental Repayments'!$I$31),-PMT('Interest Rate'!$J$16,'Incremental Repayments'!$I$31,(HLOOKUP($D98,$E$4:$CZ$32,28,FALSE)*'Incremental Repayments'!$I$22)),0),0)</f>
        <v>0</v>
      </c>
      <c r="H98" s="783">
        <f>IF('Incremental Repayments'!$R$22="Debt",IF(AND(H$4&gt;=$D98,H$4&lt;$D98+'Incremental Repayments'!$I$31),-PMT('Interest Rate'!$J$16,'Incremental Repayments'!$I$31,(HLOOKUP($D98,$E$4:$CZ$32,28,FALSE)*'Incremental Repayments'!$I$22)),0),0)</f>
        <v>0</v>
      </c>
      <c r="I98" s="783">
        <f>IF('Incremental Repayments'!$R$22="Debt",IF(AND(I$4&gt;=$D98,I$4&lt;$D98+'Incremental Repayments'!$I$31),-PMT('Interest Rate'!$J$16,'Incremental Repayments'!$I$31,(HLOOKUP($D98,$E$4:$CZ$32,28,FALSE)*'Incremental Repayments'!$I$22)),0),0)</f>
        <v>0</v>
      </c>
      <c r="J98" s="783">
        <f>IF('Incremental Repayments'!$R$22="Debt",IF(AND(J$4&gt;=$D98,J$4&lt;$D98+'Incremental Repayments'!$I$31),-PMT('Interest Rate'!$J$16,'Incremental Repayments'!$I$31,(HLOOKUP($D98,$E$4:$CZ$32,28,FALSE)*'Incremental Repayments'!$I$22)),0),0)</f>
        <v>0</v>
      </c>
      <c r="K98" s="783">
        <f>IF('Incremental Repayments'!$R$22="Debt",IF(AND(K$4&gt;=$D98,K$4&lt;$D98+'Incremental Repayments'!$I$31),-PMT('Interest Rate'!$J$16,'Incremental Repayments'!$I$31,(HLOOKUP($D98,$E$4:$CZ$32,28,FALSE)*'Incremental Repayments'!$I$22)),0),0)</f>
        <v>0</v>
      </c>
      <c r="L98" s="783">
        <f>IF('Incremental Repayments'!$R$22="Debt",IF(AND(L$4&gt;=$D98,L$4&lt;$D98+'Incremental Repayments'!$I$31),-PMT('Interest Rate'!$J$16,'Incremental Repayments'!$I$31,(HLOOKUP($D98,$E$4:$CZ$32,28,FALSE)*'Incremental Repayments'!$I$22)),0),0)</f>
        <v>0</v>
      </c>
      <c r="M98" s="783">
        <f>IF('Incremental Repayments'!$R$22="Debt",IF(AND(M$4&gt;=$D98,M$4&lt;$D98+'Incremental Repayments'!$I$31),-PMT('Interest Rate'!$J$16,'Incremental Repayments'!$I$31,(HLOOKUP($D98,$E$4:$CZ$32,28,FALSE)*'Incremental Repayments'!$I$22)),0),0)</f>
        <v>0</v>
      </c>
      <c r="N98" s="783">
        <f>IF('Incremental Repayments'!$R$22="Debt",IF(AND(N$4&gt;=$D98,N$4&lt;$D98+'Incremental Repayments'!$I$31),-PMT('Interest Rate'!$J$16,'Incremental Repayments'!$I$31,(HLOOKUP($D98,$E$4:$CZ$32,28,FALSE)*'Incremental Repayments'!$I$22)),0),0)</f>
        <v>0</v>
      </c>
      <c r="O98" s="783">
        <f>IF('Incremental Repayments'!$R$22="Debt",IF(AND(O$4&gt;=$D98,O$4&lt;$D98+'Incremental Repayments'!$I$31),-PMT('Interest Rate'!$J$16,'Incremental Repayments'!$I$31,(HLOOKUP($D98,$E$4:$CZ$32,28,FALSE)*'Incremental Repayments'!$I$22)),0),0)</f>
        <v>0</v>
      </c>
      <c r="P98" s="783">
        <f>IF('Incremental Repayments'!$R$22="Debt",IF(AND(P$4&gt;=$D98,P$4&lt;$D98+'Incremental Repayments'!$I$31),-PMT('Interest Rate'!$J$16,'Incremental Repayments'!$I$31,(HLOOKUP($D98,$E$4:$CZ$32,28,FALSE)*'Incremental Repayments'!$I$22)),0),0)</f>
        <v>0</v>
      </c>
      <c r="Q98" s="783">
        <f>IF('Incremental Repayments'!$R$22="Debt",IF(AND(Q$4&gt;=$D98,Q$4&lt;$D98+'Incremental Repayments'!$I$31),-PMT('Interest Rate'!$J$16,'Incremental Repayments'!$I$31,(HLOOKUP($D98,$E$4:$CZ$32,28,FALSE)*'Incremental Repayments'!$I$22)),0),0)</f>
        <v>0</v>
      </c>
      <c r="R98" s="783">
        <f>IF('Incremental Repayments'!$R$22="Debt",IF(AND(R$4&gt;=$D98,R$4&lt;$D98+'Incremental Repayments'!$I$31),-PMT('Interest Rate'!$J$16,'Incremental Repayments'!$I$31,(HLOOKUP($D98,$E$4:$CZ$32,28,FALSE)*'Incremental Repayments'!$I$22)),0),0)</f>
        <v>0</v>
      </c>
      <c r="S98" s="783">
        <f>IF('Incremental Repayments'!$R$22="Debt",IF(AND(S$4&gt;=$D98,S$4&lt;$D98+'Incremental Repayments'!$I$31),-PMT('Interest Rate'!$J$16,'Incremental Repayments'!$I$31,(HLOOKUP($D98,$E$4:$CZ$32,28,FALSE)*'Incremental Repayments'!$I$22)),0),0)</f>
        <v>0</v>
      </c>
      <c r="T98" s="783">
        <f>IF('Incremental Repayments'!$R$22="Debt",IF(AND(T$4&gt;=$D98,T$4&lt;$D98+'Incremental Repayments'!$I$31),-PMT('Interest Rate'!$J$16,'Incremental Repayments'!$I$31,(HLOOKUP($D98,$E$4:$CZ$32,28,FALSE)*'Incremental Repayments'!$I$22)),0),0)</f>
        <v>0</v>
      </c>
      <c r="U98" s="783">
        <f>IF('Incremental Repayments'!$R$22="Debt",IF(AND(U$4&gt;=$D98,U$4&lt;$D98+'Incremental Repayments'!$I$31),-PMT('Interest Rate'!$J$16,'Incremental Repayments'!$I$31,(HLOOKUP($D98,$E$4:$CZ$32,28,FALSE)*'Incremental Repayments'!$I$22)),0),0)</f>
        <v>0</v>
      </c>
      <c r="V98" s="783">
        <f>IF('Incremental Repayments'!$R$22="Debt",IF(AND(V$4&gt;=$D98,V$4&lt;$D98+'Incremental Repayments'!$I$31),-PMT('Interest Rate'!$J$16,'Incremental Repayments'!$I$31,(HLOOKUP($D98,$E$4:$CZ$32,28,FALSE)*'Incremental Repayments'!$I$22)),0),0)</f>
        <v>0</v>
      </c>
      <c r="W98" s="783">
        <f>IF('Incremental Repayments'!$R$22="Debt",IF(AND(W$4&gt;=$D98,W$4&lt;$D98+'Incremental Repayments'!$I$31),-PMT('Interest Rate'!$J$16,'Incremental Repayments'!$I$31,(HLOOKUP($D98,$E$4:$CZ$32,28,FALSE)*'Incremental Repayments'!$I$22)),0),0)</f>
        <v>0</v>
      </c>
      <c r="X98" s="783">
        <f>IF('Incremental Repayments'!$R$22="Debt",IF(AND(X$4&gt;=$D98,X$4&lt;$D98+'Incremental Repayments'!$I$31),-PMT('Interest Rate'!$J$16,'Incremental Repayments'!$I$31,(HLOOKUP($D98,$E$4:$CZ$32,28,FALSE)*'Incremental Repayments'!$I$22)),0),0)</f>
        <v>0</v>
      </c>
      <c r="Y98" s="783">
        <f>IF('Incremental Repayments'!$R$22="Debt",IF(AND(Y$4&gt;=$D98,Y$4&lt;$D98+'Incremental Repayments'!$I$31),-PMT('Interest Rate'!$J$16,'Incremental Repayments'!$I$31,(HLOOKUP($D98,$E$4:$CZ$32,28,FALSE)*'Incremental Repayments'!$I$22)),0),0)</f>
        <v>0</v>
      </c>
      <c r="Z98" s="783">
        <f>IF('Incremental Repayments'!$R$22="Debt",IF(AND(Z$4&gt;=$D98,Z$4&lt;$D98+'Incremental Repayments'!$I$31),-PMT('Interest Rate'!$J$16,'Incremental Repayments'!$I$31,(HLOOKUP($D98,$E$4:$CZ$32,28,FALSE)*'Incremental Repayments'!$I$22)),0),0)</f>
        <v>0</v>
      </c>
      <c r="AA98" s="783">
        <f>IF('Incremental Repayments'!$R$22="Debt",IF(AND(AA$4&gt;=$D98,AA$4&lt;$D98+'Incremental Repayments'!$I$31),-PMT('Interest Rate'!$J$16,'Incremental Repayments'!$I$31,(HLOOKUP($D98,$E$4:$CZ$32,28,FALSE)*'Incremental Repayments'!$I$22)),0),0)</f>
        <v>0</v>
      </c>
      <c r="AB98" s="783">
        <f>IF('Incremental Repayments'!$R$22="Debt",IF(AND(AB$4&gt;=$D98,AB$4&lt;$D98+'Incremental Repayments'!$I$31),-PMT('Interest Rate'!$J$16,'Incremental Repayments'!$I$31,(HLOOKUP($D98,$E$4:$CZ$32,28,FALSE)*'Incremental Repayments'!$I$22)),0),0)</f>
        <v>0</v>
      </c>
      <c r="AC98" s="783">
        <f>IF('Incremental Repayments'!$R$22="Debt",IF(AND(AC$4&gt;=$D98,AC$4&lt;$D98+'Incremental Repayments'!$I$31),-PMT('Interest Rate'!$J$16,'Incremental Repayments'!$I$31,(HLOOKUP($D98,$E$4:$CZ$32,28,FALSE)*'Incremental Repayments'!$I$22)),0),0)</f>
        <v>0</v>
      </c>
      <c r="AD98" s="783">
        <f>IF('Incremental Repayments'!$R$22="Debt",IF(AND(AD$4&gt;=$D98,AD$4&lt;$D98+'Incremental Repayments'!$I$31),-PMT('Interest Rate'!$J$16,'Incremental Repayments'!$I$31,(HLOOKUP($D98,$E$4:$CZ$32,28,FALSE)*'Incremental Repayments'!$I$22)),0),0)</f>
        <v>0</v>
      </c>
      <c r="AE98" s="783">
        <f>IF('Incremental Repayments'!$R$22="Debt",IF(AND(AE$4&gt;=$D98,AE$4&lt;$D98+'Incremental Repayments'!$I$31),-PMT('Interest Rate'!$J$16,'Incremental Repayments'!$I$31,(HLOOKUP($D98,$E$4:$CZ$32,28,FALSE)*'Incremental Repayments'!$I$22)),0),0)</f>
        <v>0</v>
      </c>
      <c r="AF98" s="783">
        <f>IF('Incremental Repayments'!$R$22="Debt",IF(AND(AF$4&gt;=$D98,AF$4&lt;$D98+'Incremental Repayments'!$I$31),-PMT('Interest Rate'!$J$16,'Incremental Repayments'!$I$31,(HLOOKUP($D98,$E$4:$CZ$32,28,FALSE)*'Incremental Repayments'!$I$22)),0),0)</f>
        <v>0</v>
      </c>
      <c r="AG98" s="783">
        <f>IF('Incremental Repayments'!$R$22="Debt",IF(AND(AG$4&gt;=$D98,AG$4&lt;$D98+'Incremental Repayments'!$I$31),-PMT('Interest Rate'!$J$16,'Incremental Repayments'!$I$31,(HLOOKUP($D98,$E$4:$CZ$32,28,FALSE)*'Incremental Repayments'!$I$22)),0),0)</f>
        <v>0</v>
      </c>
      <c r="AH98" s="783">
        <f>IF('Incremental Repayments'!$R$22="Debt",IF(AND(AH$4&gt;=$D98,AH$4&lt;$D98+'Incremental Repayments'!$I$31),-PMT('Interest Rate'!$J$16,'Incremental Repayments'!$I$31,(HLOOKUP($D98,$E$4:$CZ$32,28,FALSE)*'Incremental Repayments'!$I$22)),0),0)</f>
        <v>0</v>
      </c>
      <c r="AI98" s="783">
        <f>IF('Incremental Repayments'!$R$22="Debt",IF(AND(AI$4&gt;=$D98,AI$4&lt;$D98+'Incremental Repayments'!$I$31),-PMT('Interest Rate'!$J$16,'Incremental Repayments'!$I$31,(HLOOKUP($D98,$E$4:$CZ$32,28,FALSE)*'Incremental Repayments'!$I$22)),0),0)</f>
        <v>0</v>
      </c>
      <c r="AJ98" s="783">
        <f>IF('Incremental Repayments'!$R$22="Debt",IF(AND(AJ$4&gt;=$D98,AJ$4&lt;$D98+'Incremental Repayments'!$I$31),-PMT('Interest Rate'!$J$16,'Incremental Repayments'!$I$31,(HLOOKUP($D98,$E$4:$CZ$32,28,FALSE)*'Incremental Repayments'!$I$22)),0),0)</f>
        <v>0</v>
      </c>
      <c r="AK98" s="783">
        <f>IF('Incremental Repayments'!$R$22="Debt",IF(AND(AK$4&gt;=$D98,AK$4&lt;$D98+'Incremental Repayments'!$I$31),-PMT('Interest Rate'!$J$16,'Incremental Repayments'!$I$31,(HLOOKUP($D98,$E$4:$CZ$32,28,FALSE)*'Incremental Repayments'!$I$22)),0),0)</f>
        <v>0</v>
      </c>
      <c r="AL98" s="783">
        <f>IF('Incremental Repayments'!$R$22="Debt",IF(AND(AL$4&gt;=$D98,AL$4&lt;$D98+'Incremental Repayments'!$I$31),-PMT('Interest Rate'!$J$16,'Incremental Repayments'!$I$31,(HLOOKUP($D98,$E$4:$CZ$32,28,FALSE)*'Incremental Repayments'!$I$22)),0),0)</f>
        <v>0</v>
      </c>
      <c r="AM98" s="783">
        <f>IF('Incremental Repayments'!$R$22="Debt",IF(AND(AM$4&gt;=$D98,AM$4&lt;$D98+'Incremental Repayments'!$I$31),-PMT('Interest Rate'!$J$16,'Incremental Repayments'!$I$31,(HLOOKUP($D98,$E$4:$CZ$32,28,FALSE)*'Incremental Repayments'!$I$22)),0),0)</f>
        <v>0</v>
      </c>
      <c r="AN98" s="783">
        <f>IF('Incremental Repayments'!$R$22="Debt",IF(AND(AN$4&gt;=$D98,AN$4&lt;$D98+'Incremental Repayments'!$I$31),-PMT('Interest Rate'!$J$16,'Incremental Repayments'!$I$31,(HLOOKUP($D98,$E$4:$CZ$32,28,FALSE)*'Incremental Repayments'!$I$22)),0),0)</f>
        <v>0</v>
      </c>
      <c r="AO98" s="783">
        <f>IF('Incremental Repayments'!$R$22="Debt",IF(AND(AO$4&gt;=$D98,AO$4&lt;$D98+'Incremental Repayments'!$I$31),-PMT('Interest Rate'!$J$16,'Incremental Repayments'!$I$31,(HLOOKUP($D98,$E$4:$CZ$32,28,FALSE)*'Incremental Repayments'!$I$22)),0),0)</f>
        <v>0</v>
      </c>
      <c r="AP98" s="783">
        <f>IF('Incremental Repayments'!$R$22="Debt",IF(AND(AP$4&gt;=$D98,AP$4&lt;$D98+'Incremental Repayments'!$I$31),-PMT('Interest Rate'!$J$16,'Incremental Repayments'!$I$31,(HLOOKUP($D98,$E$4:$CZ$32,28,FALSE)*'Incremental Repayments'!$I$22)),0),0)</f>
        <v>0</v>
      </c>
      <c r="AQ98" s="783">
        <f>IF('Incremental Repayments'!$R$22="Debt",IF(AND(AQ$4&gt;=$D98,AQ$4&lt;$D98+'Incremental Repayments'!$I$31),-PMT('Interest Rate'!$J$16,'Incremental Repayments'!$I$31,(HLOOKUP($D98,$E$4:$CZ$32,28,FALSE)*'Incremental Repayments'!$I$22)),0),0)</f>
        <v>0</v>
      </c>
      <c r="AR98" s="783">
        <f>IF('Incremental Repayments'!$R$22="Debt",IF(AND(AR$4&gt;=$D98,AR$4&lt;$D98+'Incremental Repayments'!$I$31),-PMT('Interest Rate'!$J$16,'Incremental Repayments'!$I$31,(HLOOKUP($D98,$E$4:$CZ$32,28,FALSE)*'Incremental Repayments'!$I$22)),0),0)</f>
        <v>0</v>
      </c>
      <c r="AS98" s="783">
        <f>IF('Incremental Repayments'!$R$22="Debt",IF(AND(AS$4&gt;=$D98,AS$4&lt;$D98+'Incremental Repayments'!$I$31),-PMT('Interest Rate'!$J$16,'Incremental Repayments'!$I$31,(HLOOKUP($D98,$E$4:$CZ$32,28,FALSE)*'Incremental Repayments'!$I$22)),0),0)</f>
        <v>0</v>
      </c>
      <c r="AT98" s="783">
        <f>IF('Incremental Repayments'!$R$22="Debt",IF(AND(AT$4&gt;=$D98,AT$4&lt;$D98+'Incremental Repayments'!$I$31),-PMT('Interest Rate'!$J$16,'Incremental Repayments'!$I$31,(HLOOKUP($D98,$E$4:$CZ$32,28,FALSE)*'Incremental Repayments'!$I$22)),0),0)</f>
        <v>0</v>
      </c>
      <c r="AU98" s="783">
        <f>IF('Incremental Repayments'!$R$22="Debt",IF(AND(AU$4&gt;=$D98,AU$4&lt;$D98+'Incremental Repayments'!$I$31),-PMT('Interest Rate'!$J$16,'Incremental Repayments'!$I$31,(HLOOKUP($D98,$E$4:$CZ$32,28,FALSE)*'Incremental Repayments'!$I$22)),0),0)</f>
        <v>0</v>
      </c>
      <c r="AV98" s="783">
        <f>IF('Incremental Repayments'!$R$22="Debt",IF(AND(AV$4&gt;=$D98,AV$4&lt;$D98+'Incremental Repayments'!$I$31),-PMT('Interest Rate'!$J$16,'Incremental Repayments'!$I$31,(HLOOKUP($D98,$E$4:$CZ$32,28,FALSE)*'Incremental Repayments'!$I$22)),0),0)</f>
        <v>0</v>
      </c>
      <c r="AW98" s="783">
        <f>IF('Incremental Repayments'!$R$22="Debt",IF(AND(AW$4&gt;=$D98,AW$4&lt;$D98+'Incremental Repayments'!$I$31),-PMT('Interest Rate'!$J$16,'Incremental Repayments'!$I$31,(HLOOKUP($D98,$E$4:$CZ$32,28,FALSE)*'Incremental Repayments'!$I$22)),0),0)</f>
        <v>0</v>
      </c>
      <c r="AX98" s="783">
        <f>IF('Incremental Repayments'!$R$22="Debt",IF(AND(AX$4&gt;=$D98,AX$4&lt;$D98+'Incremental Repayments'!$I$31),-PMT('Interest Rate'!$J$16,'Incremental Repayments'!$I$31,(HLOOKUP($D98,$E$4:$CZ$32,28,FALSE)*'Incremental Repayments'!$I$22)),0),0)</f>
        <v>0</v>
      </c>
      <c r="AY98" s="783">
        <f>IF('Incremental Repayments'!$R$22="Debt",IF(AND(AY$4&gt;=$D98,AY$4&lt;$D98+'Incremental Repayments'!$I$31),-PMT('Interest Rate'!$J$16,'Incremental Repayments'!$I$31,(HLOOKUP($D98,$E$4:$CZ$32,28,FALSE)*'Incremental Repayments'!$I$22)),0),0)</f>
        <v>0</v>
      </c>
      <c r="AZ98" s="783">
        <f>IF('Incremental Repayments'!$R$22="Debt",IF(AND(AZ$4&gt;=$D98,AZ$4&lt;$D98+'Incremental Repayments'!$I$31),-PMT('Interest Rate'!$J$16,'Incremental Repayments'!$I$31,(HLOOKUP($D98,$E$4:$CZ$32,28,FALSE)*'Incremental Repayments'!$I$22)),0),0)</f>
        <v>0</v>
      </c>
      <c r="BA98" s="783">
        <f>IF('Incremental Repayments'!$R$22="Debt",IF(AND(BA$4&gt;=$D98,BA$4&lt;$D98+'Incremental Repayments'!$I$31),-PMT('Interest Rate'!$J$16,'Incremental Repayments'!$I$31,(HLOOKUP($D98,$E$4:$CZ$32,28,FALSE)*'Incremental Repayments'!$I$22)),0),0)</f>
        <v>0</v>
      </c>
      <c r="BB98" s="783">
        <f>IF('Incremental Repayments'!$R$22="Debt",IF(AND(BB$4&gt;=$D98,BB$4&lt;$D98+'Incremental Repayments'!$I$31),-PMT('Interest Rate'!$J$16,'Incremental Repayments'!$I$31,(HLOOKUP($D98,$E$4:$CZ$32,28,FALSE)*'Incremental Repayments'!$I$22)),0),0)</f>
        <v>0</v>
      </c>
      <c r="BC98" s="783">
        <f>IF('Incremental Repayments'!$R$22="Debt",IF(AND(BC$4&gt;=$D98,BC$4&lt;$D98+'Incremental Repayments'!$I$31),-PMT('Interest Rate'!$J$16,'Incremental Repayments'!$I$31,(HLOOKUP($D98,$E$4:$CZ$32,28,FALSE)*'Incremental Repayments'!$I$22)),0),0)</f>
        <v>0</v>
      </c>
      <c r="BD98" s="783">
        <f>IF('Incremental Repayments'!$R$22="Debt",IF(AND(BD$4&gt;=$D98,BD$4&lt;$D98+'Incremental Repayments'!$I$31),-PMT('Interest Rate'!$J$16,'Incremental Repayments'!$I$31,(HLOOKUP($D98,$E$4:$CZ$32,28,FALSE)*'Incremental Repayments'!$I$22)),0),0)</f>
        <v>0</v>
      </c>
      <c r="BE98" s="783">
        <f>IF('Incremental Repayments'!$R$22="Debt",IF(AND(BE$4&gt;=$D98,BE$4&lt;$D98+'Incremental Repayments'!$I$31),-PMT('Interest Rate'!$J$16,'Incremental Repayments'!$I$31,(HLOOKUP($D98,$E$4:$CZ$32,28,FALSE)*'Incremental Repayments'!$I$22)),0),0)</f>
        <v>0</v>
      </c>
      <c r="BF98" s="783">
        <f>IF('Incremental Repayments'!$R$22="Debt",IF(AND(BF$4&gt;=$D98,BF$4&lt;$D98+'Incremental Repayments'!$I$31),-PMT('Interest Rate'!$J$16,'Incremental Repayments'!$I$31,(HLOOKUP($D98,$E$4:$CZ$32,28,FALSE)*'Incremental Repayments'!$I$22)),0),0)</f>
        <v>0</v>
      </c>
      <c r="BG98" s="783">
        <f>IF('Incremental Repayments'!$R$22="Debt",IF(AND(BG$4&gt;=$D98,BG$4&lt;$D98+'Incremental Repayments'!$I$31),-PMT('Interest Rate'!$J$16,'Incremental Repayments'!$I$31,(HLOOKUP($D98,$E$4:$CZ$32,28,FALSE)*'Incremental Repayments'!$I$22)),0),0)</f>
        <v>0</v>
      </c>
      <c r="BH98" s="783">
        <f>IF('Incremental Repayments'!$R$22="Debt",IF(AND(BH$4&gt;=$D98,BH$4&lt;$D98+'Incremental Repayments'!$I$31),-PMT('Interest Rate'!$J$16,'Incremental Repayments'!$I$31,(HLOOKUP($D98,$E$4:$CZ$32,28,FALSE)*'Incremental Repayments'!$I$22)),0),0)</f>
        <v>0</v>
      </c>
      <c r="BI98" s="783">
        <f>IF('Incremental Repayments'!$R$22="Debt",IF(AND(BI$4&gt;=$D98,BI$4&lt;$D98+'Incremental Repayments'!$I$31),-PMT('Interest Rate'!$J$16,'Incremental Repayments'!$I$31,(HLOOKUP($D98,$E$4:$CZ$32,28,FALSE)*'Incremental Repayments'!$I$22)),0),0)</f>
        <v>0</v>
      </c>
      <c r="BJ98" s="783">
        <f>IF('Incremental Repayments'!$R$22="Debt",IF(AND(BJ$4&gt;=$D98,BJ$4&lt;$D98+'Incremental Repayments'!$I$31),-PMT('Interest Rate'!$J$16,'Incremental Repayments'!$I$31,(HLOOKUP($D98,$E$4:$CZ$32,28,FALSE)*'Incremental Repayments'!$I$22)),0),0)</f>
        <v>0</v>
      </c>
      <c r="BK98" s="783">
        <f>IF('Incremental Repayments'!$R$22="Debt",IF(AND(BK$4&gt;=$D98,BK$4&lt;$D98+'Incremental Repayments'!$I$31),-PMT('Interest Rate'!$J$16,'Incremental Repayments'!$I$31,(HLOOKUP($D98,$E$4:$CZ$32,28,FALSE)*'Incremental Repayments'!$I$22)),0),0)</f>
        <v>0</v>
      </c>
      <c r="BL98" s="783">
        <f>IF('Incremental Repayments'!$R$22="Debt",IF(AND(BL$4&gt;=$D98,BL$4&lt;$D98+'Incremental Repayments'!$I$31),-PMT('Interest Rate'!$J$16,'Incremental Repayments'!$I$31,(HLOOKUP($D98,$E$4:$CZ$32,28,FALSE)*'Incremental Repayments'!$I$22)),0),0)</f>
        <v>0</v>
      </c>
      <c r="BM98" s="783">
        <f>IF('Incremental Repayments'!$R$22="Debt",IF(AND(BM$4&gt;=$D98,BM$4&lt;$D98+'Incremental Repayments'!$I$31),-PMT('Interest Rate'!$J$16,'Incremental Repayments'!$I$31,(HLOOKUP($D98,$E$4:$CZ$32,28,FALSE)*'Incremental Repayments'!$I$22)),0),0)</f>
        <v>0</v>
      </c>
      <c r="BN98" s="783">
        <f>IF('Incremental Repayments'!$R$22="Debt",IF(AND(BN$4&gt;=$D98,BN$4&lt;$D98+'Incremental Repayments'!$I$31),-PMT('Interest Rate'!$J$16,'Incremental Repayments'!$I$31,(HLOOKUP($D98,$E$4:$CZ$32,28,FALSE)*'Incremental Repayments'!$I$22)),0),0)</f>
        <v>0</v>
      </c>
      <c r="BO98" s="783">
        <f>IF('Incremental Repayments'!$R$22="Debt",IF(AND(BO$4&gt;=$D98,BO$4&lt;$D98+'Incremental Repayments'!$I$31),-PMT('Interest Rate'!$J$16,'Incremental Repayments'!$I$31,(HLOOKUP($D98,$E$4:$CZ$32,28,FALSE)*'Incremental Repayments'!$I$22)),0),0)</f>
        <v>0</v>
      </c>
      <c r="BP98" s="783">
        <f>IF('Incremental Repayments'!$R$22="Debt",IF(AND(BP$4&gt;=$D98,BP$4&lt;$D98+'Incremental Repayments'!$I$31),-PMT('Interest Rate'!$J$16,'Incremental Repayments'!$I$31,(HLOOKUP($D98,$E$4:$CZ$32,28,FALSE)*'Incremental Repayments'!$I$22)),0),0)</f>
        <v>0</v>
      </c>
      <c r="BQ98" s="783">
        <f>IF('Incremental Repayments'!$R$22="Debt",IF(AND(BQ$4&gt;=$D98,BQ$4&lt;$D98+'Incremental Repayments'!$I$31),-PMT('Interest Rate'!$J$16,'Incremental Repayments'!$I$31,(HLOOKUP($D98,$E$4:$CZ$32,28,FALSE)*'Incremental Repayments'!$I$22)),0),0)</f>
        <v>0</v>
      </c>
      <c r="BR98" s="783">
        <f>IF('Incremental Repayments'!$R$22="Debt",IF(AND(BR$4&gt;=$D98,BR$4&lt;$D98+'Incremental Repayments'!$I$31),-PMT('Interest Rate'!$J$16,'Incremental Repayments'!$I$31,(HLOOKUP($D98,$E$4:$CZ$32,28,FALSE)*'Incremental Repayments'!$I$22)),0),0)</f>
        <v>0</v>
      </c>
      <c r="BS98" s="783">
        <f>IF('Incremental Repayments'!$R$22="Debt",IF(AND(BS$4&gt;=$D98,BS$4&lt;$D98+'Incremental Repayments'!$I$31),-PMT('Interest Rate'!$J$16,'Incremental Repayments'!$I$31,(HLOOKUP($D98,$E$4:$CZ$32,28,FALSE)*'Incremental Repayments'!$I$22)),0),0)</f>
        <v>0</v>
      </c>
      <c r="BT98" s="783">
        <f>IF('Incremental Repayments'!$R$22="Debt",IF(AND(BT$4&gt;=$D98,BT$4&lt;$D98+'Incremental Repayments'!$I$31),-PMT('Interest Rate'!$J$16,'Incremental Repayments'!$I$31,(HLOOKUP($D98,$E$4:$CZ$32,28,FALSE)*'Incremental Repayments'!$I$22)),0),0)</f>
        <v>0</v>
      </c>
      <c r="BU98" s="783">
        <f>IF('Incremental Repayments'!$R$22="Debt",IF(AND(BU$4&gt;=$D98,BU$4&lt;$D98+'Incremental Repayments'!$I$31),-PMT('Interest Rate'!$J$16,'Incremental Repayments'!$I$31,(HLOOKUP($D98,$E$4:$CZ$32,28,FALSE)*'Incremental Repayments'!$I$22)),0),0)</f>
        <v>0</v>
      </c>
      <c r="BV98" s="783">
        <f>IF('Incremental Repayments'!$R$22="Debt",IF(AND(BV$4&gt;=$D98,BV$4&lt;$D98+'Incremental Repayments'!$I$31),-PMT('Interest Rate'!$J$16,'Incremental Repayments'!$I$31,(HLOOKUP($D98,$E$4:$CZ$32,28,FALSE)*'Incremental Repayments'!$I$22)),0),0)</f>
        <v>0</v>
      </c>
      <c r="BW98" s="783">
        <f>IF('Incremental Repayments'!$R$22="Debt",IF(AND(BW$4&gt;=$D98,BW$4&lt;$D98+'Incremental Repayments'!$I$31),-PMT('Interest Rate'!$J$16,'Incremental Repayments'!$I$31,(HLOOKUP($D98,$E$4:$CZ$32,28,FALSE)*'Incremental Repayments'!$I$22)),0),0)</f>
        <v>0</v>
      </c>
      <c r="BX98" s="783">
        <f>IF('Incremental Repayments'!$R$22="Debt",IF(AND(BX$4&gt;=$D98,BX$4&lt;$D98+'Incremental Repayments'!$I$31),-PMT('Interest Rate'!$J$16,'Incremental Repayments'!$I$31,(HLOOKUP($D98,$E$4:$CZ$32,28,FALSE)*'Incremental Repayments'!$I$22)),0),0)</f>
        <v>0</v>
      </c>
      <c r="BY98" s="783">
        <f>IF('Incremental Repayments'!$R$22="Debt",IF(AND(BY$4&gt;=$D98,BY$4&lt;$D98+'Incremental Repayments'!$I$31),-PMT('Interest Rate'!$J$16,'Incremental Repayments'!$I$31,(HLOOKUP($D98,$E$4:$CZ$32,28,FALSE)*'Incremental Repayments'!$I$22)),0),0)</f>
        <v>0</v>
      </c>
      <c r="BZ98" s="783">
        <f>IF('Incremental Repayments'!$R$22="Debt",IF(AND(BZ$4&gt;=$D98,BZ$4&lt;$D98+'Incremental Repayments'!$I$31),-PMT('Interest Rate'!$J$16,'Incremental Repayments'!$I$31,(HLOOKUP($D98,$E$4:$CZ$32,28,FALSE)*'Incremental Repayments'!$I$22)),0),0)</f>
        <v>0</v>
      </c>
      <c r="CA98" s="783">
        <f>IF('Incremental Repayments'!$R$22="Debt",IF(AND(CA$4&gt;=$D98,CA$4&lt;$D98+'Incremental Repayments'!$I$31),-PMT('Interest Rate'!$J$16,'Incremental Repayments'!$I$31,(HLOOKUP($D98,$E$4:$CZ$32,28,FALSE)*'Incremental Repayments'!$I$22)),0),0)</f>
        <v>0</v>
      </c>
      <c r="CB98" s="783">
        <f>IF('Incremental Repayments'!$R$22="Debt",IF(AND(CB$4&gt;=$D98,CB$4&lt;$D98+'Incremental Repayments'!$I$31),-PMT('Interest Rate'!$J$16,'Incremental Repayments'!$I$31,(HLOOKUP($D98,$E$4:$CZ$32,28,FALSE)*'Incremental Repayments'!$I$22)),0),0)</f>
        <v>0</v>
      </c>
      <c r="CC98" s="783">
        <f>IF('Incremental Repayments'!$R$22="Debt",IF(AND(CC$4&gt;=$D98,CC$4&lt;$D98+'Incremental Repayments'!$I$31),-PMT('Interest Rate'!$J$16,'Incremental Repayments'!$I$31,(HLOOKUP($D98,$E$4:$CZ$32,28,FALSE)*'Incremental Repayments'!$I$22)),0),0)</f>
        <v>0</v>
      </c>
      <c r="CD98" s="783">
        <f>IF('Incremental Repayments'!$R$22="Debt",IF(AND(CD$4&gt;=$D98,CD$4&lt;$D98+'Incremental Repayments'!$I$31),-PMT('Interest Rate'!$J$16,'Incremental Repayments'!$I$31,(HLOOKUP($D98,$E$4:$CZ$32,28,FALSE)*'Incremental Repayments'!$I$22)),0),0)</f>
        <v>0</v>
      </c>
      <c r="CE98" s="783">
        <f>IF('Incremental Repayments'!$R$22="Debt",IF(AND(CE$4&gt;=$D98,CE$4&lt;$D98+'Incremental Repayments'!$I$31),-PMT('Interest Rate'!$J$16,'Incremental Repayments'!$I$31,(HLOOKUP($D98,$E$4:$CZ$32,28,FALSE)*'Incremental Repayments'!$I$22)),0),0)</f>
        <v>0</v>
      </c>
      <c r="CF98" s="783">
        <f>IF('Incremental Repayments'!$R$22="Debt",IF(AND(CF$4&gt;=$D98,CF$4&lt;$D98+'Incremental Repayments'!$I$31),-PMT('Interest Rate'!$J$16,'Incremental Repayments'!$I$31,(HLOOKUP($D98,$E$4:$CZ$32,28,FALSE)*'Incremental Repayments'!$I$22)),0),0)</f>
        <v>0</v>
      </c>
      <c r="CG98" s="783">
        <f>IF('Incremental Repayments'!$R$22="Debt",IF(AND(CG$4&gt;=$D98,CG$4&lt;$D98+'Incremental Repayments'!$I$31),-PMT('Interest Rate'!$J$16,'Incremental Repayments'!$I$31,(HLOOKUP($D98,$E$4:$CZ$32,28,FALSE)*'Incremental Repayments'!$I$22)),0),0)</f>
        <v>0</v>
      </c>
      <c r="CH98" s="783">
        <f>IF('Incremental Repayments'!$R$22="Debt",IF(AND(CH$4&gt;=$D98,CH$4&lt;$D98+'Incremental Repayments'!$I$31),-PMT('Interest Rate'!$J$16,'Incremental Repayments'!$I$31,(HLOOKUP($D98,$E$4:$CZ$32,28,FALSE)*'Incremental Repayments'!$I$22)),0),0)</f>
        <v>0</v>
      </c>
      <c r="CI98" s="783">
        <f>IF('Incremental Repayments'!$R$22="Debt",IF(AND(CI$4&gt;=$D98,CI$4&lt;$D98+'Incremental Repayments'!$I$31),-PMT('Interest Rate'!$J$16,'Incremental Repayments'!$I$31,(HLOOKUP($D98,$E$4:$CZ$32,28,FALSE)*'Incremental Repayments'!$I$22)),0),0)</f>
        <v>0</v>
      </c>
      <c r="CJ98" s="783">
        <f>IF('Incremental Repayments'!$R$22="Debt",IF(AND(CJ$4&gt;=$D98,CJ$4&lt;$D98+'Incremental Repayments'!$I$31),-PMT('Interest Rate'!$J$16,'Incremental Repayments'!$I$31,(HLOOKUP($D98,$E$4:$CZ$32,28,FALSE)*'Incremental Repayments'!$I$22)),0),0)</f>
        <v>0</v>
      </c>
      <c r="CK98" s="783">
        <f>IF('Incremental Repayments'!$R$22="Debt",IF(AND(CK$4&gt;=$D98,CK$4&lt;$D98+'Incremental Repayments'!$I$31),-PMT('Interest Rate'!$J$16,'Incremental Repayments'!$I$31,(HLOOKUP($D98,$E$4:$CZ$32,28,FALSE)*'Incremental Repayments'!$I$22)),0),0)</f>
        <v>0</v>
      </c>
      <c r="CL98" s="783">
        <f>IF('Incremental Repayments'!$R$22="Debt",IF(AND(CL$4&gt;=$D98,CL$4&lt;$D98+'Incremental Repayments'!$I$31),-PMT('Interest Rate'!$J$16,'Incremental Repayments'!$I$31,(HLOOKUP($D98,$E$4:$CZ$32,28,FALSE)*'Incremental Repayments'!$I$22)),0),0)</f>
        <v>0</v>
      </c>
      <c r="CM98" s="783">
        <f>IF('Incremental Repayments'!$R$22="Debt",IF(AND(CM$4&gt;=$D98,CM$4&lt;$D98+'Incremental Repayments'!$I$31),-PMT('Interest Rate'!$J$16,'Incremental Repayments'!$I$31,(HLOOKUP($D98,$E$4:$CZ$32,28,FALSE)*'Incremental Repayments'!$I$22)),0),0)</f>
        <v>0</v>
      </c>
      <c r="CN98" s="783">
        <f>IF('Incremental Repayments'!$R$22="Debt",IF(AND(CN$4&gt;=$D98,CN$4&lt;$D98+'Incremental Repayments'!$I$31),-PMT('Interest Rate'!$J$16,'Incremental Repayments'!$I$31,(HLOOKUP($D98,$E$4:$CZ$32,28,FALSE)*'Incremental Repayments'!$I$22)),0),0)</f>
        <v>0</v>
      </c>
      <c r="CO98" s="783">
        <f>IF('Incremental Repayments'!$R$22="Debt",IF(AND(CO$4&gt;=$D98,CO$4&lt;$D98+'Incremental Repayments'!$I$31),-PMT('Interest Rate'!$J$16,'Incremental Repayments'!$I$31,(HLOOKUP($D98,$E$4:$CZ$32,28,FALSE)*'Incremental Repayments'!$I$22)),0),0)</f>
        <v>0</v>
      </c>
      <c r="CP98" s="783">
        <f>IF('Incremental Repayments'!$R$22="Debt",IF(AND(CP$4&gt;=$D98,CP$4&lt;$D98+'Incremental Repayments'!$I$31),-PMT('Interest Rate'!$J$16,'Incremental Repayments'!$I$31,(HLOOKUP($D98,$E$4:$CZ$32,28,FALSE)*'Incremental Repayments'!$I$22)),0),0)</f>
        <v>0</v>
      </c>
      <c r="CQ98" s="783">
        <f>IF('Incremental Repayments'!$R$22="Debt",IF(AND(CQ$4&gt;=$D98,CQ$4&lt;$D98+'Incremental Repayments'!$I$31),-PMT('Interest Rate'!$J$16,'Incremental Repayments'!$I$31,(HLOOKUP($D98,$E$4:$CZ$32,28,FALSE)*'Incremental Repayments'!$I$22)),0),0)</f>
        <v>0</v>
      </c>
      <c r="CR98" s="783">
        <f>IF('Incremental Repayments'!$R$22="Debt",IF(AND(CR$4&gt;=$D98,CR$4&lt;$D98+'Incremental Repayments'!$I$31),-PMT('Interest Rate'!$J$16,'Incremental Repayments'!$I$31,(HLOOKUP($D98,$E$4:$CZ$32,28,FALSE)*'Incremental Repayments'!$I$22)),0),0)</f>
        <v>0</v>
      </c>
      <c r="CS98" s="783">
        <f>IF('Incremental Repayments'!$R$22="Debt",IF(AND(CS$4&gt;=$D98,CS$4&lt;$D98+'Incremental Repayments'!$I$31),-PMT('Interest Rate'!$J$16,'Incremental Repayments'!$I$31,(HLOOKUP($D98,$E$4:$CZ$32,28,FALSE)*'Incremental Repayments'!$I$22)),0),0)</f>
        <v>0</v>
      </c>
      <c r="CT98" s="783">
        <f>IF('Incremental Repayments'!$R$22="Debt",IF(AND(CT$4&gt;=$D98,CT$4&lt;$D98+'Incremental Repayments'!$I$31),-PMT('Interest Rate'!$J$16,'Incremental Repayments'!$I$31,(HLOOKUP($D98,$E$4:$CZ$32,28,FALSE)*'Incremental Repayments'!$I$22)),0),0)</f>
        <v>0</v>
      </c>
      <c r="CU98" s="783">
        <f>IF('Incremental Repayments'!$R$22="Debt",IF(AND(CU$4&gt;=$D98,CU$4&lt;$D98+'Incremental Repayments'!$I$31),-PMT('Interest Rate'!$J$16,'Incremental Repayments'!$I$31,(HLOOKUP($D98,$E$4:$CZ$32,28,FALSE)*'Incremental Repayments'!$I$22)),0),0)</f>
        <v>0</v>
      </c>
      <c r="CV98" s="783">
        <f>IF('Incremental Repayments'!$R$22="Debt",IF(AND(CV$4&gt;=$D98,CV$4&lt;$D98+'Incremental Repayments'!$I$31),-PMT('Interest Rate'!$J$16,'Incremental Repayments'!$I$31,(HLOOKUP($D98,$E$4:$CZ$32,28,FALSE)*'Incremental Repayments'!$I$22)),0),0)</f>
        <v>0</v>
      </c>
      <c r="CW98" s="783">
        <f>IF('Incremental Repayments'!$R$22="Debt",IF(AND(CW$4&gt;=$D98,CW$4&lt;$D98+'Incremental Repayments'!$I$31),-PMT('Interest Rate'!$J$16,'Incremental Repayments'!$I$31,(HLOOKUP($D98,$E$4:$CZ$32,28,FALSE)*'Incremental Repayments'!$I$22)),0),0)</f>
        <v>0</v>
      </c>
      <c r="CX98" s="783">
        <f>IF('Incremental Repayments'!$R$22="Debt",IF(AND(CX$4&gt;=$D98,CX$4&lt;$D98+'Incremental Repayments'!$I$31),-PMT('Interest Rate'!$J$16,'Incremental Repayments'!$I$31,(HLOOKUP($D98,$E$4:$CZ$32,28,FALSE)*'Incremental Repayments'!$I$22)),0),0)</f>
        <v>0</v>
      </c>
      <c r="CY98" s="783">
        <f>IF('Incremental Repayments'!$R$22="Debt",IF(AND(CY$4&gt;=$D98,CY$4&lt;$D98+'Incremental Repayments'!$I$31),-PMT('Interest Rate'!$J$16,'Incremental Repayments'!$I$31,(HLOOKUP($D98,$E$4:$CZ$32,28,FALSE)*'Incremental Repayments'!$I$22)),0),0)</f>
        <v>0</v>
      </c>
      <c r="CZ98" s="783">
        <f>IF('Incremental Repayments'!$R$22="Debt",IF(AND(CZ$4&gt;=$D98,CZ$4&lt;$D98+'Incremental Repayments'!$I$31),-PMT('Interest Rate'!$J$16,'Incremental Repayments'!$I$31,(HLOOKUP($D98,$E$4:$CZ$32,28,FALSE)*'Incremental Repayments'!$I$22)),0),0)</f>
        <v>0</v>
      </c>
    </row>
    <row r="99" spans="2:104" x14ac:dyDescent="0.25">
      <c r="B99" s="480" t="str">
        <f>CONCATENATE("Series ",D99,"A Bonds (at ",'Interest Rate'!$J$16*100,"% Interest)")</f>
        <v>Series 2077A Bonds (at 4.5% Interest)</v>
      </c>
      <c r="C99" s="480"/>
      <c r="D99" s="492">
        <f t="shared" si="47"/>
        <v>2077</v>
      </c>
      <c r="E99" s="783">
        <f>IF('Incremental Repayments'!$R$22="Debt",IF(AND(E$4&gt;=$D99,E$4&lt;$D99+'Incremental Repayments'!$I$31),-PMT('Interest Rate'!$J$16,'Incremental Repayments'!$I$31,(HLOOKUP($D99,$E$4:$CZ$32,28,FALSE)*'Incremental Repayments'!$I$22)),0),0)</f>
        <v>0</v>
      </c>
      <c r="F99" s="783">
        <f>IF('Incremental Repayments'!$R$22="Debt",IF(AND(F$4&gt;=$D99,F$4&lt;$D99+'Incremental Repayments'!$I$31),-PMT('Interest Rate'!$J$16,'Incremental Repayments'!$I$31,(HLOOKUP($D99,$E$4:$CZ$32,28,FALSE)*'Incremental Repayments'!$I$22)),0),0)</f>
        <v>0</v>
      </c>
      <c r="G99" s="783">
        <f>IF('Incremental Repayments'!$R$22="Debt",IF(AND(G$4&gt;=$D99,G$4&lt;$D99+'Incremental Repayments'!$I$31),-PMT('Interest Rate'!$J$16,'Incremental Repayments'!$I$31,(HLOOKUP($D99,$E$4:$CZ$32,28,FALSE)*'Incremental Repayments'!$I$22)),0),0)</f>
        <v>0</v>
      </c>
      <c r="H99" s="783">
        <f>IF('Incremental Repayments'!$R$22="Debt",IF(AND(H$4&gt;=$D99,H$4&lt;$D99+'Incremental Repayments'!$I$31),-PMT('Interest Rate'!$J$16,'Incremental Repayments'!$I$31,(HLOOKUP($D99,$E$4:$CZ$32,28,FALSE)*'Incremental Repayments'!$I$22)),0),0)</f>
        <v>0</v>
      </c>
      <c r="I99" s="783">
        <f>IF('Incremental Repayments'!$R$22="Debt",IF(AND(I$4&gt;=$D99,I$4&lt;$D99+'Incremental Repayments'!$I$31),-PMT('Interest Rate'!$J$16,'Incremental Repayments'!$I$31,(HLOOKUP($D99,$E$4:$CZ$32,28,FALSE)*'Incremental Repayments'!$I$22)),0),0)</f>
        <v>0</v>
      </c>
      <c r="J99" s="783">
        <f>IF('Incremental Repayments'!$R$22="Debt",IF(AND(J$4&gt;=$D99,J$4&lt;$D99+'Incremental Repayments'!$I$31),-PMT('Interest Rate'!$J$16,'Incremental Repayments'!$I$31,(HLOOKUP($D99,$E$4:$CZ$32,28,FALSE)*'Incremental Repayments'!$I$22)),0),0)</f>
        <v>0</v>
      </c>
      <c r="K99" s="783">
        <f>IF('Incremental Repayments'!$R$22="Debt",IF(AND(K$4&gt;=$D99,K$4&lt;$D99+'Incremental Repayments'!$I$31),-PMT('Interest Rate'!$J$16,'Incremental Repayments'!$I$31,(HLOOKUP($D99,$E$4:$CZ$32,28,FALSE)*'Incremental Repayments'!$I$22)),0),0)</f>
        <v>0</v>
      </c>
      <c r="L99" s="783">
        <f>IF('Incremental Repayments'!$R$22="Debt",IF(AND(L$4&gt;=$D99,L$4&lt;$D99+'Incremental Repayments'!$I$31),-PMT('Interest Rate'!$J$16,'Incremental Repayments'!$I$31,(HLOOKUP($D99,$E$4:$CZ$32,28,FALSE)*'Incremental Repayments'!$I$22)),0),0)</f>
        <v>0</v>
      </c>
      <c r="M99" s="783">
        <f>IF('Incremental Repayments'!$R$22="Debt",IF(AND(M$4&gt;=$D99,M$4&lt;$D99+'Incremental Repayments'!$I$31),-PMT('Interest Rate'!$J$16,'Incremental Repayments'!$I$31,(HLOOKUP($D99,$E$4:$CZ$32,28,FALSE)*'Incremental Repayments'!$I$22)),0),0)</f>
        <v>0</v>
      </c>
      <c r="N99" s="783">
        <f>IF('Incremental Repayments'!$R$22="Debt",IF(AND(N$4&gt;=$D99,N$4&lt;$D99+'Incremental Repayments'!$I$31),-PMT('Interest Rate'!$J$16,'Incremental Repayments'!$I$31,(HLOOKUP($D99,$E$4:$CZ$32,28,FALSE)*'Incremental Repayments'!$I$22)),0),0)</f>
        <v>0</v>
      </c>
      <c r="O99" s="783">
        <f>IF('Incremental Repayments'!$R$22="Debt",IF(AND(O$4&gt;=$D99,O$4&lt;$D99+'Incremental Repayments'!$I$31),-PMT('Interest Rate'!$J$16,'Incremental Repayments'!$I$31,(HLOOKUP($D99,$E$4:$CZ$32,28,FALSE)*'Incremental Repayments'!$I$22)),0),0)</f>
        <v>0</v>
      </c>
      <c r="P99" s="783">
        <f>IF('Incremental Repayments'!$R$22="Debt",IF(AND(P$4&gt;=$D99,P$4&lt;$D99+'Incremental Repayments'!$I$31),-PMT('Interest Rate'!$J$16,'Incremental Repayments'!$I$31,(HLOOKUP($D99,$E$4:$CZ$32,28,FALSE)*'Incremental Repayments'!$I$22)),0),0)</f>
        <v>0</v>
      </c>
      <c r="Q99" s="783">
        <f>IF('Incremental Repayments'!$R$22="Debt",IF(AND(Q$4&gt;=$D99,Q$4&lt;$D99+'Incremental Repayments'!$I$31),-PMT('Interest Rate'!$J$16,'Incremental Repayments'!$I$31,(HLOOKUP($D99,$E$4:$CZ$32,28,FALSE)*'Incremental Repayments'!$I$22)),0),0)</f>
        <v>0</v>
      </c>
      <c r="R99" s="783">
        <f>IF('Incremental Repayments'!$R$22="Debt",IF(AND(R$4&gt;=$D99,R$4&lt;$D99+'Incremental Repayments'!$I$31),-PMT('Interest Rate'!$J$16,'Incremental Repayments'!$I$31,(HLOOKUP($D99,$E$4:$CZ$32,28,FALSE)*'Incremental Repayments'!$I$22)),0),0)</f>
        <v>0</v>
      </c>
      <c r="S99" s="783">
        <f>IF('Incremental Repayments'!$R$22="Debt",IF(AND(S$4&gt;=$D99,S$4&lt;$D99+'Incremental Repayments'!$I$31),-PMT('Interest Rate'!$J$16,'Incremental Repayments'!$I$31,(HLOOKUP($D99,$E$4:$CZ$32,28,FALSE)*'Incremental Repayments'!$I$22)),0),0)</f>
        <v>0</v>
      </c>
      <c r="T99" s="783">
        <f>IF('Incremental Repayments'!$R$22="Debt",IF(AND(T$4&gt;=$D99,T$4&lt;$D99+'Incremental Repayments'!$I$31),-PMT('Interest Rate'!$J$16,'Incremental Repayments'!$I$31,(HLOOKUP($D99,$E$4:$CZ$32,28,FALSE)*'Incremental Repayments'!$I$22)),0),0)</f>
        <v>0</v>
      </c>
      <c r="U99" s="783">
        <f>IF('Incremental Repayments'!$R$22="Debt",IF(AND(U$4&gt;=$D99,U$4&lt;$D99+'Incremental Repayments'!$I$31),-PMT('Interest Rate'!$J$16,'Incremental Repayments'!$I$31,(HLOOKUP($D99,$E$4:$CZ$32,28,FALSE)*'Incremental Repayments'!$I$22)),0),0)</f>
        <v>0</v>
      </c>
      <c r="V99" s="783">
        <f>IF('Incremental Repayments'!$R$22="Debt",IF(AND(V$4&gt;=$D99,V$4&lt;$D99+'Incremental Repayments'!$I$31),-PMT('Interest Rate'!$J$16,'Incremental Repayments'!$I$31,(HLOOKUP($D99,$E$4:$CZ$32,28,FALSE)*'Incremental Repayments'!$I$22)),0),0)</f>
        <v>0</v>
      </c>
      <c r="W99" s="783">
        <f>IF('Incremental Repayments'!$R$22="Debt",IF(AND(W$4&gt;=$D99,W$4&lt;$D99+'Incremental Repayments'!$I$31),-PMT('Interest Rate'!$J$16,'Incremental Repayments'!$I$31,(HLOOKUP($D99,$E$4:$CZ$32,28,FALSE)*'Incremental Repayments'!$I$22)),0),0)</f>
        <v>0</v>
      </c>
      <c r="X99" s="783">
        <f>IF('Incremental Repayments'!$R$22="Debt",IF(AND(X$4&gt;=$D99,X$4&lt;$D99+'Incremental Repayments'!$I$31),-PMT('Interest Rate'!$J$16,'Incremental Repayments'!$I$31,(HLOOKUP($D99,$E$4:$CZ$32,28,FALSE)*'Incremental Repayments'!$I$22)),0),0)</f>
        <v>0</v>
      </c>
      <c r="Y99" s="783">
        <f>IF('Incremental Repayments'!$R$22="Debt",IF(AND(Y$4&gt;=$D99,Y$4&lt;$D99+'Incremental Repayments'!$I$31),-PMT('Interest Rate'!$J$16,'Incremental Repayments'!$I$31,(HLOOKUP($D99,$E$4:$CZ$32,28,FALSE)*'Incremental Repayments'!$I$22)),0),0)</f>
        <v>0</v>
      </c>
      <c r="Z99" s="783">
        <f>IF('Incremental Repayments'!$R$22="Debt",IF(AND(Z$4&gt;=$D99,Z$4&lt;$D99+'Incremental Repayments'!$I$31),-PMT('Interest Rate'!$J$16,'Incremental Repayments'!$I$31,(HLOOKUP($D99,$E$4:$CZ$32,28,FALSE)*'Incremental Repayments'!$I$22)),0),0)</f>
        <v>0</v>
      </c>
      <c r="AA99" s="783">
        <f>IF('Incremental Repayments'!$R$22="Debt",IF(AND(AA$4&gt;=$D99,AA$4&lt;$D99+'Incremental Repayments'!$I$31),-PMT('Interest Rate'!$J$16,'Incremental Repayments'!$I$31,(HLOOKUP($D99,$E$4:$CZ$32,28,FALSE)*'Incremental Repayments'!$I$22)),0),0)</f>
        <v>0</v>
      </c>
      <c r="AB99" s="783">
        <f>IF('Incremental Repayments'!$R$22="Debt",IF(AND(AB$4&gt;=$D99,AB$4&lt;$D99+'Incremental Repayments'!$I$31),-PMT('Interest Rate'!$J$16,'Incremental Repayments'!$I$31,(HLOOKUP($D99,$E$4:$CZ$32,28,FALSE)*'Incremental Repayments'!$I$22)),0),0)</f>
        <v>0</v>
      </c>
      <c r="AC99" s="783">
        <f>IF('Incremental Repayments'!$R$22="Debt",IF(AND(AC$4&gt;=$D99,AC$4&lt;$D99+'Incremental Repayments'!$I$31),-PMT('Interest Rate'!$J$16,'Incremental Repayments'!$I$31,(HLOOKUP($D99,$E$4:$CZ$32,28,FALSE)*'Incremental Repayments'!$I$22)),0),0)</f>
        <v>0</v>
      </c>
      <c r="AD99" s="783">
        <f>IF('Incremental Repayments'!$R$22="Debt",IF(AND(AD$4&gt;=$D99,AD$4&lt;$D99+'Incremental Repayments'!$I$31),-PMT('Interest Rate'!$J$16,'Incremental Repayments'!$I$31,(HLOOKUP($D99,$E$4:$CZ$32,28,FALSE)*'Incremental Repayments'!$I$22)),0),0)</f>
        <v>0</v>
      </c>
      <c r="AE99" s="783">
        <f>IF('Incremental Repayments'!$R$22="Debt",IF(AND(AE$4&gt;=$D99,AE$4&lt;$D99+'Incremental Repayments'!$I$31),-PMT('Interest Rate'!$J$16,'Incremental Repayments'!$I$31,(HLOOKUP($D99,$E$4:$CZ$32,28,FALSE)*'Incremental Repayments'!$I$22)),0),0)</f>
        <v>0</v>
      </c>
      <c r="AF99" s="783">
        <f>IF('Incremental Repayments'!$R$22="Debt",IF(AND(AF$4&gt;=$D99,AF$4&lt;$D99+'Incremental Repayments'!$I$31),-PMT('Interest Rate'!$J$16,'Incremental Repayments'!$I$31,(HLOOKUP($D99,$E$4:$CZ$32,28,FALSE)*'Incremental Repayments'!$I$22)),0),0)</f>
        <v>0</v>
      </c>
      <c r="AG99" s="783">
        <f>IF('Incremental Repayments'!$R$22="Debt",IF(AND(AG$4&gt;=$D99,AG$4&lt;$D99+'Incremental Repayments'!$I$31),-PMT('Interest Rate'!$J$16,'Incremental Repayments'!$I$31,(HLOOKUP($D99,$E$4:$CZ$32,28,FALSE)*'Incremental Repayments'!$I$22)),0),0)</f>
        <v>0</v>
      </c>
      <c r="AH99" s="783">
        <f>IF('Incremental Repayments'!$R$22="Debt",IF(AND(AH$4&gt;=$D99,AH$4&lt;$D99+'Incremental Repayments'!$I$31),-PMT('Interest Rate'!$J$16,'Incremental Repayments'!$I$31,(HLOOKUP($D99,$E$4:$CZ$32,28,FALSE)*'Incremental Repayments'!$I$22)),0),0)</f>
        <v>0</v>
      </c>
      <c r="AI99" s="783">
        <f>IF('Incremental Repayments'!$R$22="Debt",IF(AND(AI$4&gt;=$D99,AI$4&lt;$D99+'Incremental Repayments'!$I$31),-PMT('Interest Rate'!$J$16,'Incremental Repayments'!$I$31,(HLOOKUP($D99,$E$4:$CZ$32,28,FALSE)*'Incremental Repayments'!$I$22)),0),0)</f>
        <v>0</v>
      </c>
      <c r="AJ99" s="783">
        <f>IF('Incremental Repayments'!$R$22="Debt",IF(AND(AJ$4&gt;=$D99,AJ$4&lt;$D99+'Incremental Repayments'!$I$31),-PMT('Interest Rate'!$J$16,'Incremental Repayments'!$I$31,(HLOOKUP($D99,$E$4:$CZ$32,28,FALSE)*'Incremental Repayments'!$I$22)),0),0)</f>
        <v>0</v>
      </c>
      <c r="AK99" s="783">
        <f>IF('Incremental Repayments'!$R$22="Debt",IF(AND(AK$4&gt;=$D99,AK$4&lt;$D99+'Incremental Repayments'!$I$31),-PMT('Interest Rate'!$J$16,'Incremental Repayments'!$I$31,(HLOOKUP($D99,$E$4:$CZ$32,28,FALSE)*'Incremental Repayments'!$I$22)),0),0)</f>
        <v>0</v>
      </c>
      <c r="AL99" s="783">
        <f>IF('Incremental Repayments'!$R$22="Debt",IF(AND(AL$4&gt;=$D99,AL$4&lt;$D99+'Incremental Repayments'!$I$31),-PMT('Interest Rate'!$J$16,'Incremental Repayments'!$I$31,(HLOOKUP($D99,$E$4:$CZ$32,28,FALSE)*'Incremental Repayments'!$I$22)),0),0)</f>
        <v>0</v>
      </c>
      <c r="AM99" s="783">
        <f>IF('Incremental Repayments'!$R$22="Debt",IF(AND(AM$4&gt;=$D99,AM$4&lt;$D99+'Incremental Repayments'!$I$31),-PMT('Interest Rate'!$J$16,'Incremental Repayments'!$I$31,(HLOOKUP($D99,$E$4:$CZ$32,28,FALSE)*'Incremental Repayments'!$I$22)),0),0)</f>
        <v>0</v>
      </c>
      <c r="AN99" s="783">
        <f>IF('Incremental Repayments'!$R$22="Debt",IF(AND(AN$4&gt;=$D99,AN$4&lt;$D99+'Incremental Repayments'!$I$31),-PMT('Interest Rate'!$J$16,'Incremental Repayments'!$I$31,(HLOOKUP($D99,$E$4:$CZ$32,28,FALSE)*'Incremental Repayments'!$I$22)),0),0)</f>
        <v>0</v>
      </c>
      <c r="AO99" s="783">
        <f>IF('Incremental Repayments'!$R$22="Debt",IF(AND(AO$4&gt;=$D99,AO$4&lt;$D99+'Incremental Repayments'!$I$31),-PMT('Interest Rate'!$J$16,'Incremental Repayments'!$I$31,(HLOOKUP($D99,$E$4:$CZ$32,28,FALSE)*'Incremental Repayments'!$I$22)),0),0)</f>
        <v>0</v>
      </c>
      <c r="AP99" s="783">
        <f>IF('Incremental Repayments'!$R$22="Debt",IF(AND(AP$4&gt;=$D99,AP$4&lt;$D99+'Incremental Repayments'!$I$31),-PMT('Interest Rate'!$J$16,'Incremental Repayments'!$I$31,(HLOOKUP($D99,$E$4:$CZ$32,28,FALSE)*'Incremental Repayments'!$I$22)),0),0)</f>
        <v>0</v>
      </c>
      <c r="AQ99" s="783">
        <f>IF('Incremental Repayments'!$R$22="Debt",IF(AND(AQ$4&gt;=$D99,AQ$4&lt;$D99+'Incremental Repayments'!$I$31),-PMT('Interest Rate'!$J$16,'Incremental Repayments'!$I$31,(HLOOKUP($D99,$E$4:$CZ$32,28,FALSE)*'Incremental Repayments'!$I$22)),0),0)</f>
        <v>0</v>
      </c>
      <c r="AR99" s="783">
        <f>IF('Incremental Repayments'!$R$22="Debt",IF(AND(AR$4&gt;=$D99,AR$4&lt;$D99+'Incremental Repayments'!$I$31),-PMT('Interest Rate'!$J$16,'Incremental Repayments'!$I$31,(HLOOKUP($D99,$E$4:$CZ$32,28,FALSE)*'Incremental Repayments'!$I$22)),0),0)</f>
        <v>0</v>
      </c>
      <c r="AS99" s="783">
        <f>IF('Incremental Repayments'!$R$22="Debt",IF(AND(AS$4&gt;=$D99,AS$4&lt;$D99+'Incremental Repayments'!$I$31),-PMT('Interest Rate'!$J$16,'Incremental Repayments'!$I$31,(HLOOKUP($D99,$E$4:$CZ$32,28,FALSE)*'Incremental Repayments'!$I$22)),0),0)</f>
        <v>0</v>
      </c>
      <c r="AT99" s="783">
        <f>IF('Incremental Repayments'!$R$22="Debt",IF(AND(AT$4&gt;=$D99,AT$4&lt;$D99+'Incremental Repayments'!$I$31),-PMT('Interest Rate'!$J$16,'Incremental Repayments'!$I$31,(HLOOKUP($D99,$E$4:$CZ$32,28,FALSE)*'Incremental Repayments'!$I$22)),0),0)</f>
        <v>0</v>
      </c>
      <c r="AU99" s="783">
        <f>IF('Incremental Repayments'!$R$22="Debt",IF(AND(AU$4&gt;=$D99,AU$4&lt;$D99+'Incremental Repayments'!$I$31),-PMT('Interest Rate'!$J$16,'Incremental Repayments'!$I$31,(HLOOKUP($D99,$E$4:$CZ$32,28,FALSE)*'Incremental Repayments'!$I$22)),0),0)</f>
        <v>0</v>
      </c>
      <c r="AV99" s="783">
        <f>IF('Incremental Repayments'!$R$22="Debt",IF(AND(AV$4&gt;=$D99,AV$4&lt;$D99+'Incremental Repayments'!$I$31),-PMT('Interest Rate'!$J$16,'Incremental Repayments'!$I$31,(HLOOKUP($D99,$E$4:$CZ$32,28,FALSE)*'Incremental Repayments'!$I$22)),0),0)</f>
        <v>0</v>
      </c>
      <c r="AW99" s="783">
        <f>IF('Incremental Repayments'!$R$22="Debt",IF(AND(AW$4&gt;=$D99,AW$4&lt;$D99+'Incremental Repayments'!$I$31),-PMT('Interest Rate'!$J$16,'Incremental Repayments'!$I$31,(HLOOKUP($D99,$E$4:$CZ$32,28,FALSE)*'Incremental Repayments'!$I$22)),0),0)</f>
        <v>0</v>
      </c>
      <c r="AX99" s="783">
        <f>IF('Incremental Repayments'!$R$22="Debt",IF(AND(AX$4&gt;=$D99,AX$4&lt;$D99+'Incremental Repayments'!$I$31),-PMT('Interest Rate'!$J$16,'Incremental Repayments'!$I$31,(HLOOKUP($D99,$E$4:$CZ$32,28,FALSE)*'Incremental Repayments'!$I$22)),0),0)</f>
        <v>0</v>
      </c>
      <c r="AY99" s="783">
        <f>IF('Incremental Repayments'!$R$22="Debt",IF(AND(AY$4&gt;=$D99,AY$4&lt;$D99+'Incremental Repayments'!$I$31),-PMT('Interest Rate'!$J$16,'Incremental Repayments'!$I$31,(HLOOKUP($D99,$E$4:$CZ$32,28,FALSE)*'Incremental Repayments'!$I$22)),0),0)</f>
        <v>0</v>
      </c>
      <c r="AZ99" s="783">
        <f>IF('Incremental Repayments'!$R$22="Debt",IF(AND(AZ$4&gt;=$D99,AZ$4&lt;$D99+'Incremental Repayments'!$I$31),-PMT('Interest Rate'!$J$16,'Incremental Repayments'!$I$31,(HLOOKUP($D99,$E$4:$CZ$32,28,FALSE)*'Incremental Repayments'!$I$22)),0),0)</f>
        <v>0</v>
      </c>
      <c r="BA99" s="783">
        <f>IF('Incremental Repayments'!$R$22="Debt",IF(AND(BA$4&gt;=$D99,BA$4&lt;$D99+'Incremental Repayments'!$I$31),-PMT('Interest Rate'!$J$16,'Incremental Repayments'!$I$31,(HLOOKUP($D99,$E$4:$CZ$32,28,FALSE)*'Incremental Repayments'!$I$22)),0),0)</f>
        <v>0</v>
      </c>
      <c r="BB99" s="783">
        <f>IF('Incremental Repayments'!$R$22="Debt",IF(AND(BB$4&gt;=$D99,BB$4&lt;$D99+'Incremental Repayments'!$I$31),-PMT('Interest Rate'!$J$16,'Incremental Repayments'!$I$31,(HLOOKUP($D99,$E$4:$CZ$32,28,FALSE)*'Incremental Repayments'!$I$22)),0),0)</f>
        <v>0</v>
      </c>
      <c r="BC99" s="783">
        <f>IF('Incremental Repayments'!$R$22="Debt",IF(AND(BC$4&gt;=$D99,BC$4&lt;$D99+'Incremental Repayments'!$I$31),-PMT('Interest Rate'!$J$16,'Incremental Repayments'!$I$31,(HLOOKUP($D99,$E$4:$CZ$32,28,FALSE)*'Incremental Repayments'!$I$22)),0),0)</f>
        <v>0</v>
      </c>
      <c r="BD99" s="783">
        <f>IF('Incremental Repayments'!$R$22="Debt",IF(AND(BD$4&gt;=$D99,BD$4&lt;$D99+'Incremental Repayments'!$I$31),-PMT('Interest Rate'!$J$16,'Incremental Repayments'!$I$31,(HLOOKUP($D99,$E$4:$CZ$32,28,FALSE)*'Incremental Repayments'!$I$22)),0),0)</f>
        <v>0</v>
      </c>
      <c r="BE99" s="783">
        <f>IF('Incremental Repayments'!$R$22="Debt",IF(AND(BE$4&gt;=$D99,BE$4&lt;$D99+'Incremental Repayments'!$I$31),-PMT('Interest Rate'!$J$16,'Incremental Repayments'!$I$31,(HLOOKUP($D99,$E$4:$CZ$32,28,FALSE)*'Incremental Repayments'!$I$22)),0),0)</f>
        <v>0</v>
      </c>
      <c r="BF99" s="783">
        <f>IF('Incremental Repayments'!$R$22="Debt",IF(AND(BF$4&gt;=$D99,BF$4&lt;$D99+'Incremental Repayments'!$I$31),-PMT('Interest Rate'!$J$16,'Incremental Repayments'!$I$31,(HLOOKUP($D99,$E$4:$CZ$32,28,FALSE)*'Incremental Repayments'!$I$22)),0),0)</f>
        <v>0</v>
      </c>
      <c r="BG99" s="783">
        <f>IF('Incremental Repayments'!$R$22="Debt",IF(AND(BG$4&gt;=$D99,BG$4&lt;$D99+'Incremental Repayments'!$I$31),-PMT('Interest Rate'!$J$16,'Incremental Repayments'!$I$31,(HLOOKUP($D99,$E$4:$CZ$32,28,FALSE)*'Incremental Repayments'!$I$22)),0),0)</f>
        <v>0</v>
      </c>
      <c r="BH99" s="783">
        <f>IF('Incremental Repayments'!$R$22="Debt",IF(AND(BH$4&gt;=$D99,BH$4&lt;$D99+'Incremental Repayments'!$I$31),-PMT('Interest Rate'!$J$16,'Incremental Repayments'!$I$31,(HLOOKUP($D99,$E$4:$CZ$32,28,FALSE)*'Incremental Repayments'!$I$22)),0),0)</f>
        <v>0</v>
      </c>
      <c r="BI99" s="783">
        <f>IF('Incremental Repayments'!$R$22="Debt",IF(AND(BI$4&gt;=$D99,BI$4&lt;$D99+'Incremental Repayments'!$I$31),-PMT('Interest Rate'!$J$16,'Incremental Repayments'!$I$31,(HLOOKUP($D99,$E$4:$CZ$32,28,FALSE)*'Incremental Repayments'!$I$22)),0),0)</f>
        <v>0</v>
      </c>
      <c r="BJ99" s="783">
        <f>IF('Incremental Repayments'!$R$22="Debt",IF(AND(BJ$4&gt;=$D99,BJ$4&lt;$D99+'Incremental Repayments'!$I$31),-PMT('Interest Rate'!$J$16,'Incremental Repayments'!$I$31,(HLOOKUP($D99,$E$4:$CZ$32,28,FALSE)*'Incremental Repayments'!$I$22)),0),0)</f>
        <v>0</v>
      </c>
      <c r="BK99" s="783">
        <f>IF('Incremental Repayments'!$R$22="Debt",IF(AND(BK$4&gt;=$D99,BK$4&lt;$D99+'Incremental Repayments'!$I$31),-PMT('Interest Rate'!$J$16,'Incremental Repayments'!$I$31,(HLOOKUP($D99,$E$4:$CZ$32,28,FALSE)*'Incremental Repayments'!$I$22)),0),0)</f>
        <v>0</v>
      </c>
      <c r="BL99" s="783">
        <f>IF('Incremental Repayments'!$R$22="Debt",IF(AND(BL$4&gt;=$D99,BL$4&lt;$D99+'Incremental Repayments'!$I$31),-PMT('Interest Rate'!$J$16,'Incremental Repayments'!$I$31,(HLOOKUP($D99,$E$4:$CZ$32,28,FALSE)*'Incremental Repayments'!$I$22)),0),0)</f>
        <v>0</v>
      </c>
      <c r="BM99" s="783">
        <f>IF('Incremental Repayments'!$R$22="Debt",IF(AND(BM$4&gt;=$D99,BM$4&lt;$D99+'Incremental Repayments'!$I$31),-PMT('Interest Rate'!$J$16,'Incremental Repayments'!$I$31,(HLOOKUP($D99,$E$4:$CZ$32,28,FALSE)*'Incremental Repayments'!$I$22)),0),0)</f>
        <v>0</v>
      </c>
      <c r="BN99" s="783">
        <f>IF('Incremental Repayments'!$R$22="Debt",IF(AND(BN$4&gt;=$D99,BN$4&lt;$D99+'Incremental Repayments'!$I$31),-PMT('Interest Rate'!$J$16,'Incremental Repayments'!$I$31,(HLOOKUP($D99,$E$4:$CZ$32,28,FALSE)*'Incremental Repayments'!$I$22)),0),0)</f>
        <v>0</v>
      </c>
      <c r="BO99" s="783">
        <f>IF('Incremental Repayments'!$R$22="Debt",IF(AND(BO$4&gt;=$D99,BO$4&lt;$D99+'Incremental Repayments'!$I$31),-PMT('Interest Rate'!$J$16,'Incremental Repayments'!$I$31,(HLOOKUP($D99,$E$4:$CZ$32,28,FALSE)*'Incremental Repayments'!$I$22)),0),0)</f>
        <v>0</v>
      </c>
      <c r="BP99" s="783">
        <f>IF('Incremental Repayments'!$R$22="Debt",IF(AND(BP$4&gt;=$D99,BP$4&lt;$D99+'Incremental Repayments'!$I$31),-PMT('Interest Rate'!$J$16,'Incremental Repayments'!$I$31,(HLOOKUP($D99,$E$4:$CZ$32,28,FALSE)*'Incremental Repayments'!$I$22)),0),0)</f>
        <v>0</v>
      </c>
      <c r="BQ99" s="783">
        <f>IF('Incremental Repayments'!$R$22="Debt",IF(AND(BQ$4&gt;=$D99,BQ$4&lt;$D99+'Incremental Repayments'!$I$31),-PMT('Interest Rate'!$J$16,'Incremental Repayments'!$I$31,(HLOOKUP($D99,$E$4:$CZ$32,28,FALSE)*'Incremental Repayments'!$I$22)),0),0)</f>
        <v>0</v>
      </c>
      <c r="BR99" s="783">
        <f>IF('Incremental Repayments'!$R$22="Debt",IF(AND(BR$4&gt;=$D99,BR$4&lt;$D99+'Incremental Repayments'!$I$31),-PMT('Interest Rate'!$J$16,'Incremental Repayments'!$I$31,(HLOOKUP($D99,$E$4:$CZ$32,28,FALSE)*'Incremental Repayments'!$I$22)),0),0)</f>
        <v>0</v>
      </c>
      <c r="BS99" s="783">
        <f>IF('Incremental Repayments'!$R$22="Debt",IF(AND(BS$4&gt;=$D99,BS$4&lt;$D99+'Incremental Repayments'!$I$31),-PMT('Interest Rate'!$J$16,'Incremental Repayments'!$I$31,(HLOOKUP($D99,$E$4:$CZ$32,28,FALSE)*'Incremental Repayments'!$I$22)),0),0)</f>
        <v>0</v>
      </c>
      <c r="BT99" s="783">
        <f>IF('Incremental Repayments'!$R$22="Debt",IF(AND(BT$4&gt;=$D99,BT$4&lt;$D99+'Incremental Repayments'!$I$31),-PMT('Interest Rate'!$J$16,'Incremental Repayments'!$I$31,(HLOOKUP($D99,$E$4:$CZ$32,28,FALSE)*'Incremental Repayments'!$I$22)),0),0)</f>
        <v>0</v>
      </c>
      <c r="BU99" s="783">
        <f>IF('Incremental Repayments'!$R$22="Debt",IF(AND(BU$4&gt;=$D99,BU$4&lt;$D99+'Incremental Repayments'!$I$31),-PMT('Interest Rate'!$J$16,'Incremental Repayments'!$I$31,(HLOOKUP($D99,$E$4:$CZ$32,28,FALSE)*'Incremental Repayments'!$I$22)),0),0)</f>
        <v>0</v>
      </c>
      <c r="BV99" s="783">
        <f>IF('Incremental Repayments'!$R$22="Debt",IF(AND(BV$4&gt;=$D99,BV$4&lt;$D99+'Incremental Repayments'!$I$31),-PMT('Interest Rate'!$J$16,'Incremental Repayments'!$I$31,(HLOOKUP($D99,$E$4:$CZ$32,28,FALSE)*'Incremental Repayments'!$I$22)),0),0)</f>
        <v>0</v>
      </c>
      <c r="BW99" s="783">
        <f>IF('Incremental Repayments'!$R$22="Debt",IF(AND(BW$4&gt;=$D99,BW$4&lt;$D99+'Incremental Repayments'!$I$31),-PMT('Interest Rate'!$J$16,'Incremental Repayments'!$I$31,(HLOOKUP($D99,$E$4:$CZ$32,28,FALSE)*'Incremental Repayments'!$I$22)),0),0)</f>
        <v>0</v>
      </c>
      <c r="BX99" s="783">
        <f>IF('Incremental Repayments'!$R$22="Debt",IF(AND(BX$4&gt;=$D99,BX$4&lt;$D99+'Incremental Repayments'!$I$31),-PMT('Interest Rate'!$J$16,'Incremental Repayments'!$I$31,(HLOOKUP($D99,$E$4:$CZ$32,28,FALSE)*'Incremental Repayments'!$I$22)),0),0)</f>
        <v>0</v>
      </c>
      <c r="BY99" s="783">
        <f>IF('Incremental Repayments'!$R$22="Debt",IF(AND(BY$4&gt;=$D99,BY$4&lt;$D99+'Incremental Repayments'!$I$31),-PMT('Interest Rate'!$J$16,'Incremental Repayments'!$I$31,(HLOOKUP($D99,$E$4:$CZ$32,28,FALSE)*'Incremental Repayments'!$I$22)),0),0)</f>
        <v>0</v>
      </c>
      <c r="BZ99" s="783">
        <f>IF('Incremental Repayments'!$R$22="Debt",IF(AND(BZ$4&gt;=$D99,BZ$4&lt;$D99+'Incremental Repayments'!$I$31),-PMT('Interest Rate'!$J$16,'Incremental Repayments'!$I$31,(HLOOKUP($D99,$E$4:$CZ$32,28,FALSE)*'Incremental Repayments'!$I$22)),0),0)</f>
        <v>0</v>
      </c>
      <c r="CA99" s="783">
        <f>IF('Incremental Repayments'!$R$22="Debt",IF(AND(CA$4&gt;=$D99,CA$4&lt;$D99+'Incremental Repayments'!$I$31),-PMT('Interest Rate'!$J$16,'Incremental Repayments'!$I$31,(HLOOKUP($D99,$E$4:$CZ$32,28,FALSE)*'Incremental Repayments'!$I$22)),0),0)</f>
        <v>0</v>
      </c>
      <c r="CB99" s="783">
        <f>IF('Incremental Repayments'!$R$22="Debt",IF(AND(CB$4&gt;=$D99,CB$4&lt;$D99+'Incremental Repayments'!$I$31),-PMT('Interest Rate'!$J$16,'Incremental Repayments'!$I$31,(HLOOKUP($D99,$E$4:$CZ$32,28,FALSE)*'Incremental Repayments'!$I$22)),0),0)</f>
        <v>0</v>
      </c>
      <c r="CC99" s="783">
        <f>IF('Incremental Repayments'!$R$22="Debt",IF(AND(CC$4&gt;=$D99,CC$4&lt;$D99+'Incremental Repayments'!$I$31),-PMT('Interest Rate'!$J$16,'Incremental Repayments'!$I$31,(HLOOKUP($D99,$E$4:$CZ$32,28,FALSE)*'Incremental Repayments'!$I$22)),0),0)</f>
        <v>0</v>
      </c>
      <c r="CD99" s="783">
        <f>IF('Incremental Repayments'!$R$22="Debt",IF(AND(CD$4&gt;=$D99,CD$4&lt;$D99+'Incremental Repayments'!$I$31),-PMT('Interest Rate'!$J$16,'Incremental Repayments'!$I$31,(HLOOKUP($D99,$E$4:$CZ$32,28,FALSE)*'Incremental Repayments'!$I$22)),0),0)</f>
        <v>0</v>
      </c>
      <c r="CE99" s="783">
        <f>IF('Incremental Repayments'!$R$22="Debt",IF(AND(CE$4&gt;=$D99,CE$4&lt;$D99+'Incremental Repayments'!$I$31),-PMT('Interest Rate'!$J$16,'Incremental Repayments'!$I$31,(HLOOKUP($D99,$E$4:$CZ$32,28,FALSE)*'Incremental Repayments'!$I$22)),0),0)</f>
        <v>0</v>
      </c>
      <c r="CF99" s="783">
        <f>IF('Incremental Repayments'!$R$22="Debt",IF(AND(CF$4&gt;=$D99,CF$4&lt;$D99+'Incremental Repayments'!$I$31),-PMT('Interest Rate'!$J$16,'Incremental Repayments'!$I$31,(HLOOKUP($D99,$E$4:$CZ$32,28,FALSE)*'Incremental Repayments'!$I$22)),0),0)</f>
        <v>0</v>
      </c>
      <c r="CG99" s="783">
        <f>IF('Incremental Repayments'!$R$22="Debt",IF(AND(CG$4&gt;=$D99,CG$4&lt;$D99+'Incremental Repayments'!$I$31),-PMT('Interest Rate'!$J$16,'Incremental Repayments'!$I$31,(HLOOKUP($D99,$E$4:$CZ$32,28,FALSE)*'Incremental Repayments'!$I$22)),0),0)</f>
        <v>0</v>
      </c>
      <c r="CH99" s="783">
        <f>IF('Incremental Repayments'!$R$22="Debt",IF(AND(CH$4&gt;=$D99,CH$4&lt;$D99+'Incremental Repayments'!$I$31),-PMT('Interest Rate'!$J$16,'Incremental Repayments'!$I$31,(HLOOKUP($D99,$E$4:$CZ$32,28,FALSE)*'Incremental Repayments'!$I$22)),0),0)</f>
        <v>0</v>
      </c>
      <c r="CI99" s="783">
        <f>IF('Incremental Repayments'!$R$22="Debt",IF(AND(CI$4&gt;=$D99,CI$4&lt;$D99+'Incremental Repayments'!$I$31),-PMT('Interest Rate'!$J$16,'Incremental Repayments'!$I$31,(HLOOKUP($D99,$E$4:$CZ$32,28,FALSE)*'Incremental Repayments'!$I$22)),0),0)</f>
        <v>0</v>
      </c>
      <c r="CJ99" s="783">
        <f>IF('Incremental Repayments'!$R$22="Debt",IF(AND(CJ$4&gt;=$D99,CJ$4&lt;$D99+'Incremental Repayments'!$I$31),-PMT('Interest Rate'!$J$16,'Incremental Repayments'!$I$31,(HLOOKUP($D99,$E$4:$CZ$32,28,FALSE)*'Incremental Repayments'!$I$22)),0),0)</f>
        <v>0</v>
      </c>
      <c r="CK99" s="783">
        <f>IF('Incremental Repayments'!$R$22="Debt",IF(AND(CK$4&gt;=$D99,CK$4&lt;$D99+'Incremental Repayments'!$I$31),-PMT('Interest Rate'!$J$16,'Incremental Repayments'!$I$31,(HLOOKUP($D99,$E$4:$CZ$32,28,FALSE)*'Incremental Repayments'!$I$22)),0),0)</f>
        <v>0</v>
      </c>
      <c r="CL99" s="783">
        <f>IF('Incremental Repayments'!$R$22="Debt",IF(AND(CL$4&gt;=$D99,CL$4&lt;$D99+'Incremental Repayments'!$I$31),-PMT('Interest Rate'!$J$16,'Incremental Repayments'!$I$31,(HLOOKUP($D99,$E$4:$CZ$32,28,FALSE)*'Incremental Repayments'!$I$22)),0),0)</f>
        <v>0</v>
      </c>
      <c r="CM99" s="783">
        <f>IF('Incremental Repayments'!$R$22="Debt",IF(AND(CM$4&gt;=$D99,CM$4&lt;$D99+'Incremental Repayments'!$I$31),-PMT('Interest Rate'!$J$16,'Incremental Repayments'!$I$31,(HLOOKUP($D99,$E$4:$CZ$32,28,FALSE)*'Incremental Repayments'!$I$22)),0),0)</f>
        <v>0</v>
      </c>
      <c r="CN99" s="783">
        <f>IF('Incremental Repayments'!$R$22="Debt",IF(AND(CN$4&gt;=$D99,CN$4&lt;$D99+'Incremental Repayments'!$I$31),-PMT('Interest Rate'!$J$16,'Incremental Repayments'!$I$31,(HLOOKUP($D99,$E$4:$CZ$32,28,FALSE)*'Incremental Repayments'!$I$22)),0),0)</f>
        <v>0</v>
      </c>
      <c r="CO99" s="783">
        <f>IF('Incremental Repayments'!$R$22="Debt",IF(AND(CO$4&gt;=$D99,CO$4&lt;$D99+'Incremental Repayments'!$I$31),-PMT('Interest Rate'!$J$16,'Incremental Repayments'!$I$31,(HLOOKUP($D99,$E$4:$CZ$32,28,FALSE)*'Incremental Repayments'!$I$22)),0),0)</f>
        <v>0</v>
      </c>
      <c r="CP99" s="783">
        <f>IF('Incremental Repayments'!$R$22="Debt",IF(AND(CP$4&gt;=$D99,CP$4&lt;$D99+'Incremental Repayments'!$I$31),-PMT('Interest Rate'!$J$16,'Incremental Repayments'!$I$31,(HLOOKUP($D99,$E$4:$CZ$32,28,FALSE)*'Incremental Repayments'!$I$22)),0),0)</f>
        <v>0</v>
      </c>
      <c r="CQ99" s="783">
        <f>IF('Incremental Repayments'!$R$22="Debt",IF(AND(CQ$4&gt;=$D99,CQ$4&lt;$D99+'Incremental Repayments'!$I$31),-PMT('Interest Rate'!$J$16,'Incremental Repayments'!$I$31,(HLOOKUP($D99,$E$4:$CZ$32,28,FALSE)*'Incremental Repayments'!$I$22)),0),0)</f>
        <v>0</v>
      </c>
      <c r="CR99" s="783">
        <f>IF('Incremental Repayments'!$R$22="Debt",IF(AND(CR$4&gt;=$D99,CR$4&lt;$D99+'Incremental Repayments'!$I$31),-PMT('Interest Rate'!$J$16,'Incremental Repayments'!$I$31,(HLOOKUP($D99,$E$4:$CZ$32,28,FALSE)*'Incremental Repayments'!$I$22)),0),0)</f>
        <v>0</v>
      </c>
      <c r="CS99" s="783">
        <f>IF('Incremental Repayments'!$R$22="Debt",IF(AND(CS$4&gt;=$D99,CS$4&lt;$D99+'Incremental Repayments'!$I$31),-PMT('Interest Rate'!$J$16,'Incremental Repayments'!$I$31,(HLOOKUP($D99,$E$4:$CZ$32,28,FALSE)*'Incremental Repayments'!$I$22)),0),0)</f>
        <v>0</v>
      </c>
      <c r="CT99" s="783">
        <f>IF('Incremental Repayments'!$R$22="Debt",IF(AND(CT$4&gt;=$D99,CT$4&lt;$D99+'Incremental Repayments'!$I$31),-PMT('Interest Rate'!$J$16,'Incremental Repayments'!$I$31,(HLOOKUP($D99,$E$4:$CZ$32,28,FALSE)*'Incremental Repayments'!$I$22)),0),0)</f>
        <v>0</v>
      </c>
      <c r="CU99" s="783">
        <f>IF('Incremental Repayments'!$R$22="Debt",IF(AND(CU$4&gt;=$D99,CU$4&lt;$D99+'Incremental Repayments'!$I$31),-PMT('Interest Rate'!$J$16,'Incremental Repayments'!$I$31,(HLOOKUP($D99,$E$4:$CZ$32,28,FALSE)*'Incremental Repayments'!$I$22)),0),0)</f>
        <v>0</v>
      </c>
      <c r="CV99" s="783">
        <f>IF('Incremental Repayments'!$R$22="Debt",IF(AND(CV$4&gt;=$D99,CV$4&lt;$D99+'Incremental Repayments'!$I$31),-PMT('Interest Rate'!$J$16,'Incremental Repayments'!$I$31,(HLOOKUP($D99,$E$4:$CZ$32,28,FALSE)*'Incremental Repayments'!$I$22)),0),0)</f>
        <v>0</v>
      </c>
      <c r="CW99" s="783">
        <f>IF('Incremental Repayments'!$R$22="Debt",IF(AND(CW$4&gt;=$D99,CW$4&lt;$D99+'Incremental Repayments'!$I$31),-PMT('Interest Rate'!$J$16,'Incremental Repayments'!$I$31,(HLOOKUP($D99,$E$4:$CZ$32,28,FALSE)*'Incremental Repayments'!$I$22)),0),0)</f>
        <v>0</v>
      </c>
      <c r="CX99" s="783">
        <f>IF('Incremental Repayments'!$R$22="Debt",IF(AND(CX$4&gt;=$D99,CX$4&lt;$D99+'Incremental Repayments'!$I$31),-PMT('Interest Rate'!$J$16,'Incremental Repayments'!$I$31,(HLOOKUP($D99,$E$4:$CZ$32,28,FALSE)*'Incremental Repayments'!$I$22)),0),0)</f>
        <v>0</v>
      </c>
      <c r="CY99" s="783">
        <f>IF('Incremental Repayments'!$R$22="Debt",IF(AND(CY$4&gt;=$D99,CY$4&lt;$D99+'Incremental Repayments'!$I$31),-PMT('Interest Rate'!$J$16,'Incremental Repayments'!$I$31,(HLOOKUP($D99,$E$4:$CZ$32,28,FALSE)*'Incremental Repayments'!$I$22)),0),0)</f>
        <v>0</v>
      </c>
      <c r="CZ99" s="783">
        <f>IF('Incremental Repayments'!$R$22="Debt",IF(AND(CZ$4&gt;=$D99,CZ$4&lt;$D99+'Incremental Repayments'!$I$31),-PMT('Interest Rate'!$J$16,'Incremental Repayments'!$I$31,(HLOOKUP($D99,$E$4:$CZ$32,28,FALSE)*'Incremental Repayments'!$I$22)),0),0)</f>
        <v>0</v>
      </c>
    </row>
    <row r="100" spans="2:104" x14ac:dyDescent="0.25">
      <c r="B100" s="480" t="str">
        <f>CONCATENATE("Series ",D100,"A Bonds (at ",'Interest Rate'!$J$16*100,"% Interest)")</f>
        <v>Series 2078A Bonds (at 4.5% Interest)</v>
      </c>
      <c r="C100" s="480"/>
      <c r="D100" s="492">
        <f t="shared" si="47"/>
        <v>2078</v>
      </c>
      <c r="E100" s="783">
        <f>IF('Incremental Repayments'!$R$22="Debt",IF(AND(E$4&gt;=$D100,E$4&lt;$D100+'Incremental Repayments'!$I$31),-PMT('Interest Rate'!$J$16,'Incremental Repayments'!$I$31,(HLOOKUP($D100,$E$4:$CZ$32,28,FALSE)*'Incremental Repayments'!$I$22)),0),0)</f>
        <v>0</v>
      </c>
      <c r="F100" s="783">
        <f>IF('Incremental Repayments'!$R$22="Debt",IF(AND(F$4&gt;=$D100,F$4&lt;$D100+'Incremental Repayments'!$I$31),-PMT('Interest Rate'!$J$16,'Incremental Repayments'!$I$31,(HLOOKUP($D100,$E$4:$CZ$32,28,FALSE)*'Incremental Repayments'!$I$22)),0),0)</f>
        <v>0</v>
      </c>
      <c r="G100" s="783">
        <f>IF('Incremental Repayments'!$R$22="Debt",IF(AND(G$4&gt;=$D100,G$4&lt;$D100+'Incremental Repayments'!$I$31),-PMT('Interest Rate'!$J$16,'Incremental Repayments'!$I$31,(HLOOKUP($D100,$E$4:$CZ$32,28,FALSE)*'Incremental Repayments'!$I$22)),0),0)</f>
        <v>0</v>
      </c>
      <c r="H100" s="783">
        <f>IF('Incremental Repayments'!$R$22="Debt",IF(AND(H$4&gt;=$D100,H$4&lt;$D100+'Incremental Repayments'!$I$31),-PMT('Interest Rate'!$J$16,'Incremental Repayments'!$I$31,(HLOOKUP($D100,$E$4:$CZ$32,28,FALSE)*'Incremental Repayments'!$I$22)),0),0)</f>
        <v>0</v>
      </c>
      <c r="I100" s="783">
        <f>IF('Incremental Repayments'!$R$22="Debt",IF(AND(I$4&gt;=$D100,I$4&lt;$D100+'Incremental Repayments'!$I$31),-PMT('Interest Rate'!$J$16,'Incremental Repayments'!$I$31,(HLOOKUP($D100,$E$4:$CZ$32,28,FALSE)*'Incremental Repayments'!$I$22)),0),0)</f>
        <v>0</v>
      </c>
      <c r="J100" s="783">
        <f>IF('Incremental Repayments'!$R$22="Debt",IF(AND(J$4&gt;=$D100,J$4&lt;$D100+'Incremental Repayments'!$I$31),-PMT('Interest Rate'!$J$16,'Incremental Repayments'!$I$31,(HLOOKUP($D100,$E$4:$CZ$32,28,FALSE)*'Incremental Repayments'!$I$22)),0),0)</f>
        <v>0</v>
      </c>
      <c r="K100" s="783">
        <f>IF('Incremental Repayments'!$R$22="Debt",IF(AND(K$4&gt;=$D100,K$4&lt;$D100+'Incremental Repayments'!$I$31),-PMT('Interest Rate'!$J$16,'Incremental Repayments'!$I$31,(HLOOKUP($D100,$E$4:$CZ$32,28,FALSE)*'Incremental Repayments'!$I$22)),0),0)</f>
        <v>0</v>
      </c>
      <c r="L100" s="783">
        <f>IF('Incremental Repayments'!$R$22="Debt",IF(AND(L$4&gt;=$D100,L$4&lt;$D100+'Incremental Repayments'!$I$31),-PMT('Interest Rate'!$J$16,'Incremental Repayments'!$I$31,(HLOOKUP($D100,$E$4:$CZ$32,28,FALSE)*'Incremental Repayments'!$I$22)),0),0)</f>
        <v>0</v>
      </c>
      <c r="M100" s="783">
        <f>IF('Incremental Repayments'!$R$22="Debt",IF(AND(M$4&gt;=$D100,M$4&lt;$D100+'Incremental Repayments'!$I$31),-PMT('Interest Rate'!$J$16,'Incremental Repayments'!$I$31,(HLOOKUP($D100,$E$4:$CZ$32,28,FALSE)*'Incremental Repayments'!$I$22)),0),0)</f>
        <v>0</v>
      </c>
      <c r="N100" s="783">
        <f>IF('Incremental Repayments'!$R$22="Debt",IF(AND(N$4&gt;=$D100,N$4&lt;$D100+'Incremental Repayments'!$I$31),-PMT('Interest Rate'!$J$16,'Incremental Repayments'!$I$31,(HLOOKUP($D100,$E$4:$CZ$32,28,FALSE)*'Incremental Repayments'!$I$22)),0),0)</f>
        <v>0</v>
      </c>
      <c r="O100" s="783">
        <f>IF('Incremental Repayments'!$R$22="Debt",IF(AND(O$4&gt;=$D100,O$4&lt;$D100+'Incremental Repayments'!$I$31),-PMT('Interest Rate'!$J$16,'Incremental Repayments'!$I$31,(HLOOKUP($D100,$E$4:$CZ$32,28,FALSE)*'Incremental Repayments'!$I$22)),0),0)</f>
        <v>0</v>
      </c>
      <c r="P100" s="783">
        <f>IF('Incremental Repayments'!$R$22="Debt",IF(AND(P$4&gt;=$D100,P$4&lt;$D100+'Incremental Repayments'!$I$31),-PMT('Interest Rate'!$J$16,'Incremental Repayments'!$I$31,(HLOOKUP($D100,$E$4:$CZ$32,28,FALSE)*'Incremental Repayments'!$I$22)),0),0)</f>
        <v>0</v>
      </c>
      <c r="Q100" s="783">
        <f>IF('Incremental Repayments'!$R$22="Debt",IF(AND(Q$4&gt;=$D100,Q$4&lt;$D100+'Incremental Repayments'!$I$31),-PMT('Interest Rate'!$J$16,'Incremental Repayments'!$I$31,(HLOOKUP($D100,$E$4:$CZ$32,28,FALSE)*'Incremental Repayments'!$I$22)),0),0)</f>
        <v>0</v>
      </c>
      <c r="R100" s="783">
        <f>IF('Incremental Repayments'!$R$22="Debt",IF(AND(R$4&gt;=$D100,R$4&lt;$D100+'Incremental Repayments'!$I$31),-PMT('Interest Rate'!$J$16,'Incremental Repayments'!$I$31,(HLOOKUP($D100,$E$4:$CZ$32,28,FALSE)*'Incremental Repayments'!$I$22)),0),0)</f>
        <v>0</v>
      </c>
      <c r="S100" s="783">
        <f>IF('Incremental Repayments'!$R$22="Debt",IF(AND(S$4&gt;=$D100,S$4&lt;$D100+'Incremental Repayments'!$I$31),-PMT('Interest Rate'!$J$16,'Incremental Repayments'!$I$31,(HLOOKUP($D100,$E$4:$CZ$32,28,FALSE)*'Incremental Repayments'!$I$22)),0),0)</f>
        <v>0</v>
      </c>
      <c r="T100" s="783">
        <f>IF('Incremental Repayments'!$R$22="Debt",IF(AND(T$4&gt;=$D100,T$4&lt;$D100+'Incremental Repayments'!$I$31),-PMT('Interest Rate'!$J$16,'Incremental Repayments'!$I$31,(HLOOKUP($D100,$E$4:$CZ$32,28,FALSE)*'Incremental Repayments'!$I$22)),0),0)</f>
        <v>0</v>
      </c>
      <c r="U100" s="783">
        <f>IF('Incremental Repayments'!$R$22="Debt",IF(AND(U$4&gt;=$D100,U$4&lt;$D100+'Incremental Repayments'!$I$31),-PMT('Interest Rate'!$J$16,'Incremental Repayments'!$I$31,(HLOOKUP($D100,$E$4:$CZ$32,28,FALSE)*'Incremental Repayments'!$I$22)),0),0)</f>
        <v>0</v>
      </c>
      <c r="V100" s="783">
        <f>IF('Incremental Repayments'!$R$22="Debt",IF(AND(V$4&gt;=$D100,V$4&lt;$D100+'Incremental Repayments'!$I$31),-PMT('Interest Rate'!$J$16,'Incremental Repayments'!$I$31,(HLOOKUP($D100,$E$4:$CZ$32,28,FALSE)*'Incremental Repayments'!$I$22)),0),0)</f>
        <v>0</v>
      </c>
      <c r="W100" s="783">
        <f>IF('Incremental Repayments'!$R$22="Debt",IF(AND(W$4&gt;=$D100,W$4&lt;$D100+'Incremental Repayments'!$I$31),-PMT('Interest Rate'!$J$16,'Incremental Repayments'!$I$31,(HLOOKUP($D100,$E$4:$CZ$32,28,FALSE)*'Incremental Repayments'!$I$22)),0),0)</f>
        <v>0</v>
      </c>
      <c r="X100" s="783">
        <f>IF('Incremental Repayments'!$R$22="Debt",IF(AND(X$4&gt;=$D100,X$4&lt;$D100+'Incremental Repayments'!$I$31),-PMT('Interest Rate'!$J$16,'Incremental Repayments'!$I$31,(HLOOKUP($D100,$E$4:$CZ$32,28,FALSE)*'Incremental Repayments'!$I$22)),0),0)</f>
        <v>0</v>
      </c>
      <c r="Y100" s="783">
        <f>IF('Incremental Repayments'!$R$22="Debt",IF(AND(Y$4&gt;=$D100,Y$4&lt;$D100+'Incremental Repayments'!$I$31),-PMT('Interest Rate'!$J$16,'Incremental Repayments'!$I$31,(HLOOKUP($D100,$E$4:$CZ$32,28,FALSE)*'Incremental Repayments'!$I$22)),0),0)</f>
        <v>0</v>
      </c>
      <c r="Z100" s="783">
        <f>IF('Incremental Repayments'!$R$22="Debt",IF(AND(Z$4&gt;=$D100,Z$4&lt;$D100+'Incremental Repayments'!$I$31),-PMT('Interest Rate'!$J$16,'Incremental Repayments'!$I$31,(HLOOKUP($D100,$E$4:$CZ$32,28,FALSE)*'Incremental Repayments'!$I$22)),0),0)</f>
        <v>0</v>
      </c>
      <c r="AA100" s="783">
        <f>IF('Incremental Repayments'!$R$22="Debt",IF(AND(AA$4&gt;=$D100,AA$4&lt;$D100+'Incremental Repayments'!$I$31),-PMT('Interest Rate'!$J$16,'Incremental Repayments'!$I$31,(HLOOKUP($D100,$E$4:$CZ$32,28,FALSE)*'Incremental Repayments'!$I$22)),0),0)</f>
        <v>0</v>
      </c>
      <c r="AB100" s="783">
        <f>IF('Incremental Repayments'!$R$22="Debt",IF(AND(AB$4&gt;=$D100,AB$4&lt;$D100+'Incremental Repayments'!$I$31),-PMT('Interest Rate'!$J$16,'Incremental Repayments'!$I$31,(HLOOKUP($D100,$E$4:$CZ$32,28,FALSE)*'Incremental Repayments'!$I$22)),0),0)</f>
        <v>0</v>
      </c>
      <c r="AC100" s="783">
        <f>IF('Incremental Repayments'!$R$22="Debt",IF(AND(AC$4&gt;=$D100,AC$4&lt;$D100+'Incremental Repayments'!$I$31),-PMT('Interest Rate'!$J$16,'Incremental Repayments'!$I$31,(HLOOKUP($D100,$E$4:$CZ$32,28,FALSE)*'Incremental Repayments'!$I$22)),0),0)</f>
        <v>0</v>
      </c>
      <c r="AD100" s="783">
        <f>IF('Incremental Repayments'!$R$22="Debt",IF(AND(AD$4&gt;=$D100,AD$4&lt;$D100+'Incremental Repayments'!$I$31),-PMT('Interest Rate'!$J$16,'Incremental Repayments'!$I$31,(HLOOKUP($D100,$E$4:$CZ$32,28,FALSE)*'Incremental Repayments'!$I$22)),0),0)</f>
        <v>0</v>
      </c>
      <c r="AE100" s="783">
        <f>IF('Incremental Repayments'!$R$22="Debt",IF(AND(AE$4&gt;=$D100,AE$4&lt;$D100+'Incremental Repayments'!$I$31),-PMT('Interest Rate'!$J$16,'Incremental Repayments'!$I$31,(HLOOKUP($D100,$E$4:$CZ$32,28,FALSE)*'Incremental Repayments'!$I$22)),0),0)</f>
        <v>0</v>
      </c>
      <c r="AF100" s="783">
        <f>IF('Incremental Repayments'!$R$22="Debt",IF(AND(AF$4&gt;=$D100,AF$4&lt;$D100+'Incremental Repayments'!$I$31),-PMT('Interest Rate'!$J$16,'Incremental Repayments'!$I$31,(HLOOKUP($D100,$E$4:$CZ$32,28,FALSE)*'Incremental Repayments'!$I$22)),0),0)</f>
        <v>0</v>
      </c>
      <c r="AG100" s="783">
        <f>IF('Incremental Repayments'!$R$22="Debt",IF(AND(AG$4&gt;=$D100,AG$4&lt;$D100+'Incremental Repayments'!$I$31),-PMT('Interest Rate'!$J$16,'Incremental Repayments'!$I$31,(HLOOKUP($D100,$E$4:$CZ$32,28,FALSE)*'Incremental Repayments'!$I$22)),0),0)</f>
        <v>0</v>
      </c>
      <c r="AH100" s="783">
        <f>IF('Incremental Repayments'!$R$22="Debt",IF(AND(AH$4&gt;=$D100,AH$4&lt;$D100+'Incremental Repayments'!$I$31),-PMT('Interest Rate'!$J$16,'Incremental Repayments'!$I$31,(HLOOKUP($D100,$E$4:$CZ$32,28,FALSE)*'Incremental Repayments'!$I$22)),0),0)</f>
        <v>0</v>
      </c>
      <c r="AI100" s="783">
        <f>IF('Incremental Repayments'!$R$22="Debt",IF(AND(AI$4&gt;=$D100,AI$4&lt;$D100+'Incremental Repayments'!$I$31),-PMT('Interest Rate'!$J$16,'Incremental Repayments'!$I$31,(HLOOKUP($D100,$E$4:$CZ$32,28,FALSE)*'Incremental Repayments'!$I$22)),0),0)</f>
        <v>0</v>
      </c>
      <c r="AJ100" s="783">
        <f>IF('Incremental Repayments'!$R$22="Debt",IF(AND(AJ$4&gt;=$D100,AJ$4&lt;$D100+'Incremental Repayments'!$I$31),-PMT('Interest Rate'!$J$16,'Incremental Repayments'!$I$31,(HLOOKUP($D100,$E$4:$CZ$32,28,FALSE)*'Incremental Repayments'!$I$22)),0),0)</f>
        <v>0</v>
      </c>
      <c r="AK100" s="783">
        <f>IF('Incremental Repayments'!$R$22="Debt",IF(AND(AK$4&gt;=$D100,AK$4&lt;$D100+'Incremental Repayments'!$I$31),-PMT('Interest Rate'!$J$16,'Incremental Repayments'!$I$31,(HLOOKUP($D100,$E$4:$CZ$32,28,FALSE)*'Incremental Repayments'!$I$22)),0),0)</f>
        <v>0</v>
      </c>
      <c r="AL100" s="783">
        <f>IF('Incremental Repayments'!$R$22="Debt",IF(AND(AL$4&gt;=$D100,AL$4&lt;$D100+'Incremental Repayments'!$I$31),-PMT('Interest Rate'!$J$16,'Incremental Repayments'!$I$31,(HLOOKUP($D100,$E$4:$CZ$32,28,FALSE)*'Incremental Repayments'!$I$22)),0),0)</f>
        <v>0</v>
      </c>
      <c r="AM100" s="783">
        <f>IF('Incremental Repayments'!$R$22="Debt",IF(AND(AM$4&gt;=$D100,AM$4&lt;$D100+'Incremental Repayments'!$I$31),-PMT('Interest Rate'!$J$16,'Incremental Repayments'!$I$31,(HLOOKUP($D100,$E$4:$CZ$32,28,FALSE)*'Incremental Repayments'!$I$22)),0),0)</f>
        <v>0</v>
      </c>
      <c r="AN100" s="783">
        <f>IF('Incremental Repayments'!$R$22="Debt",IF(AND(AN$4&gt;=$D100,AN$4&lt;$D100+'Incremental Repayments'!$I$31),-PMT('Interest Rate'!$J$16,'Incremental Repayments'!$I$31,(HLOOKUP($D100,$E$4:$CZ$32,28,FALSE)*'Incremental Repayments'!$I$22)),0),0)</f>
        <v>0</v>
      </c>
      <c r="AO100" s="783">
        <f>IF('Incremental Repayments'!$R$22="Debt",IF(AND(AO$4&gt;=$D100,AO$4&lt;$D100+'Incremental Repayments'!$I$31),-PMT('Interest Rate'!$J$16,'Incremental Repayments'!$I$31,(HLOOKUP($D100,$E$4:$CZ$32,28,FALSE)*'Incremental Repayments'!$I$22)),0),0)</f>
        <v>0</v>
      </c>
      <c r="AP100" s="783">
        <f>IF('Incremental Repayments'!$R$22="Debt",IF(AND(AP$4&gt;=$D100,AP$4&lt;$D100+'Incremental Repayments'!$I$31),-PMT('Interest Rate'!$J$16,'Incremental Repayments'!$I$31,(HLOOKUP($D100,$E$4:$CZ$32,28,FALSE)*'Incremental Repayments'!$I$22)),0),0)</f>
        <v>0</v>
      </c>
      <c r="AQ100" s="783">
        <f>IF('Incremental Repayments'!$R$22="Debt",IF(AND(AQ$4&gt;=$D100,AQ$4&lt;$D100+'Incremental Repayments'!$I$31),-PMT('Interest Rate'!$J$16,'Incremental Repayments'!$I$31,(HLOOKUP($D100,$E$4:$CZ$32,28,FALSE)*'Incremental Repayments'!$I$22)),0),0)</f>
        <v>0</v>
      </c>
      <c r="AR100" s="783">
        <f>IF('Incremental Repayments'!$R$22="Debt",IF(AND(AR$4&gt;=$D100,AR$4&lt;$D100+'Incremental Repayments'!$I$31),-PMT('Interest Rate'!$J$16,'Incremental Repayments'!$I$31,(HLOOKUP($D100,$E$4:$CZ$32,28,FALSE)*'Incremental Repayments'!$I$22)),0),0)</f>
        <v>0</v>
      </c>
      <c r="AS100" s="783">
        <f>IF('Incremental Repayments'!$R$22="Debt",IF(AND(AS$4&gt;=$D100,AS$4&lt;$D100+'Incremental Repayments'!$I$31),-PMT('Interest Rate'!$J$16,'Incremental Repayments'!$I$31,(HLOOKUP($D100,$E$4:$CZ$32,28,FALSE)*'Incremental Repayments'!$I$22)),0),0)</f>
        <v>0</v>
      </c>
      <c r="AT100" s="783">
        <f>IF('Incremental Repayments'!$R$22="Debt",IF(AND(AT$4&gt;=$D100,AT$4&lt;$D100+'Incremental Repayments'!$I$31),-PMT('Interest Rate'!$J$16,'Incremental Repayments'!$I$31,(HLOOKUP($D100,$E$4:$CZ$32,28,FALSE)*'Incremental Repayments'!$I$22)),0),0)</f>
        <v>0</v>
      </c>
      <c r="AU100" s="783">
        <f>IF('Incremental Repayments'!$R$22="Debt",IF(AND(AU$4&gt;=$D100,AU$4&lt;$D100+'Incremental Repayments'!$I$31),-PMT('Interest Rate'!$J$16,'Incremental Repayments'!$I$31,(HLOOKUP($D100,$E$4:$CZ$32,28,FALSE)*'Incremental Repayments'!$I$22)),0),0)</f>
        <v>0</v>
      </c>
      <c r="AV100" s="783">
        <f>IF('Incremental Repayments'!$R$22="Debt",IF(AND(AV$4&gt;=$D100,AV$4&lt;$D100+'Incremental Repayments'!$I$31),-PMT('Interest Rate'!$J$16,'Incremental Repayments'!$I$31,(HLOOKUP($D100,$E$4:$CZ$32,28,FALSE)*'Incremental Repayments'!$I$22)),0),0)</f>
        <v>0</v>
      </c>
      <c r="AW100" s="783">
        <f>IF('Incremental Repayments'!$R$22="Debt",IF(AND(AW$4&gt;=$D100,AW$4&lt;$D100+'Incremental Repayments'!$I$31),-PMT('Interest Rate'!$J$16,'Incremental Repayments'!$I$31,(HLOOKUP($D100,$E$4:$CZ$32,28,FALSE)*'Incremental Repayments'!$I$22)),0),0)</f>
        <v>0</v>
      </c>
      <c r="AX100" s="783">
        <f>IF('Incremental Repayments'!$R$22="Debt",IF(AND(AX$4&gt;=$D100,AX$4&lt;$D100+'Incremental Repayments'!$I$31),-PMT('Interest Rate'!$J$16,'Incremental Repayments'!$I$31,(HLOOKUP($D100,$E$4:$CZ$32,28,FALSE)*'Incremental Repayments'!$I$22)),0),0)</f>
        <v>0</v>
      </c>
      <c r="AY100" s="783">
        <f>IF('Incremental Repayments'!$R$22="Debt",IF(AND(AY$4&gt;=$D100,AY$4&lt;$D100+'Incremental Repayments'!$I$31),-PMT('Interest Rate'!$J$16,'Incremental Repayments'!$I$31,(HLOOKUP($D100,$E$4:$CZ$32,28,FALSE)*'Incremental Repayments'!$I$22)),0),0)</f>
        <v>0</v>
      </c>
      <c r="AZ100" s="783">
        <f>IF('Incremental Repayments'!$R$22="Debt",IF(AND(AZ$4&gt;=$D100,AZ$4&lt;$D100+'Incremental Repayments'!$I$31),-PMT('Interest Rate'!$J$16,'Incremental Repayments'!$I$31,(HLOOKUP($D100,$E$4:$CZ$32,28,FALSE)*'Incremental Repayments'!$I$22)),0),0)</f>
        <v>0</v>
      </c>
      <c r="BA100" s="783">
        <f>IF('Incremental Repayments'!$R$22="Debt",IF(AND(BA$4&gt;=$D100,BA$4&lt;$D100+'Incremental Repayments'!$I$31),-PMT('Interest Rate'!$J$16,'Incremental Repayments'!$I$31,(HLOOKUP($D100,$E$4:$CZ$32,28,FALSE)*'Incremental Repayments'!$I$22)),0),0)</f>
        <v>0</v>
      </c>
      <c r="BB100" s="783">
        <f>IF('Incremental Repayments'!$R$22="Debt",IF(AND(BB$4&gt;=$D100,BB$4&lt;$D100+'Incremental Repayments'!$I$31),-PMT('Interest Rate'!$J$16,'Incremental Repayments'!$I$31,(HLOOKUP($D100,$E$4:$CZ$32,28,FALSE)*'Incremental Repayments'!$I$22)),0),0)</f>
        <v>0</v>
      </c>
      <c r="BC100" s="783">
        <f>IF('Incremental Repayments'!$R$22="Debt",IF(AND(BC$4&gt;=$D100,BC$4&lt;$D100+'Incremental Repayments'!$I$31),-PMT('Interest Rate'!$J$16,'Incremental Repayments'!$I$31,(HLOOKUP($D100,$E$4:$CZ$32,28,FALSE)*'Incremental Repayments'!$I$22)),0),0)</f>
        <v>0</v>
      </c>
      <c r="BD100" s="783">
        <f>IF('Incremental Repayments'!$R$22="Debt",IF(AND(BD$4&gt;=$D100,BD$4&lt;$D100+'Incremental Repayments'!$I$31),-PMT('Interest Rate'!$J$16,'Incremental Repayments'!$I$31,(HLOOKUP($D100,$E$4:$CZ$32,28,FALSE)*'Incremental Repayments'!$I$22)),0),0)</f>
        <v>0</v>
      </c>
      <c r="BE100" s="783">
        <f>IF('Incremental Repayments'!$R$22="Debt",IF(AND(BE$4&gt;=$D100,BE$4&lt;$D100+'Incremental Repayments'!$I$31),-PMT('Interest Rate'!$J$16,'Incremental Repayments'!$I$31,(HLOOKUP($D100,$E$4:$CZ$32,28,FALSE)*'Incremental Repayments'!$I$22)),0),0)</f>
        <v>0</v>
      </c>
      <c r="BF100" s="783">
        <f>IF('Incremental Repayments'!$R$22="Debt",IF(AND(BF$4&gt;=$D100,BF$4&lt;$D100+'Incremental Repayments'!$I$31),-PMT('Interest Rate'!$J$16,'Incremental Repayments'!$I$31,(HLOOKUP($D100,$E$4:$CZ$32,28,FALSE)*'Incremental Repayments'!$I$22)),0),0)</f>
        <v>0</v>
      </c>
      <c r="BG100" s="783">
        <f>IF('Incremental Repayments'!$R$22="Debt",IF(AND(BG$4&gt;=$D100,BG$4&lt;$D100+'Incremental Repayments'!$I$31),-PMT('Interest Rate'!$J$16,'Incremental Repayments'!$I$31,(HLOOKUP($D100,$E$4:$CZ$32,28,FALSE)*'Incremental Repayments'!$I$22)),0),0)</f>
        <v>0</v>
      </c>
      <c r="BH100" s="783">
        <f>IF('Incremental Repayments'!$R$22="Debt",IF(AND(BH$4&gt;=$D100,BH$4&lt;$D100+'Incremental Repayments'!$I$31),-PMT('Interest Rate'!$J$16,'Incremental Repayments'!$I$31,(HLOOKUP($D100,$E$4:$CZ$32,28,FALSE)*'Incremental Repayments'!$I$22)),0),0)</f>
        <v>0</v>
      </c>
      <c r="BI100" s="783">
        <f>IF('Incremental Repayments'!$R$22="Debt",IF(AND(BI$4&gt;=$D100,BI$4&lt;$D100+'Incremental Repayments'!$I$31),-PMT('Interest Rate'!$J$16,'Incremental Repayments'!$I$31,(HLOOKUP($D100,$E$4:$CZ$32,28,FALSE)*'Incremental Repayments'!$I$22)),0),0)</f>
        <v>0</v>
      </c>
      <c r="BJ100" s="783">
        <f>IF('Incremental Repayments'!$R$22="Debt",IF(AND(BJ$4&gt;=$D100,BJ$4&lt;$D100+'Incremental Repayments'!$I$31),-PMT('Interest Rate'!$J$16,'Incremental Repayments'!$I$31,(HLOOKUP($D100,$E$4:$CZ$32,28,FALSE)*'Incremental Repayments'!$I$22)),0),0)</f>
        <v>0</v>
      </c>
      <c r="BK100" s="783">
        <f>IF('Incremental Repayments'!$R$22="Debt",IF(AND(BK$4&gt;=$D100,BK$4&lt;$D100+'Incremental Repayments'!$I$31),-PMT('Interest Rate'!$J$16,'Incremental Repayments'!$I$31,(HLOOKUP($D100,$E$4:$CZ$32,28,FALSE)*'Incremental Repayments'!$I$22)),0),0)</f>
        <v>0</v>
      </c>
      <c r="BL100" s="783">
        <f>IF('Incremental Repayments'!$R$22="Debt",IF(AND(BL$4&gt;=$D100,BL$4&lt;$D100+'Incremental Repayments'!$I$31),-PMT('Interest Rate'!$J$16,'Incremental Repayments'!$I$31,(HLOOKUP($D100,$E$4:$CZ$32,28,FALSE)*'Incremental Repayments'!$I$22)),0),0)</f>
        <v>0</v>
      </c>
      <c r="BM100" s="783">
        <f>IF('Incremental Repayments'!$R$22="Debt",IF(AND(BM$4&gt;=$D100,BM$4&lt;$D100+'Incremental Repayments'!$I$31),-PMT('Interest Rate'!$J$16,'Incremental Repayments'!$I$31,(HLOOKUP($D100,$E$4:$CZ$32,28,FALSE)*'Incremental Repayments'!$I$22)),0),0)</f>
        <v>0</v>
      </c>
      <c r="BN100" s="783">
        <f>IF('Incremental Repayments'!$R$22="Debt",IF(AND(BN$4&gt;=$D100,BN$4&lt;$D100+'Incremental Repayments'!$I$31),-PMT('Interest Rate'!$J$16,'Incremental Repayments'!$I$31,(HLOOKUP($D100,$E$4:$CZ$32,28,FALSE)*'Incremental Repayments'!$I$22)),0),0)</f>
        <v>0</v>
      </c>
      <c r="BO100" s="783">
        <f>IF('Incremental Repayments'!$R$22="Debt",IF(AND(BO$4&gt;=$D100,BO$4&lt;$D100+'Incremental Repayments'!$I$31),-PMT('Interest Rate'!$J$16,'Incremental Repayments'!$I$31,(HLOOKUP($D100,$E$4:$CZ$32,28,FALSE)*'Incremental Repayments'!$I$22)),0),0)</f>
        <v>0</v>
      </c>
      <c r="BP100" s="783">
        <f>IF('Incremental Repayments'!$R$22="Debt",IF(AND(BP$4&gt;=$D100,BP$4&lt;$D100+'Incremental Repayments'!$I$31),-PMT('Interest Rate'!$J$16,'Incremental Repayments'!$I$31,(HLOOKUP($D100,$E$4:$CZ$32,28,FALSE)*'Incremental Repayments'!$I$22)),0),0)</f>
        <v>0</v>
      </c>
      <c r="BQ100" s="783">
        <f>IF('Incremental Repayments'!$R$22="Debt",IF(AND(BQ$4&gt;=$D100,BQ$4&lt;$D100+'Incremental Repayments'!$I$31),-PMT('Interest Rate'!$J$16,'Incremental Repayments'!$I$31,(HLOOKUP($D100,$E$4:$CZ$32,28,FALSE)*'Incremental Repayments'!$I$22)),0),0)</f>
        <v>0</v>
      </c>
      <c r="BR100" s="783">
        <f>IF('Incremental Repayments'!$R$22="Debt",IF(AND(BR$4&gt;=$D100,BR$4&lt;$D100+'Incremental Repayments'!$I$31),-PMT('Interest Rate'!$J$16,'Incremental Repayments'!$I$31,(HLOOKUP($D100,$E$4:$CZ$32,28,FALSE)*'Incremental Repayments'!$I$22)),0),0)</f>
        <v>0</v>
      </c>
      <c r="BS100" s="783">
        <f>IF('Incremental Repayments'!$R$22="Debt",IF(AND(BS$4&gt;=$D100,BS$4&lt;$D100+'Incremental Repayments'!$I$31),-PMT('Interest Rate'!$J$16,'Incremental Repayments'!$I$31,(HLOOKUP($D100,$E$4:$CZ$32,28,FALSE)*'Incremental Repayments'!$I$22)),0),0)</f>
        <v>0</v>
      </c>
      <c r="BT100" s="783">
        <f>IF('Incremental Repayments'!$R$22="Debt",IF(AND(BT$4&gt;=$D100,BT$4&lt;$D100+'Incremental Repayments'!$I$31),-PMT('Interest Rate'!$J$16,'Incremental Repayments'!$I$31,(HLOOKUP($D100,$E$4:$CZ$32,28,FALSE)*'Incremental Repayments'!$I$22)),0),0)</f>
        <v>0</v>
      </c>
      <c r="BU100" s="783">
        <f>IF('Incremental Repayments'!$R$22="Debt",IF(AND(BU$4&gt;=$D100,BU$4&lt;$D100+'Incremental Repayments'!$I$31),-PMT('Interest Rate'!$J$16,'Incremental Repayments'!$I$31,(HLOOKUP($D100,$E$4:$CZ$32,28,FALSE)*'Incremental Repayments'!$I$22)),0),0)</f>
        <v>0</v>
      </c>
      <c r="BV100" s="783">
        <f>IF('Incremental Repayments'!$R$22="Debt",IF(AND(BV$4&gt;=$D100,BV$4&lt;$D100+'Incremental Repayments'!$I$31),-PMT('Interest Rate'!$J$16,'Incremental Repayments'!$I$31,(HLOOKUP($D100,$E$4:$CZ$32,28,FALSE)*'Incremental Repayments'!$I$22)),0),0)</f>
        <v>0</v>
      </c>
      <c r="BW100" s="783">
        <f>IF('Incremental Repayments'!$R$22="Debt",IF(AND(BW$4&gt;=$D100,BW$4&lt;$D100+'Incremental Repayments'!$I$31),-PMT('Interest Rate'!$J$16,'Incremental Repayments'!$I$31,(HLOOKUP($D100,$E$4:$CZ$32,28,FALSE)*'Incremental Repayments'!$I$22)),0),0)</f>
        <v>0</v>
      </c>
      <c r="BX100" s="783">
        <f>IF('Incremental Repayments'!$R$22="Debt",IF(AND(BX$4&gt;=$D100,BX$4&lt;$D100+'Incremental Repayments'!$I$31),-PMT('Interest Rate'!$J$16,'Incremental Repayments'!$I$31,(HLOOKUP($D100,$E$4:$CZ$32,28,FALSE)*'Incremental Repayments'!$I$22)),0),0)</f>
        <v>0</v>
      </c>
      <c r="BY100" s="783">
        <f>IF('Incremental Repayments'!$R$22="Debt",IF(AND(BY$4&gt;=$D100,BY$4&lt;$D100+'Incremental Repayments'!$I$31),-PMT('Interest Rate'!$J$16,'Incremental Repayments'!$I$31,(HLOOKUP($D100,$E$4:$CZ$32,28,FALSE)*'Incremental Repayments'!$I$22)),0),0)</f>
        <v>0</v>
      </c>
      <c r="BZ100" s="783">
        <f>IF('Incremental Repayments'!$R$22="Debt",IF(AND(BZ$4&gt;=$D100,BZ$4&lt;$D100+'Incremental Repayments'!$I$31),-PMT('Interest Rate'!$J$16,'Incremental Repayments'!$I$31,(HLOOKUP($D100,$E$4:$CZ$32,28,FALSE)*'Incremental Repayments'!$I$22)),0),0)</f>
        <v>0</v>
      </c>
      <c r="CA100" s="783">
        <f>IF('Incremental Repayments'!$R$22="Debt",IF(AND(CA$4&gt;=$D100,CA$4&lt;$D100+'Incremental Repayments'!$I$31),-PMT('Interest Rate'!$J$16,'Incremental Repayments'!$I$31,(HLOOKUP($D100,$E$4:$CZ$32,28,FALSE)*'Incremental Repayments'!$I$22)),0),0)</f>
        <v>0</v>
      </c>
      <c r="CB100" s="783">
        <f>IF('Incremental Repayments'!$R$22="Debt",IF(AND(CB$4&gt;=$D100,CB$4&lt;$D100+'Incremental Repayments'!$I$31),-PMT('Interest Rate'!$J$16,'Incremental Repayments'!$I$31,(HLOOKUP($D100,$E$4:$CZ$32,28,FALSE)*'Incremental Repayments'!$I$22)),0),0)</f>
        <v>0</v>
      </c>
      <c r="CC100" s="783">
        <f>IF('Incremental Repayments'!$R$22="Debt",IF(AND(CC$4&gt;=$D100,CC$4&lt;$D100+'Incremental Repayments'!$I$31),-PMT('Interest Rate'!$J$16,'Incremental Repayments'!$I$31,(HLOOKUP($D100,$E$4:$CZ$32,28,FALSE)*'Incremental Repayments'!$I$22)),0),0)</f>
        <v>0</v>
      </c>
      <c r="CD100" s="783">
        <f>IF('Incremental Repayments'!$R$22="Debt",IF(AND(CD$4&gt;=$D100,CD$4&lt;$D100+'Incremental Repayments'!$I$31),-PMT('Interest Rate'!$J$16,'Incremental Repayments'!$I$31,(HLOOKUP($D100,$E$4:$CZ$32,28,FALSE)*'Incremental Repayments'!$I$22)),0),0)</f>
        <v>0</v>
      </c>
      <c r="CE100" s="783">
        <f>IF('Incremental Repayments'!$R$22="Debt",IF(AND(CE$4&gt;=$D100,CE$4&lt;$D100+'Incremental Repayments'!$I$31),-PMT('Interest Rate'!$J$16,'Incremental Repayments'!$I$31,(HLOOKUP($D100,$E$4:$CZ$32,28,FALSE)*'Incremental Repayments'!$I$22)),0),0)</f>
        <v>0</v>
      </c>
      <c r="CF100" s="783">
        <f>IF('Incremental Repayments'!$R$22="Debt",IF(AND(CF$4&gt;=$D100,CF$4&lt;$D100+'Incremental Repayments'!$I$31),-PMT('Interest Rate'!$J$16,'Incremental Repayments'!$I$31,(HLOOKUP($D100,$E$4:$CZ$32,28,FALSE)*'Incremental Repayments'!$I$22)),0),0)</f>
        <v>0</v>
      </c>
      <c r="CG100" s="783">
        <f>IF('Incremental Repayments'!$R$22="Debt",IF(AND(CG$4&gt;=$D100,CG$4&lt;$D100+'Incremental Repayments'!$I$31),-PMT('Interest Rate'!$J$16,'Incremental Repayments'!$I$31,(HLOOKUP($D100,$E$4:$CZ$32,28,FALSE)*'Incremental Repayments'!$I$22)),0),0)</f>
        <v>0</v>
      </c>
      <c r="CH100" s="783">
        <f>IF('Incremental Repayments'!$R$22="Debt",IF(AND(CH$4&gt;=$D100,CH$4&lt;$D100+'Incremental Repayments'!$I$31),-PMT('Interest Rate'!$J$16,'Incremental Repayments'!$I$31,(HLOOKUP($D100,$E$4:$CZ$32,28,FALSE)*'Incremental Repayments'!$I$22)),0),0)</f>
        <v>0</v>
      </c>
      <c r="CI100" s="783">
        <f>IF('Incremental Repayments'!$R$22="Debt",IF(AND(CI$4&gt;=$D100,CI$4&lt;$D100+'Incremental Repayments'!$I$31),-PMT('Interest Rate'!$J$16,'Incremental Repayments'!$I$31,(HLOOKUP($D100,$E$4:$CZ$32,28,FALSE)*'Incremental Repayments'!$I$22)),0),0)</f>
        <v>0</v>
      </c>
      <c r="CJ100" s="783">
        <f>IF('Incremental Repayments'!$R$22="Debt",IF(AND(CJ$4&gt;=$D100,CJ$4&lt;$D100+'Incremental Repayments'!$I$31),-PMT('Interest Rate'!$J$16,'Incremental Repayments'!$I$31,(HLOOKUP($D100,$E$4:$CZ$32,28,FALSE)*'Incremental Repayments'!$I$22)),0),0)</f>
        <v>0</v>
      </c>
      <c r="CK100" s="783">
        <f>IF('Incremental Repayments'!$R$22="Debt",IF(AND(CK$4&gt;=$D100,CK$4&lt;$D100+'Incremental Repayments'!$I$31),-PMT('Interest Rate'!$J$16,'Incremental Repayments'!$I$31,(HLOOKUP($D100,$E$4:$CZ$32,28,FALSE)*'Incremental Repayments'!$I$22)),0),0)</f>
        <v>0</v>
      </c>
      <c r="CL100" s="783">
        <f>IF('Incremental Repayments'!$R$22="Debt",IF(AND(CL$4&gt;=$D100,CL$4&lt;$D100+'Incremental Repayments'!$I$31),-PMT('Interest Rate'!$J$16,'Incremental Repayments'!$I$31,(HLOOKUP($D100,$E$4:$CZ$32,28,FALSE)*'Incremental Repayments'!$I$22)),0),0)</f>
        <v>0</v>
      </c>
      <c r="CM100" s="783">
        <f>IF('Incremental Repayments'!$R$22="Debt",IF(AND(CM$4&gt;=$D100,CM$4&lt;$D100+'Incremental Repayments'!$I$31),-PMT('Interest Rate'!$J$16,'Incremental Repayments'!$I$31,(HLOOKUP($D100,$E$4:$CZ$32,28,FALSE)*'Incremental Repayments'!$I$22)),0),0)</f>
        <v>0</v>
      </c>
      <c r="CN100" s="783">
        <f>IF('Incremental Repayments'!$R$22="Debt",IF(AND(CN$4&gt;=$D100,CN$4&lt;$D100+'Incremental Repayments'!$I$31),-PMT('Interest Rate'!$J$16,'Incremental Repayments'!$I$31,(HLOOKUP($D100,$E$4:$CZ$32,28,FALSE)*'Incremental Repayments'!$I$22)),0),0)</f>
        <v>0</v>
      </c>
      <c r="CO100" s="783">
        <f>IF('Incremental Repayments'!$R$22="Debt",IF(AND(CO$4&gt;=$D100,CO$4&lt;$D100+'Incremental Repayments'!$I$31),-PMT('Interest Rate'!$J$16,'Incremental Repayments'!$I$31,(HLOOKUP($D100,$E$4:$CZ$32,28,FALSE)*'Incremental Repayments'!$I$22)),0),0)</f>
        <v>0</v>
      </c>
      <c r="CP100" s="783">
        <f>IF('Incremental Repayments'!$R$22="Debt",IF(AND(CP$4&gt;=$D100,CP$4&lt;$D100+'Incremental Repayments'!$I$31),-PMT('Interest Rate'!$J$16,'Incremental Repayments'!$I$31,(HLOOKUP($D100,$E$4:$CZ$32,28,FALSE)*'Incremental Repayments'!$I$22)),0),0)</f>
        <v>0</v>
      </c>
      <c r="CQ100" s="783">
        <f>IF('Incremental Repayments'!$R$22="Debt",IF(AND(CQ$4&gt;=$D100,CQ$4&lt;$D100+'Incremental Repayments'!$I$31),-PMT('Interest Rate'!$J$16,'Incremental Repayments'!$I$31,(HLOOKUP($D100,$E$4:$CZ$32,28,FALSE)*'Incremental Repayments'!$I$22)),0),0)</f>
        <v>0</v>
      </c>
      <c r="CR100" s="783">
        <f>IF('Incremental Repayments'!$R$22="Debt",IF(AND(CR$4&gt;=$D100,CR$4&lt;$D100+'Incremental Repayments'!$I$31),-PMT('Interest Rate'!$J$16,'Incremental Repayments'!$I$31,(HLOOKUP($D100,$E$4:$CZ$32,28,FALSE)*'Incremental Repayments'!$I$22)),0),0)</f>
        <v>0</v>
      </c>
      <c r="CS100" s="783">
        <f>IF('Incremental Repayments'!$R$22="Debt",IF(AND(CS$4&gt;=$D100,CS$4&lt;$D100+'Incremental Repayments'!$I$31),-PMT('Interest Rate'!$J$16,'Incremental Repayments'!$I$31,(HLOOKUP($D100,$E$4:$CZ$32,28,FALSE)*'Incremental Repayments'!$I$22)),0),0)</f>
        <v>0</v>
      </c>
      <c r="CT100" s="783">
        <f>IF('Incremental Repayments'!$R$22="Debt",IF(AND(CT$4&gt;=$D100,CT$4&lt;$D100+'Incremental Repayments'!$I$31),-PMT('Interest Rate'!$J$16,'Incremental Repayments'!$I$31,(HLOOKUP($D100,$E$4:$CZ$32,28,FALSE)*'Incremental Repayments'!$I$22)),0),0)</f>
        <v>0</v>
      </c>
      <c r="CU100" s="783">
        <f>IF('Incremental Repayments'!$R$22="Debt",IF(AND(CU$4&gt;=$D100,CU$4&lt;$D100+'Incremental Repayments'!$I$31),-PMT('Interest Rate'!$J$16,'Incremental Repayments'!$I$31,(HLOOKUP($D100,$E$4:$CZ$32,28,FALSE)*'Incremental Repayments'!$I$22)),0),0)</f>
        <v>0</v>
      </c>
      <c r="CV100" s="783">
        <f>IF('Incremental Repayments'!$R$22="Debt",IF(AND(CV$4&gt;=$D100,CV$4&lt;$D100+'Incremental Repayments'!$I$31),-PMT('Interest Rate'!$J$16,'Incremental Repayments'!$I$31,(HLOOKUP($D100,$E$4:$CZ$32,28,FALSE)*'Incremental Repayments'!$I$22)),0),0)</f>
        <v>0</v>
      </c>
      <c r="CW100" s="783">
        <f>IF('Incremental Repayments'!$R$22="Debt",IF(AND(CW$4&gt;=$D100,CW$4&lt;$D100+'Incremental Repayments'!$I$31),-PMT('Interest Rate'!$J$16,'Incremental Repayments'!$I$31,(HLOOKUP($D100,$E$4:$CZ$32,28,FALSE)*'Incremental Repayments'!$I$22)),0),0)</f>
        <v>0</v>
      </c>
      <c r="CX100" s="783">
        <f>IF('Incremental Repayments'!$R$22="Debt",IF(AND(CX$4&gt;=$D100,CX$4&lt;$D100+'Incremental Repayments'!$I$31),-PMT('Interest Rate'!$J$16,'Incremental Repayments'!$I$31,(HLOOKUP($D100,$E$4:$CZ$32,28,FALSE)*'Incremental Repayments'!$I$22)),0),0)</f>
        <v>0</v>
      </c>
      <c r="CY100" s="783">
        <f>IF('Incremental Repayments'!$R$22="Debt",IF(AND(CY$4&gt;=$D100,CY$4&lt;$D100+'Incremental Repayments'!$I$31),-PMT('Interest Rate'!$J$16,'Incremental Repayments'!$I$31,(HLOOKUP($D100,$E$4:$CZ$32,28,FALSE)*'Incremental Repayments'!$I$22)),0),0)</f>
        <v>0</v>
      </c>
      <c r="CZ100" s="783">
        <f>IF('Incremental Repayments'!$R$22="Debt",IF(AND(CZ$4&gt;=$D100,CZ$4&lt;$D100+'Incremental Repayments'!$I$31),-PMT('Interest Rate'!$J$16,'Incremental Repayments'!$I$31,(HLOOKUP($D100,$E$4:$CZ$32,28,FALSE)*'Incremental Repayments'!$I$22)),0),0)</f>
        <v>0</v>
      </c>
    </row>
    <row r="101" spans="2:104" x14ac:dyDescent="0.25">
      <c r="B101" s="480" t="str">
        <f>CONCATENATE("Series ",D101,"A Bonds (at ",'Interest Rate'!$J$16*100,"% Interest)")</f>
        <v>Series 2079A Bonds (at 4.5% Interest)</v>
      </c>
      <c r="C101" s="480"/>
      <c r="D101" s="492">
        <f t="shared" si="47"/>
        <v>2079</v>
      </c>
      <c r="E101" s="783">
        <f>IF('Incremental Repayments'!$R$22="Debt",IF(AND(E$4&gt;=$D101,E$4&lt;$D101+'Incremental Repayments'!$I$31),-PMT('Interest Rate'!$J$16,'Incremental Repayments'!$I$31,(HLOOKUP($D101,$E$4:$CZ$32,28,FALSE)*'Incremental Repayments'!$I$22)),0),0)</f>
        <v>0</v>
      </c>
      <c r="F101" s="783">
        <f>IF('Incremental Repayments'!$R$22="Debt",IF(AND(F$4&gt;=$D101,F$4&lt;$D101+'Incremental Repayments'!$I$31),-PMT('Interest Rate'!$J$16,'Incremental Repayments'!$I$31,(HLOOKUP($D101,$E$4:$CZ$32,28,FALSE)*'Incremental Repayments'!$I$22)),0),0)</f>
        <v>0</v>
      </c>
      <c r="G101" s="783">
        <f>IF('Incremental Repayments'!$R$22="Debt",IF(AND(G$4&gt;=$D101,G$4&lt;$D101+'Incremental Repayments'!$I$31),-PMT('Interest Rate'!$J$16,'Incremental Repayments'!$I$31,(HLOOKUP($D101,$E$4:$CZ$32,28,FALSE)*'Incremental Repayments'!$I$22)),0),0)</f>
        <v>0</v>
      </c>
      <c r="H101" s="783">
        <f>IF('Incremental Repayments'!$R$22="Debt",IF(AND(H$4&gt;=$D101,H$4&lt;$D101+'Incremental Repayments'!$I$31),-PMT('Interest Rate'!$J$16,'Incremental Repayments'!$I$31,(HLOOKUP($D101,$E$4:$CZ$32,28,FALSE)*'Incremental Repayments'!$I$22)),0),0)</f>
        <v>0</v>
      </c>
      <c r="I101" s="783">
        <f>IF('Incremental Repayments'!$R$22="Debt",IF(AND(I$4&gt;=$D101,I$4&lt;$D101+'Incremental Repayments'!$I$31),-PMT('Interest Rate'!$J$16,'Incremental Repayments'!$I$31,(HLOOKUP($D101,$E$4:$CZ$32,28,FALSE)*'Incremental Repayments'!$I$22)),0),0)</f>
        <v>0</v>
      </c>
      <c r="J101" s="783">
        <f>IF('Incremental Repayments'!$R$22="Debt",IF(AND(J$4&gt;=$D101,J$4&lt;$D101+'Incremental Repayments'!$I$31),-PMT('Interest Rate'!$J$16,'Incremental Repayments'!$I$31,(HLOOKUP($D101,$E$4:$CZ$32,28,FALSE)*'Incremental Repayments'!$I$22)),0),0)</f>
        <v>0</v>
      </c>
      <c r="K101" s="783">
        <f>IF('Incremental Repayments'!$R$22="Debt",IF(AND(K$4&gt;=$D101,K$4&lt;$D101+'Incremental Repayments'!$I$31),-PMT('Interest Rate'!$J$16,'Incremental Repayments'!$I$31,(HLOOKUP($D101,$E$4:$CZ$32,28,FALSE)*'Incremental Repayments'!$I$22)),0),0)</f>
        <v>0</v>
      </c>
      <c r="L101" s="783">
        <f>IF('Incremental Repayments'!$R$22="Debt",IF(AND(L$4&gt;=$D101,L$4&lt;$D101+'Incremental Repayments'!$I$31),-PMT('Interest Rate'!$J$16,'Incremental Repayments'!$I$31,(HLOOKUP($D101,$E$4:$CZ$32,28,FALSE)*'Incremental Repayments'!$I$22)),0),0)</f>
        <v>0</v>
      </c>
      <c r="M101" s="783">
        <f>IF('Incremental Repayments'!$R$22="Debt",IF(AND(M$4&gt;=$D101,M$4&lt;$D101+'Incremental Repayments'!$I$31),-PMT('Interest Rate'!$J$16,'Incremental Repayments'!$I$31,(HLOOKUP($D101,$E$4:$CZ$32,28,FALSE)*'Incremental Repayments'!$I$22)),0),0)</f>
        <v>0</v>
      </c>
      <c r="N101" s="783">
        <f>IF('Incremental Repayments'!$R$22="Debt",IF(AND(N$4&gt;=$D101,N$4&lt;$D101+'Incremental Repayments'!$I$31),-PMT('Interest Rate'!$J$16,'Incremental Repayments'!$I$31,(HLOOKUP($D101,$E$4:$CZ$32,28,FALSE)*'Incremental Repayments'!$I$22)),0),0)</f>
        <v>0</v>
      </c>
      <c r="O101" s="783">
        <f>IF('Incremental Repayments'!$R$22="Debt",IF(AND(O$4&gt;=$D101,O$4&lt;$D101+'Incremental Repayments'!$I$31),-PMT('Interest Rate'!$J$16,'Incremental Repayments'!$I$31,(HLOOKUP($D101,$E$4:$CZ$32,28,FALSE)*'Incremental Repayments'!$I$22)),0),0)</f>
        <v>0</v>
      </c>
      <c r="P101" s="783">
        <f>IF('Incremental Repayments'!$R$22="Debt",IF(AND(P$4&gt;=$D101,P$4&lt;$D101+'Incremental Repayments'!$I$31),-PMT('Interest Rate'!$J$16,'Incremental Repayments'!$I$31,(HLOOKUP($D101,$E$4:$CZ$32,28,FALSE)*'Incremental Repayments'!$I$22)),0),0)</f>
        <v>0</v>
      </c>
      <c r="Q101" s="783">
        <f>IF('Incremental Repayments'!$R$22="Debt",IF(AND(Q$4&gt;=$D101,Q$4&lt;$D101+'Incremental Repayments'!$I$31),-PMT('Interest Rate'!$J$16,'Incremental Repayments'!$I$31,(HLOOKUP($D101,$E$4:$CZ$32,28,FALSE)*'Incremental Repayments'!$I$22)),0),0)</f>
        <v>0</v>
      </c>
      <c r="R101" s="783">
        <f>IF('Incremental Repayments'!$R$22="Debt",IF(AND(R$4&gt;=$D101,R$4&lt;$D101+'Incremental Repayments'!$I$31),-PMT('Interest Rate'!$J$16,'Incremental Repayments'!$I$31,(HLOOKUP($D101,$E$4:$CZ$32,28,FALSE)*'Incremental Repayments'!$I$22)),0),0)</f>
        <v>0</v>
      </c>
      <c r="S101" s="783">
        <f>IF('Incremental Repayments'!$R$22="Debt",IF(AND(S$4&gt;=$D101,S$4&lt;$D101+'Incremental Repayments'!$I$31),-PMT('Interest Rate'!$J$16,'Incremental Repayments'!$I$31,(HLOOKUP($D101,$E$4:$CZ$32,28,FALSE)*'Incremental Repayments'!$I$22)),0),0)</f>
        <v>0</v>
      </c>
      <c r="T101" s="783">
        <f>IF('Incremental Repayments'!$R$22="Debt",IF(AND(T$4&gt;=$D101,T$4&lt;$D101+'Incremental Repayments'!$I$31),-PMT('Interest Rate'!$J$16,'Incremental Repayments'!$I$31,(HLOOKUP($D101,$E$4:$CZ$32,28,FALSE)*'Incremental Repayments'!$I$22)),0),0)</f>
        <v>0</v>
      </c>
      <c r="U101" s="783">
        <f>IF('Incremental Repayments'!$R$22="Debt",IF(AND(U$4&gt;=$D101,U$4&lt;$D101+'Incremental Repayments'!$I$31),-PMT('Interest Rate'!$J$16,'Incremental Repayments'!$I$31,(HLOOKUP($D101,$E$4:$CZ$32,28,FALSE)*'Incremental Repayments'!$I$22)),0),0)</f>
        <v>0</v>
      </c>
      <c r="V101" s="783">
        <f>IF('Incremental Repayments'!$R$22="Debt",IF(AND(V$4&gt;=$D101,V$4&lt;$D101+'Incremental Repayments'!$I$31),-PMT('Interest Rate'!$J$16,'Incremental Repayments'!$I$31,(HLOOKUP($D101,$E$4:$CZ$32,28,FALSE)*'Incremental Repayments'!$I$22)),0),0)</f>
        <v>0</v>
      </c>
      <c r="W101" s="783">
        <f>IF('Incremental Repayments'!$R$22="Debt",IF(AND(W$4&gt;=$D101,W$4&lt;$D101+'Incremental Repayments'!$I$31),-PMT('Interest Rate'!$J$16,'Incremental Repayments'!$I$31,(HLOOKUP($D101,$E$4:$CZ$32,28,FALSE)*'Incremental Repayments'!$I$22)),0),0)</f>
        <v>0</v>
      </c>
      <c r="X101" s="783">
        <f>IF('Incremental Repayments'!$R$22="Debt",IF(AND(X$4&gt;=$D101,X$4&lt;$D101+'Incremental Repayments'!$I$31),-PMT('Interest Rate'!$J$16,'Incremental Repayments'!$I$31,(HLOOKUP($D101,$E$4:$CZ$32,28,FALSE)*'Incremental Repayments'!$I$22)),0),0)</f>
        <v>0</v>
      </c>
      <c r="Y101" s="783">
        <f>IF('Incremental Repayments'!$R$22="Debt",IF(AND(Y$4&gt;=$D101,Y$4&lt;$D101+'Incremental Repayments'!$I$31),-PMT('Interest Rate'!$J$16,'Incremental Repayments'!$I$31,(HLOOKUP($D101,$E$4:$CZ$32,28,FALSE)*'Incremental Repayments'!$I$22)),0),0)</f>
        <v>0</v>
      </c>
      <c r="Z101" s="783">
        <f>IF('Incremental Repayments'!$R$22="Debt",IF(AND(Z$4&gt;=$D101,Z$4&lt;$D101+'Incremental Repayments'!$I$31),-PMT('Interest Rate'!$J$16,'Incremental Repayments'!$I$31,(HLOOKUP($D101,$E$4:$CZ$32,28,FALSE)*'Incremental Repayments'!$I$22)),0),0)</f>
        <v>0</v>
      </c>
      <c r="AA101" s="783">
        <f>IF('Incremental Repayments'!$R$22="Debt",IF(AND(AA$4&gt;=$D101,AA$4&lt;$D101+'Incremental Repayments'!$I$31),-PMT('Interest Rate'!$J$16,'Incremental Repayments'!$I$31,(HLOOKUP($D101,$E$4:$CZ$32,28,FALSE)*'Incremental Repayments'!$I$22)),0),0)</f>
        <v>0</v>
      </c>
      <c r="AB101" s="783">
        <f>IF('Incremental Repayments'!$R$22="Debt",IF(AND(AB$4&gt;=$D101,AB$4&lt;$D101+'Incremental Repayments'!$I$31),-PMT('Interest Rate'!$J$16,'Incremental Repayments'!$I$31,(HLOOKUP($D101,$E$4:$CZ$32,28,FALSE)*'Incremental Repayments'!$I$22)),0),0)</f>
        <v>0</v>
      </c>
      <c r="AC101" s="783">
        <f>IF('Incremental Repayments'!$R$22="Debt",IF(AND(AC$4&gt;=$D101,AC$4&lt;$D101+'Incremental Repayments'!$I$31),-PMT('Interest Rate'!$J$16,'Incremental Repayments'!$I$31,(HLOOKUP($D101,$E$4:$CZ$32,28,FALSE)*'Incremental Repayments'!$I$22)),0),0)</f>
        <v>0</v>
      </c>
      <c r="AD101" s="783">
        <f>IF('Incremental Repayments'!$R$22="Debt",IF(AND(AD$4&gt;=$D101,AD$4&lt;$D101+'Incremental Repayments'!$I$31),-PMT('Interest Rate'!$J$16,'Incremental Repayments'!$I$31,(HLOOKUP($D101,$E$4:$CZ$32,28,FALSE)*'Incremental Repayments'!$I$22)),0),0)</f>
        <v>0</v>
      </c>
      <c r="AE101" s="783">
        <f>IF('Incremental Repayments'!$R$22="Debt",IF(AND(AE$4&gt;=$D101,AE$4&lt;$D101+'Incremental Repayments'!$I$31),-PMT('Interest Rate'!$J$16,'Incremental Repayments'!$I$31,(HLOOKUP($D101,$E$4:$CZ$32,28,FALSE)*'Incremental Repayments'!$I$22)),0),0)</f>
        <v>0</v>
      </c>
      <c r="AF101" s="783">
        <f>IF('Incremental Repayments'!$R$22="Debt",IF(AND(AF$4&gt;=$D101,AF$4&lt;$D101+'Incremental Repayments'!$I$31),-PMT('Interest Rate'!$J$16,'Incremental Repayments'!$I$31,(HLOOKUP($D101,$E$4:$CZ$32,28,FALSE)*'Incremental Repayments'!$I$22)),0),0)</f>
        <v>0</v>
      </c>
      <c r="AG101" s="783">
        <f>IF('Incremental Repayments'!$R$22="Debt",IF(AND(AG$4&gt;=$D101,AG$4&lt;$D101+'Incremental Repayments'!$I$31),-PMT('Interest Rate'!$J$16,'Incremental Repayments'!$I$31,(HLOOKUP($D101,$E$4:$CZ$32,28,FALSE)*'Incremental Repayments'!$I$22)),0),0)</f>
        <v>0</v>
      </c>
      <c r="AH101" s="783">
        <f>IF('Incremental Repayments'!$R$22="Debt",IF(AND(AH$4&gt;=$D101,AH$4&lt;$D101+'Incremental Repayments'!$I$31),-PMT('Interest Rate'!$J$16,'Incremental Repayments'!$I$31,(HLOOKUP($D101,$E$4:$CZ$32,28,FALSE)*'Incremental Repayments'!$I$22)),0),0)</f>
        <v>0</v>
      </c>
      <c r="AI101" s="783">
        <f>IF('Incremental Repayments'!$R$22="Debt",IF(AND(AI$4&gt;=$D101,AI$4&lt;$D101+'Incremental Repayments'!$I$31),-PMT('Interest Rate'!$J$16,'Incremental Repayments'!$I$31,(HLOOKUP($D101,$E$4:$CZ$32,28,FALSE)*'Incremental Repayments'!$I$22)),0),0)</f>
        <v>0</v>
      </c>
      <c r="AJ101" s="783">
        <f>IF('Incremental Repayments'!$R$22="Debt",IF(AND(AJ$4&gt;=$D101,AJ$4&lt;$D101+'Incremental Repayments'!$I$31),-PMT('Interest Rate'!$J$16,'Incremental Repayments'!$I$31,(HLOOKUP($D101,$E$4:$CZ$32,28,FALSE)*'Incremental Repayments'!$I$22)),0),0)</f>
        <v>0</v>
      </c>
      <c r="AK101" s="783">
        <f>IF('Incremental Repayments'!$R$22="Debt",IF(AND(AK$4&gt;=$D101,AK$4&lt;$D101+'Incremental Repayments'!$I$31),-PMT('Interest Rate'!$J$16,'Incremental Repayments'!$I$31,(HLOOKUP($D101,$E$4:$CZ$32,28,FALSE)*'Incremental Repayments'!$I$22)),0),0)</f>
        <v>0</v>
      </c>
      <c r="AL101" s="783">
        <f>IF('Incremental Repayments'!$R$22="Debt",IF(AND(AL$4&gt;=$D101,AL$4&lt;$D101+'Incremental Repayments'!$I$31),-PMT('Interest Rate'!$J$16,'Incremental Repayments'!$I$31,(HLOOKUP($D101,$E$4:$CZ$32,28,FALSE)*'Incremental Repayments'!$I$22)),0),0)</f>
        <v>0</v>
      </c>
      <c r="AM101" s="783">
        <f>IF('Incremental Repayments'!$R$22="Debt",IF(AND(AM$4&gt;=$D101,AM$4&lt;$D101+'Incremental Repayments'!$I$31),-PMT('Interest Rate'!$J$16,'Incremental Repayments'!$I$31,(HLOOKUP($D101,$E$4:$CZ$32,28,FALSE)*'Incremental Repayments'!$I$22)),0),0)</f>
        <v>0</v>
      </c>
      <c r="AN101" s="783">
        <f>IF('Incremental Repayments'!$R$22="Debt",IF(AND(AN$4&gt;=$D101,AN$4&lt;$D101+'Incremental Repayments'!$I$31),-PMT('Interest Rate'!$J$16,'Incremental Repayments'!$I$31,(HLOOKUP($D101,$E$4:$CZ$32,28,FALSE)*'Incremental Repayments'!$I$22)),0),0)</f>
        <v>0</v>
      </c>
      <c r="AO101" s="783">
        <f>IF('Incremental Repayments'!$R$22="Debt",IF(AND(AO$4&gt;=$D101,AO$4&lt;$D101+'Incremental Repayments'!$I$31),-PMT('Interest Rate'!$J$16,'Incremental Repayments'!$I$31,(HLOOKUP($D101,$E$4:$CZ$32,28,FALSE)*'Incremental Repayments'!$I$22)),0),0)</f>
        <v>0</v>
      </c>
      <c r="AP101" s="783">
        <f>IF('Incremental Repayments'!$R$22="Debt",IF(AND(AP$4&gt;=$D101,AP$4&lt;$D101+'Incremental Repayments'!$I$31),-PMT('Interest Rate'!$J$16,'Incremental Repayments'!$I$31,(HLOOKUP($D101,$E$4:$CZ$32,28,FALSE)*'Incremental Repayments'!$I$22)),0),0)</f>
        <v>0</v>
      </c>
      <c r="AQ101" s="783">
        <f>IF('Incremental Repayments'!$R$22="Debt",IF(AND(AQ$4&gt;=$D101,AQ$4&lt;$D101+'Incremental Repayments'!$I$31),-PMT('Interest Rate'!$J$16,'Incremental Repayments'!$I$31,(HLOOKUP($D101,$E$4:$CZ$32,28,FALSE)*'Incremental Repayments'!$I$22)),0),0)</f>
        <v>0</v>
      </c>
      <c r="AR101" s="783">
        <f>IF('Incremental Repayments'!$R$22="Debt",IF(AND(AR$4&gt;=$D101,AR$4&lt;$D101+'Incremental Repayments'!$I$31),-PMT('Interest Rate'!$J$16,'Incremental Repayments'!$I$31,(HLOOKUP($D101,$E$4:$CZ$32,28,FALSE)*'Incremental Repayments'!$I$22)),0),0)</f>
        <v>0</v>
      </c>
      <c r="AS101" s="783">
        <f>IF('Incremental Repayments'!$R$22="Debt",IF(AND(AS$4&gt;=$D101,AS$4&lt;$D101+'Incremental Repayments'!$I$31),-PMT('Interest Rate'!$J$16,'Incremental Repayments'!$I$31,(HLOOKUP($D101,$E$4:$CZ$32,28,FALSE)*'Incremental Repayments'!$I$22)),0),0)</f>
        <v>0</v>
      </c>
      <c r="AT101" s="783">
        <f>IF('Incremental Repayments'!$R$22="Debt",IF(AND(AT$4&gt;=$D101,AT$4&lt;$D101+'Incremental Repayments'!$I$31),-PMT('Interest Rate'!$J$16,'Incremental Repayments'!$I$31,(HLOOKUP($D101,$E$4:$CZ$32,28,FALSE)*'Incremental Repayments'!$I$22)),0),0)</f>
        <v>0</v>
      </c>
      <c r="AU101" s="783">
        <f>IF('Incremental Repayments'!$R$22="Debt",IF(AND(AU$4&gt;=$D101,AU$4&lt;$D101+'Incremental Repayments'!$I$31),-PMT('Interest Rate'!$J$16,'Incremental Repayments'!$I$31,(HLOOKUP($D101,$E$4:$CZ$32,28,FALSE)*'Incremental Repayments'!$I$22)),0),0)</f>
        <v>0</v>
      </c>
      <c r="AV101" s="783">
        <f>IF('Incremental Repayments'!$R$22="Debt",IF(AND(AV$4&gt;=$D101,AV$4&lt;$D101+'Incremental Repayments'!$I$31),-PMT('Interest Rate'!$J$16,'Incremental Repayments'!$I$31,(HLOOKUP($D101,$E$4:$CZ$32,28,FALSE)*'Incremental Repayments'!$I$22)),0),0)</f>
        <v>0</v>
      </c>
      <c r="AW101" s="783">
        <f>IF('Incremental Repayments'!$R$22="Debt",IF(AND(AW$4&gt;=$D101,AW$4&lt;$D101+'Incremental Repayments'!$I$31),-PMT('Interest Rate'!$J$16,'Incremental Repayments'!$I$31,(HLOOKUP($D101,$E$4:$CZ$32,28,FALSE)*'Incremental Repayments'!$I$22)),0),0)</f>
        <v>0</v>
      </c>
      <c r="AX101" s="783">
        <f>IF('Incremental Repayments'!$R$22="Debt",IF(AND(AX$4&gt;=$D101,AX$4&lt;$D101+'Incremental Repayments'!$I$31),-PMT('Interest Rate'!$J$16,'Incremental Repayments'!$I$31,(HLOOKUP($D101,$E$4:$CZ$32,28,FALSE)*'Incremental Repayments'!$I$22)),0),0)</f>
        <v>0</v>
      </c>
      <c r="AY101" s="783">
        <f>IF('Incremental Repayments'!$R$22="Debt",IF(AND(AY$4&gt;=$D101,AY$4&lt;$D101+'Incremental Repayments'!$I$31),-PMT('Interest Rate'!$J$16,'Incremental Repayments'!$I$31,(HLOOKUP($D101,$E$4:$CZ$32,28,FALSE)*'Incremental Repayments'!$I$22)),0),0)</f>
        <v>0</v>
      </c>
      <c r="AZ101" s="783">
        <f>IF('Incremental Repayments'!$R$22="Debt",IF(AND(AZ$4&gt;=$D101,AZ$4&lt;$D101+'Incremental Repayments'!$I$31),-PMT('Interest Rate'!$J$16,'Incremental Repayments'!$I$31,(HLOOKUP($D101,$E$4:$CZ$32,28,FALSE)*'Incremental Repayments'!$I$22)),0),0)</f>
        <v>0</v>
      </c>
      <c r="BA101" s="783">
        <f>IF('Incremental Repayments'!$R$22="Debt",IF(AND(BA$4&gt;=$D101,BA$4&lt;$D101+'Incremental Repayments'!$I$31),-PMT('Interest Rate'!$J$16,'Incremental Repayments'!$I$31,(HLOOKUP($D101,$E$4:$CZ$32,28,FALSE)*'Incremental Repayments'!$I$22)),0),0)</f>
        <v>0</v>
      </c>
      <c r="BB101" s="783">
        <f>IF('Incremental Repayments'!$R$22="Debt",IF(AND(BB$4&gt;=$D101,BB$4&lt;$D101+'Incremental Repayments'!$I$31),-PMT('Interest Rate'!$J$16,'Incremental Repayments'!$I$31,(HLOOKUP($D101,$E$4:$CZ$32,28,FALSE)*'Incremental Repayments'!$I$22)),0),0)</f>
        <v>0</v>
      </c>
      <c r="BC101" s="783">
        <f>IF('Incremental Repayments'!$R$22="Debt",IF(AND(BC$4&gt;=$D101,BC$4&lt;$D101+'Incremental Repayments'!$I$31),-PMT('Interest Rate'!$J$16,'Incremental Repayments'!$I$31,(HLOOKUP($D101,$E$4:$CZ$32,28,FALSE)*'Incremental Repayments'!$I$22)),0),0)</f>
        <v>0</v>
      </c>
      <c r="BD101" s="783">
        <f>IF('Incremental Repayments'!$R$22="Debt",IF(AND(BD$4&gt;=$D101,BD$4&lt;$D101+'Incremental Repayments'!$I$31),-PMT('Interest Rate'!$J$16,'Incremental Repayments'!$I$31,(HLOOKUP($D101,$E$4:$CZ$32,28,FALSE)*'Incremental Repayments'!$I$22)),0),0)</f>
        <v>0</v>
      </c>
      <c r="BE101" s="783">
        <f>IF('Incremental Repayments'!$R$22="Debt",IF(AND(BE$4&gt;=$D101,BE$4&lt;$D101+'Incremental Repayments'!$I$31),-PMT('Interest Rate'!$J$16,'Incremental Repayments'!$I$31,(HLOOKUP($D101,$E$4:$CZ$32,28,FALSE)*'Incremental Repayments'!$I$22)),0),0)</f>
        <v>0</v>
      </c>
      <c r="BF101" s="783">
        <f>IF('Incremental Repayments'!$R$22="Debt",IF(AND(BF$4&gt;=$D101,BF$4&lt;$D101+'Incremental Repayments'!$I$31),-PMT('Interest Rate'!$J$16,'Incremental Repayments'!$I$31,(HLOOKUP($D101,$E$4:$CZ$32,28,FALSE)*'Incremental Repayments'!$I$22)),0),0)</f>
        <v>0</v>
      </c>
      <c r="BG101" s="783">
        <f>IF('Incremental Repayments'!$R$22="Debt",IF(AND(BG$4&gt;=$D101,BG$4&lt;$D101+'Incremental Repayments'!$I$31),-PMT('Interest Rate'!$J$16,'Incremental Repayments'!$I$31,(HLOOKUP($D101,$E$4:$CZ$32,28,FALSE)*'Incremental Repayments'!$I$22)),0),0)</f>
        <v>0</v>
      </c>
      <c r="BH101" s="783">
        <f>IF('Incremental Repayments'!$R$22="Debt",IF(AND(BH$4&gt;=$D101,BH$4&lt;$D101+'Incremental Repayments'!$I$31),-PMT('Interest Rate'!$J$16,'Incremental Repayments'!$I$31,(HLOOKUP($D101,$E$4:$CZ$32,28,FALSE)*'Incremental Repayments'!$I$22)),0),0)</f>
        <v>0</v>
      </c>
      <c r="BI101" s="783">
        <f>IF('Incremental Repayments'!$R$22="Debt",IF(AND(BI$4&gt;=$D101,BI$4&lt;$D101+'Incremental Repayments'!$I$31),-PMT('Interest Rate'!$J$16,'Incremental Repayments'!$I$31,(HLOOKUP($D101,$E$4:$CZ$32,28,FALSE)*'Incremental Repayments'!$I$22)),0),0)</f>
        <v>0</v>
      </c>
      <c r="BJ101" s="783">
        <f>IF('Incremental Repayments'!$R$22="Debt",IF(AND(BJ$4&gt;=$D101,BJ$4&lt;$D101+'Incremental Repayments'!$I$31),-PMT('Interest Rate'!$J$16,'Incremental Repayments'!$I$31,(HLOOKUP($D101,$E$4:$CZ$32,28,FALSE)*'Incremental Repayments'!$I$22)),0),0)</f>
        <v>0</v>
      </c>
      <c r="BK101" s="783">
        <f>IF('Incremental Repayments'!$R$22="Debt",IF(AND(BK$4&gt;=$D101,BK$4&lt;$D101+'Incremental Repayments'!$I$31),-PMT('Interest Rate'!$J$16,'Incremental Repayments'!$I$31,(HLOOKUP($D101,$E$4:$CZ$32,28,FALSE)*'Incremental Repayments'!$I$22)),0),0)</f>
        <v>0</v>
      </c>
      <c r="BL101" s="783">
        <f>IF('Incremental Repayments'!$R$22="Debt",IF(AND(BL$4&gt;=$D101,BL$4&lt;$D101+'Incremental Repayments'!$I$31),-PMT('Interest Rate'!$J$16,'Incremental Repayments'!$I$31,(HLOOKUP($D101,$E$4:$CZ$32,28,FALSE)*'Incremental Repayments'!$I$22)),0),0)</f>
        <v>0</v>
      </c>
      <c r="BM101" s="783">
        <f>IF('Incremental Repayments'!$R$22="Debt",IF(AND(BM$4&gt;=$D101,BM$4&lt;$D101+'Incremental Repayments'!$I$31),-PMT('Interest Rate'!$J$16,'Incremental Repayments'!$I$31,(HLOOKUP($D101,$E$4:$CZ$32,28,FALSE)*'Incremental Repayments'!$I$22)),0),0)</f>
        <v>0</v>
      </c>
      <c r="BN101" s="783">
        <f>IF('Incremental Repayments'!$R$22="Debt",IF(AND(BN$4&gt;=$D101,BN$4&lt;$D101+'Incremental Repayments'!$I$31),-PMT('Interest Rate'!$J$16,'Incremental Repayments'!$I$31,(HLOOKUP($D101,$E$4:$CZ$32,28,FALSE)*'Incremental Repayments'!$I$22)),0),0)</f>
        <v>0</v>
      </c>
      <c r="BO101" s="783">
        <f>IF('Incremental Repayments'!$R$22="Debt",IF(AND(BO$4&gt;=$D101,BO$4&lt;$D101+'Incremental Repayments'!$I$31),-PMT('Interest Rate'!$J$16,'Incremental Repayments'!$I$31,(HLOOKUP($D101,$E$4:$CZ$32,28,FALSE)*'Incremental Repayments'!$I$22)),0),0)</f>
        <v>0</v>
      </c>
      <c r="BP101" s="783">
        <f>IF('Incremental Repayments'!$R$22="Debt",IF(AND(BP$4&gt;=$D101,BP$4&lt;$D101+'Incremental Repayments'!$I$31),-PMT('Interest Rate'!$J$16,'Incremental Repayments'!$I$31,(HLOOKUP($D101,$E$4:$CZ$32,28,FALSE)*'Incremental Repayments'!$I$22)),0),0)</f>
        <v>0</v>
      </c>
      <c r="BQ101" s="783">
        <f>IF('Incremental Repayments'!$R$22="Debt",IF(AND(BQ$4&gt;=$D101,BQ$4&lt;$D101+'Incremental Repayments'!$I$31),-PMT('Interest Rate'!$J$16,'Incremental Repayments'!$I$31,(HLOOKUP($D101,$E$4:$CZ$32,28,FALSE)*'Incremental Repayments'!$I$22)),0),0)</f>
        <v>0</v>
      </c>
      <c r="BR101" s="783">
        <f>IF('Incremental Repayments'!$R$22="Debt",IF(AND(BR$4&gt;=$D101,BR$4&lt;$D101+'Incremental Repayments'!$I$31),-PMT('Interest Rate'!$J$16,'Incremental Repayments'!$I$31,(HLOOKUP($D101,$E$4:$CZ$32,28,FALSE)*'Incremental Repayments'!$I$22)),0),0)</f>
        <v>0</v>
      </c>
      <c r="BS101" s="783">
        <f>IF('Incremental Repayments'!$R$22="Debt",IF(AND(BS$4&gt;=$D101,BS$4&lt;$D101+'Incremental Repayments'!$I$31),-PMT('Interest Rate'!$J$16,'Incremental Repayments'!$I$31,(HLOOKUP($D101,$E$4:$CZ$32,28,FALSE)*'Incremental Repayments'!$I$22)),0),0)</f>
        <v>0</v>
      </c>
      <c r="BT101" s="783">
        <f>IF('Incremental Repayments'!$R$22="Debt",IF(AND(BT$4&gt;=$D101,BT$4&lt;$D101+'Incremental Repayments'!$I$31),-PMT('Interest Rate'!$J$16,'Incremental Repayments'!$I$31,(HLOOKUP($D101,$E$4:$CZ$32,28,FALSE)*'Incremental Repayments'!$I$22)),0),0)</f>
        <v>0</v>
      </c>
      <c r="BU101" s="783">
        <f>IF('Incremental Repayments'!$R$22="Debt",IF(AND(BU$4&gt;=$D101,BU$4&lt;$D101+'Incremental Repayments'!$I$31),-PMT('Interest Rate'!$J$16,'Incremental Repayments'!$I$31,(HLOOKUP($D101,$E$4:$CZ$32,28,FALSE)*'Incremental Repayments'!$I$22)),0),0)</f>
        <v>0</v>
      </c>
      <c r="BV101" s="783">
        <f>IF('Incremental Repayments'!$R$22="Debt",IF(AND(BV$4&gt;=$D101,BV$4&lt;$D101+'Incremental Repayments'!$I$31),-PMT('Interest Rate'!$J$16,'Incremental Repayments'!$I$31,(HLOOKUP($D101,$E$4:$CZ$32,28,FALSE)*'Incremental Repayments'!$I$22)),0),0)</f>
        <v>0</v>
      </c>
      <c r="BW101" s="783">
        <f>IF('Incremental Repayments'!$R$22="Debt",IF(AND(BW$4&gt;=$D101,BW$4&lt;$D101+'Incremental Repayments'!$I$31),-PMT('Interest Rate'!$J$16,'Incremental Repayments'!$I$31,(HLOOKUP($D101,$E$4:$CZ$32,28,FALSE)*'Incremental Repayments'!$I$22)),0),0)</f>
        <v>0</v>
      </c>
      <c r="BX101" s="783">
        <f>IF('Incremental Repayments'!$R$22="Debt",IF(AND(BX$4&gt;=$D101,BX$4&lt;$D101+'Incremental Repayments'!$I$31),-PMT('Interest Rate'!$J$16,'Incremental Repayments'!$I$31,(HLOOKUP($D101,$E$4:$CZ$32,28,FALSE)*'Incremental Repayments'!$I$22)),0),0)</f>
        <v>0</v>
      </c>
      <c r="BY101" s="783">
        <f>IF('Incremental Repayments'!$R$22="Debt",IF(AND(BY$4&gt;=$D101,BY$4&lt;$D101+'Incremental Repayments'!$I$31),-PMT('Interest Rate'!$J$16,'Incremental Repayments'!$I$31,(HLOOKUP($D101,$E$4:$CZ$32,28,FALSE)*'Incremental Repayments'!$I$22)),0),0)</f>
        <v>0</v>
      </c>
      <c r="BZ101" s="783">
        <f>IF('Incremental Repayments'!$R$22="Debt",IF(AND(BZ$4&gt;=$D101,BZ$4&lt;$D101+'Incremental Repayments'!$I$31),-PMT('Interest Rate'!$J$16,'Incremental Repayments'!$I$31,(HLOOKUP($D101,$E$4:$CZ$32,28,FALSE)*'Incremental Repayments'!$I$22)),0),0)</f>
        <v>0</v>
      </c>
      <c r="CA101" s="783">
        <f>IF('Incremental Repayments'!$R$22="Debt",IF(AND(CA$4&gt;=$D101,CA$4&lt;$D101+'Incremental Repayments'!$I$31),-PMT('Interest Rate'!$J$16,'Incremental Repayments'!$I$31,(HLOOKUP($D101,$E$4:$CZ$32,28,FALSE)*'Incremental Repayments'!$I$22)),0),0)</f>
        <v>0</v>
      </c>
      <c r="CB101" s="783">
        <f>IF('Incremental Repayments'!$R$22="Debt",IF(AND(CB$4&gt;=$D101,CB$4&lt;$D101+'Incremental Repayments'!$I$31),-PMT('Interest Rate'!$J$16,'Incremental Repayments'!$I$31,(HLOOKUP($D101,$E$4:$CZ$32,28,FALSE)*'Incremental Repayments'!$I$22)),0),0)</f>
        <v>0</v>
      </c>
      <c r="CC101" s="783">
        <f>IF('Incremental Repayments'!$R$22="Debt",IF(AND(CC$4&gt;=$D101,CC$4&lt;$D101+'Incremental Repayments'!$I$31),-PMT('Interest Rate'!$J$16,'Incremental Repayments'!$I$31,(HLOOKUP($D101,$E$4:$CZ$32,28,FALSE)*'Incremental Repayments'!$I$22)),0),0)</f>
        <v>0</v>
      </c>
      <c r="CD101" s="783">
        <f>IF('Incremental Repayments'!$R$22="Debt",IF(AND(CD$4&gt;=$D101,CD$4&lt;$D101+'Incremental Repayments'!$I$31),-PMT('Interest Rate'!$J$16,'Incremental Repayments'!$I$31,(HLOOKUP($D101,$E$4:$CZ$32,28,FALSE)*'Incremental Repayments'!$I$22)),0),0)</f>
        <v>0</v>
      </c>
      <c r="CE101" s="783">
        <f>IF('Incremental Repayments'!$R$22="Debt",IF(AND(CE$4&gt;=$D101,CE$4&lt;$D101+'Incremental Repayments'!$I$31),-PMT('Interest Rate'!$J$16,'Incremental Repayments'!$I$31,(HLOOKUP($D101,$E$4:$CZ$32,28,FALSE)*'Incremental Repayments'!$I$22)),0),0)</f>
        <v>0</v>
      </c>
      <c r="CF101" s="783">
        <f>IF('Incremental Repayments'!$R$22="Debt",IF(AND(CF$4&gt;=$D101,CF$4&lt;$D101+'Incremental Repayments'!$I$31),-PMT('Interest Rate'!$J$16,'Incremental Repayments'!$I$31,(HLOOKUP($D101,$E$4:$CZ$32,28,FALSE)*'Incremental Repayments'!$I$22)),0),0)</f>
        <v>0</v>
      </c>
      <c r="CG101" s="783">
        <f>IF('Incremental Repayments'!$R$22="Debt",IF(AND(CG$4&gt;=$D101,CG$4&lt;$D101+'Incremental Repayments'!$I$31),-PMT('Interest Rate'!$J$16,'Incremental Repayments'!$I$31,(HLOOKUP($D101,$E$4:$CZ$32,28,FALSE)*'Incremental Repayments'!$I$22)),0),0)</f>
        <v>0</v>
      </c>
      <c r="CH101" s="783">
        <f>IF('Incremental Repayments'!$R$22="Debt",IF(AND(CH$4&gt;=$D101,CH$4&lt;$D101+'Incremental Repayments'!$I$31),-PMT('Interest Rate'!$J$16,'Incremental Repayments'!$I$31,(HLOOKUP($D101,$E$4:$CZ$32,28,FALSE)*'Incremental Repayments'!$I$22)),0),0)</f>
        <v>0</v>
      </c>
      <c r="CI101" s="783">
        <f>IF('Incremental Repayments'!$R$22="Debt",IF(AND(CI$4&gt;=$D101,CI$4&lt;$D101+'Incremental Repayments'!$I$31),-PMT('Interest Rate'!$J$16,'Incremental Repayments'!$I$31,(HLOOKUP($D101,$E$4:$CZ$32,28,FALSE)*'Incremental Repayments'!$I$22)),0),0)</f>
        <v>0</v>
      </c>
      <c r="CJ101" s="783">
        <f>IF('Incremental Repayments'!$R$22="Debt",IF(AND(CJ$4&gt;=$D101,CJ$4&lt;$D101+'Incremental Repayments'!$I$31),-PMT('Interest Rate'!$J$16,'Incremental Repayments'!$I$31,(HLOOKUP($D101,$E$4:$CZ$32,28,FALSE)*'Incremental Repayments'!$I$22)),0),0)</f>
        <v>0</v>
      </c>
      <c r="CK101" s="783">
        <f>IF('Incremental Repayments'!$R$22="Debt",IF(AND(CK$4&gt;=$D101,CK$4&lt;$D101+'Incremental Repayments'!$I$31),-PMT('Interest Rate'!$J$16,'Incremental Repayments'!$I$31,(HLOOKUP($D101,$E$4:$CZ$32,28,FALSE)*'Incremental Repayments'!$I$22)),0),0)</f>
        <v>0</v>
      </c>
      <c r="CL101" s="783">
        <f>IF('Incremental Repayments'!$R$22="Debt",IF(AND(CL$4&gt;=$D101,CL$4&lt;$D101+'Incremental Repayments'!$I$31),-PMT('Interest Rate'!$J$16,'Incremental Repayments'!$I$31,(HLOOKUP($D101,$E$4:$CZ$32,28,FALSE)*'Incremental Repayments'!$I$22)),0),0)</f>
        <v>0</v>
      </c>
      <c r="CM101" s="783">
        <f>IF('Incremental Repayments'!$R$22="Debt",IF(AND(CM$4&gt;=$D101,CM$4&lt;$D101+'Incremental Repayments'!$I$31),-PMT('Interest Rate'!$J$16,'Incremental Repayments'!$I$31,(HLOOKUP($D101,$E$4:$CZ$32,28,FALSE)*'Incremental Repayments'!$I$22)),0),0)</f>
        <v>0</v>
      </c>
      <c r="CN101" s="783">
        <f>IF('Incremental Repayments'!$R$22="Debt",IF(AND(CN$4&gt;=$D101,CN$4&lt;$D101+'Incremental Repayments'!$I$31),-PMT('Interest Rate'!$J$16,'Incremental Repayments'!$I$31,(HLOOKUP($D101,$E$4:$CZ$32,28,FALSE)*'Incremental Repayments'!$I$22)),0),0)</f>
        <v>0</v>
      </c>
      <c r="CO101" s="783">
        <f>IF('Incremental Repayments'!$R$22="Debt",IF(AND(CO$4&gt;=$D101,CO$4&lt;$D101+'Incremental Repayments'!$I$31),-PMT('Interest Rate'!$J$16,'Incremental Repayments'!$I$31,(HLOOKUP($D101,$E$4:$CZ$32,28,FALSE)*'Incremental Repayments'!$I$22)),0),0)</f>
        <v>0</v>
      </c>
      <c r="CP101" s="783">
        <f>IF('Incremental Repayments'!$R$22="Debt",IF(AND(CP$4&gt;=$D101,CP$4&lt;$D101+'Incremental Repayments'!$I$31),-PMT('Interest Rate'!$J$16,'Incremental Repayments'!$I$31,(HLOOKUP($D101,$E$4:$CZ$32,28,FALSE)*'Incremental Repayments'!$I$22)),0),0)</f>
        <v>0</v>
      </c>
      <c r="CQ101" s="783">
        <f>IF('Incremental Repayments'!$R$22="Debt",IF(AND(CQ$4&gt;=$D101,CQ$4&lt;$D101+'Incremental Repayments'!$I$31),-PMT('Interest Rate'!$J$16,'Incremental Repayments'!$I$31,(HLOOKUP($D101,$E$4:$CZ$32,28,FALSE)*'Incremental Repayments'!$I$22)),0),0)</f>
        <v>0</v>
      </c>
      <c r="CR101" s="783">
        <f>IF('Incremental Repayments'!$R$22="Debt",IF(AND(CR$4&gt;=$D101,CR$4&lt;$D101+'Incremental Repayments'!$I$31),-PMT('Interest Rate'!$J$16,'Incremental Repayments'!$I$31,(HLOOKUP($D101,$E$4:$CZ$32,28,FALSE)*'Incremental Repayments'!$I$22)),0),0)</f>
        <v>0</v>
      </c>
      <c r="CS101" s="783">
        <f>IF('Incremental Repayments'!$R$22="Debt",IF(AND(CS$4&gt;=$D101,CS$4&lt;$D101+'Incremental Repayments'!$I$31),-PMT('Interest Rate'!$J$16,'Incremental Repayments'!$I$31,(HLOOKUP($D101,$E$4:$CZ$32,28,FALSE)*'Incremental Repayments'!$I$22)),0),0)</f>
        <v>0</v>
      </c>
      <c r="CT101" s="783">
        <f>IF('Incremental Repayments'!$R$22="Debt",IF(AND(CT$4&gt;=$D101,CT$4&lt;$D101+'Incremental Repayments'!$I$31),-PMT('Interest Rate'!$J$16,'Incremental Repayments'!$I$31,(HLOOKUP($D101,$E$4:$CZ$32,28,FALSE)*'Incremental Repayments'!$I$22)),0),0)</f>
        <v>0</v>
      </c>
      <c r="CU101" s="783">
        <f>IF('Incremental Repayments'!$R$22="Debt",IF(AND(CU$4&gt;=$D101,CU$4&lt;$D101+'Incremental Repayments'!$I$31),-PMT('Interest Rate'!$J$16,'Incremental Repayments'!$I$31,(HLOOKUP($D101,$E$4:$CZ$32,28,FALSE)*'Incremental Repayments'!$I$22)),0),0)</f>
        <v>0</v>
      </c>
      <c r="CV101" s="783">
        <f>IF('Incremental Repayments'!$R$22="Debt",IF(AND(CV$4&gt;=$D101,CV$4&lt;$D101+'Incremental Repayments'!$I$31),-PMT('Interest Rate'!$J$16,'Incremental Repayments'!$I$31,(HLOOKUP($D101,$E$4:$CZ$32,28,FALSE)*'Incremental Repayments'!$I$22)),0),0)</f>
        <v>0</v>
      </c>
      <c r="CW101" s="783">
        <f>IF('Incremental Repayments'!$R$22="Debt",IF(AND(CW$4&gt;=$D101,CW$4&lt;$D101+'Incremental Repayments'!$I$31),-PMT('Interest Rate'!$J$16,'Incremental Repayments'!$I$31,(HLOOKUP($D101,$E$4:$CZ$32,28,FALSE)*'Incremental Repayments'!$I$22)),0),0)</f>
        <v>0</v>
      </c>
      <c r="CX101" s="783">
        <f>IF('Incremental Repayments'!$R$22="Debt",IF(AND(CX$4&gt;=$D101,CX$4&lt;$D101+'Incremental Repayments'!$I$31),-PMT('Interest Rate'!$J$16,'Incremental Repayments'!$I$31,(HLOOKUP($D101,$E$4:$CZ$32,28,FALSE)*'Incremental Repayments'!$I$22)),0),0)</f>
        <v>0</v>
      </c>
      <c r="CY101" s="783">
        <f>IF('Incremental Repayments'!$R$22="Debt",IF(AND(CY$4&gt;=$D101,CY$4&lt;$D101+'Incremental Repayments'!$I$31),-PMT('Interest Rate'!$J$16,'Incremental Repayments'!$I$31,(HLOOKUP($D101,$E$4:$CZ$32,28,FALSE)*'Incremental Repayments'!$I$22)),0),0)</f>
        <v>0</v>
      </c>
      <c r="CZ101" s="783">
        <f>IF('Incremental Repayments'!$R$22="Debt",IF(AND(CZ$4&gt;=$D101,CZ$4&lt;$D101+'Incremental Repayments'!$I$31),-PMT('Interest Rate'!$J$16,'Incremental Repayments'!$I$31,(HLOOKUP($D101,$E$4:$CZ$32,28,FALSE)*'Incremental Repayments'!$I$22)),0),0)</f>
        <v>0</v>
      </c>
    </row>
    <row r="102" spans="2:104" x14ac:dyDescent="0.25">
      <c r="B102" s="480" t="str">
        <f>CONCATENATE("Series ",D102,"A Bonds (at ",'Interest Rate'!$J$16*100,"% Interest)")</f>
        <v>Series 2080A Bonds (at 4.5% Interest)</v>
      </c>
      <c r="C102" s="480"/>
      <c r="D102" s="492">
        <f t="shared" si="47"/>
        <v>2080</v>
      </c>
      <c r="E102" s="783">
        <f>IF('Incremental Repayments'!$R$22="Debt",IF(AND(E$4&gt;=$D102,E$4&lt;$D102+'Incremental Repayments'!$I$31),-PMT('Interest Rate'!$J$16,'Incremental Repayments'!$I$31,(HLOOKUP($D102,$E$4:$CZ$32,28,FALSE)*'Incremental Repayments'!$I$22)),0),0)</f>
        <v>0</v>
      </c>
      <c r="F102" s="783">
        <f>IF('Incremental Repayments'!$R$22="Debt",IF(AND(F$4&gt;=$D102,F$4&lt;$D102+'Incremental Repayments'!$I$31),-PMT('Interest Rate'!$J$16,'Incremental Repayments'!$I$31,(HLOOKUP($D102,$E$4:$CZ$32,28,FALSE)*'Incremental Repayments'!$I$22)),0),0)</f>
        <v>0</v>
      </c>
      <c r="G102" s="783">
        <f>IF('Incremental Repayments'!$R$22="Debt",IF(AND(G$4&gt;=$D102,G$4&lt;$D102+'Incremental Repayments'!$I$31),-PMT('Interest Rate'!$J$16,'Incremental Repayments'!$I$31,(HLOOKUP($D102,$E$4:$CZ$32,28,FALSE)*'Incremental Repayments'!$I$22)),0),0)</f>
        <v>0</v>
      </c>
      <c r="H102" s="783">
        <f>IF('Incremental Repayments'!$R$22="Debt",IF(AND(H$4&gt;=$D102,H$4&lt;$D102+'Incremental Repayments'!$I$31),-PMT('Interest Rate'!$J$16,'Incremental Repayments'!$I$31,(HLOOKUP($D102,$E$4:$CZ$32,28,FALSE)*'Incremental Repayments'!$I$22)),0),0)</f>
        <v>0</v>
      </c>
      <c r="I102" s="783">
        <f>IF('Incremental Repayments'!$R$22="Debt",IF(AND(I$4&gt;=$D102,I$4&lt;$D102+'Incremental Repayments'!$I$31),-PMT('Interest Rate'!$J$16,'Incremental Repayments'!$I$31,(HLOOKUP($D102,$E$4:$CZ$32,28,FALSE)*'Incremental Repayments'!$I$22)),0),0)</f>
        <v>0</v>
      </c>
      <c r="J102" s="783">
        <f>IF('Incremental Repayments'!$R$22="Debt",IF(AND(J$4&gt;=$D102,J$4&lt;$D102+'Incremental Repayments'!$I$31),-PMT('Interest Rate'!$J$16,'Incremental Repayments'!$I$31,(HLOOKUP($D102,$E$4:$CZ$32,28,FALSE)*'Incremental Repayments'!$I$22)),0),0)</f>
        <v>0</v>
      </c>
      <c r="K102" s="783">
        <f>IF('Incremental Repayments'!$R$22="Debt",IF(AND(K$4&gt;=$D102,K$4&lt;$D102+'Incremental Repayments'!$I$31),-PMT('Interest Rate'!$J$16,'Incremental Repayments'!$I$31,(HLOOKUP($D102,$E$4:$CZ$32,28,FALSE)*'Incremental Repayments'!$I$22)),0),0)</f>
        <v>0</v>
      </c>
      <c r="L102" s="783">
        <f>IF('Incremental Repayments'!$R$22="Debt",IF(AND(L$4&gt;=$D102,L$4&lt;$D102+'Incremental Repayments'!$I$31),-PMT('Interest Rate'!$J$16,'Incremental Repayments'!$I$31,(HLOOKUP($D102,$E$4:$CZ$32,28,FALSE)*'Incremental Repayments'!$I$22)),0),0)</f>
        <v>0</v>
      </c>
      <c r="M102" s="783">
        <f>IF('Incremental Repayments'!$R$22="Debt",IF(AND(M$4&gt;=$D102,M$4&lt;$D102+'Incremental Repayments'!$I$31),-PMT('Interest Rate'!$J$16,'Incremental Repayments'!$I$31,(HLOOKUP($D102,$E$4:$CZ$32,28,FALSE)*'Incremental Repayments'!$I$22)),0),0)</f>
        <v>0</v>
      </c>
      <c r="N102" s="783">
        <f>IF('Incremental Repayments'!$R$22="Debt",IF(AND(N$4&gt;=$D102,N$4&lt;$D102+'Incremental Repayments'!$I$31),-PMT('Interest Rate'!$J$16,'Incremental Repayments'!$I$31,(HLOOKUP($D102,$E$4:$CZ$32,28,FALSE)*'Incremental Repayments'!$I$22)),0),0)</f>
        <v>0</v>
      </c>
      <c r="O102" s="783">
        <f>IF('Incremental Repayments'!$R$22="Debt",IF(AND(O$4&gt;=$D102,O$4&lt;$D102+'Incremental Repayments'!$I$31),-PMT('Interest Rate'!$J$16,'Incremental Repayments'!$I$31,(HLOOKUP($D102,$E$4:$CZ$32,28,FALSE)*'Incremental Repayments'!$I$22)),0),0)</f>
        <v>0</v>
      </c>
      <c r="P102" s="783">
        <f>IF('Incremental Repayments'!$R$22="Debt",IF(AND(P$4&gt;=$D102,P$4&lt;$D102+'Incremental Repayments'!$I$31),-PMT('Interest Rate'!$J$16,'Incremental Repayments'!$I$31,(HLOOKUP($D102,$E$4:$CZ$32,28,FALSE)*'Incremental Repayments'!$I$22)),0),0)</f>
        <v>0</v>
      </c>
      <c r="Q102" s="783">
        <f>IF('Incremental Repayments'!$R$22="Debt",IF(AND(Q$4&gt;=$D102,Q$4&lt;$D102+'Incremental Repayments'!$I$31),-PMT('Interest Rate'!$J$16,'Incremental Repayments'!$I$31,(HLOOKUP($D102,$E$4:$CZ$32,28,FALSE)*'Incremental Repayments'!$I$22)),0),0)</f>
        <v>0</v>
      </c>
      <c r="R102" s="783">
        <f>IF('Incremental Repayments'!$R$22="Debt",IF(AND(R$4&gt;=$D102,R$4&lt;$D102+'Incremental Repayments'!$I$31),-PMT('Interest Rate'!$J$16,'Incremental Repayments'!$I$31,(HLOOKUP($D102,$E$4:$CZ$32,28,FALSE)*'Incremental Repayments'!$I$22)),0),0)</f>
        <v>0</v>
      </c>
      <c r="S102" s="783">
        <f>IF('Incremental Repayments'!$R$22="Debt",IF(AND(S$4&gt;=$D102,S$4&lt;$D102+'Incremental Repayments'!$I$31),-PMT('Interest Rate'!$J$16,'Incremental Repayments'!$I$31,(HLOOKUP($D102,$E$4:$CZ$32,28,FALSE)*'Incremental Repayments'!$I$22)),0),0)</f>
        <v>0</v>
      </c>
      <c r="T102" s="783">
        <f>IF('Incremental Repayments'!$R$22="Debt",IF(AND(T$4&gt;=$D102,T$4&lt;$D102+'Incremental Repayments'!$I$31),-PMT('Interest Rate'!$J$16,'Incremental Repayments'!$I$31,(HLOOKUP($D102,$E$4:$CZ$32,28,FALSE)*'Incremental Repayments'!$I$22)),0),0)</f>
        <v>0</v>
      </c>
      <c r="U102" s="783">
        <f>IF('Incremental Repayments'!$R$22="Debt",IF(AND(U$4&gt;=$D102,U$4&lt;$D102+'Incremental Repayments'!$I$31),-PMT('Interest Rate'!$J$16,'Incremental Repayments'!$I$31,(HLOOKUP($D102,$E$4:$CZ$32,28,FALSE)*'Incremental Repayments'!$I$22)),0),0)</f>
        <v>0</v>
      </c>
      <c r="V102" s="783">
        <f>IF('Incremental Repayments'!$R$22="Debt",IF(AND(V$4&gt;=$D102,V$4&lt;$D102+'Incremental Repayments'!$I$31),-PMT('Interest Rate'!$J$16,'Incremental Repayments'!$I$31,(HLOOKUP($D102,$E$4:$CZ$32,28,FALSE)*'Incremental Repayments'!$I$22)),0),0)</f>
        <v>0</v>
      </c>
      <c r="W102" s="783">
        <f>IF('Incremental Repayments'!$R$22="Debt",IF(AND(W$4&gt;=$D102,W$4&lt;$D102+'Incremental Repayments'!$I$31),-PMT('Interest Rate'!$J$16,'Incremental Repayments'!$I$31,(HLOOKUP($D102,$E$4:$CZ$32,28,FALSE)*'Incremental Repayments'!$I$22)),0),0)</f>
        <v>0</v>
      </c>
      <c r="X102" s="783">
        <f>IF('Incremental Repayments'!$R$22="Debt",IF(AND(X$4&gt;=$D102,X$4&lt;$D102+'Incremental Repayments'!$I$31),-PMT('Interest Rate'!$J$16,'Incremental Repayments'!$I$31,(HLOOKUP($D102,$E$4:$CZ$32,28,FALSE)*'Incremental Repayments'!$I$22)),0),0)</f>
        <v>0</v>
      </c>
      <c r="Y102" s="783">
        <f>IF('Incremental Repayments'!$R$22="Debt",IF(AND(Y$4&gt;=$D102,Y$4&lt;$D102+'Incremental Repayments'!$I$31),-PMT('Interest Rate'!$J$16,'Incremental Repayments'!$I$31,(HLOOKUP($D102,$E$4:$CZ$32,28,FALSE)*'Incremental Repayments'!$I$22)),0),0)</f>
        <v>0</v>
      </c>
      <c r="Z102" s="783">
        <f>IF('Incremental Repayments'!$R$22="Debt",IF(AND(Z$4&gt;=$D102,Z$4&lt;$D102+'Incremental Repayments'!$I$31),-PMT('Interest Rate'!$J$16,'Incremental Repayments'!$I$31,(HLOOKUP($D102,$E$4:$CZ$32,28,FALSE)*'Incremental Repayments'!$I$22)),0),0)</f>
        <v>0</v>
      </c>
      <c r="AA102" s="783">
        <f>IF('Incremental Repayments'!$R$22="Debt",IF(AND(AA$4&gt;=$D102,AA$4&lt;$D102+'Incremental Repayments'!$I$31),-PMT('Interest Rate'!$J$16,'Incremental Repayments'!$I$31,(HLOOKUP($D102,$E$4:$CZ$32,28,FALSE)*'Incremental Repayments'!$I$22)),0),0)</f>
        <v>0</v>
      </c>
      <c r="AB102" s="783">
        <f>IF('Incremental Repayments'!$R$22="Debt",IF(AND(AB$4&gt;=$D102,AB$4&lt;$D102+'Incremental Repayments'!$I$31),-PMT('Interest Rate'!$J$16,'Incremental Repayments'!$I$31,(HLOOKUP($D102,$E$4:$CZ$32,28,FALSE)*'Incremental Repayments'!$I$22)),0),0)</f>
        <v>0</v>
      </c>
      <c r="AC102" s="783">
        <f>IF('Incremental Repayments'!$R$22="Debt",IF(AND(AC$4&gt;=$D102,AC$4&lt;$D102+'Incremental Repayments'!$I$31),-PMT('Interest Rate'!$J$16,'Incremental Repayments'!$I$31,(HLOOKUP($D102,$E$4:$CZ$32,28,FALSE)*'Incremental Repayments'!$I$22)),0),0)</f>
        <v>0</v>
      </c>
      <c r="AD102" s="783">
        <f>IF('Incremental Repayments'!$R$22="Debt",IF(AND(AD$4&gt;=$D102,AD$4&lt;$D102+'Incremental Repayments'!$I$31),-PMT('Interest Rate'!$J$16,'Incremental Repayments'!$I$31,(HLOOKUP($D102,$E$4:$CZ$32,28,FALSE)*'Incremental Repayments'!$I$22)),0),0)</f>
        <v>0</v>
      </c>
      <c r="AE102" s="783">
        <f>IF('Incremental Repayments'!$R$22="Debt",IF(AND(AE$4&gt;=$D102,AE$4&lt;$D102+'Incremental Repayments'!$I$31),-PMT('Interest Rate'!$J$16,'Incremental Repayments'!$I$31,(HLOOKUP($D102,$E$4:$CZ$32,28,FALSE)*'Incremental Repayments'!$I$22)),0),0)</f>
        <v>0</v>
      </c>
      <c r="AF102" s="783">
        <f>IF('Incremental Repayments'!$R$22="Debt",IF(AND(AF$4&gt;=$D102,AF$4&lt;$D102+'Incremental Repayments'!$I$31),-PMT('Interest Rate'!$J$16,'Incremental Repayments'!$I$31,(HLOOKUP($D102,$E$4:$CZ$32,28,FALSE)*'Incremental Repayments'!$I$22)),0),0)</f>
        <v>0</v>
      </c>
      <c r="AG102" s="783">
        <f>IF('Incremental Repayments'!$R$22="Debt",IF(AND(AG$4&gt;=$D102,AG$4&lt;$D102+'Incremental Repayments'!$I$31),-PMT('Interest Rate'!$J$16,'Incremental Repayments'!$I$31,(HLOOKUP($D102,$E$4:$CZ$32,28,FALSE)*'Incremental Repayments'!$I$22)),0),0)</f>
        <v>0</v>
      </c>
      <c r="AH102" s="783">
        <f>IF('Incremental Repayments'!$R$22="Debt",IF(AND(AH$4&gt;=$D102,AH$4&lt;$D102+'Incremental Repayments'!$I$31),-PMT('Interest Rate'!$J$16,'Incremental Repayments'!$I$31,(HLOOKUP($D102,$E$4:$CZ$32,28,FALSE)*'Incremental Repayments'!$I$22)),0),0)</f>
        <v>0</v>
      </c>
      <c r="AI102" s="783">
        <f>IF('Incremental Repayments'!$R$22="Debt",IF(AND(AI$4&gt;=$D102,AI$4&lt;$D102+'Incremental Repayments'!$I$31),-PMT('Interest Rate'!$J$16,'Incremental Repayments'!$I$31,(HLOOKUP($D102,$E$4:$CZ$32,28,FALSE)*'Incremental Repayments'!$I$22)),0),0)</f>
        <v>0</v>
      </c>
      <c r="AJ102" s="783">
        <f>IF('Incremental Repayments'!$R$22="Debt",IF(AND(AJ$4&gt;=$D102,AJ$4&lt;$D102+'Incremental Repayments'!$I$31),-PMT('Interest Rate'!$J$16,'Incremental Repayments'!$I$31,(HLOOKUP($D102,$E$4:$CZ$32,28,FALSE)*'Incremental Repayments'!$I$22)),0),0)</f>
        <v>0</v>
      </c>
      <c r="AK102" s="783">
        <f>IF('Incremental Repayments'!$R$22="Debt",IF(AND(AK$4&gt;=$D102,AK$4&lt;$D102+'Incremental Repayments'!$I$31),-PMT('Interest Rate'!$J$16,'Incremental Repayments'!$I$31,(HLOOKUP($D102,$E$4:$CZ$32,28,FALSE)*'Incremental Repayments'!$I$22)),0),0)</f>
        <v>0</v>
      </c>
      <c r="AL102" s="783">
        <f>IF('Incremental Repayments'!$R$22="Debt",IF(AND(AL$4&gt;=$D102,AL$4&lt;$D102+'Incremental Repayments'!$I$31),-PMT('Interest Rate'!$J$16,'Incremental Repayments'!$I$31,(HLOOKUP($D102,$E$4:$CZ$32,28,FALSE)*'Incremental Repayments'!$I$22)),0),0)</f>
        <v>0</v>
      </c>
      <c r="AM102" s="783">
        <f>IF('Incremental Repayments'!$R$22="Debt",IF(AND(AM$4&gt;=$D102,AM$4&lt;$D102+'Incremental Repayments'!$I$31),-PMT('Interest Rate'!$J$16,'Incremental Repayments'!$I$31,(HLOOKUP($D102,$E$4:$CZ$32,28,FALSE)*'Incremental Repayments'!$I$22)),0),0)</f>
        <v>0</v>
      </c>
      <c r="AN102" s="783">
        <f>IF('Incremental Repayments'!$R$22="Debt",IF(AND(AN$4&gt;=$D102,AN$4&lt;$D102+'Incremental Repayments'!$I$31),-PMT('Interest Rate'!$J$16,'Incremental Repayments'!$I$31,(HLOOKUP($D102,$E$4:$CZ$32,28,FALSE)*'Incremental Repayments'!$I$22)),0),0)</f>
        <v>0</v>
      </c>
      <c r="AO102" s="783">
        <f>IF('Incremental Repayments'!$R$22="Debt",IF(AND(AO$4&gt;=$D102,AO$4&lt;$D102+'Incremental Repayments'!$I$31),-PMT('Interest Rate'!$J$16,'Incremental Repayments'!$I$31,(HLOOKUP($D102,$E$4:$CZ$32,28,FALSE)*'Incremental Repayments'!$I$22)),0),0)</f>
        <v>0</v>
      </c>
      <c r="AP102" s="783">
        <f>IF('Incremental Repayments'!$R$22="Debt",IF(AND(AP$4&gt;=$D102,AP$4&lt;$D102+'Incremental Repayments'!$I$31),-PMT('Interest Rate'!$J$16,'Incremental Repayments'!$I$31,(HLOOKUP($D102,$E$4:$CZ$32,28,FALSE)*'Incremental Repayments'!$I$22)),0),0)</f>
        <v>0</v>
      </c>
      <c r="AQ102" s="783">
        <f>IF('Incremental Repayments'!$R$22="Debt",IF(AND(AQ$4&gt;=$D102,AQ$4&lt;$D102+'Incremental Repayments'!$I$31),-PMT('Interest Rate'!$J$16,'Incremental Repayments'!$I$31,(HLOOKUP($D102,$E$4:$CZ$32,28,FALSE)*'Incremental Repayments'!$I$22)),0),0)</f>
        <v>0</v>
      </c>
      <c r="AR102" s="783">
        <f>IF('Incremental Repayments'!$R$22="Debt",IF(AND(AR$4&gt;=$D102,AR$4&lt;$D102+'Incremental Repayments'!$I$31),-PMT('Interest Rate'!$J$16,'Incremental Repayments'!$I$31,(HLOOKUP($D102,$E$4:$CZ$32,28,FALSE)*'Incremental Repayments'!$I$22)),0),0)</f>
        <v>0</v>
      </c>
      <c r="AS102" s="783">
        <f>IF('Incremental Repayments'!$R$22="Debt",IF(AND(AS$4&gt;=$D102,AS$4&lt;$D102+'Incremental Repayments'!$I$31),-PMT('Interest Rate'!$J$16,'Incremental Repayments'!$I$31,(HLOOKUP($D102,$E$4:$CZ$32,28,FALSE)*'Incremental Repayments'!$I$22)),0),0)</f>
        <v>0</v>
      </c>
      <c r="AT102" s="783">
        <f>IF('Incremental Repayments'!$R$22="Debt",IF(AND(AT$4&gt;=$D102,AT$4&lt;$D102+'Incremental Repayments'!$I$31),-PMT('Interest Rate'!$J$16,'Incremental Repayments'!$I$31,(HLOOKUP($D102,$E$4:$CZ$32,28,FALSE)*'Incremental Repayments'!$I$22)),0),0)</f>
        <v>0</v>
      </c>
      <c r="AU102" s="783">
        <f>IF('Incremental Repayments'!$R$22="Debt",IF(AND(AU$4&gt;=$D102,AU$4&lt;$D102+'Incremental Repayments'!$I$31),-PMT('Interest Rate'!$J$16,'Incremental Repayments'!$I$31,(HLOOKUP($D102,$E$4:$CZ$32,28,FALSE)*'Incremental Repayments'!$I$22)),0),0)</f>
        <v>0</v>
      </c>
      <c r="AV102" s="783">
        <f>IF('Incremental Repayments'!$R$22="Debt",IF(AND(AV$4&gt;=$D102,AV$4&lt;$D102+'Incremental Repayments'!$I$31),-PMT('Interest Rate'!$J$16,'Incremental Repayments'!$I$31,(HLOOKUP($D102,$E$4:$CZ$32,28,FALSE)*'Incremental Repayments'!$I$22)),0),0)</f>
        <v>0</v>
      </c>
      <c r="AW102" s="783">
        <f>IF('Incremental Repayments'!$R$22="Debt",IF(AND(AW$4&gt;=$D102,AW$4&lt;$D102+'Incremental Repayments'!$I$31),-PMT('Interest Rate'!$J$16,'Incremental Repayments'!$I$31,(HLOOKUP($D102,$E$4:$CZ$32,28,FALSE)*'Incremental Repayments'!$I$22)),0),0)</f>
        <v>0</v>
      </c>
      <c r="AX102" s="783">
        <f>IF('Incremental Repayments'!$R$22="Debt",IF(AND(AX$4&gt;=$D102,AX$4&lt;$D102+'Incremental Repayments'!$I$31),-PMT('Interest Rate'!$J$16,'Incremental Repayments'!$I$31,(HLOOKUP($D102,$E$4:$CZ$32,28,FALSE)*'Incremental Repayments'!$I$22)),0),0)</f>
        <v>0</v>
      </c>
      <c r="AY102" s="783">
        <f>IF('Incremental Repayments'!$R$22="Debt",IF(AND(AY$4&gt;=$D102,AY$4&lt;$D102+'Incremental Repayments'!$I$31),-PMT('Interest Rate'!$J$16,'Incremental Repayments'!$I$31,(HLOOKUP($D102,$E$4:$CZ$32,28,FALSE)*'Incremental Repayments'!$I$22)),0),0)</f>
        <v>0</v>
      </c>
      <c r="AZ102" s="783">
        <f>IF('Incremental Repayments'!$R$22="Debt",IF(AND(AZ$4&gt;=$D102,AZ$4&lt;$D102+'Incremental Repayments'!$I$31),-PMT('Interest Rate'!$J$16,'Incremental Repayments'!$I$31,(HLOOKUP($D102,$E$4:$CZ$32,28,FALSE)*'Incremental Repayments'!$I$22)),0),0)</f>
        <v>0</v>
      </c>
      <c r="BA102" s="783">
        <f>IF('Incremental Repayments'!$R$22="Debt",IF(AND(BA$4&gt;=$D102,BA$4&lt;$D102+'Incremental Repayments'!$I$31),-PMT('Interest Rate'!$J$16,'Incremental Repayments'!$I$31,(HLOOKUP($D102,$E$4:$CZ$32,28,FALSE)*'Incremental Repayments'!$I$22)),0),0)</f>
        <v>0</v>
      </c>
      <c r="BB102" s="783">
        <f>IF('Incremental Repayments'!$R$22="Debt",IF(AND(BB$4&gt;=$D102,BB$4&lt;$D102+'Incremental Repayments'!$I$31),-PMT('Interest Rate'!$J$16,'Incremental Repayments'!$I$31,(HLOOKUP($D102,$E$4:$CZ$32,28,FALSE)*'Incremental Repayments'!$I$22)),0),0)</f>
        <v>0</v>
      </c>
      <c r="BC102" s="783">
        <f>IF('Incremental Repayments'!$R$22="Debt",IF(AND(BC$4&gt;=$D102,BC$4&lt;$D102+'Incremental Repayments'!$I$31),-PMT('Interest Rate'!$J$16,'Incremental Repayments'!$I$31,(HLOOKUP($D102,$E$4:$CZ$32,28,FALSE)*'Incremental Repayments'!$I$22)),0),0)</f>
        <v>0</v>
      </c>
      <c r="BD102" s="783">
        <f>IF('Incremental Repayments'!$R$22="Debt",IF(AND(BD$4&gt;=$D102,BD$4&lt;$D102+'Incremental Repayments'!$I$31),-PMT('Interest Rate'!$J$16,'Incremental Repayments'!$I$31,(HLOOKUP($D102,$E$4:$CZ$32,28,FALSE)*'Incremental Repayments'!$I$22)),0),0)</f>
        <v>0</v>
      </c>
      <c r="BE102" s="783">
        <f>IF('Incremental Repayments'!$R$22="Debt",IF(AND(BE$4&gt;=$D102,BE$4&lt;$D102+'Incremental Repayments'!$I$31),-PMT('Interest Rate'!$J$16,'Incremental Repayments'!$I$31,(HLOOKUP($D102,$E$4:$CZ$32,28,FALSE)*'Incremental Repayments'!$I$22)),0),0)</f>
        <v>0</v>
      </c>
      <c r="BF102" s="783">
        <f>IF('Incremental Repayments'!$R$22="Debt",IF(AND(BF$4&gt;=$D102,BF$4&lt;$D102+'Incremental Repayments'!$I$31),-PMT('Interest Rate'!$J$16,'Incremental Repayments'!$I$31,(HLOOKUP($D102,$E$4:$CZ$32,28,FALSE)*'Incremental Repayments'!$I$22)),0),0)</f>
        <v>0</v>
      </c>
      <c r="BG102" s="783">
        <f>IF('Incremental Repayments'!$R$22="Debt",IF(AND(BG$4&gt;=$D102,BG$4&lt;$D102+'Incremental Repayments'!$I$31),-PMT('Interest Rate'!$J$16,'Incremental Repayments'!$I$31,(HLOOKUP($D102,$E$4:$CZ$32,28,FALSE)*'Incremental Repayments'!$I$22)),0),0)</f>
        <v>0</v>
      </c>
      <c r="BH102" s="783">
        <f>IF('Incremental Repayments'!$R$22="Debt",IF(AND(BH$4&gt;=$D102,BH$4&lt;$D102+'Incremental Repayments'!$I$31),-PMT('Interest Rate'!$J$16,'Incremental Repayments'!$I$31,(HLOOKUP($D102,$E$4:$CZ$32,28,FALSE)*'Incremental Repayments'!$I$22)),0),0)</f>
        <v>0</v>
      </c>
      <c r="BI102" s="783">
        <f>IF('Incremental Repayments'!$R$22="Debt",IF(AND(BI$4&gt;=$D102,BI$4&lt;$D102+'Incremental Repayments'!$I$31),-PMT('Interest Rate'!$J$16,'Incremental Repayments'!$I$31,(HLOOKUP($D102,$E$4:$CZ$32,28,FALSE)*'Incremental Repayments'!$I$22)),0),0)</f>
        <v>0</v>
      </c>
      <c r="BJ102" s="783">
        <f>IF('Incremental Repayments'!$R$22="Debt",IF(AND(BJ$4&gt;=$D102,BJ$4&lt;$D102+'Incremental Repayments'!$I$31),-PMT('Interest Rate'!$J$16,'Incremental Repayments'!$I$31,(HLOOKUP($D102,$E$4:$CZ$32,28,FALSE)*'Incremental Repayments'!$I$22)),0),0)</f>
        <v>0</v>
      </c>
      <c r="BK102" s="783">
        <f>IF('Incremental Repayments'!$R$22="Debt",IF(AND(BK$4&gt;=$D102,BK$4&lt;$D102+'Incremental Repayments'!$I$31),-PMT('Interest Rate'!$J$16,'Incremental Repayments'!$I$31,(HLOOKUP($D102,$E$4:$CZ$32,28,FALSE)*'Incremental Repayments'!$I$22)),0),0)</f>
        <v>0</v>
      </c>
      <c r="BL102" s="783">
        <f>IF('Incremental Repayments'!$R$22="Debt",IF(AND(BL$4&gt;=$D102,BL$4&lt;$D102+'Incremental Repayments'!$I$31),-PMT('Interest Rate'!$J$16,'Incremental Repayments'!$I$31,(HLOOKUP($D102,$E$4:$CZ$32,28,FALSE)*'Incremental Repayments'!$I$22)),0),0)</f>
        <v>0</v>
      </c>
      <c r="BM102" s="783">
        <f>IF('Incremental Repayments'!$R$22="Debt",IF(AND(BM$4&gt;=$D102,BM$4&lt;$D102+'Incremental Repayments'!$I$31),-PMT('Interest Rate'!$J$16,'Incremental Repayments'!$I$31,(HLOOKUP($D102,$E$4:$CZ$32,28,FALSE)*'Incremental Repayments'!$I$22)),0),0)</f>
        <v>0</v>
      </c>
      <c r="BN102" s="783">
        <f>IF('Incremental Repayments'!$R$22="Debt",IF(AND(BN$4&gt;=$D102,BN$4&lt;$D102+'Incremental Repayments'!$I$31),-PMT('Interest Rate'!$J$16,'Incremental Repayments'!$I$31,(HLOOKUP($D102,$E$4:$CZ$32,28,FALSE)*'Incremental Repayments'!$I$22)),0),0)</f>
        <v>0</v>
      </c>
      <c r="BO102" s="783">
        <f>IF('Incremental Repayments'!$R$22="Debt",IF(AND(BO$4&gt;=$D102,BO$4&lt;$D102+'Incremental Repayments'!$I$31),-PMT('Interest Rate'!$J$16,'Incremental Repayments'!$I$31,(HLOOKUP($D102,$E$4:$CZ$32,28,FALSE)*'Incremental Repayments'!$I$22)),0),0)</f>
        <v>0</v>
      </c>
      <c r="BP102" s="783">
        <f>IF('Incremental Repayments'!$R$22="Debt",IF(AND(BP$4&gt;=$D102,BP$4&lt;$D102+'Incremental Repayments'!$I$31),-PMT('Interest Rate'!$J$16,'Incremental Repayments'!$I$31,(HLOOKUP($D102,$E$4:$CZ$32,28,FALSE)*'Incremental Repayments'!$I$22)),0),0)</f>
        <v>0</v>
      </c>
      <c r="BQ102" s="783">
        <f>IF('Incremental Repayments'!$R$22="Debt",IF(AND(BQ$4&gt;=$D102,BQ$4&lt;$D102+'Incremental Repayments'!$I$31),-PMT('Interest Rate'!$J$16,'Incremental Repayments'!$I$31,(HLOOKUP($D102,$E$4:$CZ$32,28,FALSE)*'Incremental Repayments'!$I$22)),0),0)</f>
        <v>0</v>
      </c>
      <c r="BR102" s="783">
        <f>IF('Incremental Repayments'!$R$22="Debt",IF(AND(BR$4&gt;=$D102,BR$4&lt;$D102+'Incremental Repayments'!$I$31),-PMT('Interest Rate'!$J$16,'Incremental Repayments'!$I$31,(HLOOKUP($D102,$E$4:$CZ$32,28,FALSE)*'Incremental Repayments'!$I$22)),0),0)</f>
        <v>0</v>
      </c>
      <c r="BS102" s="783">
        <f>IF('Incremental Repayments'!$R$22="Debt",IF(AND(BS$4&gt;=$D102,BS$4&lt;$D102+'Incremental Repayments'!$I$31),-PMT('Interest Rate'!$J$16,'Incremental Repayments'!$I$31,(HLOOKUP($D102,$E$4:$CZ$32,28,FALSE)*'Incremental Repayments'!$I$22)),0),0)</f>
        <v>0</v>
      </c>
      <c r="BT102" s="783">
        <f>IF('Incremental Repayments'!$R$22="Debt",IF(AND(BT$4&gt;=$D102,BT$4&lt;$D102+'Incremental Repayments'!$I$31),-PMT('Interest Rate'!$J$16,'Incremental Repayments'!$I$31,(HLOOKUP($D102,$E$4:$CZ$32,28,FALSE)*'Incremental Repayments'!$I$22)),0),0)</f>
        <v>0</v>
      </c>
      <c r="BU102" s="783">
        <f>IF('Incremental Repayments'!$R$22="Debt",IF(AND(BU$4&gt;=$D102,BU$4&lt;$D102+'Incremental Repayments'!$I$31),-PMT('Interest Rate'!$J$16,'Incremental Repayments'!$I$31,(HLOOKUP($D102,$E$4:$CZ$32,28,FALSE)*'Incremental Repayments'!$I$22)),0),0)</f>
        <v>0</v>
      </c>
      <c r="BV102" s="783">
        <f>IF('Incremental Repayments'!$R$22="Debt",IF(AND(BV$4&gt;=$D102,BV$4&lt;$D102+'Incremental Repayments'!$I$31),-PMT('Interest Rate'!$J$16,'Incremental Repayments'!$I$31,(HLOOKUP($D102,$E$4:$CZ$32,28,FALSE)*'Incremental Repayments'!$I$22)),0),0)</f>
        <v>0</v>
      </c>
      <c r="BW102" s="783">
        <f>IF('Incremental Repayments'!$R$22="Debt",IF(AND(BW$4&gt;=$D102,BW$4&lt;$D102+'Incremental Repayments'!$I$31),-PMT('Interest Rate'!$J$16,'Incremental Repayments'!$I$31,(HLOOKUP($D102,$E$4:$CZ$32,28,FALSE)*'Incremental Repayments'!$I$22)),0),0)</f>
        <v>0</v>
      </c>
      <c r="BX102" s="783">
        <f>IF('Incremental Repayments'!$R$22="Debt",IF(AND(BX$4&gt;=$D102,BX$4&lt;$D102+'Incremental Repayments'!$I$31),-PMT('Interest Rate'!$J$16,'Incremental Repayments'!$I$31,(HLOOKUP($D102,$E$4:$CZ$32,28,FALSE)*'Incremental Repayments'!$I$22)),0),0)</f>
        <v>0</v>
      </c>
      <c r="BY102" s="783">
        <f>IF('Incremental Repayments'!$R$22="Debt",IF(AND(BY$4&gt;=$D102,BY$4&lt;$D102+'Incremental Repayments'!$I$31),-PMT('Interest Rate'!$J$16,'Incremental Repayments'!$I$31,(HLOOKUP($D102,$E$4:$CZ$32,28,FALSE)*'Incremental Repayments'!$I$22)),0),0)</f>
        <v>0</v>
      </c>
      <c r="BZ102" s="783">
        <f>IF('Incremental Repayments'!$R$22="Debt",IF(AND(BZ$4&gt;=$D102,BZ$4&lt;$D102+'Incremental Repayments'!$I$31),-PMT('Interest Rate'!$J$16,'Incremental Repayments'!$I$31,(HLOOKUP($D102,$E$4:$CZ$32,28,FALSE)*'Incremental Repayments'!$I$22)),0),0)</f>
        <v>0</v>
      </c>
      <c r="CA102" s="783">
        <f>IF('Incremental Repayments'!$R$22="Debt",IF(AND(CA$4&gt;=$D102,CA$4&lt;$D102+'Incremental Repayments'!$I$31),-PMT('Interest Rate'!$J$16,'Incremental Repayments'!$I$31,(HLOOKUP($D102,$E$4:$CZ$32,28,FALSE)*'Incremental Repayments'!$I$22)),0),0)</f>
        <v>0</v>
      </c>
      <c r="CB102" s="783">
        <f>IF('Incremental Repayments'!$R$22="Debt",IF(AND(CB$4&gt;=$D102,CB$4&lt;$D102+'Incremental Repayments'!$I$31),-PMT('Interest Rate'!$J$16,'Incremental Repayments'!$I$31,(HLOOKUP($D102,$E$4:$CZ$32,28,FALSE)*'Incremental Repayments'!$I$22)),0),0)</f>
        <v>0</v>
      </c>
      <c r="CC102" s="783">
        <f>IF('Incremental Repayments'!$R$22="Debt",IF(AND(CC$4&gt;=$D102,CC$4&lt;$D102+'Incremental Repayments'!$I$31),-PMT('Interest Rate'!$J$16,'Incremental Repayments'!$I$31,(HLOOKUP($D102,$E$4:$CZ$32,28,FALSE)*'Incremental Repayments'!$I$22)),0),0)</f>
        <v>0</v>
      </c>
      <c r="CD102" s="783">
        <f>IF('Incremental Repayments'!$R$22="Debt",IF(AND(CD$4&gt;=$D102,CD$4&lt;$D102+'Incremental Repayments'!$I$31),-PMT('Interest Rate'!$J$16,'Incremental Repayments'!$I$31,(HLOOKUP($D102,$E$4:$CZ$32,28,FALSE)*'Incremental Repayments'!$I$22)),0),0)</f>
        <v>0</v>
      </c>
      <c r="CE102" s="783">
        <f>IF('Incremental Repayments'!$R$22="Debt",IF(AND(CE$4&gt;=$D102,CE$4&lt;$D102+'Incremental Repayments'!$I$31),-PMT('Interest Rate'!$J$16,'Incremental Repayments'!$I$31,(HLOOKUP($D102,$E$4:$CZ$32,28,FALSE)*'Incremental Repayments'!$I$22)),0),0)</f>
        <v>0</v>
      </c>
      <c r="CF102" s="783">
        <f>IF('Incremental Repayments'!$R$22="Debt",IF(AND(CF$4&gt;=$D102,CF$4&lt;$D102+'Incremental Repayments'!$I$31),-PMT('Interest Rate'!$J$16,'Incremental Repayments'!$I$31,(HLOOKUP($D102,$E$4:$CZ$32,28,FALSE)*'Incremental Repayments'!$I$22)),0),0)</f>
        <v>0</v>
      </c>
      <c r="CG102" s="783">
        <f>IF('Incremental Repayments'!$R$22="Debt",IF(AND(CG$4&gt;=$D102,CG$4&lt;$D102+'Incremental Repayments'!$I$31),-PMT('Interest Rate'!$J$16,'Incremental Repayments'!$I$31,(HLOOKUP($D102,$E$4:$CZ$32,28,FALSE)*'Incremental Repayments'!$I$22)),0),0)</f>
        <v>0</v>
      </c>
      <c r="CH102" s="783">
        <f>IF('Incremental Repayments'!$R$22="Debt",IF(AND(CH$4&gt;=$D102,CH$4&lt;$D102+'Incremental Repayments'!$I$31),-PMT('Interest Rate'!$J$16,'Incremental Repayments'!$I$31,(HLOOKUP($D102,$E$4:$CZ$32,28,FALSE)*'Incremental Repayments'!$I$22)),0),0)</f>
        <v>0</v>
      </c>
      <c r="CI102" s="783">
        <f>IF('Incremental Repayments'!$R$22="Debt",IF(AND(CI$4&gt;=$D102,CI$4&lt;$D102+'Incremental Repayments'!$I$31),-PMT('Interest Rate'!$J$16,'Incremental Repayments'!$I$31,(HLOOKUP($D102,$E$4:$CZ$32,28,FALSE)*'Incremental Repayments'!$I$22)),0),0)</f>
        <v>0</v>
      </c>
      <c r="CJ102" s="783">
        <f>IF('Incremental Repayments'!$R$22="Debt",IF(AND(CJ$4&gt;=$D102,CJ$4&lt;$D102+'Incremental Repayments'!$I$31),-PMT('Interest Rate'!$J$16,'Incremental Repayments'!$I$31,(HLOOKUP($D102,$E$4:$CZ$32,28,FALSE)*'Incremental Repayments'!$I$22)),0),0)</f>
        <v>0</v>
      </c>
      <c r="CK102" s="783">
        <f>IF('Incremental Repayments'!$R$22="Debt",IF(AND(CK$4&gt;=$D102,CK$4&lt;$D102+'Incremental Repayments'!$I$31),-PMT('Interest Rate'!$J$16,'Incremental Repayments'!$I$31,(HLOOKUP($D102,$E$4:$CZ$32,28,FALSE)*'Incremental Repayments'!$I$22)),0),0)</f>
        <v>0</v>
      </c>
      <c r="CL102" s="783">
        <f>IF('Incremental Repayments'!$R$22="Debt",IF(AND(CL$4&gt;=$D102,CL$4&lt;$D102+'Incremental Repayments'!$I$31),-PMT('Interest Rate'!$J$16,'Incremental Repayments'!$I$31,(HLOOKUP($D102,$E$4:$CZ$32,28,FALSE)*'Incremental Repayments'!$I$22)),0),0)</f>
        <v>0</v>
      </c>
      <c r="CM102" s="783">
        <f>IF('Incremental Repayments'!$R$22="Debt",IF(AND(CM$4&gt;=$D102,CM$4&lt;$D102+'Incremental Repayments'!$I$31),-PMT('Interest Rate'!$J$16,'Incremental Repayments'!$I$31,(HLOOKUP($D102,$E$4:$CZ$32,28,FALSE)*'Incremental Repayments'!$I$22)),0),0)</f>
        <v>0</v>
      </c>
      <c r="CN102" s="783">
        <f>IF('Incremental Repayments'!$R$22="Debt",IF(AND(CN$4&gt;=$D102,CN$4&lt;$D102+'Incremental Repayments'!$I$31),-PMT('Interest Rate'!$J$16,'Incremental Repayments'!$I$31,(HLOOKUP($D102,$E$4:$CZ$32,28,FALSE)*'Incremental Repayments'!$I$22)),0),0)</f>
        <v>0</v>
      </c>
      <c r="CO102" s="783">
        <f>IF('Incremental Repayments'!$R$22="Debt",IF(AND(CO$4&gt;=$D102,CO$4&lt;$D102+'Incremental Repayments'!$I$31),-PMT('Interest Rate'!$J$16,'Incremental Repayments'!$I$31,(HLOOKUP($D102,$E$4:$CZ$32,28,FALSE)*'Incremental Repayments'!$I$22)),0),0)</f>
        <v>0</v>
      </c>
      <c r="CP102" s="783">
        <f>IF('Incremental Repayments'!$R$22="Debt",IF(AND(CP$4&gt;=$D102,CP$4&lt;$D102+'Incremental Repayments'!$I$31),-PMT('Interest Rate'!$J$16,'Incremental Repayments'!$I$31,(HLOOKUP($D102,$E$4:$CZ$32,28,FALSE)*'Incremental Repayments'!$I$22)),0),0)</f>
        <v>0</v>
      </c>
      <c r="CQ102" s="783">
        <f>IF('Incremental Repayments'!$R$22="Debt",IF(AND(CQ$4&gt;=$D102,CQ$4&lt;$D102+'Incremental Repayments'!$I$31),-PMT('Interest Rate'!$J$16,'Incremental Repayments'!$I$31,(HLOOKUP($D102,$E$4:$CZ$32,28,FALSE)*'Incremental Repayments'!$I$22)),0),0)</f>
        <v>0</v>
      </c>
      <c r="CR102" s="783">
        <f>IF('Incremental Repayments'!$R$22="Debt",IF(AND(CR$4&gt;=$D102,CR$4&lt;$D102+'Incremental Repayments'!$I$31),-PMT('Interest Rate'!$J$16,'Incremental Repayments'!$I$31,(HLOOKUP($D102,$E$4:$CZ$32,28,FALSE)*'Incremental Repayments'!$I$22)),0),0)</f>
        <v>0</v>
      </c>
      <c r="CS102" s="783">
        <f>IF('Incremental Repayments'!$R$22="Debt",IF(AND(CS$4&gt;=$D102,CS$4&lt;$D102+'Incremental Repayments'!$I$31),-PMT('Interest Rate'!$J$16,'Incremental Repayments'!$I$31,(HLOOKUP($D102,$E$4:$CZ$32,28,FALSE)*'Incremental Repayments'!$I$22)),0),0)</f>
        <v>0</v>
      </c>
      <c r="CT102" s="783">
        <f>IF('Incremental Repayments'!$R$22="Debt",IF(AND(CT$4&gt;=$D102,CT$4&lt;$D102+'Incremental Repayments'!$I$31),-PMT('Interest Rate'!$J$16,'Incremental Repayments'!$I$31,(HLOOKUP($D102,$E$4:$CZ$32,28,FALSE)*'Incremental Repayments'!$I$22)),0),0)</f>
        <v>0</v>
      </c>
      <c r="CU102" s="783">
        <f>IF('Incremental Repayments'!$R$22="Debt",IF(AND(CU$4&gt;=$D102,CU$4&lt;$D102+'Incremental Repayments'!$I$31),-PMT('Interest Rate'!$J$16,'Incremental Repayments'!$I$31,(HLOOKUP($D102,$E$4:$CZ$32,28,FALSE)*'Incremental Repayments'!$I$22)),0),0)</f>
        <v>0</v>
      </c>
      <c r="CV102" s="783">
        <f>IF('Incremental Repayments'!$R$22="Debt",IF(AND(CV$4&gt;=$D102,CV$4&lt;$D102+'Incremental Repayments'!$I$31),-PMT('Interest Rate'!$J$16,'Incremental Repayments'!$I$31,(HLOOKUP($D102,$E$4:$CZ$32,28,FALSE)*'Incremental Repayments'!$I$22)),0),0)</f>
        <v>0</v>
      </c>
      <c r="CW102" s="783">
        <f>IF('Incremental Repayments'!$R$22="Debt",IF(AND(CW$4&gt;=$D102,CW$4&lt;$D102+'Incremental Repayments'!$I$31),-PMT('Interest Rate'!$J$16,'Incremental Repayments'!$I$31,(HLOOKUP($D102,$E$4:$CZ$32,28,FALSE)*'Incremental Repayments'!$I$22)),0),0)</f>
        <v>0</v>
      </c>
      <c r="CX102" s="783">
        <f>IF('Incremental Repayments'!$R$22="Debt",IF(AND(CX$4&gt;=$D102,CX$4&lt;$D102+'Incremental Repayments'!$I$31),-PMT('Interest Rate'!$J$16,'Incremental Repayments'!$I$31,(HLOOKUP($D102,$E$4:$CZ$32,28,FALSE)*'Incremental Repayments'!$I$22)),0),0)</f>
        <v>0</v>
      </c>
      <c r="CY102" s="783">
        <f>IF('Incremental Repayments'!$R$22="Debt",IF(AND(CY$4&gt;=$D102,CY$4&lt;$D102+'Incremental Repayments'!$I$31),-PMT('Interest Rate'!$J$16,'Incremental Repayments'!$I$31,(HLOOKUP($D102,$E$4:$CZ$32,28,FALSE)*'Incremental Repayments'!$I$22)),0),0)</f>
        <v>0</v>
      </c>
      <c r="CZ102" s="783">
        <f>IF('Incremental Repayments'!$R$22="Debt",IF(AND(CZ$4&gt;=$D102,CZ$4&lt;$D102+'Incremental Repayments'!$I$31),-PMT('Interest Rate'!$J$16,'Incremental Repayments'!$I$31,(HLOOKUP($D102,$E$4:$CZ$32,28,FALSE)*'Incremental Repayments'!$I$22)),0),0)</f>
        <v>0</v>
      </c>
    </row>
    <row r="103" spans="2:104" x14ac:dyDescent="0.25">
      <c r="B103" s="480" t="str">
        <f>CONCATENATE("Series ",D103,"A Bonds (at ",'Interest Rate'!$J$16*100,"% Interest)")</f>
        <v>Series 2081A Bonds (at 4.5% Interest)</v>
      </c>
      <c r="C103" s="480"/>
      <c r="D103" s="492">
        <f t="shared" si="47"/>
        <v>2081</v>
      </c>
      <c r="E103" s="783">
        <f>IF('Incremental Repayments'!$R$22="Debt",IF(AND(E$4&gt;=$D103,E$4&lt;$D103+'Incremental Repayments'!$I$31),-PMT('Interest Rate'!$J$16,'Incremental Repayments'!$I$31,(HLOOKUP($D103,$E$4:$CZ$32,28,FALSE)*'Incremental Repayments'!$I$22)),0),0)</f>
        <v>0</v>
      </c>
      <c r="F103" s="783">
        <f>IF('Incremental Repayments'!$R$22="Debt",IF(AND(F$4&gt;=$D103,F$4&lt;$D103+'Incremental Repayments'!$I$31),-PMT('Interest Rate'!$J$16,'Incremental Repayments'!$I$31,(HLOOKUP($D103,$E$4:$CZ$32,28,FALSE)*'Incremental Repayments'!$I$22)),0),0)</f>
        <v>0</v>
      </c>
      <c r="G103" s="783">
        <f>IF('Incremental Repayments'!$R$22="Debt",IF(AND(G$4&gt;=$D103,G$4&lt;$D103+'Incremental Repayments'!$I$31),-PMT('Interest Rate'!$J$16,'Incremental Repayments'!$I$31,(HLOOKUP($D103,$E$4:$CZ$32,28,FALSE)*'Incremental Repayments'!$I$22)),0),0)</f>
        <v>0</v>
      </c>
      <c r="H103" s="783">
        <f>IF('Incremental Repayments'!$R$22="Debt",IF(AND(H$4&gt;=$D103,H$4&lt;$D103+'Incremental Repayments'!$I$31),-PMT('Interest Rate'!$J$16,'Incremental Repayments'!$I$31,(HLOOKUP($D103,$E$4:$CZ$32,28,FALSE)*'Incremental Repayments'!$I$22)),0),0)</f>
        <v>0</v>
      </c>
      <c r="I103" s="783">
        <f>IF('Incremental Repayments'!$R$22="Debt",IF(AND(I$4&gt;=$D103,I$4&lt;$D103+'Incremental Repayments'!$I$31),-PMT('Interest Rate'!$J$16,'Incremental Repayments'!$I$31,(HLOOKUP($D103,$E$4:$CZ$32,28,FALSE)*'Incremental Repayments'!$I$22)),0),0)</f>
        <v>0</v>
      </c>
      <c r="J103" s="783">
        <f>IF('Incremental Repayments'!$R$22="Debt",IF(AND(J$4&gt;=$D103,J$4&lt;$D103+'Incremental Repayments'!$I$31),-PMT('Interest Rate'!$J$16,'Incremental Repayments'!$I$31,(HLOOKUP($D103,$E$4:$CZ$32,28,FALSE)*'Incremental Repayments'!$I$22)),0),0)</f>
        <v>0</v>
      </c>
      <c r="K103" s="783">
        <f>IF('Incremental Repayments'!$R$22="Debt",IF(AND(K$4&gt;=$D103,K$4&lt;$D103+'Incremental Repayments'!$I$31),-PMT('Interest Rate'!$J$16,'Incremental Repayments'!$I$31,(HLOOKUP($D103,$E$4:$CZ$32,28,FALSE)*'Incremental Repayments'!$I$22)),0),0)</f>
        <v>0</v>
      </c>
      <c r="L103" s="783">
        <f>IF('Incremental Repayments'!$R$22="Debt",IF(AND(L$4&gt;=$D103,L$4&lt;$D103+'Incremental Repayments'!$I$31),-PMT('Interest Rate'!$J$16,'Incremental Repayments'!$I$31,(HLOOKUP($D103,$E$4:$CZ$32,28,FALSE)*'Incremental Repayments'!$I$22)),0),0)</f>
        <v>0</v>
      </c>
      <c r="M103" s="783">
        <f>IF('Incremental Repayments'!$R$22="Debt",IF(AND(M$4&gt;=$D103,M$4&lt;$D103+'Incremental Repayments'!$I$31),-PMT('Interest Rate'!$J$16,'Incremental Repayments'!$I$31,(HLOOKUP($D103,$E$4:$CZ$32,28,FALSE)*'Incremental Repayments'!$I$22)),0),0)</f>
        <v>0</v>
      </c>
      <c r="N103" s="783">
        <f>IF('Incremental Repayments'!$R$22="Debt",IF(AND(N$4&gt;=$D103,N$4&lt;$D103+'Incremental Repayments'!$I$31),-PMT('Interest Rate'!$J$16,'Incremental Repayments'!$I$31,(HLOOKUP($D103,$E$4:$CZ$32,28,FALSE)*'Incremental Repayments'!$I$22)),0),0)</f>
        <v>0</v>
      </c>
      <c r="O103" s="783">
        <f>IF('Incremental Repayments'!$R$22="Debt",IF(AND(O$4&gt;=$D103,O$4&lt;$D103+'Incremental Repayments'!$I$31),-PMT('Interest Rate'!$J$16,'Incremental Repayments'!$I$31,(HLOOKUP($D103,$E$4:$CZ$32,28,FALSE)*'Incremental Repayments'!$I$22)),0),0)</f>
        <v>0</v>
      </c>
      <c r="P103" s="783">
        <f>IF('Incremental Repayments'!$R$22="Debt",IF(AND(P$4&gt;=$D103,P$4&lt;$D103+'Incremental Repayments'!$I$31),-PMT('Interest Rate'!$J$16,'Incremental Repayments'!$I$31,(HLOOKUP($D103,$E$4:$CZ$32,28,FALSE)*'Incremental Repayments'!$I$22)),0),0)</f>
        <v>0</v>
      </c>
      <c r="Q103" s="783">
        <f>IF('Incremental Repayments'!$R$22="Debt",IF(AND(Q$4&gt;=$D103,Q$4&lt;$D103+'Incremental Repayments'!$I$31),-PMT('Interest Rate'!$J$16,'Incremental Repayments'!$I$31,(HLOOKUP($D103,$E$4:$CZ$32,28,FALSE)*'Incremental Repayments'!$I$22)),0),0)</f>
        <v>0</v>
      </c>
      <c r="R103" s="783">
        <f>IF('Incremental Repayments'!$R$22="Debt",IF(AND(R$4&gt;=$D103,R$4&lt;$D103+'Incremental Repayments'!$I$31),-PMT('Interest Rate'!$J$16,'Incremental Repayments'!$I$31,(HLOOKUP($D103,$E$4:$CZ$32,28,FALSE)*'Incremental Repayments'!$I$22)),0),0)</f>
        <v>0</v>
      </c>
      <c r="S103" s="783">
        <f>IF('Incremental Repayments'!$R$22="Debt",IF(AND(S$4&gt;=$D103,S$4&lt;$D103+'Incremental Repayments'!$I$31),-PMT('Interest Rate'!$J$16,'Incremental Repayments'!$I$31,(HLOOKUP($D103,$E$4:$CZ$32,28,FALSE)*'Incremental Repayments'!$I$22)),0),0)</f>
        <v>0</v>
      </c>
      <c r="T103" s="783">
        <f>IF('Incremental Repayments'!$R$22="Debt",IF(AND(T$4&gt;=$D103,T$4&lt;$D103+'Incremental Repayments'!$I$31),-PMT('Interest Rate'!$J$16,'Incremental Repayments'!$I$31,(HLOOKUP($D103,$E$4:$CZ$32,28,FALSE)*'Incremental Repayments'!$I$22)),0),0)</f>
        <v>0</v>
      </c>
      <c r="U103" s="783">
        <f>IF('Incremental Repayments'!$R$22="Debt",IF(AND(U$4&gt;=$D103,U$4&lt;$D103+'Incremental Repayments'!$I$31),-PMT('Interest Rate'!$J$16,'Incremental Repayments'!$I$31,(HLOOKUP($D103,$E$4:$CZ$32,28,FALSE)*'Incremental Repayments'!$I$22)),0),0)</f>
        <v>0</v>
      </c>
      <c r="V103" s="783">
        <f>IF('Incremental Repayments'!$R$22="Debt",IF(AND(V$4&gt;=$D103,V$4&lt;$D103+'Incremental Repayments'!$I$31),-PMT('Interest Rate'!$J$16,'Incremental Repayments'!$I$31,(HLOOKUP($D103,$E$4:$CZ$32,28,FALSE)*'Incremental Repayments'!$I$22)),0),0)</f>
        <v>0</v>
      </c>
      <c r="W103" s="783">
        <f>IF('Incremental Repayments'!$R$22="Debt",IF(AND(W$4&gt;=$D103,W$4&lt;$D103+'Incremental Repayments'!$I$31),-PMT('Interest Rate'!$J$16,'Incremental Repayments'!$I$31,(HLOOKUP($D103,$E$4:$CZ$32,28,FALSE)*'Incremental Repayments'!$I$22)),0),0)</f>
        <v>0</v>
      </c>
      <c r="X103" s="783">
        <f>IF('Incremental Repayments'!$R$22="Debt",IF(AND(X$4&gt;=$D103,X$4&lt;$D103+'Incremental Repayments'!$I$31),-PMT('Interest Rate'!$J$16,'Incremental Repayments'!$I$31,(HLOOKUP($D103,$E$4:$CZ$32,28,FALSE)*'Incremental Repayments'!$I$22)),0),0)</f>
        <v>0</v>
      </c>
      <c r="Y103" s="783">
        <f>IF('Incremental Repayments'!$R$22="Debt",IF(AND(Y$4&gt;=$D103,Y$4&lt;$D103+'Incremental Repayments'!$I$31),-PMT('Interest Rate'!$J$16,'Incremental Repayments'!$I$31,(HLOOKUP($D103,$E$4:$CZ$32,28,FALSE)*'Incremental Repayments'!$I$22)),0),0)</f>
        <v>0</v>
      </c>
      <c r="Z103" s="783">
        <f>IF('Incremental Repayments'!$R$22="Debt",IF(AND(Z$4&gt;=$D103,Z$4&lt;$D103+'Incremental Repayments'!$I$31),-PMT('Interest Rate'!$J$16,'Incremental Repayments'!$I$31,(HLOOKUP($D103,$E$4:$CZ$32,28,FALSE)*'Incremental Repayments'!$I$22)),0),0)</f>
        <v>0</v>
      </c>
      <c r="AA103" s="783">
        <f>IF('Incremental Repayments'!$R$22="Debt",IF(AND(AA$4&gt;=$D103,AA$4&lt;$D103+'Incremental Repayments'!$I$31),-PMT('Interest Rate'!$J$16,'Incremental Repayments'!$I$31,(HLOOKUP($D103,$E$4:$CZ$32,28,FALSE)*'Incremental Repayments'!$I$22)),0),0)</f>
        <v>0</v>
      </c>
      <c r="AB103" s="783">
        <f>IF('Incremental Repayments'!$R$22="Debt",IF(AND(AB$4&gt;=$D103,AB$4&lt;$D103+'Incremental Repayments'!$I$31),-PMT('Interest Rate'!$J$16,'Incremental Repayments'!$I$31,(HLOOKUP($D103,$E$4:$CZ$32,28,FALSE)*'Incremental Repayments'!$I$22)),0),0)</f>
        <v>0</v>
      </c>
      <c r="AC103" s="783">
        <f>IF('Incremental Repayments'!$R$22="Debt",IF(AND(AC$4&gt;=$D103,AC$4&lt;$D103+'Incremental Repayments'!$I$31),-PMT('Interest Rate'!$J$16,'Incremental Repayments'!$I$31,(HLOOKUP($D103,$E$4:$CZ$32,28,FALSE)*'Incremental Repayments'!$I$22)),0),0)</f>
        <v>0</v>
      </c>
      <c r="AD103" s="783">
        <f>IF('Incremental Repayments'!$R$22="Debt",IF(AND(AD$4&gt;=$D103,AD$4&lt;$D103+'Incremental Repayments'!$I$31),-PMT('Interest Rate'!$J$16,'Incremental Repayments'!$I$31,(HLOOKUP($D103,$E$4:$CZ$32,28,FALSE)*'Incremental Repayments'!$I$22)),0),0)</f>
        <v>0</v>
      </c>
      <c r="AE103" s="783">
        <f>IF('Incremental Repayments'!$R$22="Debt",IF(AND(AE$4&gt;=$D103,AE$4&lt;$D103+'Incremental Repayments'!$I$31),-PMT('Interest Rate'!$J$16,'Incremental Repayments'!$I$31,(HLOOKUP($D103,$E$4:$CZ$32,28,FALSE)*'Incremental Repayments'!$I$22)),0),0)</f>
        <v>0</v>
      </c>
      <c r="AF103" s="783">
        <f>IF('Incremental Repayments'!$R$22="Debt",IF(AND(AF$4&gt;=$D103,AF$4&lt;$D103+'Incremental Repayments'!$I$31),-PMT('Interest Rate'!$J$16,'Incremental Repayments'!$I$31,(HLOOKUP($D103,$E$4:$CZ$32,28,FALSE)*'Incremental Repayments'!$I$22)),0),0)</f>
        <v>0</v>
      </c>
      <c r="AG103" s="783">
        <f>IF('Incremental Repayments'!$R$22="Debt",IF(AND(AG$4&gt;=$D103,AG$4&lt;$D103+'Incremental Repayments'!$I$31),-PMT('Interest Rate'!$J$16,'Incremental Repayments'!$I$31,(HLOOKUP($D103,$E$4:$CZ$32,28,FALSE)*'Incremental Repayments'!$I$22)),0),0)</f>
        <v>0</v>
      </c>
      <c r="AH103" s="783">
        <f>IF('Incremental Repayments'!$R$22="Debt",IF(AND(AH$4&gt;=$D103,AH$4&lt;$D103+'Incremental Repayments'!$I$31),-PMT('Interest Rate'!$J$16,'Incremental Repayments'!$I$31,(HLOOKUP($D103,$E$4:$CZ$32,28,FALSE)*'Incremental Repayments'!$I$22)),0),0)</f>
        <v>0</v>
      </c>
      <c r="AI103" s="783">
        <f>IF('Incremental Repayments'!$R$22="Debt",IF(AND(AI$4&gt;=$D103,AI$4&lt;$D103+'Incremental Repayments'!$I$31),-PMT('Interest Rate'!$J$16,'Incremental Repayments'!$I$31,(HLOOKUP($D103,$E$4:$CZ$32,28,FALSE)*'Incremental Repayments'!$I$22)),0),0)</f>
        <v>0</v>
      </c>
      <c r="AJ103" s="783">
        <f>IF('Incremental Repayments'!$R$22="Debt",IF(AND(AJ$4&gt;=$D103,AJ$4&lt;$D103+'Incremental Repayments'!$I$31),-PMT('Interest Rate'!$J$16,'Incremental Repayments'!$I$31,(HLOOKUP($D103,$E$4:$CZ$32,28,FALSE)*'Incremental Repayments'!$I$22)),0),0)</f>
        <v>0</v>
      </c>
      <c r="AK103" s="783">
        <f>IF('Incremental Repayments'!$R$22="Debt",IF(AND(AK$4&gt;=$D103,AK$4&lt;$D103+'Incremental Repayments'!$I$31),-PMT('Interest Rate'!$J$16,'Incremental Repayments'!$I$31,(HLOOKUP($D103,$E$4:$CZ$32,28,FALSE)*'Incremental Repayments'!$I$22)),0),0)</f>
        <v>0</v>
      </c>
      <c r="AL103" s="783">
        <f>IF('Incremental Repayments'!$R$22="Debt",IF(AND(AL$4&gt;=$D103,AL$4&lt;$D103+'Incremental Repayments'!$I$31),-PMT('Interest Rate'!$J$16,'Incremental Repayments'!$I$31,(HLOOKUP($D103,$E$4:$CZ$32,28,FALSE)*'Incremental Repayments'!$I$22)),0),0)</f>
        <v>0</v>
      </c>
      <c r="AM103" s="783">
        <f>IF('Incremental Repayments'!$R$22="Debt",IF(AND(AM$4&gt;=$D103,AM$4&lt;$D103+'Incremental Repayments'!$I$31),-PMT('Interest Rate'!$J$16,'Incremental Repayments'!$I$31,(HLOOKUP($D103,$E$4:$CZ$32,28,FALSE)*'Incremental Repayments'!$I$22)),0),0)</f>
        <v>0</v>
      </c>
      <c r="AN103" s="783">
        <f>IF('Incremental Repayments'!$R$22="Debt",IF(AND(AN$4&gt;=$D103,AN$4&lt;$D103+'Incremental Repayments'!$I$31),-PMT('Interest Rate'!$J$16,'Incremental Repayments'!$I$31,(HLOOKUP($D103,$E$4:$CZ$32,28,FALSE)*'Incremental Repayments'!$I$22)),0),0)</f>
        <v>0</v>
      </c>
      <c r="AO103" s="783">
        <f>IF('Incremental Repayments'!$R$22="Debt",IF(AND(AO$4&gt;=$D103,AO$4&lt;$D103+'Incremental Repayments'!$I$31),-PMT('Interest Rate'!$J$16,'Incremental Repayments'!$I$31,(HLOOKUP($D103,$E$4:$CZ$32,28,FALSE)*'Incremental Repayments'!$I$22)),0),0)</f>
        <v>0</v>
      </c>
      <c r="AP103" s="783">
        <f>IF('Incremental Repayments'!$R$22="Debt",IF(AND(AP$4&gt;=$D103,AP$4&lt;$D103+'Incremental Repayments'!$I$31),-PMT('Interest Rate'!$J$16,'Incremental Repayments'!$I$31,(HLOOKUP($D103,$E$4:$CZ$32,28,FALSE)*'Incremental Repayments'!$I$22)),0),0)</f>
        <v>0</v>
      </c>
      <c r="AQ103" s="783">
        <f>IF('Incremental Repayments'!$R$22="Debt",IF(AND(AQ$4&gt;=$D103,AQ$4&lt;$D103+'Incremental Repayments'!$I$31),-PMT('Interest Rate'!$J$16,'Incremental Repayments'!$I$31,(HLOOKUP($D103,$E$4:$CZ$32,28,FALSE)*'Incremental Repayments'!$I$22)),0),0)</f>
        <v>0</v>
      </c>
      <c r="AR103" s="783">
        <f>IF('Incremental Repayments'!$R$22="Debt",IF(AND(AR$4&gt;=$D103,AR$4&lt;$D103+'Incremental Repayments'!$I$31),-PMT('Interest Rate'!$J$16,'Incremental Repayments'!$I$31,(HLOOKUP($D103,$E$4:$CZ$32,28,FALSE)*'Incremental Repayments'!$I$22)),0),0)</f>
        <v>0</v>
      </c>
      <c r="AS103" s="783">
        <f>IF('Incremental Repayments'!$R$22="Debt",IF(AND(AS$4&gt;=$D103,AS$4&lt;$D103+'Incremental Repayments'!$I$31),-PMT('Interest Rate'!$J$16,'Incremental Repayments'!$I$31,(HLOOKUP($D103,$E$4:$CZ$32,28,FALSE)*'Incremental Repayments'!$I$22)),0),0)</f>
        <v>0</v>
      </c>
      <c r="AT103" s="783">
        <f>IF('Incremental Repayments'!$R$22="Debt",IF(AND(AT$4&gt;=$D103,AT$4&lt;$D103+'Incremental Repayments'!$I$31),-PMT('Interest Rate'!$J$16,'Incremental Repayments'!$I$31,(HLOOKUP($D103,$E$4:$CZ$32,28,FALSE)*'Incremental Repayments'!$I$22)),0),0)</f>
        <v>0</v>
      </c>
      <c r="AU103" s="783">
        <f>IF('Incremental Repayments'!$R$22="Debt",IF(AND(AU$4&gt;=$D103,AU$4&lt;$D103+'Incremental Repayments'!$I$31),-PMT('Interest Rate'!$J$16,'Incremental Repayments'!$I$31,(HLOOKUP($D103,$E$4:$CZ$32,28,FALSE)*'Incremental Repayments'!$I$22)),0),0)</f>
        <v>0</v>
      </c>
      <c r="AV103" s="783">
        <f>IF('Incremental Repayments'!$R$22="Debt",IF(AND(AV$4&gt;=$D103,AV$4&lt;$D103+'Incremental Repayments'!$I$31),-PMT('Interest Rate'!$J$16,'Incremental Repayments'!$I$31,(HLOOKUP($D103,$E$4:$CZ$32,28,FALSE)*'Incremental Repayments'!$I$22)),0),0)</f>
        <v>0</v>
      </c>
      <c r="AW103" s="783">
        <f>IF('Incremental Repayments'!$R$22="Debt",IF(AND(AW$4&gt;=$D103,AW$4&lt;$D103+'Incremental Repayments'!$I$31),-PMT('Interest Rate'!$J$16,'Incremental Repayments'!$I$31,(HLOOKUP($D103,$E$4:$CZ$32,28,FALSE)*'Incremental Repayments'!$I$22)),0),0)</f>
        <v>0</v>
      </c>
      <c r="AX103" s="783">
        <f>IF('Incremental Repayments'!$R$22="Debt",IF(AND(AX$4&gt;=$D103,AX$4&lt;$D103+'Incremental Repayments'!$I$31),-PMT('Interest Rate'!$J$16,'Incremental Repayments'!$I$31,(HLOOKUP($D103,$E$4:$CZ$32,28,FALSE)*'Incremental Repayments'!$I$22)),0),0)</f>
        <v>0</v>
      </c>
      <c r="AY103" s="783">
        <f>IF('Incremental Repayments'!$R$22="Debt",IF(AND(AY$4&gt;=$D103,AY$4&lt;$D103+'Incremental Repayments'!$I$31),-PMT('Interest Rate'!$J$16,'Incremental Repayments'!$I$31,(HLOOKUP($D103,$E$4:$CZ$32,28,FALSE)*'Incremental Repayments'!$I$22)),0),0)</f>
        <v>0</v>
      </c>
      <c r="AZ103" s="783">
        <f>IF('Incremental Repayments'!$R$22="Debt",IF(AND(AZ$4&gt;=$D103,AZ$4&lt;$D103+'Incremental Repayments'!$I$31),-PMT('Interest Rate'!$J$16,'Incremental Repayments'!$I$31,(HLOOKUP($D103,$E$4:$CZ$32,28,FALSE)*'Incremental Repayments'!$I$22)),0),0)</f>
        <v>0</v>
      </c>
      <c r="BA103" s="783">
        <f>IF('Incremental Repayments'!$R$22="Debt",IF(AND(BA$4&gt;=$D103,BA$4&lt;$D103+'Incremental Repayments'!$I$31),-PMT('Interest Rate'!$J$16,'Incremental Repayments'!$I$31,(HLOOKUP($D103,$E$4:$CZ$32,28,FALSE)*'Incremental Repayments'!$I$22)),0),0)</f>
        <v>0</v>
      </c>
      <c r="BB103" s="783">
        <f>IF('Incremental Repayments'!$R$22="Debt",IF(AND(BB$4&gt;=$D103,BB$4&lt;$D103+'Incremental Repayments'!$I$31),-PMT('Interest Rate'!$J$16,'Incremental Repayments'!$I$31,(HLOOKUP($D103,$E$4:$CZ$32,28,FALSE)*'Incremental Repayments'!$I$22)),0),0)</f>
        <v>0</v>
      </c>
      <c r="BC103" s="783">
        <f>IF('Incremental Repayments'!$R$22="Debt",IF(AND(BC$4&gt;=$D103,BC$4&lt;$D103+'Incremental Repayments'!$I$31),-PMT('Interest Rate'!$J$16,'Incremental Repayments'!$I$31,(HLOOKUP($D103,$E$4:$CZ$32,28,FALSE)*'Incremental Repayments'!$I$22)),0),0)</f>
        <v>0</v>
      </c>
      <c r="BD103" s="783">
        <f>IF('Incremental Repayments'!$R$22="Debt",IF(AND(BD$4&gt;=$D103,BD$4&lt;$D103+'Incremental Repayments'!$I$31),-PMT('Interest Rate'!$J$16,'Incremental Repayments'!$I$31,(HLOOKUP($D103,$E$4:$CZ$32,28,FALSE)*'Incremental Repayments'!$I$22)),0),0)</f>
        <v>0</v>
      </c>
      <c r="BE103" s="783">
        <f>IF('Incremental Repayments'!$R$22="Debt",IF(AND(BE$4&gt;=$D103,BE$4&lt;$D103+'Incremental Repayments'!$I$31),-PMT('Interest Rate'!$J$16,'Incremental Repayments'!$I$31,(HLOOKUP($D103,$E$4:$CZ$32,28,FALSE)*'Incremental Repayments'!$I$22)),0),0)</f>
        <v>0</v>
      </c>
      <c r="BF103" s="783">
        <f>IF('Incremental Repayments'!$R$22="Debt",IF(AND(BF$4&gt;=$D103,BF$4&lt;$D103+'Incremental Repayments'!$I$31),-PMT('Interest Rate'!$J$16,'Incremental Repayments'!$I$31,(HLOOKUP($D103,$E$4:$CZ$32,28,FALSE)*'Incremental Repayments'!$I$22)),0),0)</f>
        <v>0</v>
      </c>
      <c r="BG103" s="783">
        <f>IF('Incremental Repayments'!$R$22="Debt",IF(AND(BG$4&gt;=$D103,BG$4&lt;$D103+'Incremental Repayments'!$I$31),-PMT('Interest Rate'!$J$16,'Incremental Repayments'!$I$31,(HLOOKUP($D103,$E$4:$CZ$32,28,FALSE)*'Incremental Repayments'!$I$22)),0),0)</f>
        <v>0</v>
      </c>
      <c r="BH103" s="783">
        <f>IF('Incremental Repayments'!$R$22="Debt",IF(AND(BH$4&gt;=$D103,BH$4&lt;$D103+'Incremental Repayments'!$I$31),-PMT('Interest Rate'!$J$16,'Incremental Repayments'!$I$31,(HLOOKUP($D103,$E$4:$CZ$32,28,FALSE)*'Incremental Repayments'!$I$22)),0),0)</f>
        <v>0</v>
      </c>
      <c r="BI103" s="783">
        <f>IF('Incremental Repayments'!$R$22="Debt",IF(AND(BI$4&gt;=$D103,BI$4&lt;$D103+'Incremental Repayments'!$I$31),-PMT('Interest Rate'!$J$16,'Incremental Repayments'!$I$31,(HLOOKUP($D103,$E$4:$CZ$32,28,FALSE)*'Incremental Repayments'!$I$22)),0),0)</f>
        <v>0</v>
      </c>
      <c r="BJ103" s="783">
        <f>IF('Incremental Repayments'!$R$22="Debt",IF(AND(BJ$4&gt;=$D103,BJ$4&lt;$D103+'Incremental Repayments'!$I$31),-PMT('Interest Rate'!$J$16,'Incremental Repayments'!$I$31,(HLOOKUP($D103,$E$4:$CZ$32,28,FALSE)*'Incremental Repayments'!$I$22)),0),0)</f>
        <v>0</v>
      </c>
      <c r="BK103" s="783">
        <f>IF('Incremental Repayments'!$R$22="Debt",IF(AND(BK$4&gt;=$D103,BK$4&lt;$D103+'Incremental Repayments'!$I$31),-PMT('Interest Rate'!$J$16,'Incremental Repayments'!$I$31,(HLOOKUP($D103,$E$4:$CZ$32,28,FALSE)*'Incremental Repayments'!$I$22)),0),0)</f>
        <v>0</v>
      </c>
      <c r="BL103" s="783">
        <f>IF('Incremental Repayments'!$R$22="Debt",IF(AND(BL$4&gt;=$D103,BL$4&lt;$D103+'Incremental Repayments'!$I$31),-PMT('Interest Rate'!$J$16,'Incremental Repayments'!$I$31,(HLOOKUP($D103,$E$4:$CZ$32,28,FALSE)*'Incremental Repayments'!$I$22)),0),0)</f>
        <v>0</v>
      </c>
      <c r="BM103" s="783">
        <f>IF('Incremental Repayments'!$R$22="Debt",IF(AND(BM$4&gt;=$D103,BM$4&lt;$D103+'Incremental Repayments'!$I$31),-PMT('Interest Rate'!$J$16,'Incremental Repayments'!$I$31,(HLOOKUP($D103,$E$4:$CZ$32,28,FALSE)*'Incremental Repayments'!$I$22)),0),0)</f>
        <v>0</v>
      </c>
      <c r="BN103" s="783">
        <f>IF('Incremental Repayments'!$R$22="Debt",IF(AND(BN$4&gt;=$D103,BN$4&lt;$D103+'Incremental Repayments'!$I$31),-PMT('Interest Rate'!$J$16,'Incremental Repayments'!$I$31,(HLOOKUP($D103,$E$4:$CZ$32,28,FALSE)*'Incremental Repayments'!$I$22)),0),0)</f>
        <v>0</v>
      </c>
      <c r="BO103" s="783">
        <f>IF('Incremental Repayments'!$R$22="Debt",IF(AND(BO$4&gt;=$D103,BO$4&lt;$D103+'Incremental Repayments'!$I$31),-PMT('Interest Rate'!$J$16,'Incremental Repayments'!$I$31,(HLOOKUP($D103,$E$4:$CZ$32,28,FALSE)*'Incremental Repayments'!$I$22)),0),0)</f>
        <v>0</v>
      </c>
      <c r="BP103" s="783">
        <f>IF('Incremental Repayments'!$R$22="Debt",IF(AND(BP$4&gt;=$D103,BP$4&lt;$D103+'Incremental Repayments'!$I$31),-PMT('Interest Rate'!$J$16,'Incremental Repayments'!$I$31,(HLOOKUP($D103,$E$4:$CZ$32,28,FALSE)*'Incremental Repayments'!$I$22)),0),0)</f>
        <v>0</v>
      </c>
      <c r="BQ103" s="783">
        <f>IF('Incremental Repayments'!$R$22="Debt",IF(AND(BQ$4&gt;=$D103,BQ$4&lt;$D103+'Incremental Repayments'!$I$31),-PMT('Interest Rate'!$J$16,'Incremental Repayments'!$I$31,(HLOOKUP($D103,$E$4:$CZ$32,28,FALSE)*'Incremental Repayments'!$I$22)),0),0)</f>
        <v>0</v>
      </c>
      <c r="BR103" s="783">
        <f>IF('Incremental Repayments'!$R$22="Debt",IF(AND(BR$4&gt;=$D103,BR$4&lt;$D103+'Incremental Repayments'!$I$31),-PMT('Interest Rate'!$J$16,'Incremental Repayments'!$I$31,(HLOOKUP($D103,$E$4:$CZ$32,28,FALSE)*'Incremental Repayments'!$I$22)),0),0)</f>
        <v>0</v>
      </c>
      <c r="BS103" s="783">
        <f>IF('Incremental Repayments'!$R$22="Debt",IF(AND(BS$4&gt;=$D103,BS$4&lt;$D103+'Incremental Repayments'!$I$31),-PMT('Interest Rate'!$J$16,'Incremental Repayments'!$I$31,(HLOOKUP($D103,$E$4:$CZ$32,28,FALSE)*'Incremental Repayments'!$I$22)),0),0)</f>
        <v>0</v>
      </c>
      <c r="BT103" s="783">
        <f>IF('Incremental Repayments'!$R$22="Debt",IF(AND(BT$4&gt;=$D103,BT$4&lt;$D103+'Incremental Repayments'!$I$31),-PMT('Interest Rate'!$J$16,'Incremental Repayments'!$I$31,(HLOOKUP($D103,$E$4:$CZ$32,28,FALSE)*'Incremental Repayments'!$I$22)),0),0)</f>
        <v>0</v>
      </c>
      <c r="BU103" s="783">
        <f>IF('Incremental Repayments'!$R$22="Debt",IF(AND(BU$4&gt;=$D103,BU$4&lt;$D103+'Incremental Repayments'!$I$31),-PMT('Interest Rate'!$J$16,'Incremental Repayments'!$I$31,(HLOOKUP($D103,$E$4:$CZ$32,28,FALSE)*'Incremental Repayments'!$I$22)),0),0)</f>
        <v>0</v>
      </c>
      <c r="BV103" s="783">
        <f>IF('Incremental Repayments'!$R$22="Debt",IF(AND(BV$4&gt;=$D103,BV$4&lt;$D103+'Incremental Repayments'!$I$31),-PMT('Interest Rate'!$J$16,'Incremental Repayments'!$I$31,(HLOOKUP($D103,$E$4:$CZ$32,28,FALSE)*'Incremental Repayments'!$I$22)),0),0)</f>
        <v>0</v>
      </c>
      <c r="BW103" s="783">
        <f>IF('Incremental Repayments'!$R$22="Debt",IF(AND(BW$4&gt;=$D103,BW$4&lt;$D103+'Incremental Repayments'!$I$31),-PMT('Interest Rate'!$J$16,'Incremental Repayments'!$I$31,(HLOOKUP($D103,$E$4:$CZ$32,28,FALSE)*'Incremental Repayments'!$I$22)),0),0)</f>
        <v>0</v>
      </c>
      <c r="BX103" s="783">
        <f>IF('Incremental Repayments'!$R$22="Debt",IF(AND(BX$4&gt;=$D103,BX$4&lt;$D103+'Incremental Repayments'!$I$31),-PMT('Interest Rate'!$J$16,'Incremental Repayments'!$I$31,(HLOOKUP($D103,$E$4:$CZ$32,28,FALSE)*'Incremental Repayments'!$I$22)),0),0)</f>
        <v>0</v>
      </c>
      <c r="BY103" s="783">
        <f>IF('Incremental Repayments'!$R$22="Debt",IF(AND(BY$4&gt;=$D103,BY$4&lt;$D103+'Incremental Repayments'!$I$31),-PMT('Interest Rate'!$J$16,'Incremental Repayments'!$I$31,(HLOOKUP($D103,$E$4:$CZ$32,28,FALSE)*'Incremental Repayments'!$I$22)),0),0)</f>
        <v>0</v>
      </c>
      <c r="BZ103" s="783">
        <f>IF('Incremental Repayments'!$R$22="Debt",IF(AND(BZ$4&gt;=$D103,BZ$4&lt;$D103+'Incremental Repayments'!$I$31),-PMT('Interest Rate'!$J$16,'Incremental Repayments'!$I$31,(HLOOKUP($D103,$E$4:$CZ$32,28,FALSE)*'Incremental Repayments'!$I$22)),0),0)</f>
        <v>0</v>
      </c>
      <c r="CA103" s="783">
        <f>IF('Incremental Repayments'!$R$22="Debt",IF(AND(CA$4&gt;=$D103,CA$4&lt;$D103+'Incremental Repayments'!$I$31),-PMT('Interest Rate'!$J$16,'Incremental Repayments'!$I$31,(HLOOKUP($D103,$E$4:$CZ$32,28,FALSE)*'Incremental Repayments'!$I$22)),0),0)</f>
        <v>0</v>
      </c>
      <c r="CB103" s="783">
        <f>IF('Incremental Repayments'!$R$22="Debt",IF(AND(CB$4&gt;=$D103,CB$4&lt;$D103+'Incremental Repayments'!$I$31),-PMT('Interest Rate'!$J$16,'Incremental Repayments'!$I$31,(HLOOKUP($D103,$E$4:$CZ$32,28,FALSE)*'Incremental Repayments'!$I$22)),0),0)</f>
        <v>0</v>
      </c>
      <c r="CC103" s="783">
        <f>IF('Incremental Repayments'!$R$22="Debt",IF(AND(CC$4&gt;=$D103,CC$4&lt;$D103+'Incremental Repayments'!$I$31),-PMT('Interest Rate'!$J$16,'Incremental Repayments'!$I$31,(HLOOKUP($D103,$E$4:$CZ$32,28,FALSE)*'Incremental Repayments'!$I$22)),0),0)</f>
        <v>0</v>
      </c>
      <c r="CD103" s="783">
        <f>IF('Incremental Repayments'!$R$22="Debt",IF(AND(CD$4&gt;=$D103,CD$4&lt;$D103+'Incremental Repayments'!$I$31),-PMT('Interest Rate'!$J$16,'Incremental Repayments'!$I$31,(HLOOKUP($D103,$E$4:$CZ$32,28,FALSE)*'Incremental Repayments'!$I$22)),0),0)</f>
        <v>0</v>
      </c>
      <c r="CE103" s="783">
        <f>IF('Incremental Repayments'!$R$22="Debt",IF(AND(CE$4&gt;=$D103,CE$4&lt;$D103+'Incremental Repayments'!$I$31),-PMT('Interest Rate'!$J$16,'Incremental Repayments'!$I$31,(HLOOKUP($D103,$E$4:$CZ$32,28,FALSE)*'Incremental Repayments'!$I$22)),0),0)</f>
        <v>0</v>
      </c>
      <c r="CF103" s="783">
        <f>IF('Incremental Repayments'!$R$22="Debt",IF(AND(CF$4&gt;=$D103,CF$4&lt;$D103+'Incremental Repayments'!$I$31),-PMT('Interest Rate'!$J$16,'Incremental Repayments'!$I$31,(HLOOKUP($D103,$E$4:$CZ$32,28,FALSE)*'Incremental Repayments'!$I$22)),0),0)</f>
        <v>0</v>
      </c>
      <c r="CG103" s="783">
        <f>IF('Incremental Repayments'!$R$22="Debt",IF(AND(CG$4&gt;=$D103,CG$4&lt;$D103+'Incremental Repayments'!$I$31),-PMT('Interest Rate'!$J$16,'Incremental Repayments'!$I$31,(HLOOKUP($D103,$E$4:$CZ$32,28,FALSE)*'Incremental Repayments'!$I$22)),0),0)</f>
        <v>0</v>
      </c>
      <c r="CH103" s="783">
        <f>IF('Incremental Repayments'!$R$22="Debt",IF(AND(CH$4&gt;=$D103,CH$4&lt;$D103+'Incremental Repayments'!$I$31),-PMT('Interest Rate'!$J$16,'Incremental Repayments'!$I$31,(HLOOKUP($D103,$E$4:$CZ$32,28,FALSE)*'Incremental Repayments'!$I$22)),0),0)</f>
        <v>0</v>
      </c>
      <c r="CI103" s="783">
        <f>IF('Incremental Repayments'!$R$22="Debt",IF(AND(CI$4&gt;=$D103,CI$4&lt;$D103+'Incremental Repayments'!$I$31),-PMT('Interest Rate'!$J$16,'Incremental Repayments'!$I$31,(HLOOKUP($D103,$E$4:$CZ$32,28,FALSE)*'Incremental Repayments'!$I$22)),0),0)</f>
        <v>0</v>
      </c>
      <c r="CJ103" s="783">
        <f>IF('Incremental Repayments'!$R$22="Debt",IF(AND(CJ$4&gt;=$D103,CJ$4&lt;$D103+'Incremental Repayments'!$I$31),-PMT('Interest Rate'!$J$16,'Incremental Repayments'!$I$31,(HLOOKUP($D103,$E$4:$CZ$32,28,FALSE)*'Incremental Repayments'!$I$22)),0),0)</f>
        <v>0</v>
      </c>
      <c r="CK103" s="783">
        <f>IF('Incremental Repayments'!$R$22="Debt",IF(AND(CK$4&gt;=$D103,CK$4&lt;$D103+'Incremental Repayments'!$I$31),-PMT('Interest Rate'!$J$16,'Incremental Repayments'!$I$31,(HLOOKUP($D103,$E$4:$CZ$32,28,FALSE)*'Incremental Repayments'!$I$22)),0),0)</f>
        <v>0</v>
      </c>
      <c r="CL103" s="783">
        <f>IF('Incremental Repayments'!$R$22="Debt",IF(AND(CL$4&gt;=$D103,CL$4&lt;$D103+'Incremental Repayments'!$I$31),-PMT('Interest Rate'!$J$16,'Incremental Repayments'!$I$31,(HLOOKUP($D103,$E$4:$CZ$32,28,FALSE)*'Incremental Repayments'!$I$22)),0),0)</f>
        <v>0</v>
      </c>
      <c r="CM103" s="783">
        <f>IF('Incremental Repayments'!$R$22="Debt",IF(AND(CM$4&gt;=$D103,CM$4&lt;$D103+'Incremental Repayments'!$I$31),-PMT('Interest Rate'!$J$16,'Incremental Repayments'!$I$31,(HLOOKUP($D103,$E$4:$CZ$32,28,FALSE)*'Incremental Repayments'!$I$22)),0),0)</f>
        <v>0</v>
      </c>
      <c r="CN103" s="783">
        <f>IF('Incremental Repayments'!$R$22="Debt",IF(AND(CN$4&gt;=$D103,CN$4&lt;$D103+'Incremental Repayments'!$I$31),-PMT('Interest Rate'!$J$16,'Incremental Repayments'!$I$31,(HLOOKUP($D103,$E$4:$CZ$32,28,FALSE)*'Incremental Repayments'!$I$22)),0),0)</f>
        <v>0</v>
      </c>
      <c r="CO103" s="783">
        <f>IF('Incremental Repayments'!$R$22="Debt",IF(AND(CO$4&gt;=$D103,CO$4&lt;$D103+'Incremental Repayments'!$I$31),-PMT('Interest Rate'!$J$16,'Incremental Repayments'!$I$31,(HLOOKUP($D103,$E$4:$CZ$32,28,FALSE)*'Incremental Repayments'!$I$22)),0),0)</f>
        <v>0</v>
      </c>
      <c r="CP103" s="783">
        <f>IF('Incremental Repayments'!$R$22="Debt",IF(AND(CP$4&gt;=$D103,CP$4&lt;$D103+'Incremental Repayments'!$I$31),-PMT('Interest Rate'!$J$16,'Incremental Repayments'!$I$31,(HLOOKUP($D103,$E$4:$CZ$32,28,FALSE)*'Incremental Repayments'!$I$22)),0),0)</f>
        <v>0</v>
      </c>
      <c r="CQ103" s="783">
        <f>IF('Incremental Repayments'!$R$22="Debt",IF(AND(CQ$4&gt;=$D103,CQ$4&lt;$D103+'Incremental Repayments'!$I$31),-PMT('Interest Rate'!$J$16,'Incremental Repayments'!$I$31,(HLOOKUP($D103,$E$4:$CZ$32,28,FALSE)*'Incremental Repayments'!$I$22)),0),0)</f>
        <v>0</v>
      </c>
      <c r="CR103" s="783">
        <f>IF('Incremental Repayments'!$R$22="Debt",IF(AND(CR$4&gt;=$D103,CR$4&lt;$D103+'Incremental Repayments'!$I$31),-PMT('Interest Rate'!$J$16,'Incremental Repayments'!$I$31,(HLOOKUP($D103,$E$4:$CZ$32,28,FALSE)*'Incremental Repayments'!$I$22)),0),0)</f>
        <v>0</v>
      </c>
      <c r="CS103" s="783">
        <f>IF('Incremental Repayments'!$R$22="Debt",IF(AND(CS$4&gt;=$D103,CS$4&lt;$D103+'Incremental Repayments'!$I$31),-PMT('Interest Rate'!$J$16,'Incremental Repayments'!$I$31,(HLOOKUP($D103,$E$4:$CZ$32,28,FALSE)*'Incremental Repayments'!$I$22)),0),0)</f>
        <v>0</v>
      </c>
      <c r="CT103" s="783">
        <f>IF('Incremental Repayments'!$R$22="Debt",IF(AND(CT$4&gt;=$D103,CT$4&lt;$D103+'Incremental Repayments'!$I$31),-PMT('Interest Rate'!$J$16,'Incremental Repayments'!$I$31,(HLOOKUP($D103,$E$4:$CZ$32,28,FALSE)*'Incremental Repayments'!$I$22)),0),0)</f>
        <v>0</v>
      </c>
      <c r="CU103" s="783">
        <f>IF('Incremental Repayments'!$R$22="Debt",IF(AND(CU$4&gt;=$D103,CU$4&lt;$D103+'Incremental Repayments'!$I$31),-PMT('Interest Rate'!$J$16,'Incremental Repayments'!$I$31,(HLOOKUP($D103,$E$4:$CZ$32,28,FALSE)*'Incremental Repayments'!$I$22)),0),0)</f>
        <v>0</v>
      </c>
      <c r="CV103" s="783">
        <f>IF('Incremental Repayments'!$R$22="Debt",IF(AND(CV$4&gt;=$D103,CV$4&lt;$D103+'Incremental Repayments'!$I$31),-PMT('Interest Rate'!$J$16,'Incremental Repayments'!$I$31,(HLOOKUP($D103,$E$4:$CZ$32,28,FALSE)*'Incremental Repayments'!$I$22)),0),0)</f>
        <v>0</v>
      </c>
      <c r="CW103" s="783">
        <f>IF('Incremental Repayments'!$R$22="Debt",IF(AND(CW$4&gt;=$D103,CW$4&lt;$D103+'Incremental Repayments'!$I$31),-PMT('Interest Rate'!$J$16,'Incremental Repayments'!$I$31,(HLOOKUP($D103,$E$4:$CZ$32,28,FALSE)*'Incremental Repayments'!$I$22)),0),0)</f>
        <v>0</v>
      </c>
      <c r="CX103" s="783">
        <f>IF('Incremental Repayments'!$R$22="Debt",IF(AND(CX$4&gt;=$D103,CX$4&lt;$D103+'Incremental Repayments'!$I$31),-PMT('Interest Rate'!$J$16,'Incremental Repayments'!$I$31,(HLOOKUP($D103,$E$4:$CZ$32,28,FALSE)*'Incremental Repayments'!$I$22)),0),0)</f>
        <v>0</v>
      </c>
      <c r="CY103" s="783">
        <f>IF('Incremental Repayments'!$R$22="Debt",IF(AND(CY$4&gt;=$D103,CY$4&lt;$D103+'Incremental Repayments'!$I$31),-PMT('Interest Rate'!$J$16,'Incremental Repayments'!$I$31,(HLOOKUP($D103,$E$4:$CZ$32,28,FALSE)*'Incremental Repayments'!$I$22)),0),0)</f>
        <v>0</v>
      </c>
      <c r="CZ103" s="783">
        <f>IF('Incremental Repayments'!$R$22="Debt",IF(AND(CZ$4&gt;=$D103,CZ$4&lt;$D103+'Incremental Repayments'!$I$31),-PMT('Interest Rate'!$J$16,'Incremental Repayments'!$I$31,(HLOOKUP($D103,$E$4:$CZ$32,28,FALSE)*'Incremental Repayments'!$I$22)),0),0)</f>
        <v>0</v>
      </c>
    </row>
    <row r="104" spans="2:104" x14ac:dyDescent="0.25">
      <c r="B104" s="480" t="str">
        <f>CONCATENATE("Series ",D104,"A Bonds (at ",'Interest Rate'!$J$16*100,"% Interest)")</f>
        <v>Series 2082A Bonds (at 4.5% Interest)</v>
      </c>
      <c r="C104" s="480"/>
      <c r="D104" s="492">
        <f t="shared" si="47"/>
        <v>2082</v>
      </c>
      <c r="E104" s="783">
        <f>IF('Incremental Repayments'!$R$22="Debt",IF(AND(E$4&gt;=$D104,E$4&lt;$D104+'Incremental Repayments'!$I$31),-PMT('Interest Rate'!$J$16,'Incremental Repayments'!$I$31,(HLOOKUP($D104,$E$4:$CZ$32,28,FALSE)*'Incremental Repayments'!$I$22)),0),0)</f>
        <v>0</v>
      </c>
      <c r="F104" s="783">
        <f>IF('Incremental Repayments'!$R$22="Debt",IF(AND(F$4&gt;=$D104,F$4&lt;$D104+'Incremental Repayments'!$I$31),-PMT('Interest Rate'!$J$16,'Incremental Repayments'!$I$31,(HLOOKUP($D104,$E$4:$CZ$32,28,FALSE)*'Incremental Repayments'!$I$22)),0),0)</f>
        <v>0</v>
      </c>
      <c r="G104" s="783">
        <f>IF('Incremental Repayments'!$R$22="Debt",IF(AND(G$4&gt;=$D104,G$4&lt;$D104+'Incremental Repayments'!$I$31),-PMT('Interest Rate'!$J$16,'Incremental Repayments'!$I$31,(HLOOKUP($D104,$E$4:$CZ$32,28,FALSE)*'Incremental Repayments'!$I$22)),0),0)</f>
        <v>0</v>
      </c>
      <c r="H104" s="783">
        <f>IF('Incremental Repayments'!$R$22="Debt",IF(AND(H$4&gt;=$D104,H$4&lt;$D104+'Incremental Repayments'!$I$31),-PMT('Interest Rate'!$J$16,'Incremental Repayments'!$I$31,(HLOOKUP($D104,$E$4:$CZ$32,28,FALSE)*'Incremental Repayments'!$I$22)),0),0)</f>
        <v>0</v>
      </c>
      <c r="I104" s="783">
        <f>IF('Incremental Repayments'!$R$22="Debt",IF(AND(I$4&gt;=$D104,I$4&lt;$D104+'Incremental Repayments'!$I$31),-PMT('Interest Rate'!$J$16,'Incremental Repayments'!$I$31,(HLOOKUP($D104,$E$4:$CZ$32,28,FALSE)*'Incremental Repayments'!$I$22)),0),0)</f>
        <v>0</v>
      </c>
      <c r="J104" s="783">
        <f>IF('Incremental Repayments'!$R$22="Debt",IF(AND(J$4&gt;=$D104,J$4&lt;$D104+'Incremental Repayments'!$I$31),-PMT('Interest Rate'!$J$16,'Incremental Repayments'!$I$31,(HLOOKUP($D104,$E$4:$CZ$32,28,FALSE)*'Incremental Repayments'!$I$22)),0),0)</f>
        <v>0</v>
      </c>
      <c r="K104" s="783">
        <f>IF('Incremental Repayments'!$R$22="Debt",IF(AND(K$4&gt;=$D104,K$4&lt;$D104+'Incremental Repayments'!$I$31),-PMT('Interest Rate'!$J$16,'Incremental Repayments'!$I$31,(HLOOKUP($D104,$E$4:$CZ$32,28,FALSE)*'Incremental Repayments'!$I$22)),0),0)</f>
        <v>0</v>
      </c>
      <c r="L104" s="783">
        <f>IF('Incremental Repayments'!$R$22="Debt",IF(AND(L$4&gt;=$D104,L$4&lt;$D104+'Incremental Repayments'!$I$31),-PMT('Interest Rate'!$J$16,'Incremental Repayments'!$I$31,(HLOOKUP($D104,$E$4:$CZ$32,28,FALSE)*'Incremental Repayments'!$I$22)),0),0)</f>
        <v>0</v>
      </c>
      <c r="M104" s="783">
        <f>IF('Incremental Repayments'!$R$22="Debt",IF(AND(M$4&gt;=$D104,M$4&lt;$D104+'Incremental Repayments'!$I$31),-PMT('Interest Rate'!$J$16,'Incremental Repayments'!$I$31,(HLOOKUP($D104,$E$4:$CZ$32,28,FALSE)*'Incremental Repayments'!$I$22)),0),0)</f>
        <v>0</v>
      </c>
      <c r="N104" s="783">
        <f>IF('Incremental Repayments'!$R$22="Debt",IF(AND(N$4&gt;=$D104,N$4&lt;$D104+'Incremental Repayments'!$I$31),-PMT('Interest Rate'!$J$16,'Incremental Repayments'!$I$31,(HLOOKUP($D104,$E$4:$CZ$32,28,FALSE)*'Incremental Repayments'!$I$22)),0),0)</f>
        <v>0</v>
      </c>
      <c r="O104" s="783">
        <f>IF('Incremental Repayments'!$R$22="Debt",IF(AND(O$4&gt;=$D104,O$4&lt;$D104+'Incremental Repayments'!$I$31),-PMT('Interest Rate'!$J$16,'Incremental Repayments'!$I$31,(HLOOKUP($D104,$E$4:$CZ$32,28,FALSE)*'Incremental Repayments'!$I$22)),0),0)</f>
        <v>0</v>
      </c>
      <c r="P104" s="783">
        <f>IF('Incremental Repayments'!$R$22="Debt",IF(AND(P$4&gt;=$D104,P$4&lt;$D104+'Incremental Repayments'!$I$31),-PMT('Interest Rate'!$J$16,'Incremental Repayments'!$I$31,(HLOOKUP($D104,$E$4:$CZ$32,28,FALSE)*'Incremental Repayments'!$I$22)),0),0)</f>
        <v>0</v>
      </c>
      <c r="Q104" s="783">
        <f>IF('Incremental Repayments'!$R$22="Debt",IF(AND(Q$4&gt;=$D104,Q$4&lt;$D104+'Incremental Repayments'!$I$31),-PMT('Interest Rate'!$J$16,'Incremental Repayments'!$I$31,(HLOOKUP($D104,$E$4:$CZ$32,28,FALSE)*'Incremental Repayments'!$I$22)),0),0)</f>
        <v>0</v>
      </c>
      <c r="R104" s="783">
        <f>IF('Incremental Repayments'!$R$22="Debt",IF(AND(R$4&gt;=$D104,R$4&lt;$D104+'Incremental Repayments'!$I$31),-PMT('Interest Rate'!$J$16,'Incremental Repayments'!$I$31,(HLOOKUP($D104,$E$4:$CZ$32,28,FALSE)*'Incremental Repayments'!$I$22)),0),0)</f>
        <v>0</v>
      </c>
      <c r="S104" s="783">
        <f>IF('Incremental Repayments'!$R$22="Debt",IF(AND(S$4&gt;=$D104,S$4&lt;$D104+'Incremental Repayments'!$I$31),-PMT('Interest Rate'!$J$16,'Incremental Repayments'!$I$31,(HLOOKUP($D104,$E$4:$CZ$32,28,FALSE)*'Incremental Repayments'!$I$22)),0),0)</f>
        <v>0</v>
      </c>
      <c r="T104" s="783">
        <f>IF('Incremental Repayments'!$R$22="Debt",IF(AND(T$4&gt;=$D104,T$4&lt;$D104+'Incremental Repayments'!$I$31),-PMT('Interest Rate'!$J$16,'Incremental Repayments'!$I$31,(HLOOKUP($D104,$E$4:$CZ$32,28,FALSE)*'Incremental Repayments'!$I$22)),0),0)</f>
        <v>0</v>
      </c>
      <c r="U104" s="783">
        <f>IF('Incremental Repayments'!$R$22="Debt",IF(AND(U$4&gt;=$D104,U$4&lt;$D104+'Incremental Repayments'!$I$31),-PMT('Interest Rate'!$J$16,'Incremental Repayments'!$I$31,(HLOOKUP($D104,$E$4:$CZ$32,28,FALSE)*'Incremental Repayments'!$I$22)),0),0)</f>
        <v>0</v>
      </c>
      <c r="V104" s="783">
        <f>IF('Incremental Repayments'!$R$22="Debt",IF(AND(V$4&gt;=$D104,V$4&lt;$D104+'Incremental Repayments'!$I$31),-PMT('Interest Rate'!$J$16,'Incremental Repayments'!$I$31,(HLOOKUP($D104,$E$4:$CZ$32,28,FALSE)*'Incremental Repayments'!$I$22)),0),0)</f>
        <v>0</v>
      </c>
      <c r="W104" s="783">
        <f>IF('Incremental Repayments'!$R$22="Debt",IF(AND(W$4&gt;=$D104,W$4&lt;$D104+'Incremental Repayments'!$I$31),-PMT('Interest Rate'!$J$16,'Incremental Repayments'!$I$31,(HLOOKUP($D104,$E$4:$CZ$32,28,FALSE)*'Incremental Repayments'!$I$22)),0),0)</f>
        <v>0</v>
      </c>
      <c r="X104" s="783">
        <f>IF('Incremental Repayments'!$R$22="Debt",IF(AND(X$4&gt;=$D104,X$4&lt;$D104+'Incremental Repayments'!$I$31),-PMT('Interest Rate'!$J$16,'Incremental Repayments'!$I$31,(HLOOKUP($D104,$E$4:$CZ$32,28,FALSE)*'Incremental Repayments'!$I$22)),0),0)</f>
        <v>0</v>
      </c>
      <c r="Y104" s="783">
        <f>IF('Incremental Repayments'!$R$22="Debt",IF(AND(Y$4&gt;=$D104,Y$4&lt;$D104+'Incremental Repayments'!$I$31),-PMT('Interest Rate'!$J$16,'Incremental Repayments'!$I$31,(HLOOKUP($D104,$E$4:$CZ$32,28,FALSE)*'Incremental Repayments'!$I$22)),0),0)</f>
        <v>0</v>
      </c>
      <c r="Z104" s="783">
        <f>IF('Incremental Repayments'!$R$22="Debt",IF(AND(Z$4&gt;=$D104,Z$4&lt;$D104+'Incremental Repayments'!$I$31),-PMT('Interest Rate'!$J$16,'Incremental Repayments'!$I$31,(HLOOKUP($D104,$E$4:$CZ$32,28,FALSE)*'Incremental Repayments'!$I$22)),0),0)</f>
        <v>0</v>
      </c>
      <c r="AA104" s="783">
        <f>IF('Incremental Repayments'!$R$22="Debt",IF(AND(AA$4&gt;=$D104,AA$4&lt;$D104+'Incremental Repayments'!$I$31),-PMT('Interest Rate'!$J$16,'Incremental Repayments'!$I$31,(HLOOKUP($D104,$E$4:$CZ$32,28,FALSE)*'Incremental Repayments'!$I$22)),0),0)</f>
        <v>0</v>
      </c>
      <c r="AB104" s="783">
        <f>IF('Incremental Repayments'!$R$22="Debt",IF(AND(AB$4&gt;=$D104,AB$4&lt;$D104+'Incremental Repayments'!$I$31),-PMT('Interest Rate'!$J$16,'Incremental Repayments'!$I$31,(HLOOKUP($D104,$E$4:$CZ$32,28,FALSE)*'Incremental Repayments'!$I$22)),0),0)</f>
        <v>0</v>
      </c>
      <c r="AC104" s="783">
        <f>IF('Incremental Repayments'!$R$22="Debt",IF(AND(AC$4&gt;=$D104,AC$4&lt;$D104+'Incremental Repayments'!$I$31),-PMT('Interest Rate'!$J$16,'Incremental Repayments'!$I$31,(HLOOKUP($D104,$E$4:$CZ$32,28,FALSE)*'Incremental Repayments'!$I$22)),0),0)</f>
        <v>0</v>
      </c>
      <c r="AD104" s="783">
        <f>IF('Incremental Repayments'!$R$22="Debt",IF(AND(AD$4&gt;=$D104,AD$4&lt;$D104+'Incremental Repayments'!$I$31),-PMT('Interest Rate'!$J$16,'Incremental Repayments'!$I$31,(HLOOKUP($D104,$E$4:$CZ$32,28,FALSE)*'Incremental Repayments'!$I$22)),0),0)</f>
        <v>0</v>
      </c>
      <c r="AE104" s="783">
        <f>IF('Incremental Repayments'!$R$22="Debt",IF(AND(AE$4&gt;=$D104,AE$4&lt;$D104+'Incremental Repayments'!$I$31),-PMT('Interest Rate'!$J$16,'Incremental Repayments'!$I$31,(HLOOKUP($D104,$E$4:$CZ$32,28,FALSE)*'Incremental Repayments'!$I$22)),0),0)</f>
        <v>0</v>
      </c>
      <c r="AF104" s="783">
        <f>IF('Incremental Repayments'!$R$22="Debt",IF(AND(AF$4&gt;=$D104,AF$4&lt;$D104+'Incremental Repayments'!$I$31),-PMT('Interest Rate'!$J$16,'Incremental Repayments'!$I$31,(HLOOKUP($D104,$E$4:$CZ$32,28,FALSE)*'Incremental Repayments'!$I$22)),0),0)</f>
        <v>0</v>
      </c>
      <c r="AG104" s="783">
        <f>IF('Incremental Repayments'!$R$22="Debt",IF(AND(AG$4&gt;=$D104,AG$4&lt;$D104+'Incremental Repayments'!$I$31),-PMT('Interest Rate'!$J$16,'Incremental Repayments'!$I$31,(HLOOKUP($D104,$E$4:$CZ$32,28,FALSE)*'Incremental Repayments'!$I$22)),0),0)</f>
        <v>0</v>
      </c>
      <c r="AH104" s="783">
        <f>IF('Incremental Repayments'!$R$22="Debt",IF(AND(AH$4&gt;=$D104,AH$4&lt;$D104+'Incremental Repayments'!$I$31),-PMT('Interest Rate'!$J$16,'Incremental Repayments'!$I$31,(HLOOKUP($D104,$E$4:$CZ$32,28,FALSE)*'Incremental Repayments'!$I$22)),0),0)</f>
        <v>0</v>
      </c>
      <c r="AI104" s="783">
        <f>IF('Incremental Repayments'!$R$22="Debt",IF(AND(AI$4&gt;=$D104,AI$4&lt;$D104+'Incremental Repayments'!$I$31),-PMT('Interest Rate'!$J$16,'Incremental Repayments'!$I$31,(HLOOKUP($D104,$E$4:$CZ$32,28,FALSE)*'Incremental Repayments'!$I$22)),0),0)</f>
        <v>0</v>
      </c>
      <c r="AJ104" s="783">
        <f>IF('Incremental Repayments'!$R$22="Debt",IF(AND(AJ$4&gt;=$D104,AJ$4&lt;$D104+'Incremental Repayments'!$I$31),-PMT('Interest Rate'!$J$16,'Incremental Repayments'!$I$31,(HLOOKUP($D104,$E$4:$CZ$32,28,FALSE)*'Incremental Repayments'!$I$22)),0),0)</f>
        <v>0</v>
      </c>
      <c r="AK104" s="783">
        <f>IF('Incremental Repayments'!$R$22="Debt",IF(AND(AK$4&gt;=$D104,AK$4&lt;$D104+'Incremental Repayments'!$I$31),-PMT('Interest Rate'!$J$16,'Incremental Repayments'!$I$31,(HLOOKUP($D104,$E$4:$CZ$32,28,FALSE)*'Incremental Repayments'!$I$22)),0),0)</f>
        <v>0</v>
      </c>
      <c r="AL104" s="783">
        <f>IF('Incremental Repayments'!$R$22="Debt",IF(AND(AL$4&gt;=$D104,AL$4&lt;$D104+'Incremental Repayments'!$I$31),-PMT('Interest Rate'!$J$16,'Incremental Repayments'!$I$31,(HLOOKUP($D104,$E$4:$CZ$32,28,FALSE)*'Incremental Repayments'!$I$22)),0),0)</f>
        <v>0</v>
      </c>
      <c r="AM104" s="783">
        <f>IF('Incremental Repayments'!$R$22="Debt",IF(AND(AM$4&gt;=$D104,AM$4&lt;$D104+'Incremental Repayments'!$I$31),-PMT('Interest Rate'!$J$16,'Incremental Repayments'!$I$31,(HLOOKUP($D104,$E$4:$CZ$32,28,FALSE)*'Incremental Repayments'!$I$22)),0),0)</f>
        <v>0</v>
      </c>
      <c r="AN104" s="783">
        <f>IF('Incremental Repayments'!$R$22="Debt",IF(AND(AN$4&gt;=$D104,AN$4&lt;$D104+'Incremental Repayments'!$I$31),-PMT('Interest Rate'!$J$16,'Incremental Repayments'!$I$31,(HLOOKUP($D104,$E$4:$CZ$32,28,FALSE)*'Incremental Repayments'!$I$22)),0),0)</f>
        <v>0</v>
      </c>
      <c r="AO104" s="783">
        <f>IF('Incremental Repayments'!$R$22="Debt",IF(AND(AO$4&gt;=$D104,AO$4&lt;$D104+'Incremental Repayments'!$I$31),-PMT('Interest Rate'!$J$16,'Incremental Repayments'!$I$31,(HLOOKUP($D104,$E$4:$CZ$32,28,FALSE)*'Incremental Repayments'!$I$22)),0),0)</f>
        <v>0</v>
      </c>
      <c r="AP104" s="783">
        <f>IF('Incremental Repayments'!$R$22="Debt",IF(AND(AP$4&gt;=$D104,AP$4&lt;$D104+'Incremental Repayments'!$I$31),-PMT('Interest Rate'!$J$16,'Incremental Repayments'!$I$31,(HLOOKUP($D104,$E$4:$CZ$32,28,FALSE)*'Incremental Repayments'!$I$22)),0),0)</f>
        <v>0</v>
      </c>
      <c r="AQ104" s="783">
        <f>IF('Incremental Repayments'!$R$22="Debt",IF(AND(AQ$4&gt;=$D104,AQ$4&lt;$D104+'Incremental Repayments'!$I$31),-PMT('Interest Rate'!$J$16,'Incremental Repayments'!$I$31,(HLOOKUP($D104,$E$4:$CZ$32,28,FALSE)*'Incremental Repayments'!$I$22)),0),0)</f>
        <v>0</v>
      </c>
      <c r="AR104" s="783">
        <f>IF('Incremental Repayments'!$R$22="Debt",IF(AND(AR$4&gt;=$D104,AR$4&lt;$D104+'Incremental Repayments'!$I$31),-PMT('Interest Rate'!$J$16,'Incremental Repayments'!$I$31,(HLOOKUP($D104,$E$4:$CZ$32,28,FALSE)*'Incremental Repayments'!$I$22)),0),0)</f>
        <v>0</v>
      </c>
      <c r="AS104" s="783">
        <f>IF('Incremental Repayments'!$R$22="Debt",IF(AND(AS$4&gt;=$D104,AS$4&lt;$D104+'Incremental Repayments'!$I$31),-PMT('Interest Rate'!$J$16,'Incremental Repayments'!$I$31,(HLOOKUP($D104,$E$4:$CZ$32,28,FALSE)*'Incremental Repayments'!$I$22)),0),0)</f>
        <v>0</v>
      </c>
      <c r="AT104" s="783">
        <f>IF('Incremental Repayments'!$R$22="Debt",IF(AND(AT$4&gt;=$D104,AT$4&lt;$D104+'Incremental Repayments'!$I$31),-PMT('Interest Rate'!$J$16,'Incremental Repayments'!$I$31,(HLOOKUP($D104,$E$4:$CZ$32,28,FALSE)*'Incremental Repayments'!$I$22)),0),0)</f>
        <v>0</v>
      </c>
      <c r="AU104" s="783">
        <f>IF('Incremental Repayments'!$R$22="Debt",IF(AND(AU$4&gt;=$D104,AU$4&lt;$D104+'Incremental Repayments'!$I$31),-PMT('Interest Rate'!$J$16,'Incremental Repayments'!$I$31,(HLOOKUP($D104,$E$4:$CZ$32,28,FALSE)*'Incremental Repayments'!$I$22)),0),0)</f>
        <v>0</v>
      </c>
      <c r="AV104" s="783">
        <f>IF('Incremental Repayments'!$R$22="Debt",IF(AND(AV$4&gt;=$D104,AV$4&lt;$D104+'Incremental Repayments'!$I$31),-PMT('Interest Rate'!$J$16,'Incremental Repayments'!$I$31,(HLOOKUP($D104,$E$4:$CZ$32,28,FALSE)*'Incremental Repayments'!$I$22)),0),0)</f>
        <v>0</v>
      </c>
      <c r="AW104" s="783">
        <f>IF('Incremental Repayments'!$R$22="Debt",IF(AND(AW$4&gt;=$D104,AW$4&lt;$D104+'Incremental Repayments'!$I$31),-PMT('Interest Rate'!$J$16,'Incremental Repayments'!$I$31,(HLOOKUP($D104,$E$4:$CZ$32,28,FALSE)*'Incremental Repayments'!$I$22)),0),0)</f>
        <v>0</v>
      </c>
      <c r="AX104" s="783">
        <f>IF('Incremental Repayments'!$R$22="Debt",IF(AND(AX$4&gt;=$D104,AX$4&lt;$D104+'Incremental Repayments'!$I$31),-PMT('Interest Rate'!$J$16,'Incremental Repayments'!$I$31,(HLOOKUP($D104,$E$4:$CZ$32,28,FALSE)*'Incremental Repayments'!$I$22)),0),0)</f>
        <v>0</v>
      </c>
      <c r="AY104" s="783">
        <f>IF('Incremental Repayments'!$R$22="Debt",IF(AND(AY$4&gt;=$D104,AY$4&lt;$D104+'Incremental Repayments'!$I$31),-PMT('Interest Rate'!$J$16,'Incremental Repayments'!$I$31,(HLOOKUP($D104,$E$4:$CZ$32,28,FALSE)*'Incremental Repayments'!$I$22)),0),0)</f>
        <v>0</v>
      </c>
      <c r="AZ104" s="783">
        <f>IF('Incremental Repayments'!$R$22="Debt",IF(AND(AZ$4&gt;=$D104,AZ$4&lt;$D104+'Incremental Repayments'!$I$31),-PMT('Interest Rate'!$J$16,'Incremental Repayments'!$I$31,(HLOOKUP($D104,$E$4:$CZ$32,28,FALSE)*'Incremental Repayments'!$I$22)),0),0)</f>
        <v>0</v>
      </c>
      <c r="BA104" s="783">
        <f>IF('Incremental Repayments'!$R$22="Debt",IF(AND(BA$4&gt;=$D104,BA$4&lt;$D104+'Incremental Repayments'!$I$31),-PMT('Interest Rate'!$J$16,'Incremental Repayments'!$I$31,(HLOOKUP($D104,$E$4:$CZ$32,28,FALSE)*'Incremental Repayments'!$I$22)),0),0)</f>
        <v>0</v>
      </c>
      <c r="BB104" s="783">
        <f>IF('Incremental Repayments'!$R$22="Debt",IF(AND(BB$4&gt;=$D104,BB$4&lt;$D104+'Incremental Repayments'!$I$31),-PMT('Interest Rate'!$J$16,'Incremental Repayments'!$I$31,(HLOOKUP($D104,$E$4:$CZ$32,28,FALSE)*'Incremental Repayments'!$I$22)),0),0)</f>
        <v>0</v>
      </c>
      <c r="BC104" s="783">
        <f>IF('Incremental Repayments'!$R$22="Debt",IF(AND(BC$4&gt;=$D104,BC$4&lt;$D104+'Incremental Repayments'!$I$31),-PMT('Interest Rate'!$J$16,'Incremental Repayments'!$I$31,(HLOOKUP($D104,$E$4:$CZ$32,28,FALSE)*'Incremental Repayments'!$I$22)),0),0)</f>
        <v>0</v>
      </c>
      <c r="BD104" s="783">
        <f>IF('Incremental Repayments'!$R$22="Debt",IF(AND(BD$4&gt;=$D104,BD$4&lt;$D104+'Incremental Repayments'!$I$31),-PMT('Interest Rate'!$J$16,'Incremental Repayments'!$I$31,(HLOOKUP($D104,$E$4:$CZ$32,28,FALSE)*'Incremental Repayments'!$I$22)),0),0)</f>
        <v>0</v>
      </c>
      <c r="BE104" s="783">
        <f>IF('Incremental Repayments'!$R$22="Debt",IF(AND(BE$4&gt;=$D104,BE$4&lt;$D104+'Incremental Repayments'!$I$31),-PMT('Interest Rate'!$J$16,'Incremental Repayments'!$I$31,(HLOOKUP($D104,$E$4:$CZ$32,28,FALSE)*'Incremental Repayments'!$I$22)),0),0)</f>
        <v>0</v>
      </c>
      <c r="BF104" s="783">
        <f>IF('Incremental Repayments'!$R$22="Debt",IF(AND(BF$4&gt;=$D104,BF$4&lt;$D104+'Incremental Repayments'!$I$31),-PMT('Interest Rate'!$J$16,'Incremental Repayments'!$I$31,(HLOOKUP($D104,$E$4:$CZ$32,28,FALSE)*'Incremental Repayments'!$I$22)),0),0)</f>
        <v>0</v>
      </c>
      <c r="BG104" s="783">
        <f>IF('Incremental Repayments'!$R$22="Debt",IF(AND(BG$4&gt;=$D104,BG$4&lt;$D104+'Incremental Repayments'!$I$31),-PMT('Interest Rate'!$J$16,'Incremental Repayments'!$I$31,(HLOOKUP($D104,$E$4:$CZ$32,28,FALSE)*'Incremental Repayments'!$I$22)),0),0)</f>
        <v>0</v>
      </c>
      <c r="BH104" s="783">
        <f>IF('Incremental Repayments'!$R$22="Debt",IF(AND(BH$4&gt;=$D104,BH$4&lt;$D104+'Incremental Repayments'!$I$31),-PMT('Interest Rate'!$J$16,'Incremental Repayments'!$I$31,(HLOOKUP($D104,$E$4:$CZ$32,28,FALSE)*'Incremental Repayments'!$I$22)),0),0)</f>
        <v>0</v>
      </c>
      <c r="BI104" s="783">
        <f>IF('Incremental Repayments'!$R$22="Debt",IF(AND(BI$4&gt;=$D104,BI$4&lt;$D104+'Incremental Repayments'!$I$31),-PMT('Interest Rate'!$J$16,'Incremental Repayments'!$I$31,(HLOOKUP($D104,$E$4:$CZ$32,28,FALSE)*'Incremental Repayments'!$I$22)),0),0)</f>
        <v>0</v>
      </c>
      <c r="BJ104" s="783">
        <f>IF('Incremental Repayments'!$R$22="Debt",IF(AND(BJ$4&gt;=$D104,BJ$4&lt;$D104+'Incremental Repayments'!$I$31),-PMT('Interest Rate'!$J$16,'Incremental Repayments'!$I$31,(HLOOKUP($D104,$E$4:$CZ$32,28,FALSE)*'Incremental Repayments'!$I$22)),0),0)</f>
        <v>0</v>
      </c>
      <c r="BK104" s="783">
        <f>IF('Incremental Repayments'!$R$22="Debt",IF(AND(BK$4&gt;=$D104,BK$4&lt;$D104+'Incremental Repayments'!$I$31),-PMT('Interest Rate'!$J$16,'Incremental Repayments'!$I$31,(HLOOKUP($D104,$E$4:$CZ$32,28,FALSE)*'Incremental Repayments'!$I$22)),0),0)</f>
        <v>0</v>
      </c>
      <c r="BL104" s="783">
        <f>IF('Incremental Repayments'!$R$22="Debt",IF(AND(BL$4&gt;=$D104,BL$4&lt;$D104+'Incremental Repayments'!$I$31),-PMT('Interest Rate'!$J$16,'Incremental Repayments'!$I$31,(HLOOKUP($D104,$E$4:$CZ$32,28,FALSE)*'Incremental Repayments'!$I$22)),0),0)</f>
        <v>0</v>
      </c>
      <c r="BM104" s="783">
        <f>IF('Incremental Repayments'!$R$22="Debt",IF(AND(BM$4&gt;=$D104,BM$4&lt;$D104+'Incremental Repayments'!$I$31),-PMT('Interest Rate'!$J$16,'Incremental Repayments'!$I$31,(HLOOKUP($D104,$E$4:$CZ$32,28,FALSE)*'Incremental Repayments'!$I$22)),0),0)</f>
        <v>0</v>
      </c>
      <c r="BN104" s="783">
        <f>IF('Incremental Repayments'!$R$22="Debt",IF(AND(BN$4&gt;=$D104,BN$4&lt;$D104+'Incremental Repayments'!$I$31),-PMT('Interest Rate'!$J$16,'Incremental Repayments'!$I$31,(HLOOKUP($D104,$E$4:$CZ$32,28,FALSE)*'Incremental Repayments'!$I$22)),0),0)</f>
        <v>0</v>
      </c>
      <c r="BO104" s="783">
        <f>IF('Incremental Repayments'!$R$22="Debt",IF(AND(BO$4&gt;=$D104,BO$4&lt;$D104+'Incremental Repayments'!$I$31),-PMT('Interest Rate'!$J$16,'Incremental Repayments'!$I$31,(HLOOKUP($D104,$E$4:$CZ$32,28,FALSE)*'Incremental Repayments'!$I$22)),0),0)</f>
        <v>0</v>
      </c>
      <c r="BP104" s="783">
        <f>IF('Incremental Repayments'!$R$22="Debt",IF(AND(BP$4&gt;=$D104,BP$4&lt;$D104+'Incremental Repayments'!$I$31),-PMT('Interest Rate'!$J$16,'Incremental Repayments'!$I$31,(HLOOKUP($D104,$E$4:$CZ$32,28,FALSE)*'Incremental Repayments'!$I$22)),0),0)</f>
        <v>0</v>
      </c>
      <c r="BQ104" s="783">
        <f>IF('Incremental Repayments'!$R$22="Debt",IF(AND(BQ$4&gt;=$D104,BQ$4&lt;$D104+'Incremental Repayments'!$I$31),-PMT('Interest Rate'!$J$16,'Incremental Repayments'!$I$31,(HLOOKUP($D104,$E$4:$CZ$32,28,FALSE)*'Incremental Repayments'!$I$22)),0),0)</f>
        <v>0</v>
      </c>
      <c r="BR104" s="783">
        <f>IF('Incremental Repayments'!$R$22="Debt",IF(AND(BR$4&gt;=$D104,BR$4&lt;$D104+'Incremental Repayments'!$I$31),-PMT('Interest Rate'!$J$16,'Incremental Repayments'!$I$31,(HLOOKUP($D104,$E$4:$CZ$32,28,FALSE)*'Incremental Repayments'!$I$22)),0),0)</f>
        <v>0</v>
      </c>
      <c r="BS104" s="783">
        <f>IF('Incremental Repayments'!$R$22="Debt",IF(AND(BS$4&gt;=$D104,BS$4&lt;$D104+'Incremental Repayments'!$I$31),-PMT('Interest Rate'!$J$16,'Incremental Repayments'!$I$31,(HLOOKUP($D104,$E$4:$CZ$32,28,FALSE)*'Incremental Repayments'!$I$22)),0),0)</f>
        <v>0</v>
      </c>
      <c r="BT104" s="783">
        <f>IF('Incremental Repayments'!$R$22="Debt",IF(AND(BT$4&gt;=$D104,BT$4&lt;$D104+'Incremental Repayments'!$I$31),-PMT('Interest Rate'!$J$16,'Incremental Repayments'!$I$31,(HLOOKUP($D104,$E$4:$CZ$32,28,FALSE)*'Incremental Repayments'!$I$22)),0),0)</f>
        <v>0</v>
      </c>
      <c r="BU104" s="783">
        <f>IF('Incremental Repayments'!$R$22="Debt",IF(AND(BU$4&gt;=$D104,BU$4&lt;$D104+'Incremental Repayments'!$I$31),-PMT('Interest Rate'!$J$16,'Incremental Repayments'!$I$31,(HLOOKUP($D104,$E$4:$CZ$32,28,FALSE)*'Incremental Repayments'!$I$22)),0),0)</f>
        <v>0</v>
      </c>
      <c r="BV104" s="783">
        <f>IF('Incremental Repayments'!$R$22="Debt",IF(AND(BV$4&gt;=$D104,BV$4&lt;$D104+'Incremental Repayments'!$I$31),-PMT('Interest Rate'!$J$16,'Incremental Repayments'!$I$31,(HLOOKUP($D104,$E$4:$CZ$32,28,FALSE)*'Incremental Repayments'!$I$22)),0),0)</f>
        <v>0</v>
      </c>
      <c r="BW104" s="783">
        <f>IF('Incremental Repayments'!$R$22="Debt",IF(AND(BW$4&gt;=$D104,BW$4&lt;$D104+'Incremental Repayments'!$I$31),-PMT('Interest Rate'!$J$16,'Incremental Repayments'!$I$31,(HLOOKUP($D104,$E$4:$CZ$32,28,FALSE)*'Incremental Repayments'!$I$22)),0),0)</f>
        <v>0</v>
      </c>
      <c r="BX104" s="783">
        <f>IF('Incremental Repayments'!$R$22="Debt",IF(AND(BX$4&gt;=$D104,BX$4&lt;$D104+'Incremental Repayments'!$I$31),-PMT('Interest Rate'!$J$16,'Incremental Repayments'!$I$31,(HLOOKUP($D104,$E$4:$CZ$32,28,FALSE)*'Incremental Repayments'!$I$22)),0),0)</f>
        <v>0</v>
      </c>
      <c r="BY104" s="783">
        <f>IF('Incremental Repayments'!$R$22="Debt",IF(AND(BY$4&gt;=$D104,BY$4&lt;$D104+'Incremental Repayments'!$I$31),-PMT('Interest Rate'!$J$16,'Incremental Repayments'!$I$31,(HLOOKUP($D104,$E$4:$CZ$32,28,FALSE)*'Incremental Repayments'!$I$22)),0),0)</f>
        <v>0</v>
      </c>
      <c r="BZ104" s="783">
        <f>IF('Incremental Repayments'!$R$22="Debt",IF(AND(BZ$4&gt;=$D104,BZ$4&lt;$D104+'Incremental Repayments'!$I$31),-PMT('Interest Rate'!$J$16,'Incremental Repayments'!$I$31,(HLOOKUP($D104,$E$4:$CZ$32,28,FALSE)*'Incremental Repayments'!$I$22)),0),0)</f>
        <v>0</v>
      </c>
      <c r="CA104" s="783">
        <f>IF('Incremental Repayments'!$R$22="Debt",IF(AND(CA$4&gt;=$D104,CA$4&lt;$D104+'Incremental Repayments'!$I$31),-PMT('Interest Rate'!$J$16,'Incremental Repayments'!$I$31,(HLOOKUP($D104,$E$4:$CZ$32,28,FALSE)*'Incremental Repayments'!$I$22)),0),0)</f>
        <v>0</v>
      </c>
      <c r="CB104" s="783">
        <f>IF('Incremental Repayments'!$R$22="Debt",IF(AND(CB$4&gt;=$D104,CB$4&lt;$D104+'Incremental Repayments'!$I$31),-PMT('Interest Rate'!$J$16,'Incremental Repayments'!$I$31,(HLOOKUP($D104,$E$4:$CZ$32,28,FALSE)*'Incremental Repayments'!$I$22)),0),0)</f>
        <v>0</v>
      </c>
      <c r="CC104" s="783">
        <f>IF('Incremental Repayments'!$R$22="Debt",IF(AND(CC$4&gt;=$D104,CC$4&lt;$D104+'Incremental Repayments'!$I$31),-PMT('Interest Rate'!$J$16,'Incremental Repayments'!$I$31,(HLOOKUP($D104,$E$4:$CZ$32,28,FALSE)*'Incremental Repayments'!$I$22)),0),0)</f>
        <v>0</v>
      </c>
      <c r="CD104" s="783">
        <f>IF('Incremental Repayments'!$R$22="Debt",IF(AND(CD$4&gt;=$D104,CD$4&lt;$D104+'Incremental Repayments'!$I$31),-PMT('Interest Rate'!$J$16,'Incremental Repayments'!$I$31,(HLOOKUP($D104,$E$4:$CZ$32,28,FALSE)*'Incremental Repayments'!$I$22)),0),0)</f>
        <v>0</v>
      </c>
      <c r="CE104" s="783">
        <f>IF('Incremental Repayments'!$R$22="Debt",IF(AND(CE$4&gt;=$D104,CE$4&lt;$D104+'Incremental Repayments'!$I$31),-PMT('Interest Rate'!$J$16,'Incremental Repayments'!$I$31,(HLOOKUP($D104,$E$4:$CZ$32,28,FALSE)*'Incremental Repayments'!$I$22)),0),0)</f>
        <v>0</v>
      </c>
      <c r="CF104" s="783">
        <f>IF('Incremental Repayments'!$R$22="Debt",IF(AND(CF$4&gt;=$D104,CF$4&lt;$D104+'Incremental Repayments'!$I$31),-PMT('Interest Rate'!$J$16,'Incremental Repayments'!$I$31,(HLOOKUP($D104,$E$4:$CZ$32,28,FALSE)*'Incremental Repayments'!$I$22)),0),0)</f>
        <v>0</v>
      </c>
      <c r="CG104" s="783">
        <f>IF('Incremental Repayments'!$R$22="Debt",IF(AND(CG$4&gt;=$D104,CG$4&lt;$D104+'Incremental Repayments'!$I$31),-PMT('Interest Rate'!$J$16,'Incremental Repayments'!$I$31,(HLOOKUP($D104,$E$4:$CZ$32,28,FALSE)*'Incremental Repayments'!$I$22)),0),0)</f>
        <v>0</v>
      </c>
      <c r="CH104" s="783">
        <f>IF('Incremental Repayments'!$R$22="Debt",IF(AND(CH$4&gt;=$D104,CH$4&lt;$D104+'Incremental Repayments'!$I$31),-PMT('Interest Rate'!$J$16,'Incremental Repayments'!$I$31,(HLOOKUP($D104,$E$4:$CZ$32,28,FALSE)*'Incremental Repayments'!$I$22)),0),0)</f>
        <v>0</v>
      </c>
      <c r="CI104" s="783">
        <f>IF('Incremental Repayments'!$R$22="Debt",IF(AND(CI$4&gt;=$D104,CI$4&lt;$D104+'Incremental Repayments'!$I$31),-PMT('Interest Rate'!$J$16,'Incremental Repayments'!$I$31,(HLOOKUP($D104,$E$4:$CZ$32,28,FALSE)*'Incremental Repayments'!$I$22)),0),0)</f>
        <v>0</v>
      </c>
      <c r="CJ104" s="783">
        <f>IF('Incremental Repayments'!$R$22="Debt",IF(AND(CJ$4&gt;=$D104,CJ$4&lt;$D104+'Incremental Repayments'!$I$31),-PMT('Interest Rate'!$J$16,'Incremental Repayments'!$I$31,(HLOOKUP($D104,$E$4:$CZ$32,28,FALSE)*'Incremental Repayments'!$I$22)),0),0)</f>
        <v>0</v>
      </c>
      <c r="CK104" s="783">
        <f>IF('Incremental Repayments'!$R$22="Debt",IF(AND(CK$4&gt;=$D104,CK$4&lt;$D104+'Incremental Repayments'!$I$31),-PMT('Interest Rate'!$J$16,'Incremental Repayments'!$I$31,(HLOOKUP($D104,$E$4:$CZ$32,28,FALSE)*'Incremental Repayments'!$I$22)),0),0)</f>
        <v>0</v>
      </c>
      <c r="CL104" s="783">
        <f>IF('Incremental Repayments'!$R$22="Debt",IF(AND(CL$4&gt;=$D104,CL$4&lt;$D104+'Incremental Repayments'!$I$31),-PMT('Interest Rate'!$J$16,'Incremental Repayments'!$I$31,(HLOOKUP($D104,$E$4:$CZ$32,28,FALSE)*'Incremental Repayments'!$I$22)),0),0)</f>
        <v>0</v>
      </c>
      <c r="CM104" s="783">
        <f>IF('Incremental Repayments'!$R$22="Debt",IF(AND(CM$4&gt;=$D104,CM$4&lt;$D104+'Incremental Repayments'!$I$31),-PMT('Interest Rate'!$J$16,'Incremental Repayments'!$I$31,(HLOOKUP($D104,$E$4:$CZ$32,28,FALSE)*'Incremental Repayments'!$I$22)),0),0)</f>
        <v>0</v>
      </c>
      <c r="CN104" s="783">
        <f>IF('Incremental Repayments'!$R$22="Debt",IF(AND(CN$4&gt;=$D104,CN$4&lt;$D104+'Incremental Repayments'!$I$31),-PMT('Interest Rate'!$J$16,'Incremental Repayments'!$I$31,(HLOOKUP($D104,$E$4:$CZ$32,28,FALSE)*'Incremental Repayments'!$I$22)),0),0)</f>
        <v>0</v>
      </c>
      <c r="CO104" s="783">
        <f>IF('Incremental Repayments'!$R$22="Debt",IF(AND(CO$4&gt;=$D104,CO$4&lt;$D104+'Incremental Repayments'!$I$31),-PMT('Interest Rate'!$J$16,'Incremental Repayments'!$I$31,(HLOOKUP($D104,$E$4:$CZ$32,28,FALSE)*'Incremental Repayments'!$I$22)),0),0)</f>
        <v>0</v>
      </c>
      <c r="CP104" s="783">
        <f>IF('Incremental Repayments'!$R$22="Debt",IF(AND(CP$4&gt;=$D104,CP$4&lt;$D104+'Incremental Repayments'!$I$31),-PMT('Interest Rate'!$J$16,'Incremental Repayments'!$I$31,(HLOOKUP($D104,$E$4:$CZ$32,28,FALSE)*'Incremental Repayments'!$I$22)),0),0)</f>
        <v>0</v>
      </c>
      <c r="CQ104" s="783">
        <f>IF('Incremental Repayments'!$R$22="Debt",IF(AND(CQ$4&gt;=$D104,CQ$4&lt;$D104+'Incremental Repayments'!$I$31),-PMT('Interest Rate'!$J$16,'Incremental Repayments'!$I$31,(HLOOKUP($D104,$E$4:$CZ$32,28,FALSE)*'Incremental Repayments'!$I$22)),0),0)</f>
        <v>0</v>
      </c>
      <c r="CR104" s="783">
        <f>IF('Incremental Repayments'!$R$22="Debt",IF(AND(CR$4&gt;=$D104,CR$4&lt;$D104+'Incremental Repayments'!$I$31),-PMT('Interest Rate'!$J$16,'Incremental Repayments'!$I$31,(HLOOKUP($D104,$E$4:$CZ$32,28,FALSE)*'Incremental Repayments'!$I$22)),0),0)</f>
        <v>0</v>
      </c>
      <c r="CS104" s="783">
        <f>IF('Incremental Repayments'!$R$22="Debt",IF(AND(CS$4&gt;=$D104,CS$4&lt;$D104+'Incremental Repayments'!$I$31),-PMT('Interest Rate'!$J$16,'Incremental Repayments'!$I$31,(HLOOKUP($D104,$E$4:$CZ$32,28,FALSE)*'Incremental Repayments'!$I$22)),0),0)</f>
        <v>0</v>
      </c>
      <c r="CT104" s="783">
        <f>IF('Incremental Repayments'!$R$22="Debt",IF(AND(CT$4&gt;=$D104,CT$4&lt;$D104+'Incremental Repayments'!$I$31),-PMT('Interest Rate'!$J$16,'Incremental Repayments'!$I$31,(HLOOKUP($D104,$E$4:$CZ$32,28,FALSE)*'Incremental Repayments'!$I$22)),0),0)</f>
        <v>0</v>
      </c>
      <c r="CU104" s="783">
        <f>IF('Incremental Repayments'!$R$22="Debt",IF(AND(CU$4&gt;=$D104,CU$4&lt;$D104+'Incremental Repayments'!$I$31),-PMT('Interest Rate'!$J$16,'Incremental Repayments'!$I$31,(HLOOKUP($D104,$E$4:$CZ$32,28,FALSE)*'Incremental Repayments'!$I$22)),0),0)</f>
        <v>0</v>
      </c>
      <c r="CV104" s="783">
        <f>IF('Incremental Repayments'!$R$22="Debt",IF(AND(CV$4&gt;=$D104,CV$4&lt;$D104+'Incremental Repayments'!$I$31),-PMT('Interest Rate'!$J$16,'Incremental Repayments'!$I$31,(HLOOKUP($D104,$E$4:$CZ$32,28,FALSE)*'Incremental Repayments'!$I$22)),0),0)</f>
        <v>0</v>
      </c>
      <c r="CW104" s="783">
        <f>IF('Incremental Repayments'!$R$22="Debt",IF(AND(CW$4&gt;=$D104,CW$4&lt;$D104+'Incremental Repayments'!$I$31),-PMT('Interest Rate'!$J$16,'Incremental Repayments'!$I$31,(HLOOKUP($D104,$E$4:$CZ$32,28,FALSE)*'Incremental Repayments'!$I$22)),0),0)</f>
        <v>0</v>
      </c>
      <c r="CX104" s="783">
        <f>IF('Incremental Repayments'!$R$22="Debt",IF(AND(CX$4&gt;=$D104,CX$4&lt;$D104+'Incremental Repayments'!$I$31),-PMT('Interest Rate'!$J$16,'Incremental Repayments'!$I$31,(HLOOKUP($D104,$E$4:$CZ$32,28,FALSE)*'Incremental Repayments'!$I$22)),0),0)</f>
        <v>0</v>
      </c>
      <c r="CY104" s="783">
        <f>IF('Incremental Repayments'!$R$22="Debt",IF(AND(CY$4&gt;=$D104,CY$4&lt;$D104+'Incremental Repayments'!$I$31),-PMT('Interest Rate'!$J$16,'Incremental Repayments'!$I$31,(HLOOKUP($D104,$E$4:$CZ$32,28,FALSE)*'Incremental Repayments'!$I$22)),0),0)</f>
        <v>0</v>
      </c>
      <c r="CZ104" s="783">
        <f>IF('Incremental Repayments'!$R$22="Debt",IF(AND(CZ$4&gt;=$D104,CZ$4&lt;$D104+'Incremental Repayments'!$I$31),-PMT('Interest Rate'!$J$16,'Incremental Repayments'!$I$31,(HLOOKUP($D104,$E$4:$CZ$32,28,FALSE)*'Incremental Repayments'!$I$22)),0),0)</f>
        <v>0</v>
      </c>
    </row>
    <row r="105" spans="2:104" x14ac:dyDescent="0.25">
      <c r="B105" s="480" t="str">
        <f>CONCATENATE("Series ",D105,"A Bonds (at ",'Interest Rate'!$J$16*100,"% Interest)")</f>
        <v>Series 2083A Bonds (at 4.5% Interest)</v>
      </c>
      <c r="C105" s="480"/>
      <c r="D105" s="492">
        <f t="shared" si="47"/>
        <v>2083</v>
      </c>
      <c r="E105" s="783">
        <f>IF('Incremental Repayments'!$R$22="Debt",IF(AND(E$4&gt;=$D105,E$4&lt;$D105+'Incremental Repayments'!$I$31),-PMT('Interest Rate'!$J$16,'Incremental Repayments'!$I$31,(HLOOKUP($D105,$E$4:$CZ$32,28,FALSE)*'Incremental Repayments'!$I$22)),0),0)</f>
        <v>0</v>
      </c>
      <c r="F105" s="783">
        <f>IF('Incremental Repayments'!$R$22="Debt",IF(AND(F$4&gt;=$D105,F$4&lt;$D105+'Incremental Repayments'!$I$31),-PMT('Interest Rate'!$J$16,'Incremental Repayments'!$I$31,(HLOOKUP($D105,$E$4:$CZ$32,28,FALSE)*'Incremental Repayments'!$I$22)),0),0)</f>
        <v>0</v>
      </c>
      <c r="G105" s="783">
        <f>IF('Incremental Repayments'!$R$22="Debt",IF(AND(G$4&gt;=$D105,G$4&lt;$D105+'Incremental Repayments'!$I$31),-PMT('Interest Rate'!$J$16,'Incremental Repayments'!$I$31,(HLOOKUP($D105,$E$4:$CZ$32,28,FALSE)*'Incremental Repayments'!$I$22)),0),0)</f>
        <v>0</v>
      </c>
      <c r="H105" s="783">
        <f>IF('Incremental Repayments'!$R$22="Debt",IF(AND(H$4&gt;=$D105,H$4&lt;$D105+'Incremental Repayments'!$I$31),-PMT('Interest Rate'!$J$16,'Incremental Repayments'!$I$31,(HLOOKUP($D105,$E$4:$CZ$32,28,FALSE)*'Incremental Repayments'!$I$22)),0),0)</f>
        <v>0</v>
      </c>
      <c r="I105" s="783">
        <f>IF('Incremental Repayments'!$R$22="Debt",IF(AND(I$4&gt;=$D105,I$4&lt;$D105+'Incremental Repayments'!$I$31),-PMT('Interest Rate'!$J$16,'Incremental Repayments'!$I$31,(HLOOKUP($D105,$E$4:$CZ$32,28,FALSE)*'Incremental Repayments'!$I$22)),0),0)</f>
        <v>0</v>
      </c>
      <c r="J105" s="783">
        <f>IF('Incremental Repayments'!$R$22="Debt",IF(AND(J$4&gt;=$D105,J$4&lt;$D105+'Incremental Repayments'!$I$31),-PMT('Interest Rate'!$J$16,'Incremental Repayments'!$I$31,(HLOOKUP($D105,$E$4:$CZ$32,28,FALSE)*'Incremental Repayments'!$I$22)),0),0)</f>
        <v>0</v>
      </c>
      <c r="K105" s="783">
        <f>IF('Incremental Repayments'!$R$22="Debt",IF(AND(K$4&gt;=$D105,K$4&lt;$D105+'Incremental Repayments'!$I$31),-PMT('Interest Rate'!$J$16,'Incremental Repayments'!$I$31,(HLOOKUP($D105,$E$4:$CZ$32,28,FALSE)*'Incremental Repayments'!$I$22)),0),0)</f>
        <v>0</v>
      </c>
      <c r="L105" s="783">
        <f>IF('Incremental Repayments'!$R$22="Debt",IF(AND(L$4&gt;=$D105,L$4&lt;$D105+'Incremental Repayments'!$I$31),-PMT('Interest Rate'!$J$16,'Incremental Repayments'!$I$31,(HLOOKUP($D105,$E$4:$CZ$32,28,FALSE)*'Incremental Repayments'!$I$22)),0),0)</f>
        <v>0</v>
      </c>
      <c r="M105" s="783">
        <f>IF('Incremental Repayments'!$R$22="Debt",IF(AND(M$4&gt;=$D105,M$4&lt;$D105+'Incremental Repayments'!$I$31),-PMT('Interest Rate'!$J$16,'Incremental Repayments'!$I$31,(HLOOKUP($D105,$E$4:$CZ$32,28,FALSE)*'Incremental Repayments'!$I$22)),0),0)</f>
        <v>0</v>
      </c>
      <c r="N105" s="783">
        <f>IF('Incremental Repayments'!$R$22="Debt",IF(AND(N$4&gt;=$D105,N$4&lt;$D105+'Incremental Repayments'!$I$31),-PMT('Interest Rate'!$J$16,'Incremental Repayments'!$I$31,(HLOOKUP($D105,$E$4:$CZ$32,28,FALSE)*'Incremental Repayments'!$I$22)),0),0)</f>
        <v>0</v>
      </c>
      <c r="O105" s="783">
        <f>IF('Incremental Repayments'!$R$22="Debt",IF(AND(O$4&gt;=$D105,O$4&lt;$D105+'Incremental Repayments'!$I$31),-PMT('Interest Rate'!$J$16,'Incremental Repayments'!$I$31,(HLOOKUP($D105,$E$4:$CZ$32,28,FALSE)*'Incremental Repayments'!$I$22)),0),0)</f>
        <v>0</v>
      </c>
      <c r="P105" s="783">
        <f>IF('Incremental Repayments'!$R$22="Debt",IF(AND(P$4&gt;=$D105,P$4&lt;$D105+'Incremental Repayments'!$I$31),-PMT('Interest Rate'!$J$16,'Incremental Repayments'!$I$31,(HLOOKUP($D105,$E$4:$CZ$32,28,FALSE)*'Incremental Repayments'!$I$22)),0),0)</f>
        <v>0</v>
      </c>
      <c r="Q105" s="783">
        <f>IF('Incremental Repayments'!$R$22="Debt",IF(AND(Q$4&gt;=$D105,Q$4&lt;$D105+'Incremental Repayments'!$I$31),-PMT('Interest Rate'!$J$16,'Incremental Repayments'!$I$31,(HLOOKUP($D105,$E$4:$CZ$32,28,FALSE)*'Incremental Repayments'!$I$22)),0),0)</f>
        <v>0</v>
      </c>
      <c r="R105" s="783">
        <f>IF('Incremental Repayments'!$R$22="Debt",IF(AND(R$4&gt;=$D105,R$4&lt;$D105+'Incremental Repayments'!$I$31),-PMT('Interest Rate'!$J$16,'Incremental Repayments'!$I$31,(HLOOKUP($D105,$E$4:$CZ$32,28,FALSE)*'Incremental Repayments'!$I$22)),0),0)</f>
        <v>0</v>
      </c>
      <c r="S105" s="783">
        <f>IF('Incremental Repayments'!$R$22="Debt",IF(AND(S$4&gt;=$D105,S$4&lt;$D105+'Incremental Repayments'!$I$31),-PMT('Interest Rate'!$J$16,'Incremental Repayments'!$I$31,(HLOOKUP($D105,$E$4:$CZ$32,28,FALSE)*'Incremental Repayments'!$I$22)),0),0)</f>
        <v>0</v>
      </c>
      <c r="T105" s="783">
        <f>IF('Incremental Repayments'!$R$22="Debt",IF(AND(T$4&gt;=$D105,T$4&lt;$D105+'Incremental Repayments'!$I$31),-PMT('Interest Rate'!$J$16,'Incremental Repayments'!$I$31,(HLOOKUP($D105,$E$4:$CZ$32,28,FALSE)*'Incremental Repayments'!$I$22)),0),0)</f>
        <v>0</v>
      </c>
      <c r="U105" s="783">
        <f>IF('Incremental Repayments'!$R$22="Debt",IF(AND(U$4&gt;=$D105,U$4&lt;$D105+'Incremental Repayments'!$I$31),-PMT('Interest Rate'!$J$16,'Incremental Repayments'!$I$31,(HLOOKUP($D105,$E$4:$CZ$32,28,FALSE)*'Incremental Repayments'!$I$22)),0),0)</f>
        <v>0</v>
      </c>
      <c r="V105" s="783">
        <f>IF('Incremental Repayments'!$R$22="Debt",IF(AND(V$4&gt;=$D105,V$4&lt;$D105+'Incremental Repayments'!$I$31),-PMT('Interest Rate'!$J$16,'Incremental Repayments'!$I$31,(HLOOKUP($D105,$E$4:$CZ$32,28,FALSE)*'Incremental Repayments'!$I$22)),0),0)</f>
        <v>0</v>
      </c>
      <c r="W105" s="783">
        <f>IF('Incremental Repayments'!$R$22="Debt",IF(AND(W$4&gt;=$D105,W$4&lt;$D105+'Incremental Repayments'!$I$31),-PMT('Interest Rate'!$J$16,'Incremental Repayments'!$I$31,(HLOOKUP($D105,$E$4:$CZ$32,28,FALSE)*'Incremental Repayments'!$I$22)),0),0)</f>
        <v>0</v>
      </c>
      <c r="X105" s="783">
        <f>IF('Incremental Repayments'!$R$22="Debt",IF(AND(X$4&gt;=$D105,X$4&lt;$D105+'Incremental Repayments'!$I$31),-PMT('Interest Rate'!$J$16,'Incremental Repayments'!$I$31,(HLOOKUP($D105,$E$4:$CZ$32,28,FALSE)*'Incremental Repayments'!$I$22)),0),0)</f>
        <v>0</v>
      </c>
      <c r="Y105" s="783">
        <f>IF('Incremental Repayments'!$R$22="Debt",IF(AND(Y$4&gt;=$D105,Y$4&lt;$D105+'Incremental Repayments'!$I$31),-PMT('Interest Rate'!$J$16,'Incremental Repayments'!$I$31,(HLOOKUP($D105,$E$4:$CZ$32,28,FALSE)*'Incremental Repayments'!$I$22)),0),0)</f>
        <v>0</v>
      </c>
      <c r="Z105" s="783">
        <f>IF('Incremental Repayments'!$R$22="Debt",IF(AND(Z$4&gt;=$D105,Z$4&lt;$D105+'Incremental Repayments'!$I$31),-PMT('Interest Rate'!$J$16,'Incremental Repayments'!$I$31,(HLOOKUP($D105,$E$4:$CZ$32,28,FALSE)*'Incremental Repayments'!$I$22)),0),0)</f>
        <v>0</v>
      </c>
      <c r="AA105" s="783">
        <f>IF('Incremental Repayments'!$R$22="Debt",IF(AND(AA$4&gt;=$D105,AA$4&lt;$D105+'Incremental Repayments'!$I$31),-PMT('Interest Rate'!$J$16,'Incremental Repayments'!$I$31,(HLOOKUP($D105,$E$4:$CZ$32,28,FALSE)*'Incremental Repayments'!$I$22)),0),0)</f>
        <v>0</v>
      </c>
      <c r="AB105" s="783">
        <f>IF('Incremental Repayments'!$R$22="Debt",IF(AND(AB$4&gt;=$D105,AB$4&lt;$D105+'Incremental Repayments'!$I$31),-PMT('Interest Rate'!$J$16,'Incremental Repayments'!$I$31,(HLOOKUP($D105,$E$4:$CZ$32,28,FALSE)*'Incremental Repayments'!$I$22)),0),0)</f>
        <v>0</v>
      </c>
      <c r="AC105" s="783">
        <f>IF('Incremental Repayments'!$R$22="Debt",IF(AND(AC$4&gt;=$D105,AC$4&lt;$D105+'Incremental Repayments'!$I$31),-PMT('Interest Rate'!$J$16,'Incremental Repayments'!$I$31,(HLOOKUP($D105,$E$4:$CZ$32,28,FALSE)*'Incremental Repayments'!$I$22)),0),0)</f>
        <v>0</v>
      </c>
      <c r="AD105" s="783">
        <f>IF('Incremental Repayments'!$R$22="Debt",IF(AND(AD$4&gt;=$D105,AD$4&lt;$D105+'Incremental Repayments'!$I$31),-PMT('Interest Rate'!$J$16,'Incremental Repayments'!$I$31,(HLOOKUP($D105,$E$4:$CZ$32,28,FALSE)*'Incremental Repayments'!$I$22)),0),0)</f>
        <v>0</v>
      </c>
      <c r="AE105" s="783">
        <f>IF('Incremental Repayments'!$R$22="Debt",IF(AND(AE$4&gt;=$D105,AE$4&lt;$D105+'Incremental Repayments'!$I$31),-PMT('Interest Rate'!$J$16,'Incremental Repayments'!$I$31,(HLOOKUP($D105,$E$4:$CZ$32,28,FALSE)*'Incremental Repayments'!$I$22)),0),0)</f>
        <v>0</v>
      </c>
      <c r="AF105" s="783">
        <f>IF('Incremental Repayments'!$R$22="Debt",IF(AND(AF$4&gt;=$D105,AF$4&lt;$D105+'Incremental Repayments'!$I$31),-PMT('Interest Rate'!$J$16,'Incremental Repayments'!$I$31,(HLOOKUP($D105,$E$4:$CZ$32,28,FALSE)*'Incremental Repayments'!$I$22)),0),0)</f>
        <v>0</v>
      </c>
      <c r="AG105" s="783">
        <f>IF('Incremental Repayments'!$R$22="Debt",IF(AND(AG$4&gt;=$D105,AG$4&lt;$D105+'Incremental Repayments'!$I$31),-PMT('Interest Rate'!$J$16,'Incremental Repayments'!$I$31,(HLOOKUP($D105,$E$4:$CZ$32,28,FALSE)*'Incremental Repayments'!$I$22)),0),0)</f>
        <v>0</v>
      </c>
      <c r="AH105" s="783">
        <f>IF('Incremental Repayments'!$R$22="Debt",IF(AND(AH$4&gt;=$D105,AH$4&lt;$D105+'Incremental Repayments'!$I$31),-PMT('Interest Rate'!$J$16,'Incremental Repayments'!$I$31,(HLOOKUP($D105,$E$4:$CZ$32,28,FALSE)*'Incremental Repayments'!$I$22)),0),0)</f>
        <v>0</v>
      </c>
      <c r="AI105" s="783">
        <f>IF('Incremental Repayments'!$R$22="Debt",IF(AND(AI$4&gt;=$D105,AI$4&lt;$D105+'Incremental Repayments'!$I$31),-PMT('Interest Rate'!$J$16,'Incremental Repayments'!$I$31,(HLOOKUP($D105,$E$4:$CZ$32,28,FALSE)*'Incremental Repayments'!$I$22)),0),0)</f>
        <v>0</v>
      </c>
      <c r="AJ105" s="783">
        <f>IF('Incremental Repayments'!$R$22="Debt",IF(AND(AJ$4&gt;=$D105,AJ$4&lt;$D105+'Incremental Repayments'!$I$31),-PMT('Interest Rate'!$J$16,'Incremental Repayments'!$I$31,(HLOOKUP($D105,$E$4:$CZ$32,28,FALSE)*'Incremental Repayments'!$I$22)),0),0)</f>
        <v>0</v>
      </c>
      <c r="AK105" s="783">
        <f>IF('Incremental Repayments'!$R$22="Debt",IF(AND(AK$4&gt;=$D105,AK$4&lt;$D105+'Incremental Repayments'!$I$31),-PMT('Interest Rate'!$J$16,'Incremental Repayments'!$I$31,(HLOOKUP($D105,$E$4:$CZ$32,28,FALSE)*'Incremental Repayments'!$I$22)),0),0)</f>
        <v>0</v>
      </c>
      <c r="AL105" s="783">
        <f>IF('Incremental Repayments'!$R$22="Debt",IF(AND(AL$4&gt;=$D105,AL$4&lt;$D105+'Incremental Repayments'!$I$31),-PMT('Interest Rate'!$J$16,'Incremental Repayments'!$I$31,(HLOOKUP($D105,$E$4:$CZ$32,28,FALSE)*'Incremental Repayments'!$I$22)),0),0)</f>
        <v>0</v>
      </c>
      <c r="AM105" s="783">
        <f>IF('Incremental Repayments'!$R$22="Debt",IF(AND(AM$4&gt;=$D105,AM$4&lt;$D105+'Incremental Repayments'!$I$31),-PMT('Interest Rate'!$J$16,'Incremental Repayments'!$I$31,(HLOOKUP($D105,$E$4:$CZ$32,28,FALSE)*'Incremental Repayments'!$I$22)),0),0)</f>
        <v>0</v>
      </c>
      <c r="AN105" s="783">
        <f>IF('Incremental Repayments'!$R$22="Debt",IF(AND(AN$4&gt;=$D105,AN$4&lt;$D105+'Incremental Repayments'!$I$31),-PMT('Interest Rate'!$J$16,'Incremental Repayments'!$I$31,(HLOOKUP($D105,$E$4:$CZ$32,28,FALSE)*'Incremental Repayments'!$I$22)),0),0)</f>
        <v>0</v>
      </c>
      <c r="AO105" s="783">
        <f>IF('Incremental Repayments'!$R$22="Debt",IF(AND(AO$4&gt;=$D105,AO$4&lt;$D105+'Incremental Repayments'!$I$31),-PMT('Interest Rate'!$J$16,'Incremental Repayments'!$I$31,(HLOOKUP($D105,$E$4:$CZ$32,28,FALSE)*'Incremental Repayments'!$I$22)),0),0)</f>
        <v>0</v>
      </c>
      <c r="AP105" s="783">
        <f>IF('Incremental Repayments'!$R$22="Debt",IF(AND(AP$4&gt;=$D105,AP$4&lt;$D105+'Incremental Repayments'!$I$31),-PMT('Interest Rate'!$J$16,'Incremental Repayments'!$I$31,(HLOOKUP($D105,$E$4:$CZ$32,28,FALSE)*'Incremental Repayments'!$I$22)),0),0)</f>
        <v>0</v>
      </c>
      <c r="AQ105" s="783">
        <f>IF('Incremental Repayments'!$R$22="Debt",IF(AND(AQ$4&gt;=$D105,AQ$4&lt;$D105+'Incremental Repayments'!$I$31),-PMT('Interest Rate'!$J$16,'Incremental Repayments'!$I$31,(HLOOKUP($D105,$E$4:$CZ$32,28,FALSE)*'Incremental Repayments'!$I$22)),0),0)</f>
        <v>0</v>
      </c>
      <c r="AR105" s="783">
        <f>IF('Incremental Repayments'!$R$22="Debt",IF(AND(AR$4&gt;=$D105,AR$4&lt;$D105+'Incremental Repayments'!$I$31),-PMT('Interest Rate'!$J$16,'Incremental Repayments'!$I$31,(HLOOKUP($D105,$E$4:$CZ$32,28,FALSE)*'Incremental Repayments'!$I$22)),0),0)</f>
        <v>0</v>
      </c>
      <c r="AS105" s="783">
        <f>IF('Incremental Repayments'!$R$22="Debt",IF(AND(AS$4&gt;=$D105,AS$4&lt;$D105+'Incremental Repayments'!$I$31),-PMT('Interest Rate'!$J$16,'Incremental Repayments'!$I$31,(HLOOKUP($D105,$E$4:$CZ$32,28,FALSE)*'Incremental Repayments'!$I$22)),0),0)</f>
        <v>0</v>
      </c>
      <c r="AT105" s="783">
        <f>IF('Incremental Repayments'!$R$22="Debt",IF(AND(AT$4&gt;=$D105,AT$4&lt;$D105+'Incremental Repayments'!$I$31),-PMT('Interest Rate'!$J$16,'Incremental Repayments'!$I$31,(HLOOKUP($D105,$E$4:$CZ$32,28,FALSE)*'Incremental Repayments'!$I$22)),0),0)</f>
        <v>0</v>
      </c>
      <c r="AU105" s="783">
        <f>IF('Incremental Repayments'!$R$22="Debt",IF(AND(AU$4&gt;=$D105,AU$4&lt;$D105+'Incremental Repayments'!$I$31),-PMT('Interest Rate'!$J$16,'Incremental Repayments'!$I$31,(HLOOKUP($D105,$E$4:$CZ$32,28,FALSE)*'Incremental Repayments'!$I$22)),0),0)</f>
        <v>0</v>
      </c>
      <c r="AV105" s="783">
        <f>IF('Incremental Repayments'!$R$22="Debt",IF(AND(AV$4&gt;=$D105,AV$4&lt;$D105+'Incremental Repayments'!$I$31),-PMT('Interest Rate'!$J$16,'Incremental Repayments'!$I$31,(HLOOKUP($D105,$E$4:$CZ$32,28,FALSE)*'Incremental Repayments'!$I$22)),0),0)</f>
        <v>0</v>
      </c>
      <c r="AW105" s="783">
        <f>IF('Incremental Repayments'!$R$22="Debt",IF(AND(AW$4&gt;=$D105,AW$4&lt;$D105+'Incremental Repayments'!$I$31),-PMT('Interest Rate'!$J$16,'Incremental Repayments'!$I$31,(HLOOKUP($D105,$E$4:$CZ$32,28,FALSE)*'Incremental Repayments'!$I$22)),0),0)</f>
        <v>0</v>
      </c>
      <c r="AX105" s="783">
        <f>IF('Incremental Repayments'!$R$22="Debt",IF(AND(AX$4&gt;=$D105,AX$4&lt;$D105+'Incremental Repayments'!$I$31),-PMT('Interest Rate'!$J$16,'Incremental Repayments'!$I$31,(HLOOKUP($D105,$E$4:$CZ$32,28,FALSE)*'Incremental Repayments'!$I$22)),0),0)</f>
        <v>0</v>
      </c>
      <c r="AY105" s="783">
        <f>IF('Incremental Repayments'!$R$22="Debt",IF(AND(AY$4&gt;=$D105,AY$4&lt;$D105+'Incremental Repayments'!$I$31),-PMT('Interest Rate'!$J$16,'Incremental Repayments'!$I$31,(HLOOKUP($D105,$E$4:$CZ$32,28,FALSE)*'Incremental Repayments'!$I$22)),0),0)</f>
        <v>0</v>
      </c>
      <c r="AZ105" s="783">
        <f>IF('Incremental Repayments'!$R$22="Debt",IF(AND(AZ$4&gt;=$D105,AZ$4&lt;$D105+'Incremental Repayments'!$I$31),-PMT('Interest Rate'!$J$16,'Incremental Repayments'!$I$31,(HLOOKUP($D105,$E$4:$CZ$32,28,FALSE)*'Incremental Repayments'!$I$22)),0),0)</f>
        <v>0</v>
      </c>
      <c r="BA105" s="783">
        <f>IF('Incremental Repayments'!$R$22="Debt",IF(AND(BA$4&gt;=$D105,BA$4&lt;$D105+'Incremental Repayments'!$I$31),-PMT('Interest Rate'!$J$16,'Incremental Repayments'!$I$31,(HLOOKUP($D105,$E$4:$CZ$32,28,FALSE)*'Incremental Repayments'!$I$22)),0),0)</f>
        <v>0</v>
      </c>
      <c r="BB105" s="783">
        <f>IF('Incremental Repayments'!$R$22="Debt",IF(AND(BB$4&gt;=$D105,BB$4&lt;$D105+'Incremental Repayments'!$I$31),-PMT('Interest Rate'!$J$16,'Incremental Repayments'!$I$31,(HLOOKUP($D105,$E$4:$CZ$32,28,FALSE)*'Incremental Repayments'!$I$22)),0),0)</f>
        <v>0</v>
      </c>
      <c r="BC105" s="783">
        <f>IF('Incremental Repayments'!$R$22="Debt",IF(AND(BC$4&gt;=$D105,BC$4&lt;$D105+'Incremental Repayments'!$I$31),-PMT('Interest Rate'!$J$16,'Incremental Repayments'!$I$31,(HLOOKUP($D105,$E$4:$CZ$32,28,FALSE)*'Incremental Repayments'!$I$22)),0),0)</f>
        <v>0</v>
      </c>
      <c r="BD105" s="783">
        <f>IF('Incremental Repayments'!$R$22="Debt",IF(AND(BD$4&gt;=$D105,BD$4&lt;$D105+'Incremental Repayments'!$I$31),-PMT('Interest Rate'!$J$16,'Incremental Repayments'!$I$31,(HLOOKUP($D105,$E$4:$CZ$32,28,FALSE)*'Incremental Repayments'!$I$22)),0),0)</f>
        <v>0</v>
      </c>
      <c r="BE105" s="783">
        <f>IF('Incremental Repayments'!$R$22="Debt",IF(AND(BE$4&gt;=$D105,BE$4&lt;$D105+'Incremental Repayments'!$I$31),-PMT('Interest Rate'!$J$16,'Incremental Repayments'!$I$31,(HLOOKUP($D105,$E$4:$CZ$32,28,FALSE)*'Incremental Repayments'!$I$22)),0),0)</f>
        <v>0</v>
      </c>
      <c r="BF105" s="783">
        <f>IF('Incremental Repayments'!$R$22="Debt",IF(AND(BF$4&gt;=$D105,BF$4&lt;$D105+'Incremental Repayments'!$I$31),-PMT('Interest Rate'!$J$16,'Incremental Repayments'!$I$31,(HLOOKUP($D105,$E$4:$CZ$32,28,FALSE)*'Incremental Repayments'!$I$22)),0),0)</f>
        <v>0</v>
      </c>
      <c r="BG105" s="783">
        <f>IF('Incremental Repayments'!$R$22="Debt",IF(AND(BG$4&gt;=$D105,BG$4&lt;$D105+'Incremental Repayments'!$I$31),-PMT('Interest Rate'!$J$16,'Incremental Repayments'!$I$31,(HLOOKUP($D105,$E$4:$CZ$32,28,FALSE)*'Incremental Repayments'!$I$22)),0),0)</f>
        <v>0</v>
      </c>
      <c r="BH105" s="783">
        <f>IF('Incremental Repayments'!$R$22="Debt",IF(AND(BH$4&gt;=$D105,BH$4&lt;$D105+'Incremental Repayments'!$I$31),-PMT('Interest Rate'!$J$16,'Incremental Repayments'!$I$31,(HLOOKUP($D105,$E$4:$CZ$32,28,FALSE)*'Incremental Repayments'!$I$22)),0),0)</f>
        <v>0</v>
      </c>
      <c r="BI105" s="783">
        <f>IF('Incremental Repayments'!$R$22="Debt",IF(AND(BI$4&gt;=$D105,BI$4&lt;$D105+'Incremental Repayments'!$I$31),-PMT('Interest Rate'!$J$16,'Incremental Repayments'!$I$31,(HLOOKUP($D105,$E$4:$CZ$32,28,FALSE)*'Incremental Repayments'!$I$22)),0),0)</f>
        <v>0</v>
      </c>
      <c r="BJ105" s="783">
        <f>IF('Incremental Repayments'!$R$22="Debt",IF(AND(BJ$4&gt;=$D105,BJ$4&lt;$D105+'Incremental Repayments'!$I$31),-PMT('Interest Rate'!$J$16,'Incremental Repayments'!$I$31,(HLOOKUP($D105,$E$4:$CZ$32,28,FALSE)*'Incremental Repayments'!$I$22)),0),0)</f>
        <v>0</v>
      </c>
      <c r="BK105" s="783">
        <f>IF('Incremental Repayments'!$R$22="Debt",IF(AND(BK$4&gt;=$D105,BK$4&lt;$D105+'Incremental Repayments'!$I$31),-PMT('Interest Rate'!$J$16,'Incremental Repayments'!$I$31,(HLOOKUP($D105,$E$4:$CZ$32,28,FALSE)*'Incremental Repayments'!$I$22)),0),0)</f>
        <v>0</v>
      </c>
      <c r="BL105" s="783">
        <f>IF('Incremental Repayments'!$R$22="Debt",IF(AND(BL$4&gt;=$D105,BL$4&lt;$D105+'Incremental Repayments'!$I$31),-PMT('Interest Rate'!$J$16,'Incremental Repayments'!$I$31,(HLOOKUP($D105,$E$4:$CZ$32,28,FALSE)*'Incremental Repayments'!$I$22)),0),0)</f>
        <v>0</v>
      </c>
      <c r="BM105" s="783">
        <f>IF('Incremental Repayments'!$R$22="Debt",IF(AND(BM$4&gt;=$D105,BM$4&lt;$D105+'Incremental Repayments'!$I$31),-PMT('Interest Rate'!$J$16,'Incremental Repayments'!$I$31,(HLOOKUP($D105,$E$4:$CZ$32,28,FALSE)*'Incremental Repayments'!$I$22)),0),0)</f>
        <v>0</v>
      </c>
      <c r="BN105" s="783">
        <f>IF('Incremental Repayments'!$R$22="Debt",IF(AND(BN$4&gt;=$D105,BN$4&lt;$D105+'Incremental Repayments'!$I$31),-PMT('Interest Rate'!$J$16,'Incremental Repayments'!$I$31,(HLOOKUP($D105,$E$4:$CZ$32,28,FALSE)*'Incremental Repayments'!$I$22)),0),0)</f>
        <v>0</v>
      </c>
      <c r="BO105" s="783">
        <f>IF('Incremental Repayments'!$R$22="Debt",IF(AND(BO$4&gt;=$D105,BO$4&lt;$D105+'Incremental Repayments'!$I$31),-PMT('Interest Rate'!$J$16,'Incremental Repayments'!$I$31,(HLOOKUP($D105,$E$4:$CZ$32,28,FALSE)*'Incremental Repayments'!$I$22)),0),0)</f>
        <v>0</v>
      </c>
      <c r="BP105" s="783">
        <f>IF('Incremental Repayments'!$R$22="Debt",IF(AND(BP$4&gt;=$D105,BP$4&lt;$D105+'Incremental Repayments'!$I$31),-PMT('Interest Rate'!$J$16,'Incremental Repayments'!$I$31,(HLOOKUP($D105,$E$4:$CZ$32,28,FALSE)*'Incremental Repayments'!$I$22)),0),0)</f>
        <v>0</v>
      </c>
      <c r="BQ105" s="783">
        <f>IF('Incremental Repayments'!$R$22="Debt",IF(AND(BQ$4&gt;=$D105,BQ$4&lt;$D105+'Incremental Repayments'!$I$31),-PMT('Interest Rate'!$J$16,'Incremental Repayments'!$I$31,(HLOOKUP($D105,$E$4:$CZ$32,28,FALSE)*'Incremental Repayments'!$I$22)),0),0)</f>
        <v>0</v>
      </c>
      <c r="BR105" s="783">
        <f>IF('Incremental Repayments'!$R$22="Debt",IF(AND(BR$4&gt;=$D105,BR$4&lt;$D105+'Incremental Repayments'!$I$31),-PMT('Interest Rate'!$J$16,'Incremental Repayments'!$I$31,(HLOOKUP($D105,$E$4:$CZ$32,28,FALSE)*'Incremental Repayments'!$I$22)),0),0)</f>
        <v>0</v>
      </c>
      <c r="BS105" s="783">
        <f>IF('Incremental Repayments'!$R$22="Debt",IF(AND(BS$4&gt;=$D105,BS$4&lt;$D105+'Incremental Repayments'!$I$31),-PMT('Interest Rate'!$J$16,'Incremental Repayments'!$I$31,(HLOOKUP($D105,$E$4:$CZ$32,28,FALSE)*'Incremental Repayments'!$I$22)),0),0)</f>
        <v>0</v>
      </c>
      <c r="BT105" s="783">
        <f>IF('Incremental Repayments'!$R$22="Debt",IF(AND(BT$4&gt;=$D105,BT$4&lt;$D105+'Incremental Repayments'!$I$31),-PMT('Interest Rate'!$J$16,'Incremental Repayments'!$I$31,(HLOOKUP($D105,$E$4:$CZ$32,28,FALSE)*'Incremental Repayments'!$I$22)),0),0)</f>
        <v>0</v>
      </c>
      <c r="BU105" s="783">
        <f>IF('Incremental Repayments'!$R$22="Debt",IF(AND(BU$4&gt;=$D105,BU$4&lt;$D105+'Incremental Repayments'!$I$31),-PMT('Interest Rate'!$J$16,'Incremental Repayments'!$I$31,(HLOOKUP($D105,$E$4:$CZ$32,28,FALSE)*'Incremental Repayments'!$I$22)),0),0)</f>
        <v>0</v>
      </c>
      <c r="BV105" s="783">
        <f>IF('Incremental Repayments'!$R$22="Debt",IF(AND(BV$4&gt;=$D105,BV$4&lt;$D105+'Incremental Repayments'!$I$31),-PMT('Interest Rate'!$J$16,'Incremental Repayments'!$I$31,(HLOOKUP($D105,$E$4:$CZ$32,28,FALSE)*'Incremental Repayments'!$I$22)),0),0)</f>
        <v>0</v>
      </c>
      <c r="BW105" s="783">
        <f>IF('Incremental Repayments'!$R$22="Debt",IF(AND(BW$4&gt;=$D105,BW$4&lt;$D105+'Incremental Repayments'!$I$31),-PMT('Interest Rate'!$J$16,'Incremental Repayments'!$I$31,(HLOOKUP($D105,$E$4:$CZ$32,28,FALSE)*'Incremental Repayments'!$I$22)),0),0)</f>
        <v>0</v>
      </c>
      <c r="BX105" s="783">
        <f>IF('Incremental Repayments'!$R$22="Debt",IF(AND(BX$4&gt;=$D105,BX$4&lt;$D105+'Incremental Repayments'!$I$31),-PMT('Interest Rate'!$J$16,'Incremental Repayments'!$I$31,(HLOOKUP($D105,$E$4:$CZ$32,28,FALSE)*'Incremental Repayments'!$I$22)),0),0)</f>
        <v>0</v>
      </c>
      <c r="BY105" s="783">
        <f>IF('Incremental Repayments'!$R$22="Debt",IF(AND(BY$4&gt;=$D105,BY$4&lt;$D105+'Incremental Repayments'!$I$31),-PMT('Interest Rate'!$J$16,'Incremental Repayments'!$I$31,(HLOOKUP($D105,$E$4:$CZ$32,28,FALSE)*'Incremental Repayments'!$I$22)),0),0)</f>
        <v>0</v>
      </c>
      <c r="BZ105" s="783">
        <f>IF('Incremental Repayments'!$R$22="Debt",IF(AND(BZ$4&gt;=$D105,BZ$4&lt;$D105+'Incremental Repayments'!$I$31),-PMT('Interest Rate'!$J$16,'Incremental Repayments'!$I$31,(HLOOKUP($D105,$E$4:$CZ$32,28,FALSE)*'Incremental Repayments'!$I$22)),0),0)</f>
        <v>0</v>
      </c>
      <c r="CA105" s="783">
        <f>IF('Incremental Repayments'!$R$22="Debt",IF(AND(CA$4&gt;=$D105,CA$4&lt;$D105+'Incremental Repayments'!$I$31),-PMT('Interest Rate'!$J$16,'Incremental Repayments'!$I$31,(HLOOKUP($D105,$E$4:$CZ$32,28,FALSE)*'Incremental Repayments'!$I$22)),0),0)</f>
        <v>0</v>
      </c>
      <c r="CB105" s="783">
        <f>IF('Incremental Repayments'!$R$22="Debt",IF(AND(CB$4&gt;=$D105,CB$4&lt;$D105+'Incremental Repayments'!$I$31),-PMT('Interest Rate'!$J$16,'Incremental Repayments'!$I$31,(HLOOKUP($D105,$E$4:$CZ$32,28,FALSE)*'Incremental Repayments'!$I$22)),0),0)</f>
        <v>0</v>
      </c>
      <c r="CC105" s="783">
        <f>IF('Incremental Repayments'!$R$22="Debt",IF(AND(CC$4&gt;=$D105,CC$4&lt;$D105+'Incremental Repayments'!$I$31),-PMT('Interest Rate'!$J$16,'Incremental Repayments'!$I$31,(HLOOKUP($D105,$E$4:$CZ$32,28,FALSE)*'Incremental Repayments'!$I$22)),0),0)</f>
        <v>0</v>
      </c>
      <c r="CD105" s="783">
        <f>IF('Incremental Repayments'!$R$22="Debt",IF(AND(CD$4&gt;=$D105,CD$4&lt;$D105+'Incremental Repayments'!$I$31),-PMT('Interest Rate'!$J$16,'Incremental Repayments'!$I$31,(HLOOKUP($D105,$E$4:$CZ$32,28,FALSE)*'Incremental Repayments'!$I$22)),0),0)</f>
        <v>0</v>
      </c>
      <c r="CE105" s="783">
        <f>IF('Incremental Repayments'!$R$22="Debt",IF(AND(CE$4&gt;=$D105,CE$4&lt;$D105+'Incremental Repayments'!$I$31),-PMT('Interest Rate'!$J$16,'Incremental Repayments'!$I$31,(HLOOKUP($D105,$E$4:$CZ$32,28,FALSE)*'Incremental Repayments'!$I$22)),0),0)</f>
        <v>0</v>
      </c>
      <c r="CF105" s="783">
        <f>IF('Incremental Repayments'!$R$22="Debt",IF(AND(CF$4&gt;=$D105,CF$4&lt;$D105+'Incremental Repayments'!$I$31),-PMT('Interest Rate'!$J$16,'Incremental Repayments'!$I$31,(HLOOKUP($D105,$E$4:$CZ$32,28,FALSE)*'Incremental Repayments'!$I$22)),0),0)</f>
        <v>0</v>
      </c>
      <c r="CG105" s="783">
        <f>IF('Incremental Repayments'!$R$22="Debt",IF(AND(CG$4&gt;=$D105,CG$4&lt;$D105+'Incremental Repayments'!$I$31),-PMT('Interest Rate'!$J$16,'Incremental Repayments'!$I$31,(HLOOKUP($D105,$E$4:$CZ$32,28,FALSE)*'Incremental Repayments'!$I$22)),0),0)</f>
        <v>0</v>
      </c>
      <c r="CH105" s="783">
        <f>IF('Incremental Repayments'!$R$22="Debt",IF(AND(CH$4&gt;=$D105,CH$4&lt;$D105+'Incremental Repayments'!$I$31),-PMT('Interest Rate'!$J$16,'Incremental Repayments'!$I$31,(HLOOKUP($D105,$E$4:$CZ$32,28,FALSE)*'Incremental Repayments'!$I$22)),0),0)</f>
        <v>0</v>
      </c>
      <c r="CI105" s="783">
        <f>IF('Incremental Repayments'!$R$22="Debt",IF(AND(CI$4&gt;=$D105,CI$4&lt;$D105+'Incremental Repayments'!$I$31),-PMT('Interest Rate'!$J$16,'Incremental Repayments'!$I$31,(HLOOKUP($D105,$E$4:$CZ$32,28,FALSE)*'Incremental Repayments'!$I$22)),0),0)</f>
        <v>0</v>
      </c>
      <c r="CJ105" s="783">
        <f>IF('Incremental Repayments'!$R$22="Debt",IF(AND(CJ$4&gt;=$D105,CJ$4&lt;$D105+'Incremental Repayments'!$I$31),-PMT('Interest Rate'!$J$16,'Incremental Repayments'!$I$31,(HLOOKUP($D105,$E$4:$CZ$32,28,FALSE)*'Incremental Repayments'!$I$22)),0),0)</f>
        <v>0</v>
      </c>
      <c r="CK105" s="783">
        <f>IF('Incremental Repayments'!$R$22="Debt",IF(AND(CK$4&gt;=$D105,CK$4&lt;$D105+'Incremental Repayments'!$I$31),-PMT('Interest Rate'!$J$16,'Incremental Repayments'!$I$31,(HLOOKUP($D105,$E$4:$CZ$32,28,FALSE)*'Incremental Repayments'!$I$22)),0),0)</f>
        <v>0</v>
      </c>
      <c r="CL105" s="783">
        <f>IF('Incremental Repayments'!$R$22="Debt",IF(AND(CL$4&gt;=$D105,CL$4&lt;$D105+'Incremental Repayments'!$I$31),-PMT('Interest Rate'!$J$16,'Incremental Repayments'!$I$31,(HLOOKUP($D105,$E$4:$CZ$32,28,FALSE)*'Incremental Repayments'!$I$22)),0),0)</f>
        <v>0</v>
      </c>
      <c r="CM105" s="783">
        <f>IF('Incremental Repayments'!$R$22="Debt",IF(AND(CM$4&gt;=$D105,CM$4&lt;$D105+'Incremental Repayments'!$I$31),-PMT('Interest Rate'!$J$16,'Incremental Repayments'!$I$31,(HLOOKUP($D105,$E$4:$CZ$32,28,FALSE)*'Incremental Repayments'!$I$22)),0),0)</f>
        <v>0</v>
      </c>
      <c r="CN105" s="783">
        <f>IF('Incremental Repayments'!$R$22="Debt",IF(AND(CN$4&gt;=$D105,CN$4&lt;$D105+'Incremental Repayments'!$I$31),-PMT('Interest Rate'!$J$16,'Incremental Repayments'!$I$31,(HLOOKUP($D105,$E$4:$CZ$32,28,FALSE)*'Incremental Repayments'!$I$22)),0),0)</f>
        <v>0</v>
      </c>
      <c r="CO105" s="783">
        <f>IF('Incremental Repayments'!$R$22="Debt",IF(AND(CO$4&gt;=$D105,CO$4&lt;$D105+'Incremental Repayments'!$I$31),-PMT('Interest Rate'!$J$16,'Incremental Repayments'!$I$31,(HLOOKUP($D105,$E$4:$CZ$32,28,FALSE)*'Incremental Repayments'!$I$22)),0),0)</f>
        <v>0</v>
      </c>
      <c r="CP105" s="783">
        <f>IF('Incremental Repayments'!$R$22="Debt",IF(AND(CP$4&gt;=$D105,CP$4&lt;$D105+'Incremental Repayments'!$I$31),-PMT('Interest Rate'!$J$16,'Incremental Repayments'!$I$31,(HLOOKUP($D105,$E$4:$CZ$32,28,FALSE)*'Incremental Repayments'!$I$22)),0),0)</f>
        <v>0</v>
      </c>
      <c r="CQ105" s="783">
        <f>IF('Incremental Repayments'!$R$22="Debt",IF(AND(CQ$4&gt;=$D105,CQ$4&lt;$D105+'Incremental Repayments'!$I$31),-PMT('Interest Rate'!$J$16,'Incremental Repayments'!$I$31,(HLOOKUP($D105,$E$4:$CZ$32,28,FALSE)*'Incremental Repayments'!$I$22)),0),0)</f>
        <v>0</v>
      </c>
      <c r="CR105" s="783">
        <f>IF('Incremental Repayments'!$R$22="Debt",IF(AND(CR$4&gt;=$D105,CR$4&lt;$D105+'Incremental Repayments'!$I$31),-PMT('Interest Rate'!$J$16,'Incremental Repayments'!$I$31,(HLOOKUP($D105,$E$4:$CZ$32,28,FALSE)*'Incremental Repayments'!$I$22)),0),0)</f>
        <v>0</v>
      </c>
      <c r="CS105" s="783">
        <f>IF('Incremental Repayments'!$R$22="Debt",IF(AND(CS$4&gt;=$D105,CS$4&lt;$D105+'Incremental Repayments'!$I$31),-PMT('Interest Rate'!$J$16,'Incremental Repayments'!$I$31,(HLOOKUP($D105,$E$4:$CZ$32,28,FALSE)*'Incremental Repayments'!$I$22)),0),0)</f>
        <v>0</v>
      </c>
      <c r="CT105" s="783">
        <f>IF('Incremental Repayments'!$R$22="Debt",IF(AND(CT$4&gt;=$D105,CT$4&lt;$D105+'Incremental Repayments'!$I$31),-PMT('Interest Rate'!$J$16,'Incremental Repayments'!$I$31,(HLOOKUP($D105,$E$4:$CZ$32,28,FALSE)*'Incremental Repayments'!$I$22)),0),0)</f>
        <v>0</v>
      </c>
      <c r="CU105" s="783">
        <f>IF('Incremental Repayments'!$R$22="Debt",IF(AND(CU$4&gt;=$D105,CU$4&lt;$D105+'Incremental Repayments'!$I$31),-PMT('Interest Rate'!$J$16,'Incremental Repayments'!$I$31,(HLOOKUP($D105,$E$4:$CZ$32,28,FALSE)*'Incremental Repayments'!$I$22)),0),0)</f>
        <v>0</v>
      </c>
      <c r="CV105" s="783">
        <f>IF('Incremental Repayments'!$R$22="Debt",IF(AND(CV$4&gt;=$D105,CV$4&lt;$D105+'Incremental Repayments'!$I$31),-PMT('Interest Rate'!$J$16,'Incremental Repayments'!$I$31,(HLOOKUP($D105,$E$4:$CZ$32,28,FALSE)*'Incremental Repayments'!$I$22)),0),0)</f>
        <v>0</v>
      </c>
      <c r="CW105" s="783">
        <f>IF('Incremental Repayments'!$R$22="Debt",IF(AND(CW$4&gt;=$D105,CW$4&lt;$D105+'Incremental Repayments'!$I$31),-PMT('Interest Rate'!$J$16,'Incremental Repayments'!$I$31,(HLOOKUP($D105,$E$4:$CZ$32,28,FALSE)*'Incremental Repayments'!$I$22)),0),0)</f>
        <v>0</v>
      </c>
      <c r="CX105" s="783">
        <f>IF('Incremental Repayments'!$R$22="Debt",IF(AND(CX$4&gt;=$D105,CX$4&lt;$D105+'Incremental Repayments'!$I$31),-PMT('Interest Rate'!$J$16,'Incremental Repayments'!$I$31,(HLOOKUP($D105,$E$4:$CZ$32,28,FALSE)*'Incremental Repayments'!$I$22)),0),0)</f>
        <v>0</v>
      </c>
      <c r="CY105" s="783">
        <f>IF('Incremental Repayments'!$R$22="Debt",IF(AND(CY$4&gt;=$D105,CY$4&lt;$D105+'Incremental Repayments'!$I$31),-PMT('Interest Rate'!$J$16,'Incremental Repayments'!$I$31,(HLOOKUP($D105,$E$4:$CZ$32,28,FALSE)*'Incremental Repayments'!$I$22)),0),0)</f>
        <v>0</v>
      </c>
      <c r="CZ105" s="783">
        <f>IF('Incremental Repayments'!$R$22="Debt",IF(AND(CZ$4&gt;=$D105,CZ$4&lt;$D105+'Incremental Repayments'!$I$31),-PMT('Interest Rate'!$J$16,'Incremental Repayments'!$I$31,(HLOOKUP($D105,$E$4:$CZ$32,28,FALSE)*'Incremental Repayments'!$I$22)),0),0)</f>
        <v>0</v>
      </c>
    </row>
    <row r="106" spans="2:104" x14ac:dyDescent="0.25">
      <c r="B106" s="480" t="str">
        <f>CONCATENATE("Series ",D106,"A Bonds (at ",'Interest Rate'!$J$16*100,"% Interest)")</f>
        <v>Series 2084A Bonds (at 4.5% Interest)</v>
      </c>
      <c r="C106" s="480"/>
      <c r="D106" s="492">
        <f t="shared" si="47"/>
        <v>2084</v>
      </c>
      <c r="E106" s="783">
        <f>IF('Incremental Repayments'!$R$22="Debt",IF(AND(E$4&gt;=$D106,E$4&lt;$D106+'Incremental Repayments'!$I$31),-PMT('Interest Rate'!$J$16,'Incremental Repayments'!$I$31,(HLOOKUP($D106,$E$4:$CZ$32,28,FALSE)*'Incremental Repayments'!$I$22)),0),0)</f>
        <v>0</v>
      </c>
      <c r="F106" s="783">
        <f>IF('Incremental Repayments'!$R$22="Debt",IF(AND(F$4&gt;=$D106,F$4&lt;$D106+'Incremental Repayments'!$I$31),-PMT('Interest Rate'!$J$16,'Incremental Repayments'!$I$31,(HLOOKUP($D106,$E$4:$CZ$32,28,FALSE)*'Incremental Repayments'!$I$22)),0),0)</f>
        <v>0</v>
      </c>
      <c r="G106" s="783">
        <f>IF('Incremental Repayments'!$R$22="Debt",IF(AND(G$4&gt;=$D106,G$4&lt;$D106+'Incremental Repayments'!$I$31),-PMT('Interest Rate'!$J$16,'Incremental Repayments'!$I$31,(HLOOKUP($D106,$E$4:$CZ$32,28,FALSE)*'Incremental Repayments'!$I$22)),0),0)</f>
        <v>0</v>
      </c>
      <c r="H106" s="783">
        <f>IF('Incremental Repayments'!$R$22="Debt",IF(AND(H$4&gt;=$D106,H$4&lt;$D106+'Incremental Repayments'!$I$31),-PMT('Interest Rate'!$J$16,'Incremental Repayments'!$I$31,(HLOOKUP($D106,$E$4:$CZ$32,28,FALSE)*'Incremental Repayments'!$I$22)),0),0)</f>
        <v>0</v>
      </c>
      <c r="I106" s="783">
        <f>IF('Incremental Repayments'!$R$22="Debt",IF(AND(I$4&gt;=$D106,I$4&lt;$D106+'Incremental Repayments'!$I$31),-PMT('Interest Rate'!$J$16,'Incremental Repayments'!$I$31,(HLOOKUP($D106,$E$4:$CZ$32,28,FALSE)*'Incremental Repayments'!$I$22)),0),0)</f>
        <v>0</v>
      </c>
      <c r="J106" s="783">
        <f>IF('Incremental Repayments'!$R$22="Debt",IF(AND(J$4&gt;=$D106,J$4&lt;$D106+'Incremental Repayments'!$I$31),-PMT('Interest Rate'!$J$16,'Incremental Repayments'!$I$31,(HLOOKUP($D106,$E$4:$CZ$32,28,FALSE)*'Incremental Repayments'!$I$22)),0),0)</f>
        <v>0</v>
      </c>
      <c r="K106" s="783">
        <f>IF('Incremental Repayments'!$R$22="Debt",IF(AND(K$4&gt;=$D106,K$4&lt;$D106+'Incremental Repayments'!$I$31),-PMT('Interest Rate'!$J$16,'Incremental Repayments'!$I$31,(HLOOKUP($D106,$E$4:$CZ$32,28,FALSE)*'Incremental Repayments'!$I$22)),0),0)</f>
        <v>0</v>
      </c>
      <c r="L106" s="783">
        <f>IF('Incremental Repayments'!$R$22="Debt",IF(AND(L$4&gt;=$D106,L$4&lt;$D106+'Incremental Repayments'!$I$31),-PMT('Interest Rate'!$J$16,'Incremental Repayments'!$I$31,(HLOOKUP($D106,$E$4:$CZ$32,28,FALSE)*'Incremental Repayments'!$I$22)),0),0)</f>
        <v>0</v>
      </c>
      <c r="M106" s="783">
        <f>IF('Incremental Repayments'!$R$22="Debt",IF(AND(M$4&gt;=$D106,M$4&lt;$D106+'Incremental Repayments'!$I$31),-PMT('Interest Rate'!$J$16,'Incremental Repayments'!$I$31,(HLOOKUP($D106,$E$4:$CZ$32,28,FALSE)*'Incremental Repayments'!$I$22)),0),0)</f>
        <v>0</v>
      </c>
      <c r="N106" s="783">
        <f>IF('Incremental Repayments'!$R$22="Debt",IF(AND(N$4&gt;=$D106,N$4&lt;$D106+'Incremental Repayments'!$I$31),-PMT('Interest Rate'!$J$16,'Incremental Repayments'!$I$31,(HLOOKUP($D106,$E$4:$CZ$32,28,FALSE)*'Incremental Repayments'!$I$22)),0),0)</f>
        <v>0</v>
      </c>
      <c r="O106" s="783">
        <f>IF('Incremental Repayments'!$R$22="Debt",IF(AND(O$4&gt;=$D106,O$4&lt;$D106+'Incremental Repayments'!$I$31),-PMT('Interest Rate'!$J$16,'Incremental Repayments'!$I$31,(HLOOKUP($D106,$E$4:$CZ$32,28,FALSE)*'Incremental Repayments'!$I$22)),0),0)</f>
        <v>0</v>
      </c>
      <c r="P106" s="783">
        <f>IF('Incremental Repayments'!$R$22="Debt",IF(AND(P$4&gt;=$D106,P$4&lt;$D106+'Incremental Repayments'!$I$31),-PMT('Interest Rate'!$J$16,'Incremental Repayments'!$I$31,(HLOOKUP($D106,$E$4:$CZ$32,28,FALSE)*'Incremental Repayments'!$I$22)),0),0)</f>
        <v>0</v>
      </c>
      <c r="Q106" s="783">
        <f>IF('Incremental Repayments'!$R$22="Debt",IF(AND(Q$4&gt;=$D106,Q$4&lt;$D106+'Incremental Repayments'!$I$31),-PMT('Interest Rate'!$J$16,'Incremental Repayments'!$I$31,(HLOOKUP($D106,$E$4:$CZ$32,28,FALSE)*'Incremental Repayments'!$I$22)),0),0)</f>
        <v>0</v>
      </c>
      <c r="R106" s="783">
        <f>IF('Incremental Repayments'!$R$22="Debt",IF(AND(R$4&gt;=$D106,R$4&lt;$D106+'Incremental Repayments'!$I$31),-PMT('Interest Rate'!$J$16,'Incremental Repayments'!$I$31,(HLOOKUP($D106,$E$4:$CZ$32,28,FALSE)*'Incremental Repayments'!$I$22)),0),0)</f>
        <v>0</v>
      </c>
      <c r="S106" s="783">
        <f>IF('Incremental Repayments'!$R$22="Debt",IF(AND(S$4&gt;=$D106,S$4&lt;$D106+'Incremental Repayments'!$I$31),-PMT('Interest Rate'!$J$16,'Incremental Repayments'!$I$31,(HLOOKUP($D106,$E$4:$CZ$32,28,FALSE)*'Incremental Repayments'!$I$22)),0),0)</f>
        <v>0</v>
      </c>
      <c r="T106" s="783">
        <f>IF('Incremental Repayments'!$R$22="Debt",IF(AND(T$4&gt;=$D106,T$4&lt;$D106+'Incremental Repayments'!$I$31),-PMT('Interest Rate'!$J$16,'Incremental Repayments'!$I$31,(HLOOKUP($D106,$E$4:$CZ$32,28,FALSE)*'Incremental Repayments'!$I$22)),0),0)</f>
        <v>0</v>
      </c>
      <c r="U106" s="783">
        <f>IF('Incremental Repayments'!$R$22="Debt",IF(AND(U$4&gt;=$D106,U$4&lt;$D106+'Incremental Repayments'!$I$31),-PMT('Interest Rate'!$J$16,'Incremental Repayments'!$I$31,(HLOOKUP($D106,$E$4:$CZ$32,28,FALSE)*'Incremental Repayments'!$I$22)),0),0)</f>
        <v>0</v>
      </c>
      <c r="V106" s="783">
        <f>IF('Incremental Repayments'!$R$22="Debt",IF(AND(V$4&gt;=$D106,V$4&lt;$D106+'Incremental Repayments'!$I$31),-PMT('Interest Rate'!$J$16,'Incremental Repayments'!$I$31,(HLOOKUP($D106,$E$4:$CZ$32,28,FALSE)*'Incremental Repayments'!$I$22)),0),0)</f>
        <v>0</v>
      </c>
      <c r="W106" s="783">
        <f>IF('Incremental Repayments'!$R$22="Debt",IF(AND(W$4&gt;=$D106,W$4&lt;$D106+'Incremental Repayments'!$I$31),-PMT('Interest Rate'!$J$16,'Incremental Repayments'!$I$31,(HLOOKUP($D106,$E$4:$CZ$32,28,FALSE)*'Incremental Repayments'!$I$22)),0),0)</f>
        <v>0</v>
      </c>
      <c r="X106" s="783">
        <f>IF('Incremental Repayments'!$R$22="Debt",IF(AND(X$4&gt;=$D106,X$4&lt;$D106+'Incremental Repayments'!$I$31),-PMT('Interest Rate'!$J$16,'Incremental Repayments'!$I$31,(HLOOKUP($D106,$E$4:$CZ$32,28,FALSE)*'Incremental Repayments'!$I$22)),0),0)</f>
        <v>0</v>
      </c>
      <c r="Y106" s="783">
        <f>IF('Incremental Repayments'!$R$22="Debt",IF(AND(Y$4&gt;=$D106,Y$4&lt;$D106+'Incremental Repayments'!$I$31),-PMT('Interest Rate'!$J$16,'Incremental Repayments'!$I$31,(HLOOKUP($D106,$E$4:$CZ$32,28,FALSE)*'Incremental Repayments'!$I$22)),0),0)</f>
        <v>0</v>
      </c>
      <c r="Z106" s="783">
        <f>IF('Incremental Repayments'!$R$22="Debt",IF(AND(Z$4&gt;=$D106,Z$4&lt;$D106+'Incremental Repayments'!$I$31),-PMT('Interest Rate'!$J$16,'Incremental Repayments'!$I$31,(HLOOKUP($D106,$E$4:$CZ$32,28,FALSE)*'Incremental Repayments'!$I$22)),0),0)</f>
        <v>0</v>
      </c>
      <c r="AA106" s="783">
        <f>IF('Incremental Repayments'!$R$22="Debt",IF(AND(AA$4&gt;=$D106,AA$4&lt;$D106+'Incremental Repayments'!$I$31),-PMT('Interest Rate'!$J$16,'Incremental Repayments'!$I$31,(HLOOKUP($D106,$E$4:$CZ$32,28,FALSE)*'Incremental Repayments'!$I$22)),0),0)</f>
        <v>0</v>
      </c>
      <c r="AB106" s="783">
        <f>IF('Incremental Repayments'!$R$22="Debt",IF(AND(AB$4&gt;=$D106,AB$4&lt;$D106+'Incremental Repayments'!$I$31),-PMT('Interest Rate'!$J$16,'Incremental Repayments'!$I$31,(HLOOKUP($D106,$E$4:$CZ$32,28,FALSE)*'Incremental Repayments'!$I$22)),0),0)</f>
        <v>0</v>
      </c>
      <c r="AC106" s="783">
        <f>IF('Incremental Repayments'!$R$22="Debt",IF(AND(AC$4&gt;=$D106,AC$4&lt;$D106+'Incremental Repayments'!$I$31),-PMT('Interest Rate'!$J$16,'Incremental Repayments'!$I$31,(HLOOKUP($D106,$E$4:$CZ$32,28,FALSE)*'Incremental Repayments'!$I$22)),0),0)</f>
        <v>0</v>
      </c>
      <c r="AD106" s="783">
        <f>IF('Incremental Repayments'!$R$22="Debt",IF(AND(AD$4&gt;=$D106,AD$4&lt;$D106+'Incremental Repayments'!$I$31),-PMT('Interest Rate'!$J$16,'Incremental Repayments'!$I$31,(HLOOKUP($D106,$E$4:$CZ$32,28,FALSE)*'Incremental Repayments'!$I$22)),0),0)</f>
        <v>0</v>
      </c>
      <c r="AE106" s="783">
        <f>IF('Incremental Repayments'!$R$22="Debt",IF(AND(AE$4&gt;=$D106,AE$4&lt;$D106+'Incremental Repayments'!$I$31),-PMT('Interest Rate'!$J$16,'Incremental Repayments'!$I$31,(HLOOKUP($D106,$E$4:$CZ$32,28,FALSE)*'Incremental Repayments'!$I$22)),0),0)</f>
        <v>0</v>
      </c>
      <c r="AF106" s="783">
        <f>IF('Incremental Repayments'!$R$22="Debt",IF(AND(AF$4&gt;=$D106,AF$4&lt;$D106+'Incremental Repayments'!$I$31),-PMT('Interest Rate'!$J$16,'Incremental Repayments'!$I$31,(HLOOKUP($D106,$E$4:$CZ$32,28,FALSE)*'Incremental Repayments'!$I$22)),0),0)</f>
        <v>0</v>
      </c>
      <c r="AG106" s="783">
        <f>IF('Incremental Repayments'!$R$22="Debt",IF(AND(AG$4&gt;=$D106,AG$4&lt;$D106+'Incremental Repayments'!$I$31),-PMT('Interest Rate'!$J$16,'Incremental Repayments'!$I$31,(HLOOKUP($D106,$E$4:$CZ$32,28,FALSE)*'Incremental Repayments'!$I$22)),0),0)</f>
        <v>0</v>
      </c>
      <c r="AH106" s="783">
        <f>IF('Incremental Repayments'!$R$22="Debt",IF(AND(AH$4&gt;=$D106,AH$4&lt;$D106+'Incremental Repayments'!$I$31),-PMT('Interest Rate'!$J$16,'Incremental Repayments'!$I$31,(HLOOKUP($D106,$E$4:$CZ$32,28,FALSE)*'Incremental Repayments'!$I$22)),0),0)</f>
        <v>0</v>
      </c>
      <c r="AI106" s="783">
        <f>IF('Incremental Repayments'!$R$22="Debt",IF(AND(AI$4&gt;=$D106,AI$4&lt;$D106+'Incremental Repayments'!$I$31),-PMT('Interest Rate'!$J$16,'Incremental Repayments'!$I$31,(HLOOKUP($D106,$E$4:$CZ$32,28,FALSE)*'Incremental Repayments'!$I$22)),0),0)</f>
        <v>0</v>
      </c>
      <c r="AJ106" s="783">
        <f>IF('Incremental Repayments'!$R$22="Debt",IF(AND(AJ$4&gt;=$D106,AJ$4&lt;$D106+'Incremental Repayments'!$I$31),-PMT('Interest Rate'!$J$16,'Incremental Repayments'!$I$31,(HLOOKUP($D106,$E$4:$CZ$32,28,FALSE)*'Incremental Repayments'!$I$22)),0),0)</f>
        <v>0</v>
      </c>
      <c r="AK106" s="783">
        <f>IF('Incremental Repayments'!$R$22="Debt",IF(AND(AK$4&gt;=$D106,AK$4&lt;$D106+'Incremental Repayments'!$I$31),-PMT('Interest Rate'!$J$16,'Incremental Repayments'!$I$31,(HLOOKUP($D106,$E$4:$CZ$32,28,FALSE)*'Incremental Repayments'!$I$22)),0),0)</f>
        <v>0</v>
      </c>
      <c r="AL106" s="783">
        <f>IF('Incremental Repayments'!$R$22="Debt",IF(AND(AL$4&gt;=$D106,AL$4&lt;$D106+'Incremental Repayments'!$I$31),-PMT('Interest Rate'!$J$16,'Incremental Repayments'!$I$31,(HLOOKUP($D106,$E$4:$CZ$32,28,FALSE)*'Incremental Repayments'!$I$22)),0),0)</f>
        <v>0</v>
      </c>
      <c r="AM106" s="783">
        <f>IF('Incremental Repayments'!$R$22="Debt",IF(AND(AM$4&gt;=$D106,AM$4&lt;$D106+'Incremental Repayments'!$I$31),-PMT('Interest Rate'!$J$16,'Incremental Repayments'!$I$31,(HLOOKUP($D106,$E$4:$CZ$32,28,FALSE)*'Incremental Repayments'!$I$22)),0),0)</f>
        <v>0</v>
      </c>
      <c r="AN106" s="783">
        <f>IF('Incremental Repayments'!$R$22="Debt",IF(AND(AN$4&gt;=$D106,AN$4&lt;$D106+'Incremental Repayments'!$I$31),-PMT('Interest Rate'!$J$16,'Incremental Repayments'!$I$31,(HLOOKUP($D106,$E$4:$CZ$32,28,FALSE)*'Incremental Repayments'!$I$22)),0),0)</f>
        <v>0</v>
      </c>
      <c r="AO106" s="783">
        <f>IF('Incremental Repayments'!$R$22="Debt",IF(AND(AO$4&gt;=$D106,AO$4&lt;$D106+'Incremental Repayments'!$I$31),-PMT('Interest Rate'!$J$16,'Incremental Repayments'!$I$31,(HLOOKUP($D106,$E$4:$CZ$32,28,FALSE)*'Incremental Repayments'!$I$22)),0),0)</f>
        <v>0</v>
      </c>
      <c r="AP106" s="783">
        <f>IF('Incremental Repayments'!$R$22="Debt",IF(AND(AP$4&gt;=$D106,AP$4&lt;$D106+'Incremental Repayments'!$I$31),-PMT('Interest Rate'!$J$16,'Incremental Repayments'!$I$31,(HLOOKUP($D106,$E$4:$CZ$32,28,FALSE)*'Incremental Repayments'!$I$22)),0),0)</f>
        <v>0</v>
      </c>
      <c r="AQ106" s="783">
        <f>IF('Incremental Repayments'!$R$22="Debt",IF(AND(AQ$4&gt;=$D106,AQ$4&lt;$D106+'Incremental Repayments'!$I$31),-PMT('Interest Rate'!$J$16,'Incremental Repayments'!$I$31,(HLOOKUP($D106,$E$4:$CZ$32,28,FALSE)*'Incremental Repayments'!$I$22)),0),0)</f>
        <v>0</v>
      </c>
      <c r="AR106" s="783">
        <f>IF('Incremental Repayments'!$R$22="Debt",IF(AND(AR$4&gt;=$D106,AR$4&lt;$D106+'Incremental Repayments'!$I$31),-PMT('Interest Rate'!$J$16,'Incremental Repayments'!$I$31,(HLOOKUP($D106,$E$4:$CZ$32,28,FALSE)*'Incremental Repayments'!$I$22)),0),0)</f>
        <v>0</v>
      </c>
      <c r="AS106" s="783">
        <f>IF('Incremental Repayments'!$R$22="Debt",IF(AND(AS$4&gt;=$D106,AS$4&lt;$D106+'Incremental Repayments'!$I$31),-PMT('Interest Rate'!$J$16,'Incremental Repayments'!$I$31,(HLOOKUP($D106,$E$4:$CZ$32,28,FALSE)*'Incremental Repayments'!$I$22)),0),0)</f>
        <v>0</v>
      </c>
      <c r="AT106" s="783">
        <f>IF('Incremental Repayments'!$R$22="Debt",IF(AND(AT$4&gt;=$D106,AT$4&lt;$D106+'Incremental Repayments'!$I$31),-PMT('Interest Rate'!$J$16,'Incremental Repayments'!$I$31,(HLOOKUP($D106,$E$4:$CZ$32,28,FALSE)*'Incremental Repayments'!$I$22)),0),0)</f>
        <v>0</v>
      </c>
      <c r="AU106" s="783">
        <f>IF('Incremental Repayments'!$R$22="Debt",IF(AND(AU$4&gt;=$D106,AU$4&lt;$D106+'Incremental Repayments'!$I$31),-PMT('Interest Rate'!$J$16,'Incremental Repayments'!$I$31,(HLOOKUP($D106,$E$4:$CZ$32,28,FALSE)*'Incremental Repayments'!$I$22)),0),0)</f>
        <v>0</v>
      </c>
      <c r="AV106" s="783">
        <f>IF('Incremental Repayments'!$R$22="Debt",IF(AND(AV$4&gt;=$D106,AV$4&lt;$D106+'Incremental Repayments'!$I$31),-PMT('Interest Rate'!$J$16,'Incremental Repayments'!$I$31,(HLOOKUP($D106,$E$4:$CZ$32,28,FALSE)*'Incremental Repayments'!$I$22)),0),0)</f>
        <v>0</v>
      </c>
      <c r="AW106" s="783">
        <f>IF('Incremental Repayments'!$R$22="Debt",IF(AND(AW$4&gt;=$D106,AW$4&lt;$D106+'Incremental Repayments'!$I$31),-PMT('Interest Rate'!$J$16,'Incremental Repayments'!$I$31,(HLOOKUP($D106,$E$4:$CZ$32,28,FALSE)*'Incremental Repayments'!$I$22)),0),0)</f>
        <v>0</v>
      </c>
      <c r="AX106" s="783">
        <f>IF('Incremental Repayments'!$R$22="Debt",IF(AND(AX$4&gt;=$D106,AX$4&lt;$D106+'Incremental Repayments'!$I$31),-PMT('Interest Rate'!$J$16,'Incremental Repayments'!$I$31,(HLOOKUP($D106,$E$4:$CZ$32,28,FALSE)*'Incremental Repayments'!$I$22)),0),0)</f>
        <v>0</v>
      </c>
      <c r="AY106" s="783">
        <f>IF('Incremental Repayments'!$R$22="Debt",IF(AND(AY$4&gt;=$D106,AY$4&lt;$D106+'Incremental Repayments'!$I$31),-PMT('Interest Rate'!$J$16,'Incremental Repayments'!$I$31,(HLOOKUP($D106,$E$4:$CZ$32,28,FALSE)*'Incremental Repayments'!$I$22)),0),0)</f>
        <v>0</v>
      </c>
      <c r="AZ106" s="783">
        <f>IF('Incremental Repayments'!$R$22="Debt",IF(AND(AZ$4&gt;=$D106,AZ$4&lt;$D106+'Incremental Repayments'!$I$31),-PMT('Interest Rate'!$J$16,'Incremental Repayments'!$I$31,(HLOOKUP($D106,$E$4:$CZ$32,28,FALSE)*'Incremental Repayments'!$I$22)),0),0)</f>
        <v>0</v>
      </c>
      <c r="BA106" s="783">
        <f>IF('Incremental Repayments'!$R$22="Debt",IF(AND(BA$4&gt;=$D106,BA$4&lt;$D106+'Incremental Repayments'!$I$31),-PMT('Interest Rate'!$J$16,'Incremental Repayments'!$I$31,(HLOOKUP($D106,$E$4:$CZ$32,28,FALSE)*'Incremental Repayments'!$I$22)),0),0)</f>
        <v>0</v>
      </c>
      <c r="BB106" s="783">
        <f>IF('Incremental Repayments'!$R$22="Debt",IF(AND(BB$4&gt;=$D106,BB$4&lt;$D106+'Incremental Repayments'!$I$31),-PMT('Interest Rate'!$J$16,'Incremental Repayments'!$I$31,(HLOOKUP($D106,$E$4:$CZ$32,28,FALSE)*'Incremental Repayments'!$I$22)),0),0)</f>
        <v>0</v>
      </c>
      <c r="BC106" s="783">
        <f>IF('Incremental Repayments'!$R$22="Debt",IF(AND(BC$4&gt;=$D106,BC$4&lt;$D106+'Incremental Repayments'!$I$31),-PMT('Interest Rate'!$J$16,'Incremental Repayments'!$I$31,(HLOOKUP($D106,$E$4:$CZ$32,28,FALSE)*'Incremental Repayments'!$I$22)),0),0)</f>
        <v>0</v>
      </c>
      <c r="BD106" s="783">
        <f>IF('Incremental Repayments'!$R$22="Debt",IF(AND(BD$4&gt;=$D106,BD$4&lt;$D106+'Incremental Repayments'!$I$31),-PMT('Interest Rate'!$J$16,'Incremental Repayments'!$I$31,(HLOOKUP($D106,$E$4:$CZ$32,28,FALSE)*'Incremental Repayments'!$I$22)),0),0)</f>
        <v>0</v>
      </c>
      <c r="BE106" s="783">
        <f>IF('Incremental Repayments'!$R$22="Debt",IF(AND(BE$4&gt;=$D106,BE$4&lt;$D106+'Incremental Repayments'!$I$31),-PMT('Interest Rate'!$J$16,'Incremental Repayments'!$I$31,(HLOOKUP($D106,$E$4:$CZ$32,28,FALSE)*'Incremental Repayments'!$I$22)),0),0)</f>
        <v>0</v>
      </c>
      <c r="BF106" s="783">
        <f>IF('Incremental Repayments'!$R$22="Debt",IF(AND(BF$4&gt;=$D106,BF$4&lt;$D106+'Incremental Repayments'!$I$31),-PMT('Interest Rate'!$J$16,'Incremental Repayments'!$I$31,(HLOOKUP($D106,$E$4:$CZ$32,28,FALSE)*'Incremental Repayments'!$I$22)),0),0)</f>
        <v>0</v>
      </c>
      <c r="BG106" s="783">
        <f>IF('Incremental Repayments'!$R$22="Debt",IF(AND(BG$4&gt;=$D106,BG$4&lt;$D106+'Incremental Repayments'!$I$31),-PMT('Interest Rate'!$J$16,'Incremental Repayments'!$I$31,(HLOOKUP($D106,$E$4:$CZ$32,28,FALSE)*'Incremental Repayments'!$I$22)),0),0)</f>
        <v>0</v>
      </c>
      <c r="BH106" s="783">
        <f>IF('Incremental Repayments'!$R$22="Debt",IF(AND(BH$4&gt;=$D106,BH$4&lt;$D106+'Incremental Repayments'!$I$31),-PMT('Interest Rate'!$J$16,'Incremental Repayments'!$I$31,(HLOOKUP($D106,$E$4:$CZ$32,28,FALSE)*'Incremental Repayments'!$I$22)),0),0)</f>
        <v>0</v>
      </c>
      <c r="BI106" s="783">
        <f>IF('Incremental Repayments'!$R$22="Debt",IF(AND(BI$4&gt;=$D106,BI$4&lt;$D106+'Incremental Repayments'!$I$31),-PMT('Interest Rate'!$J$16,'Incremental Repayments'!$I$31,(HLOOKUP($D106,$E$4:$CZ$32,28,FALSE)*'Incremental Repayments'!$I$22)),0),0)</f>
        <v>0</v>
      </c>
      <c r="BJ106" s="783">
        <f>IF('Incremental Repayments'!$R$22="Debt",IF(AND(BJ$4&gt;=$D106,BJ$4&lt;$D106+'Incremental Repayments'!$I$31),-PMT('Interest Rate'!$J$16,'Incremental Repayments'!$I$31,(HLOOKUP($D106,$E$4:$CZ$32,28,FALSE)*'Incremental Repayments'!$I$22)),0),0)</f>
        <v>0</v>
      </c>
      <c r="BK106" s="783">
        <f>IF('Incremental Repayments'!$R$22="Debt",IF(AND(BK$4&gt;=$D106,BK$4&lt;$D106+'Incremental Repayments'!$I$31),-PMT('Interest Rate'!$J$16,'Incremental Repayments'!$I$31,(HLOOKUP($D106,$E$4:$CZ$32,28,FALSE)*'Incremental Repayments'!$I$22)),0),0)</f>
        <v>0</v>
      </c>
      <c r="BL106" s="783">
        <f>IF('Incremental Repayments'!$R$22="Debt",IF(AND(BL$4&gt;=$D106,BL$4&lt;$D106+'Incremental Repayments'!$I$31),-PMT('Interest Rate'!$J$16,'Incremental Repayments'!$I$31,(HLOOKUP($D106,$E$4:$CZ$32,28,FALSE)*'Incremental Repayments'!$I$22)),0),0)</f>
        <v>0</v>
      </c>
      <c r="BM106" s="783">
        <f>IF('Incremental Repayments'!$R$22="Debt",IF(AND(BM$4&gt;=$D106,BM$4&lt;$D106+'Incremental Repayments'!$I$31),-PMT('Interest Rate'!$J$16,'Incremental Repayments'!$I$31,(HLOOKUP($D106,$E$4:$CZ$32,28,FALSE)*'Incremental Repayments'!$I$22)),0),0)</f>
        <v>0</v>
      </c>
      <c r="BN106" s="783">
        <f>IF('Incremental Repayments'!$R$22="Debt",IF(AND(BN$4&gt;=$D106,BN$4&lt;$D106+'Incremental Repayments'!$I$31),-PMT('Interest Rate'!$J$16,'Incremental Repayments'!$I$31,(HLOOKUP($D106,$E$4:$CZ$32,28,FALSE)*'Incremental Repayments'!$I$22)),0),0)</f>
        <v>0</v>
      </c>
      <c r="BO106" s="783">
        <f>IF('Incremental Repayments'!$R$22="Debt",IF(AND(BO$4&gt;=$D106,BO$4&lt;$D106+'Incremental Repayments'!$I$31),-PMT('Interest Rate'!$J$16,'Incremental Repayments'!$I$31,(HLOOKUP($D106,$E$4:$CZ$32,28,FALSE)*'Incremental Repayments'!$I$22)),0),0)</f>
        <v>0</v>
      </c>
      <c r="BP106" s="783">
        <f>IF('Incremental Repayments'!$R$22="Debt",IF(AND(BP$4&gt;=$D106,BP$4&lt;$D106+'Incremental Repayments'!$I$31),-PMT('Interest Rate'!$J$16,'Incremental Repayments'!$I$31,(HLOOKUP($D106,$E$4:$CZ$32,28,FALSE)*'Incremental Repayments'!$I$22)),0),0)</f>
        <v>0</v>
      </c>
      <c r="BQ106" s="783">
        <f>IF('Incremental Repayments'!$R$22="Debt",IF(AND(BQ$4&gt;=$D106,BQ$4&lt;$D106+'Incremental Repayments'!$I$31),-PMT('Interest Rate'!$J$16,'Incremental Repayments'!$I$31,(HLOOKUP($D106,$E$4:$CZ$32,28,FALSE)*'Incremental Repayments'!$I$22)),0),0)</f>
        <v>0</v>
      </c>
      <c r="BR106" s="783">
        <f>IF('Incremental Repayments'!$R$22="Debt",IF(AND(BR$4&gt;=$D106,BR$4&lt;$D106+'Incremental Repayments'!$I$31),-PMT('Interest Rate'!$J$16,'Incremental Repayments'!$I$31,(HLOOKUP($D106,$E$4:$CZ$32,28,FALSE)*'Incremental Repayments'!$I$22)),0),0)</f>
        <v>0</v>
      </c>
      <c r="BS106" s="783">
        <f>IF('Incremental Repayments'!$R$22="Debt",IF(AND(BS$4&gt;=$D106,BS$4&lt;$D106+'Incremental Repayments'!$I$31),-PMT('Interest Rate'!$J$16,'Incremental Repayments'!$I$31,(HLOOKUP($D106,$E$4:$CZ$32,28,FALSE)*'Incremental Repayments'!$I$22)),0),0)</f>
        <v>0</v>
      </c>
      <c r="BT106" s="783">
        <f>IF('Incremental Repayments'!$R$22="Debt",IF(AND(BT$4&gt;=$D106,BT$4&lt;$D106+'Incremental Repayments'!$I$31),-PMT('Interest Rate'!$J$16,'Incremental Repayments'!$I$31,(HLOOKUP($D106,$E$4:$CZ$32,28,FALSE)*'Incremental Repayments'!$I$22)),0),0)</f>
        <v>0</v>
      </c>
      <c r="BU106" s="783">
        <f>IF('Incremental Repayments'!$R$22="Debt",IF(AND(BU$4&gt;=$D106,BU$4&lt;$D106+'Incremental Repayments'!$I$31),-PMT('Interest Rate'!$J$16,'Incremental Repayments'!$I$31,(HLOOKUP($D106,$E$4:$CZ$32,28,FALSE)*'Incremental Repayments'!$I$22)),0),0)</f>
        <v>0</v>
      </c>
      <c r="BV106" s="783">
        <f>IF('Incremental Repayments'!$R$22="Debt",IF(AND(BV$4&gt;=$D106,BV$4&lt;$D106+'Incremental Repayments'!$I$31),-PMT('Interest Rate'!$J$16,'Incremental Repayments'!$I$31,(HLOOKUP($D106,$E$4:$CZ$32,28,FALSE)*'Incremental Repayments'!$I$22)),0),0)</f>
        <v>0</v>
      </c>
      <c r="BW106" s="783">
        <f>IF('Incremental Repayments'!$R$22="Debt",IF(AND(BW$4&gt;=$D106,BW$4&lt;$D106+'Incremental Repayments'!$I$31),-PMT('Interest Rate'!$J$16,'Incremental Repayments'!$I$31,(HLOOKUP($D106,$E$4:$CZ$32,28,FALSE)*'Incremental Repayments'!$I$22)),0),0)</f>
        <v>0</v>
      </c>
      <c r="BX106" s="783">
        <f>IF('Incremental Repayments'!$R$22="Debt",IF(AND(BX$4&gt;=$D106,BX$4&lt;$D106+'Incremental Repayments'!$I$31),-PMT('Interest Rate'!$J$16,'Incremental Repayments'!$I$31,(HLOOKUP($D106,$E$4:$CZ$32,28,FALSE)*'Incremental Repayments'!$I$22)),0),0)</f>
        <v>0</v>
      </c>
      <c r="BY106" s="783">
        <f>IF('Incremental Repayments'!$R$22="Debt",IF(AND(BY$4&gt;=$D106,BY$4&lt;$D106+'Incremental Repayments'!$I$31),-PMT('Interest Rate'!$J$16,'Incremental Repayments'!$I$31,(HLOOKUP($D106,$E$4:$CZ$32,28,FALSE)*'Incremental Repayments'!$I$22)),0),0)</f>
        <v>0</v>
      </c>
      <c r="BZ106" s="783">
        <f>IF('Incremental Repayments'!$R$22="Debt",IF(AND(BZ$4&gt;=$D106,BZ$4&lt;$D106+'Incremental Repayments'!$I$31),-PMT('Interest Rate'!$J$16,'Incremental Repayments'!$I$31,(HLOOKUP($D106,$E$4:$CZ$32,28,FALSE)*'Incremental Repayments'!$I$22)),0),0)</f>
        <v>0</v>
      </c>
      <c r="CA106" s="783">
        <f>IF('Incremental Repayments'!$R$22="Debt",IF(AND(CA$4&gt;=$D106,CA$4&lt;$D106+'Incremental Repayments'!$I$31),-PMT('Interest Rate'!$J$16,'Incremental Repayments'!$I$31,(HLOOKUP($D106,$E$4:$CZ$32,28,FALSE)*'Incremental Repayments'!$I$22)),0),0)</f>
        <v>0</v>
      </c>
      <c r="CB106" s="783">
        <f>IF('Incremental Repayments'!$R$22="Debt",IF(AND(CB$4&gt;=$D106,CB$4&lt;$D106+'Incremental Repayments'!$I$31),-PMT('Interest Rate'!$J$16,'Incremental Repayments'!$I$31,(HLOOKUP($D106,$E$4:$CZ$32,28,FALSE)*'Incremental Repayments'!$I$22)),0),0)</f>
        <v>0</v>
      </c>
      <c r="CC106" s="783">
        <f>IF('Incremental Repayments'!$R$22="Debt",IF(AND(CC$4&gt;=$D106,CC$4&lt;$D106+'Incremental Repayments'!$I$31),-PMT('Interest Rate'!$J$16,'Incremental Repayments'!$I$31,(HLOOKUP($D106,$E$4:$CZ$32,28,FALSE)*'Incremental Repayments'!$I$22)),0),0)</f>
        <v>0</v>
      </c>
      <c r="CD106" s="783">
        <f>IF('Incremental Repayments'!$R$22="Debt",IF(AND(CD$4&gt;=$D106,CD$4&lt;$D106+'Incremental Repayments'!$I$31),-PMT('Interest Rate'!$J$16,'Incremental Repayments'!$I$31,(HLOOKUP($D106,$E$4:$CZ$32,28,FALSE)*'Incremental Repayments'!$I$22)),0),0)</f>
        <v>0</v>
      </c>
      <c r="CE106" s="783">
        <f>IF('Incremental Repayments'!$R$22="Debt",IF(AND(CE$4&gt;=$D106,CE$4&lt;$D106+'Incremental Repayments'!$I$31),-PMT('Interest Rate'!$J$16,'Incremental Repayments'!$I$31,(HLOOKUP($D106,$E$4:$CZ$32,28,FALSE)*'Incremental Repayments'!$I$22)),0),0)</f>
        <v>0</v>
      </c>
      <c r="CF106" s="783">
        <f>IF('Incremental Repayments'!$R$22="Debt",IF(AND(CF$4&gt;=$D106,CF$4&lt;$D106+'Incremental Repayments'!$I$31),-PMT('Interest Rate'!$J$16,'Incremental Repayments'!$I$31,(HLOOKUP($D106,$E$4:$CZ$32,28,FALSE)*'Incremental Repayments'!$I$22)),0),0)</f>
        <v>0</v>
      </c>
      <c r="CG106" s="783">
        <f>IF('Incremental Repayments'!$R$22="Debt",IF(AND(CG$4&gt;=$D106,CG$4&lt;$D106+'Incremental Repayments'!$I$31),-PMT('Interest Rate'!$J$16,'Incremental Repayments'!$I$31,(HLOOKUP($D106,$E$4:$CZ$32,28,FALSE)*'Incremental Repayments'!$I$22)),0),0)</f>
        <v>0</v>
      </c>
      <c r="CH106" s="783">
        <f>IF('Incremental Repayments'!$R$22="Debt",IF(AND(CH$4&gt;=$D106,CH$4&lt;$D106+'Incremental Repayments'!$I$31),-PMT('Interest Rate'!$J$16,'Incremental Repayments'!$I$31,(HLOOKUP($D106,$E$4:$CZ$32,28,FALSE)*'Incremental Repayments'!$I$22)),0),0)</f>
        <v>0</v>
      </c>
      <c r="CI106" s="783">
        <f>IF('Incremental Repayments'!$R$22="Debt",IF(AND(CI$4&gt;=$D106,CI$4&lt;$D106+'Incremental Repayments'!$I$31),-PMT('Interest Rate'!$J$16,'Incremental Repayments'!$I$31,(HLOOKUP($D106,$E$4:$CZ$32,28,FALSE)*'Incremental Repayments'!$I$22)),0),0)</f>
        <v>0</v>
      </c>
      <c r="CJ106" s="783">
        <f>IF('Incremental Repayments'!$R$22="Debt",IF(AND(CJ$4&gt;=$D106,CJ$4&lt;$D106+'Incremental Repayments'!$I$31),-PMT('Interest Rate'!$J$16,'Incremental Repayments'!$I$31,(HLOOKUP($D106,$E$4:$CZ$32,28,FALSE)*'Incremental Repayments'!$I$22)),0),0)</f>
        <v>0</v>
      </c>
      <c r="CK106" s="783">
        <f>IF('Incremental Repayments'!$R$22="Debt",IF(AND(CK$4&gt;=$D106,CK$4&lt;$D106+'Incremental Repayments'!$I$31),-PMT('Interest Rate'!$J$16,'Incremental Repayments'!$I$31,(HLOOKUP($D106,$E$4:$CZ$32,28,FALSE)*'Incremental Repayments'!$I$22)),0),0)</f>
        <v>0</v>
      </c>
      <c r="CL106" s="783">
        <f>IF('Incremental Repayments'!$R$22="Debt",IF(AND(CL$4&gt;=$D106,CL$4&lt;$D106+'Incremental Repayments'!$I$31),-PMT('Interest Rate'!$J$16,'Incremental Repayments'!$I$31,(HLOOKUP($D106,$E$4:$CZ$32,28,FALSE)*'Incremental Repayments'!$I$22)),0),0)</f>
        <v>0</v>
      </c>
      <c r="CM106" s="783">
        <f>IF('Incremental Repayments'!$R$22="Debt",IF(AND(CM$4&gt;=$D106,CM$4&lt;$D106+'Incremental Repayments'!$I$31),-PMT('Interest Rate'!$J$16,'Incremental Repayments'!$I$31,(HLOOKUP($D106,$E$4:$CZ$32,28,FALSE)*'Incremental Repayments'!$I$22)),0),0)</f>
        <v>0</v>
      </c>
      <c r="CN106" s="783">
        <f>IF('Incremental Repayments'!$R$22="Debt",IF(AND(CN$4&gt;=$D106,CN$4&lt;$D106+'Incremental Repayments'!$I$31),-PMT('Interest Rate'!$J$16,'Incremental Repayments'!$I$31,(HLOOKUP($D106,$E$4:$CZ$32,28,FALSE)*'Incremental Repayments'!$I$22)),0),0)</f>
        <v>0</v>
      </c>
      <c r="CO106" s="783">
        <f>IF('Incremental Repayments'!$R$22="Debt",IF(AND(CO$4&gt;=$D106,CO$4&lt;$D106+'Incremental Repayments'!$I$31),-PMT('Interest Rate'!$J$16,'Incremental Repayments'!$I$31,(HLOOKUP($D106,$E$4:$CZ$32,28,FALSE)*'Incremental Repayments'!$I$22)),0),0)</f>
        <v>0</v>
      </c>
      <c r="CP106" s="783">
        <f>IF('Incremental Repayments'!$R$22="Debt",IF(AND(CP$4&gt;=$D106,CP$4&lt;$D106+'Incremental Repayments'!$I$31),-PMT('Interest Rate'!$J$16,'Incremental Repayments'!$I$31,(HLOOKUP($D106,$E$4:$CZ$32,28,FALSE)*'Incremental Repayments'!$I$22)),0),0)</f>
        <v>0</v>
      </c>
      <c r="CQ106" s="783">
        <f>IF('Incremental Repayments'!$R$22="Debt",IF(AND(CQ$4&gt;=$D106,CQ$4&lt;$D106+'Incremental Repayments'!$I$31),-PMT('Interest Rate'!$J$16,'Incremental Repayments'!$I$31,(HLOOKUP($D106,$E$4:$CZ$32,28,FALSE)*'Incremental Repayments'!$I$22)),0),0)</f>
        <v>0</v>
      </c>
      <c r="CR106" s="783">
        <f>IF('Incremental Repayments'!$R$22="Debt",IF(AND(CR$4&gt;=$D106,CR$4&lt;$D106+'Incremental Repayments'!$I$31),-PMT('Interest Rate'!$J$16,'Incremental Repayments'!$I$31,(HLOOKUP($D106,$E$4:$CZ$32,28,FALSE)*'Incremental Repayments'!$I$22)),0),0)</f>
        <v>0</v>
      </c>
      <c r="CS106" s="783">
        <f>IF('Incremental Repayments'!$R$22="Debt",IF(AND(CS$4&gt;=$D106,CS$4&lt;$D106+'Incremental Repayments'!$I$31),-PMT('Interest Rate'!$J$16,'Incremental Repayments'!$I$31,(HLOOKUP($D106,$E$4:$CZ$32,28,FALSE)*'Incremental Repayments'!$I$22)),0),0)</f>
        <v>0</v>
      </c>
      <c r="CT106" s="783">
        <f>IF('Incremental Repayments'!$R$22="Debt",IF(AND(CT$4&gt;=$D106,CT$4&lt;$D106+'Incremental Repayments'!$I$31),-PMT('Interest Rate'!$J$16,'Incremental Repayments'!$I$31,(HLOOKUP($D106,$E$4:$CZ$32,28,FALSE)*'Incremental Repayments'!$I$22)),0),0)</f>
        <v>0</v>
      </c>
      <c r="CU106" s="783">
        <f>IF('Incremental Repayments'!$R$22="Debt",IF(AND(CU$4&gt;=$D106,CU$4&lt;$D106+'Incremental Repayments'!$I$31),-PMT('Interest Rate'!$J$16,'Incremental Repayments'!$I$31,(HLOOKUP($D106,$E$4:$CZ$32,28,FALSE)*'Incremental Repayments'!$I$22)),0),0)</f>
        <v>0</v>
      </c>
      <c r="CV106" s="783">
        <f>IF('Incremental Repayments'!$R$22="Debt",IF(AND(CV$4&gt;=$D106,CV$4&lt;$D106+'Incremental Repayments'!$I$31),-PMT('Interest Rate'!$J$16,'Incremental Repayments'!$I$31,(HLOOKUP($D106,$E$4:$CZ$32,28,FALSE)*'Incremental Repayments'!$I$22)),0),0)</f>
        <v>0</v>
      </c>
      <c r="CW106" s="783">
        <f>IF('Incremental Repayments'!$R$22="Debt",IF(AND(CW$4&gt;=$D106,CW$4&lt;$D106+'Incremental Repayments'!$I$31),-PMT('Interest Rate'!$J$16,'Incremental Repayments'!$I$31,(HLOOKUP($D106,$E$4:$CZ$32,28,FALSE)*'Incremental Repayments'!$I$22)),0),0)</f>
        <v>0</v>
      </c>
      <c r="CX106" s="783">
        <f>IF('Incremental Repayments'!$R$22="Debt",IF(AND(CX$4&gt;=$D106,CX$4&lt;$D106+'Incremental Repayments'!$I$31),-PMT('Interest Rate'!$J$16,'Incremental Repayments'!$I$31,(HLOOKUP($D106,$E$4:$CZ$32,28,FALSE)*'Incremental Repayments'!$I$22)),0),0)</f>
        <v>0</v>
      </c>
      <c r="CY106" s="783">
        <f>IF('Incremental Repayments'!$R$22="Debt",IF(AND(CY$4&gt;=$D106,CY$4&lt;$D106+'Incremental Repayments'!$I$31),-PMT('Interest Rate'!$J$16,'Incremental Repayments'!$I$31,(HLOOKUP($D106,$E$4:$CZ$32,28,FALSE)*'Incremental Repayments'!$I$22)),0),0)</f>
        <v>0</v>
      </c>
      <c r="CZ106" s="783">
        <f>IF('Incremental Repayments'!$R$22="Debt",IF(AND(CZ$4&gt;=$D106,CZ$4&lt;$D106+'Incremental Repayments'!$I$31),-PMT('Interest Rate'!$J$16,'Incremental Repayments'!$I$31,(HLOOKUP($D106,$E$4:$CZ$32,28,FALSE)*'Incremental Repayments'!$I$22)),0),0)</f>
        <v>0</v>
      </c>
    </row>
    <row r="107" spans="2:104" x14ac:dyDescent="0.25">
      <c r="B107" s="480" t="str">
        <f>CONCATENATE("Series ",D107,"A Bonds (at ",'Interest Rate'!$J$16*100,"% Interest)")</f>
        <v>Series 2085A Bonds (at 4.5% Interest)</v>
      </c>
      <c r="C107" s="480"/>
      <c r="D107" s="492">
        <f t="shared" si="47"/>
        <v>2085</v>
      </c>
      <c r="E107" s="783">
        <f>IF('Incremental Repayments'!$R$22="Debt",IF(AND(E$4&gt;=$D107,E$4&lt;$D107+'Incremental Repayments'!$I$31),-PMT('Interest Rate'!$J$16,'Incremental Repayments'!$I$31,(HLOOKUP($D107,$E$4:$CZ$32,28,FALSE)*'Incremental Repayments'!$I$22)),0),0)</f>
        <v>0</v>
      </c>
      <c r="F107" s="783">
        <f>IF('Incremental Repayments'!$R$22="Debt",IF(AND(F$4&gt;=$D107,F$4&lt;$D107+'Incremental Repayments'!$I$31),-PMT('Interest Rate'!$J$16,'Incremental Repayments'!$I$31,(HLOOKUP($D107,$E$4:$CZ$32,28,FALSE)*'Incremental Repayments'!$I$22)),0),0)</f>
        <v>0</v>
      </c>
      <c r="G107" s="783">
        <f>IF('Incremental Repayments'!$R$22="Debt",IF(AND(G$4&gt;=$D107,G$4&lt;$D107+'Incremental Repayments'!$I$31),-PMT('Interest Rate'!$J$16,'Incremental Repayments'!$I$31,(HLOOKUP($D107,$E$4:$CZ$32,28,FALSE)*'Incremental Repayments'!$I$22)),0),0)</f>
        <v>0</v>
      </c>
      <c r="H107" s="783">
        <f>IF('Incremental Repayments'!$R$22="Debt",IF(AND(H$4&gt;=$D107,H$4&lt;$D107+'Incremental Repayments'!$I$31),-PMT('Interest Rate'!$J$16,'Incremental Repayments'!$I$31,(HLOOKUP($D107,$E$4:$CZ$32,28,FALSE)*'Incremental Repayments'!$I$22)),0),0)</f>
        <v>0</v>
      </c>
      <c r="I107" s="783">
        <f>IF('Incremental Repayments'!$R$22="Debt",IF(AND(I$4&gt;=$D107,I$4&lt;$D107+'Incremental Repayments'!$I$31),-PMT('Interest Rate'!$J$16,'Incremental Repayments'!$I$31,(HLOOKUP($D107,$E$4:$CZ$32,28,FALSE)*'Incremental Repayments'!$I$22)),0),0)</f>
        <v>0</v>
      </c>
      <c r="J107" s="783">
        <f>IF('Incremental Repayments'!$R$22="Debt",IF(AND(J$4&gt;=$D107,J$4&lt;$D107+'Incremental Repayments'!$I$31),-PMT('Interest Rate'!$J$16,'Incremental Repayments'!$I$31,(HLOOKUP($D107,$E$4:$CZ$32,28,FALSE)*'Incremental Repayments'!$I$22)),0),0)</f>
        <v>0</v>
      </c>
      <c r="K107" s="783">
        <f>IF('Incremental Repayments'!$R$22="Debt",IF(AND(K$4&gt;=$D107,K$4&lt;$D107+'Incremental Repayments'!$I$31),-PMT('Interest Rate'!$J$16,'Incremental Repayments'!$I$31,(HLOOKUP($D107,$E$4:$CZ$32,28,FALSE)*'Incremental Repayments'!$I$22)),0),0)</f>
        <v>0</v>
      </c>
      <c r="L107" s="783">
        <f>IF('Incremental Repayments'!$R$22="Debt",IF(AND(L$4&gt;=$D107,L$4&lt;$D107+'Incremental Repayments'!$I$31),-PMT('Interest Rate'!$J$16,'Incremental Repayments'!$I$31,(HLOOKUP($D107,$E$4:$CZ$32,28,FALSE)*'Incremental Repayments'!$I$22)),0),0)</f>
        <v>0</v>
      </c>
      <c r="M107" s="783">
        <f>IF('Incremental Repayments'!$R$22="Debt",IF(AND(M$4&gt;=$D107,M$4&lt;$D107+'Incremental Repayments'!$I$31),-PMT('Interest Rate'!$J$16,'Incremental Repayments'!$I$31,(HLOOKUP($D107,$E$4:$CZ$32,28,FALSE)*'Incremental Repayments'!$I$22)),0),0)</f>
        <v>0</v>
      </c>
      <c r="N107" s="783">
        <f>IF('Incremental Repayments'!$R$22="Debt",IF(AND(N$4&gt;=$D107,N$4&lt;$D107+'Incremental Repayments'!$I$31),-PMT('Interest Rate'!$J$16,'Incremental Repayments'!$I$31,(HLOOKUP($D107,$E$4:$CZ$32,28,FALSE)*'Incremental Repayments'!$I$22)),0),0)</f>
        <v>0</v>
      </c>
      <c r="O107" s="783">
        <f>IF('Incremental Repayments'!$R$22="Debt",IF(AND(O$4&gt;=$D107,O$4&lt;$D107+'Incremental Repayments'!$I$31),-PMT('Interest Rate'!$J$16,'Incremental Repayments'!$I$31,(HLOOKUP($D107,$E$4:$CZ$32,28,FALSE)*'Incremental Repayments'!$I$22)),0),0)</f>
        <v>0</v>
      </c>
      <c r="P107" s="783">
        <f>IF('Incremental Repayments'!$R$22="Debt",IF(AND(P$4&gt;=$D107,P$4&lt;$D107+'Incremental Repayments'!$I$31),-PMT('Interest Rate'!$J$16,'Incremental Repayments'!$I$31,(HLOOKUP($D107,$E$4:$CZ$32,28,FALSE)*'Incremental Repayments'!$I$22)),0),0)</f>
        <v>0</v>
      </c>
      <c r="Q107" s="783">
        <f>IF('Incremental Repayments'!$R$22="Debt",IF(AND(Q$4&gt;=$D107,Q$4&lt;$D107+'Incremental Repayments'!$I$31),-PMT('Interest Rate'!$J$16,'Incremental Repayments'!$I$31,(HLOOKUP($D107,$E$4:$CZ$32,28,FALSE)*'Incremental Repayments'!$I$22)),0),0)</f>
        <v>0</v>
      </c>
      <c r="R107" s="783">
        <f>IF('Incremental Repayments'!$R$22="Debt",IF(AND(R$4&gt;=$D107,R$4&lt;$D107+'Incremental Repayments'!$I$31),-PMT('Interest Rate'!$J$16,'Incremental Repayments'!$I$31,(HLOOKUP($D107,$E$4:$CZ$32,28,FALSE)*'Incremental Repayments'!$I$22)),0),0)</f>
        <v>0</v>
      </c>
      <c r="S107" s="783">
        <f>IF('Incremental Repayments'!$R$22="Debt",IF(AND(S$4&gt;=$D107,S$4&lt;$D107+'Incremental Repayments'!$I$31),-PMT('Interest Rate'!$J$16,'Incremental Repayments'!$I$31,(HLOOKUP($D107,$E$4:$CZ$32,28,FALSE)*'Incremental Repayments'!$I$22)),0),0)</f>
        <v>0</v>
      </c>
      <c r="T107" s="783">
        <f>IF('Incremental Repayments'!$R$22="Debt",IF(AND(T$4&gt;=$D107,T$4&lt;$D107+'Incremental Repayments'!$I$31),-PMT('Interest Rate'!$J$16,'Incremental Repayments'!$I$31,(HLOOKUP($D107,$E$4:$CZ$32,28,FALSE)*'Incremental Repayments'!$I$22)),0),0)</f>
        <v>0</v>
      </c>
      <c r="U107" s="783">
        <f>IF('Incremental Repayments'!$R$22="Debt",IF(AND(U$4&gt;=$D107,U$4&lt;$D107+'Incremental Repayments'!$I$31),-PMT('Interest Rate'!$J$16,'Incremental Repayments'!$I$31,(HLOOKUP($D107,$E$4:$CZ$32,28,FALSE)*'Incremental Repayments'!$I$22)),0),0)</f>
        <v>0</v>
      </c>
      <c r="V107" s="783">
        <f>IF('Incremental Repayments'!$R$22="Debt",IF(AND(V$4&gt;=$D107,V$4&lt;$D107+'Incremental Repayments'!$I$31),-PMT('Interest Rate'!$J$16,'Incremental Repayments'!$I$31,(HLOOKUP($D107,$E$4:$CZ$32,28,FALSE)*'Incremental Repayments'!$I$22)),0),0)</f>
        <v>0</v>
      </c>
      <c r="W107" s="783">
        <f>IF('Incremental Repayments'!$R$22="Debt",IF(AND(W$4&gt;=$D107,W$4&lt;$D107+'Incremental Repayments'!$I$31),-PMT('Interest Rate'!$J$16,'Incremental Repayments'!$I$31,(HLOOKUP($D107,$E$4:$CZ$32,28,FALSE)*'Incremental Repayments'!$I$22)),0),0)</f>
        <v>0</v>
      </c>
      <c r="X107" s="783">
        <f>IF('Incremental Repayments'!$R$22="Debt",IF(AND(X$4&gt;=$D107,X$4&lt;$D107+'Incremental Repayments'!$I$31),-PMT('Interest Rate'!$J$16,'Incremental Repayments'!$I$31,(HLOOKUP($D107,$E$4:$CZ$32,28,FALSE)*'Incremental Repayments'!$I$22)),0),0)</f>
        <v>0</v>
      </c>
      <c r="Y107" s="783">
        <f>IF('Incremental Repayments'!$R$22="Debt",IF(AND(Y$4&gt;=$D107,Y$4&lt;$D107+'Incremental Repayments'!$I$31),-PMT('Interest Rate'!$J$16,'Incremental Repayments'!$I$31,(HLOOKUP($D107,$E$4:$CZ$32,28,FALSE)*'Incremental Repayments'!$I$22)),0),0)</f>
        <v>0</v>
      </c>
      <c r="Z107" s="783">
        <f>IF('Incremental Repayments'!$R$22="Debt",IF(AND(Z$4&gt;=$D107,Z$4&lt;$D107+'Incremental Repayments'!$I$31),-PMT('Interest Rate'!$J$16,'Incremental Repayments'!$I$31,(HLOOKUP($D107,$E$4:$CZ$32,28,FALSE)*'Incremental Repayments'!$I$22)),0),0)</f>
        <v>0</v>
      </c>
      <c r="AA107" s="783">
        <f>IF('Incremental Repayments'!$R$22="Debt",IF(AND(AA$4&gt;=$D107,AA$4&lt;$D107+'Incremental Repayments'!$I$31),-PMT('Interest Rate'!$J$16,'Incremental Repayments'!$I$31,(HLOOKUP($D107,$E$4:$CZ$32,28,FALSE)*'Incremental Repayments'!$I$22)),0),0)</f>
        <v>0</v>
      </c>
      <c r="AB107" s="783">
        <f>IF('Incremental Repayments'!$R$22="Debt",IF(AND(AB$4&gt;=$D107,AB$4&lt;$D107+'Incremental Repayments'!$I$31),-PMT('Interest Rate'!$J$16,'Incremental Repayments'!$I$31,(HLOOKUP($D107,$E$4:$CZ$32,28,FALSE)*'Incremental Repayments'!$I$22)),0),0)</f>
        <v>0</v>
      </c>
      <c r="AC107" s="783">
        <f>IF('Incremental Repayments'!$R$22="Debt",IF(AND(AC$4&gt;=$D107,AC$4&lt;$D107+'Incremental Repayments'!$I$31),-PMT('Interest Rate'!$J$16,'Incremental Repayments'!$I$31,(HLOOKUP($D107,$E$4:$CZ$32,28,FALSE)*'Incremental Repayments'!$I$22)),0),0)</f>
        <v>0</v>
      </c>
      <c r="AD107" s="783">
        <f>IF('Incremental Repayments'!$R$22="Debt",IF(AND(AD$4&gt;=$D107,AD$4&lt;$D107+'Incremental Repayments'!$I$31),-PMT('Interest Rate'!$J$16,'Incremental Repayments'!$I$31,(HLOOKUP($D107,$E$4:$CZ$32,28,FALSE)*'Incremental Repayments'!$I$22)),0),0)</f>
        <v>0</v>
      </c>
      <c r="AE107" s="783">
        <f>IF('Incremental Repayments'!$R$22="Debt",IF(AND(AE$4&gt;=$D107,AE$4&lt;$D107+'Incremental Repayments'!$I$31),-PMT('Interest Rate'!$J$16,'Incremental Repayments'!$I$31,(HLOOKUP($D107,$E$4:$CZ$32,28,FALSE)*'Incremental Repayments'!$I$22)),0),0)</f>
        <v>0</v>
      </c>
      <c r="AF107" s="783">
        <f>IF('Incremental Repayments'!$R$22="Debt",IF(AND(AF$4&gt;=$D107,AF$4&lt;$D107+'Incremental Repayments'!$I$31),-PMT('Interest Rate'!$J$16,'Incremental Repayments'!$I$31,(HLOOKUP($D107,$E$4:$CZ$32,28,FALSE)*'Incremental Repayments'!$I$22)),0),0)</f>
        <v>0</v>
      </c>
      <c r="AG107" s="783">
        <f>IF('Incremental Repayments'!$R$22="Debt",IF(AND(AG$4&gt;=$D107,AG$4&lt;$D107+'Incremental Repayments'!$I$31),-PMT('Interest Rate'!$J$16,'Incremental Repayments'!$I$31,(HLOOKUP($D107,$E$4:$CZ$32,28,FALSE)*'Incremental Repayments'!$I$22)),0),0)</f>
        <v>0</v>
      </c>
      <c r="AH107" s="783">
        <f>IF('Incremental Repayments'!$R$22="Debt",IF(AND(AH$4&gt;=$D107,AH$4&lt;$D107+'Incremental Repayments'!$I$31),-PMT('Interest Rate'!$J$16,'Incremental Repayments'!$I$31,(HLOOKUP($D107,$E$4:$CZ$32,28,FALSE)*'Incremental Repayments'!$I$22)),0),0)</f>
        <v>0</v>
      </c>
      <c r="AI107" s="783">
        <f>IF('Incremental Repayments'!$R$22="Debt",IF(AND(AI$4&gt;=$D107,AI$4&lt;$D107+'Incremental Repayments'!$I$31),-PMT('Interest Rate'!$J$16,'Incremental Repayments'!$I$31,(HLOOKUP($D107,$E$4:$CZ$32,28,FALSE)*'Incremental Repayments'!$I$22)),0),0)</f>
        <v>0</v>
      </c>
      <c r="AJ107" s="783">
        <f>IF('Incremental Repayments'!$R$22="Debt",IF(AND(AJ$4&gt;=$D107,AJ$4&lt;$D107+'Incremental Repayments'!$I$31),-PMT('Interest Rate'!$J$16,'Incremental Repayments'!$I$31,(HLOOKUP($D107,$E$4:$CZ$32,28,FALSE)*'Incremental Repayments'!$I$22)),0),0)</f>
        <v>0</v>
      </c>
      <c r="AK107" s="783">
        <f>IF('Incremental Repayments'!$R$22="Debt",IF(AND(AK$4&gt;=$D107,AK$4&lt;$D107+'Incremental Repayments'!$I$31),-PMT('Interest Rate'!$J$16,'Incremental Repayments'!$I$31,(HLOOKUP($D107,$E$4:$CZ$32,28,FALSE)*'Incremental Repayments'!$I$22)),0),0)</f>
        <v>0</v>
      </c>
      <c r="AL107" s="783">
        <f>IF('Incremental Repayments'!$R$22="Debt",IF(AND(AL$4&gt;=$D107,AL$4&lt;$D107+'Incremental Repayments'!$I$31),-PMT('Interest Rate'!$J$16,'Incremental Repayments'!$I$31,(HLOOKUP($D107,$E$4:$CZ$32,28,FALSE)*'Incremental Repayments'!$I$22)),0),0)</f>
        <v>0</v>
      </c>
      <c r="AM107" s="783">
        <f>IF('Incremental Repayments'!$R$22="Debt",IF(AND(AM$4&gt;=$D107,AM$4&lt;$D107+'Incremental Repayments'!$I$31),-PMT('Interest Rate'!$J$16,'Incremental Repayments'!$I$31,(HLOOKUP($D107,$E$4:$CZ$32,28,FALSE)*'Incremental Repayments'!$I$22)),0),0)</f>
        <v>0</v>
      </c>
      <c r="AN107" s="783">
        <f>IF('Incremental Repayments'!$R$22="Debt",IF(AND(AN$4&gt;=$D107,AN$4&lt;$D107+'Incremental Repayments'!$I$31),-PMT('Interest Rate'!$J$16,'Incremental Repayments'!$I$31,(HLOOKUP($D107,$E$4:$CZ$32,28,FALSE)*'Incremental Repayments'!$I$22)),0),0)</f>
        <v>0</v>
      </c>
      <c r="AO107" s="783">
        <f>IF('Incremental Repayments'!$R$22="Debt",IF(AND(AO$4&gt;=$D107,AO$4&lt;$D107+'Incremental Repayments'!$I$31),-PMT('Interest Rate'!$J$16,'Incremental Repayments'!$I$31,(HLOOKUP($D107,$E$4:$CZ$32,28,FALSE)*'Incremental Repayments'!$I$22)),0),0)</f>
        <v>0</v>
      </c>
      <c r="AP107" s="783">
        <f>IF('Incremental Repayments'!$R$22="Debt",IF(AND(AP$4&gt;=$D107,AP$4&lt;$D107+'Incremental Repayments'!$I$31),-PMT('Interest Rate'!$J$16,'Incremental Repayments'!$I$31,(HLOOKUP($D107,$E$4:$CZ$32,28,FALSE)*'Incremental Repayments'!$I$22)),0),0)</f>
        <v>0</v>
      </c>
      <c r="AQ107" s="783">
        <f>IF('Incremental Repayments'!$R$22="Debt",IF(AND(AQ$4&gt;=$D107,AQ$4&lt;$D107+'Incremental Repayments'!$I$31),-PMT('Interest Rate'!$J$16,'Incremental Repayments'!$I$31,(HLOOKUP($D107,$E$4:$CZ$32,28,FALSE)*'Incremental Repayments'!$I$22)),0),0)</f>
        <v>0</v>
      </c>
      <c r="AR107" s="783">
        <f>IF('Incremental Repayments'!$R$22="Debt",IF(AND(AR$4&gt;=$D107,AR$4&lt;$D107+'Incremental Repayments'!$I$31),-PMT('Interest Rate'!$J$16,'Incremental Repayments'!$I$31,(HLOOKUP($D107,$E$4:$CZ$32,28,FALSE)*'Incremental Repayments'!$I$22)),0),0)</f>
        <v>0</v>
      </c>
      <c r="AS107" s="783">
        <f>IF('Incremental Repayments'!$R$22="Debt",IF(AND(AS$4&gt;=$D107,AS$4&lt;$D107+'Incremental Repayments'!$I$31),-PMT('Interest Rate'!$J$16,'Incremental Repayments'!$I$31,(HLOOKUP($D107,$E$4:$CZ$32,28,FALSE)*'Incremental Repayments'!$I$22)),0),0)</f>
        <v>0</v>
      </c>
      <c r="AT107" s="783">
        <f>IF('Incremental Repayments'!$R$22="Debt",IF(AND(AT$4&gt;=$D107,AT$4&lt;$D107+'Incremental Repayments'!$I$31),-PMT('Interest Rate'!$J$16,'Incremental Repayments'!$I$31,(HLOOKUP($D107,$E$4:$CZ$32,28,FALSE)*'Incremental Repayments'!$I$22)),0),0)</f>
        <v>0</v>
      </c>
      <c r="AU107" s="783">
        <f>IF('Incremental Repayments'!$R$22="Debt",IF(AND(AU$4&gt;=$D107,AU$4&lt;$D107+'Incremental Repayments'!$I$31),-PMT('Interest Rate'!$J$16,'Incremental Repayments'!$I$31,(HLOOKUP($D107,$E$4:$CZ$32,28,FALSE)*'Incremental Repayments'!$I$22)),0),0)</f>
        <v>0</v>
      </c>
      <c r="AV107" s="783">
        <f>IF('Incremental Repayments'!$R$22="Debt",IF(AND(AV$4&gt;=$D107,AV$4&lt;$D107+'Incremental Repayments'!$I$31),-PMT('Interest Rate'!$J$16,'Incremental Repayments'!$I$31,(HLOOKUP($D107,$E$4:$CZ$32,28,FALSE)*'Incremental Repayments'!$I$22)),0),0)</f>
        <v>0</v>
      </c>
      <c r="AW107" s="783">
        <f>IF('Incremental Repayments'!$R$22="Debt",IF(AND(AW$4&gt;=$D107,AW$4&lt;$D107+'Incremental Repayments'!$I$31),-PMT('Interest Rate'!$J$16,'Incremental Repayments'!$I$31,(HLOOKUP($D107,$E$4:$CZ$32,28,FALSE)*'Incremental Repayments'!$I$22)),0),0)</f>
        <v>0</v>
      </c>
      <c r="AX107" s="783">
        <f>IF('Incremental Repayments'!$R$22="Debt",IF(AND(AX$4&gt;=$D107,AX$4&lt;$D107+'Incremental Repayments'!$I$31),-PMT('Interest Rate'!$J$16,'Incremental Repayments'!$I$31,(HLOOKUP($D107,$E$4:$CZ$32,28,FALSE)*'Incremental Repayments'!$I$22)),0),0)</f>
        <v>0</v>
      </c>
      <c r="AY107" s="783">
        <f>IF('Incremental Repayments'!$R$22="Debt",IF(AND(AY$4&gt;=$D107,AY$4&lt;$D107+'Incremental Repayments'!$I$31),-PMT('Interest Rate'!$J$16,'Incremental Repayments'!$I$31,(HLOOKUP($D107,$E$4:$CZ$32,28,FALSE)*'Incremental Repayments'!$I$22)),0),0)</f>
        <v>0</v>
      </c>
      <c r="AZ107" s="783">
        <f>IF('Incremental Repayments'!$R$22="Debt",IF(AND(AZ$4&gt;=$D107,AZ$4&lt;$D107+'Incremental Repayments'!$I$31),-PMT('Interest Rate'!$J$16,'Incremental Repayments'!$I$31,(HLOOKUP($D107,$E$4:$CZ$32,28,FALSE)*'Incremental Repayments'!$I$22)),0),0)</f>
        <v>0</v>
      </c>
      <c r="BA107" s="783">
        <f>IF('Incremental Repayments'!$R$22="Debt",IF(AND(BA$4&gt;=$D107,BA$4&lt;$D107+'Incremental Repayments'!$I$31),-PMT('Interest Rate'!$J$16,'Incremental Repayments'!$I$31,(HLOOKUP($D107,$E$4:$CZ$32,28,FALSE)*'Incremental Repayments'!$I$22)),0),0)</f>
        <v>0</v>
      </c>
      <c r="BB107" s="783">
        <f>IF('Incremental Repayments'!$R$22="Debt",IF(AND(BB$4&gt;=$D107,BB$4&lt;$D107+'Incremental Repayments'!$I$31),-PMT('Interest Rate'!$J$16,'Incremental Repayments'!$I$31,(HLOOKUP($D107,$E$4:$CZ$32,28,FALSE)*'Incremental Repayments'!$I$22)),0),0)</f>
        <v>0</v>
      </c>
      <c r="BC107" s="783">
        <f>IF('Incremental Repayments'!$R$22="Debt",IF(AND(BC$4&gt;=$D107,BC$4&lt;$D107+'Incremental Repayments'!$I$31),-PMT('Interest Rate'!$J$16,'Incremental Repayments'!$I$31,(HLOOKUP($D107,$E$4:$CZ$32,28,FALSE)*'Incremental Repayments'!$I$22)),0),0)</f>
        <v>0</v>
      </c>
      <c r="BD107" s="783">
        <f>IF('Incremental Repayments'!$R$22="Debt",IF(AND(BD$4&gt;=$D107,BD$4&lt;$D107+'Incremental Repayments'!$I$31),-PMT('Interest Rate'!$J$16,'Incremental Repayments'!$I$31,(HLOOKUP($D107,$E$4:$CZ$32,28,FALSE)*'Incremental Repayments'!$I$22)),0),0)</f>
        <v>0</v>
      </c>
      <c r="BE107" s="783">
        <f>IF('Incremental Repayments'!$R$22="Debt",IF(AND(BE$4&gt;=$D107,BE$4&lt;$D107+'Incremental Repayments'!$I$31),-PMT('Interest Rate'!$J$16,'Incremental Repayments'!$I$31,(HLOOKUP($D107,$E$4:$CZ$32,28,FALSE)*'Incremental Repayments'!$I$22)),0),0)</f>
        <v>0</v>
      </c>
      <c r="BF107" s="783">
        <f>IF('Incremental Repayments'!$R$22="Debt",IF(AND(BF$4&gt;=$D107,BF$4&lt;$D107+'Incremental Repayments'!$I$31),-PMT('Interest Rate'!$J$16,'Incremental Repayments'!$I$31,(HLOOKUP($D107,$E$4:$CZ$32,28,FALSE)*'Incremental Repayments'!$I$22)),0),0)</f>
        <v>0</v>
      </c>
      <c r="BG107" s="783">
        <f>IF('Incremental Repayments'!$R$22="Debt",IF(AND(BG$4&gt;=$D107,BG$4&lt;$D107+'Incremental Repayments'!$I$31),-PMT('Interest Rate'!$J$16,'Incremental Repayments'!$I$31,(HLOOKUP($D107,$E$4:$CZ$32,28,FALSE)*'Incremental Repayments'!$I$22)),0),0)</f>
        <v>0</v>
      </c>
      <c r="BH107" s="783">
        <f>IF('Incremental Repayments'!$R$22="Debt",IF(AND(BH$4&gt;=$D107,BH$4&lt;$D107+'Incremental Repayments'!$I$31),-PMT('Interest Rate'!$J$16,'Incremental Repayments'!$I$31,(HLOOKUP($D107,$E$4:$CZ$32,28,FALSE)*'Incremental Repayments'!$I$22)),0),0)</f>
        <v>0</v>
      </c>
      <c r="BI107" s="783">
        <f>IF('Incremental Repayments'!$R$22="Debt",IF(AND(BI$4&gt;=$D107,BI$4&lt;$D107+'Incremental Repayments'!$I$31),-PMT('Interest Rate'!$J$16,'Incremental Repayments'!$I$31,(HLOOKUP($D107,$E$4:$CZ$32,28,FALSE)*'Incremental Repayments'!$I$22)),0),0)</f>
        <v>0</v>
      </c>
      <c r="BJ107" s="783">
        <f>IF('Incremental Repayments'!$R$22="Debt",IF(AND(BJ$4&gt;=$D107,BJ$4&lt;$D107+'Incremental Repayments'!$I$31),-PMT('Interest Rate'!$J$16,'Incremental Repayments'!$I$31,(HLOOKUP($D107,$E$4:$CZ$32,28,FALSE)*'Incremental Repayments'!$I$22)),0),0)</f>
        <v>0</v>
      </c>
      <c r="BK107" s="783">
        <f>IF('Incremental Repayments'!$R$22="Debt",IF(AND(BK$4&gt;=$D107,BK$4&lt;$D107+'Incremental Repayments'!$I$31),-PMT('Interest Rate'!$J$16,'Incremental Repayments'!$I$31,(HLOOKUP($D107,$E$4:$CZ$32,28,FALSE)*'Incremental Repayments'!$I$22)),0),0)</f>
        <v>0</v>
      </c>
      <c r="BL107" s="783">
        <f>IF('Incremental Repayments'!$R$22="Debt",IF(AND(BL$4&gt;=$D107,BL$4&lt;$D107+'Incremental Repayments'!$I$31),-PMT('Interest Rate'!$J$16,'Incremental Repayments'!$I$31,(HLOOKUP($D107,$E$4:$CZ$32,28,FALSE)*'Incremental Repayments'!$I$22)),0),0)</f>
        <v>0</v>
      </c>
      <c r="BM107" s="783">
        <f>IF('Incremental Repayments'!$R$22="Debt",IF(AND(BM$4&gt;=$D107,BM$4&lt;$D107+'Incremental Repayments'!$I$31),-PMT('Interest Rate'!$J$16,'Incremental Repayments'!$I$31,(HLOOKUP($D107,$E$4:$CZ$32,28,FALSE)*'Incremental Repayments'!$I$22)),0),0)</f>
        <v>0</v>
      </c>
      <c r="BN107" s="783">
        <f>IF('Incremental Repayments'!$R$22="Debt",IF(AND(BN$4&gt;=$D107,BN$4&lt;$D107+'Incremental Repayments'!$I$31),-PMT('Interest Rate'!$J$16,'Incremental Repayments'!$I$31,(HLOOKUP($D107,$E$4:$CZ$32,28,FALSE)*'Incremental Repayments'!$I$22)),0),0)</f>
        <v>0</v>
      </c>
      <c r="BO107" s="783">
        <f>IF('Incremental Repayments'!$R$22="Debt",IF(AND(BO$4&gt;=$D107,BO$4&lt;$D107+'Incremental Repayments'!$I$31),-PMT('Interest Rate'!$J$16,'Incremental Repayments'!$I$31,(HLOOKUP($D107,$E$4:$CZ$32,28,FALSE)*'Incremental Repayments'!$I$22)),0),0)</f>
        <v>0</v>
      </c>
      <c r="BP107" s="783">
        <f>IF('Incremental Repayments'!$R$22="Debt",IF(AND(BP$4&gt;=$D107,BP$4&lt;$D107+'Incremental Repayments'!$I$31),-PMT('Interest Rate'!$J$16,'Incremental Repayments'!$I$31,(HLOOKUP($D107,$E$4:$CZ$32,28,FALSE)*'Incremental Repayments'!$I$22)),0),0)</f>
        <v>0</v>
      </c>
      <c r="BQ107" s="783">
        <f>IF('Incremental Repayments'!$R$22="Debt",IF(AND(BQ$4&gt;=$D107,BQ$4&lt;$D107+'Incremental Repayments'!$I$31),-PMT('Interest Rate'!$J$16,'Incremental Repayments'!$I$31,(HLOOKUP($D107,$E$4:$CZ$32,28,FALSE)*'Incremental Repayments'!$I$22)),0),0)</f>
        <v>0</v>
      </c>
      <c r="BR107" s="783">
        <f>IF('Incremental Repayments'!$R$22="Debt",IF(AND(BR$4&gt;=$D107,BR$4&lt;$D107+'Incremental Repayments'!$I$31),-PMT('Interest Rate'!$J$16,'Incremental Repayments'!$I$31,(HLOOKUP($D107,$E$4:$CZ$32,28,FALSE)*'Incremental Repayments'!$I$22)),0),0)</f>
        <v>0</v>
      </c>
      <c r="BS107" s="783">
        <f>IF('Incremental Repayments'!$R$22="Debt",IF(AND(BS$4&gt;=$D107,BS$4&lt;$D107+'Incremental Repayments'!$I$31),-PMT('Interest Rate'!$J$16,'Incremental Repayments'!$I$31,(HLOOKUP($D107,$E$4:$CZ$32,28,FALSE)*'Incremental Repayments'!$I$22)),0),0)</f>
        <v>0</v>
      </c>
      <c r="BT107" s="783">
        <f>IF('Incremental Repayments'!$R$22="Debt",IF(AND(BT$4&gt;=$D107,BT$4&lt;$D107+'Incremental Repayments'!$I$31),-PMT('Interest Rate'!$J$16,'Incremental Repayments'!$I$31,(HLOOKUP($D107,$E$4:$CZ$32,28,FALSE)*'Incremental Repayments'!$I$22)),0),0)</f>
        <v>0</v>
      </c>
      <c r="BU107" s="783">
        <f>IF('Incremental Repayments'!$R$22="Debt",IF(AND(BU$4&gt;=$D107,BU$4&lt;$D107+'Incremental Repayments'!$I$31),-PMT('Interest Rate'!$J$16,'Incremental Repayments'!$I$31,(HLOOKUP($D107,$E$4:$CZ$32,28,FALSE)*'Incremental Repayments'!$I$22)),0),0)</f>
        <v>0</v>
      </c>
      <c r="BV107" s="783">
        <f>IF('Incremental Repayments'!$R$22="Debt",IF(AND(BV$4&gt;=$D107,BV$4&lt;$D107+'Incremental Repayments'!$I$31),-PMT('Interest Rate'!$J$16,'Incremental Repayments'!$I$31,(HLOOKUP($D107,$E$4:$CZ$32,28,FALSE)*'Incremental Repayments'!$I$22)),0),0)</f>
        <v>0</v>
      </c>
      <c r="BW107" s="783">
        <f>IF('Incremental Repayments'!$R$22="Debt",IF(AND(BW$4&gt;=$D107,BW$4&lt;$D107+'Incremental Repayments'!$I$31),-PMT('Interest Rate'!$J$16,'Incremental Repayments'!$I$31,(HLOOKUP($D107,$E$4:$CZ$32,28,FALSE)*'Incremental Repayments'!$I$22)),0),0)</f>
        <v>0</v>
      </c>
      <c r="BX107" s="783">
        <f>IF('Incremental Repayments'!$R$22="Debt",IF(AND(BX$4&gt;=$D107,BX$4&lt;$D107+'Incremental Repayments'!$I$31),-PMT('Interest Rate'!$J$16,'Incremental Repayments'!$I$31,(HLOOKUP($D107,$E$4:$CZ$32,28,FALSE)*'Incremental Repayments'!$I$22)),0),0)</f>
        <v>0</v>
      </c>
      <c r="BY107" s="783">
        <f>IF('Incremental Repayments'!$R$22="Debt",IF(AND(BY$4&gt;=$D107,BY$4&lt;$D107+'Incremental Repayments'!$I$31),-PMT('Interest Rate'!$J$16,'Incremental Repayments'!$I$31,(HLOOKUP($D107,$E$4:$CZ$32,28,FALSE)*'Incremental Repayments'!$I$22)),0),0)</f>
        <v>0</v>
      </c>
      <c r="BZ107" s="783">
        <f>IF('Incremental Repayments'!$R$22="Debt",IF(AND(BZ$4&gt;=$D107,BZ$4&lt;$D107+'Incremental Repayments'!$I$31),-PMT('Interest Rate'!$J$16,'Incremental Repayments'!$I$31,(HLOOKUP($D107,$E$4:$CZ$32,28,FALSE)*'Incremental Repayments'!$I$22)),0),0)</f>
        <v>0</v>
      </c>
      <c r="CA107" s="783">
        <f>IF('Incremental Repayments'!$R$22="Debt",IF(AND(CA$4&gt;=$D107,CA$4&lt;$D107+'Incremental Repayments'!$I$31),-PMT('Interest Rate'!$J$16,'Incremental Repayments'!$I$31,(HLOOKUP($D107,$E$4:$CZ$32,28,FALSE)*'Incremental Repayments'!$I$22)),0),0)</f>
        <v>0</v>
      </c>
      <c r="CB107" s="783">
        <f>IF('Incremental Repayments'!$R$22="Debt",IF(AND(CB$4&gt;=$D107,CB$4&lt;$D107+'Incremental Repayments'!$I$31),-PMT('Interest Rate'!$J$16,'Incremental Repayments'!$I$31,(HLOOKUP($D107,$E$4:$CZ$32,28,FALSE)*'Incremental Repayments'!$I$22)),0),0)</f>
        <v>0</v>
      </c>
      <c r="CC107" s="783">
        <f>IF('Incremental Repayments'!$R$22="Debt",IF(AND(CC$4&gt;=$D107,CC$4&lt;$D107+'Incremental Repayments'!$I$31),-PMT('Interest Rate'!$J$16,'Incremental Repayments'!$I$31,(HLOOKUP($D107,$E$4:$CZ$32,28,FALSE)*'Incremental Repayments'!$I$22)),0),0)</f>
        <v>0</v>
      </c>
      <c r="CD107" s="783">
        <f>IF('Incremental Repayments'!$R$22="Debt",IF(AND(CD$4&gt;=$D107,CD$4&lt;$D107+'Incremental Repayments'!$I$31),-PMT('Interest Rate'!$J$16,'Incremental Repayments'!$I$31,(HLOOKUP($D107,$E$4:$CZ$32,28,FALSE)*'Incremental Repayments'!$I$22)),0),0)</f>
        <v>0</v>
      </c>
      <c r="CE107" s="783">
        <f>IF('Incremental Repayments'!$R$22="Debt",IF(AND(CE$4&gt;=$D107,CE$4&lt;$D107+'Incremental Repayments'!$I$31),-PMT('Interest Rate'!$J$16,'Incremental Repayments'!$I$31,(HLOOKUP($D107,$E$4:$CZ$32,28,FALSE)*'Incremental Repayments'!$I$22)),0),0)</f>
        <v>0</v>
      </c>
      <c r="CF107" s="783">
        <f>IF('Incremental Repayments'!$R$22="Debt",IF(AND(CF$4&gt;=$D107,CF$4&lt;$D107+'Incremental Repayments'!$I$31),-PMT('Interest Rate'!$J$16,'Incremental Repayments'!$I$31,(HLOOKUP($D107,$E$4:$CZ$32,28,FALSE)*'Incremental Repayments'!$I$22)),0),0)</f>
        <v>0</v>
      </c>
      <c r="CG107" s="783">
        <f>IF('Incremental Repayments'!$R$22="Debt",IF(AND(CG$4&gt;=$D107,CG$4&lt;$D107+'Incremental Repayments'!$I$31),-PMT('Interest Rate'!$J$16,'Incremental Repayments'!$I$31,(HLOOKUP($D107,$E$4:$CZ$32,28,FALSE)*'Incremental Repayments'!$I$22)),0),0)</f>
        <v>0</v>
      </c>
      <c r="CH107" s="783">
        <f>IF('Incremental Repayments'!$R$22="Debt",IF(AND(CH$4&gt;=$D107,CH$4&lt;$D107+'Incremental Repayments'!$I$31),-PMT('Interest Rate'!$J$16,'Incremental Repayments'!$I$31,(HLOOKUP($D107,$E$4:$CZ$32,28,FALSE)*'Incremental Repayments'!$I$22)),0),0)</f>
        <v>0</v>
      </c>
      <c r="CI107" s="783">
        <f>IF('Incremental Repayments'!$R$22="Debt",IF(AND(CI$4&gt;=$D107,CI$4&lt;$D107+'Incremental Repayments'!$I$31),-PMT('Interest Rate'!$J$16,'Incremental Repayments'!$I$31,(HLOOKUP($D107,$E$4:$CZ$32,28,FALSE)*'Incremental Repayments'!$I$22)),0),0)</f>
        <v>0</v>
      </c>
      <c r="CJ107" s="783">
        <f>IF('Incremental Repayments'!$R$22="Debt",IF(AND(CJ$4&gt;=$D107,CJ$4&lt;$D107+'Incremental Repayments'!$I$31),-PMT('Interest Rate'!$J$16,'Incremental Repayments'!$I$31,(HLOOKUP($D107,$E$4:$CZ$32,28,FALSE)*'Incremental Repayments'!$I$22)),0),0)</f>
        <v>0</v>
      </c>
      <c r="CK107" s="783">
        <f>IF('Incremental Repayments'!$R$22="Debt",IF(AND(CK$4&gt;=$D107,CK$4&lt;$D107+'Incremental Repayments'!$I$31),-PMT('Interest Rate'!$J$16,'Incremental Repayments'!$I$31,(HLOOKUP($D107,$E$4:$CZ$32,28,FALSE)*'Incremental Repayments'!$I$22)),0),0)</f>
        <v>0</v>
      </c>
      <c r="CL107" s="783">
        <f>IF('Incremental Repayments'!$R$22="Debt",IF(AND(CL$4&gt;=$D107,CL$4&lt;$D107+'Incremental Repayments'!$I$31),-PMT('Interest Rate'!$J$16,'Incremental Repayments'!$I$31,(HLOOKUP($D107,$E$4:$CZ$32,28,FALSE)*'Incremental Repayments'!$I$22)),0),0)</f>
        <v>0</v>
      </c>
      <c r="CM107" s="783">
        <f>IF('Incremental Repayments'!$R$22="Debt",IF(AND(CM$4&gt;=$D107,CM$4&lt;$D107+'Incremental Repayments'!$I$31),-PMT('Interest Rate'!$J$16,'Incremental Repayments'!$I$31,(HLOOKUP($D107,$E$4:$CZ$32,28,FALSE)*'Incremental Repayments'!$I$22)),0),0)</f>
        <v>0</v>
      </c>
      <c r="CN107" s="783">
        <f>IF('Incremental Repayments'!$R$22="Debt",IF(AND(CN$4&gt;=$D107,CN$4&lt;$D107+'Incremental Repayments'!$I$31),-PMT('Interest Rate'!$J$16,'Incremental Repayments'!$I$31,(HLOOKUP($D107,$E$4:$CZ$32,28,FALSE)*'Incremental Repayments'!$I$22)),0),0)</f>
        <v>0</v>
      </c>
      <c r="CO107" s="783">
        <f>IF('Incremental Repayments'!$R$22="Debt",IF(AND(CO$4&gt;=$D107,CO$4&lt;$D107+'Incremental Repayments'!$I$31),-PMT('Interest Rate'!$J$16,'Incremental Repayments'!$I$31,(HLOOKUP($D107,$E$4:$CZ$32,28,FALSE)*'Incremental Repayments'!$I$22)),0),0)</f>
        <v>0</v>
      </c>
      <c r="CP107" s="783">
        <f>IF('Incremental Repayments'!$R$22="Debt",IF(AND(CP$4&gt;=$D107,CP$4&lt;$D107+'Incremental Repayments'!$I$31),-PMT('Interest Rate'!$J$16,'Incremental Repayments'!$I$31,(HLOOKUP($D107,$E$4:$CZ$32,28,FALSE)*'Incremental Repayments'!$I$22)),0),0)</f>
        <v>0</v>
      </c>
      <c r="CQ107" s="783">
        <f>IF('Incremental Repayments'!$R$22="Debt",IF(AND(CQ$4&gt;=$D107,CQ$4&lt;$D107+'Incremental Repayments'!$I$31),-PMT('Interest Rate'!$J$16,'Incremental Repayments'!$I$31,(HLOOKUP($D107,$E$4:$CZ$32,28,FALSE)*'Incremental Repayments'!$I$22)),0),0)</f>
        <v>0</v>
      </c>
      <c r="CR107" s="783">
        <f>IF('Incremental Repayments'!$R$22="Debt",IF(AND(CR$4&gt;=$D107,CR$4&lt;$D107+'Incremental Repayments'!$I$31),-PMT('Interest Rate'!$J$16,'Incremental Repayments'!$I$31,(HLOOKUP($D107,$E$4:$CZ$32,28,FALSE)*'Incremental Repayments'!$I$22)),0),0)</f>
        <v>0</v>
      </c>
      <c r="CS107" s="783">
        <f>IF('Incremental Repayments'!$R$22="Debt",IF(AND(CS$4&gt;=$D107,CS$4&lt;$D107+'Incremental Repayments'!$I$31),-PMT('Interest Rate'!$J$16,'Incremental Repayments'!$I$31,(HLOOKUP($D107,$E$4:$CZ$32,28,FALSE)*'Incremental Repayments'!$I$22)),0),0)</f>
        <v>0</v>
      </c>
      <c r="CT107" s="783">
        <f>IF('Incremental Repayments'!$R$22="Debt",IF(AND(CT$4&gt;=$D107,CT$4&lt;$D107+'Incremental Repayments'!$I$31),-PMT('Interest Rate'!$J$16,'Incremental Repayments'!$I$31,(HLOOKUP($D107,$E$4:$CZ$32,28,FALSE)*'Incremental Repayments'!$I$22)),0),0)</f>
        <v>0</v>
      </c>
      <c r="CU107" s="783">
        <f>IF('Incremental Repayments'!$R$22="Debt",IF(AND(CU$4&gt;=$D107,CU$4&lt;$D107+'Incremental Repayments'!$I$31),-PMT('Interest Rate'!$J$16,'Incremental Repayments'!$I$31,(HLOOKUP($D107,$E$4:$CZ$32,28,FALSE)*'Incremental Repayments'!$I$22)),0),0)</f>
        <v>0</v>
      </c>
      <c r="CV107" s="783">
        <f>IF('Incremental Repayments'!$R$22="Debt",IF(AND(CV$4&gt;=$D107,CV$4&lt;$D107+'Incremental Repayments'!$I$31),-PMT('Interest Rate'!$J$16,'Incremental Repayments'!$I$31,(HLOOKUP($D107,$E$4:$CZ$32,28,FALSE)*'Incremental Repayments'!$I$22)),0),0)</f>
        <v>0</v>
      </c>
      <c r="CW107" s="783">
        <f>IF('Incremental Repayments'!$R$22="Debt",IF(AND(CW$4&gt;=$D107,CW$4&lt;$D107+'Incremental Repayments'!$I$31),-PMT('Interest Rate'!$J$16,'Incremental Repayments'!$I$31,(HLOOKUP($D107,$E$4:$CZ$32,28,FALSE)*'Incremental Repayments'!$I$22)),0),0)</f>
        <v>0</v>
      </c>
      <c r="CX107" s="783">
        <f>IF('Incremental Repayments'!$R$22="Debt",IF(AND(CX$4&gt;=$D107,CX$4&lt;$D107+'Incremental Repayments'!$I$31),-PMT('Interest Rate'!$J$16,'Incremental Repayments'!$I$31,(HLOOKUP($D107,$E$4:$CZ$32,28,FALSE)*'Incremental Repayments'!$I$22)),0),0)</f>
        <v>0</v>
      </c>
      <c r="CY107" s="783">
        <f>IF('Incremental Repayments'!$R$22="Debt",IF(AND(CY$4&gt;=$D107,CY$4&lt;$D107+'Incremental Repayments'!$I$31),-PMT('Interest Rate'!$J$16,'Incremental Repayments'!$I$31,(HLOOKUP($D107,$E$4:$CZ$32,28,FALSE)*'Incremental Repayments'!$I$22)),0),0)</f>
        <v>0</v>
      </c>
      <c r="CZ107" s="783">
        <f>IF('Incremental Repayments'!$R$22="Debt",IF(AND(CZ$4&gt;=$D107,CZ$4&lt;$D107+'Incremental Repayments'!$I$31),-PMT('Interest Rate'!$J$16,'Incremental Repayments'!$I$31,(HLOOKUP($D107,$E$4:$CZ$32,28,FALSE)*'Incremental Repayments'!$I$22)),0),0)</f>
        <v>0</v>
      </c>
    </row>
    <row r="108" spans="2:104" x14ac:dyDescent="0.25">
      <c r="B108" s="480" t="str">
        <f>CONCATENATE("Series ",D108,"A Bonds (at ",'Interest Rate'!$J$16*100,"% Interest)")</f>
        <v>Series 2086A Bonds (at 4.5% Interest)</v>
      </c>
      <c r="C108" s="480"/>
      <c r="D108" s="492">
        <f t="shared" si="47"/>
        <v>2086</v>
      </c>
      <c r="E108" s="783">
        <f>IF('Incremental Repayments'!$R$22="Debt",IF(AND(E$4&gt;=$D108,E$4&lt;$D108+'Incremental Repayments'!$I$31),-PMT('Interest Rate'!$J$16,'Incremental Repayments'!$I$31,(HLOOKUP($D108,$E$4:$CZ$32,28,FALSE)*'Incremental Repayments'!$I$22)),0),0)</f>
        <v>0</v>
      </c>
      <c r="F108" s="783">
        <f>IF('Incremental Repayments'!$R$22="Debt",IF(AND(F$4&gt;=$D108,F$4&lt;$D108+'Incremental Repayments'!$I$31),-PMT('Interest Rate'!$J$16,'Incremental Repayments'!$I$31,(HLOOKUP($D108,$E$4:$CZ$32,28,FALSE)*'Incremental Repayments'!$I$22)),0),0)</f>
        <v>0</v>
      </c>
      <c r="G108" s="783">
        <f>IF('Incremental Repayments'!$R$22="Debt",IF(AND(G$4&gt;=$D108,G$4&lt;$D108+'Incremental Repayments'!$I$31),-PMT('Interest Rate'!$J$16,'Incremental Repayments'!$I$31,(HLOOKUP($D108,$E$4:$CZ$32,28,FALSE)*'Incremental Repayments'!$I$22)),0),0)</f>
        <v>0</v>
      </c>
      <c r="H108" s="783">
        <f>IF('Incremental Repayments'!$R$22="Debt",IF(AND(H$4&gt;=$D108,H$4&lt;$D108+'Incremental Repayments'!$I$31),-PMT('Interest Rate'!$J$16,'Incremental Repayments'!$I$31,(HLOOKUP($D108,$E$4:$CZ$32,28,FALSE)*'Incremental Repayments'!$I$22)),0),0)</f>
        <v>0</v>
      </c>
      <c r="I108" s="783">
        <f>IF('Incremental Repayments'!$R$22="Debt",IF(AND(I$4&gt;=$D108,I$4&lt;$D108+'Incremental Repayments'!$I$31),-PMT('Interest Rate'!$J$16,'Incremental Repayments'!$I$31,(HLOOKUP($D108,$E$4:$CZ$32,28,FALSE)*'Incremental Repayments'!$I$22)),0),0)</f>
        <v>0</v>
      </c>
      <c r="J108" s="783">
        <f>IF('Incremental Repayments'!$R$22="Debt",IF(AND(J$4&gt;=$D108,J$4&lt;$D108+'Incremental Repayments'!$I$31),-PMT('Interest Rate'!$J$16,'Incremental Repayments'!$I$31,(HLOOKUP($D108,$E$4:$CZ$32,28,FALSE)*'Incremental Repayments'!$I$22)),0),0)</f>
        <v>0</v>
      </c>
      <c r="K108" s="783">
        <f>IF('Incremental Repayments'!$R$22="Debt",IF(AND(K$4&gt;=$D108,K$4&lt;$D108+'Incremental Repayments'!$I$31),-PMT('Interest Rate'!$J$16,'Incremental Repayments'!$I$31,(HLOOKUP($D108,$E$4:$CZ$32,28,FALSE)*'Incremental Repayments'!$I$22)),0),0)</f>
        <v>0</v>
      </c>
      <c r="L108" s="783">
        <f>IF('Incremental Repayments'!$R$22="Debt",IF(AND(L$4&gt;=$D108,L$4&lt;$D108+'Incremental Repayments'!$I$31),-PMT('Interest Rate'!$J$16,'Incremental Repayments'!$I$31,(HLOOKUP($D108,$E$4:$CZ$32,28,FALSE)*'Incremental Repayments'!$I$22)),0),0)</f>
        <v>0</v>
      </c>
      <c r="M108" s="783">
        <f>IF('Incremental Repayments'!$R$22="Debt",IF(AND(M$4&gt;=$D108,M$4&lt;$D108+'Incremental Repayments'!$I$31),-PMT('Interest Rate'!$J$16,'Incremental Repayments'!$I$31,(HLOOKUP($D108,$E$4:$CZ$32,28,FALSE)*'Incremental Repayments'!$I$22)),0),0)</f>
        <v>0</v>
      </c>
      <c r="N108" s="783">
        <f>IF('Incremental Repayments'!$R$22="Debt",IF(AND(N$4&gt;=$D108,N$4&lt;$D108+'Incremental Repayments'!$I$31),-PMT('Interest Rate'!$J$16,'Incremental Repayments'!$I$31,(HLOOKUP($D108,$E$4:$CZ$32,28,FALSE)*'Incremental Repayments'!$I$22)),0),0)</f>
        <v>0</v>
      </c>
      <c r="O108" s="783">
        <f>IF('Incremental Repayments'!$R$22="Debt",IF(AND(O$4&gt;=$D108,O$4&lt;$D108+'Incremental Repayments'!$I$31),-PMT('Interest Rate'!$J$16,'Incremental Repayments'!$I$31,(HLOOKUP($D108,$E$4:$CZ$32,28,FALSE)*'Incremental Repayments'!$I$22)),0),0)</f>
        <v>0</v>
      </c>
      <c r="P108" s="783">
        <f>IF('Incremental Repayments'!$R$22="Debt",IF(AND(P$4&gt;=$D108,P$4&lt;$D108+'Incremental Repayments'!$I$31),-PMT('Interest Rate'!$J$16,'Incremental Repayments'!$I$31,(HLOOKUP($D108,$E$4:$CZ$32,28,FALSE)*'Incremental Repayments'!$I$22)),0),0)</f>
        <v>0</v>
      </c>
      <c r="Q108" s="783">
        <f>IF('Incremental Repayments'!$R$22="Debt",IF(AND(Q$4&gt;=$D108,Q$4&lt;$D108+'Incremental Repayments'!$I$31),-PMT('Interest Rate'!$J$16,'Incremental Repayments'!$I$31,(HLOOKUP($D108,$E$4:$CZ$32,28,FALSE)*'Incremental Repayments'!$I$22)),0),0)</f>
        <v>0</v>
      </c>
      <c r="R108" s="783">
        <f>IF('Incremental Repayments'!$R$22="Debt",IF(AND(R$4&gt;=$D108,R$4&lt;$D108+'Incremental Repayments'!$I$31),-PMT('Interest Rate'!$J$16,'Incremental Repayments'!$I$31,(HLOOKUP($D108,$E$4:$CZ$32,28,FALSE)*'Incremental Repayments'!$I$22)),0),0)</f>
        <v>0</v>
      </c>
      <c r="S108" s="783">
        <f>IF('Incremental Repayments'!$R$22="Debt",IF(AND(S$4&gt;=$D108,S$4&lt;$D108+'Incremental Repayments'!$I$31),-PMT('Interest Rate'!$J$16,'Incremental Repayments'!$I$31,(HLOOKUP($D108,$E$4:$CZ$32,28,FALSE)*'Incremental Repayments'!$I$22)),0),0)</f>
        <v>0</v>
      </c>
      <c r="T108" s="783">
        <f>IF('Incremental Repayments'!$R$22="Debt",IF(AND(T$4&gt;=$D108,T$4&lt;$D108+'Incremental Repayments'!$I$31),-PMT('Interest Rate'!$J$16,'Incremental Repayments'!$I$31,(HLOOKUP($D108,$E$4:$CZ$32,28,FALSE)*'Incremental Repayments'!$I$22)),0),0)</f>
        <v>0</v>
      </c>
      <c r="U108" s="783">
        <f>IF('Incremental Repayments'!$R$22="Debt",IF(AND(U$4&gt;=$D108,U$4&lt;$D108+'Incremental Repayments'!$I$31),-PMT('Interest Rate'!$J$16,'Incremental Repayments'!$I$31,(HLOOKUP($D108,$E$4:$CZ$32,28,FALSE)*'Incremental Repayments'!$I$22)),0),0)</f>
        <v>0</v>
      </c>
      <c r="V108" s="783">
        <f>IF('Incremental Repayments'!$R$22="Debt",IF(AND(V$4&gt;=$D108,V$4&lt;$D108+'Incremental Repayments'!$I$31),-PMT('Interest Rate'!$J$16,'Incremental Repayments'!$I$31,(HLOOKUP($D108,$E$4:$CZ$32,28,FALSE)*'Incremental Repayments'!$I$22)),0),0)</f>
        <v>0</v>
      </c>
      <c r="W108" s="783">
        <f>IF('Incremental Repayments'!$R$22="Debt",IF(AND(W$4&gt;=$D108,W$4&lt;$D108+'Incremental Repayments'!$I$31),-PMT('Interest Rate'!$J$16,'Incremental Repayments'!$I$31,(HLOOKUP($D108,$E$4:$CZ$32,28,FALSE)*'Incremental Repayments'!$I$22)),0),0)</f>
        <v>0</v>
      </c>
      <c r="X108" s="783">
        <f>IF('Incremental Repayments'!$R$22="Debt",IF(AND(X$4&gt;=$D108,X$4&lt;$D108+'Incremental Repayments'!$I$31),-PMT('Interest Rate'!$J$16,'Incremental Repayments'!$I$31,(HLOOKUP($D108,$E$4:$CZ$32,28,FALSE)*'Incremental Repayments'!$I$22)),0),0)</f>
        <v>0</v>
      </c>
      <c r="Y108" s="783">
        <f>IF('Incremental Repayments'!$R$22="Debt",IF(AND(Y$4&gt;=$D108,Y$4&lt;$D108+'Incremental Repayments'!$I$31),-PMT('Interest Rate'!$J$16,'Incremental Repayments'!$I$31,(HLOOKUP($D108,$E$4:$CZ$32,28,FALSE)*'Incremental Repayments'!$I$22)),0),0)</f>
        <v>0</v>
      </c>
      <c r="Z108" s="783">
        <f>IF('Incremental Repayments'!$R$22="Debt",IF(AND(Z$4&gt;=$D108,Z$4&lt;$D108+'Incremental Repayments'!$I$31),-PMT('Interest Rate'!$J$16,'Incremental Repayments'!$I$31,(HLOOKUP($D108,$E$4:$CZ$32,28,FALSE)*'Incremental Repayments'!$I$22)),0),0)</f>
        <v>0</v>
      </c>
      <c r="AA108" s="783">
        <f>IF('Incremental Repayments'!$R$22="Debt",IF(AND(AA$4&gt;=$D108,AA$4&lt;$D108+'Incremental Repayments'!$I$31),-PMT('Interest Rate'!$J$16,'Incremental Repayments'!$I$31,(HLOOKUP($D108,$E$4:$CZ$32,28,FALSE)*'Incremental Repayments'!$I$22)),0),0)</f>
        <v>0</v>
      </c>
      <c r="AB108" s="783">
        <f>IF('Incremental Repayments'!$R$22="Debt",IF(AND(AB$4&gt;=$D108,AB$4&lt;$D108+'Incremental Repayments'!$I$31),-PMT('Interest Rate'!$J$16,'Incremental Repayments'!$I$31,(HLOOKUP($D108,$E$4:$CZ$32,28,FALSE)*'Incremental Repayments'!$I$22)),0),0)</f>
        <v>0</v>
      </c>
      <c r="AC108" s="783">
        <f>IF('Incremental Repayments'!$R$22="Debt",IF(AND(AC$4&gt;=$D108,AC$4&lt;$D108+'Incremental Repayments'!$I$31),-PMT('Interest Rate'!$J$16,'Incremental Repayments'!$I$31,(HLOOKUP($D108,$E$4:$CZ$32,28,FALSE)*'Incremental Repayments'!$I$22)),0),0)</f>
        <v>0</v>
      </c>
      <c r="AD108" s="783">
        <f>IF('Incremental Repayments'!$R$22="Debt",IF(AND(AD$4&gt;=$D108,AD$4&lt;$D108+'Incremental Repayments'!$I$31),-PMT('Interest Rate'!$J$16,'Incremental Repayments'!$I$31,(HLOOKUP($D108,$E$4:$CZ$32,28,FALSE)*'Incremental Repayments'!$I$22)),0),0)</f>
        <v>0</v>
      </c>
      <c r="AE108" s="783">
        <f>IF('Incremental Repayments'!$R$22="Debt",IF(AND(AE$4&gt;=$D108,AE$4&lt;$D108+'Incremental Repayments'!$I$31),-PMT('Interest Rate'!$J$16,'Incremental Repayments'!$I$31,(HLOOKUP($D108,$E$4:$CZ$32,28,FALSE)*'Incremental Repayments'!$I$22)),0),0)</f>
        <v>0</v>
      </c>
      <c r="AF108" s="783">
        <f>IF('Incremental Repayments'!$R$22="Debt",IF(AND(AF$4&gt;=$D108,AF$4&lt;$D108+'Incremental Repayments'!$I$31),-PMT('Interest Rate'!$J$16,'Incremental Repayments'!$I$31,(HLOOKUP($D108,$E$4:$CZ$32,28,FALSE)*'Incremental Repayments'!$I$22)),0),0)</f>
        <v>0</v>
      </c>
      <c r="AG108" s="783">
        <f>IF('Incremental Repayments'!$R$22="Debt",IF(AND(AG$4&gt;=$D108,AG$4&lt;$D108+'Incremental Repayments'!$I$31),-PMT('Interest Rate'!$J$16,'Incremental Repayments'!$I$31,(HLOOKUP($D108,$E$4:$CZ$32,28,FALSE)*'Incremental Repayments'!$I$22)),0),0)</f>
        <v>0</v>
      </c>
      <c r="AH108" s="783">
        <f>IF('Incremental Repayments'!$R$22="Debt",IF(AND(AH$4&gt;=$D108,AH$4&lt;$D108+'Incremental Repayments'!$I$31),-PMT('Interest Rate'!$J$16,'Incremental Repayments'!$I$31,(HLOOKUP($D108,$E$4:$CZ$32,28,FALSE)*'Incremental Repayments'!$I$22)),0),0)</f>
        <v>0</v>
      </c>
      <c r="AI108" s="783">
        <f>IF('Incremental Repayments'!$R$22="Debt",IF(AND(AI$4&gt;=$D108,AI$4&lt;$D108+'Incremental Repayments'!$I$31),-PMT('Interest Rate'!$J$16,'Incremental Repayments'!$I$31,(HLOOKUP($D108,$E$4:$CZ$32,28,FALSE)*'Incremental Repayments'!$I$22)),0),0)</f>
        <v>0</v>
      </c>
      <c r="AJ108" s="783">
        <f>IF('Incremental Repayments'!$R$22="Debt",IF(AND(AJ$4&gt;=$D108,AJ$4&lt;$D108+'Incremental Repayments'!$I$31),-PMT('Interest Rate'!$J$16,'Incremental Repayments'!$I$31,(HLOOKUP($D108,$E$4:$CZ$32,28,FALSE)*'Incremental Repayments'!$I$22)),0),0)</f>
        <v>0</v>
      </c>
      <c r="AK108" s="783">
        <f>IF('Incremental Repayments'!$R$22="Debt",IF(AND(AK$4&gt;=$D108,AK$4&lt;$D108+'Incremental Repayments'!$I$31),-PMT('Interest Rate'!$J$16,'Incremental Repayments'!$I$31,(HLOOKUP($D108,$E$4:$CZ$32,28,FALSE)*'Incremental Repayments'!$I$22)),0),0)</f>
        <v>0</v>
      </c>
      <c r="AL108" s="783">
        <f>IF('Incremental Repayments'!$R$22="Debt",IF(AND(AL$4&gt;=$D108,AL$4&lt;$D108+'Incremental Repayments'!$I$31),-PMT('Interest Rate'!$J$16,'Incremental Repayments'!$I$31,(HLOOKUP($D108,$E$4:$CZ$32,28,FALSE)*'Incremental Repayments'!$I$22)),0),0)</f>
        <v>0</v>
      </c>
      <c r="AM108" s="783">
        <f>IF('Incremental Repayments'!$R$22="Debt",IF(AND(AM$4&gt;=$D108,AM$4&lt;$D108+'Incremental Repayments'!$I$31),-PMT('Interest Rate'!$J$16,'Incremental Repayments'!$I$31,(HLOOKUP($D108,$E$4:$CZ$32,28,FALSE)*'Incremental Repayments'!$I$22)),0),0)</f>
        <v>0</v>
      </c>
      <c r="AN108" s="783">
        <f>IF('Incremental Repayments'!$R$22="Debt",IF(AND(AN$4&gt;=$D108,AN$4&lt;$D108+'Incremental Repayments'!$I$31),-PMT('Interest Rate'!$J$16,'Incremental Repayments'!$I$31,(HLOOKUP($D108,$E$4:$CZ$32,28,FALSE)*'Incremental Repayments'!$I$22)),0),0)</f>
        <v>0</v>
      </c>
      <c r="AO108" s="783">
        <f>IF('Incremental Repayments'!$R$22="Debt",IF(AND(AO$4&gt;=$D108,AO$4&lt;$D108+'Incremental Repayments'!$I$31),-PMT('Interest Rate'!$J$16,'Incremental Repayments'!$I$31,(HLOOKUP($D108,$E$4:$CZ$32,28,FALSE)*'Incremental Repayments'!$I$22)),0),0)</f>
        <v>0</v>
      </c>
      <c r="AP108" s="783">
        <f>IF('Incremental Repayments'!$R$22="Debt",IF(AND(AP$4&gt;=$D108,AP$4&lt;$D108+'Incremental Repayments'!$I$31),-PMT('Interest Rate'!$J$16,'Incremental Repayments'!$I$31,(HLOOKUP($D108,$E$4:$CZ$32,28,FALSE)*'Incremental Repayments'!$I$22)),0),0)</f>
        <v>0</v>
      </c>
      <c r="AQ108" s="783">
        <f>IF('Incremental Repayments'!$R$22="Debt",IF(AND(AQ$4&gt;=$D108,AQ$4&lt;$D108+'Incremental Repayments'!$I$31),-PMT('Interest Rate'!$J$16,'Incremental Repayments'!$I$31,(HLOOKUP($D108,$E$4:$CZ$32,28,FALSE)*'Incremental Repayments'!$I$22)),0),0)</f>
        <v>0</v>
      </c>
      <c r="AR108" s="783">
        <f>IF('Incremental Repayments'!$R$22="Debt",IF(AND(AR$4&gt;=$D108,AR$4&lt;$D108+'Incremental Repayments'!$I$31),-PMT('Interest Rate'!$J$16,'Incremental Repayments'!$I$31,(HLOOKUP($D108,$E$4:$CZ$32,28,FALSE)*'Incremental Repayments'!$I$22)),0),0)</f>
        <v>0</v>
      </c>
      <c r="AS108" s="783">
        <f>IF('Incremental Repayments'!$R$22="Debt",IF(AND(AS$4&gt;=$D108,AS$4&lt;$D108+'Incremental Repayments'!$I$31),-PMT('Interest Rate'!$J$16,'Incremental Repayments'!$I$31,(HLOOKUP($D108,$E$4:$CZ$32,28,FALSE)*'Incremental Repayments'!$I$22)),0),0)</f>
        <v>0</v>
      </c>
      <c r="AT108" s="783">
        <f>IF('Incremental Repayments'!$R$22="Debt",IF(AND(AT$4&gt;=$D108,AT$4&lt;$D108+'Incremental Repayments'!$I$31),-PMT('Interest Rate'!$J$16,'Incremental Repayments'!$I$31,(HLOOKUP($D108,$E$4:$CZ$32,28,FALSE)*'Incremental Repayments'!$I$22)),0),0)</f>
        <v>0</v>
      </c>
      <c r="AU108" s="783">
        <f>IF('Incremental Repayments'!$R$22="Debt",IF(AND(AU$4&gt;=$D108,AU$4&lt;$D108+'Incremental Repayments'!$I$31),-PMT('Interest Rate'!$J$16,'Incremental Repayments'!$I$31,(HLOOKUP($D108,$E$4:$CZ$32,28,FALSE)*'Incremental Repayments'!$I$22)),0),0)</f>
        <v>0</v>
      </c>
      <c r="AV108" s="783">
        <f>IF('Incremental Repayments'!$R$22="Debt",IF(AND(AV$4&gt;=$D108,AV$4&lt;$D108+'Incremental Repayments'!$I$31),-PMT('Interest Rate'!$J$16,'Incremental Repayments'!$I$31,(HLOOKUP($D108,$E$4:$CZ$32,28,FALSE)*'Incremental Repayments'!$I$22)),0),0)</f>
        <v>0</v>
      </c>
      <c r="AW108" s="783">
        <f>IF('Incremental Repayments'!$R$22="Debt",IF(AND(AW$4&gt;=$D108,AW$4&lt;$D108+'Incremental Repayments'!$I$31),-PMT('Interest Rate'!$J$16,'Incremental Repayments'!$I$31,(HLOOKUP($D108,$E$4:$CZ$32,28,FALSE)*'Incremental Repayments'!$I$22)),0),0)</f>
        <v>0</v>
      </c>
      <c r="AX108" s="783">
        <f>IF('Incremental Repayments'!$R$22="Debt",IF(AND(AX$4&gt;=$D108,AX$4&lt;$D108+'Incremental Repayments'!$I$31),-PMT('Interest Rate'!$J$16,'Incremental Repayments'!$I$31,(HLOOKUP($D108,$E$4:$CZ$32,28,FALSE)*'Incremental Repayments'!$I$22)),0),0)</f>
        <v>0</v>
      </c>
      <c r="AY108" s="783">
        <f>IF('Incremental Repayments'!$R$22="Debt",IF(AND(AY$4&gt;=$D108,AY$4&lt;$D108+'Incremental Repayments'!$I$31),-PMT('Interest Rate'!$J$16,'Incremental Repayments'!$I$31,(HLOOKUP($D108,$E$4:$CZ$32,28,FALSE)*'Incremental Repayments'!$I$22)),0),0)</f>
        <v>0</v>
      </c>
      <c r="AZ108" s="783">
        <f>IF('Incremental Repayments'!$R$22="Debt",IF(AND(AZ$4&gt;=$D108,AZ$4&lt;$D108+'Incremental Repayments'!$I$31),-PMT('Interest Rate'!$J$16,'Incremental Repayments'!$I$31,(HLOOKUP($D108,$E$4:$CZ$32,28,FALSE)*'Incremental Repayments'!$I$22)),0),0)</f>
        <v>0</v>
      </c>
      <c r="BA108" s="783">
        <f>IF('Incremental Repayments'!$R$22="Debt",IF(AND(BA$4&gt;=$D108,BA$4&lt;$D108+'Incremental Repayments'!$I$31),-PMT('Interest Rate'!$J$16,'Incremental Repayments'!$I$31,(HLOOKUP($D108,$E$4:$CZ$32,28,FALSE)*'Incremental Repayments'!$I$22)),0),0)</f>
        <v>0</v>
      </c>
      <c r="BB108" s="783">
        <f>IF('Incremental Repayments'!$R$22="Debt",IF(AND(BB$4&gt;=$D108,BB$4&lt;$D108+'Incremental Repayments'!$I$31),-PMT('Interest Rate'!$J$16,'Incremental Repayments'!$I$31,(HLOOKUP($D108,$E$4:$CZ$32,28,FALSE)*'Incremental Repayments'!$I$22)),0),0)</f>
        <v>0</v>
      </c>
      <c r="BC108" s="783">
        <f>IF('Incremental Repayments'!$R$22="Debt",IF(AND(BC$4&gt;=$D108,BC$4&lt;$D108+'Incremental Repayments'!$I$31),-PMT('Interest Rate'!$J$16,'Incremental Repayments'!$I$31,(HLOOKUP($D108,$E$4:$CZ$32,28,FALSE)*'Incremental Repayments'!$I$22)),0),0)</f>
        <v>0</v>
      </c>
      <c r="BD108" s="783">
        <f>IF('Incremental Repayments'!$R$22="Debt",IF(AND(BD$4&gt;=$D108,BD$4&lt;$D108+'Incremental Repayments'!$I$31),-PMT('Interest Rate'!$J$16,'Incremental Repayments'!$I$31,(HLOOKUP($D108,$E$4:$CZ$32,28,FALSE)*'Incremental Repayments'!$I$22)),0),0)</f>
        <v>0</v>
      </c>
      <c r="BE108" s="783">
        <f>IF('Incremental Repayments'!$R$22="Debt",IF(AND(BE$4&gt;=$D108,BE$4&lt;$D108+'Incremental Repayments'!$I$31),-PMT('Interest Rate'!$J$16,'Incremental Repayments'!$I$31,(HLOOKUP($D108,$E$4:$CZ$32,28,FALSE)*'Incremental Repayments'!$I$22)),0),0)</f>
        <v>0</v>
      </c>
      <c r="BF108" s="783">
        <f>IF('Incremental Repayments'!$R$22="Debt",IF(AND(BF$4&gt;=$D108,BF$4&lt;$D108+'Incremental Repayments'!$I$31),-PMT('Interest Rate'!$J$16,'Incremental Repayments'!$I$31,(HLOOKUP($D108,$E$4:$CZ$32,28,FALSE)*'Incremental Repayments'!$I$22)),0),0)</f>
        <v>0</v>
      </c>
      <c r="BG108" s="783">
        <f>IF('Incremental Repayments'!$R$22="Debt",IF(AND(BG$4&gt;=$D108,BG$4&lt;$D108+'Incremental Repayments'!$I$31),-PMT('Interest Rate'!$J$16,'Incremental Repayments'!$I$31,(HLOOKUP($D108,$E$4:$CZ$32,28,FALSE)*'Incremental Repayments'!$I$22)),0),0)</f>
        <v>0</v>
      </c>
      <c r="BH108" s="783">
        <f>IF('Incremental Repayments'!$R$22="Debt",IF(AND(BH$4&gt;=$D108,BH$4&lt;$D108+'Incremental Repayments'!$I$31),-PMT('Interest Rate'!$J$16,'Incremental Repayments'!$I$31,(HLOOKUP($D108,$E$4:$CZ$32,28,FALSE)*'Incremental Repayments'!$I$22)),0),0)</f>
        <v>0</v>
      </c>
      <c r="BI108" s="783">
        <f>IF('Incremental Repayments'!$R$22="Debt",IF(AND(BI$4&gt;=$D108,BI$4&lt;$D108+'Incremental Repayments'!$I$31),-PMT('Interest Rate'!$J$16,'Incremental Repayments'!$I$31,(HLOOKUP($D108,$E$4:$CZ$32,28,FALSE)*'Incremental Repayments'!$I$22)),0),0)</f>
        <v>0</v>
      </c>
      <c r="BJ108" s="783">
        <f>IF('Incremental Repayments'!$R$22="Debt",IF(AND(BJ$4&gt;=$D108,BJ$4&lt;$D108+'Incremental Repayments'!$I$31),-PMT('Interest Rate'!$J$16,'Incremental Repayments'!$I$31,(HLOOKUP($D108,$E$4:$CZ$32,28,FALSE)*'Incremental Repayments'!$I$22)),0),0)</f>
        <v>0</v>
      </c>
      <c r="BK108" s="783">
        <f>IF('Incremental Repayments'!$R$22="Debt",IF(AND(BK$4&gt;=$D108,BK$4&lt;$D108+'Incremental Repayments'!$I$31),-PMT('Interest Rate'!$J$16,'Incremental Repayments'!$I$31,(HLOOKUP($D108,$E$4:$CZ$32,28,FALSE)*'Incremental Repayments'!$I$22)),0),0)</f>
        <v>0</v>
      </c>
      <c r="BL108" s="783">
        <f>IF('Incremental Repayments'!$R$22="Debt",IF(AND(BL$4&gt;=$D108,BL$4&lt;$D108+'Incremental Repayments'!$I$31),-PMT('Interest Rate'!$J$16,'Incremental Repayments'!$I$31,(HLOOKUP($D108,$E$4:$CZ$32,28,FALSE)*'Incremental Repayments'!$I$22)),0),0)</f>
        <v>0</v>
      </c>
      <c r="BM108" s="783">
        <f>IF('Incremental Repayments'!$R$22="Debt",IF(AND(BM$4&gt;=$D108,BM$4&lt;$D108+'Incremental Repayments'!$I$31),-PMT('Interest Rate'!$J$16,'Incremental Repayments'!$I$31,(HLOOKUP($D108,$E$4:$CZ$32,28,FALSE)*'Incremental Repayments'!$I$22)),0),0)</f>
        <v>0</v>
      </c>
      <c r="BN108" s="783">
        <f>IF('Incremental Repayments'!$R$22="Debt",IF(AND(BN$4&gt;=$D108,BN$4&lt;$D108+'Incremental Repayments'!$I$31),-PMT('Interest Rate'!$J$16,'Incremental Repayments'!$I$31,(HLOOKUP($D108,$E$4:$CZ$32,28,FALSE)*'Incremental Repayments'!$I$22)),0),0)</f>
        <v>0</v>
      </c>
      <c r="BO108" s="783">
        <f>IF('Incremental Repayments'!$R$22="Debt",IF(AND(BO$4&gt;=$D108,BO$4&lt;$D108+'Incremental Repayments'!$I$31),-PMT('Interest Rate'!$J$16,'Incremental Repayments'!$I$31,(HLOOKUP($D108,$E$4:$CZ$32,28,FALSE)*'Incremental Repayments'!$I$22)),0),0)</f>
        <v>0</v>
      </c>
      <c r="BP108" s="783">
        <f>IF('Incremental Repayments'!$R$22="Debt",IF(AND(BP$4&gt;=$D108,BP$4&lt;$D108+'Incremental Repayments'!$I$31),-PMT('Interest Rate'!$J$16,'Incremental Repayments'!$I$31,(HLOOKUP($D108,$E$4:$CZ$32,28,FALSE)*'Incremental Repayments'!$I$22)),0),0)</f>
        <v>0</v>
      </c>
      <c r="BQ108" s="783">
        <f>IF('Incremental Repayments'!$R$22="Debt",IF(AND(BQ$4&gt;=$D108,BQ$4&lt;$D108+'Incremental Repayments'!$I$31),-PMT('Interest Rate'!$J$16,'Incremental Repayments'!$I$31,(HLOOKUP($D108,$E$4:$CZ$32,28,FALSE)*'Incremental Repayments'!$I$22)),0),0)</f>
        <v>0</v>
      </c>
      <c r="BR108" s="783">
        <f>IF('Incremental Repayments'!$R$22="Debt",IF(AND(BR$4&gt;=$D108,BR$4&lt;$D108+'Incremental Repayments'!$I$31),-PMT('Interest Rate'!$J$16,'Incremental Repayments'!$I$31,(HLOOKUP($D108,$E$4:$CZ$32,28,FALSE)*'Incremental Repayments'!$I$22)),0),0)</f>
        <v>0</v>
      </c>
      <c r="BS108" s="783">
        <f>IF('Incremental Repayments'!$R$22="Debt",IF(AND(BS$4&gt;=$D108,BS$4&lt;$D108+'Incremental Repayments'!$I$31),-PMT('Interest Rate'!$J$16,'Incremental Repayments'!$I$31,(HLOOKUP($D108,$E$4:$CZ$32,28,FALSE)*'Incremental Repayments'!$I$22)),0),0)</f>
        <v>0</v>
      </c>
      <c r="BT108" s="783">
        <f>IF('Incremental Repayments'!$R$22="Debt",IF(AND(BT$4&gt;=$D108,BT$4&lt;$D108+'Incremental Repayments'!$I$31),-PMT('Interest Rate'!$J$16,'Incremental Repayments'!$I$31,(HLOOKUP($D108,$E$4:$CZ$32,28,FALSE)*'Incremental Repayments'!$I$22)),0),0)</f>
        <v>0</v>
      </c>
      <c r="BU108" s="783">
        <f>IF('Incremental Repayments'!$R$22="Debt",IF(AND(BU$4&gt;=$D108,BU$4&lt;$D108+'Incremental Repayments'!$I$31),-PMT('Interest Rate'!$J$16,'Incremental Repayments'!$I$31,(HLOOKUP($D108,$E$4:$CZ$32,28,FALSE)*'Incremental Repayments'!$I$22)),0),0)</f>
        <v>0</v>
      </c>
      <c r="BV108" s="783">
        <f>IF('Incremental Repayments'!$R$22="Debt",IF(AND(BV$4&gt;=$D108,BV$4&lt;$D108+'Incremental Repayments'!$I$31),-PMT('Interest Rate'!$J$16,'Incremental Repayments'!$I$31,(HLOOKUP($D108,$E$4:$CZ$32,28,FALSE)*'Incremental Repayments'!$I$22)),0),0)</f>
        <v>0</v>
      </c>
      <c r="BW108" s="783">
        <f>IF('Incremental Repayments'!$R$22="Debt",IF(AND(BW$4&gt;=$D108,BW$4&lt;$D108+'Incremental Repayments'!$I$31),-PMT('Interest Rate'!$J$16,'Incremental Repayments'!$I$31,(HLOOKUP($D108,$E$4:$CZ$32,28,FALSE)*'Incremental Repayments'!$I$22)),0),0)</f>
        <v>0</v>
      </c>
      <c r="BX108" s="783">
        <f>IF('Incremental Repayments'!$R$22="Debt",IF(AND(BX$4&gt;=$D108,BX$4&lt;$D108+'Incremental Repayments'!$I$31),-PMT('Interest Rate'!$J$16,'Incremental Repayments'!$I$31,(HLOOKUP($D108,$E$4:$CZ$32,28,FALSE)*'Incremental Repayments'!$I$22)),0),0)</f>
        <v>0</v>
      </c>
      <c r="BY108" s="783">
        <f>IF('Incremental Repayments'!$R$22="Debt",IF(AND(BY$4&gt;=$D108,BY$4&lt;$D108+'Incremental Repayments'!$I$31),-PMT('Interest Rate'!$J$16,'Incremental Repayments'!$I$31,(HLOOKUP($D108,$E$4:$CZ$32,28,FALSE)*'Incremental Repayments'!$I$22)),0),0)</f>
        <v>0</v>
      </c>
      <c r="BZ108" s="783">
        <f>IF('Incremental Repayments'!$R$22="Debt",IF(AND(BZ$4&gt;=$D108,BZ$4&lt;$D108+'Incremental Repayments'!$I$31),-PMT('Interest Rate'!$J$16,'Incremental Repayments'!$I$31,(HLOOKUP($D108,$E$4:$CZ$32,28,FALSE)*'Incremental Repayments'!$I$22)),0),0)</f>
        <v>0</v>
      </c>
      <c r="CA108" s="783">
        <f>IF('Incremental Repayments'!$R$22="Debt",IF(AND(CA$4&gt;=$D108,CA$4&lt;$D108+'Incremental Repayments'!$I$31),-PMT('Interest Rate'!$J$16,'Incremental Repayments'!$I$31,(HLOOKUP($D108,$E$4:$CZ$32,28,FALSE)*'Incremental Repayments'!$I$22)),0),0)</f>
        <v>0</v>
      </c>
      <c r="CB108" s="783">
        <f>IF('Incremental Repayments'!$R$22="Debt",IF(AND(CB$4&gt;=$D108,CB$4&lt;$D108+'Incremental Repayments'!$I$31),-PMT('Interest Rate'!$J$16,'Incremental Repayments'!$I$31,(HLOOKUP($D108,$E$4:$CZ$32,28,FALSE)*'Incremental Repayments'!$I$22)),0),0)</f>
        <v>0</v>
      </c>
      <c r="CC108" s="783">
        <f>IF('Incremental Repayments'!$R$22="Debt",IF(AND(CC$4&gt;=$D108,CC$4&lt;$D108+'Incremental Repayments'!$I$31),-PMT('Interest Rate'!$J$16,'Incremental Repayments'!$I$31,(HLOOKUP($D108,$E$4:$CZ$32,28,FALSE)*'Incremental Repayments'!$I$22)),0),0)</f>
        <v>0</v>
      </c>
      <c r="CD108" s="783">
        <f>IF('Incremental Repayments'!$R$22="Debt",IF(AND(CD$4&gt;=$D108,CD$4&lt;$D108+'Incremental Repayments'!$I$31),-PMT('Interest Rate'!$J$16,'Incremental Repayments'!$I$31,(HLOOKUP($D108,$E$4:$CZ$32,28,FALSE)*'Incremental Repayments'!$I$22)),0),0)</f>
        <v>0</v>
      </c>
      <c r="CE108" s="783">
        <f>IF('Incremental Repayments'!$R$22="Debt",IF(AND(CE$4&gt;=$D108,CE$4&lt;$D108+'Incremental Repayments'!$I$31),-PMT('Interest Rate'!$J$16,'Incremental Repayments'!$I$31,(HLOOKUP($D108,$E$4:$CZ$32,28,FALSE)*'Incremental Repayments'!$I$22)),0),0)</f>
        <v>0</v>
      </c>
      <c r="CF108" s="783">
        <f>IF('Incremental Repayments'!$R$22="Debt",IF(AND(CF$4&gt;=$D108,CF$4&lt;$D108+'Incremental Repayments'!$I$31),-PMT('Interest Rate'!$J$16,'Incremental Repayments'!$I$31,(HLOOKUP($D108,$E$4:$CZ$32,28,FALSE)*'Incremental Repayments'!$I$22)),0),0)</f>
        <v>0</v>
      </c>
      <c r="CG108" s="783">
        <f>IF('Incremental Repayments'!$R$22="Debt",IF(AND(CG$4&gt;=$D108,CG$4&lt;$D108+'Incremental Repayments'!$I$31),-PMT('Interest Rate'!$J$16,'Incremental Repayments'!$I$31,(HLOOKUP($D108,$E$4:$CZ$32,28,FALSE)*'Incremental Repayments'!$I$22)),0),0)</f>
        <v>0</v>
      </c>
      <c r="CH108" s="783">
        <f>IF('Incremental Repayments'!$R$22="Debt",IF(AND(CH$4&gt;=$D108,CH$4&lt;$D108+'Incremental Repayments'!$I$31),-PMT('Interest Rate'!$J$16,'Incremental Repayments'!$I$31,(HLOOKUP($D108,$E$4:$CZ$32,28,FALSE)*'Incremental Repayments'!$I$22)),0),0)</f>
        <v>0</v>
      </c>
      <c r="CI108" s="783">
        <f>IF('Incremental Repayments'!$R$22="Debt",IF(AND(CI$4&gt;=$D108,CI$4&lt;$D108+'Incremental Repayments'!$I$31),-PMT('Interest Rate'!$J$16,'Incremental Repayments'!$I$31,(HLOOKUP($D108,$E$4:$CZ$32,28,FALSE)*'Incremental Repayments'!$I$22)),0),0)</f>
        <v>0</v>
      </c>
      <c r="CJ108" s="783">
        <f>IF('Incremental Repayments'!$R$22="Debt",IF(AND(CJ$4&gt;=$D108,CJ$4&lt;$D108+'Incremental Repayments'!$I$31),-PMT('Interest Rate'!$J$16,'Incremental Repayments'!$I$31,(HLOOKUP($D108,$E$4:$CZ$32,28,FALSE)*'Incremental Repayments'!$I$22)),0),0)</f>
        <v>0</v>
      </c>
      <c r="CK108" s="783">
        <f>IF('Incremental Repayments'!$R$22="Debt",IF(AND(CK$4&gt;=$D108,CK$4&lt;$D108+'Incremental Repayments'!$I$31),-PMT('Interest Rate'!$J$16,'Incremental Repayments'!$I$31,(HLOOKUP($D108,$E$4:$CZ$32,28,FALSE)*'Incremental Repayments'!$I$22)),0),0)</f>
        <v>0</v>
      </c>
      <c r="CL108" s="783">
        <f>IF('Incremental Repayments'!$R$22="Debt",IF(AND(CL$4&gt;=$D108,CL$4&lt;$D108+'Incremental Repayments'!$I$31),-PMT('Interest Rate'!$J$16,'Incremental Repayments'!$I$31,(HLOOKUP($D108,$E$4:$CZ$32,28,FALSE)*'Incremental Repayments'!$I$22)),0),0)</f>
        <v>0</v>
      </c>
      <c r="CM108" s="783">
        <f>IF('Incremental Repayments'!$R$22="Debt",IF(AND(CM$4&gt;=$D108,CM$4&lt;$D108+'Incremental Repayments'!$I$31),-PMT('Interest Rate'!$J$16,'Incremental Repayments'!$I$31,(HLOOKUP($D108,$E$4:$CZ$32,28,FALSE)*'Incremental Repayments'!$I$22)),0),0)</f>
        <v>0</v>
      </c>
      <c r="CN108" s="783">
        <f>IF('Incremental Repayments'!$R$22="Debt",IF(AND(CN$4&gt;=$D108,CN$4&lt;$D108+'Incremental Repayments'!$I$31),-PMT('Interest Rate'!$J$16,'Incremental Repayments'!$I$31,(HLOOKUP($D108,$E$4:$CZ$32,28,FALSE)*'Incremental Repayments'!$I$22)),0),0)</f>
        <v>0</v>
      </c>
      <c r="CO108" s="783">
        <f>IF('Incremental Repayments'!$R$22="Debt",IF(AND(CO$4&gt;=$D108,CO$4&lt;$D108+'Incremental Repayments'!$I$31),-PMT('Interest Rate'!$J$16,'Incremental Repayments'!$I$31,(HLOOKUP($D108,$E$4:$CZ$32,28,FALSE)*'Incremental Repayments'!$I$22)),0),0)</f>
        <v>0</v>
      </c>
      <c r="CP108" s="783">
        <f>IF('Incremental Repayments'!$R$22="Debt",IF(AND(CP$4&gt;=$D108,CP$4&lt;$D108+'Incremental Repayments'!$I$31),-PMT('Interest Rate'!$J$16,'Incremental Repayments'!$I$31,(HLOOKUP($D108,$E$4:$CZ$32,28,FALSE)*'Incremental Repayments'!$I$22)),0),0)</f>
        <v>0</v>
      </c>
      <c r="CQ108" s="783">
        <f>IF('Incremental Repayments'!$R$22="Debt",IF(AND(CQ$4&gt;=$D108,CQ$4&lt;$D108+'Incremental Repayments'!$I$31),-PMT('Interest Rate'!$J$16,'Incremental Repayments'!$I$31,(HLOOKUP($D108,$E$4:$CZ$32,28,FALSE)*'Incremental Repayments'!$I$22)),0),0)</f>
        <v>0</v>
      </c>
      <c r="CR108" s="783">
        <f>IF('Incremental Repayments'!$R$22="Debt",IF(AND(CR$4&gt;=$D108,CR$4&lt;$D108+'Incremental Repayments'!$I$31),-PMT('Interest Rate'!$J$16,'Incremental Repayments'!$I$31,(HLOOKUP($D108,$E$4:$CZ$32,28,FALSE)*'Incremental Repayments'!$I$22)),0),0)</f>
        <v>0</v>
      </c>
      <c r="CS108" s="783">
        <f>IF('Incremental Repayments'!$R$22="Debt",IF(AND(CS$4&gt;=$D108,CS$4&lt;$D108+'Incremental Repayments'!$I$31),-PMT('Interest Rate'!$J$16,'Incremental Repayments'!$I$31,(HLOOKUP($D108,$E$4:$CZ$32,28,FALSE)*'Incremental Repayments'!$I$22)),0),0)</f>
        <v>0</v>
      </c>
      <c r="CT108" s="783">
        <f>IF('Incremental Repayments'!$R$22="Debt",IF(AND(CT$4&gt;=$D108,CT$4&lt;$D108+'Incremental Repayments'!$I$31),-PMT('Interest Rate'!$J$16,'Incremental Repayments'!$I$31,(HLOOKUP($D108,$E$4:$CZ$32,28,FALSE)*'Incremental Repayments'!$I$22)),0),0)</f>
        <v>0</v>
      </c>
      <c r="CU108" s="783">
        <f>IF('Incremental Repayments'!$R$22="Debt",IF(AND(CU$4&gt;=$D108,CU$4&lt;$D108+'Incremental Repayments'!$I$31),-PMT('Interest Rate'!$J$16,'Incremental Repayments'!$I$31,(HLOOKUP($D108,$E$4:$CZ$32,28,FALSE)*'Incremental Repayments'!$I$22)),0),0)</f>
        <v>0</v>
      </c>
      <c r="CV108" s="783">
        <f>IF('Incremental Repayments'!$R$22="Debt",IF(AND(CV$4&gt;=$D108,CV$4&lt;$D108+'Incremental Repayments'!$I$31),-PMT('Interest Rate'!$J$16,'Incremental Repayments'!$I$31,(HLOOKUP($D108,$E$4:$CZ$32,28,FALSE)*'Incremental Repayments'!$I$22)),0),0)</f>
        <v>0</v>
      </c>
      <c r="CW108" s="783">
        <f>IF('Incremental Repayments'!$R$22="Debt",IF(AND(CW$4&gt;=$D108,CW$4&lt;$D108+'Incremental Repayments'!$I$31),-PMT('Interest Rate'!$J$16,'Incremental Repayments'!$I$31,(HLOOKUP($D108,$E$4:$CZ$32,28,FALSE)*'Incremental Repayments'!$I$22)),0),0)</f>
        <v>0</v>
      </c>
      <c r="CX108" s="783">
        <f>IF('Incremental Repayments'!$R$22="Debt",IF(AND(CX$4&gt;=$D108,CX$4&lt;$D108+'Incremental Repayments'!$I$31),-PMT('Interest Rate'!$J$16,'Incremental Repayments'!$I$31,(HLOOKUP($D108,$E$4:$CZ$32,28,FALSE)*'Incremental Repayments'!$I$22)),0),0)</f>
        <v>0</v>
      </c>
      <c r="CY108" s="783">
        <f>IF('Incremental Repayments'!$R$22="Debt",IF(AND(CY$4&gt;=$D108,CY$4&lt;$D108+'Incremental Repayments'!$I$31),-PMT('Interest Rate'!$J$16,'Incremental Repayments'!$I$31,(HLOOKUP($D108,$E$4:$CZ$32,28,FALSE)*'Incremental Repayments'!$I$22)),0),0)</f>
        <v>0</v>
      </c>
      <c r="CZ108" s="783">
        <f>IF('Incremental Repayments'!$R$22="Debt",IF(AND(CZ$4&gt;=$D108,CZ$4&lt;$D108+'Incremental Repayments'!$I$31),-PMT('Interest Rate'!$J$16,'Incremental Repayments'!$I$31,(HLOOKUP($D108,$E$4:$CZ$32,28,FALSE)*'Incremental Repayments'!$I$22)),0),0)</f>
        <v>0</v>
      </c>
    </row>
    <row r="109" spans="2:104" x14ac:dyDescent="0.25">
      <c r="B109" s="480" t="str">
        <f>CONCATENATE("Series ",D109,"A Bonds (at ",'Interest Rate'!$J$16*100,"% Interest)")</f>
        <v>Series 2087A Bonds (at 4.5% Interest)</v>
      </c>
      <c r="C109" s="480"/>
      <c r="D109" s="492">
        <f t="shared" si="47"/>
        <v>2087</v>
      </c>
      <c r="E109" s="783">
        <f>IF('Incremental Repayments'!$R$22="Debt",IF(AND(E$4&gt;=$D109,E$4&lt;$D109+'Incremental Repayments'!$I$31),-PMT('Interest Rate'!$J$16,'Incremental Repayments'!$I$31,(HLOOKUP($D109,$E$4:$CZ$32,28,FALSE)*'Incremental Repayments'!$I$22)),0),0)</f>
        <v>0</v>
      </c>
      <c r="F109" s="783">
        <f>IF('Incremental Repayments'!$R$22="Debt",IF(AND(F$4&gt;=$D109,F$4&lt;$D109+'Incremental Repayments'!$I$31),-PMT('Interest Rate'!$J$16,'Incremental Repayments'!$I$31,(HLOOKUP($D109,$E$4:$CZ$32,28,FALSE)*'Incremental Repayments'!$I$22)),0),0)</f>
        <v>0</v>
      </c>
      <c r="G109" s="783">
        <f>IF('Incremental Repayments'!$R$22="Debt",IF(AND(G$4&gt;=$D109,G$4&lt;$D109+'Incremental Repayments'!$I$31),-PMT('Interest Rate'!$J$16,'Incremental Repayments'!$I$31,(HLOOKUP($D109,$E$4:$CZ$32,28,FALSE)*'Incremental Repayments'!$I$22)),0),0)</f>
        <v>0</v>
      </c>
      <c r="H109" s="783">
        <f>IF('Incremental Repayments'!$R$22="Debt",IF(AND(H$4&gt;=$D109,H$4&lt;$D109+'Incremental Repayments'!$I$31),-PMT('Interest Rate'!$J$16,'Incremental Repayments'!$I$31,(HLOOKUP($D109,$E$4:$CZ$32,28,FALSE)*'Incremental Repayments'!$I$22)),0),0)</f>
        <v>0</v>
      </c>
      <c r="I109" s="783">
        <f>IF('Incremental Repayments'!$R$22="Debt",IF(AND(I$4&gt;=$D109,I$4&lt;$D109+'Incremental Repayments'!$I$31),-PMT('Interest Rate'!$J$16,'Incremental Repayments'!$I$31,(HLOOKUP($D109,$E$4:$CZ$32,28,FALSE)*'Incremental Repayments'!$I$22)),0),0)</f>
        <v>0</v>
      </c>
      <c r="J109" s="783">
        <f>IF('Incremental Repayments'!$R$22="Debt",IF(AND(J$4&gt;=$D109,J$4&lt;$D109+'Incremental Repayments'!$I$31),-PMT('Interest Rate'!$J$16,'Incremental Repayments'!$I$31,(HLOOKUP($D109,$E$4:$CZ$32,28,FALSE)*'Incremental Repayments'!$I$22)),0),0)</f>
        <v>0</v>
      </c>
      <c r="K109" s="783">
        <f>IF('Incremental Repayments'!$R$22="Debt",IF(AND(K$4&gt;=$D109,K$4&lt;$D109+'Incremental Repayments'!$I$31),-PMT('Interest Rate'!$J$16,'Incremental Repayments'!$I$31,(HLOOKUP($D109,$E$4:$CZ$32,28,FALSE)*'Incremental Repayments'!$I$22)),0),0)</f>
        <v>0</v>
      </c>
      <c r="L109" s="783">
        <f>IF('Incremental Repayments'!$R$22="Debt",IF(AND(L$4&gt;=$D109,L$4&lt;$D109+'Incremental Repayments'!$I$31),-PMT('Interest Rate'!$J$16,'Incremental Repayments'!$I$31,(HLOOKUP($D109,$E$4:$CZ$32,28,FALSE)*'Incremental Repayments'!$I$22)),0),0)</f>
        <v>0</v>
      </c>
      <c r="M109" s="783">
        <f>IF('Incremental Repayments'!$R$22="Debt",IF(AND(M$4&gt;=$D109,M$4&lt;$D109+'Incremental Repayments'!$I$31),-PMT('Interest Rate'!$J$16,'Incremental Repayments'!$I$31,(HLOOKUP($D109,$E$4:$CZ$32,28,FALSE)*'Incremental Repayments'!$I$22)),0),0)</f>
        <v>0</v>
      </c>
      <c r="N109" s="783">
        <f>IF('Incremental Repayments'!$R$22="Debt",IF(AND(N$4&gt;=$D109,N$4&lt;$D109+'Incremental Repayments'!$I$31),-PMT('Interest Rate'!$J$16,'Incremental Repayments'!$I$31,(HLOOKUP($D109,$E$4:$CZ$32,28,FALSE)*'Incremental Repayments'!$I$22)),0),0)</f>
        <v>0</v>
      </c>
      <c r="O109" s="783">
        <f>IF('Incremental Repayments'!$R$22="Debt",IF(AND(O$4&gt;=$D109,O$4&lt;$D109+'Incremental Repayments'!$I$31),-PMT('Interest Rate'!$J$16,'Incremental Repayments'!$I$31,(HLOOKUP($D109,$E$4:$CZ$32,28,FALSE)*'Incremental Repayments'!$I$22)),0),0)</f>
        <v>0</v>
      </c>
      <c r="P109" s="783">
        <f>IF('Incremental Repayments'!$R$22="Debt",IF(AND(P$4&gt;=$D109,P$4&lt;$D109+'Incremental Repayments'!$I$31),-PMT('Interest Rate'!$J$16,'Incremental Repayments'!$I$31,(HLOOKUP($D109,$E$4:$CZ$32,28,FALSE)*'Incremental Repayments'!$I$22)),0),0)</f>
        <v>0</v>
      </c>
      <c r="Q109" s="783">
        <f>IF('Incremental Repayments'!$R$22="Debt",IF(AND(Q$4&gt;=$D109,Q$4&lt;$D109+'Incremental Repayments'!$I$31),-PMT('Interest Rate'!$J$16,'Incremental Repayments'!$I$31,(HLOOKUP($D109,$E$4:$CZ$32,28,FALSE)*'Incremental Repayments'!$I$22)),0),0)</f>
        <v>0</v>
      </c>
      <c r="R109" s="783">
        <f>IF('Incremental Repayments'!$R$22="Debt",IF(AND(R$4&gt;=$D109,R$4&lt;$D109+'Incremental Repayments'!$I$31),-PMT('Interest Rate'!$J$16,'Incremental Repayments'!$I$31,(HLOOKUP($D109,$E$4:$CZ$32,28,FALSE)*'Incremental Repayments'!$I$22)),0),0)</f>
        <v>0</v>
      </c>
      <c r="S109" s="783">
        <f>IF('Incremental Repayments'!$R$22="Debt",IF(AND(S$4&gt;=$D109,S$4&lt;$D109+'Incremental Repayments'!$I$31),-PMT('Interest Rate'!$J$16,'Incremental Repayments'!$I$31,(HLOOKUP($D109,$E$4:$CZ$32,28,FALSE)*'Incremental Repayments'!$I$22)),0),0)</f>
        <v>0</v>
      </c>
      <c r="T109" s="783">
        <f>IF('Incremental Repayments'!$R$22="Debt",IF(AND(T$4&gt;=$D109,T$4&lt;$D109+'Incremental Repayments'!$I$31),-PMT('Interest Rate'!$J$16,'Incremental Repayments'!$I$31,(HLOOKUP($D109,$E$4:$CZ$32,28,FALSE)*'Incremental Repayments'!$I$22)),0),0)</f>
        <v>0</v>
      </c>
      <c r="U109" s="783">
        <f>IF('Incremental Repayments'!$R$22="Debt",IF(AND(U$4&gt;=$D109,U$4&lt;$D109+'Incremental Repayments'!$I$31),-PMT('Interest Rate'!$J$16,'Incremental Repayments'!$I$31,(HLOOKUP($D109,$E$4:$CZ$32,28,FALSE)*'Incremental Repayments'!$I$22)),0),0)</f>
        <v>0</v>
      </c>
      <c r="V109" s="783">
        <f>IF('Incremental Repayments'!$R$22="Debt",IF(AND(V$4&gt;=$D109,V$4&lt;$D109+'Incremental Repayments'!$I$31),-PMT('Interest Rate'!$J$16,'Incremental Repayments'!$I$31,(HLOOKUP($D109,$E$4:$CZ$32,28,FALSE)*'Incremental Repayments'!$I$22)),0),0)</f>
        <v>0</v>
      </c>
      <c r="W109" s="783">
        <f>IF('Incremental Repayments'!$R$22="Debt",IF(AND(W$4&gt;=$D109,W$4&lt;$D109+'Incremental Repayments'!$I$31),-PMT('Interest Rate'!$J$16,'Incremental Repayments'!$I$31,(HLOOKUP($D109,$E$4:$CZ$32,28,FALSE)*'Incremental Repayments'!$I$22)),0),0)</f>
        <v>0</v>
      </c>
      <c r="X109" s="783">
        <f>IF('Incremental Repayments'!$R$22="Debt",IF(AND(X$4&gt;=$D109,X$4&lt;$D109+'Incremental Repayments'!$I$31),-PMT('Interest Rate'!$J$16,'Incremental Repayments'!$I$31,(HLOOKUP($D109,$E$4:$CZ$32,28,FALSE)*'Incremental Repayments'!$I$22)),0),0)</f>
        <v>0</v>
      </c>
      <c r="Y109" s="783">
        <f>IF('Incremental Repayments'!$R$22="Debt",IF(AND(Y$4&gt;=$D109,Y$4&lt;$D109+'Incremental Repayments'!$I$31),-PMT('Interest Rate'!$J$16,'Incremental Repayments'!$I$31,(HLOOKUP($D109,$E$4:$CZ$32,28,FALSE)*'Incremental Repayments'!$I$22)),0),0)</f>
        <v>0</v>
      </c>
      <c r="Z109" s="783">
        <f>IF('Incremental Repayments'!$R$22="Debt",IF(AND(Z$4&gt;=$D109,Z$4&lt;$D109+'Incremental Repayments'!$I$31),-PMT('Interest Rate'!$J$16,'Incremental Repayments'!$I$31,(HLOOKUP($D109,$E$4:$CZ$32,28,FALSE)*'Incremental Repayments'!$I$22)),0),0)</f>
        <v>0</v>
      </c>
      <c r="AA109" s="783">
        <f>IF('Incremental Repayments'!$R$22="Debt",IF(AND(AA$4&gt;=$D109,AA$4&lt;$D109+'Incremental Repayments'!$I$31),-PMT('Interest Rate'!$J$16,'Incremental Repayments'!$I$31,(HLOOKUP($D109,$E$4:$CZ$32,28,FALSE)*'Incremental Repayments'!$I$22)),0),0)</f>
        <v>0</v>
      </c>
      <c r="AB109" s="783">
        <f>IF('Incremental Repayments'!$R$22="Debt",IF(AND(AB$4&gt;=$D109,AB$4&lt;$D109+'Incremental Repayments'!$I$31),-PMT('Interest Rate'!$J$16,'Incremental Repayments'!$I$31,(HLOOKUP($D109,$E$4:$CZ$32,28,FALSE)*'Incremental Repayments'!$I$22)),0),0)</f>
        <v>0</v>
      </c>
      <c r="AC109" s="783">
        <f>IF('Incremental Repayments'!$R$22="Debt",IF(AND(AC$4&gt;=$D109,AC$4&lt;$D109+'Incremental Repayments'!$I$31),-PMT('Interest Rate'!$J$16,'Incremental Repayments'!$I$31,(HLOOKUP($D109,$E$4:$CZ$32,28,FALSE)*'Incremental Repayments'!$I$22)),0),0)</f>
        <v>0</v>
      </c>
      <c r="AD109" s="783">
        <f>IF('Incremental Repayments'!$R$22="Debt",IF(AND(AD$4&gt;=$D109,AD$4&lt;$D109+'Incremental Repayments'!$I$31),-PMT('Interest Rate'!$J$16,'Incremental Repayments'!$I$31,(HLOOKUP($D109,$E$4:$CZ$32,28,FALSE)*'Incremental Repayments'!$I$22)),0),0)</f>
        <v>0</v>
      </c>
      <c r="AE109" s="783">
        <f>IF('Incremental Repayments'!$R$22="Debt",IF(AND(AE$4&gt;=$D109,AE$4&lt;$D109+'Incremental Repayments'!$I$31),-PMT('Interest Rate'!$J$16,'Incremental Repayments'!$I$31,(HLOOKUP($D109,$E$4:$CZ$32,28,FALSE)*'Incremental Repayments'!$I$22)),0),0)</f>
        <v>0</v>
      </c>
      <c r="AF109" s="783">
        <f>IF('Incremental Repayments'!$R$22="Debt",IF(AND(AF$4&gt;=$D109,AF$4&lt;$D109+'Incremental Repayments'!$I$31),-PMT('Interest Rate'!$J$16,'Incremental Repayments'!$I$31,(HLOOKUP($D109,$E$4:$CZ$32,28,FALSE)*'Incremental Repayments'!$I$22)),0),0)</f>
        <v>0</v>
      </c>
      <c r="AG109" s="783">
        <f>IF('Incremental Repayments'!$R$22="Debt",IF(AND(AG$4&gt;=$D109,AG$4&lt;$D109+'Incremental Repayments'!$I$31),-PMT('Interest Rate'!$J$16,'Incremental Repayments'!$I$31,(HLOOKUP($D109,$E$4:$CZ$32,28,FALSE)*'Incremental Repayments'!$I$22)),0),0)</f>
        <v>0</v>
      </c>
      <c r="AH109" s="783">
        <f>IF('Incremental Repayments'!$R$22="Debt",IF(AND(AH$4&gt;=$D109,AH$4&lt;$D109+'Incremental Repayments'!$I$31),-PMT('Interest Rate'!$J$16,'Incremental Repayments'!$I$31,(HLOOKUP($D109,$E$4:$CZ$32,28,FALSE)*'Incremental Repayments'!$I$22)),0),0)</f>
        <v>0</v>
      </c>
      <c r="AI109" s="783">
        <f>IF('Incremental Repayments'!$R$22="Debt",IF(AND(AI$4&gt;=$D109,AI$4&lt;$D109+'Incremental Repayments'!$I$31),-PMT('Interest Rate'!$J$16,'Incremental Repayments'!$I$31,(HLOOKUP($D109,$E$4:$CZ$32,28,FALSE)*'Incremental Repayments'!$I$22)),0),0)</f>
        <v>0</v>
      </c>
      <c r="AJ109" s="783">
        <f>IF('Incremental Repayments'!$R$22="Debt",IF(AND(AJ$4&gt;=$D109,AJ$4&lt;$D109+'Incremental Repayments'!$I$31),-PMT('Interest Rate'!$J$16,'Incremental Repayments'!$I$31,(HLOOKUP($D109,$E$4:$CZ$32,28,FALSE)*'Incremental Repayments'!$I$22)),0),0)</f>
        <v>0</v>
      </c>
      <c r="AK109" s="783">
        <f>IF('Incremental Repayments'!$R$22="Debt",IF(AND(AK$4&gt;=$D109,AK$4&lt;$D109+'Incremental Repayments'!$I$31),-PMT('Interest Rate'!$J$16,'Incremental Repayments'!$I$31,(HLOOKUP($D109,$E$4:$CZ$32,28,FALSE)*'Incremental Repayments'!$I$22)),0),0)</f>
        <v>0</v>
      </c>
      <c r="AL109" s="783">
        <f>IF('Incremental Repayments'!$R$22="Debt",IF(AND(AL$4&gt;=$D109,AL$4&lt;$D109+'Incremental Repayments'!$I$31),-PMT('Interest Rate'!$J$16,'Incremental Repayments'!$I$31,(HLOOKUP($D109,$E$4:$CZ$32,28,FALSE)*'Incremental Repayments'!$I$22)),0),0)</f>
        <v>0</v>
      </c>
      <c r="AM109" s="783">
        <f>IF('Incremental Repayments'!$R$22="Debt",IF(AND(AM$4&gt;=$D109,AM$4&lt;$D109+'Incremental Repayments'!$I$31),-PMT('Interest Rate'!$J$16,'Incremental Repayments'!$I$31,(HLOOKUP($D109,$E$4:$CZ$32,28,FALSE)*'Incremental Repayments'!$I$22)),0),0)</f>
        <v>0</v>
      </c>
      <c r="AN109" s="783">
        <f>IF('Incremental Repayments'!$R$22="Debt",IF(AND(AN$4&gt;=$D109,AN$4&lt;$D109+'Incremental Repayments'!$I$31),-PMT('Interest Rate'!$J$16,'Incremental Repayments'!$I$31,(HLOOKUP($D109,$E$4:$CZ$32,28,FALSE)*'Incremental Repayments'!$I$22)),0),0)</f>
        <v>0</v>
      </c>
      <c r="AO109" s="783">
        <f>IF('Incremental Repayments'!$R$22="Debt",IF(AND(AO$4&gt;=$D109,AO$4&lt;$D109+'Incremental Repayments'!$I$31),-PMT('Interest Rate'!$J$16,'Incremental Repayments'!$I$31,(HLOOKUP($D109,$E$4:$CZ$32,28,FALSE)*'Incremental Repayments'!$I$22)),0),0)</f>
        <v>0</v>
      </c>
      <c r="AP109" s="783">
        <f>IF('Incremental Repayments'!$R$22="Debt",IF(AND(AP$4&gt;=$D109,AP$4&lt;$D109+'Incremental Repayments'!$I$31),-PMT('Interest Rate'!$J$16,'Incremental Repayments'!$I$31,(HLOOKUP($D109,$E$4:$CZ$32,28,FALSE)*'Incremental Repayments'!$I$22)),0),0)</f>
        <v>0</v>
      </c>
      <c r="AQ109" s="783">
        <f>IF('Incremental Repayments'!$R$22="Debt",IF(AND(AQ$4&gt;=$D109,AQ$4&lt;$D109+'Incremental Repayments'!$I$31),-PMT('Interest Rate'!$J$16,'Incremental Repayments'!$I$31,(HLOOKUP($D109,$E$4:$CZ$32,28,FALSE)*'Incremental Repayments'!$I$22)),0),0)</f>
        <v>0</v>
      </c>
      <c r="AR109" s="783">
        <f>IF('Incremental Repayments'!$R$22="Debt",IF(AND(AR$4&gt;=$D109,AR$4&lt;$D109+'Incremental Repayments'!$I$31),-PMT('Interest Rate'!$J$16,'Incremental Repayments'!$I$31,(HLOOKUP($D109,$E$4:$CZ$32,28,FALSE)*'Incremental Repayments'!$I$22)),0),0)</f>
        <v>0</v>
      </c>
      <c r="AS109" s="783">
        <f>IF('Incremental Repayments'!$R$22="Debt",IF(AND(AS$4&gt;=$D109,AS$4&lt;$D109+'Incremental Repayments'!$I$31),-PMT('Interest Rate'!$J$16,'Incremental Repayments'!$I$31,(HLOOKUP($D109,$E$4:$CZ$32,28,FALSE)*'Incremental Repayments'!$I$22)),0),0)</f>
        <v>0</v>
      </c>
      <c r="AT109" s="783">
        <f>IF('Incremental Repayments'!$R$22="Debt",IF(AND(AT$4&gt;=$D109,AT$4&lt;$D109+'Incremental Repayments'!$I$31),-PMT('Interest Rate'!$J$16,'Incremental Repayments'!$I$31,(HLOOKUP($D109,$E$4:$CZ$32,28,FALSE)*'Incremental Repayments'!$I$22)),0),0)</f>
        <v>0</v>
      </c>
      <c r="AU109" s="783">
        <f>IF('Incremental Repayments'!$R$22="Debt",IF(AND(AU$4&gt;=$D109,AU$4&lt;$D109+'Incremental Repayments'!$I$31),-PMT('Interest Rate'!$J$16,'Incremental Repayments'!$I$31,(HLOOKUP($D109,$E$4:$CZ$32,28,FALSE)*'Incremental Repayments'!$I$22)),0),0)</f>
        <v>0</v>
      </c>
      <c r="AV109" s="783">
        <f>IF('Incremental Repayments'!$R$22="Debt",IF(AND(AV$4&gt;=$D109,AV$4&lt;$D109+'Incremental Repayments'!$I$31),-PMT('Interest Rate'!$J$16,'Incremental Repayments'!$I$31,(HLOOKUP($D109,$E$4:$CZ$32,28,FALSE)*'Incremental Repayments'!$I$22)),0),0)</f>
        <v>0</v>
      </c>
      <c r="AW109" s="783">
        <f>IF('Incremental Repayments'!$R$22="Debt",IF(AND(AW$4&gt;=$D109,AW$4&lt;$D109+'Incremental Repayments'!$I$31),-PMT('Interest Rate'!$J$16,'Incremental Repayments'!$I$31,(HLOOKUP($D109,$E$4:$CZ$32,28,FALSE)*'Incremental Repayments'!$I$22)),0),0)</f>
        <v>0</v>
      </c>
      <c r="AX109" s="783">
        <f>IF('Incremental Repayments'!$R$22="Debt",IF(AND(AX$4&gt;=$D109,AX$4&lt;$D109+'Incremental Repayments'!$I$31),-PMT('Interest Rate'!$J$16,'Incremental Repayments'!$I$31,(HLOOKUP($D109,$E$4:$CZ$32,28,FALSE)*'Incremental Repayments'!$I$22)),0),0)</f>
        <v>0</v>
      </c>
      <c r="AY109" s="783">
        <f>IF('Incremental Repayments'!$R$22="Debt",IF(AND(AY$4&gt;=$D109,AY$4&lt;$D109+'Incremental Repayments'!$I$31),-PMT('Interest Rate'!$J$16,'Incremental Repayments'!$I$31,(HLOOKUP($D109,$E$4:$CZ$32,28,FALSE)*'Incremental Repayments'!$I$22)),0),0)</f>
        <v>0</v>
      </c>
      <c r="AZ109" s="783">
        <f>IF('Incremental Repayments'!$R$22="Debt",IF(AND(AZ$4&gt;=$D109,AZ$4&lt;$D109+'Incremental Repayments'!$I$31),-PMT('Interest Rate'!$J$16,'Incremental Repayments'!$I$31,(HLOOKUP($D109,$E$4:$CZ$32,28,FALSE)*'Incremental Repayments'!$I$22)),0),0)</f>
        <v>0</v>
      </c>
      <c r="BA109" s="783">
        <f>IF('Incremental Repayments'!$R$22="Debt",IF(AND(BA$4&gt;=$D109,BA$4&lt;$D109+'Incremental Repayments'!$I$31),-PMT('Interest Rate'!$J$16,'Incremental Repayments'!$I$31,(HLOOKUP($D109,$E$4:$CZ$32,28,FALSE)*'Incremental Repayments'!$I$22)),0),0)</f>
        <v>0</v>
      </c>
      <c r="BB109" s="783">
        <f>IF('Incremental Repayments'!$R$22="Debt",IF(AND(BB$4&gt;=$D109,BB$4&lt;$D109+'Incremental Repayments'!$I$31),-PMT('Interest Rate'!$J$16,'Incremental Repayments'!$I$31,(HLOOKUP($D109,$E$4:$CZ$32,28,FALSE)*'Incremental Repayments'!$I$22)),0),0)</f>
        <v>0</v>
      </c>
      <c r="BC109" s="783">
        <f>IF('Incremental Repayments'!$R$22="Debt",IF(AND(BC$4&gt;=$D109,BC$4&lt;$D109+'Incremental Repayments'!$I$31),-PMT('Interest Rate'!$J$16,'Incremental Repayments'!$I$31,(HLOOKUP($D109,$E$4:$CZ$32,28,FALSE)*'Incremental Repayments'!$I$22)),0),0)</f>
        <v>0</v>
      </c>
      <c r="BD109" s="783">
        <f>IF('Incremental Repayments'!$R$22="Debt",IF(AND(BD$4&gt;=$D109,BD$4&lt;$D109+'Incremental Repayments'!$I$31),-PMT('Interest Rate'!$J$16,'Incremental Repayments'!$I$31,(HLOOKUP($D109,$E$4:$CZ$32,28,FALSE)*'Incremental Repayments'!$I$22)),0),0)</f>
        <v>0</v>
      </c>
      <c r="BE109" s="783">
        <f>IF('Incremental Repayments'!$R$22="Debt",IF(AND(BE$4&gt;=$D109,BE$4&lt;$D109+'Incremental Repayments'!$I$31),-PMT('Interest Rate'!$J$16,'Incremental Repayments'!$I$31,(HLOOKUP($D109,$E$4:$CZ$32,28,FALSE)*'Incremental Repayments'!$I$22)),0),0)</f>
        <v>0</v>
      </c>
      <c r="BF109" s="783">
        <f>IF('Incremental Repayments'!$R$22="Debt",IF(AND(BF$4&gt;=$D109,BF$4&lt;$D109+'Incremental Repayments'!$I$31),-PMT('Interest Rate'!$J$16,'Incremental Repayments'!$I$31,(HLOOKUP($D109,$E$4:$CZ$32,28,FALSE)*'Incremental Repayments'!$I$22)),0),0)</f>
        <v>0</v>
      </c>
      <c r="BG109" s="783">
        <f>IF('Incremental Repayments'!$R$22="Debt",IF(AND(BG$4&gt;=$D109,BG$4&lt;$D109+'Incremental Repayments'!$I$31),-PMT('Interest Rate'!$J$16,'Incremental Repayments'!$I$31,(HLOOKUP($D109,$E$4:$CZ$32,28,FALSE)*'Incremental Repayments'!$I$22)),0),0)</f>
        <v>0</v>
      </c>
      <c r="BH109" s="783">
        <f>IF('Incremental Repayments'!$R$22="Debt",IF(AND(BH$4&gt;=$D109,BH$4&lt;$D109+'Incremental Repayments'!$I$31),-PMT('Interest Rate'!$J$16,'Incremental Repayments'!$I$31,(HLOOKUP($D109,$E$4:$CZ$32,28,FALSE)*'Incremental Repayments'!$I$22)),0),0)</f>
        <v>0</v>
      </c>
      <c r="BI109" s="783">
        <f>IF('Incremental Repayments'!$R$22="Debt",IF(AND(BI$4&gt;=$D109,BI$4&lt;$D109+'Incremental Repayments'!$I$31),-PMT('Interest Rate'!$J$16,'Incremental Repayments'!$I$31,(HLOOKUP($D109,$E$4:$CZ$32,28,FALSE)*'Incremental Repayments'!$I$22)),0),0)</f>
        <v>0</v>
      </c>
      <c r="BJ109" s="783">
        <f>IF('Incremental Repayments'!$R$22="Debt",IF(AND(BJ$4&gt;=$D109,BJ$4&lt;$D109+'Incremental Repayments'!$I$31),-PMT('Interest Rate'!$J$16,'Incremental Repayments'!$I$31,(HLOOKUP($D109,$E$4:$CZ$32,28,FALSE)*'Incremental Repayments'!$I$22)),0),0)</f>
        <v>0</v>
      </c>
      <c r="BK109" s="783">
        <f>IF('Incremental Repayments'!$R$22="Debt",IF(AND(BK$4&gt;=$D109,BK$4&lt;$D109+'Incremental Repayments'!$I$31),-PMT('Interest Rate'!$J$16,'Incremental Repayments'!$I$31,(HLOOKUP($D109,$E$4:$CZ$32,28,FALSE)*'Incremental Repayments'!$I$22)),0),0)</f>
        <v>0</v>
      </c>
      <c r="BL109" s="783">
        <f>IF('Incremental Repayments'!$R$22="Debt",IF(AND(BL$4&gt;=$D109,BL$4&lt;$D109+'Incremental Repayments'!$I$31),-PMT('Interest Rate'!$J$16,'Incremental Repayments'!$I$31,(HLOOKUP($D109,$E$4:$CZ$32,28,FALSE)*'Incremental Repayments'!$I$22)),0),0)</f>
        <v>0</v>
      </c>
      <c r="BM109" s="783">
        <f>IF('Incremental Repayments'!$R$22="Debt",IF(AND(BM$4&gt;=$D109,BM$4&lt;$D109+'Incremental Repayments'!$I$31),-PMT('Interest Rate'!$J$16,'Incremental Repayments'!$I$31,(HLOOKUP($D109,$E$4:$CZ$32,28,FALSE)*'Incremental Repayments'!$I$22)),0),0)</f>
        <v>0</v>
      </c>
      <c r="BN109" s="783">
        <f>IF('Incremental Repayments'!$R$22="Debt",IF(AND(BN$4&gt;=$D109,BN$4&lt;$D109+'Incremental Repayments'!$I$31),-PMT('Interest Rate'!$J$16,'Incremental Repayments'!$I$31,(HLOOKUP($D109,$E$4:$CZ$32,28,FALSE)*'Incremental Repayments'!$I$22)),0),0)</f>
        <v>0</v>
      </c>
      <c r="BO109" s="783">
        <f>IF('Incremental Repayments'!$R$22="Debt",IF(AND(BO$4&gt;=$D109,BO$4&lt;$D109+'Incremental Repayments'!$I$31),-PMT('Interest Rate'!$J$16,'Incremental Repayments'!$I$31,(HLOOKUP($D109,$E$4:$CZ$32,28,FALSE)*'Incremental Repayments'!$I$22)),0),0)</f>
        <v>0</v>
      </c>
      <c r="BP109" s="783">
        <f>IF('Incremental Repayments'!$R$22="Debt",IF(AND(BP$4&gt;=$D109,BP$4&lt;$D109+'Incremental Repayments'!$I$31),-PMT('Interest Rate'!$J$16,'Incremental Repayments'!$I$31,(HLOOKUP($D109,$E$4:$CZ$32,28,FALSE)*'Incremental Repayments'!$I$22)),0),0)</f>
        <v>0</v>
      </c>
      <c r="BQ109" s="783">
        <f>IF('Incremental Repayments'!$R$22="Debt",IF(AND(BQ$4&gt;=$D109,BQ$4&lt;$D109+'Incremental Repayments'!$I$31),-PMT('Interest Rate'!$J$16,'Incremental Repayments'!$I$31,(HLOOKUP($D109,$E$4:$CZ$32,28,FALSE)*'Incremental Repayments'!$I$22)),0),0)</f>
        <v>0</v>
      </c>
      <c r="BR109" s="783">
        <f>IF('Incremental Repayments'!$R$22="Debt",IF(AND(BR$4&gt;=$D109,BR$4&lt;$D109+'Incremental Repayments'!$I$31),-PMT('Interest Rate'!$J$16,'Incremental Repayments'!$I$31,(HLOOKUP($D109,$E$4:$CZ$32,28,FALSE)*'Incremental Repayments'!$I$22)),0),0)</f>
        <v>0</v>
      </c>
      <c r="BS109" s="783">
        <f>IF('Incremental Repayments'!$R$22="Debt",IF(AND(BS$4&gt;=$D109,BS$4&lt;$D109+'Incremental Repayments'!$I$31),-PMT('Interest Rate'!$J$16,'Incremental Repayments'!$I$31,(HLOOKUP($D109,$E$4:$CZ$32,28,FALSE)*'Incremental Repayments'!$I$22)),0),0)</f>
        <v>0</v>
      </c>
      <c r="BT109" s="783">
        <f>IF('Incremental Repayments'!$R$22="Debt",IF(AND(BT$4&gt;=$D109,BT$4&lt;$D109+'Incremental Repayments'!$I$31),-PMT('Interest Rate'!$J$16,'Incremental Repayments'!$I$31,(HLOOKUP($D109,$E$4:$CZ$32,28,FALSE)*'Incremental Repayments'!$I$22)),0),0)</f>
        <v>0</v>
      </c>
      <c r="BU109" s="783">
        <f>IF('Incremental Repayments'!$R$22="Debt",IF(AND(BU$4&gt;=$D109,BU$4&lt;$D109+'Incremental Repayments'!$I$31),-PMT('Interest Rate'!$J$16,'Incremental Repayments'!$I$31,(HLOOKUP($D109,$E$4:$CZ$32,28,FALSE)*'Incremental Repayments'!$I$22)),0),0)</f>
        <v>0</v>
      </c>
      <c r="BV109" s="783">
        <f>IF('Incremental Repayments'!$R$22="Debt",IF(AND(BV$4&gt;=$D109,BV$4&lt;$D109+'Incremental Repayments'!$I$31),-PMT('Interest Rate'!$J$16,'Incremental Repayments'!$I$31,(HLOOKUP($D109,$E$4:$CZ$32,28,FALSE)*'Incremental Repayments'!$I$22)),0),0)</f>
        <v>0</v>
      </c>
      <c r="BW109" s="783">
        <f>IF('Incremental Repayments'!$R$22="Debt",IF(AND(BW$4&gt;=$D109,BW$4&lt;$D109+'Incremental Repayments'!$I$31),-PMT('Interest Rate'!$J$16,'Incremental Repayments'!$I$31,(HLOOKUP($D109,$E$4:$CZ$32,28,FALSE)*'Incremental Repayments'!$I$22)),0),0)</f>
        <v>0</v>
      </c>
      <c r="BX109" s="783">
        <f>IF('Incremental Repayments'!$R$22="Debt",IF(AND(BX$4&gt;=$D109,BX$4&lt;$D109+'Incremental Repayments'!$I$31),-PMT('Interest Rate'!$J$16,'Incremental Repayments'!$I$31,(HLOOKUP($D109,$E$4:$CZ$32,28,FALSE)*'Incremental Repayments'!$I$22)),0),0)</f>
        <v>0</v>
      </c>
      <c r="BY109" s="783">
        <f>IF('Incremental Repayments'!$R$22="Debt",IF(AND(BY$4&gt;=$D109,BY$4&lt;$D109+'Incremental Repayments'!$I$31),-PMT('Interest Rate'!$J$16,'Incremental Repayments'!$I$31,(HLOOKUP($D109,$E$4:$CZ$32,28,FALSE)*'Incremental Repayments'!$I$22)),0),0)</f>
        <v>0</v>
      </c>
      <c r="BZ109" s="783">
        <f>IF('Incremental Repayments'!$R$22="Debt",IF(AND(BZ$4&gt;=$D109,BZ$4&lt;$D109+'Incremental Repayments'!$I$31),-PMT('Interest Rate'!$J$16,'Incremental Repayments'!$I$31,(HLOOKUP($D109,$E$4:$CZ$32,28,FALSE)*'Incremental Repayments'!$I$22)),0),0)</f>
        <v>0</v>
      </c>
      <c r="CA109" s="783">
        <f>IF('Incremental Repayments'!$R$22="Debt",IF(AND(CA$4&gt;=$D109,CA$4&lt;$D109+'Incremental Repayments'!$I$31),-PMT('Interest Rate'!$J$16,'Incremental Repayments'!$I$31,(HLOOKUP($D109,$E$4:$CZ$32,28,FALSE)*'Incremental Repayments'!$I$22)),0),0)</f>
        <v>0</v>
      </c>
      <c r="CB109" s="783">
        <f>IF('Incremental Repayments'!$R$22="Debt",IF(AND(CB$4&gt;=$D109,CB$4&lt;$D109+'Incremental Repayments'!$I$31),-PMT('Interest Rate'!$J$16,'Incremental Repayments'!$I$31,(HLOOKUP($D109,$E$4:$CZ$32,28,FALSE)*'Incremental Repayments'!$I$22)),0),0)</f>
        <v>0</v>
      </c>
      <c r="CC109" s="783">
        <f>IF('Incremental Repayments'!$R$22="Debt",IF(AND(CC$4&gt;=$D109,CC$4&lt;$D109+'Incremental Repayments'!$I$31),-PMT('Interest Rate'!$J$16,'Incremental Repayments'!$I$31,(HLOOKUP($D109,$E$4:$CZ$32,28,FALSE)*'Incremental Repayments'!$I$22)),0),0)</f>
        <v>0</v>
      </c>
      <c r="CD109" s="783">
        <f>IF('Incremental Repayments'!$R$22="Debt",IF(AND(CD$4&gt;=$D109,CD$4&lt;$D109+'Incremental Repayments'!$I$31),-PMT('Interest Rate'!$J$16,'Incremental Repayments'!$I$31,(HLOOKUP($D109,$E$4:$CZ$32,28,FALSE)*'Incremental Repayments'!$I$22)),0),0)</f>
        <v>0</v>
      </c>
      <c r="CE109" s="783">
        <f>IF('Incremental Repayments'!$R$22="Debt",IF(AND(CE$4&gt;=$D109,CE$4&lt;$D109+'Incremental Repayments'!$I$31),-PMT('Interest Rate'!$J$16,'Incremental Repayments'!$I$31,(HLOOKUP($D109,$E$4:$CZ$32,28,FALSE)*'Incremental Repayments'!$I$22)),0),0)</f>
        <v>0</v>
      </c>
      <c r="CF109" s="783">
        <f>IF('Incremental Repayments'!$R$22="Debt",IF(AND(CF$4&gt;=$D109,CF$4&lt;$D109+'Incremental Repayments'!$I$31),-PMT('Interest Rate'!$J$16,'Incremental Repayments'!$I$31,(HLOOKUP($D109,$E$4:$CZ$32,28,FALSE)*'Incremental Repayments'!$I$22)),0),0)</f>
        <v>0</v>
      </c>
      <c r="CG109" s="783">
        <f>IF('Incremental Repayments'!$R$22="Debt",IF(AND(CG$4&gt;=$D109,CG$4&lt;$D109+'Incremental Repayments'!$I$31),-PMT('Interest Rate'!$J$16,'Incremental Repayments'!$I$31,(HLOOKUP($D109,$E$4:$CZ$32,28,FALSE)*'Incremental Repayments'!$I$22)),0),0)</f>
        <v>0</v>
      </c>
      <c r="CH109" s="783">
        <f>IF('Incremental Repayments'!$R$22="Debt",IF(AND(CH$4&gt;=$D109,CH$4&lt;$D109+'Incremental Repayments'!$I$31),-PMT('Interest Rate'!$J$16,'Incremental Repayments'!$I$31,(HLOOKUP($D109,$E$4:$CZ$32,28,FALSE)*'Incremental Repayments'!$I$22)),0),0)</f>
        <v>0</v>
      </c>
      <c r="CI109" s="783">
        <f>IF('Incremental Repayments'!$R$22="Debt",IF(AND(CI$4&gt;=$D109,CI$4&lt;$D109+'Incremental Repayments'!$I$31),-PMT('Interest Rate'!$J$16,'Incremental Repayments'!$I$31,(HLOOKUP($D109,$E$4:$CZ$32,28,FALSE)*'Incremental Repayments'!$I$22)),0),0)</f>
        <v>0</v>
      </c>
      <c r="CJ109" s="783">
        <f>IF('Incremental Repayments'!$R$22="Debt",IF(AND(CJ$4&gt;=$D109,CJ$4&lt;$D109+'Incremental Repayments'!$I$31),-PMT('Interest Rate'!$J$16,'Incremental Repayments'!$I$31,(HLOOKUP($D109,$E$4:$CZ$32,28,FALSE)*'Incremental Repayments'!$I$22)),0),0)</f>
        <v>0</v>
      </c>
      <c r="CK109" s="783">
        <f>IF('Incremental Repayments'!$R$22="Debt",IF(AND(CK$4&gt;=$D109,CK$4&lt;$D109+'Incremental Repayments'!$I$31),-PMT('Interest Rate'!$J$16,'Incremental Repayments'!$I$31,(HLOOKUP($D109,$E$4:$CZ$32,28,FALSE)*'Incremental Repayments'!$I$22)),0),0)</f>
        <v>0</v>
      </c>
      <c r="CL109" s="783">
        <f>IF('Incremental Repayments'!$R$22="Debt",IF(AND(CL$4&gt;=$D109,CL$4&lt;$D109+'Incremental Repayments'!$I$31),-PMT('Interest Rate'!$J$16,'Incremental Repayments'!$I$31,(HLOOKUP($D109,$E$4:$CZ$32,28,FALSE)*'Incremental Repayments'!$I$22)),0),0)</f>
        <v>0</v>
      </c>
      <c r="CM109" s="783">
        <f>IF('Incremental Repayments'!$R$22="Debt",IF(AND(CM$4&gt;=$D109,CM$4&lt;$D109+'Incremental Repayments'!$I$31),-PMT('Interest Rate'!$J$16,'Incremental Repayments'!$I$31,(HLOOKUP($D109,$E$4:$CZ$32,28,FALSE)*'Incremental Repayments'!$I$22)),0),0)</f>
        <v>0</v>
      </c>
      <c r="CN109" s="783">
        <f>IF('Incremental Repayments'!$R$22="Debt",IF(AND(CN$4&gt;=$D109,CN$4&lt;$D109+'Incremental Repayments'!$I$31),-PMT('Interest Rate'!$J$16,'Incremental Repayments'!$I$31,(HLOOKUP($D109,$E$4:$CZ$32,28,FALSE)*'Incremental Repayments'!$I$22)),0),0)</f>
        <v>0</v>
      </c>
      <c r="CO109" s="783">
        <f>IF('Incremental Repayments'!$R$22="Debt",IF(AND(CO$4&gt;=$D109,CO$4&lt;$D109+'Incremental Repayments'!$I$31),-PMT('Interest Rate'!$J$16,'Incremental Repayments'!$I$31,(HLOOKUP($D109,$E$4:$CZ$32,28,FALSE)*'Incremental Repayments'!$I$22)),0),0)</f>
        <v>0</v>
      </c>
      <c r="CP109" s="783">
        <f>IF('Incremental Repayments'!$R$22="Debt",IF(AND(CP$4&gt;=$D109,CP$4&lt;$D109+'Incremental Repayments'!$I$31),-PMT('Interest Rate'!$J$16,'Incremental Repayments'!$I$31,(HLOOKUP($D109,$E$4:$CZ$32,28,FALSE)*'Incremental Repayments'!$I$22)),0),0)</f>
        <v>0</v>
      </c>
      <c r="CQ109" s="783">
        <f>IF('Incremental Repayments'!$R$22="Debt",IF(AND(CQ$4&gt;=$D109,CQ$4&lt;$D109+'Incremental Repayments'!$I$31),-PMT('Interest Rate'!$J$16,'Incremental Repayments'!$I$31,(HLOOKUP($D109,$E$4:$CZ$32,28,FALSE)*'Incremental Repayments'!$I$22)),0),0)</f>
        <v>0</v>
      </c>
      <c r="CR109" s="783">
        <f>IF('Incremental Repayments'!$R$22="Debt",IF(AND(CR$4&gt;=$D109,CR$4&lt;$D109+'Incremental Repayments'!$I$31),-PMT('Interest Rate'!$J$16,'Incremental Repayments'!$I$31,(HLOOKUP($D109,$E$4:$CZ$32,28,FALSE)*'Incremental Repayments'!$I$22)),0),0)</f>
        <v>0</v>
      </c>
      <c r="CS109" s="783">
        <f>IF('Incremental Repayments'!$R$22="Debt",IF(AND(CS$4&gt;=$D109,CS$4&lt;$D109+'Incremental Repayments'!$I$31),-PMT('Interest Rate'!$J$16,'Incremental Repayments'!$I$31,(HLOOKUP($D109,$E$4:$CZ$32,28,FALSE)*'Incremental Repayments'!$I$22)),0),0)</f>
        <v>0</v>
      </c>
      <c r="CT109" s="783">
        <f>IF('Incremental Repayments'!$R$22="Debt",IF(AND(CT$4&gt;=$D109,CT$4&lt;$D109+'Incremental Repayments'!$I$31),-PMT('Interest Rate'!$J$16,'Incremental Repayments'!$I$31,(HLOOKUP($D109,$E$4:$CZ$32,28,FALSE)*'Incremental Repayments'!$I$22)),0),0)</f>
        <v>0</v>
      </c>
      <c r="CU109" s="783">
        <f>IF('Incremental Repayments'!$R$22="Debt",IF(AND(CU$4&gt;=$D109,CU$4&lt;$D109+'Incremental Repayments'!$I$31),-PMT('Interest Rate'!$J$16,'Incremental Repayments'!$I$31,(HLOOKUP($D109,$E$4:$CZ$32,28,FALSE)*'Incremental Repayments'!$I$22)),0),0)</f>
        <v>0</v>
      </c>
      <c r="CV109" s="783">
        <f>IF('Incremental Repayments'!$R$22="Debt",IF(AND(CV$4&gt;=$D109,CV$4&lt;$D109+'Incremental Repayments'!$I$31),-PMT('Interest Rate'!$J$16,'Incremental Repayments'!$I$31,(HLOOKUP($D109,$E$4:$CZ$32,28,FALSE)*'Incremental Repayments'!$I$22)),0),0)</f>
        <v>0</v>
      </c>
      <c r="CW109" s="783">
        <f>IF('Incremental Repayments'!$R$22="Debt",IF(AND(CW$4&gt;=$D109,CW$4&lt;$D109+'Incremental Repayments'!$I$31),-PMT('Interest Rate'!$J$16,'Incremental Repayments'!$I$31,(HLOOKUP($D109,$E$4:$CZ$32,28,FALSE)*'Incremental Repayments'!$I$22)),0),0)</f>
        <v>0</v>
      </c>
      <c r="CX109" s="783">
        <f>IF('Incremental Repayments'!$R$22="Debt",IF(AND(CX$4&gt;=$D109,CX$4&lt;$D109+'Incremental Repayments'!$I$31),-PMT('Interest Rate'!$J$16,'Incremental Repayments'!$I$31,(HLOOKUP($D109,$E$4:$CZ$32,28,FALSE)*'Incremental Repayments'!$I$22)),0),0)</f>
        <v>0</v>
      </c>
      <c r="CY109" s="783">
        <f>IF('Incremental Repayments'!$R$22="Debt",IF(AND(CY$4&gt;=$D109,CY$4&lt;$D109+'Incremental Repayments'!$I$31),-PMT('Interest Rate'!$J$16,'Incremental Repayments'!$I$31,(HLOOKUP($D109,$E$4:$CZ$32,28,FALSE)*'Incremental Repayments'!$I$22)),0),0)</f>
        <v>0</v>
      </c>
      <c r="CZ109" s="783">
        <f>IF('Incremental Repayments'!$R$22="Debt",IF(AND(CZ$4&gt;=$D109,CZ$4&lt;$D109+'Incremental Repayments'!$I$31),-PMT('Interest Rate'!$J$16,'Incremental Repayments'!$I$31,(HLOOKUP($D109,$E$4:$CZ$32,28,FALSE)*'Incremental Repayments'!$I$22)),0),0)</f>
        <v>0</v>
      </c>
    </row>
    <row r="110" spans="2:104" x14ac:dyDescent="0.25">
      <c r="B110" s="480" t="str">
        <f>CONCATENATE("Series ",D110,"A Bonds (at ",'Interest Rate'!$J$16*100,"% Interest)")</f>
        <v>Series 2088A Bonds (at 4.5% Interest)</v>
      </c>
      <c r="C110" s="480"/>
      <c r="D110" s="492">
        <f t="shared" si="47"/>
        <v>2088</v>
      </c>
      <c r="E110" s="783">
        <f>IF('Incremental Repayments'!$R$22="Debt",IF(AND(E$4&gt;=$D110,E$4&lt;$D110+'Incremental Repayments'!$I$31),-PMT('Interest Rate'!$J$16,'Incremental Repayments'!$I$31,(HLOOKUP($D110,$E$4:$CZ$32,28,FALSE)*'Incremental Repayments'!$I$22)),0),0)</f>
        <v>0</v>
      </c>
      <c r="F110" s="783">
        <f>IF('Incremental Repayments'!$R$22="Debt",IF(AND(F$4&gt;=$D110,F$4&lt;$D110+'Incremental Repayments'!$I$31),-PMT('Interest Rate'!$J$16,'Incremental Repayments'!$I$31,(HLOOKUP($D110,$E$4:$CZ$32,28,FALSE)*'Incremental Repayments'!$I$22)),0),0)</f>
        <v>0</v>
      </c>
      <c r="G110" s="783">
        <f>IF('Incremental Repayments'!$R$22="Debt",IF(AND(G$4&gt;=$D110,G$4&lt;$D110+'Incremental Repayments'!$I$31),-PMT('Interest Rate'!$J$16,'Incremental Repayments'!$I$31,(HLOOKUP($D110,$E$4:$CZ$32,28,FALSE)*'Incremental Repayments'!$I$22)),0),0)</f>
        <v>0</v>
      </c>
      <c r="H110" s="783">
        <f>IF('Incremental Repayments'!$R$22="Debt",IF(AND(H$4&gt;=$D110,H$4&lt;$D110+'Incremental Repayments'!$I$31),-PMT('Interest Rate'!$J$16,'Incremental Repayments'!$I$31,(HLOOKUP($D110,$E$4:$CZ$32,28,FALSE)*'Incremental Repayments'!$I$22)),0),0)</f>
        <v>0</v>
      </c>
      <c r="I110" s="783">
        <f>IF('Incremental Repayments'!$R$22="Debt",IF(AND(I$4&gt;=$D110,I$4&lt;$D110+'Incremental Repayments'!$I$31),-PMT('Interest Rate'!$J$16,'Incremental Repayments'!$I$31,(HLOOKUP($D110,$E$4:$CZ$32,28,FALSE)*'Incremental Repayments'!$I$22)),0),0)</f>
        <v>0</v>
      </c>
      <c r="J110" s="783">
        <f>IF('Incremental Repayments'!$R$22="Debt",IF(AND(J$4&gt;=$D110,J$4&lt;$D110+'Incremental Repayments'!$I$31),-PMT('Interest Rate'!$J$16,'Incremental Repayments'!$I$31,(HLOOKUP($D110,$E$4:$CZ$32,28,FALSE)*'Incremental Repayments'!$I$22)),0),0)</f>
        <v>0</v>
      </c>
      <c r="K110" s="783">
        <f>IF('Incremental Repayments'!$R$22="Debt",IF(AND(K$4&gt;=$D110,K$4&lt;$D110+'Incremental Repayments'!$I$31),-PMT('Interest Rate'!$J$16,'Incremental Repayments'!$I$31,(HLOOKUP($D110,$E$4:$CZ$32,28,FALSE)*'Incremental Repayments'!$I$22)),0),0)</f>
        <v>0</v>
      </c>
      <c r="L110" s="783">
        <f>IF('Incremental Repayments'!$R$22="Debt",IF(AND(L$4&gt;=$D110,L$4&lt;$D110+'Incremental Repayments'!$I$31),-PMT('Interest Rate'!$J$16,'Incremental Repayments'!$I$31,(HLOOKUP($D110,$E$4:$CZ$32,28,FALSE)*'Incremental Repayments'!$I$22)),0),0)</f>
        <v>0</v>
      </c>
      <c r="M110" s="783">
        <f>IF('Incremental Repayments'!$R$22="Debt",IF(AND(M$4&gt;=$D110,M$4&lt;$D110+'Incremental Repayments'!$I$31),-PMT('Interest Rate'!$J$16,'Incremental Repayments'!$I$31,(HLOOKUP($D110,$E$4:$CZ$32,28,FALSE)*'Incremental Repayments'!$I$22)),0),0)</f>
        <v>0</v>
      </c>
      <c r="N110" s="783">
        <f>IF('Incremental Repayments'!$R$22="Debt",IF(AND(N$4&gt;=$D110,N$4&lt;$D110+'Incremental Repayments'!$I$31),-PMT('Interest Rate'!$J$16,'Incremental Repayments'!$I$31,(HLOOKUP($D110,$E$4:$CZ$32,28,FALSE)*'Incremental Repayments'!$I$22)),0),0)</f>
        <v>0</v>
      </c>
      <c r="O110" s="783">
        <f>IF('Incremental Repayments'!$R$22="Debt",IF(AND(O$4&gt;=$D110,O$4&lt;$D110+'Incremental Repayments'!$I$31),-PMT('Interest Rate'!$J$16,'Incremental Repayments'!$I$31,(HLOOKUP($D110,$E$4:$CZ$32,28,FALSE)*'Incremental Repayments'!$I$22)),0),0)</f>
        <v>0</v>
      </c>
      <c r="P110" s="783">
        <f>IF('Incremental Repayments'!$R$22="Debt",IF(AND(P$4&gt;=$D110,P$4&lt;$D110+'Incremental Repayments'!$I$31),-PMT('Interest Rate'!$J$16,'Incremental Repayments'!$I$31,(HLOOKUP($D110,$E$4:$CZ$32,28,FALSE)*'Incremental Repayments'!$I$22)),0),0)</f>
        <v>0</v>
      </c>
      <c r="Q110" s="783">
        <f>IF('Incremental Repayments'!$R$22="Debt",IF(AND(Q$4&gt;=$D110,Q$4&lt;$D110+'Incremental Repayments'!$I$31),-PMT('Interest Rate'!$J$16,'Incremental Repayments'!$I$31,(HLOOKUP($D110,$E$4:$CZ$32,28,FALSE)*'Incremental Repayments'!$I$22)),0),0)</f>
        <v>0</v>
      </c>
      <c r="R110" s="783">
        <f>IF('Incremental Repayments'!$R$22="Debt",IF(AND(R$4&gt;=$D110,R$4&lt;$D110+'Incremental Repayments'!$I$31),-PMT('Interest Rate'!$J$16,'Incremental Repayments'!$I$31,(HLOOKUP($D110,$E$4:$CZ$32,28,FALSE)*'Incremental Repayments'!$I$22)),0),0)</f>
        <v>0</v>
      </c>
      <c r="S110" s="783">
        <f>IF('Incremental Repayments'!$R$22="Debt",IF(AND(S$4&gt;=$D110,S$4&lt;$D110+'Incremental Repayments'!$I$31),-PMT('Interest Rate'!$J$16,'Incremental Repayments'!$I$31,(HLOOKUP($D110,$E$4:$CZ$32,28,FALSE)*'Incremental Repayments'!$I$22)),0),0)</f>
        <v>0</v>
      </c>
      <c r="T110" s="783">
        <f>IF('Incremental Repayments'!$R$22="Debt",IF(AND(T$4&gt;=$D110,T$4&lt;$D110+'Incremental Repayments'!$I$31),-PMT('Interest Rate'!$J$16,'Incremental Repayments'!$I$31,(HLOOKUP($D110,$E$4:$CZ$32,28,FALSE)*'Incremental Repayments'!$I$22)),0),0)</f>
        <v>0</v>
      </c>
      <c r="U110" s="783">
        <f>IF('Incremental Repayments'!$R$22="Debt",IF(AND(U$4&gt;=$D110,U$4&lt;$D110+'Incremental Repayments'!$I$31),-PMT('Interest Rate'!$J$16,'Incremental Repayments'!$I$31,(HLOOKUP($D110,$E$4:$CZ$32,28,FALSE)*'Incremental Repayments'!$I$22)),0),0)</f>
        <v>0</v>
      </c>
      <c r="V110" s="783">
        <f>IF('Incremental Repayments'!$R$22="Debt",IF(AND(V$4&gt;=$D110,V$4&lt;$D110+'Incremental Repayments'!$I$31),-PMT('Interest Rate'!$J$16,'Incremental Repayments'!$I$31,(HLOOKUP($D110,$E$4:$CZ$32,28,FALSE)*'Incremental Repayments'!$I$22)),0),0)</f>
        <v>0</v>
      </c>
      <c r="W110" s="783">
        <f>IF('Incremental Repayments'!$R$22="Debt",IF(AND(W$4&gt;=$D110,W$4&lt;$D110+'Incremental Repayments'!$I$31),-PMT('Interest Rate'!$J$16,'Incremental Repayments'!$I$31,(HLOOKUP($D110,$E$4:$CZ$32,28,FALSE)*'Incremental Repayments'!$I$22)),0),0)</f>
        <v>0</v>
      </c>
      <c r="X110" s="783">
        <f>IF('Incremental Repayments'!$R$22="Debt",IF(AND(X$4&gt;=$D110,X$4&lt;$D110+'Incremental Repayments'!$I$31),-PMT('Interest Rate'!$J$16,'Incremental Repayments'!$I$31,(HLOOKUP($D110,$E$4:$CZ$32,28,FALSE)*'Incremental Repayments'!$I$22)),0),0)</f>
        <v>0</v>
      </c>
      <c r="Y110" s="783">
        <f>IF('Incremental Repayments'!$R$22="Debt",IF(AND(Y$4&gt;=$D110,Y$4&lt;$D110+'Incremental Repayments'!$I$31),-PMT('Interest Rate'!$J$16,'Incremental Repayments'!$I$31,(HLOOKUP($D110,$E$4:$CZ$32,28,FALSE)*'Incremental Repayments'!$I$22)),0),0)</f>
        <v>0</v>
      </c>
      <c r="Z110" s="783">
        <f>IF('Incremental Repayments'!$R$22="Debt",IF(AND(Z$4&gt;=$D110,Z$4&lt;$D110+'Incremental Repayments'!$I$31),-PMT('Interest Rate'!$J$16,'Incremental Repayments'!$I$31,(HLOOKUP($D110,$E$4:$CZ$32,28,FALSE)*'Incremental Repayments'!$I$22)),0),0)</f>
        <v>0</v>
      </c>
      <c r="AA110" s="783">
        <f>IF('Incremental Repayments'!$R$22="Debt",IF(AND(AA$4&gt;=$D110,AA$4&lt;$D110+'Incremental Repayments'!$I$31),-PMT('Interest Rate'!$J$16,'Incremental Repayments'!$I$31,(HLOOKUP($D110,$E$4:$CZ$32,28,FALSE)*'Incremental Repayments'!$I$22)),0),0)</f>
        <v>0</v>
      </c>
      <c r="AB110" s="783">
        <f>IF('Incremental Repayments'!$R$22="Debt",IF(AND(AB$4&gt;=$D110,AB$4&lt;$D110+'Incremental Repayments'!$I$31),-PMT('Interest Rate'!$J$16,'Incremental Repayments'!$I$31,(HLOOKUP($D110,$E$4:$CZ$32,28,FALSE)*'Incremental Repayments'!$I$22)),0),0)</f>
        <v>0</v>
      </c>
      <c r="AC110" s="783">
        <f>IF('Incremental Repayments'!$R$22="Debt",IF(AND(AC$4&gt;=$D110,AC$4&lt;$D110+'Incremental Repayments'!$I$31),-PMT('Interest Rate'!$J$16,'Incremental Repayments'!$I$31,(HLOOKUP($D110,$E$4:$CZ$32,28,FALSE)*'Incremental Repayments'!$I$22)),0),0)</f>
        <v>0</v>
      </c>
      <c r="AD110" s="783">
        <f>IF('Incremental Repayments'!$R$22="Debt",IF(AND(AD$4&gt;=$D110,AD$4&lt;$D110+'Incremental Repayments'!$I$31),-PMT('Interest Rate'!$J$16,'Incremental Repayments'!$I$31,(HLOOKUP($D110,$E$4:$CZ$32,28,FALSE)*'Incremental Repayments'!$I$22)),0),0)</f>
        <v>0</v>
      </c>
      <c r="AE110" s="783">
        <f>IF('Incremental Repayments'!$R$22="Debt",IF(AND(AE$4&gt;=$D110,AE$4&lt;$D110+'Incremental Repayments'!$I$31),-PMT('Interest Rate'!$J$16,'Incremental Repayments'!$I$31,(HLOOKUP($D110,$E$4:$CZ$32,28,FALSE)*'Incremental Repayments'!$I$22)),0),0)</f>
        <v>0</v>
      </c>
      <c r="AF110" s="783">
        <f>IF('Incremental Repayments'!$R$22="Debt",IF(AND(AF$4&gt;=$D110,AF$4&lt;$D110+'Incremental Repayments'!$I$31),-PMT('Interest Rate'!$J$16,'Incremental Repayments'!$I$31,(HLOOKUP($D110,$E$4:$CZ$32,28,FALSE)*'Incremental Repayments'!$I$22)),0),0)</f>
        <v>0</v>
      </c>
      <c r="AG110" s="783">
        <f>IF('Incremental Repayments'!$R$22="Debt",IF(AND(AG$4&gt;=$D110,AG$4&lt;$D110+'Incremental Repayments'!$I$31),-PMT('Interest Rate'!$J$16,'Incremental Repayments'!$I$31,(HLOOKUP($D110,$E$4:$CZ$32,28,FALSE)*'Incremental Repayments'!$I$22)),0),0)</f>
        <v>0</v>
      </c>
      <c r="AH110" s="783">
        <f>IF('Incremental Repayments'!$R$22="Debt",IF(AND(AH$4&gt;=$D110,AH$4&lt;$D110+'Incremental Repayments'!$I$31),-PMT('Interest Rate'!$J$16,'Incremental Repayments'!$I$31,(HLOOKUP($D110,$E$4:$CZ$32,28,FALSE)*'Incremental Repayments'!$I$22)),0),0)</f>
        <v>0</v>
      </c>
      <c r="AI110" s="783">
        <f>IF('Incremental Repayments'!$R$22="Debt",IF(AND(AI$4&gt;=$D110,AI$4&lt;$D110+'Incremental Repayments'!$I$31),-PMT('Interest Rate'!$J$16,'Incremental Repayments'!$I$31,(HLOOKUP($D110,$E$4:$CZ$32,28,FALSE)*'Incremental Repayments'!$I$22)),0),0)</f>
        <v>0</v>
      </c>
      <c r="AJ110" s="783">
        <f>IF('Incremental Repayments'!$R$22="Debt",IF(AND(AJ$4&gt;=$D110,AJ$4&lt;$D110+'Incremental Repayments'!$I$31),-PMT('Interest Rate'!$J$16,'Incremental Repayments'!$I$31,(HLOOKUP($D110,$E$4:$CZ$32,28,FALSE)*'Incremental Repayments'!$I$22)),0),0)</f>
        <v>0</v>
      </c>
      <c r="AK110" s="783">
        <f>IF('Incremental Repayments'!$R$22="Debt",IF(AND(AK$4&gt;=$D110,AK$4&lt;$D110+'Incremental Repayments'!$I$31),-PMT('Interest Rate'!$J$16,'Incremental Repayments'!$I$31,(HLOOKUP($D110,$E$4:$CZ$32,28,FALSE)*'Incremental Repayments'!$I$22)),0),0)</f>
        <v>0</v>
      </c>
      <c r="AL110" s="783">
        <f>IF('Incremental Repayments'!$R$22="Debt",IF(AND(AL$4&gt;=$D110,AL$4&lt;$D110+'Incremental Repayments'!$I$31),-PMT('Interest Rate'!$J$16,'Incremental Repayments'!$I$31,(HLOOKUP($D110,$E$4:$CZ$32,28,FALSE)*'Incremental Repayments'!$I$22)),0),0)</f>
        <v>0</v>
      </c>
      <c r="AM110" s="783">
        <f>IF('Incremental Repayments'!$R$22="Debt",IF(AND(AM$4&gt;=$D110,AM$4&lt;$D110+'Incremental Repayments'!$I$31),-PMT('Interest Rate'!$J$16,'Incremental Repayments'!$I$31,(HLOOKUP($D110,$E$4:$CZ$32,28,FALSE)*'Incremental Repayments'!$I$22)),0),0)</f>
        <v>0</v>
      </c>
      <c r="AN110" s="783">
        <f>IF('Incremental Repayments'!$R$22="Debt",IF(AND(AN$4&gt;=$D110,AN$4&lt;$D110+'Incremental Repayments'!$I$31),-PMT('Interest Rate'!$J$16,'Incremental Repayments'!$I$31,(HLOOKUP($D110,$E$4:$CZ$32,28,FALSE)*'Incremental Repayments'!$I$22)),0),0)</f>
        <v>0</v>
      </c>
      <c r="AO110" s="783">
        <f>IF('Incremental Repayments'!$R$22="Debt",IF(AND(AO$4&gt;=$D110,AO$4&lt;$D110+'Incremental Repayments'!$I$31),-PMT('Interest Rate'!$J$16,'Incremental Repayments'!$I$31,(HLOOKUP($D110,$E$4:$CZ$32,28,FALSE)*'Incremental Repayments'!$I$22)),0),0)</f>
        <v>0</v>
      </c>
      <c r="AP110" s="783">
        <f>IF('Incremental Repayments'!$R$22="Debt",IF(AND(AP$4&gt;=$D110,AP$4&lt;$D110+'Incremental Repayments'!$I$31),-PMT('Interest Rate'!$J$16,'Incremental Repayments'!$I$31,(HLOOKUP($D110,$E$4:$CZ$32,28,FALSE)*'Incremental Repayments'!$I$22)),0),0)</f>
        <v>0</v>
      </c>
      <c r="AQ110" s="783">
        <f>IF('Incremental Repayments'!$R$22="Debt",IF(AND(AQ$4&gt;=$D110,AQ$4&lt;$D110+'Incremental Repayments'!$I$31),-PMT('Interest Rate'!$J$16,'Incremental Repayments'!$I$31,(HLOOKUP($D110,$E$4:$CZ$32,28,FALSE)*'Incremental Repayments'!$I$22)),0),0)</f>
        <v>0</v>
      </c>
      <c r="AR110" s="783">
        <f>IF('Incremental Repayments'!$R$22="Debt",IF(AND(AR$4&gt;=$D110,AR$4&lt;$D110+'Incremental Repayments'!$I$31),-PMT('Interest Rate'!$J$16,'Incremental Repayments'!$I$31,(HLOOKUP($D110,$E$4:$CZ$32,28,FALSE)*'Incremental Repayments'!$I$22)),0),0)</f>
        <v>0</v>
      </c>
      <c r="AS110" s="783">
        <f>IF('Incremental Repayments'!$R$22="Debt",IF(AND(AS$4&gt;=$D110,AS$4&lt;$D110+'Incremental Repayments'!$I$31),-PMT('Interest Rate'!$J$16,'Incremental Repayments'!$I$31,(HLOOKUP($D110,$E$4:$CZ$32,28,FALSE)*'Incremental Repayments'!$I$22)),0),0)</f>
        <v>0</v>
      </c>
      <c r="AT110" s="783">
        <f>IF('Incremental Repayments'!$R$22="Debt",IF(AND(AT$4&gt;=$D110,AT$4&lt;$D110+'Incremental Repayments'!$I$31),-PMT('Interest Rate'!$J$16,'Incremental Repayments'!$I$31,(HLOOKUP($D110,$E$4:$CZ$32,28,FALSE)*'Incremental Repayments'!$I$22)),0),0)</f>
        <v>0</v>
      </c>
      <c r="AU110" s="783">
        <f>IF('Incremental Repayments'!$R$22="Debt",IF(AND(AU$4&gt;=$D110,AU$4&lt;$D110+'Incremental Repayments'!$I$31),-PMT('Interest Rate'!$J$16,'Incremental Repayments'!$I$31,(HLOOKUP($D110,$E$4:$CZ$32,28,FALSE)*'Incremental Repayments'!$I$22)),0),0)</f>
        <v>0</v>
      </c>
      <c r="AV110" s="783">
        <f>IF('Incremental Repayments'!$R$22="Debt",IF(AND(AV$4&gt;=$D110,AV$4&lt;$D110+'Incremental Repayments'!$I$31),-PMT('Interest Rate'!$J$16,'Incremental Repayments'!$I$31,(HLOOKUP($D110,$E$4:$CZ$32,28,FALSE)*'Incremental Repayments'!$I$22)),0),0)</f>
        <v>0</v>
      </c>
      <c r="AW110" s="783">
        <f>IF('Incremental Repayments'!$R$22="Debt",IF(AND(AW$4&gt;=$D110,AW$4&lt;$D110+'Incremental Repayments'!$I$31),-PMT('Interest Rate'!$J$16,'Incremental Repayments'!$I$31,(HLOOKUP($D110,$E$4:$CZ$32,28,FALSE)*'Incremental Repayments'!$I$22)),0),0)</f>
        <v>0</v>
      </c>
      <c r="AX110" s="783">
        <f>IF('Incremental Repayments'!$R$22="Debt",IF(AND(AX$4&gt;=$D110,AX$4&lt;$D110+'Incremental Repayments'!$I$31),-PMT('Interest Rate'!$J$16,'Incremental Repayments'!$I$31,(HLOOKUP($D110,$E$4:$CZ$32,28,FALSE)*'Incremental Repayments'!$I$22)),0),0)</f>
        <v>0</v>
      </c>
      <c r="AY110" s="783">
        <f>IF('Incremental Repayments'!$R$22="Debt",IF(AND(AY$4&gt;=$D110,AY$4&lt;$D110+'Incremental Repayments'!$I$31),-PMT('Interest Rate'!$J$16,'Incremental Repayments'!$I$31,(HLOOKUP($D110,$E$4:$CZ$32,28,FALSE)*'Incremental Repayments'!$I$22)),0),0)</f>
        <v>0</v>
      </c>
      <c r="AZ110" s="783">
        <f>IF('Incremental Repayments'!$R$22="Debt",IF(AND(AZ$4&gt;=$D110,AZ$4&lt;$D110+'Incremental Repayments'!$I$31),-PMT('Interest Rate'!$J$16,'Incremental Repayments'!$I$31,(HLOOKUP($D110,$E$4:$CZ$32,28,FALSE)*'Incremental Repayments'!$I$22)),0),0)</f>
        <v>0</v>
      </c>
      <c r="BA110" s="783">
        <f>IF('Incremental Repayments'!$R$22="Debt",IF(AND(BA$4&gt;=$D110,BA$4&lt;$D110+'Incremental Repayments'!$I$31),-PMT('Interest Rate'!$J$16,'Incremental Repayments'!$I$31,(HLOOKUP($D110,$E$4:$CZ$32,28,FALSE)*'Incremental Repayments'!$I$22)),0),0)</f>
        <v>0</v>
      </c>
      <c r="BB110" s="783">
        <f>IF('Incremental Repayments'!$R$22="Debt",IF(AND(BB$4&gt;=$D110,BB$4&lt;$D110+'Incremental Repayments'!$I$31),-PMT('Interest Rate'!$J$16,'Incremental Repayments'!$I$31,(HLOOKUP($D110,$E$4:$CZ$32,28,FALSE)*'Incremental Repayments'!$I$22)),0),0)</f>
        <v>0</v>
      </c>
      <c r="BC110" s="783">
        <f>IF('Incremental Repayments'!$R$22="Debt",IF(AND(BC$4&gt;=$D110,BC$4&lt;$D110+'Incremental Repayments'!$I$31),-PMT('Interest Rate'!$J$16,'Incremental Repayments'!$I$31,(HLOOKUP($D110,$E$4:$CZ$32,28,FALSE)*'Incremental Repayments'!$I$22)),0),0)</f>
        <v>0</v>
      </c>
      <c r="BD110" s="783">
        <f>IF('Incremental Repayments'!$R$22="Debt",IF(AND(BD$4&gt;=$D110,BD$4&lt;$D110+'Incremental Repayments'!$I$31),-PMT('Interest Rate'!$J$16,'Incremental Repayments'!$I$31,(HLOOKUP($D110,$E$4:$CZ$32,28,FALSE)*'Incremental Repayments'!$I$22)),0),0)</f>
        <v>0</v>
      </c>
      <c r="BE110" s="783">
        <f>IF('Incremental Repayments'!$R$22="Debt",IF(AND(BE$4&gt;=$D110,BE$4&lt;$D110+'Incremental Repayments'!$I$31),-PMT('Interest Rate'!$J$16,'Incremental Repayments'!$I$31,(HLOOKUP($D110,$E$4:$CZ$32,28,FALSE)*'Incremental Repayments'!$I$22)),0),0)</f>
        <v>0</v>
      </c>
      <c r="BF110" s="783">
        <f>IF('Incremental Repayments'!$R$22="Debt",IF(AND(BF$4&gt;=$D110,BF$4&lt;$D110+'Incremental Repayments'!$I$31),-PMT('Interest Rate'!$J$16,'Incremental Repayments'!$I$31,(HLOOKUP($D110,$E$4:$CZ$32,28,FALSE)*'Incremental Repayments'!$I$22)),0),0)</f>
        <v>0</v>
      </c>
      <c r="BG110" s="783">
        <f>IF('Incremental Repayments'!$R$22="Debt",IF(AND(BG$4&gt;=$D110,BG$4&lt;$D110+'Incremental Repayments'!$I$31),-PMT('Interest Rate'!$J$16,'Incremental Repayments'!$I$31,(HLOOKUP($D110,$E$4:$CZ$32,28,FALSE)*'Incremental Repayments'!$I$22)),0),0)</f>
        <v>0</v>
      </c>
      <c r="BH110" s="783">
        <f>IF('Incremental Repayments'!$R$22="Debt",IF(AND(BH$4&gt;=$D110,BH$4&lt;$D110+'Incremental Repayments'!$I$31),-PMT('Interest Rate'!$J$16,'Incremental Repayments'!$I$31,(HLOOKUP($D110,$E$4:$CZ$32,28,FALSE)*'Incremental Repayments'!$I$22)),0),0)</f>
        <v>0</v>
      </c>
      <c r="BI110" s="783">
        <f>IF('Incremental Repayments'!$R$22="Debt",IF(AND(BI$4&gt;=$D110,BI$4&lt;$D110+'Incremental Repayments'!$I$31),-PMT('Interest Rate'!$J$16,'Incremental Repayments'!$I$31,(HLOOKUP($D110,$E$4:$CZ$32,28,FALSE)*'Incremental Repayments'!$I$22)),0),0)</f>
        <v>0</v>
      </c>
      <c r="BJ110" s="783">
        <f>IF('Incremental Repayments'!$R$22="Debt",IF(AND(BJ$4&gt;=$D110,BJ$4&lt;$D110+'Incremental Repayments'!$I$31),-PMT('Interest Rate'!$J$16,'Incremental Repayments'!$I$31,(HLOOKUP($D110,$E$4:$CZ$32,28,FALSE)*'Incremental Repayments'!$I$22)),0),0)</f>
        <v>0</v>
      </c>
      <c r="BK110" s="783">
        <f>IF('Incremental Repayments'!$R$22="Debt",IF(AND(BK$4&gt;=$D110,BK$4&lt;$D110+'Incremental Repayments'!$I$31),-PMT('Interest Rate'!$J$16,'Incremental Repayments'!$I$31,(HLOOKUP($D110,$E$4:$CZ$32,28,FALSE)*'Incremental Repayments'!$I$22)),0),0)</f>
        <v>0</v>
      </c>
      <c r="BL110" s="783">
        <f>IF('Incremental Repayments'!$R$22="Debt",IF(AND(BL$4&gt;=$D110,BL$4&lt;$D110+'Incremental Repayments'!$I$31),-PMT('Interest Rate'!$J$16,'Incremental Repayments'!$I$31,(HLOOKUP($D110,$E$4:$CZ$32,28,FALSE)*'Incremental Repayments'!$I$22)),0),0)</f>
        <v>0</v>
      </c>
      <c r="BM110" s="783">
        <f>IF('Incremental Repayments'!$R$22="Debt",IF(AND(BM$4&gt;=$D110,BM$4&lt;$D110+'Incremental Repayments'!$I$31),-PMT('Interest Rate'!$J$16,'Incremental Repayments'!$I$31,(HLOOKUP($D110,$E$4:$CZ$32,28,FALSE)*'Incremental Repayments'!$I$22)),0),0)</f>
        <v>0</v>
      </c>
      <c r="BN110" s="783">
        <f>IF('Incremental Repayments'!$R$22="Debt",IF(AND(BN$4&gt;=$D110,BN$4&lt;$D110+'Incremental Repayments'!$I$31),-PMT('Interest Rate'!$J$16,'Incremental Repayments'!$I$31,(HLOOKUP($D110,$E$4:$CZ$32,28,FALSE)*'Incremental Repayments'!$I$22)),0),0)</f>
        <v>0</v>
      </c>
      <c r="BO110" s="783">
        <f>IF('Incremental Repayments'!$R$22="Debt",IF(AND(BO$4&gt;=$D110,BO$4&lt;$D110+'Incremental Repayments'!$I$31),-PMT('Interest Rate'!$J$16,'Incremental Repayments'!$I$31,(HLOOKUP($D110,$E$4:$CZ$32,28,FALSE)*'Incremental Repayments'!$I$22)),0),0)</f>
        <v>0</v>
      </c>
      <c r="BP110" s="783">
        <f>IF('Incremental Repayments'!$R$22="Debt",IF(AND(BP$4&gt;=$D110,BP$4&lt;$D110+'Incremental Repayments'!$I$31),-PMT('Interest Rate'!$J$16,'Incremental Repayments'!$I$31,(HLOOKUP($D110,$E$4:$CZ$32,28,FALSE)*'Incremental Repayments'!$I$22)),0),0)</f>
        <v>0</v>
      </c>
      <c r="BQ110" s="783">
        <f>IF('Incremental Repayments'!$R$22="Debt",IF(AND(BQ$4&gt;=$D110,BQ$4&lt;$D110+'Incremental Repayments'!$I$31),-PMT('Interest Rate'!$J$16,'Incremental Repayments'!$I$31,(HLOOKUP($D110,$E$4:$CZ$32,28,FALSE)*'Incremental Repayments'!$I$22)),0),0)</f>
        <v>0</v>
      </c>
      <c r="BR110" s="783">
        <f>IF('Incremental Repayments'!$R$22="Debt",IF(AND(BR$4&gt;=$D110,BR$4&lt;$D110+'Incremental Repayments'!$I$31),-PMT('Interest Rate'!$J$16,'Incremental Repayments'!$I$31,(HLOOKUP($D110,$E$4:$CZ$32,28,FALSE)*'Incremental Repayments'!$I$22)),0),0)</f>
        <v>0</v>
      </c>
      <c r="BS110" s="783">
        <f>IF('Incremental Repayments'!$R$22="Debt",IF(AND(BS$4&gt;=$D110,BS$4&lt;$D110+'Incremental Repayments'!$I$31),-PMT('Interest Rate'!$J$16,'Incremental Repayments'!$I$31,(HLOOKUP($D110,$E$4:$CZ$32,28,FALSE)*'Incremental Repayments'!$I$22)),0),0)</f>
        <v>0</v>
      </c>
      <c r="BT110" s="783">
        <f>IF('Incremental Repayments'!$R$22="Debt",IF(AND(BT$4&gt;=$D110,BT$4&lt;$D110+'Incremental Repayments'!$I$31),-PMT('Interest Rate'!$J$16,'Incremental Repayments'!$I$31,(HLOOKUP($D110,$E$4:$CZ$32,28,FALSE)*'Incremental Repayments'!$I$22)),0),0)</f>
        <v>0</v>
      </c>
      <c r="BU110" s="783">
        <f>IF('Incremental Repayments'!$R$22="Debt",IF(AND(BU$4&gt;=$D110,BU$4&lt;$D110+'Incremental Repayments'!$I$31),-PMT('Interest Rate'!$J$16,'Incremental Repayments'!$I$31,(HLOOKUP($D110,$E$4:$CZ$32,28,FALSE)*'Incremental Repayments'!$I$22)),0),0)</f>
        <v>0</v>
      </c>
      <c r="BV110" s="783">
        <f>IF('Incremental Repayments'!$R$22="Debt",IF(AND(BV$4&gt;=$D110,BV$4&lt;$D110+'Incremental Repayments'!$I$31),-PMT('Interest Rate'!$J$16,'Incremental Repayments'!$I$31,(HLOOKUP($D110,$E$4:$CZ$32,28,FALSE)*'Incremental Repayments'!$I$22)),0),0)</f>
        <v>0</v>
      </c>
      <c r="BW110" s="783">
        <f>IF('Incremental Repayments'!$R$22="Debt",IF(AND(BW$4&gt;=$D110,BW$4&lt;$D110+'Incremental Repayments'!$I$31),-PMT('Interest Rate'!$J$16,'Incremental Repayments'!$I$31,(HLOOKUP($D110,$E$4:$CZ$32,28,FALSE)*'Incremental Repayments'!$I$22)),0),0)</f>
        <v>0</v>
      </c>
      <c r="BX110" s="783">
        <f>IF('Incremental Repayments'!$R$22="Debt",IF(AND(BX$4&gt;=$D110,BX$4&lt;$D110+'Incremental Repayments'!$I$31),-PMT('Interest Rate'!$J$16,'Incremental Repayments'!$I$31,(HLOOKUP($D110,$E$4:$CZ$32,28,FALSE)*'Incremental Repayments'!$I$22)),0),0)</f>
        <v>0</v>
      </c>
      <c r="BY110" s="783">
        <f>IF('Incremental Repayments'!$R$22="Debt",IF(AND(BY$4&gt;=$D110,BY$4&lt;$D110+'Incremental Repayments'!$I$31),-PMT('Interest Rate'!$J$16,'Incremental Repayments'!$I$31,(HLOOKUP($D110,$E$4:$CZ$32,28,FALSE)*'Incremental Repayments'!$I$22)),0),0)</f>
        <v>0</v>
      </c>
      <c r="BZ110" s="783">
        <f>IF('Incremental Repayments'!$R$22="Debt",IF(AND(BZ$4&gt;=$D110,BZ$4&lt;$D110+'Incremental Repayments'!$I$31),-PMT('Interest Rate'!$J$16,'Incremental Repayments'!$I$31,(HLOOKUP($D110,$E$4:$CZ$32,28,FALSE)*'Incremental Repayments'!$I$22)),0),0)</f>
        <v>0</v>
      </c>
      <c r="CA110" s="783">
        <f>IF('Incremental Repayments'!$R$22="Debt",IF(AND(CA$4&gt;=$D110,CA$4&lt;$D110+'Incremental Repayments'!$I$31),-PMT('Interest Rate'!$J$16,'Incremental Repayments'!$I$31,(HLOOKUP($D110,$E$4:$CZ$32,28,FALSE)*'Incremental Repayments'!$I$22)),0),0)</f>
        <v>0</v>
      </c>
      <c r="CB110" s="783">
        <f>IF('Incremental Repayments'!$R$22="Debt",IF(AND(CB$4&gt;=$D110,CB$4&lt;$D110+'Incremental Repayments'!$I$31),-PMT('Interest Rate'!$J$16,'Incremental Repayments'!$I$31,(HLOOKUP($D110,$E$4:$CZ$32,28,FALSE)*'Incremental Repayments'!$I$22)),0),0)</f>
        <v>0</v>
      </c>
      <c r="CC110" s="783">
        <f>IF('Incremental Repayments'!$R$22="Debt",IF(AND(CC$4&gt;=$D110,CC$4&lt;$D110+'Incremental Repayments'!$I$31),-PMT('Interest Rate'!$J$16,'Incremental Repayments'!$I$31,(HLOOKUP($D110,$E$4:$CZ$32,28,FALSE)*'Incremental Repayments'!$I$22)),0),0)</f>
        <v>0</v>
      </c>
      <c r="CD110" s="783">
        <f>IF('Incremental Repayments'!$R$22="Debt",IF(AND(CD$4&gt;=$D110,CD$4&lt;$D110+'Incremental Repayments'!$I$31),-PMT('Interest Rate'!$J$16,'Incremental Repayments'!$I$31,(HLOOKUP($D110,$E$4:$CZ$32,28,FALSE)*'Incremental Repayments'!$I$22)),0),0)</f>
        <v>0</v>
      </c>
      <c r="CE110" s="783">
        <f>IF('Incremental Repayments'!$R$22="Debt",IF(AND(CE$4&gt;=$D110,CE$4&lt;$D110+'Incremental Repayments'!$I$31),-PMT('Interest Rate'!$J$16,'Incremental Repayments'!$I$31,(HLOOKUP($D110,$E$4:$CZ$32,28,FALSE)*'Incremental Repayments'!$I$22)),0),0)</f>
        <v>0</v>
      </c>
      <c r="CF110" s="783">
        <f>IF('Incremental Repayments'!$R$22="Debt",IF(AND(CF$4&gt;=$D110,CF$4&lt;$D110+'Incremental Repayments'!$I$31),-PMT('Interest Rate'!$J$16,'Incremental Repayments'!$I$31,(HLOOKUP($D110,$E$4:$CZ$32,28,FALSE)*'Incremental Repayments'!$I$22)),0),0)</f>
        <v>0</v>
      </c>
      <c r="CG110" s="783">
        <f>IF('Incremental Repayments'!$R$22="Debt",IF(AND(CG$4&gt;=$D110,CG$4&lt;$D110+'Incremental Repayments'!$I$31),-PMT('Interest Rate'!$J$16,'Incremental Repayments'!$I$31,(HLOOKUP($D110,$E$4:$CZ$32,28,FALSE)*'Incremental Repayments'!$I$22)),0),0)</f>
        <v>0</v>
      </c>
      <c r="CH110" s="783">
        <f>IF('Incremental Repayments'!$R$22="Debt",IF(AND(CH$4&gt;=$D110,CH$4&lt;$D110+'Incremental Repayments'!$I$31),-PMT('Interest Rate'!$J$16,'Incremental Repayments'!$I$31,(HLOOKUP($D110,$E$4:$CZ$32,28,FALSE)*'Incremental Repayments'!$I$22)),0),0)</f>
        <v>0</v>
      </c>
      <c r="CI110" s="783">
        <f>IF('Incremental Repayments'!$R$22="Debt",IF(AND(CI$4&gt;=$D110,CI$4&lt;$D110+'Incremental Repayments'!$I$31),-PMT('Interest Rate'!$J$16,'Incremental Repayments'!$I$31,(HLOOKUP($D110,$E$4:$CZ$32,28,FALSE)*'Incremental Repayments'!$I$22)),0),0)</f>
        <v>0</v>
      </c>
      <c r="CJ110" s="783">
        <f>IF('Incremental Repayments'!$R$22="Debt",IF(AND(CJ$4&gt;=$D110,CJ$4&lt;$D110+'Incremental Repayments'!$I$31),-PMT('Interest Rate'!$J$16,'Incremental Repayments'!$I$31,(HLOOKUP($D110,$E$4:$CZ$32,28,FALSE)*'Incremental Repayments'!$I$22)),0),0)</f>
        <v>0</v>
      </c>
      <c r="CK110" s="783">
        <f>IF('Incremental Repayments'!$R$22="Debt",IF(AND(CK$4&gt;=$D110,CK$4&lt;$D110+'Incremental Repayments'!$I$31),-PMT('Interest Rate'!$J$16,'Incremental Repayments'!$I$31,(HLOOKUP($D110,$E$4:$CZ$32,28,FALSE)*'Incremental Repayments'!$I$22)),0),0)</f>
        <v>0</v>
      </c>
      <c r="CL110" s="783">
        <f>IF('Incremental Repayments'!$R$22="Debt",IF(AND(CL$4&gt;=$D110,CL$4&lt;$D110+'Incremental Repayments'!$I$31),-PMT('Interest Rate'!$J$16,'Incremental Repayments'!$I$31,(HLOOKUP($D110,$E$4:$CZ$32,28,FALSE)*'Incremental Repayments'!$I$22)),0),0)</f>
        <v>0</v>
      </c>
      <c r="CM110" s="783">
        <f>IF('Incremental Repayments'!$R$22="Debt",IF(AND(CM$4&gt;=$D110,CM$4&lt;$D110+'Incremental Repayments'!$I$31),-PMT('Interest Rate'!$J$16,'Incremental Repayments'!$I$31,(HLOOKUP($D110,$E$4:$CZ$32,28,FALSE)*'Incremental Repayments'!$I$22)),0),0)</f>
        <v>0</v>
      </c>
      <c r="CN110" s="783">
        <f>IF('Incremental Repayments'!$R$22="Debt",IF(AND(CN$4&gt;=$D110,CN$4&lt;$D110+'Incremental Repayments'!$I$31),-PMT('Interest Rate'!$J$16,'Incremental Repayments'!$I$31,(HLOOKUP($D110,$E$4:$CZ$32,28,FALSE)*'Incremental Repayments'!$I$22)),0),0)</f>
        <v>0</v>
      </c>
      <c r="CO110" s="783">
        <f>IF('Incremental Repayments'!$R$22="Debt",IF(AND(CO$4&gt;=$D110,CO$4&lt;$D110+'Incremental Repayments'!$I$31),-PMT('Interest Rate'!$J$16,'Incremental Repayments'!$I$31,(HLOOKUP($D110,$E$4:$CZ$32,28,FALSE)*'Incremental Repayments'!$I$22)),0),0)</f>
        <v>0</v>
      </c>
      <c r="CP110" s="783">
        <f>IF('Incremental Repayments'!$R$22="Debt",IF(AND(CP$4&gt;=$D110,CP$4&lt;$D110+'Incremental Repayments'!$I$31),-PMT('Interest Rate'!$J$16,'Incremental Repayments'!$I$31,(HLOOKUP($D110,$E$4:$CZ$32,28,FALSE)*'Incremental Repayments'!$I$22)),0),0)</f>
        <v>0</v>
      </c>
      <c r="CQ110" s="783">
        <f>IF('Incremental Repayments'!$R$22="Debt",IF(AND(CQ$4&gt;=$D110,CQ$4&lt;$D110+'Incremental Repayments'!$I$31),-PMT('Interest Rate'!$J$16,'Incremental Repayments'!$I$31,(HLOOKUP($D110,$E$4:$CZ$32,28,FALSE)*'Incremental Repayments'!$I$22)),0),0)</f>
        <v>0</v>
      </c>
      <c r="CR110" s="783">
        <f>IF('Incremental Repayments'!$R$22="Debt",IF(AND(CR$4&gt;=$D110,CR$4&lt;$D110+'Incremental Repayments'!$I$31),-PMT('Interest Rate'!$J$16,'Incremental Repayments'!$I$31,(HLOOKUP($D110,$E$4:$CZ$32,28,FALSE)*'Incremental Repayments'!$I$22)),0),0)</f>
        <v>0</v>
      </c>
      <c r="CS110" s="783">
        <f>IF('Incremental Repayments'!$R$22="Debt",IF(AND(CS$4&gt;=$D110,CS$4&lt;$D110+'Incremental Repayments'!$I$31),-PMT('Interest Rate'!$J$16,'Incremental Repayments'!$I$31,(HLOOKUP($D110,$E$4:$CZ$32,28,FALSE)*'Incremental Repayments'!$I$22)),0),0)</f>
        <v>0</v>
      </c>
      <c r="CT110" s="783">
        <f>IF('Incremental Repayments'!$R$22="Debt",IF(AND(CT$4&gt;=$D110,CT$4&lt;$D110+'Incremental Repayments'!$I$31),-PMT('Interest Rate'!$J$16,'Incremental Repayments'!$I$31,(HLOOKUP($D110,$E$4:$CZ$32,28,FALSE)*'Incremental Repayments'!$I$22)),0),0)</f>
        <v>0</v>
      </c>
      <c r="CU110" s="783">
        <f>IF('Incremental Repayments'!$R$22="Debt",IF(AND(CU$4&gt;=$D110,CU$4&lt;$D110+'Incremental Repayments'!$I$31),-PMT('Interest Rate'!$J$16,'Incremental Repayments'!$I$31,(HLOOKUP($D110,$E$4:$CZ$32,28,FALSE)*'Incremental Repayments'!$I$22)),0),0)</f>
        <v>0</v>
      </c>
      <c r="CV110" s="783">
        <f>IF('Incremental Repayments'!$R$22="Debt",IF(AND(CV$4&gt;=$D110,CV$4&lt;$D110+'Incremental Repayments'!$I$31),-PMT('Interest Rate'!$J$16,'Incremental Repayments'!$I$31,(HLOOKUP($D110,$E$4:$CZ$32,28,FALSE)*'Incremental Repayments'!$I$22)),0),0)</f>
        <v>0</v>
      </c>
      <c r="CW110" s="783">
        <f>IF('Incremental Repayments'!$R$22="Debt",IF(AND(CW$4&gt;=$D110,CW$4&lt;$D110+'Incremental Repayments'!$I$31),-PMT('Interest Rate'!$J$16,'Incremental Repayments'!$I$31,(HLOOKUP($D110,$E$4:$CZ$32,28,FALSE)*'Incremental Repayments'!$I$22)),0),0)</f>
        <v>0</v>
      </c>
      <c r="CX110" s="783">
        <f>IF('Incremental Repayments'!$R$22="Debt",IF(AND(CX$4&gt;=$D110,CX$4&lt;$D110+'Incremental Repayments'!$I$31),-PMT('Interest Rate'!$J$16,'Incremental Repayments'!$I$31,(HLOOKUP($D110,$E$4:$CZ$32,28,FALSE)*'Incremental Repayments'!$I$22)),0),0)</f>
        <v>0</v>
      </c>
      <c r="CY110" s="783">
        <f>IF('Incremental Repayments'!$R$22="Debt",IF(AND(CY$4&gt;=$D110,CY$4&lt;$D110+'Incremental Repayments'!$I$31),-PMT('Interest Rate'!$J$16,'Incremental Repayments'!$I$31,(HLOOKUP($D110,$E$4:$CZ$32,28,FALSE)*'Incremental Repayments'!$I$22)),0),0)</f>
        <v>0</v>
      </c>
      <c r="CZ110" s="783">
        <f>IF('Incremental Repayments'!$R$22="Debt",IF(AND(CZ$4&gt;=$D110,CZ$4&lt;$D110+'Incremental Repayments'!$I$31),-PMT('Interest Rate'!$J$16,'Incremental Repayments'!$I$31,(HLOOKUP($D110,$E$4:$CZ$32,28,FALSE)*'Incremental Repayments'!$I$22)),0),0)</f>
        <v>0</v>
      </c>
    </row>
    <row r="111" spans="2:104" x14ac:dyDescent="0.25">
      <c r="B111" s="480" t="str">
        <f>CONCATENATE("Series ",D111,"A Bonds (at ",'Interest Rate'!$J$16*100,"% Interest)")</f>
        <v>Series 2089A Bonds (at 4.5% Interest)</v>
      </c>
      <c r="C111" s="480"/>
      <c r="D111" s="492">
        <f t="shared" si="47"/>
        <v>2089</v>
      </c>
      <c r="E111" s="783">
        <f>IF('Incremental Repayments'!$R$22="Debt",IF(AND(E$4&gt;=$D111,E$4&lt;$D111+'Incremental Repayments'!$I$31),-PMT('Interest Rate'!$J$16,'Incremental Repayments'!$I$31,(HLOOKUP($D111,$E$4:$CZ$32,28,FALSE)*'Incremental Repayments'!$I$22)),0),0)</f>
        <v>0</v>
      </c>
      <c r="F111" s="783">
        <f>IF('Incremental Repayments'!$R$22="Debt",IF(AND(F$4&gt;=$D111,F$4&lt;$D111+'Incremental Repayments'!$I$31),-PMT('Interest Rate'!$J$16,'Incremental Repayments'!$I$31,(HLOOKUP($D111,$E$4:$CZ$32,28,FALSE)*'Incremental Repayments'!$I$22)),0),0)</f>
        <v>0</v>
      </c>
      <c r="G111" s="783">
        <f>IF('Incremental Repayments'!$R$22="Debt",IF(AND(G$4&gt;=$D111,G$4&lt;$D111+'Incremental Repayments'!$I$31),-PMT('Interest Rate'!$J$16,'Incremental Repayments'!$I$31,(HLOOKUP($D111,$E$4:$CZ$32,28,FALSE)*'Incremental Repayments'!$I$22)),0),0)</f>
        <v>0</v>
      </c>
      <c r="H111" s="783">
        <f>IF('Incremental Repayments'!$R$22="Debt",IF(AND(H$4&gt;=$D111,H$4&lt;$D111+'Incremental Repayments'!$I$31),-PMT('Interest Rate'!$J$16,'Incremental Repayments'!$I$31,(HLOOKUP($D111,$E$4:$CZ$32,28,FALSE)*'Incremental Repayments'!$I$22)),0),0)</f>
        <v>0</v>
      </c>
      <c r="I111" s="783">
        <f>IF('Incremental Repayments'!$R$22="Debt",IF(AND(I$4&gt;=$D111,I$4&lt;$D111+'Incremental Repayments'!$I$31),-PMT('Interest Rate'!$J$16,'Incremental Repayments'!$I$31,(HLOOKUP($D111,$E$4:$CZ$32,28,FALSE)*'Incremental Repayments'!$I$22)),0),0)</f>
        <v>0</v>
      </c>
      <c r="J111" s="783">
        <f>IF('Incremental Repayments'!$R$22="Debt",IF(AND(J$4&gt;=$D111,J$4&lt;$D111+'Incremental Repayments'!$I$31),-PMT('Interest Rate'!$J$16,'Incremental Repayments'!$I$31,(HLOOKUP($D111,$E$4:$CZ$32,28,FALSE)*'Incremental Repayments'!$I$22)),0),0)</f>
        <v>0</v>
      </c>
      <c r="K111" s="783">
        <f>IF('Incremental Repayments'!$R$22="Debt",IF(AND(K$4&gt;=$D111,K$4&lt;$D111+'Incremental Repayments'!$I$31),-PMT('Interest Rate'!$J$16,'Incremental Repayments'!$I$31,(HLOOKUP($D111,$E$4:$CZ$32,28,FALSE)*'Incremental Repayments'!$I$22)),0),0)</f>
        <v>0</v>
      </c>
      <c r="L111" s="783">
        <f>IF('Incremental Repayments'!$R$22="Debt",IF(AND(L$4&gt;=$D111,L$4&lt;$D111+'Incremental Repayments'!$I$31),-PMT('Interest Rate'!$J$16,'Incremental Repayments'!$I$31,(HLOOKUP($D111,$E$4:$CZ$32,28,FALSE)*'Incremental Repayments'!$I$22)),0),0)</f>
        <v>0</v>
      </c>
      <c r="M111" s="783">
        <f>IF('Incremental Repayments'!$R$22="Debt",IF(AND(M$4&gt;=$D111,M$4&lt;$D111+'Incremental Repayments'!$I$31),-PMT('Interest Rate'!$J$16,'Incremental Repayments'!$I$31,(HLOOKUP($D111,$E$4:$CZ$32,28,FALSE)*'Incremental Repayments'!$I$22)),0),0)</f>
        <v>0</v>
      </c>
      <c r="N111" s="783">
        <f>IF('Incremental Repayments'!$R$22="Debt",IF(AND(N$4&gt;=$D111,N$4&lt;$D111+'Incremental Repayments'!$I$31),-PMT('Interest Rate'!$J$16,'Incremental Repayments'!$I$31,(HLOOKUP($D111,$E$4:$CZ$32,28,FALSE)*'Incremental Repayments'!$I$22)),0),0)</f>
        <v>0</v>
      </c>
      <c r="O111" s="783">
        <f>IF('Incremental Repayments'!$R$22="Debt",IF(AND(O$4&gt;=$D111,O$4&lt;$D111+'Incremental Repayments'!$I$31),-PMT('Interest Rate'!$J$16,'Incremental Repayments'!$I$31,(HLOOKUP($D111,$E$4:$CZ$32,28,FALSE)*'Incremental Repayments'!$I$22)),0),0)</f>
        <v>0</v>
      </c>
      <c r="P111" s="783">
        <f>IF('Incremental Repayments'!$R$22="Debt",IF(AND(P$4&gt;=$D111,P$4&lt;$D111+'Incremental Repayments'!$I$31),-PMT('Interest Rate'!$J$16,'Incremental Repayments'!$I$31,(HLOOKUP($D111,$E$4:$CZ$32,28,FALSE)*'Incremental Repayments'!$I$22)),0),0)</f>
        <v>0</v>
      </c>
      <c r="Q111" s="783">
        <f>IF('Incremental Repayments'!$R$22="Debt",IF(AND(Q$4&gt;=$D111,Q$4&lt;$D111+'Incremental Repayments'!$I$31),-PMT('Interest Rate'!$J$16,'Incremental Repayments'!$I$31,(HLOOKUP($D111,$E$4:$CZ$32,28,FALSE)*'Incremental Repayments'!$I$22)),0),0)</f>
        <v>0</v>
      </c>
      <c r="R111" s="783">
        <f>IF('Incremental Repayments'!$R$22="Debt",IF(AND(R$4&gt;=$D111,R$4&lt;$D111+'Incremental Repayments'!$I$31),-PMT('Interest Rate'!$J$16,'Incremental Repayments'!$I$31,(HLOOKUP($D111,$E$4:$CZ$32,28,FALSE)*'Incremental Repayments'!$I$22)),0),0)</f>
        <v>0</v>
      </c>
      <c r="S111" s="783">
        <f>IF('Incremental Repayments'!$R$22="Debt",IF(AND(S$4&gt;=$D111,S$4&lt;$D111+'Incremental Repayments'!$I$31),-PMT('Interest Rate'!$J$16,'Incremental Repayments'!$I$31,(HLOOKUP($D111,$E$4:$CZ$32,28,FALSE)*'Incremental Repayments'!$I$22)),0),0)</f>
        <v>0</v>
      </c>
      <c r="T111" s="783">
        <f>IF('Incremental Repayments'!$R$22="Debt",IF(AND(T$4&gt;=$D111,T$4&lt;$D111+'Incremental Repayments'!$I$31),-PMT('Interest Rate'!$J$16,'Incremental Repayments'!$I$31,(HLOOKUP($D111,$E$4:$CZ$32,28,FALSE)*'Incremental Repayments'!$I$22)),0),0)</f>
        <v>0</v>
      </c>
      <c r="U111" s="783">
        <f>IF('Incremental Repayments'!$R$22="Debt",IF(AND(U$4&gt;=$D111,U$4&lt;$D111+'Incremental Repayments'!$I$31),-PMT('Interest Rate'!$J$16,'Incremental Repayments'!$I$31,(HLOOKUP($D111,$E$4:$CZ$32,28,FALSE)*'Incremental Repayments'!$I$22)),0),0)</f>
        <v>0</v>
      </c>
      <c r="V111" s="783">
        <f>IF('Incremental Repayments'!$R$22="Debt",IF(AND(V$4&gt;=$D111,V$4&lt;$D111+'Incremental Repayments'!$I$31),-PMT('Interest Rate'!$J$16,'Incremental Repayments'!$I$31,(HLOOKUP($D111,$E$4:$CZ$32,28,FALSE)*'Incremental Repayments'!$I$22)),0),0)</f>
        <v>0</v>
      </c>
      <c r="W111" s="783">
        <f>IF('Incremental Repayments'!$R$22="Debt",IF(AND(W$4&gt;=$D111,W$4&lt;$D111+'Incremental Repayments'!$I$31),-PMT('Interest Rate'!$J$16,'Incremental Repayments'!$I$31,(HLOOKUP($D111,$E$4:$CZ$32,28,FALSE)*'Incremental Repayments'!$I$22)),0),0)</f>
        <v>0</v>
      </c>
      <c r="X111" s="783">
        <f>IF('Incremental Repayments'!$R$22="Debt",IF(AND(X$4&gt;=$D111,X$4&lt;$D111+'Incremental Repayments'!$I$31),-PMT('Interest Rate'!$J$16,'Incremental Repayments'!$I$31,(HLOOKUP($D111,$E$4:$CZ$32,28,FALSE)*'Incremental Repayments'!$I$22)),0),0)</f>
        <v>0</v>
      </c>
      <c r="Y111" s="783">
        <f>IF('Incremental Repayments'!$R$22="Debt",IF(AND(Y$4&gt;=$D111,Y$4&lt;$D111+'Incremental Repayments'!$I$31),-PMT('Interest Rate'!$J$16,'Incremental Repayments'!$I$31,(HLOOKUP($D111,$E$4:$CZ$32,28,FALSE)*'Incremental Repayments'!$I$22)),0),0)</f>
        <v>0</v>
      </c>
      <c r="Z111" s="783">
        <f>IF('Incremental Repayments'!$R$22="Debt",IF(AND(Z$4&gt;=$D111,Z$4&lt;$D111+'Incremental Repayments'!$I$31),-PMT('Interest Rate'!$J$16,'Incremental Repayments'!$I$31,(HLOOKUP($D111,$E$4:$CZ$32,28,FALSE)*'Incremental Repayments'!$I$22)),0),0)</f>
        <v>0</v>
      </c>
      <c r="AA111" s="783">
        <f>IF('Incremental Repayments'!$R$22="Debt",IF(AND(AA$4&gt;=$D111,AA$4&lt;$D111+'Incremental Repayments'!$I$31),-PMT('Interest Rate'!$J$16,'Incremental Repayments'!$I$31,(HLOOKUP($D111,$E$4:$CZ$32,28,FALSE)*'Incremental Repayments'!$I$22)),0),0)</f>
        <v>0</v>
      </c>
      <c r="AB111" s="783">
        <f>IF('Incremental Repayments'!$R$22="Debt",IF(AND(AB$4&gt;=$D111,AB$4&lt;$D111+'Incremental Repayments'!$I$31),-PMT('Interest Rate'!$J$16,'Incremental Repayments'!$I$31,(HLOOKUP($D111,$E$4:$CZ$32,28,FALSE)*'Incremental Repayments'!$I$22)),0),0)</f>
        <v>0</v>
      </c>
      <c r="AC111" s="783">
        <f>IF('Incremental Repayments'!$R$22="Debt",IF(AND(AC$4&gt;=$D111,AC$4&lt;$D111+'Incremental Repayments'!$I$31),-PMT('Interest Rate'!$J$16,'Incremental Repayments'!$I$31,(HLOOKUP($D111,$E$4:$CZ$32,28,FALSE)*'Incremental Repayments'!$I$22)),0),0)</f>
        <v>0</v>
      </c>
      <c r="AD111" s="783">
        <f>IF('Incremental Repayments'!$R$22="Debt",IF(AND(AD$4&gt;=$D111,AD$4&lt;$D111+'Incremental Repayments'!$I$31),-PMT('Interest Rate'!$J$16,'Incremental Repayments'!$I$31,(HLOOKUP($D111,$E$4:$CZ$32,28,FALSE)*'Incremental Repayments'!$I$22)),0),0)</f>
        <v>0</v>
      </c>
      <c r="AE111" s="783">
        <f>IF('Incremental Repayments'!$R$22="Debt",IF(AND(AE$4&gt;=$D111,AE$4&lt;$D111+'Incremental Repayments'!$I$31),-PMT('Interest Rate'!$J$16,'Incremental Repayments'!$I$31,(HLOOKUP($D111,$E$4:$CZ$32,28,FALSE)*'Incremental Repayments'!$I$22)),0),0)</f>
        <v>0</v>
      </c>
      <c r="AF111" s="783">
        <f>IF('Incremental Repayments'!$R$22="Debt",IF(AND(AF$4&gt;=$D111,AF$4&lt;$D111+'Incremental Repayments'!$I$31),-PMT('Interest Rate'!$J$16,'Incremental Repayments'!$I$31,(HLOOKUP($D111,$E$4:$CZ$32,28,FALSE)*'Incremental Repayments'!$I$22)),0),0)</f>
        <v>0</v>
      </c>
      <c r="AG111" s="783">
        <f>IF('Incremental Repayments'!$R$22="Debt",IF(AND(AG$4&gt;=$D111,AG$4&lt;$D111+'Incremental Repayments'!$I$31),-PMT('Interest Rate'!$J$16,'Incremental Repayments'!$I$31,(HLOOKUP($D111,$E$4:$CZ$32,28,FALSE)*'Incremental Repayments'!$I$22)),0),0)</f>
        <v>0</v>
      </c>
      <c r="AH111" s="783">
        <f>IF('Incremental Repayments'!$R$22="Debt",IF(AND(AH$4&gt;=$D111,AH$4&lt;$D111+'Incremental Repayments'!$I$31),-PMT('Interest Rate'!$J$16,'Incremental Repayments'!$I$31,(HLOOKUP($D111,$E$4:$CZ$32,28,FALSE)*'Incremental Repayments'!$I$22)),0),0)</f>
        <v>0</v>
      </c>
      <c r="AI111" s="783">
        <f>IF('Incremental Repayments'!$R$22="Debt",IF(AND(AI$4&gt;=$D111,AI$4&lt;$D111+'Incremental Repayments'!$I$31),-PMT('Interest Rate'!$J$16,'Incremental Repayments'!$I$31,(HLOOKUP($D111,$E$4:$CZ$32,28,FALSE)*'Incremental Repayments'!$I$22)),0),0)</f>
        <v>0</v>
      </c>
      <c r="AJ111" s="783">
        <f>IF('Incremental Repayments'!$R$22="Debt",IF(AND(AJ$4&gt;=$D111,AJ$4&lt;$D111+'Incremental Repayments'!$I$31),-PMT('Interest Rate'!$J$16,'Incremental Repayments'!$I$31,(HLOOKUP($D111,$E$4:$CZ$32,28,FALSE)*'Incremental Repayments'!$I$22)),0),0)</f>
        <v>0</v>
      </c>
      <c r="AK111" s="783">
        <f>IF('Incremental Repayments'!$R$22="Debt",IF(AND(AK$4&gt;=$D111,AK$4&lt;$D111+'Incremental Repayments'!$I$31),-PMT('Interest Rate'!$J$16,'Incremental Repayments'!$I$31,(HLOOKUP($D111,$E$4:$CZ$32,28,FALSE)*'Incremental Repayments'!$I$22)),0),0)</f>
        <v>0</v>
      </c>
      <c r="AL111" s="783">
        <f>IF('Incremental Repayments'!$R$22="Debt",IF(AND(AL$4&gt;=$D111,AL$4&lt;$D111+'Incremental Repayments'!$I$31),-PMT('Interest Rate'!$J$16,'Incremental Repayments'!$I$31,(HLOOKUP($D111,$E$4:$CZ$32,28,FALSE)*'Incremental Repayments'!$I$22)),0),0)</f>
        <v>0</v>
      </c>
      <c r="AM111" s="783">
        <f>IF('Incremental Repayments'!$R$22="Debt",IF(AND(AM$4&gt;=$D111,AM$4&lt;$D111+'Incremental Repayments'!$I$31),-PMT('Interest Rate'!$J$16,'Incremental Repayments'!$I$31,(HLOOKUP($D111,$E$4:$CZ$32,28,FALSE)*'Incremental Repayments'!$I$22)),0),0)</f>
        <v>0</v>
      </c>
      <c r="AN111" s="783">
        <f>IF('Incremental Repayments'!$R$22="Debt",IF(AND(AN$4&gt;=$D111,AN$4&lt;$D111+'Incremental Repayments'!$I$31),-PMT('Interest Rate'!$J$16,'Incremental Repayments'!$I$31,(HLOOKUP($D111,$E$4:$CZ$32,28,FALSE)*'Incremental Repayments'!$I$22)),0),0)</f>
        <v>0</v>
      </c>
      <c r="AO111" s="783">
        <f>IF('Incremental Repayments'!$R$22="Debt",IF(AND(AO$4&gt;=$D111,AO$4&lt;$D111+'Incremental Repayments'!$I$31),-PMT('Interest Rate'!$J$16,'Incremental Repayments'!$I$31,(HLOOKUP($D111,$E$4:$CZ$32,28,FALSE)*'Incremental Repayments'!$I$22)),0),0)</f>
        <v>0</v>
      </c>
      <c r="AP111" s="783">
        <f>IF('Incremental Repayments'!$R$22="Debt",IF(AND(AP$4&gt;=$D111,AP$4&lt;$D111+'Incremental Repayments'!$I$31),-PMT('Interest Rate'!$J$16,'Incremental Repayments'!$I$31,(HLOOKUP($D111,$E$4:$CZ$32,28,FALSE)*'Incremental Repayments'!$I$22)),0),0)</f>
        <v>0</v>
      </c>
      <c r="AQ111" s="783">
        <f>IF('Incremental Repayments'!$R$22="Debt",IF(AND(AQ$4&gt;=$D111,AQ$4&lt;$D111+'Incremental Repayments'!$I$31),-PMT('Interest Rate'!$J$16,'Incremental Repayments'!$I$31,(HLOOKUP($D111,$E$4:$CZ$32,28,FALSE)*'Incremental Repayments'!$I$22)),0),0)</f>
        <v>0</v>
      </c>
      <c r="AR111" s="783">
        <f>IF('Incremental Repayments'!$R$22="Debt",IF(AND(AR$4&gt;=$D111,AR$4&lt;$D111+'Incremental Repayments'!$I$31),-PMT('Interest Rate'!$J$16,'Incremental Repayments'!$I$31,(HLOOKUP($D111,$E$4:$CZ$32,28,FALSE)*'Incremental Repayments'!$I$22)),0),0)</f>
        <v>0</v>
      </c>
      <c r="AS111" s="783">
        <f>IF('Incremental Repayments'!$R$22="Debt",IF(AND(AS$4&gt;=$D111,AS$4&lt;$D111+'Incremental Repayments'!$I$31),-PMT('Interest Rate'!$J$16,'Incremental Repayments'!$I$31,(HLOOKUP($D111,$E$4:$CZ$32,28,FALSE)*'Incremental Repayments'!$I$22)),0),0)</f>
        <v>0</v>
      </c>
      <c r="AT111" s="783">
        <f>IF('Incremental Repayments'!$R$22="Debt",IF(AND(AT$4&gt;=$D111,AT$4&lt;$D111+'Incremental Repayments'!$I$31),-PMT('Interest Rate'!$J$16,'Incremental Repayments'!$I$31,(HLOOKUP($D111,$E$4:$CZ$32,28,FALSE)*'Incremental Repayments'!$I$22)),0),0)</f>
        <v>0</v>
      </c>
      <c r="AU111" s="783">
        <f>IF('Incremental Repayments'!$R$22="Debt",IF(AND(AU$4&gt;=$D111,AU$4&lt;$D111+'Incremental Repayments'!$I$31),-PMT('Interest Rate'!$J$16,'Incremental Repayments'!$I$31,(HLOOKUP($D111,$E$4:$CZ$32,28,FALSE)*'Incremental Repayments'!$I$22)),0),0)</f>
        <v>0</v>
      </c>
      <c r="AV111" s="783">
        <f>IF('Incremental Repayments'!$R$22="Debt",IF(AND(AV$4&gt;=$D111,AV$4&lt;$D111+'Incremental Repayments'!$I$31),-PMT('Interest Rate'!$J$16,'Incremental Repayments'!$I$31,(HLOOKUP($D111,$E$4:$CZ$32,28,FALSE)*'Incremental Repayments'!$I$22)),0),0)</f>
        <v>0</v>
      </c>
      <c r="AW111" s="783">
        <f>IF('Incremental Repayments'!$R$22="Debt",IF(AND(AW$4&gt;=$D111,AW$4&lt;$D111+'Incremental Repayments'!$I$31),-PMT('Interest Rate'!$J$16,'Incremental Repayments'!$I$31,(HLOOKUP($D111,$E$4:$CZ$32,28,FALSE)*'Incremental Repayments'!$I$22)),0),0)</f>
        <v>0</v>
      </c>
      <c r="AX111" s="783">
        <f>IF('Incremental Repayments'!$R$22="Debt",IF(AND(AX$4&gt;=$D111,AX$4&lt;$D111+'Incremental Repayments'!$I$31),-PMT('Interest Rate'!$J$16,'Incremental Repayments'!$I$31,(HLOOKUP($D111,$E$4:$CZ$32,28,FALSE)*'Incremental Repayments'!$I$22)),0),0)</f>
        <v>0</v>
      </c>
      <c r="AY111" s="783">
        <f>IF('Incremental Repayments'!$R$22="Debt",IF(AND(AY$4&gt;=$D111,AY$4&lt;$D111+'Incremental Repayments'!$I$31),-PMT('Interest Rate'!$J$16,'Incremental Repayments'!$I$31,(HLOOKUP($D111,$E$4:$CZ$32,28,FALSE)*'Incremental Repayments'!$I$22)),0),0)</f>
        <v>0</v>
      </c>
      <c r="AZ111" s="783">
        <f>IF('Incremental Repayments'!$R$22="Debt",IF(AND(AZ$4&gt;=$D111,AZ$4&lt;$D111+'Incremental Repayments'!$I$31),-PMT('Interest Rate'!$J$16,'Incremental Repayments'!$I$31,(HLOOKUP($D111,$E$4:$CZ$32,28,FALSE)*'Incremental Repayments'!$I$22)),0),0)</f>
        <v>0</v>
      </c>
      <c r="BA111" s="783">
        <f>IF('Incremental Repayments'!$R$22="Debt",IF(AND(BA$4&gt;=$D111,BA$4&lt;$D111+'Incremental Repayments'!$I$31),-PMT('Interest Rate'!$J$16,'Incremental Repayments'!$I$31,(HLOOKUP($D111,$E$4:$CZ$32,28,FALSE)*'Incremental Repayments'!$I$22)),0),0)</f>
        <v>0</v>
      </c>
      <c r="BB111" s="783">
        <f>IF('Incremental Repayments'!$R$22="Debt",IF(AND(BB$4&gt;=$D111,BB$4&lt;$D111+'Incremental Repayments'!$I$31),-PMT('Interest Rate'!$J$16,'Incremental Repayments'!$I$31,(HLOOKUP($D111,$E$4:$CZ$32,28,FALSE)*'Incremental Repayments'!$I$22)),0),0)</f>
        <v>0</v>
      </c>
      <c r="BC111" s="783">
        <f>IF('Incremental Repayments'!$R$22="Debt",IF(AND(BC$4&gt;=$D111,BC$4&lt;$D111+'Incremental Repayments'!$I$31),-PMT('Interest Rate'!$J$16,'Incremental Repayments'!$I$31,(HLOOKUP($D111,$E$4:$CZ$32,28,FALSE)*'Incremental Repayments'!$I$22)),0),0)</f>
        <v>0</v>
      </c>
      <c r="BD111" s="783">
        <f>IF('Incremental Repayments'!$R$22="Debt",IF(AND(BD$4&gt;=$D111,BD$4&lt;$D111+'Incremental Repayments'!$I$31),-PMT('Interest Rate'!$J$16,'Incremental Repayments'!$I$31,(HLOOKUP($D111,$E$4:$CZ$32,28,FALSE)*'Incremental Repayments'!$I$22)),0),0)</f>
        <v>0</v>
      </c>
      <c r="BE111" s="783">
        <f>IF('Incremental Repayments'!$R$22="Debt",IF(AND(BE$4&gt;=$D111,BE$4&lt;$D111+'Incremental Repayments'!$I$31),-PMT('Interest Rate'!$J$16,'Incremental Repayments'!$I$31,(HLOOKUP($D111,$E$4:$CZ$32,28,FALSE)*'Incremental Repayments'!$I$22)),0),0)</f>
        <v>0</v>
      </c>
      <c r="BF111" s="783">
        <f>IF('Incremental Repayments'!$R$22="Debt",IF(AND(BF$4&gt;=$D111,BF$4&lt;$D111+'Incremental Repayments'!$I$31),-PMT('Interest Rate'!$J$16,'Incremental Repayments'!$I$31,(HLOOKUP($D111,$E$4:$CZ$32,28,FALSE)*'Incremental Repayments'!$I$22)),0),0)</f>
        <v>0</v>
      </c>
      <c r="BG111" s="783">
        <f>IF('Incremental Repayments'!$R$22="Debt",IF(AND(BG$4&gt;=$D111,BG$4&lt;$D111+'Incremental Repayments'!$I$31),-PMT('Interest Rate'!$J$16,'Incremental Repayments'!$I$31,(HLOOKUP($D111,$E$4:$CZ$32,28,FALSE)*'Incremental Repayments'!$I$22)),0),0)</f>
        <v>0</v>
      </c>
      <c r="BH111" s="783">
        <f>IF('Incremental Repayments'!$R$22="Debt",IF(AND(BH$4&gt;=$D111,BH$4&lt;$D111+'Incremental Repayments'!$I$31),-PMT('Interest Rate'!$J$16,'Incremental Repayments'!$I$31,(HLOOKUP($D111,$E$4:$CZ$32,28,FALSE)*'Incremental Repayments'!$I$22)),0),0)</f>
        <v>0</v>
      </c>
      <c r="BI111" s="783">
        <f>IF('Incremental Repayments'!$R$22="Debt",IF(AND(BI$4&gt;=$D111,BI$4&lt;$D111+'Incremental Repayments'!$I$31),-PMT('Interest Rate'!$J$16,'Incremental Repayments'!$I$31,(HLOOKUP($D111,$E$4:$CZ$32,28,FALSE)*'Incremental Repayments'!$I$22)),0),0)</f>
        <v>0</v>
      </c>
      <c r="BJ111" s="783">
        <f>IF('Incremental Repayments'!$R$22="Debt",IF(AND(BJ$4&gt;=$D111,BJ$4&lt;$D111+'Incremental Repayments'!$I$31),-PMT('Interest Rate'!$J$16,'Incremental Repayments'!$I$31,(HLOOKUP($D111,$E$4:$CZ$32,28,FALSE)*'Incremental Repayments'!$I$22)),0),0)</f>
        <v>0</v>
      </c>
      <c r="BK111" s="783">
        <f>IF('Incremental Repayments'!$R$22="Debt",IF(AND(BK$4&gt;=$D111,BK$4&lt;$D111+'Incremental Repayments'!$I$31),-PMT('Interest Rate'!$J$16,'Incremental Repayments'!$I$31,(HLOOKUP($D111,$E$4:$CZ$32,28,FALSE)*'Incremental Repayments'!$I$22)),0),0)</f>
        <v>0</v>
      </c>
      <c r="BL111" s="783">
        <f>IF('Incremental Repayments'!$R$22="Debt",IF(AND(BL$4&gt;=$D111,BL$4&lt;$D111+'Incremental Repayments'!$I$31),-PMT('Interest Rate'!$J$16,'Incremental Repayments'!$I$31,(HLOOKUP($D111,$E$4:$CZ$32,28,FALSE)*'Incremental Repayments'!$I$22)),0),0)</f>
        <v>0</v>
      </c>
      <c r="BM111" s="783">
        <f>IF('Incremental Repayments'!$R$22="Debt",IF(AND(BM$4&gt;=$D111,BM$4&lt;$D111+'Incremental Repayments'!$I$31),-PMT('Interest Rate'!$J$16,'Incremental Repayments'!$I$31,(HLOOKUP($D111,$E$4:$CZ$32,28,FALSE)*'Incremental Repayments'!$I$22)),0),0)</f>
        <v>0</v>
      </c>
      <c r="BN111" s="783">
        <f>IF('Incremental Repayments'!$R$22="Debt",IF(AND(BN$4&gt;=$D111,BN$4&lt;$D111+'Incremental Repayments'!$I$31),-PMT('Interest Rate'!$J$16,'Incremental Repayments'!$I$31,(HLOOKUP($D111,$E$4:$CZ$32,28,FALSE)*'Incremental Repayments'!$I$22)),0),0)</f>
        <v>0</v>
      </c>
      <c r="BO111" s="783">
        <f>IF('Incremental Repayments'!$R$22="Debt",IF(AND(BO$4&gt;=$D111,BO$4&lt;$D111+'Incremental Repayments'!$I$31),-PMT('Interest Rate'!$J$16,'Incremental Repayments'!$I$31,(HLOOKUP($D111,$E$4:$CZ$32,28,FALSE)*'Incremental Repayments'!$I$22)),0),0)</f>
        <v>0</v>
      </c>
      <c r="BP111" s="783">
        <f>IF('Incremental Repayments'!$R$22="Debt",IF(AND(BP$4&gt;=$D111,BP$4&lt;$D111+'Incremental Repayments'!$I$31),-PMT('Interest Rate'!$J$16,'Incremental Repayments'!$I$31,(HLOOKUP($D111,$E$4:$CZ$32,28,FALSE)*'Incremental Repayments'!$I$22)),0),0)</f>
        <v>0</v>
      </c>
      <c r="BQ111" s="783">
        <f>IF('Incremental Repayments'!$R$22="Debt",IF(AND(BQ$4&gt;=$D111,BQ$4&lt;$D111+'Incremental Repayments'!$I$31),-PMT('Interest Rate'!$J$16,'Incremental Repayments'!$I$31,(HLOOKUP($D111,$E$4:$CZ$32,28,FALSE)*'Incremental Repayments'!$I$22)),0),0)</f>
        <v>0</v>
      </c>
      <c r="BR111" s="783">
        <f>IF('Incremental Repayments'!$R$22="Debt",IF(AND(BR$4&gt;=$D111,BR$4&lt;$D111+'Incremental Repayments'!$I$31),-PMT('Interest Rate'!$J$16,'Incremental Repayments'!$I$31,(HLOOKUP($D111,$E$4:$CZ$32,28,FALSE)*'Incremental Repayments'!$I$22)),0),0)</f>
        <v>0</v>
      </c>
      <c r="BS111" s="783">
        <f>IF('Incremental Repayments'!$R$22="Debt",IF(AND(BS$4&gt;=$D111,BS$4&lt;$D111+'Incremental Repayments'!$I$31),-PMT('Interest Rate'!$J$16,'Incremental Repayments'!$I$31,(HLOOKUP($D111,$E$4:$CZ$32,28,FALSE)*'Incremental Repayments'!$I$22)),0),0)</f>
        <v>0</v>
      </c>
      <c r="BT111" s="783">
        <f>IF('Incremental Repayments'!$R$22="Debt",IF(AND(BT$4&gt;=$D111,BT$4&lt;$D111+'Incremental Repayments'!$I$31),-PMT('Interest Rate'!$J$16,'Incremental Repayments'!$I$31,(HLOOKUP($D111,$E$4:$CZ$32,28,FALSE)*'Incremental Repayments'!$I$22)),0),0)</f>
        <v>0</v>
      </c>
      <c r="BU111" s="783">
        <f>IF('Incremental Repayments'!$R$22="Debt",IF(AND(BU$4&gt;=$D111,BU$4&lt;$D111+'Incremental Repayments'!$I$31),-PMT('Interest Rate'!$J$16,'Incremental Repayments'!$I$31,(HLOOKUP($D111,$E$4:$CZ$32,28,FALSE)*'Incremental Repayments'!$I$22)),0),0)</f>
        <v>0</v>
      </c>
      <c r="BV111" s="783">
        <f>IF('Incremental Repayments'!$R$22="Debt",IF(AND(BV$4&gt;=$D111,BV$4&lt;$D111+'Incremental Repayments'!$I$31),-PMT('Interest Rate'!$J$16,'Incremental Repayments'!$I$31,(HLOOKUP($D111,$E$4:$CZ$32,28,FALSE)*'Incremental Repayments'!$I$22)),0),0)</f>
        <v>0</v>
      </c>
      <c r="BW111" s="783">
        <f>IF('Incremental Repayments'!$R$22="Debt",IF(AND(BW$4&gt;=$D111,BW$4&lt;$D111+'Incremental Repayments'!$I$31),-PMT('Interest Rate'!$J$16,'Incremental Repayments'!$I$31,(HLOOKUP($D111,$E$4:$CZ$32,28,FALSE)*'Incremental Repayments'!$I$22)),0),0)</f>
        <v>0</v>
      </c>
      <c r="BX111" s="783">
        <f>IF('Incremental Repayments'!$R$22="Debt",IF(AND(BX$4&gt;=$D111,BX$4&lt;$D111+'Incremental Repayments'!$I$31),-PMT('Interest Rate'!$J$16,'Incremental Repayments'!$I$31,(HLOOKUP($D111,$E$4:$CZ$32,28,FALSE)*'Incremental Repayments'!$I$22)),0),0)</f>
        <v>0</v>
      </c>
      <c r="BY111" s="783">
        <f>IF('Incremental Repayments'!$R$22="Debt",IF(AND(BY$4&gt;=$D111,BY$4&lt;$D111+'Incremental Repayments'!$I$31),-PMT('Interest Rate'!$J$16,'Incremental Repayments'!$I$31,(HLOOKUP($D111,$E$4:$CZ$32,28,FALSE)*'Incremental Repayments'!$I$22)),0),0)</f>
        <v>0</v>
      </c>
      <c r="BZ111" s="783">
        <f>IF('Incremental Repayments'!$R$22="Debt",IF(AND(BZ$4&gt;=$D111,BZ$4&lt;$D111+'Incremental Repayments'!$I$31),-PMT('Interest Rate'!$J$16,'Incremental Repayments'!$I$31,(HLOOKUP($D111,$E$4:$CZ$32,28,FALSE)*'Incremental Repayments'!$I$22)),0),0)</f>
        <v>0</v>
      </c>
      <c r="CA111" s="783">
        <f>IF('Incremental Repayments'!$R$22="Debt",IF(AND(CA$4&gt;=$D111,CA$4&lt;$D111+'Incremental Repayments'!$I$31),-PMT('Interest Rate'!$J$16,'Incremental Repayments'!$I$31,(HLOOKUP($D111,$E$4:$CZ$32,28,FALSE)*'Incremental Repayments'!$I$22)),0),0)</f>
        <v>0</v>
      </c>
      <c r="CB111" s="783">
        <f>IF('Incremental Repayments'!$R$22="Debt",IF(AND(CB$4&gt;=$D111,CB$4&lt;$D111+'Incremental Repayments'!$I$31),-PMT('Interest Rate'!$J$16,'Incremental Repayments'!$I$31,(HLOOKUP($D111,$E$4:$CZ$32,28,FALSE)*'Incremental Repayments'!$I$22)),0),0)</f>
        <v>0</v>
      </c>
      <c r="CC111" s="783">
        <f>IF('Incremental Repayments'!$R$22="Debt",IF(AND(CC$4&gt;=$D111,CC$4&lt;$D111+'Incremental Repayments'!$I$31),-PMT('Interest Rate'!$J$16,'Incremental Repayments'!$I$31,(HLOOKUP($D111,$E$4:$CZ$32,28,FALSE)*'Incremental Repayments'!$I$22)),0),0)</f>
        <v>0</v>
      </c>
      <c r="CD111" s="783">
        <f>IF('Incremental Repayments'!$R$22="Debt",IF(AND(CD$4&gt;=$D111,CD$4&lt;$D111+'Incremental Repayments'!$I$31),-PMT('Interest Rate'!$J$16,'Incremental Repayments'!$I$31,(HLOOKUP($D111,$E$4:$CZ$32,28,FALSE)*'Incremental Repayments'!$I$22)),0),0)</f>
        <v>0</v>
      </c>
      <c r="CE111" s="783">
        <f>IF('Incremental Repayments'!$R$22="Debt",IF(AND(CE$4&gt;=$D111,CE$4&lt;$D111+'Incremental Repayments'!$I$31),-PMT('Interest Rate'!$J$16,'Incremental Repayments'!$I$31,(HLOOKUP($D111,$E$4:$CZ$32,28,FALSE)*'Incremental Repayments'!$I$22)),0),0)</f>
        <v>0</v>
      </c>
      <c r="CF111" s="783">
        <f>IF('Incremental Repayments'!$R$22="Debt",IF(AND(CF$4&gt;=$D111,CF$4&lt;$D111+'Incremental Repayments'!$I$31),-PMT('Interest Rate'!$J$16,'Incremental Repayments'!$I$31,(HLOOKUP($D111,$E$4:$CZ$32,28,FALSE)*'Incremental Repayments'!$I$22)),0),0)</f>
        <v>0</v>
      </c>
      <c r="CG111" s="783">
        <f>IF('Incremental Repayments'!$R$22="Debt",IF(AND(CG$4&gt;=$D111,CG$4&lt;$D111+'Incremental Repayments'!$I$31),-PMT('Interest Rate'!$J$16,'Incremental Repayments'!$I$31,(HLOOKUP($D111,$E$4:$CZ$32,28,FALSE)*'Incremental Repayments'!$I$22)),0),0)</f>
        <v>0</v>
      </c>
      <c r="CH111" s="783">
        <f>IF('Incremental Repayments'!$R$22="Debt",IF(AND(CH$4&gt;=$D111,CH$4&lt;$D111+'Incremental Repayments'!$I$31),-PMT('Interest Rate'!$J$16,'Incremental Repayments'!$I$31,(HLOOKUP($D111,$E$4:$CZ$32,28,FALSE)*'Incremental Repayments'!$I$22)),0),0)</f>
        <v>0</v>
      </c>
      <c r="CI111" s="783">
        <f>IF('Incremental Repayments'!$R$22="Debt",IF(AND(CI$4&gt;=$D111,CI$4&lt;$D111+'Incremental Repayments'!$I$31),-PMT('Interest Rate'!$J$16,'Incremental Repayments'!$I$31,(HLOOKUP($D111,$E$4:$CZ$32,28,FALSE)*'Incremental Repayments'!$I$22)),0),0)</f>
        <v>0</v>
      </c>
      <c r="CJ111" s="783">
        <f>IF('Incremental Repayments'!$R$22="Debt",IF(AND(CJ$4&gt;=$D111,CJ$4&lt;$D111+'Incremental Repayments'!$I$31),-PMT('Interest Rate'!$J$16,'Incremental Repayments'!$I$31,(HLOOKUP($D111,$E$4:$CZ$32,28,FALSE)*'Incremental Repayments'!$I$22)),0),0)</f>
        <v>0</v>
      </c>
      <c r="CK111" s="783">
        <f>IF('Incremental Repayments'!$R$22="Debt",IF(AND(CK$4&gt;=$D111,CK$4&lt;$D111+'Incremental Repayments'!$I$31),-PMT('Interest Rate'!$J$16,'Incremental Repayments'!$I$31,(HLOOKUP($D111,$E$4:$CZ$32,28,FALSE)*'Incremental Repayments'!$I$22)),0),0)</f>
        <v>0</v>
      </c>
      <c r="CL111" s="783">
        <f>IF('Incremental Repayments'!$R$22="Debt",IF(AND(CL$4&gt;=$D111,CL$4&lt;$D111+'Incremental Repayments'!$I$31),-PMT('Interest Rate'!$J$16,'Incremental Repayments'!$I$31,(HLOOKUP($D111,$E$4:$CZ$32,28,FALSE)*'Incremental Repayments'!$I$22)),0),0)</f>
        <v>0</v>
      </c>
      <c r="CM111" s="783">
        <f>IF('Incremental Repayments'!$R$22="Debt",IF(AND(CM$4&gt;=$D111,CM$4&lt;$D111+'Incremental Repayments'!$I$31),-PMT('Interest Rate'!$J$16,'Incremental Repayments'!$I$31,(HLOOKUP($D111,$E$4:$CZ$32,28,FALSE)*'Incremental Repayments'!$I$22)),0),0)</f>
        <v>0</v>
      </c>
      <c r="CN111" s="783">
        <f>IF('Incremental Repayments'!$R$22="Debt",IF(AND(CN$4&gt;=$D111,CN$4&lt;$D111+'Incremental Repayments'!$I$31),-PMT('Interest Rate'!$J$16,'Incremental Repayments'!$I$31,(HLOOKUP($D111,$E$4:$CZ$32,28,FALSE)*'Incremental Repayments'!$I$22)),0),0)</f>
        <v>0</v>
      </c>
      <c r="CO111" s="783">
        <f>IF('Incremental Repayments'!$R$22="Debt",IF(AND(CO$4&gt;=$D111,CO$4&lt;$D111+'Incremental Repayments'!$I$31),-PMT('Interest Rate'!$J$16,'Incremental Repayments'!$I$31,(HLOOKUP($D111,$E$4:$CZ$32,28,FALSE)*'Incremental Repayments'!$I$22)),0),0)</f>
        <v>0</v>
      </c>
      <c r="CP111" s="783">
        <f>IF('Incremental Repayments'!$R$22="Debt",IF(AND(CP$4&gt;=$D111,CP$4&lt;$D111+'Incremental Repayments'!$I$31),-PMT('Interest Rate'!$J$16,'Incremental Repayments'!$I$31,(HLOOKUP($D111,$E$4:$CZ$32,28,FALSE)*'Incremental Repayments'!$I$22)),0),0)</f>
        <v>0</v>
      </c>
      <c r="CQ111" s="783">
        <f>IF('Incremental Repayments'!$R$22="Debt",IF(AND(CQ$4&gt;=$D111,CQ$4&lt;$D111+'Incremental Repayments'!$I$31),-PMT('Interest Rate'!$J$16,'Incremental Repayments'!$I$31,(HLOOKUP($D111,$E$4:$CZ$32,28,FALSE)*'Incremental Repayments'!$I$22)),0),0)</f>
        <v>0</v>
      </c>
      <c r="CR111" s="783">
        <f>IF('Incremental Repayments'!$R$22="Debt",IF(AND(CR$4&gt;=$D111,CR$4&lt;$D111+'Incremental Repayments'!$I$31),-PMT('Interest Rate'!$J$16,'Incremental Repayments'!$I$31,(HLOOKUP($D111,$E$4:$CZ$32,28,FALSE)*'Incremental Repayments'!$I$22)),0),0)</f>
        <v>0</v>
      </c>
      <c r="CS111" s="783">
        <f>IF('Incremental Repayments'!$R$22="Debt",IF(AND(CS$4&gt;=$D111,CS$4&lt;$D111+'Incremental Repayments'!$I$31),-PMT('Interest Rate'!$J$16,'Incremental Repayments'!$I$31,(HLOOKUP($D111,$E$4:$CZ$32,28,FALSE)*'Incremental Repayments'!$I$22)),0),0)</f>
        <v>0</v>
      </c>
      <c r="CT111" s="783">
        <f>IF('Incremental Repayments'!$R$22="Debt",IF(AND(CT$4&gt;=$D111,CT$4&lt;$D111+'Incremental Repayments'!$I$31),-PMT('Interest Rate'!$J$16,'Incremental Repayments'!$I$31,(HLOOKUP($D111,$E$4:$CZ$32,28,FALSE)*'Incremental Repayments'!$I$22)),0),0)</f>
        <v>0</v>
      </c>
      <c r="CU111" s="783">
        <f>IF('Incremental Repayments'!$R$22="Debt",IF(AND(CU$4&gt;=$D111,CU$4&lt;$D111+'Incremental Repayments'!$I$31),-PMT('Interest Rate'!$J$16,'Incremental Repayments'!$I$31,(HLOOKUP($D111,$E$4:$CZ$32,28,FALSE)*'Incremental Repayments'!$I$22)),0),0)</f>
        <v>0</v>
      </c>
      <c r="CV111" s="783">
        <f>IF('Incremental Repayments'!$R$22="Debt",IF(AND(CV$4&gt;=$D111,CV$4&lt;$D111+'Incremental Repayments'!$I$31),-PMT('Interest Rate'!$J$16,'Incremental Repayments'!$I$31,(HLOOKUP($D111,$E$4:$CZ$32,28,FALSE)*'Incremental Repayments'!$I$22)),0),0)</f>
        <v>0</v>
      </c>
      <c r="CW111" s="783">
        <f>IF('Incremental Repayments'!$R$22="Debt",IF(AND(CW$4&gt;=$D111,CW$4&lt;$D111+'Incremental Repayments'!$I$31),-PMT('Interest Rate'!$J$16,'Incremental Repayments'!$I$31,(HLOOKUP($D111,$E$4:$CZ$32,28,FALSE)*'Incremental Repayments'!$I$22)),0),0)</f>
        <v>0</v>
      </c>
      <c r="CX111" s="783">
        <f>IF('Incremental Repayments'!$R$22="Debt",IF(AND(CX$4&gt;=$D111,CX$4&lt;$D111+'Incremental Repayments'!$I$31),-PMT('Interest Rate'!$J$16,'Incremental Repayments'!$I$31,(HLOOKUP($D111,$E$4:$CZ$32,28,FALSE)*'Incremental Repayments'!$I$22)),0),0)</f>
        <v>0</v>
      </c>
      <c r="CY111" s="783">
        <f>IF('Incremental Repayments'!$R$22="Debt",IF(AND(CY$4&gt;=$D111,CY$4&lt;$D111+'Incremental Repayments'!$I$31),-PMT('Interest Rate'!$J$16,'Incremental Repayments'!$I$31,(HLOOKUP($D111,$E$4:$CZ$32,28,FALSE)*'Incremental Repayments'!$I$22)),0),0)</f>
        <v>0</v>
      </c>
      <c r="CZ111" s="783">
        <f>IF('Incremental Repayments'!$R$22="Debt",IF(AND(CZ$4&gt;=$D111,CZ$4&lt;$D111+'Incremental Repayments'!$I$31),-PMT('Interest Rate'!$J$16,'Incremental Repayments'!$I$31,(HLOOKUP($D111,$E$4:$CZ$32,28,FALSE)*'Incremental Repayments'!$I$22)),0),0)</f>
        <v>0</v>
      </c>
    </row>
    <row r="112" spans="2:104" x14ac:dyDescent="0.25">
      <c r="B112" s="480" t="str">
        <f>CONCATENATE("Series ",D112,"A Bonds (at ",'Interest Rate'!$J$16*100,"% Interest)")</f>
        <v>Series 2090A Bonds (at 4.5% Interest)</v>
      </c>
      <c r="C112" s="480"/>
      <c r="D112" s="492">
        <f t="shared" si="47"/>
        <v>2090</v>
      </c>
      <c r="E112" s="783">
        <f>IF('Incremental Repayments'!$R$22="Debt",IF(AND(E$4&gt;=$D112,E$4&lt;$D112+'Incremental Repayments'!$I$31),-PMT('Interest Rate'!$J$16,'Incremental Repayments'!$I$31,(HLOOKUP($D112,$E$4:$CZ$32,28,FALSE)*'Incremental Repayments'!$I$22)),0),0)</f>
        <v>0</v>
      </c>
      <c r="F112" s="783">
        <f>IF('Incremental Repayments'!$R$22="Debt",IF(AND(F$4&gt;=$D112,F$4&lt;$D112+'Incremental Repayments'!$I$31),-PMT('Interest Rate'!$J$16,'Incremental Repayments'!$I$31,(HLOOKUP($D112,$E$4:$CZ$32,28,FALSE)*'Incremental Repayments'!$I$22)),0),0)</f>
        <v>0</v>
      </c>
      <c r="G112" s="783">
        <f>IF('Incremental Repayments'!$R$22="Debt",IF(AND(G$4&gt;=$D112,G$4&lt;$D112+'Incremental Repayments'!$I$31),-PMT('Interest Rate'!$J$16,'Incremental Repayments'!$I$31,(HLOOKUP($D112,$E$4:$CZ$32,28,FALSE)*'Incremental Repayments'!$I$22)),0),0)</f>
        <v>0</v>
      </c>
      <c r="H112" s="783">
        <f>IF('Incremental Repayments'!$R$22="Debt",IF(AND(H$4&gt;=$D112,H$4&lt;$D112+'Incremental Repayments'!$I$31),-PMT('Interest Rate'!$J$16,'Incremental Repayments'!$I$31,(HLOOKUP($D112,$E$4:$CZ$32,28,FALSE)*'Incremental Repayments'!$I$22)),0),0)</f>
        <v>0</v>
      </c>
      <c r="I112" s="783">
        <f>IF('Incremental Repayments'!$R$22="Debt",IF(AND(I$4&gt;=$D112,I$4&lt;$D112+'Incremental Repayments'!$I$31),-PMT('Interest Rate'!$J$16,'Incremental Repayments'!$I$31,(HLOOKUP($D112,$E$4:$CZ$32,28,FALSE)*'Incremental Repayments'!$I$22)),0),0)</f>
        <v>0</v>
      </c>
      <c r="J112" s="783">
        <f>IF('Incremental Repayments'!$R$22="Debt",IF(AND(J$4&gt;=$D112,J$4&lt;$D112+'Incremental Repayments'!$I$31),-PMT('Interest Rate'!$J$16,'Incremental Repayments'!$I$31,(HLOOKUP($D112,$E$4:$CZ$32,28,FALSE)*'Incremental Repayments'!$I$22)),0),0)</f>
        <v>0</v>
      </c>
      <c r="K112" s="783">
        <f>IF('Incremental Repayments'!$R$22="Debt",IF(AND(K$4&gt;=$D112,K$4&lt;$D112+'Incremental Repayments'!$I$31),-PMT('Interest Rate'!$J$16,'Incremental Repayments'!$I$31,(HLOOKUP($D112,$E$4:$CZ$32,28,FALSE)*'Incremental Repayments'!$I$22)),0),0)</f>
        <v>0</v>
      </c>
      <c r="L112" s="783">
        <f>IF('Incremental Repayments'!$R$22="Debt",IF(AND(L$4&gt;=$D112,L$4&lt;$D112+'Incremental Repayments'!$I$31),-PMT('Interest Rate'!$J$16,'Incremental Repayments'!$I$31,(HLOOKUP($D112,$E$4:$CZ$32,28,FALSE)*'Incremental Repayments'!$I$22)),0),0)</f>
        <v>0</v>
      </c>
      <c r="M112" s="783">
        <f>IF('Incremental Repayments'!$R$22="Debt",IF(AND(M$4&gt;=$D112,M$4&lt;$D112+'Incremental Repayments'!$I$31),-PMT('Interest Rate'!$J$16,'Incremental Repayments'!$I$31,(HLOOKUP($D112,$E$4:$CZ$32,28,FALSE)*'Incremental Repayments'!$I$22)),0),0)</f>
        <v>0</v>
      </c>
      <c r="N112" s="783">
        <f>IF('Incremental Repayments'!$R$22="Debt",IF(AND(N$4&gt;=$D112,N$4&lt;$D112+'Incremental Repayments'!$I$31),-PMT('Interest Rate'!$J$16,'Incremental Repayments'!$I$31,(HLOOKUP($D112,$E$4:$CZ$32,28,FALSE)*'Incremental Repayments'!$I$22)),0),0)</f>
        <v>0</v>
      </c>
      <c r="O112" s="783">
        <f>IF('Incremental Repayments'!$R$22="Debt",IF(AND(O$4&gt;=$D112,O$4&lt;$D112+'Incremental Repayments'!$I$31),-PMT('Interest Rate'!$J$16,'Incremental Repayments'!$I$31,(HLOOKUP($D112,$E$4:$CZ$32,28,FALSE)*'Incremental Repayments'!$I$22)),0),0)</f>
        <v>0</v>
      </c>
      <c r="P112" s="783">
        <f>IF('Incremental Repayments'!$R$22="Debt",IF(AND(P$4&gt;=$D112,P$4&lt;$D112+'Incremental Repayments'!$I$31),-PMT('Interest Rate'!$J$16,'Incremental Repayments'!$I$31,(HLOOKUP($D112,$E$4:$CZ$32,28,FALSE)*'Incremental Repayments'!$I$22)),0),0)</f>
        <v>0</v>
      </c>
      <c r="Q112" s="783">
        <f>IF('Incremental Repayments'!$R$22="Debt",IF(AND(Q$4&gt;=$D112,Q$4&lt;$D112+'Incremental Repayments'!$I$31),-PMT('Interest Rate'!$J$16,'Incremental Repayments'!$I$31,(HLOOKUP($D112,$E$4:$CZ$32,28,FALSE)*'Incremental Repayments'!$I$22)),0),0)</f>
        <v>0</v>
      </c>
      <c r="R112" s="783">
        <f>IF('Incremental Repayments'!$R$22="Debt",IF(AND(R$4&gt;=$D112,R$4&lt;$D112+'Incremental Repayments'!$I$31),-PMT('Interest Rate'!$J$16,'Incremental Repayments'!$I$31,(HLOOKUP($D112,$E$4:$CZ$32,28,FALSE)*'Incremental Repayments'!$I$22)),0),0)</f>
        <v>0</v>
      </c>
      <c r="S112" s="783">
        <f>IF('Incremental Repayments'!$R$22="Debt",IF(AND(S$4&gt;=$D112,S$4&lt;$D112+'Incremental Repayments'!$I$31),-PMT('Interest Rate'!$J$16,'Incremental Repayments'!$I$31,(HLOOKUP($D112,$E$4:$CZ$32,28,FALSE)*'Incremental Repayments'!$I$22)),0),0)</f>
        <v>0</v>
      </c>
      <c r="T112" s="783">
        <f>IF('Incremental Repayments'!$R$22="Debt",IF(AND(T$4&gt;=$D112,T$4&lt;$D112+'Incremental Repayments'!$I$31),-PMT('Interest Rate'!$J$16,'Incremental Repayments'!$I$31,(HLOOKUP($D112,$E$4:$CZ$32,28,FALSE)*'Incremental Repayments'!$I$22)),0),0)</f>
        <v>0</v>
      </c>
      <c r="U112" s="783">
        <f>IF('Incremental Repayments'!$R$22="Debt",IF(AND(U$4&gt;=$D112,U$4&lt;$D112+'Incremental Repayments'!$I$31),-PMT('Interest Rate'!$J$16,'Incremental Repayments'!$I$31,(HLOOKUP($D112,$E$4:$CZ$32,28,FALSE)*'Incremental Repayments'!$I$22)),0),0)</f>
        <v>0</v>
      </c>
      <c r="V112" s="783">
        <f>IF('Incremental Repayments'!$R$22="Debt",IF(AND(V$4&gt;=$D112,V$4&lt;$D112+'Incremental Repayments'!$I$31),-PMT('Interest Rate'!$J$16,'Incremental Repayments'!$I$31,(HLOOKUP($D112,$E$4:$CZ$32,28,FALSE)*'Incremental Repayments'!$I$22)),0),0)</f>
        <v>0</v>
      </c>
      <c r="W112" s="783">
        <f>IF('Incremental Repayments'!$R$22="Debt",IF(AND(W$4&gt;=$D112,W$4&lt;$D112+'Incremental Repayments'!$I$31),-PMT('Interest Rate'!$J$16,'Incremental Repayments'!$I$31,(HLOOKUP($D112,$E$4:$CZ$32,28,FALSE)*'Incremental Repayments'!$I$22)),0),0)</f>
        <v>0</v>
      </c>
      <c r="X112" s="783">
        <f>IF('Incremental Repayments'!$R$22="Debt",IF(AND(X$4&gt;=$D112,X$4&lt;$D112+'Incremental Repayments'!$I$31),-PMT('Interest Rate'!$J$16,'Incremental Repayments'!$I$31,(HLOOKUP($D112,$E$4:$CZ$32,28,FALSE)*'Incremental Repayments'!$I$22)),0),0)</f>
        <v>0</v>
      </c>
      <c r="Y112" s="783">
        <f>IF('Incremental Repayments'!$R$22="Debt",IF(AND(Y$4&gt;=$D112,Y$4&lt;$D112+'Incremental Repayments'!$I$31),-PMT('Interest Rate'!$J$16,'Incremental Repayments'!$I$31,(HLOOKUP($D112,$E$4:$CZ$32,28,FALSE)*'Incremental Repayments'!$I$22)),0),0)</f>
        <v>0</v>
      </c>
      <c r="Z112" s="783">
        <f>IF('Incremental Repayments'!$R$22="Debt",IF(AND(Z$4&gt;=$D112,Z$4&lt;$D112+'Incremental Repayments'!$I$31),-PMT('Interest Rate'!$J$16,'Incremental Repayments'!$I$31,(HLOOKUP($D112,$E$4:$CZ$32,28,FALSE)*'Incremental Repayments'!$I$22)),0),0)</f>
        <v>0</v>
      </c>
      <c r="AA112" s="783">
        <f>IF('Incremental Repayments'!$R$22="Debt",IF(AND(AA$4&gt;=$D112,AA$4&lt;$D112+'Incremental Repayments'!$I$31),-PMT('Interest Rate'!$J$16,'Incremental Repayments'!$I$31,(HLOOKUP($D112,$E$4:$CZ$32,28,FALSE)*'Incremental Repayments'!$I$22)),0),0)</f>
        <v>0</v>
      </c>
      <c r="AB112" s="783">
        <f>IF('Incremental Repayments'!$R$22="Debt",IF(AND(AB$4&gt;=$D112,AB$4&lt;$D112+'Incremental Repayments'!$I$31),-PMT('Interest Rate'!$J$16,'Incremental Repayments'!$I$31,(HLOOKUP($D112,$E$4:$CZ$32,28,FALSE)*'Incremental Repayments'!$I$22)),0),0)</f>
        <v>0</v>
      </c>
      <c r="AC112" s="783">
        <f>IF('Incremental Repayments'!$R$22="Debt",IF(AND(AC$4&gt;=$D112,AC$4&lt;$D112+'Incremental Repayments'!$I$31),-PMT('Interest Rate'!$J$16,'Incremental Repayments'!$I$31,(HLOOKUP($D112,$E$4:$CZ$32,28,FALSE)*'Incremental Repayments'!$I$22)),0),0)</f>
        <v>0</v>
      </c>
      <c r="AD112" s="783">
        <f>IF('Incremental Repayments'!$R$22="Debt",IF(AND(AD$4&gt;=$D112,AD$4&lt;$D112+'Incremental Repayments'!$I$31),-PMT('Interest Rate'!$J$16,'Incremental Repayments'!$I$31,(HLOOKUP($D112,$E$4:$CZ$32,28,FALSE)*'Incremental Repayments'!$I$22)),0),0)</f>
        <v>0</v>
      </c>
      <c r="AE112" s="783">
        <f>IF('Incremental Repayments'!$R$22="Debt",IF(AND(AE$4&gt;=$D112,AE$4&lt;$D112+'Incremental Repayments'!$I$31),-PMT('Interest Rate'!$J$16,'Incremental Repayments'!$I$31,(HLOOKUP($D112,$E$4:$CZ$32,28,FALSE)*'Incremental Repayments'!$I$22)),0),0)</f>
        <v>0</v>
      </c>
      <c r="AF112" s="783">
        <f>IF('Incremental Repayments'!$R$22="Debt",IF(AND(AF$4&gt;=$D112,AF$4&lt;$D112+'Incremental Repayments'!$I$31),-PMT('Interest Rate'!$J$16,'Incremental Repayments'!$I$31,(HLOOKUP($D112,$E$4:$CZ$32,28,FALSE)*'Incremental Repayments'!$I$22)),0),0)</f>
        <v>0</v>
      </c>
      <c r="AG112" s="783">
        <f>IF('Incremental Repayments'!$R$22="Debt",IF(AND(AG$4&gt;=$D112,AG$4&lt;$D112+'Incremental Repayments'!$I$31),-PMT('Interest Rate'!$J$16,'Incremental Repayments'!$I$31,(HLOOKUP($D112,$E$4:$CZ$32,28,FALSE)*'Incremental Repayments'!$I$22)),0),0)</f>
        <v>0</v>
      </c>
      <c r="AH112" s="783">
        <f>IF('Incremental Repayments'!$R$22="Debt",IF(AND(AH$4&gt;=$D112,AH$4&lt;$D112+'Incremental Repayments'!$I$31),-PMT('Interest Rate'!$J$16,'Incremental Repayments'!$I$31,(HLOOKUP($D112,$E$4:$CZ$32,28,FALSE)*'Incremental Repayments'!$I$22)),0),0)</f>
        <v>0</v>
      </c>
      <c r="AI112" s="783">
        <f>IF('Incremental Repayments'!$R$22="Debt",IF(AND(AI$4&gt;=$D112,AI$4&lt;$D112+'Incremental Repayments'!$I$31),-PMT('Interest Rate'!$J$16,'Incremental Repayments'!$I$31,(HLOOKUP($D112,$E$4:$CZ$32,28,FALSE)*'Incremental Repayments'!$I$22)),0),0)</f>
        <v>0</v>
      </c>
      <c r="AJ112" s="783">
        <f>IF('Incremental Repayments'!$R$22="Debt",IF(AND(AJ$4&gt;=$D112,AJ$4&lt;$D112+'Incremental Repayments'!$I$31),-PMT('Interest Rate'!$J$16,'Incremental Repayments'!$I$31,(HLOOKUP($D112,$E$4:$CZ$32,28,FALSE)*'Incremental Repayments'!$I$22)),0),0)</f>
        <v>0</v>
      </c>
      <c r="AK112" s="783">
        <f>IF('Incremental Repayments'!$R$22="Debt",IF(AND(AK$4&gt;=$D112,AK$4&lt;$D112+'Incremental Repayments'!$I$31),-PMT('Interest Rate'!$J$16,'Incremental Repayments'!$I$31,(HLOOKUP($D112,$E$4:$CZ$32,28,FALSE)*'Incremental Repayments'!$I$22)),0),0)</f>
        <v>0</v>
      </c>
      <c r="AL112" s="783">
        <f>IF('Incremental Repayments'!$R$22="Debt",IF(AND(AL$4&gt;=$D112,AL$4&lt;$D112+'Incremental Repayments'!$I$31),-PMT('Interest Rate'!$J$16,'Incremental Repayments'!$I$31,(HLOOKUP($D112,$E$4:$CZ$32,28,FALSE)*'Incremental Repayments'!$I$22)),0),0)</f>
        <v>0</v>
      </c>
      <c r="AM112" s="783">
        <f>IF('Incremental Repayments'!$R$22="Debt",IF(AND(AM$4&gt;=$D112,AM$4&lt;$D112+'Incremental Repayments'!$I$31),-PMT('Interest Rate'!$J$16,'Incremental Repayments'!$I$31,(HLOOKUP($D112,$E$4:$CZ$32,28,FALSE)*'Incremental Repayments'!$I$22)),0),0)</f>
        <v>0</v>
      </c>
      <c r="AN112" s="783">
        <f>IF('Incremental Repayments'!$R$22="Debt",IF(AND(AN$4&gt;=$D112,AN$4&lt;$D112+'Incremental Repayments'!$I$31),-PMT('Interest Rate'!$J$16,'Incremental Repayments'!$I$31,(HLOOKUP($D112,$E$4:$CZ$32,28,FALSE)*'Incremental Repayments'!$I$22)),0),0)</f>
        <v>0</v>
      </c>
      <c r="AO112" s="783">
        <f>IF('Incremental Repayments'!$R$22="Debt",IF(AND(AO$4&gt;=$D112,AO$4&lt;$D112+'Incremental Repayments'!$I$31),-PMT('Interest Rate'!$J$16,'Incremental Repayments'!$I$31,(HLOOKUP($D112,$E$4:$CZ$32,28,FALSE)*'Incremental Repayments'!$I$22)),0),0)</f>
        <v>0</v>
      </c>
      <c r="AP112" s="783">
        <f>IF('Incremental Repayments'!$R$22="Debt",IF(AND(AP$4&gt;=$D112,AP$4&lt;$D112+'Incremental Repayments'!$I$31),-PMT('Interest Rate'!$J$16,'Incremental Repayments'!$I$31,(HLOOKUP($D112,$E$4:$CZ$32,28,FALSE)*'Incremental Repayments'!$I$22)),0),0)</f>
        <v>0</v>
      </c>
      <c r="AQ112" s="783">
        <f>IF('Incremental Repayments'!$R$22="Debt",IF(AND(AQ$4&gt;=$D112,AQ$4&lt;$D112+'Incremental Repayments'!$I$31),-PMT('Interest Rate'!$J$16,'Incremental Repayments'!$I$31,(HLOOKUP($D112,$E$4:$CZ$32,28,FALSE)*'Incremental Repayments'!$I$22)),0),0)</f>
        <v>0</v>
      </c>
      <c r="AR112" s="783">
        <f>IF('Incremental Repayments'!$R$22="Debt",IF(AND(AR$4&gt;=$D112,AR$4&lt;$D112+'Incremental Repayments'!$I$31),-PMT('Interest Rate'!$J$16,'Incremental Repayments'!$I$31,(HLOOKUP($D112,$E$4:$CZ$32,28,FALSE)*'Incremental Repayments'!$I$22)),0),0)</f>
        <v>0</v>
      </c>
      <c r="AS112" s="783">
        <f>IF('Incremental Repayments'!$R$22="Debt",IF(AND(AS$4&gt;=$D112,AS$4&lt;$D112+'Incremental Repayments'!$I$31),-PMT('Interest Rate'!$J$16,'Incremental Repayments'!$I$31,(HLOOKUP($D112,$E$4:$CZ$32,28,FALSE)*'Incremental Repayments'!$I$22)),0),0)</f>
        <v>0</v>
      </c>
      <c r="AT112" s="783">
        <f>IF('Incremental Repayments'!$R$22="Debt",IF(AND(AT$4&gt;=$D112,AT$4&lt;$D112+'Incremental Repayments'!$I$31),-PMT('Interest Rate'!$J$16,'Incremental Repayments'!$I$31,(HLOOKUP($D112,$E$4:$CZ$32,28,FALSE)*'Incremental Repayments'!$I$22)),0),0)</f>
        <v>0</v>
      </c>
      <c r="AU112" s="783">
        <f>IF('Incremental Repayments'!$R$22="Debt",IF(AND(AU$4&gt;=$D112,AU$4&lt;$D112+'Incremental Repayments'!$I$31),-PMT('Interest Rate'!$J$16,'Incremental Repayments'!$I$31,(HLOOKUP($D112,$E$4:$CZ$32,28,FALSE)*'Incremental Repayments'!$I$22)),0),0)</f>
        <v>0</v>
      </c>
      <c r="AV112" s="783">
        <f>IF('Incremental Repayments'!$R$22="Debt",IF(AND(AV$4&gt;=$D112,AV$4&lt;$D112+'Incremental Repayments'!$I$31),-PMT('Interest Rate'!$J$16,'Incremental Repayments'!$I$31,(HLOOKUP($D112,$E$4:$CZ$32,28,FALSE)*'Incremental Repayments'!$I$22)),0),0)</f>
        <v>0</v>
      </c>
      <c r="AW112" s="783">
        <f>IF('Incremental Repayments'!$R$22="Debt",IF(AND(AW$4&gt;=$D112,AW$4&lt;$D112+'Incremental Repayments'!$I$31),-PMT('Interest Rate'!$J$16,'Incremental Repayments'!$I$31,(HLOOKUP($D112,$E$4:$CZ$32,28,FALSE)*'Incremental Repayments'!$I$22)),0),0)</f>
        <v>0</v>
      </c>
      <c r="AX112" s="783">
        <f>IF('Incremental Repayments'!$R$22="Debt",IF(AND(AX$4&gt;=$D112,AX$4&lt;$D112+'Incremental Repayments'!$I$31),-PMT('Interest Rate'!$J$16,'Incremental Repayments'!$I$31,(HLOOKUP($D112,$E$4:$CZ$32,28,FALSE)*'Incremental Repayments'!$I$22)),0),0)</f>
        <v>0</v>
      </c>
      <c r="AY112" s="783">
        <f>IF('Incremental Repayments'!$R$22="Debt",IF(AND(AY$4&gt;=$D112,AY$4&lt;$D112+'Incremental Repayments'!$I$31),-PMT('Interest Rate'!$J$16,'Incremental Repayments'!$I$31,(HLOOKUP($D112,$E$4:$CZ$32,28,FALSE)*'Incremental Repayments'!$I$22)),0),0)</f>
        <v>0</v>
      </c>
      <c r="AZ112" s="783">
        <f>IF('Incremental Repayments'!$R$22="Debt",IF(AND(AZ$4&gt;=$D112,AZ$4&lt;$D112+'Incremental Repayments'!$I$31),-PMT('Interest Rate'!$J$16,'Incremental Repayments'!$I$31,(HLOOKUP($D112,$E$4:$CZ$32,28,FALSE)*'Incremental Repayments'!$I$22)),0),0)</f>
        <v>0</v>
      </c>
      <c r="BA112" s="783">
        <f>IF('Incremental Repayments'!$R$22="Debt",IF(AND(BA$4&gt;=$D112,BA$4&lt;$D112+'Incremental Repayments'!$I$31),-PMT('Interest Rate'!$J$16,'Incremental Repayments'!$I$31,(HLOOKUP($D112,$E$4:$CZ$32,28,FALSE)*'Incremental Repayments'!$I$22)),0),0)</f>
        <v>0</v>
      </c>
      <c r="BB112" s="783">
        <f>IF('Incremental Repayments'!$R$22="Debt",IF(AND(BB$4&gt;=$D112,BB$4&lt;$D112+'Incremental Repayments'!$I$31),-PMT('Interest Rate'!$J$16,'Incremental Repayments'!$I$31,(HLOOKUP($D112,$E$4:$CZ$32,28,FALSE)*'Incremental Repayments'!$I$22)),0),0)</f>
        <v>0</v>
      </c>
      <c r="BC112" s="783">
        <f>IF('Incremental Repayments'!$R$22="Debt",IF(AND(BC$4&gt;=$D112,BC$4&lt;$D112+'Incremental Repayments'!$I$31),-PMT('Interest Rate'!$J$16,'Incremental Repayments'!$I$31,(HLOOKUP($D112,$E$4:$CZ$32,28,FALSE)*'Incremental Repayments'!$I$22)),0),0)</f>
        <v>0</v>
      </c>
      <c r="BD112" s="783">
        <f>IF('Incremental Repayments'!$R$22="Debt",IF(AND(BD$4&gt;=$D112,BD$4&lt;$D112+'Incremental Repayments'!$I$31),-PMT('Interest Rate'!$J$16,'Incremental Repayments'!$I$31,(HLOOKUP($D112,$E$4:$CZ$32,28,FALSE)*'Incremental Repayments'!$I$22)),0),0)</f>
        <v>0</v>
      </c>
      <c r="BE112" s="783">
        <f>IF('Incremental Repayments'!$R$22="Debt",IF(AND(BE$4&gt;=$D112,BE$4&lt;$D112+'Incremental Repayments'!$I$31),-PMT('Interest Rate'!$J$16,'Incremental Repayments'!$I$31,(HLOOKUP($D112,$E$4:$CZ$32,28,FALSE)*'Incremental Repayments'!$I$22)),0),0)</f>
        <v>0</v>
      </c>
      <c r="BF112" s="783">
        <f>IF('Incremental Repayments'!$R$22="Debt",IF(AND(BF$4&gt;=$D112,BF$4&lt;$D112+'Incremental Repayments'!$I$31),-PMT('Interest Rate'!$J$16,'Incremental Repayments'!$I$31,(HLOOKUP($D112,$E$4:$CZ$32,28,FALSE)*'Incremental Repayments'!$I$22)),0),0)</f>
        <v>0</v>
      </c>
      <c r="BG112" s="783">
        <f>IF('Incremental Repayments'!$R$22="Debt",IF(AND(BG$4&gt;=$D112,BG$4&lt;$D112+'Incremental Repayments'!$I$31),-PMT('Interest Rate'!$J$16,'Incremental Repayments'!$I$31,(HLOOKUP($D112,$E$4:$CZ$32,28,FALSE)*'Incremental Repayments'!$I$22)),0),0)</f>
        <v>0</v>
      </c>
      <c r="BH112" s="783">
        <f>IF('Incremental Repayments'!$R$22="Debt",IF(AND(BH$4&gt;=$D112,BH$4&lt;$D112+'Incremental Repayments'!$I$31),-PMT('Interest Rate'!$J$16,'Incremental Repayments'!$I$31,(HLOOKUP($D112,$E$4:$CZ$32,28,FALSE)*'Incremental Repayments'!$I$22)),0),0)</f>
        <v>0</v>
      </c>
      <c r="BI112" s="783">
        <f>IF('Incremental Repayments'!$R$22="Debt",IF(AND(BI$4&gt;=$D112,BI$4&lt;$D112+'Incremental Repayments'!$I$31),-PMT('Interest Rate'!$J$16,'Incremental Repayments'!$I$31,(HLOOKUP($D112,$E$4:$CZ$32,28,FALSE)*'Incremental Repayments'!$I$22)),0),0)</f>
        <v>0</v>
      </c>
      <c r="BJ112" s="783">
        <f>IF('Incremental Repayments'!$R$22="Debt",IF(AND(BJ$4&gt;=$D112,BJ$4&lt;$D112+'Incremental Repayments'!$I$31),-PMT('Interest Rate'!$J$16,'Incremental Repayments'!$I$31,(HLOOKUP($D112,$E$4:$CZ$32,28,FALSE)*'Incremental Repayments'!$I$22)),0),0)</f>
        <v>0</v>
      </c>
      <c r="BK112" s="783">
        <f>IF('Incremental Repayments'!$R$22="Debt",IF(AND(BK$4&gt;=$D112,BK$4&lt;$D112+'Incremental Repayments'!$I$31),-PMT('Interest Rate'!$J$16,'Incremental Repayments'!$I$31,(HLOOKUP($D112,$E$4:$CZ$32,28,FALSE)*'Incremental Repayments'!$I$22)),0),0)</f>
        <v>0</v>
      </c>
      <c r="BL112" s="783">
        <f>IF('Incremental Repayments'!$R$22="Debt",IF(AND(BL$4&gt;=$D112,BL$4&lt;$D112+'Incremental Repayments'!$I$31),-PMT('Interest Rate'!$J$16,'Incremental Repayments'!$I$31,(HLOOKUP($D112,$E$4:$CZ$32,28,FALSE)*'Incremental Repayments'!$I$22)),0),0)</f>
        <v>0</v>
      </c>
      <c r="BM112" s="783">
        <f>IF('Incremental Repayments'!$R$22="Debt",IF(AND(BM$4&gt;=$D112,BM$4&lt;$D112+'Incremental Repayments'!$I$31),-PMT('Interest Rate'!$J$16,'Incremental Repayments'!$I$31,(HLOOKUP($D112,$E$4:$CZ$32,28,FALSE)*'Incremental Repayments'!$I$22)),0),0)</f>
        <v>0</v>
      </c>
      <c r="BN112" s="783">
        <f>IF('Incremental Repayments'!$R$22="Debt",IF(AND(BN$4&gt;=$D112,BN$4&lt;$D112+'Incremental Repayments'!$I$31),-PMT('Interest Rate'!$J$16,'Incremental Repayments'!$I$31,(HLOOKUP($D112,$E$4:$CZ$32,28,FALSE)*'Incremental Repayments'!$I$22)),0),0)</f>
        <v>0</v>
      </c>
      <c r="BO112" s="783">
        <f>IF('Incremental Repayments'!$R$22="Debt",IF(AND(BO$4&gt;=$D112,BO$4&lt;$D112+'Incremental Repayments'!$I$31),-PMT('Interest Rate'!$J$16,'Incremental Repayments'!$I$31,(HLOOKUP($D112,$E$4:$CZ$32,28,FALSE)*'Incremental Repayments'!$I$22)),0),0)</f>
        <v>0</v>
      </c>
      <c r="BP112" s="783">
        <f>IF('Incremental Repayments'!$R$22="Debt",IF(AND(BP$4&gt;=$D112,BP$4&lt;$D112+'Incremental Repayments'!$I$31),-PMT('Interest Rate'!$J$16,'Incremental Repayments'!$I$31,(HLOOKUP($D112,$E$4:$CZ$32,28,FALSE)*'Incremental Repayments'!$I$22)),0),0)</f>
        <v>0</v>
      </c>
      <c r="BQ112" s="783">
        <f>IF('Incremental Repayments'!$R$22="Debt",IF(AND(BQ$4&gt;=$D112,BQ$4&lt;$D112+'Incremental Repayments'!$I$31),-PMT('Interest Rate'!$J$16,'Incremental Repayments'!$I$31,(HLOOKUP($D112,$E$4:$CZ$32,28,FALSE)*'Incremental Repayments'!$I$22)),0),0)</f>
        <v>0</v>
      </c>
      <c r="BR112" s="783">
        <f>IF('Incremental Repayments'!$R$22="Debt",IF(AND(BR$4&gt;=$D112,BR$4&lt;$D112+'Incremental Repayments'!$I$31),-PMT('Interest Rate'!$J$16,'Incremental Repayments'!$I$31,(HLOOKUP($D112,$E$4:$CZ$32,28,FALSE)*'Incremental Repayments'!$I$22)),0),0)</f>
        <v>0</v>
      </c>
      <c r="BS112" s="783">
        <f>IF('Incremental Repayments'!$R$22="Debt",IF(AND(BS$4&gt;=$D112,BS$4&lt;$D112+'Incremental Repayments'!$I$31),-PMT('Interest Rate'!$J$16,'Incremental Repayments'!$I$31,(HLOOKUP($D112,$E$4:$CZ$32,28,FALSE)*'Incremental Repayments'!$I$22)),0),0)</f>
        <v>0</v>
      </c>
      <c r="BT112" s="783">
        <f>IF('Incremental Repayments'!$R$22="Debt",IF(AND(BT$4&gt;=$D112,BT$4&lt;$D112+'Incremental Repayments'!$I$31),-PMT('Interest Rate'!$J$16,'Incremental Repayments'!$I$31,(HLOOKUP($D112,$E$4:$CZ$32,28,FALSE)*'Incremental Repayments'!$I$22)),0),0)</f>
        <v>0</v>
      </c>
      <c r="BU112" s="783">
        <f>IF('Incremental Repayments'!$R$22="Debt",IF(AND(BU$4&gt;=$D112,BU$4&lt;$D112+'Incremental Repayments'!$I$31),-PMT('Interest Rate'!$J$16,'Incremental Repayments'!$I$31,(HLOOKUP($D112,$E$4:$CZ$32,28,FALSE)*'Incremental Repayments'!$I$22)),0),0)</f>
        <v>0</v>
      </c>
      <c r="BV112" s="783">
        <f>IF('Incremental Repayments'!$R$22="Debt",IF(AND(BV$4&gt;=$D112,BV$4&lt;$D112+'Incremental Repayments'!$I$31),-PMT('Interest Rate'!$J$16,'Incremental Repayments'!$I$31,(HLOOKUP($D112,$E$4:$CZ$32,28,FALSE)*'Incremental Repayments'!$I$22)),0),0)</f>
        <v>0</v>
      </c>
      <c r="BW112" s="783">
        <f>IF('Incremental Repayments'!$R$22="Debt",IF(AND(BW$4&gt;=$D112,BW$4&lt;$D112+'Incremental Repayments'!$I$31),-PMT('Interest Rate'!$J$16,'Incremental Repayments'!$I$31,(HLOOKUP($D112,$E$4:$CZ$32,28,FALSE)*'Incremental Repayments'!$I$22)),0),0)</f>
        <v>0</v>
      </c>
      <c r="BX112" s="783">
        <f>IF('Incremental Repayments'!$R$22="Debt",IF(AND(BX$4&gt;=$D112,BX$4&lt;$D112+'Incremental Repayments'!$I$31),-PMT('Interest Rate'!$J$16,'Incremental Repayments'!$I$31,(HLOOKUP($D112,$E$4:$CZ$32,28,FALSE)*'Incremental Repayments'!$I$22)),0),0)</f>
        <v>0</v>
      </c>
      <c r="BY112" s="783">
        <f>IF('Incremental Repayments'!$R$22="Debt",IF(AND(BY$4&gt;=$D112,BY$4&lt;$D112+'Incremental Repayments'!$I$31),-PMT('Interest Rate'!$J$16,'Incremental Repayments'!$I$31,(HLOOKUP($D112,$E$4:$CZ$32,28,FALSE)*'Incremental Repayments'!$I$22)),0),0)</f>
        <v>0</v>
      </c>
      <c r="BZ112" s="783">
        <f>IF('Incremental Repayments'!$R$22="Debt",IF(AND(BZ$4&gt;=$D112,BZ$4&lt;$D112+'Incremental Repayments'!$I$31),-PMT('Interest Rate'!$J$16,'Incremental Repayments'!$I$31,(HLOOKUP($D112,$E$4:$CZ$32,28,FALSE)*'Incremental Repayments'!$I$22)),0),0)</f>
        <v>0</v>
      </c>
      <c r="CA112" s="783">
        <f>IF('Incremental Repayments'!$R$22="Debt",IF(AND(CA$4&gt;=$D112,CA$4&lt;$D112+'Incremental Repayments'!$I$31),-PMT('Interest Rate'!$J$16,'Incremental Repayments'!$I$31,(HLOOKUP($D112,$E$4:$CZ$32,28,FALSE)*'Incremental Repayments'!$I$22)),0),0)</f>
        <v>0</v>
      </c>
      <c r="CB112" s="783">
        <f>IF('Incremental Repayments'!$R$22="Debt",IF(AND(CB$4&gt;=$D112,CB$4&lt;$D112+'Incremental Repayments'!$I$31),-PMT('Interest Rate'!$J$16,'Incremental Repayments'!$I$31,(HLOOKUP($D112,$E$4:$CZ$32,28,FALSE)*'Incremental Repayments'!$I$22)),0),0)</f>
        <v>0</v>
      </c>
      <c r="CC112" s="783">
        <f>IF('Incremental Repayments'!$R$22="Debt",IF(AND(CC$4&gt;=$D112,CC$4&lt;$D112+'Incremental Repayments'!$I$31),-PMT('Interest Rate'!$J$16,'Incremental Repayments'!$I$31,(HLOOKUP($D112,$E$4:$CZ$32,28,FALSE)*'Incremental Repayments'!$I$22)),0),0)</f>
        <v>0</v>
      </c>
      <c r="CD112" s="783">
        <f>IF('Incremental Repayments'!$R$22="Debt",IF(AND(CD$4&gt;=$D112,CD$4&lt;$D112+'Incremental Repayments'!$I$31),-PMT('Interest Rate'!$J$16,'Incremental Repayments'!$I$31,(HLOOKUP($D112,$E$4:$CZ$32,28,FALSE)*'Incremental Repayments'!$I$22)),0),0)</f>
        <v>0</v>
      </c>
      <c r="CE112" s="783">
        <f>IF('Incremental Repayments'!$R$22="Debt",IF(AND(CE$4&gt;=$D112,CE$4&lt;$D112+'Incremental Repayments'!$I$31),-PMT('Interest Rate'!$J$16,'Incremental Repayments'!$I$31,(HLOOKUP($D112,$E$4:$CZ$32,28,FALSE)*'Incremental Repayments'!$I$22)),0),0)</f>
        <v>0</v>
      </c>
      <c r="CF112" s="783">
        <f>IF('Incremental Repayments'!$R$22="Debt",IF(AND(CF$4&gt;=$D112,CF$4&lt;$D112+'Incremental Repayments'!$I$31),-PMT('Interest Rate'!$J$16,'Incremental Repayments'!$I$31,(HLOOKUP($D112,$E$4:$CZ$32,28,FALSE)*'Incremental Repayments'!$I$22)),0),0)</f>
        <v>0</v>
      </c>
      <c r="CG112" s="783">
        <f>IF('Incremental Repayments'!$R$22="Debt",IF(AND(CG$4&gt;=$D112,CG$4&lt;$D112+'Incremental Repayments'!$I$31),-PMT('Interest Rate'!$J$16,'Incremental Repayments'!$I$31,(HLOOKUP($D112,$E$4:$CZ$32,28,FALSE)*'Incremental Repayments'!$I$22)),0),0)</f>
        <v>0</v>
      </c>
      <c r="CH112" s="783">
        <f>IF('Incremental Repayments'!$R$22="Debt",IF(AND(CH$4&gt;=$D112,CH$4&lt;$D112+'Incremental Repayments'!$I$31),-PMT('Interest Rate'!$J$16,'Incremental Repayments'!$I$31,(HLOOKUP($D112,$E$4:$CZ$32,28,FALSE)*'Incremental Repayments'!$I$22)),0),0)</f>
        <v>0</v>
      </c>
      <c r="CI112" s="783">
        <f>IF('Incremental Repayments'!$R$22="Debt",IF(AND(CI$4&gt;=$D112,CI$4&lt;$D112+'Incremental Repayments'!$I$31),-PMT('Interest Rate'!$J$16,'Incremental Repayments'!$I$31,(HLOOKUP($D112,$E$4:$CZ$32,28,FALSE)*'Incremental Repayments'!$I$22)),0),0)</f>
        <v>0</v>
      </c>
      <c r="CJ112" s="783">
        <f>IF('Incremental Repayments'!$R$22="Debt",IF(AND(CJ$4&gt;=$D112,CJ$4&lt;$D112+'Incremental Repayments'!$I$31),-PMT('Interest Rate'!$J$16,'Incremental Repayments'!$I$31,(HLOOKUP($D112,$E$4:$CZ$32,28,FALSE)*'Incremental Repayments'!$I$22)),0),0)</f>
        <v>0</v>
      </c>
      <c r="CK112" s="783">
        <f>IF('Incremental Repayments'!$R$22="Debt",IF(AND(CK$4&gt;=$D112,CK$4&lt;$D112+'Incremental Repayments'!$I$31),-PMT('Interest Rate'!$J$16,'Incremental Repayments'!$I$31,(HLOOKUP($D112,$E$4:$CZ$32,28,FALSE)*'Incremental Repayments'!$I$22)),0),0)</f>
        <v>0</v>
      </c>
      <c r="CL112" s="783">
        <f>IF('Incremental Repayments'!$R$22="Debt",IF(AND(CL$4&gt;=$D112,CL$4&lt;$D112+'Incremental Repayments'!$I$31),-PMT('Interest Rate'!$J$16,'Incremental Repayments'!$I$31,(HLOOKUP($D112,$E$4:$CZ$32,28,FALSE)*'Incremental Repayments'!$I$22)),0),0)</f>
        <v>0</v>
      </c>
      <c r="CM112" s="783">
        <f>IF('Incremental Repayments'!$R$22="Debt",IF(AND(CM$4&gt;=$D112,CM$4&lt;$D112+'Incremental Repayments'!$I$31),-PMT('Interest Rate'!$J$16,'Incremental Repayments'!$I$31,(HLOOKUP($D112,$E$4:$CZ$32,28,FALSE)*'Incremental Repayments'!$I$22)),0),0)</f>
        <v>0</v>
      </c>
      <c r="CN112" s="783">
        <f>IF('Incremental Repayments'!$R$22="Debt",IF(AND(CN$4&gt;=$D112,CN$4&lt;$D112+'Incremental Repayments'!$I$31),-PMT('Interest Rate'!$J$16,'Incremental Repayments'!$I$31,(HLOOKUP($D112,$E$4:$CZ$32,28,FALSE)*'Incremental Repayments'!$I$22)),0),0)</f>
        <v>0</v>
      </c>
      <c r="CO112" s="783">
        <f>IF('Incremental Repayments'!$R$22="Debt",IF(AND(CO$4&gt;=$D112,CO$4&lt;$D112+'Incremental Repayments'!$I$31),-PMT('Interest Rate'!$J$16,'Incremental Repayments'!$I$31,(HLOOKUP($D112,$E$4:$CZ$32,28,FALSE)*'Incremental Repayments'!$I$22)),0),0)</f>
        <v>0</v>
      </c>
      <c r="CP112" s="783">
        <f>IF('Incremental Repayments'!$R$22="Debt",IF(AND(CP$4&gt;=$D112,CP$4&lt;$D112+'Incremental Repayments'!$I$31),-PMT('Interest Rate'!$J$16,'Incremental Repayments'!$I$31,(HLOOKUP($D112,$E$4:$CZ$32,28,FALSE)*'Incremental Repayments'!$I$22)),0),0)</f>
        <v>0</v>
      </c>
      <c r="CQ112" s="783">
        <f>IF('Incremental Repayments'!$R$22="Debt",IF(AND(CQ$4&gt;=$D112,CQ$4&lt;$D112+'Incremental Repayments'!$I$31),-PMT('Interest Rate'!$J$16,'Incremental Repayments'!$I$31,(HLOOKUP($D112,$E$4:$CZ$32,28,FALSE)*'Incremental Repayments'!$I$22)),0),0)</f>
        <v>0</v>
      </c>
      <c r="CR112" s="783">
        <f>IF('Incremental Repayments'!$R$22="Debt",IF(AND(CR$4&gt;=$D112,CR$4&lt;$D112+'Incremental Repayments'!$I$31),-PMT('Interest Rate'!$J$16,'Incremental Repayments'!$I$31,(HLOOKUP($D112,$E$4:$CZ$32,28,FALSE)*'Incremental Repayments'!$I$22)),0),0)</f>
        <v>0</v>
      </c>
      <c r="CS112" s="783">
        <f>IF('Incremental Repayments'!$R$22="Debt",IF(AND(CS$4&gt;=$D112,CS$4&lt;$D112+'Incremental Repayments'!$I$31),-PMT('Interest Rate'!$J$16,'Incremental Repayments'!$I$31,(HLOOKUP($D112,$E$4:$CZ$32,28,FALSE)*'Incremental Repayments'!$I$22)),0),0)</f>
        <v>0</v>
      </c>
      <c r="CT112" s="783">
        <f>IF('Incremental Repayments'!$R$22="Debt",IF(AND(CT$4&gt;=$D112,CT$4&lt;$D112+'Incremental Repayments'!$I$31),-PMT('Interest Rate'!$J$16,'Incremental Repayments'!$I$31,(HLOOKUP($D112,$E$4:$CZ$32,28,FALSE)*'Incremental Repayments'!$I$22)),0),0)</f>
        <v>0</v>
      </c>
      <c r="CU112" s="783">
        <f>IF('Incremental Repayments'!$R$22="Debt",IF(AND(CU$4&gt;=$D112,CU$4&lt;$D112+'Incremental Repayments'!$I$31),-PMT('Interest Rate'!$J$16,'Incremental Repayments'!$I$31,(HLOOKUP($D112,$E$4:$CZ$32,28,FALSE)*'Incremental Repayments'!$I$22)),0),0)</f>
        <v>0</v>
      </c>
      <c r="CV112" s="783">
        <f>IF('Incremental Repayments'!$R$22="Debt",IF(AND(CV$4&gt;=$D112,CV$4&lt;$D112+'Incremental Repayments'!$I$31),-PMT('Interest Rate'!$J$16,'Incremental Repayments'!$I$31,(HLOOKUP($D112,$E$4:$CZ$32,28,FALSE)*'Incremental Repayments'!$I$22)),0),0)</f>
        <v>0</v>
      </c>
      <c r="CW112" s="783">
        <f>IF('Incremental Repayments'!$R$22="Debt",IF(AND(CW$4&gt;=$D112,CW$4&lt;$D112+'Incremental Repayments'!$I$31),-PMT('Interest Rate'!$J$16,'Incremental Repayments'!$I$31,(HLOOKUP($D112,$E$4:$CZ$32,28,FALSE)*'Incremental Repayments'!$I$22)),0),0)</f>
        <v>0</v>
      </c>
      <c r="CX112" s="783">
        <f>IF('Incremental Repayments'!$R$22="Debt",IF(AND(CX$4&gt;=$D112,CX$4&lt;$D112+'Incremental Repayments'!$I$31),-PMT('Interest Rate'!$J$16,'Incremental Repayments'!$I$31,(HLOOKUP($D112,$E$4:$CZ$32,28,FALSE)*'Incremental Repayments'!$I$22)),0),0)</f>
        <v>0</v>
      </c>
      <c r="CY112" s="783">
        <f>IF('Incremental Repayments'!$R$22="Debt",IF(AND(CY$4&gt;=$D112,CY$4&lt;$D112+'Incremental Repayments'!$I$31),-PMT('Interest Rate'!$J$16,'Incremental Repayments'!$I$31,(HLOOKUP($D112,$E$4:$CZ$32,28,FALSE)*'Incremental Repayments'!$I$22)),0),0)</f>
        <v>0</v>
      </c>
      <c r="CZ112" s="783">
        <f>IF('Incremental Repayments'!$R$22="Debt",IF(AND(CZ$4&gt;=$D112,CZ$4&lt;$D112+'Incremental Repayments'!$I$31),-PMT('Interest Rate'!$J$16,'Incremental Repayments'!$I$31,(HLOOKUP($D112,$E$4:$CZ$32,28,FALSE)*'Incremental Repayments'!$I$22)),0),0)</f>
        <v>0</v>
      </c>
    </row>
    <row r="113" spans="1:104" x14ac:dyDescent="0.25">
      <c r="B113" s="480" t="str">
        <f>CONCATENATE("Series ",D113,"A Bonds (at ",'Interest Rate'!$J$16*100,"% Interest)")</f>
        <v>Series 2091A Bonds (at 4.5% Interest)</v>
      </c>
      <c r="C113" s="480"/>
      <c r="D113" s="492">
        <f t="shared" si="47"/>
        <v>2091</v>
      </c>
      <c r="E113" s="783">
        <f>IF('Incremental Repayments'!$R$22="Debt",IF(AND(E$4&gt;=$D113,E$4&lt;$D113+'Incremental Repayments'!$I$31),-PMT('Interest Rate'!$J$16,'Incremental Repayments'!$I$31,(HLOOKUP($D113,$E$4:$CZ$32,28,FALSE)*'Incremental Repayments'!$I$22)),0),0)</f>
        <v>0</v>
      </c>
      <c r="F113" s="783">
        <f>IF('Incremental Repayments'!$R$22="Debt",IF(AND(F$4&gt;=$D113,F$4&lt;$D113+'Incremental Repayments'!$I$31),-PMT('Interest Rate'!$J$16,'Incremental Repayments'!$I$31,(HLOOKUP($D113,$E$4:$CZ$32,28,FALSE)*'Incremental Repayments'!$I$22)),0),0)</f>
        <v>0</v>
      </c>
      <c r="G113" s="783">
        <f>IF('Incremental Repayments'!$R$22="Debt",IF(AND(G$4&gt;=$D113,G$4&lt;$D113+'Incremental Repayments'!$I$31),-PMT('Interest Rate'!$J$16,'Incremental Repayments'!$I$31,(HLOOKUP($D113,$E$4:$CZ$32,28,FALSE)*'Incremental Repayments'!$I$22)),0),0)</f>
        <v>0</v>
      </c>
      <c r="H113" s="783">
        <f>IF('Incremental Repayments'!$R$22="Debt",IF(AND(H$4&gt;=$D113,H$4&lt;$D113+'Incremental Repayments'!$I$31),-PMT('Interest Rate'!$J$16,'Incremental Repayments'!$I$31,(HLOOKUP($D113,$E$4:$CZ$32,28,FALSE)*'Incremental Repayments'!$I$22)),0),0)</f>
        <v>0</v>
      </c>
      <c r="I113" s="783">
        <f>IF('Incremental Repayments'!$R$22="Debt",IF(AND(I$4&gt;=$D113,I$4&lt;$D113+'Incremental Repayments'!$I$31),-PMT('Interest Rate'!$J$16,'Incremental Repayments'!$I$31,(HLOOKUP($D113,$E$4:$CZ$32,28,FALSE)*'Incremental Repayments'!$I$22)),0),0)</f>
        <v>0</v>
      </c>
      <c r="J113" s="783">
        <f>IF('Incremental Repayments'!$R$22="Debt",IF(AND(J$4&gt;=$D113,J$4&lt;$D113+'Incremental Repayments'!$I$31),-PMT('Interest Rate'!$J$16,'Incremental Repayments'!$I$31,(HLOOKUP($D113,$E$4:$CZ$32,28,FALSE)*'Incremental Repayments'!$I$22)),0),0)</f>
        <v>0</v>
      </c>
      <c r="K113" s="783">
        <f>IF('Incremental Repayments'!$R$22="Debt",IF(AND(K$4&gt;=$D113,K$4&lt;$D113+'Incremental Repayments'!$I$31),-PMT('Interest Rate'!$J$16,'Incremental Repayments'!$I$31,(HLOOKUP($D113,$E$4:$CZ$32,28,FALSE)*'Incremental Repayments'!$I$22)),0),0)</f>
        <v>0</v>
      </c>
      <c r="L113" s="783">
        <f>IF('Incremental Repayments'!$R$22="Debt",IF(AND(L$4&gt;=$D113,L$4&lt;$D113+'Incremental Repayments'!$I$31),-PMT('Interest Rate'!$J$16,'Incremental Repayments'!$I$31,(HLOOKUP($D113,$E$4:$CZ$32,28,FALSE)*'Incremental Repayments'!$I$22)),0),0)</f>
        <v>0</v>
      </c>
      <c r="M113" s="783">
        <f>IF('Incremental Repayments'!$R$22="Debt",IF(AND(M$4&gt;=$D113,M$4&lt;$D113+'Incremental Repayments'!$I$31),-PMT('Interest Rate'!$J$16,'Incremental Repayments'!$I$31,(HLOOKUP($D113,$E$4:$CZ$32,28,FALSE)*'Incremental Repayments'!$I$22)),0),0)</f>
        <v>0</v>
      </c>
      <c r="N113" s="783">
        <f>IF('Incremental Repayments'!$R$22="Debt",IF(AND(N$4&gt;=$D113,N$4&lt;$D113+'Incremental Repayments'!$I$31),-PMT('Interest Rate'!$J$16,'Incremental Repayments'!$I$31,(HLOOKUP($D113,$E$4:$CZ$32,28,FALSE)*'Incremental Repayments'!$I$22)),0),0)</f>
        <v>0</v>
      </c>
      <c r="O113" s="783">
        <f>IF('Incremental Repayments'!$R$22="Debt",IF(AND(O$4&gt;=$D113,O$4&lt;$D113+'Incremental Repayments'!$I$31),-PMT('Interest Rate'!$J$16,'Incremental Repayments'!$I$31,(HLOOKUP($D113,$E$4:$CZ$32,28,FALSE)*'Incremental Repayments'!$I$22)),0),0)</f>
        <v>0</v>
      </c>
      <c r="P113" s="783">
        <f>IF('Incremental Repayments'!$R$22="Debt",IF(AND(P$4&gt;=$D113,P$4&lt;$D113+'Incremental Repayments'!$I$31),-PMT('Interest Rate'!$J$16,'Incremental Repayments'!$I$31,(HLOOKUP($D113,$E$4:$CZ$32,28,FALSE)*'Incremental Repayments'!$I$22)),0),0)</f>
        <v>0</v>
      </c>
      <c r="Q113" s="783">
        <f>IF('Incremental Repayments'!$R$22="Debt",IF(AND(Q$4&gt;=$D113,Q$4&lt;$D113+'Incremental Repayments'!$I$31),-PMT('Interest Rate'!$J$16,'Incremental Repayments'!$I$31,(HLOOKUP($D113,$E$4:$CZ$32,28,FALSE)*'Incremental Repayments'!$I$22)),0),0)</f>
        <v>0</v>
      </c>
      <c r="R113" s="783">
        <f>IF('Incremental Repayments'!$R$22="Debt",IF(AND(R$4&gt;=$D113,R$4&lt;$D113+'Incremental Repayments'!$I$31),-PMT('Interest Rate'!$J$16,'Incremental Repayments'!$I$31,(HLOOKUP($D113,$E$4:$CZ$32,28,FALSE)*'Incremental Repayments'!$I$22)),0),0)</f>
        <v>0</v>
      </c>
      <c r="S113" s="783">
        <f>IF('Incremental Repayments'!$R$22="Debt",IF(AND(S$4&gt;=$D113,S$4&lt;$D113+'Incremental Repayments'!$I$31),-PMT('Interest Rate'!$J$16,'Incremental Repayments'!$I$31,(HLOOKUP($D113,$E$4:$CZ$32,28,FALSE)*'Incremental Repayments'!$I$22)),0),0)</f>
        <v>0</v>
      </c>
      <c r="T113" s="783">
        <f>IF('Incremental Repayments'!$R$22="Debt",IF(AND(T$4&gt;=$D113,T$4&lt;$D113+'Incremental Repayments'!$I$31),-PMT('Interest Rate'!$J$16,'Incremental Repayments'!$I$31,(HLOOKUP($D113,$E$4:$CZ$32,28,FALSE)*'Incremental Repayments'!$I$22)),0),0)</f>
        <v>0</v>
      </c>
      <c r="U113" s="783">
        <f>IF('Incremental Repayments'!$R$22="Debt",IF(AND(U$4&gt;=$D113,U$4&lt;$D113+'Incremental Repayments'!$I$31),-PMT('Interest Rate'!$J$16,'Incremental Repayments'!$I$31,(HLOOKUP($D113,$E$4:$CZ$32,28,FALSE)*'Incremental Repayments'!$I$22)),0),0)</f>
        <v>0</v>
      </c>
      <c r="V113" s="783">
        <f>IF('Incremental Repayments'!$R$22="Debt",IF(AND(V$4&gt;=$D113,V$4&lt;$D113+'Incremental Repayments'!$I$31),-PMT('Interest Rate'!$J$16,'Incremental Repayments'!$I$31,(HLOOKUP($D113,$E$4:$CZ$32,28,FALSE)*'Incremental Repayments'!$I$22)),0),0)</f>
        <v>0</v>
      </c>
      <c r="W113" s="783">
        <f>IF('Incremental Repayments'!$R$22="Debt",IF(AND(W$4&gt;=$D113,W$4&lt;$D113+'Incremental Repayments'!$I$31),-PMT('Interest Rate'!$J$16,'Incremental Repayments'!$I$31,(HLOOKUP($D113,$E$4:$CZ$32,28,FALSE)*'Incremental Repayments'!$I$22)),0),0)</f>
        <v>0</v>
      </c>
      <c r="X113" s="783">
        <f>IF('Incremental Repayments'!$R$22="Debt",IF(AND(X$4&gt;=$D113,X$4&lt;$D113+'Incremental Repayments'!$I$31),-PMT('Interest Rate'!$J$16,'Incremental Repayments'!$I$31,(HLOOKUP($D113,$E$4:$CZ$32,28,FALSE)*'Incremental Repayments'!$I$22)),0),0)</f>
        <v>0</v>
      </c>
      <c r="Y113" s="783">
        <f>IF('Incremental Repayments'!$R$22="Debt",IF(AND(Y$4&gt;=$D113,Y$4&lt;$D113+'Incremental Repayments'!$I$31),-PMT('Interest Rate'!$J$16,'Incremental Repayments'!$I$31,(HLOOKUP($D113,$E$4:$CZ$32,28,FALSE)*'Incremental Repayments'!$I$22)),0),0)</f>
        <v>0</v>
      </c>
      <c r="Z113" s="783">
        <f>IF('Incremental Repayments'!$R$22="Debt",IF(AND(Z$4&gt;=$D113,Z$4&lt;$D113+'Incremental Repayments'!$I$31),-PMT('Interest Rate'!$J$16,'Incremental Repayments'!$I$31,(HLOOKUP($D113,$E$4:$CZ$32,28,FALSE)*'Incremental Repayments'!$I$22)),0),0)</f>
        <v>0</v>
      </c>
      <c r="AA113" s="783">
        <f>IF('Incremental Repayments'!$R$22="Debt",IF(AND(AA$4&gt;=$D113,AA$4&lt;$D113+'Incremental Repayments'!$I$31),-PMT('Interest Rate'!$J$16,'Incremental Repayments'!$I$31,(HLOOKUP($D113,$E$4:$CZ$32,28,FALSE)*'Incremental Repayments'!$I$22)),0),0)</f>
        <v>0</v>
      </c>
      <c r="AB113" s="783">
        <f>IF('Incremental Repayments'!$R$22="Debt",IF(AND(AB$4&gt;=$D113,AB$4&lt;$D113+'Incremental Repayments'!$I$31),-PMT('Interest Rate'!$J$16,'Incremental Repayments'!$I$31,(HLOOKUP($D113,$E$4:$CZ$32,28,FALSE)*'Incremental Repayments'!$I$22)),0),0)</f>
        <v>0</v>
      </c>
      <c r="AC113" s="783">
        <f>IF('Incremental Repayments'!$R$22="Debt",IF(AND(AC$4&gt;=$D113,AC$4&lt;$D113+'Incremental Repayments'!$I$31),-PMT('Interest Rate'!$J$16,'Incremental Repayments'!$I$31,(HLOOKUP($D113,$E$4:$CZ$32,28,FALSE)*'Incremental Repayments'!$I$22)),0),0)</f>
        <v>0</v>
      </c>
      <c r="AD113" s="783">
        <f>IF('Incremental Repayments'!$R$22="Debt",IF(AND(AD$4&gt;=$D113,AD$4&lt;$D113+'Incremental Repayments'!$I$31),-PMT('Interest Rate'!$J$16,'Incremental Repayments'!$I$31,(HLOOKUP($D113,$E$4:$CZ$32,28,FALSE)*'Incremental Repayments'!$I$22)),0),0)</f>
        <v>0</v>
      </c>
      <c r="AE113" s="783">
        <f>IF('Incremental Repayments'!$R$22="Debt",IF(AND(AE$4&gt;=$D113,AE$4&lt;$D113+'Incremental Repayments'!$I$31),-PMT('Interest Rate'!$J$16,'Incremental Repayments'!$I$31,(HLOOKUP($D113,$E$4:$CZ$32,28,FALSE)*'Incremental Repayments'!$I$22)),0),0)</f>
        <v>0</v>
      </c>
      <c r="AF113" s="783">
        <f>IF('Incremental Repayments'!$R$22="Debt",IF(AND(AF$4&gt;=$D113,AF$4&lt;$D113+'Incremental Repayments'!$I$31),-PMT('Interest Rate'!$J$16,'Incremental Repayments'!$I$31,(HLOOKUP($D113,$E$4:$CZ$32,28,FALSE)*'Incremental Repayments'!$I$22)),0),0)</f>
        <v>0</v>
      </c>
      <c r="AG113" s="783">
        <f>IF('Incremental Repayments'!$R$22="Debt",IF(AND(AG$4&gt;=$D113,AG$4&lt;$D113+'Incremental Repayments'!$I$31),-PMT('Interest Rate'!$J$16,'Incremental Repayments'!$I$31,(HLOOKUP($D113,$E$4:$CZ$32,28,FALSE)*'Incremental Repayments'!$I$22)),0),0)</f>
        <v>0</v>
      </c>
      <c r="AH113" s="783">
        <f>IF('Incremental Repayments'!$R$22="Debt",IF(AND(AH$4&gt;=$D113,AH$4&lt;$D113+'Incremental Repayments'!$I$31),-PMT('Interest Rate'!$J$16,'Incremental Repayments'!$I$31,(HLOOKUP($D113,$E$4:$CZ$32,28,FALSE)*'Incremental Repayments'!$I$22)),0),0)</f>
        <v>0</v>
      </c>
      <c r="AI113" s="783">
        <f>IF('Incremental Repayments'!$R$22="Debt",IF(AND(AI$4&gt;=$D113,AI$4&lt;$D113+'Incremental Repayments'!$I$31),-PMT('Interest Rate'!$J$16,'Incremental Repayments'!$I$31,(HLOOKUP($D113,$E$4:$CZ$32,28,FALSE)*'Incremental Repayments'!$I$22)),0),0)</f>
        <v>0</v>
      </c>
      <c r="AJ113" s="783">
        <f>IF('Incremental Repayments'!$R$22="Debt",IF(AND(AJ$4&gt;=$D113,AJ$4&lt;$D113+'Incremental Repayments'!$I$31),-PMT('Interest Rate'!$J$16,'Incremental Repayments'!$I$31,(HLOOKUP($D113,$E$4:$CZ$32,28,FALSE)*'Incremental Repayments'!$I$22)),0),0)</f>
        <v>0</v>
      </c>
      <c r="AK113" s="783">
        <f>IF('Incremental Repayments'!$R$22="Debt",IF(AND(AK$4&gt;=$D113,AK$4&lt;$D113+'Incremental Repayments'!$I$31),-PMT('Interest Rate'!$J$16,'Incremental Repayments'!$I$31,(HLOOKUP($D113,$E$4:$CZ$32,28,FALSE)*'Incremental Repayments'!$I$22)),0),0)</f>
        <v>0</v>
      </c>
      <c r="AL113" s="783">
        <f>IF('Incremental Repayments'!$R$22="Debt",IF(AND(AL$4&gt;=$D113,AL$4&lt;$D113+'Incremental Repayments'!$I$31),-PMT('Interest Rate'!$J$16,'Incremental Repayments'!$I$31,(HLOOKUP($D113,$E$4:$CZ$32,28,FALSE)*'Incremental Repayments'!$I$22)),0),0)</f>
        <v>0</v>
      </c>
      <c r="AM113" s="783">
        <f>IF('Incremental Repayments'!$R$22="Debt",IF(AND(AM$4&gt;=$D113,AM$4&lt;$D113+'Incremental Repayments'!$I$31),-PMT('Interest Rate'!$J$16,'Incremental Repayments'!$I$31,(HLOOKUP($D113,$E$4:$CZ$32,28,FALSE)*'Incremental Repayments'!$I$22)),0),0)</f>
        <v>0</v>
      </c>
      <c r="AN113" s="783">
        <f>IF('Incremental Repayments'!$R$22="Debt",IF(AND(AN$4&gt;=$D113,AN$4&lt;$D113+'Incremental Repayments'!$I$31),-PMT('Interest Rate'!$J$16,'Incremental Repayments'!$I$31,(HLOOKUP($D113,$E$4:$CZ$32,28,FALSE)*'Incremental Repayments'!$I$22)),0),0)</f>
        <v>0</v>
      </c>
      <c r="AO113" s="783">
        <f>IF('Incremental Repayments'!$R$22="Debt",IF(AND(AO$4&gt;=$D113,AO$4&lt;$D113+'Incremental Repayments'!$I$31),-PMT('Interest Rate'!$J$16,'Incremental Repayments'!$I$31,(HLOOKUP($D113,$E$4:$CZ$32,28,FALSE)*'Incremental Repayments'!$I$22)),0),0)</f>
        <v>0</v>
      </c>
      <c r="AP113" s="783">
        <f>IF('Incremental Repayments'!$R$22="Debt",IF(AND(AP$4&gt;=$D113,AP$4&lt;$D113+'Incremental Repayments'!$I$31),-PMT('Interest Rate'!$J$16,'Incremental Repayments'!$I$31,(HLOOKUP($D113,$E$4:$CZ$32,28,FALSE)*'Incremental Repayments'!$I$22)),0),0)</f>
        <v>0</v>
      </c>
      <c r="AQ113" s="783">
        <f>IF('Incremental Repayments'!$R$22="Debt",IF(AND(AQ$4&gt;=$D113,AQ$4&lt;$D113+'Incremental Repayments'!$I$31),-PMT('Interest Rate'!$J$16,'Incremental Repayments'!$I$31,(HLOOKUP($D113,$E$4:$CZ$32,28,FALSE)*'Incremental Repayments'!$I$22)),0),0)</f>
        <v>0</v>
      </c>
      <c r="AR113" s="783">
        <f>IF('Incremental Repayments'!$R$22="Debt",IF(AND(AR$4&gt;=$D113,AR$4&lt;$D113+'Incremental Repayments'!$I$31),-PMT('Interest Rate'!$J$16,'Incremental Repayments'!$I$31,(HLOOKUP($D113,$E$4:$CZ$32,28,FALSE)*'Incremental Repayments'!$I$22)),0),0)</f>
        <v>0</v>
      </c>
      <c r="AS113" s="783">
        <f>IF('Incremental Repayments'!$R$22="Debt",IF(AND(AS$4&gt;=$D113,AS$4&lt;$D113+'Incremental Repayments'!$I$31),-PMT('Interest Rate'!$J$16,'Incremental Repayments'!$I$31,(HLOOKUP($D113,$E$4:$CZ$32,28,FALSE)*'Incremental Repayments'!$I$22)),0),0)</f>
        <v>0</v>
      </c>
      <c r="AT113" s="783">
        <f>IF('Incremental Repayments'!$R$22="Debt",IF(AND(AT$4&gt;=$D113,AT$4&lt;$D113+'Incremental Repayments'!$I$31),-PMT('Interest Rate'!$J$16,'Incremental Repayments'!$I$31,(HLOOKUP($D113,$E$4:$CZ$32,28,FALSE)*'Incremental Repayments'!$I$22)),0),0)</f>
        <v>0</v>
      </c>
      <c r="AU113" s="783">
        <f>IF('Incremental Repayments'!$R$22="Debt",IF(AND(AU$4&gt;=$D113,AU$4&lt;$D113+'Incremental Repayments'!$I$31),-PMT('Interest Rate'!$J$16,'Incremental Repayments'!$I$31,(HLOOKUP($D113,$E$4:$CZ$32,28,FALSE)*'Incremental Repayments'!$I$22)),0),0)</f>
        <v>0</v>
      </c>
      <c r="AV113" s="783">
        <f>IF('Incremental Repayments'!$R$22="Debt",IF(AND(AV$4&gt;=$D113,AV$4&lt;$D113+'Incremental Repayments'!$I$31),-PMT('Interest Rate'!$J$16,'Incremental Repayments'!$I$31,(HLOOKUP($D113,$E$4:$CZ$32,28,FALSE)*'Incremental Repayments'!$I$22)),0),0)</f>
        <v>0</v>
      </c>
      <c r="AW113" s="783">
        <f>IF('Incremental Repayments'!$R$22="Debt",IF(AND(AW$4&gt;=$D113,AW$4&lt;$D113+'Incremental Repayments'!$I$31),-PMT('Interest Rate'!$J$16,'Incremental Repayments'!$I$31,(HLOOKUP($D113,$E$4:$CZ$32,28,FALSE)*'Incremental Repayments'!$I$22)),0),0)</f>
        <v>0</v>
      </c>
      <c r="AX113" s="783">
        <f>IF('Incremental Repayments'!$R$22="Debt",IF(AND(AX$4&gt;=$D113,AX$4&lt;$D113+'Incremental Repayments'!$I$31),-PMT('Interest Rate'!$J$16,'Incremental Repayments'!$I$31,(HLOOKUP($D113,$E$4:$CZ$32,28,FALSE)*'Incremental Repayments'!$I$22)),0),0)</f>
        <v>0</v>
      </c>
      <c r="AY113" s="783">
        <f>IF('Incremental Repayments'!$R$22="Debt",IF(AND(AY$4&gt;=$D113,AY$4&lt;$D113+'Incremental Repayments'!$I$31),-PMT('Interest Rate'!$J$16,'Incremental Repayments'!$I$31,(HLOOKUP($D113,$E$4:$CZ$32,28,FALSE)*'Incremental Repayments'!$I$22)),0),0)</f>
        <v>0</v>
      </c>
      <c r="AZ113" s="783">
        <f>IF('Incremental Repayments'!$R$22="Debt",IF(AND(AZ$4&gt;=$D113,AZ$4&lt;$D113+'Incremental Repayments'!$I$31),-PMT('Interest Rate'!$J$16,'Incremental Repayments'!$I$31,(HLOOKUP($D113,$E$4:$CZ$32,28,FALSE)*'Incremental Repayments'!$I$22)),0),0)</f>
        <v>0</v>
      </c>
      <c r="BA113" s="783">
        <f>IF('Incremental Repayments'!$R$22="Debt",IF(AND(BA$4&gt;=$D113,BA$4&lt;$D113+'Incremental Repayments'!$I$31),-PMT('Interest Rate'!$J$16,'Incremental Repayments'!$I$31,(HLOOKUP($D113,$E$4:$CZ$32,28,FALSE)*'Incremental Repayments'!$I$22)),0),0)</f>
        <v>0</v>
      </c>
      <c r="BB113" s="783">
        <f>IF('Incremental Repayments'!$R$22="Debt",IF(AND(BB$4&gt;=$D113,BB$4&lt;$D113+'Incremental Repayments'!$I$31),-PMT('Interest Rate'!$J$16,'Incremental Repayments'!$I$31,(HLOOKUP($D113,$E$4:$CZ$32,28,FALSE)*'Incremental Repayments'!$I$22)),0),0)</f>
        <v>0</v>
      </c>
      <c r="BC113" s="783">
        <f>IF('Incremental Repayments'!$R$22="Debt",IF(AND(BC$4&gt;=$D113,BC$4&lt;$D113+'Incremental Repayments'!$I$31),-PMT('Interest Rate'!$J$16,'Incremental Repayments'!$I$31,(HLOOKUP($D113,$E$4:$CZ$32,28,FALSE)*'Incremental Repayments'!$I$22)),0),0)</f>
        <v>0</v>
      </c>
      <c r="BD113" s="783">
        <f>IF('Incremental Repayments'!$R$22="Debt",IF(AND(BD$4&gt;=$D113,BD$4&lt;$D113+'Incremental Repayments'!$I$31),-PMT('Interest Rate'!$J$16,'Incremental Repayments'!$I$31,(HLOOKUP($D113,$E$4:$CZ$32,28,FALSE)*'Incremental Repayments'!$I$22)),0),0)</f>
        <v>0</v>
      </c>
      <c r="BE113" s="783">
        <f>IF('Incremental Repayments'!$R$22="Debt",IF(AND(BE$4&gt;=$D113,BE$4&lt;$D113+'Incremental Repayments'!$I$31),-PMT('Interest Rate'!$J$16,'Incremental Repayments'!$I$31,(HLOOKUP($D113,$E$4:$CZ$32,28,FALSE)*'Incremental Repayments'!$I$22)),0),0)</f>
        <v>0</v>
      </c>
      <c r="BF113" s="783">
        <f>IF('Incremental Repayments'!$R$22="Debt",IF(AND(BF$4&gt;=$D113,BF$4&lt;$D113+'Incremental Repayments'!$I$31),-PMT('Interest Rate'!$J$16,'Incremental Repayments'!$I$31,(HLOOKUP($D113,$E$4:$CZ$32,28,FALSE)*'Incremental Repayments'!$I$22)),0),0)</f>
        <v>0</v>
      </c>
      <c r="BG113" s="783">
        <f>IF('Incremental Repayments'!$R$22="Debt",IF(AND(BG$4&gt;=$D113,BG$4&lt;$D113+'Incremental Repayments'!$I$31),-PMT('Interest Rate'!$J$16,'Incremental Repayments'!$I$31,(HLOOKUP($D113,$E$4:$CZ$32,28,FALSE)*'Incremental Repayments'!$I$22)),0),0)</f>
        <v>0</v>
      </c>
      <c r="BH113" s="783">
        <f>IF('Incremental Repayments'!$R$22="Debt",IF(AND(BH$4&gt;=$D113,BH$4&lt;$D113+'Incremental Repayments'!$I$31),-PMT('Interest Rate'!$J$16,'Incremental Repayments'!$I$31,(HLOOKUP($D113,$E$4:$CZ$32,28,FALSE)*'Incremental Repayments'!$I$22)),0),0)</f>
        <v>0</v>
      </c>
      <c r="BI113" s="783">
        <f>IF('Incremental Repayments'!$R$22="Debt",IF(AND(BI$4&gt;=$D113,BI$4&lt;$D113+'Incremental Repayments'!$I$31),-PMT('Interest Rate'!$J$16,'Incremental Repayments'!$I$31,(HLOOKUP($D113,$E$4:$CZ$32,28,FALSE)*'Incremental Repayments'!$I$22)),0),0)</f>
        <v>0</v>
      </c>
      <c r="BJ113" s="783">
        <f>IF('Incremental Repayments'!$R$22="Debt",IF(AND(BJ$4&gt;=$D113,BJ$4&lt;$D113+'Incremental Repayments'!$I$31),-PMT('Interest Rate'!$J$16,'Incremental Repayments'!$I$31,(HLOOKUP($D113,$E$4:$CZ$32,28,FALSE)*'Incremental Repayments'!$I$22)),0),0)</f>
        <v>0</v>
      </c>
      <c r="BK113" s="783">
        <f>IF('Incremental Repayments'!$R$22="Debt",IF(AND(BK$4&gt;=$D113,BK$4&lt;$D113+'Incremental Repayments'!$I$31),-PMT('Interest Rate'!$J$16,'Incremental Repayments'!$I$31,(HLOOKUP($D113,$E$4:$CZ$32,28,FALSE)*'Incremental Repayments'!$I$22)),0),0)</f>
        <v>0</v>
      </c>
      <c r="BL113" s="783">
        <f>IF('Incremental Repayments'!$R$22="Debt",IF(AND(BL$4&gt;=$D113,BL$4&lt;$D113+'Incremental Repayments'!$I$31),-PMT('Interest Rate'!$J$16,'Incremental Repayments'!$I$31,(HLOOKUP($D113,$E$4:$CZ$32,28,FALSE)*'Incremental Repayments'!$I$22)),0),0)</f>
        <v>0</v>
      </c>
      <c r="BM113" s="783">
        <f>IF('Incremental Repayments'!$R$22="Debt",IF(AND(BM$4&gt;=$D113,BM$4&lt;$D113+'Incremental Repayments'!$I$31),-PMT('Interest Rate'!$J$16,'Incremental Repayments'!$I$31,(HLOOKUP($D113,$E$4:$CZ$32,28,FALSE)*'Incremental Repayments'!$I$22)),0),0)</f>
        <v>0</v>
      </c>
      <c r="BN113" s="783">
        <f>IF('Incremental Repayments'!$R$22="Debt",IF(AND(BN$4&gt;=$D113,BN$4&lt;$D113+'Incremental Repayments'!$I$31),-PMT('Interest Rate'!$J$16,'Incremental Repayments'!$I$31,(HLOOKUP($D113,$E$4:$CZ$32,28,FALSE)*'Incremental Repayments'!$I$22)),0),0)</f>
        <v>0</v>
      </c>
      <c r="BO113" s="783">
        <f>IF('Incremental Repayments'!$R$22="Debt",IF(AND(BO$4&gt;=$D113,BO$4&lt;$D113+'Incremental Repayments'!$I$31),-PMT('Interest Rate'!$J$16,'Incremental Repayments'!$I$31,(HLOOKUP($D113,$E$4:$CZ$32,28,FALSE)*'Incremental Repayments'!$I$22)),0),0)</f>
        <v>0</v>
      </c>
      <c r="BP113" s="783">
        <f>IF('Incremental Repayments'!$R$22="Debt",IF(AND(BP$4&gt;=$D113,BP$4&lt;$D113+'Incremental Repayments'!$I$31),-PMT('Interest Rate'!$J$16,'Incremental Repayments'!$I$31,(HLOOKUP($D113,$E$4:$CZ$32,28,FALSE)*'Incremental Repayments'!$I$22)),0),0)</f>
        <v>0</v>
      </c>
      <c r="BQ113" s="783">
        <f>IF('Incremental Repayments'!$R$22="Debt",IF(AND(BQ$4&gt;=$D113,BQ$4&lt;$D113+'Incremental Repayments'!$I$31),-PMT('Interest Rate'!$J$16,'Incremental Repayments'!$I$31,(HLOOKUP($D113,$E$4:$CZ$32,28,FALSE)*'Incremental Repayments'!$I$22)),0),0)</f>
        <v>0</v>
      </c>
      <c r="BR113" s="783">
        <f>IF('Incremental Repayments'!$R$22="Debt",IF(AND(BR$4&gt;=$D113,BR$4&lt;$D113+'Incremental Repayments'!$I$31),-PMT('Interest Rate'!$J$16,'Incremental Repayments'!$I$31,(HLOOKUP($D113,$E$4:$CZ$32,28,FALSE)*'Incremental Repayments'!$I$22)),0),0)</f>
        <v>0</v>
      </c>
      <c r="BS113" s="783">
        <f>IF('Incremental Repayments'!$R$22="Debt",IF(AND(BS$4&gt;=$D113,BS$4&lt;$D113+'Incremental Repayments'!$I$31),-PMT('Interest Rate'!$J$16,'Incremental Repayments'!$I$31,(HLOOKUP($D113,$E$4:$CZ$32,28,FALSE)*'Incremental Repayments'!$I$22)),0),0)</f>
        <v>0</v>
      </c>
      <c r="BT113" s="783">
        <f>IF('Incremental Repayments'!$R$22="Debt",IF(AND(BT$4&gt;=$D113,BT$4&lt;$D113+'Incremental Repayments'!$I$31),-PMT('Interest Rate'!$J$16,'Incremental Repayments'!$I$31,(HLOOKUP($D113,$E$4:$CZ$32,28,FALSE)*'Incremental Repayments'!$I$22)),0),0)</f>
        <v>0</v>
      </c>
      <c r="BU113" s="783">
        <f>IF('Incremental Repayments'!$R$22="Debt",IF(AND(BU$4&gt;=$D113,BU$4&lt;$D113+'Incremental Repayments'!$I$31),-PMT('Interest Rate'!$J$16,'Incremental Repayments'!$I$31,(HLOOKUP($D113,$E$4:$CZ$32,28,FALSE)*'Incremental Repayments'!$I$22)),0),0)</f>
        <v>0</v>
      </c>
      <c r="BV113" s="783">
        <f>IF('Incremental Repayments'!$R$22="Debt",IF(AND(BV$4&gt;=$D113,BV$4&lt;$D113+'Incremental Repayments'!$I$31),-PMT('Interest Rate'!$J$16,'Incremental Repayments'!$I$31,(HLOOKUP($D113,$E$4:$CZ$32,28,FALSE)*'Incremental Repayments'!$I$22)),0),0)</f>
        <v>0</v>
      </c>
      <c r="BW113" s="783">
        <f>IF('Incremental Repayments'!$R$22="Debt",IF(AND(BW$4&gt;=$D113,BW$4&lt;$D113+'Incremental Repayments'!$I$31),-PMT('Interest Rate'!$J$16,'Incremental Repayments'!$I$31,(HLOOKUP($D113,$E$4:$CZ$32,28,FALSE)*'Incremental Repayments'!$I$22)),0),0)</f>
        <v>0</v>
      </c>
      <c r="BX113" s="783">
        <f>IF('Incremental Repayments'!$R$22="Debt",IF(AND(BX$4&gt;=$D113,BX$4&lt;$D113+'Incremental Repayments'!$I$31),-PMT('Interest Rate'!$J$16,'Incremental Repayments'!$I$31,(HLOOKUP($D113,$E$4:$CZ$32,28,FALSE)*'Incremental Repayments'!$I$22)),0),0)</f>
        <v>0</v>
      </c>
      <c r="BY113" s="783">
        <f>IF('Incremental Repayments'!$R$22="Debt",IF(AND(BY$4&gt;=$D113,BY$4&lt;$D113+'Incremental Repayments'!$I$31),-PMT('Interest Rate'!$J$16,'Incremental Repayments'!$I$31,(HLOOKUP($D113,$E$4:$CZ$32,28,FALSE)*'Incremental Repayments'!$I$22)),0),0)</f>
        <v>0</v>
      </c>
      <c r="BZ113" s="783">
        <f>IF('Incremental Repayments'!$R$22="Debt",IF(AND(BZ$4&gt;=$D113,BZ$4&lt;$D113+'Incremental Repayments'!$I$31),-PMT('Interest Rate'!$J$16,'Incremental Repayments'!$I$31,(HLOOKUP($D113,$E$4:$CZ$32,28,FALSE)*'Incremental Repayments'!$I$22)),0),0)</f>
        <v>0</v>
      </c>
      <c r="CA113" s="783">
        <f>IF('Incremental Repayments'!$R$22="Debt",IF(AND(CA$4&gt;=$D113,CA$4&lt;$D113+'Incremental Repayments'!$I$31),-PMT('Interest Rate'!$J$16,'Incremental Repayments'!$I$31,(HLOOKUP($D113,$E$4:$CZ$32,28,FALSE)*'Incremental Repayments'!$I$22)),0),0)</f>
        <v>0</v>
      </c>
      <c r="CB113" s="783">
        <f>IF('Incremental Repayments'!$R$22="Debt",IF(AND(CB$4&gt;=$D113,CB$4&lt;$D113+'Incremental Repayments'!$I$31),-PMT('Interest Rate'!$J$16,'Incremental Repayments'!$I$31,(HLOOKUP($D113,$E$4:$CZ$32,28,FALSE)*'Incremental Repayments'!$I$22)),0),0)</f>
        <v>0</v>
      </c>
      <c r="CC113" s="783">
        <f>IF('Incremental Repayments'!$R$22="Debt",IF(AND(CC$4&gt;=$D113,CC$4&lt;$D113+'Incremental Repayments'!$I$31),-PMT('Interest Rate'!$J$16,'Incremental Repayments'!$I$31,(HLOOKUP($D113,$E$4:$CZ$32,28,FALSE)*'Incremental Repayments'!$I$22)),0),0)</f>
        <v>0</v>
      </c>
      <c r="CD113" s="783">
        <f>IF('Incremental Repayments'!$R$22="Debt",IF(AND(CD$4&gt;=$D113,CD$4&lt;$D113+'Incremental Repayments'!$I$31),-PMT('Interest Rate'!$J$16,'Incremental Repayments'!$I$31,(HLOOKUP($D113,$E$4:$CZ$32,28,FALSE)*'Incremental Repayments'!$I$22)),0),0)</f>
        <v>0</v>
      </c>
      <c r="CE113" s="783">
        <f>IF('Incremental Repayments'!$R$22="Debt",IF(AND(CE$4&gt;=$D113,CE$4&lt;$D113+'Incremental Repayments'!$I$31),-PMT('Interest Rate'!$J$16,'Incremental Repayments'!$I$31,(HLOOKUP($D113,$E$4:$CZ$32,28,FALSE)*'Incremental Repayments'!$I$22)),0),0)</f>
        <v>0</v>
      </c>
      <c r="CF113" s="783">
        <f>IF('Incremental Repayments'!$R$22="Debt",IF(AND(CF$4&gt;=$D113,CF$4&lt;$D113+'Incremental Repayments'!$I$31),-PMT('Interest Rate'!$J$16,'Incremental Repayments'!$I$31,(HLOOKUP($D113,$E$4:$CZ$32,28,FALSE)*'Incremental Repayments'!$I$22)),0),0)</f>
        <v>0</v>
      </c>
      <c r="CG113" s="783">
        <f>IF('Incremental Repayments'!$R$22="Debt",IF(AND(CG$4&gt;=$D113,CG$4&lt;$D113+'Incremental Repayments'!$I$31),-PMT('Interest Rate'!$J$16,'Incremental Repayments'!$I$31,(HLOOKUP($D113,$E$4:$CZ$32,28,FALSE)*'Incremental Repayments'!$I$22)),0),0)</f>
        <v>0</v>
      </c>
      <c r="CH113" s="783">
        <f>IF('Incremental Repayments'!$R$22="Debt",IF(AND(CH$4&gt;=$D113,CH$4&lt;$D113+'Incremental Repayments'!$I$31),-PMT('Interest Rate'!$J$16,'Incremental Repayments'!$I$31,(HLOOKUP($D113,$E$4:$CZ$32,28,FALSE)*'Incremental Repayments'!$I$22)),0),0)</f>
        <v>0</v>
      </c>
      <c r="CI113" s="783">
        <f>IF('Incremental Repayments'!$R$22="Debt",IF(AND(CI$4&gt;=$D113,CI$4&lt;$D113+'Incremental Repayments'!$I$31),-PMT('Interest Rate'!$J$16,'Incremental Repayments'!$I$31,(HLOOKUP($D113,$E$4:$CZ$32,28,FALSE)*'Incremental Repayments'!$I$22)),0),0)</f>
        <v>0</v>
      </c>
      <c r="CJ113" s="783">
        <f>IF('Incremental Repayments'!$R$22="Debt",IF(AND(CJ$4&gt;=$D113,CJ$4&lt;$D113+'Incremental Repayments'!$I$31),-PMT('Interest Rate'!$J$16,'Incremental Repayments'!$I$31,(HLOOKUP($D113,$E$4:$CZ$32,28,FALSE)*'Incremental Repayments'!$I$22)),0),0)</f>
        <v>0</v>
      </c>
      <c r="CK113" s="783">
        <f>IF('Incremental Repayments'!$R$22="Debt",IF(AND(CK$4&gt;=$D113,CK$4&lt;$D113+'Incremental Repayments'!$I$31),-PMT('Interest Rate'!$J$16,'Incremental Repayments'!$I$31,(HLOOKUP($D113,$E$4:$CZ$32,28,FALSE)*'Incremental Repayments'!$I$22)),0),0)</f>
        <v>0</v>
      </c>
      <c r="CL113" s="783">
        <f>IF('Incremental Repayments'!$R$22="Debt",IF(AND(CL$4&gt;=$D113,CL$4&lt;$D113+'Incremental Repayments'!$I$31),-PMT('Interest Rate'!$J$16,'Incremental Repayments'!$I$31,(HLOOKUP($D113,$E$4:$CZ$32,28,FALSE)*'Incremental Repayments'!$I$22)),0),0)</f>
        <v>0</v>
      </c>
      <c r="CM113" s="783">
        <f>IF('Incremental Repayments'!$R$22="Debt",IF(AND(CM$4&gt;=$D113,CM$4&lt;$D113+'Incremental Repayments'!$I$31),-PMT('Interest Rate'!$J$16,'Incremental Repayments'!$I$31,(HLOOKUP($D113,$E$4:$CZ$32,28,FALSE)*'Incremental Repayments'!$I$22)),0),0)</f>
        <v>0</v>
      </c>
      <c r="CN113" s="783">
        <f>IF('Incremental Repayments'!$R$22="Debt",IF(AND(CN$4&gt;=$D113,CN$4&lt;$D113+'Incremental Repayments'!$I$31),-PMT('Interest Rate'!$J$16,'Incremental Repayments'!$I$31,(HLOOKUP($D113,$E$4:$CZ$32,28,FALSE)*'Incremental Repayments'!$I$22)),0),0)</f>
        <v>0</v>
      </c>
      <c r="CO113" s="783">
        <f>IF('Incremental Repayments'!$R$22="Debt",IF(AND(CO$4&gt;=$D113,CO$4&lt;$D113+'Incremental Repayments'!$I$31),-PMT('Interest Rate'!$J$16,'Incremental Repayments'!$I$31,(HLOOKUP($D113,$E$4:$CZ$32,28,FALSE)*'Incremental Repayments'!$I$22)),0),0)</f>
        <v>0</v>
      </c>
      <c r="CP113" s="783">
        <f>IF('Incremental Repayments'!$R$22="Debt",IF(AND(CP$4&gt;=$D113,CP$4&lt;$D113+'Incremental Repayments'!$I$31),-PMT('Interest Rate'!$J$16,'Incremental Repayments'!$I$31,(HLOOKUP($D113,$E$4:$CZ$32,28,FALSE)*'Incremental Repayments'!$I$22)),0),0)</f>
        <v>0</v>
      </c>
      <c r="CQ113" s="783">
        <f>IF('Incremental Repayments'!$R$22="Debt",IF(AND(CQ$4&gt;=$D113,CQ$4&lt;$D113+'Incremental Repayments'!$I$31),-PMT('Interest Rate'!$J$16,'Incremental Repayments'!$I$31,(HLOOKUP($D113,$E$4:$CZ$32,28,FALSE)*'Incremental Repayments'!$I$22)),0),0)</f>
        <v>0</v>
      </c>
      <c r="CR113" s="783">
        <f>IF('Incremental Repayments'!$R$22="Debt",IF(AND(CR$4&gt;=$D113,CR$4&lt;$D113+'Incremental Repayments'!$I$31),-PMT('Interest Rate'!$J$16,'Incremental Repayments'!$I$31,(HLOOKUP($D113,$E$4:$CZ$32,28,FALSE)*'Incremental Repayments'!$I$22)),0),0)</f>
        <v>0</v>
      </c>
      <c r="CS113" s="783">
        <f>IF('Incremental Repayments'!$R$22="Debt",IF(AND(CS$4&gt;=$D113,CS$4&lt;$D113+'Incremental Repayments'!$I$31),-PMT('Interest Rate'!$J$16,'Incremental Repayments'!$I$31,(HLOOKUP($D113,$E$4:$CZ$32,28,FALSE)*'Incremental Repayments'!$I$22)),0),0)</f>
        <v>0</v>
      </c>
      <c r="CT113" s="783">
        <f>IF('Incremental Repayments'!$R$22="Debt",IF(AND(CT$4&gt;=$D113,CT$4&lt;$D113+'Incremental Repayments'!$I$31),-PMT('Interest Rate'!$J$16,'Incremental Repayments'!$I$31,(HLOOKUP($D113,$E$4:$CZ$32,28,FALSE)*'Incremental Repayments'!$I$22)),0),0)</f>
        <v>0</v>
      </c>
      <c r="CU113" s="783">
        <f>IF('Incremental Repayments'!$R$22="Debt",IF(AND(CU$4&gt;=$D113,CU$4&lt;$D113+'Incremental Repayments'!$I$31),-PMT('Interest Rate'!$J$16,'Incremental Repayments'!$I$31,(HLOOKUP($D113,$E$4:$CZ$32,28,FALSE)*'Incremental Repayments'!$I$22)),0),0)</f>
        <v>0</v>
      </c>
      <c r="CV113" s="783">
        <f>IF('Incremental Repayments'!$R$22="Debt",IF(AND(CV$4&gt;=$D113,CV$4&lt;$D113+'Incremental Repayments'!$I$31),-PMT('Interest Rate'!$J$16,'Incremental Repayments'!$I$31,(HLOOKUP($D113,$E$4:$CZ$32,28,FALSE)*'Incremental Repayments'!$I$22)),0),0)</f>
        <v>0</v>
      </c>
      <c r="CW113" s="783">
        <f>IF('Incremental Repayments'!$R$22="Debt",IF(AND(CW$4&gt;=$D113,CW$4&lt;$D113+'Incremental Repayments'!$I$31),-PMT('Interest Rate'!$J$16,'Incremental Repayments'!$I$31,(HLOOKUP($D113,$E$4:$CZ$32,28,FALSE)*'Incremental Repayments'!$I$22)),0),0)</f>
        <v>0</v>
      </c>
      <c r="CX113" s="783">
        <f>IF('Incremental Repayments'!$R$22="Debt",IF(AND(CX$4&gt;=$D113,CX$4&lt;$D113+'Incremental Repayments'!$I$31),-PMT('Interest Rate'!$J$16,'Incremental Repayments'!$I$31,(HLOOKUP($D113,$E$4:$CZ$32,28,FALSE)*'Incremental Repayments'!$I$22)),0),0)</f>
        <v>0</v>
      </c>
      <c r="CY113" s="783">
        <f>IF('Incremental Repayments'!$R$22="Debt",IF(AND(CY$4&gt;=$D113,CY$4&lt;$D113+'Incremental Repayments'!$I$31),-PMT('Interest Rate'!$J$16,'Incremental Repayments'!$I$31,(HLOOKUP($D113,$E$4:$CZ$32,28,FALSE)*'Incremental Repayments'!$I$22)),0),0)</f>
        <v>0</v>
      </c>
      <c r="CZ113" s="783">
        <f>IF('Incremental Repayments'!$R$22="Debt",IF(AND(CZ$4&gt;=$D113,CZ$4&lt;$D113+'Incremental Repayments'!$I$31),-PMT('Interest Rate'!$J$16,'Incremental Repayments'!$I$31,(HLOOKUP($D113,$E$4:$CZ$32,28,FALSE)*'Incremental Repayments'!$I$22)),0),0)</f>
        <v>0</v>
      </c>
    </row>
    <row r="114" spans="1:104" x14ac:dyDescent="0.25">
      <c r="B114" s="480" t="str">
        <f>CONCATENATE("Series ",D114,"A Bonds (at ",'Interest Rate'!$J$16*100,"% Interest)")</f>
        <v>Series 2092A Bonds (at 4.5% Interest)</v>
      </c>
      <c r="C114" s="480"/>
      <c r="D114" s="492">
        <f t="shared" si="47"/>
        <v>2092</v>
      </c>
      <c r="E114" s="783">
        <f>IF('Incremental Repayments'!$R$22="Debt",IF(AND(E$4&gt;=$D114,E$4&lt;$D114+'Incremental Repayments'!$I$31),-PMT('Interest Rate'!$J$16,'Incremental Repayments'!$I$31,(HLOOKUP($D114,$E$4:$CZ$32,28,FALSE)*'Incremental Repayments'!$I$22)),0),0)</f>
        <v>0</v>
      </c>
      <c r="F114" s="783">
        <f>IF('Incremental Repayments'!$R$22="Debt",IF(AND(F$4&gt;=$D114,F$4&lt;$D114+'Incremental Repayments'!$I$31),-PMT('Interest Rate'!$J$16,'Incremental Repayments'!$I$31,(HLOOKUP($D114,$E$4:$CZ$32,28,FALSE)*'Incremental Repayments'!$I$22)),0),0)</f>
        <v>0</v>
      </c>
      <c r="G114" s="783">
        <f>IF('Incremental Repayments'!$R$22="Debt",IF(AND(G$4&gt;=$D114,G$4&lt;$D114+'Incremental Repayments'!$I$31),-PMT('Interest Rate'!$J$16,'Incremental Repayments'!$I$31,(HLOOKUP($D114,$E$4:$CZ$32,28,FALSE)*'Incremental Repayments'!$I$22)),0),0)</f>
        <v>0</v>
      </c>
      <c r="H114" s="783">
        <f>IF('Incremental Repayments'!$R$22="Debt",IF(AND(H$4&gt;=$D114,H$4&lt;$D114+'Incremental Repayments'!$I$31),-PMT('Interest Rate'!$J$16,'Incremental Repayments'!$I$31,(HLOOKUP($D114,$E$4:$CZ$32,28,FALSE)*'Incremental Repayments'!$I$22)),0),0)</f>
        <v>0</v>
      </c>
      <c r="I114" s="783">
        <f>IF('Incremental Repayments'!$R$22="Debt",IF(AND(I$4&gt;=$D114,I$4&lt;$D114+'Incremental Repayments'!$I$31),-PMT('Interest Rate'!$J$16,'Incremental Repayments'!$I$31,(HLOOKUP($D114,$E$4:$CZ$32,28,FALSE)*'Incremental Repayments'!$I$22)),0),0)</f>
        <v>0</v>
      </c>
      <c r="J114" s="783">
        <f>IF('Incremental Repayments'!$R$22="Debt",IF(AND(J$4&gt;=$D114,J$4&lt;$D114+'Incremental Repayments'!$I$31),-PMT('Interest Rate'!$J$16,'Incremental Repayments'!$I$31,(HLOOKUP($D114,$E$4:$CZ$32,28,FALSE)*'Incremental Repayments'!$I$22)),0),0)</f>
        <v>0</v>
      </c>
      <c r="K114" s="783">
        <f>IF('Incremental Repayments'!$R$22="Debt",IF(AND(K$4&gt;=$D114,K$4&lt;$D114+'Incremental Repayments'!$I$31),-PMT('Interest Rate'!$J$16,'Incremental Repayments'!$I$31,(HLOOKUP($D114,$E$4:$CZ$32,28,FALSE)*'Incremental Repayments'!$I$22)),0),0)</f>
        <v>0</v>
      </c>
      <c r="L114" s="783">
        <f>IF('Incremental Repayments'!$R$22="Debt",IF(AND(L$4&gt;=$D114,L$4&lt;$D114+'Incremental Repayments'!$I$31),-PMT('Interest Rate'!$J$16,'Incremental Repayments'!$I$31,(HLOOKUP($D114,$E$4:$CZ$32,28,FALSE)*'Incremental Repayments'!$I$22)),0),0)</f>
        <v>0</v>
      </c>
      <c r="M114" s="783">
        <f>IF('Incremental Repayments'!$R$22="Debt",IF(AND(M$4&gt;=$D114,M$4&lt;$D114+'Incremental Repayments'!$I$31),-PMT('Interest Rate'!$J$16,'Incremental Repayments'!$I$31,(HLOOKUP($D114,$E$4:$CZ$32,28,FALSE)*'Incremental Repayments'!$I$22)),0),0)</f>
        <v>0</v>
      </c>
      <c r="N114" s="783">
        <f>IF('Incremental Repayments'!$R$22="Debt",IF(AND(N$4&gt;=$D114,N$4&lt;$D114+'Incremental Repayments'!$I$31),-PMT('Interest Rate'!$J$16,'Incremental Repayments'!$I$31,(HLOOKUP($D114,$E$4:$CZ$32,28,FALSE)*'Incremental Repayments'!$I$22)),0),0)</f>
        <v>0</v>
      </c>
      <c r="O114" s="783">
        <f>IF('Incremental Repayments'!$R$22="Debt",IF(AND(O$4&gt;=$D114,O$4&lt;$D114+'Incremental Repayments'!$I$31),-PMT('Interest Rate'!$J$16,'Incremental Repayments'!$I$31,(HLOOKUP($D114,$E$4:$CZ$32,28,FALSE)*'Incremental Repayments'!$I$22)),0),0)</f>
        <v>0</v>
      </c>
      <c r="P114" s="783">
        <f>IF('Incremental Repayments'!$R$22="Debt",IF(AND(P$4&gt;=$D114,P$4&lt;$D114+'Incremental Repayments'!$I$31),-PMT('Interest Rate'!$J$16,'Incremental Repayments'!$I$31,(HLOOKUP($D114,$E$4:$CZ$32,28,FALSE)*'Incremental Repayments'!$I$22)),0),0)</f>
        <v>0</v>
      </c>
      <c r="Q114" s="783">
        <f>IF('Incremental Repayments'!$R$22="Debt",IF(AND(Q$4&gt;=$D114,Q$4&lt;$D114+'Incremental Repayments'!$I$31),-PMT('Interest Rate'!$J$16,'Incremental Repayments'!$I$31,(HLOOKUP($D114,$E$4:$CZ$32,28,FALSE)*'Incremental Repayments'!$I$22)),0),0)</f>
        <v>0</v>
      </c>
      <c r="R114" s="783">
        <f>IF('Incremental Repayments'!$R$22="Debt",IF(AND(R$4&gt;=$D114,R$4&lt;$D114+'Incremental Repayments'!$I$31),-PMT('Interest Rate'!$J$16,'Incremental Repayments'!$I$31,(HLOOKUP($D114,$E$4:$CZ$32,28,FALSE)*'Incremental Repayments'!$I$22)),0),0)</f>
        <v>0</v>
      </c>
      <c r="S114" s="783">
        <f>IF('Incremental Repayments'!$R$22="Debt",IF(AND(S$4&gt;=$D114,S$4&lt;$D114+'Incremental Repayments'!$I$31),-PMT('Interest Rate'!$J$16,'Incremental Repayments'!$I$31,(HLOOKUP($D114,$E$4:$CZ$32,28,FALSE)*'Incremental Repayments'!$I$22)),0),0)</f>
        <v>0</v>
      </c>
      <c r="T114" s="783">
        <f>IF('Incremental Repayments'!$R$22="Debt",IF(AND(T$4&gt;=$D114,T$4&lt;$D114+'Incremental Repayments'!$I$31),-PMT('Interest Rate'!$J$16,'Incremental Repayments'!$I$31,(HLOOKUP($D114,$E$4:$CZ$32,28,FALSE)*'Incremental Repayments'!$I$22)),0),0)</f>
        <v>0</v>
      </c>
      <c r="U114" s="783">
        <f>IF('Incremental Repayments'!$R$22="Debt",IF(AND(U$4&gt;=$D114,U$4&lt;$D114+'Incremental Repayments'!$I$31),-PMT('Interest Rate'!$J$16,'Incremental Repayments'!$I$31,(HLOOKUP($D114,$E$4:$CZ$32,28,FALSE)*'Incremental Repayments'!$I$22)),0),0)</f>
        <v>0</v>
      </c>
      <c r="V114" s="783">
        <f>IF('Incremental Repayments'!$R$22="Debt",IF(AND(V$4&gt;=$D114,V$4&lt;$D114+'Incremental Repayments'!$I$31),-PMT('Interest Rate'!$J$16,'Incremental Repayments'!$I$31,(HLOOKUP($D114,$E$4:$CZ$32,28,FALSE)*'Incremental Repayments'!$I$22)),0),0)</f>
        <v>0</v>
      </c>
      <c r="W114" s="783">
        <f>IF('Incremental Repayments'!$R$22="Debt",IF(AND(W$4&gt;=$D114,W$4&lt;$D114+'Incremental Repayments'!$I$31),-PMT('Interest Rate'!$J$16,'Incremental Repayments'!$I$31,(HLOOKUP($D114,$E$4:$CZ$32,28,FALSE)*'Incremental Repayments'!$I$22)),0),0)</f>
        <v>0</v>
      </c>
      <c r="X114" s="783">
        <f>IF('Incremental Repayments'!$R$22="Debt",IF(AND(X$4&gt;=$D114,X$4&lt;$D114+'Incremental Repayments'!$I$31),-PMT('Interest Rate'!$J$16,'Incremental Repayments'!$I$31,(HLOOKUP($D114,$E$4:$CZ$32,28,FALSE)*'Incremental Repayments'!$I$22)),0),0)</f>
        <v>0</v>
      </c>
      <c r="Y114" s="783">
        <f>IF('Incremental Repayments'!$R$22="Debt",IF(AND(Y$4&gt;=$D114,Y$4&lt;$D114+'Incremental Repayments'!$I$31),-PMT('Interest Rate'!$J$16,'Incremental Repayments'!$I$31,(HLOOKUP($D114,$E$4:$CZ$32,28,FALSE)*'Incremental Repayments'!$I$22)),0),0)</f>
        <v>0</v>
      </c>
      <c r="Z114" s="783">
        <f>IF('Incremental Repayments'!$R$22="Debt",IF(AND(Z$4&gt;=$D114,Z$4&lt;$D114+'Incremental Repayments'!$I$31),-PMT('Interest Rate'!$J$16,'Incremental Repayments'!$I$31,(HLOOKUP($D114,$E$4:$CZ$32,28,FALSE)*'Incremental Repayments'!$I$22)),0),0)</f>
        <v>0</v>
      </c>
      <c r="AA114" s="783">
        <f>IF('Incremental Repayments'!$R$22="Debt",IF(AND(AA$4&gt;=$D114,AA$4&lt;$D114+'Incremental Repayments'!$I$31),-PMT('Interest Rate'!$J$16,'Incremental Repayments'!$I$31,(HLOOKUP($D114,$E$4:$CZ$32,28,FALSE)*'Incremental Repayments'!$I$22)),0),0)</f>
        <v>0</v>
      </c>
      <c r="AB114" s="783">
        <f>IF('Incremental Repayments'!$R$22="Debt",IF(AND(AB$4&gt;=$D114,AB$4&lt;$D114+'Incremental Repayments'!$I$31),-PMT('Interest Rate'!$J$16,'Incremental Repayments'!$I$31,(HLOOKUP($D114,$E$4:$CZ$32,28,FALSE)*'Incremental Repayments'!$I$22)),0),0)</f>
        <v>0</v>
      </c>
      <c r="AC114" s="783">
        <f>IF('Incremental Repayments'!$R$22="Debt",IF(AND(AC$4&gt;=$D114,AC$4&lt;$D114+'Incremental Repayments'!$I$31),-PMT('Interest Rate'!$J$16,'Incremental Repayments'!$I$31,(HLOOKUP($D114,$E$4:$CZ$32,28,FALSE)*'Incremental Repayments'!$I$22)),0),0)</f>
        <v>0</v>
      </c>
      <c r="AD114" s="783">
        <f>IF('Incremental Repayments'!$R$22="Debt",IF(AND(AD$4&gt;=$D114,AD$4&lt;$D114+'Incremental Repayments'!$I$31),-PMT('Interest Rate'!$J$16,'Incremental Repayments'!$I$31,(HLOOKUP($D114,$E$4:$CZ$32,28,FALSE)*'Incremental Repayments'!$I$22)),0),0)</f>
        <v>0</v>
      </c>
      <c r="AE114" s="783">
        <f>IF('Incremental Repayments'!$R$22="Debt",IF(AND(AE$4&gt;=$D114,AE$4&lt;$D114+'Incremental Repayments'!$I$31),-PMT('Interest Rate'!$J$16,'Incremental Repayments'!$I$31,(HLOOKUP($D114,$E$4:$CZ$32,28,FALSE)*'Incremental Repayments'!$I$22)),0),0)</f>
        <v>0</v>
      </c>
      <c r="AF114" s="783">
        <f>IF('Incremental Repayments'!$R$22="Debt",IF(AND(AF$4&gt;=$D114,AF$4&lt;$D114+'Incremental Repayments'!$I$31),-PMT('Interest Rate'!$J$16,'Incremental Repayments'!$I$31,(HLOOKUP($D114,$E$4:$CZ$32,28,FALSE)*'Incremental Repayments'!$I$22)),0),0)</f>
        <v>0</v>
      </c>
      <c r="AG114" s="783">
        <f>IF('Incremental Repayments'!$R$22="Debt",IF(AND(AG$4&gt;=$D114,AG$4&lt;$D114+'Incremental Repayments'!$I$31),-PMT('Interest Rate'!$J$16,'Incremental Repayments'!$I$31,(HLOOKUP($D114,$E$4:$CZ$32,28,FALSE)*'Incremental Repayments'!$I$22)),0),0)</f>
        <v>0</v>
      </c>
      <c r="AH114" s="783">
        <f>IF('Incremental Repayments'!$R$22="Debt",IF(AND(AH$4&gt;=$D114,AH$4&lt;$D114+'Incremental Repayments'!$I$31),-PMT('Interest Rate'!$J$16,'Incremental Repayments'!$I$31,(HLOOKUP($D114,$E$4:$CZ$32,28,FALSE)*'Incremental Repayments'!$I$22)),0),0)</f>
        <v>0</v>
      </c>
      <c r="AI114" s="783">
        <f>IF('Incremental Repayments'!$R$22="Debt",IF(AND(AI$4&gt;=$D114,AI$4&lt;$D114+'Incremental Repayments'!$I$31),-PMT('Interest Rate'!$J$16,'Incremental Repayments'!$I$31,(HLOOKUP($D114,$E$4:$CZ$32,28,FALSE)*'Incremental Repayments'!$I$22)),0),0)</f>
        <v>0</v>
      </c>
      <c r="AJ114" s="783">
        <f>IF('Incremental Repayments'!$R$22="Debt",IF(AND(AJ$4&gt;=$D114,AJ$4&lt;$D114+'Incremental Repayments'!$I$31),-PMT('Interest Rate'!$J$16,'Incremental Repayments'!$I$31,(HLOOKUP($D114,$E$4:$CZ$32,28,FALSE)*'Incremental Repayments'!$I$22)),0),0)</f>
        <v>0</v>
      </c>
      <c r="AK114" s="783">
        <f>IF('Incremental Repayments'!$R$22="Debt",IF(AND(AK$4&gt;=$D114,AK$4&lt;$D114+'Incremental Repayments'!$I$31),-PMT('Interest Rate'!$J$16,'Incremental Repayments'!$I$31,(HLOOKUP($D114,$E$4:$CZ$32,28,FALSE)*'Incremental Repayments'!$I$22)),0),0)</f>
        <v>0</v>
      </c>
      <c r="AL114" s="783">
        <f>IF('Incremental Repayments'!$R$22="Debt",IF(AND(AL$4&gt;=$D114,AL$4&lt;$D114+'Incremental Repayments'!$I$31),-PMT('Interest Rate'!$J$16,'Incremental Repayments'!$I$31,(HLOOKUP($D114,$E$4:$CZ$32,28,FALSE)*'Incremental Repayments'!$I$22)),0),0)</f>
        <v>0</v>
      </c>
      <c r="AM114" s="783">
        <f>IF('Incremental Repayments'!$R$22="Debt",IF(AND(AM$4&gt;=$D114,AM$4&lt;$D114+'Incremental Repayments'!$I$31),-PMT('Interest Rate'!$J$16,'Incremental Repayments'!$I$31,(HLOOKUP($D114,$E$4:$CZ$32,28,FALSE)*'Incremental Repayments'!$I$22)),0),0)</f>
        <v>0</v>
      </c>
      <c r="AN114" s="783">
        <f>IF('Incremental Repayments'!$R$22="Debt",IF(AND(AN$4&gt;=$D114,AN$4&lt;$D114+'Incremental Repayments'!$I$31),-PMT('Interest Rate'!$J$16,'Incremental Repayments'!$I$31,(HLOOKUP($D114,$E$4:$CZ$32,28,FALSE)*'Incremental Repayments'!$I$22)),0),0)</f>
        <v>0</v>
      </c>
      <c r="AO114" s="783">
        <f>IF('Incremental Repayments'!$R$22="Debt",IF(AND(AO$4&gt;=$D114,AO$4&lt;$D114+'Incremental Repayments'!$I$31),-PMT('Interest Rate'!$J$16,'Incremental Repayments'!$I$31,(HLOOKUP($D114,$E$4:$CZ$32,28,FALSE)*'Incremental Repayments'!$I$22)),0),0)</f>
        <v>0</v>
      </c>
      <c r="AP114" s="783">
        <f>IF('Incremental Repayments'!$R$22="Debt",IF(AND(AP$4&gt;=$D114,AP$4&lt;$D114+'Incremental Repayments'!$I$31),-PMT('Interest Rate'!$J$16,'Incremental Repayments'!$I$31,(HLOOKUP($D114,$E$4:$CZ$32,28,FALSE)*'Incremental Repayments'!$I$22)),0),0)</f>
        <v>0</v>
      </c>
      <c r="AQ114" s="783">
        <f>IF('Incremental Repayments'!$R$22="Debt",IF(AND(AQ$4&gt;=$D114,AQ$4&lt;$D114+'Incremental Repayments'!$I$31),-PMT('Interest Rate'!$J$16,'Incremental Repayments'!$I$31,(HLOOKUP($D114,$E$4:$CZ$32,28,FALSE)*'Incremental Repayments'!$I$22)),0),0)</f>
        <v>0</v>
      </c>
      <c r="AR114" s="783">
        <f>IF('Incremental Repayments'!$R$22="Debt",IF(AND(AR$4&gt;=$D114,AR$4&lt;$D114+'Incremental Repayments'!$I$31),-PMT('Interest Rate'!$J$16,'Incremental Repayments'!$I$31,(HLOOKUP($D114,$E$4:$CZ$32,28,FALSE)*'Incremental Repayments'!$I$22)),0),0)</f>
        <v>0</v>
      </c>
      <c r="AS114" s="783">
        <f>IF('Incremental Repayments'!$R$22="Debt",IF(AND(AS$4&gt;=$D114,AS$4&lt;$D114+'Incremental Repayments'!$I$31),-PMT('Interest Rate'!$J$16,'Incremental Repayments'!$I$31,(HLOOKUP($D114,$E$4:$CZ$32,28,FALSE)*'Incremental Repayments'!$I$22)),0),0)</f>
        <v>0</v>
      </c>
      <c r="AT114" s="783">
        <f>IF('Incremental Repayments'!$R$22="Debt",IF(AND(AT$4&gt;=$D114,AT$4&lt;$D114+'Incremental Repayments'!$I$31),-PMT('Interest Rate'!$J$16,'Incremental Repayments'!$I$31,(HLOOKUP($D114,$E$4:$CZ$32,28,FALSE)*'Incremental Repayments'!$I$22)),0),0)</f>
        <v>0</v>
      </c>
      <c r="AU114" s="783">
        <f>IF('Incremental Repayments'!$R$22="Debt",IF(AND(AU$4&gt;=$D114,AU$4&lt;$D114+'Incremental Repayments'!$I$31),-PMT('Interest Rate'!$J$16,'Incremental Repayments'!$I$31,(HLOOKUP($D114,$E$4:$CZ$32,28,FALSE)*'Incremental Repayments'!$I$22)),0),0)</f>
        <v>0</v>
      </c>
      <c r="AV114" s="783">
        <f>IF('Incremental Repayments'!$R$22="Debt",IF(AND(AV$4&gt;=$D114,AV$4&lt;$D114+'Incremental Repayments'!$I$31),-PMT('Interest Rate'!$J$16,'Incremental Repayments'!$I$31,(HLOOKUP($D114,$E$4:$CZ$32,28,FALSE)*'Incremental Repayments'!$I$22)),0),0)</f>
        <v>0</v>
      </c>
      <c r="AW114" s="783">
        <f>IF('Incremental Repayments'!$R$22="Debt",IF(AND(AW$4&gt;=$D114,AW$4&lt;$D114+'Incremental Repayments'!$I$31),-PMT('Interest Rate'!$J$16,'Incremental Repayments'!$I$31,(HLOOKUP($D114,$E$4:$CZ$32,28,FALSE)*'Incremental Repayments'!$I$22)),0),0)</f>
        <v>0</v>
      </c>
      <c r="AX114" s="783">
        <f>IF('Incremental Repayments'!$R$22="Debt",IF(AND(AX$4&gt;=$D114,AX$4&lt;$D114+'Incremental Repayments'!$I$31),-PMT('Interest Rate'!$J$16,'Incremental Repayments'!$I$31,(HLOOKUP($D114,$E$4:$CZ$32,28,FALSE)*'Incremental Repayments'!$I$22)),0),0)</f>
        <v>0</v>
      </c>
      <c r="AY114" s="783">
        <f>IF('Incremental Repayments'!$R$22="Debt",IF(AND(AY$4&gt;=$D114,AY$4&lt;$D114+'Incremental Repayments'!$I$31),-PMT('Interest Rate'!$J$16,'Incremental Repayments'!$I$31,(HLOOKUP($D114,$E$4:$CZ$32,28,FALSE)*'Incremental Repayments'!$I$22)),0),0)</f>
        <v>0</v>
      </c>
      <c r="AZ114" s="783">
        <f>IF('Incremental Repayments'!$R$22="Debt",IF(AND(AZ$4&gt;=$D114,AZ$4&lt;$D114+'Incremental Repayments'!$I$31),-PMT('Interest Rate'!$J$16,'Incremental Repayments'!$I$31,(HLOOKUP($D114,$E$4:$CZ$32,28,FALSE)*'Incremental Repayments'!$I$22)),0),0)</f>
        <v>0</v>
      </c>
      <c r="BA114" s="783">
        <f>IF('Incremental Repayments'!$R$22="Debt",IF(AND(BA$4&gt;=$D114,BA$4&lt;$D114+'Incremental Repayments'!$I$31),-PMT('Interest Rate'!$J$16,'Incremental Repayments'!$I$31,(HLOOKUP($D114,$E$4:$CZ$32,28,FALSE)*'Incremental Repayments'!$I$22)),0),0)</f>
        <v>0</v>
      </c>
      <c r="BB114" s="783">
        <f>IF('Incremental Repayments'!$R$22="Debt",IF(AND(BB$4&gt;=$D114,BB$4&lt;$D114+'Incremental Repayments'!$I$31),-PMT('Interest Rate'!$J$16,'Incremental Repayments'!$I$31,(HLOOKUP($D114,$E$4:$CZ$32,28,FALSE)*'Incremental Repayments'!$I$22)),0),0)</f>
        <v>0</v>
      </c>
      <c r="BC114" s="783">
        <f>IF('Incremental Repayments'!$R$22="Debt",IF(AND(BC$4&gt;=$D114,BC$4&lt;$D114+'Incremental Repayments'!$I$31),-PMT('Interest Rate'!$J$16,'Incremental Repayments'!$I$31,(HLOOKUP($D114,$E$4:$CZ$32,28,FALSE)*'Incremental Repayments'!$I$22)),0),0)</f>
        <v>0</v>
      </c>
      <c r="BD114" s="783">
        <f>IF('Incremental Repayments'!$R$22="Debt",IF(AND(BD$4&gt;=$D114,BD$4&lt;$D114+'Incremental Repayments'!$I$31),-PMT('Interest Rate'!$J$16,'Incremental Repayments'!$I$31,(HLOOKUP($D114,$E$4:$CZ$32,28,FALSE)*'Incremental Repayments'!$I$22)),0),0)</f>
        <v>0</v>
      </c>
      <c r="BE114" s="783">
        <f>IF('Incremental Repayments'!$R$22="Debt",IF(AND(BE$4&gt;=$D114,BE$4&lt;$D114+'Incremental Repayments'!$I$31),-PMT('Interest Rate'!$J$16,'Incremental Repayments'!$I$31,(HLOOKUP($D114,$E$4:$CZ$32,28,FALSE)*'Incremental Repayments'!$I$22)),0),0)</f>
        <v>0</v>
      </c>
      <c r="BF114" s="783">
        <f>IF('Incremental Repayments'!$R$22="Debt",IF(AND(BF$4&gt;=$D114,BF$4&lt;$D114+'Incremental Repayments'!$I$31),-PMT('Interest Rate'!$J$16,'Incremental Repayments'!$I$31,(HLOOKUP($D114,$E$4:$CZ$32,28,FALSE)*'Incremental Repayments'!$I$22)),0),0)</f>
        <v>0</v>
      </c>
      <c r="BG114" s="783">
        <f>IF('Incremental Repayments'!$R$22="Debt",IF(AND(BG$4&gt;=$D114,BG$4&lt;$D114+'Incremental Repayments'!$I$31),-PMT('Interest Rate'!$J$16,'Incremental Repayments'!$I$31,(HLOOKUP($D114,$E$4:$CZ$32,28,FALSE)*'Incremental Repayments'!$I$22)),0),0)</f>
        <v>0</v>
      </c>
      <c r="BH114" s="783">
        <f>IF('Incremental Repayments'!$R$22="Debt",IF(AND(BH$4&gt;=$D114,BH$4&lt;$D114+'Incremental Repayments'!$I$31),-PMT('Interest Rate'!$J$16,'Incremental Repayments'!$I$31,(HLOOKUP($D114,$E$4:$CZ$32,28,FALSE)*'Incremental Repayments'!$I$22)),0),0)</f>
        <v>0</v>
      </c>
      <c r="BI114" s="783">
        <f>IF('Incremental Repayments'!$R$22="Debt",IF(AND(BI$4&gt;=$D114,BI$4&lt;$D114+'Incremental Repayments'!$I$31),-PMT('Interest Rate'!$J$16,'Incremental Repayments'!$I$31,(HLOOKUP($D114,$E$4:$CZ$32,28,FALSE)*'Incremental Repayments'!$I$22)),0),0)</f>
        <v>0</v>
      </c>
      <c r="BJ114" s="783">
        <f>IF('Incremental Repayments'!$R$22="Debt",IF(AND(BJ$4&gt;=$D114,BJ$4&lt;$D114+'Incremental Repayments'!$I$31),-PMT('Interest Rate'!$J$16,'Incremental Repayments'!$I$31,(HLOOKUP($D114,$E$4:$CZ$32,28,FALSE)*'Incremental Repayments'!$I$22)),0),0)</f>
        <v>0</v>
      </c>
      <c r="BK114" s="783">
        <f>IF('Incremental Repayments'!$R$22="Debt",IF(AND(BK$4&gt;=$D114,BK$4&lt;$D114+'Incremental Repayments'!$I$31),-PMT('Interest Rate'!$J$16,'Incremental Repayments'!$I$31,(HLOOKUP($D114,$E$4:$CZ$32,28,FALSE)*'Incremental Repayments'!$I$22)),0),0)</f>
        <v>0</v>
      </c>
      <c r="BL114" s="783">
        <f>IF('Incremental Repayments'!$R$22="Debt",IF(AND(BL$4&gt;=$D114,BL$4&lt;$D114+'Incremental Repayments'!$I$31),-PMT('Interest Rate'!$J$16,'Incremental Repayments'!$I$31,(HLOOKUP($D114,$E$4:$CZ$32,28,FALSE)*'Incremental Repayments'!$I$22)),0),0)</f>
        <v>0</v>
      </c>
      <c r="BM114" s="783">
        <f>IF('Incremental Repayments'!$R$22="Debt",IF(AND(BM$4&gt;=$D114,BM$4&lt;$D114+'Incremental Repayments'!$I$31),-PMT('Interest Rate'!$J$16,'Incremental Repayments'!$I$31,(HLOOKUP($D114,$E$4:$CZ$32,28,FALSE)*'Incremental Repayments'!$I$22)),0),0)</f>
        <v>0</v>
      </c>
      <c r="BN114" s="783">
        <f>IF('Incremental Repayments'!$R$22="Debt",IF(AND(BN$4&gt;=$D114,BN$4&lt;$D114+'Incremental Repayments'!$I$31),-PMT('Interest Rate'!$J$16,'Incremental Repayments'!$I$31,(HLOOKUP($D114,$E$4:$CZ$32,28,FALSE)*'Incremental Repayments'!$I$22)),0),0)</f>
        <v>0</v>
      </c>
      <c r="BO114" s="783">
        <f>IF('Incremental Repayments'!$R$22="Debt",IF(AND(BO$4&gt;=$D114,BO$4&lt;$D114+'Incremental Repayments'!$I$31),-PMT('Interest Rate'!$J$16,'Incremental Repayments'!$I$31,(HLOOKUP($D114,$E$4:$CZ$32,28,FALSE)*'Incremental Repayments'!$I$22)),0),0)</f>
        <v>0</v>
      </c>
      <c r="BP114" s="783">
        <f>IF('Incremental Repayments'!$R$22="Debt",IF(AND(BP$4&gt;=$D114,BP$4&lt;$D114+'Incremental Repayments'!$I$31),-PMT('Interest Rate'!$J$16,'Incremental Repayments'!$I$31,(HLOOKUP($D114,$E$4:$CZ$32,28,FALSE)*'Incremental Repayments'!$I$22)),0),0)</f>
        <v>0</v>
      </c>
      <c r="BQ114" s="783">
        <f>IF('Incremental Repayments'!$R$22="Debt",IF(AND(BQ$4&gt;=$D114,BQ$4&lt;$D114+'Incremental Repayments'!$I$31),-PMT('Interest Rate'!$J$16,'Incremental Repayments'!$I$31,(HLOOKUP($D114,$E$4:$CZ$32,28,FALSE)*'Incremental Repayments'!$I$22)),0),0)</f>
        <v>0</v>
      </c>
      <c r="BR114" s="783">
        <f>IF('Incremental Repayments'!$R$22="Debt",IF(AND(BR$4&gt;=$D114,BR$4&lt;$D114+'Incremental Repayments'!$I$31),-PMT('Interest Rate'!$J$16,'Incremental Repayments'!$I$31,(HLOOKUP($D114,$E$4:$CZ$32,28,FALSE)*'Incremental Repayments'!$I$22)),0),0)</f>
        <v>0</v>
      </c>
      <c r="BS114" s="783">
        <f>IF('Incremental Repayments'!$R$22="Debt",IF(AND(BS$4&gt;=$D114,BS$4&lt;$D114+'Incremental Repayments'!$I$31),-PMT('Interest Rate'!$J$16,'Incremental Repayments'!$I$31,(HLOOKUP($D114,$E$4:$CZ$32,28,FALSE)*'Incremental Repayments'!$I$22)),0),0)</f>
        <v>0</v>
      </c>
      <c r="BT114" s="783">
        <f>IF('Incremental Repayments'!$R$22="Debt",IF(AND(BT$4&gt;=$D114,BT$4&lt;$D114+'Incremental Repayments'!$I$31),-PMT('Interest Rate'!$J$16,'Incremental Repayments'!$I$31,(HLOOKUP($D114,$E$4:$CZ$32,28,FALSE)*'Incremental Repayments'!$I$22)),0),0)</f>
        <v>0</v>
      </c>
      <c r="BU114" s="783">
        <f>IF('Incremental Repayments'!$R$22="Debt",IF(AND(BU$4&gt;=$D114,BU$4&lt;$D114+'Incremental Repayments'!$I$31),-PMT('Interest Rate'!$J$16,'Incremental Repayments'!$I$31,(HLOOKUP($D114,$E$4:$CZ$32,28,FALSE)*'Incremental Repayments'!$I$22)),0),0)</f>
        <v>0</v>
      </c>
      <c r="BV114" s="783">
        <f>IF('Incremental Repayments'!$R$22="Debt",IF(AND(BV$4&gt;=$D114,BV$4&lt;$D114+'Incremental Repayments'!$I$31),-PMT('Interest Rate'!$J$16,'Incremental Repayments'!$I$31,(HLOOKUP($D114,$E$4:$CZ$32,28,FALSE)*'Incremental Repayments'!$I$22)),0),0)</f>
        <v>0</v>
      </c>
      <c r="BW114" s="783">
        <f>IF('Incremental Repayments'!$R$22="Debt",IF(AND(BW$4&gt;=$D114,BW$4&lt;$D114+'Incremental Repayments'!$I$31),-PMT('Interest Rate'!$J$16,'Incremental Repayments'!$I$31,(HLOOKUP($D114,$E$4:$CZ$32,28,FALSE)*'Incremental Repayments'!$I$22)),0),0)</f>
        <v>0</v>
      </c>
      <c r="BX114" s="783">
        <f>IF('Incremental Repayments'!$R$22="Debt",IF(AND(BX$4&gt;=$D114,BX$4&lt;$D114+'Incremental Repayments'!$I$31),-PMT('Interest Rate'!$J$16,'Incremental Repayments'!$I$31,(HLOOKUP($D114,$E$4:$CZ$32,28,FALSE)*'Incremental Repayments'!$I$22)),0),0)</f>
        <v>0</v>
      </c>
      <c r="BY114" s="783">
        <f>IF('Incremental Repayments'!$R$22="Debt",IF(AND(BY$4&gt;=$D114,BY$4&lt;$D114+'Incremental Repayments'!$I$31),-PMT('Interest Rate'!$J$16,'Incremental Repayments'!$I$31,(HLOOKUP($D114,$E$4:$CZ$32,28,FALSE)*'Incremental Repayments'!$I$22)),0),0)</f>
        <v>0</v>
      </c>
      <c r="BZ114" s="783">
        <f>IF('Incremental Repayments'!$R$22="Debt",IF(AND(BZ$4&gt;=$D114,BZ$4&lt;$D114+'Incremental Repayments'!$I$31),-PMT('Interest Rate'!$J$16,'Incremental Repayments'!$I$31,(HLOOKUP($D114,$E$4:$CZ$32,28,FALSE)*'Incremental Repayments'!$I$22)),0),0)</f>
        <v>0</v>
      </c>
      <c r="CA114" s="783">
        <f>IF('Incremental Repayments'!$R$22="Debt",IF(AND(CA$4&gt;=$D114,CA$4&lt;$D114+'Incremental Repayments'!$I$31),-PMT('Interest Rate'!$J$16,'Incremental Repayments'!$I$31,(HLOOKUP($D114,$E$4:$CZ$32,28,FALSE)*'Incremental Repayments'!$I$22)),0),0)</f>
        <v>0</v>
      </c>
      <c r="CB114" s="783">
        <f>IF('Incremental Repayments'!$R$22="Debt",IF(AND(CB$4&gt;=$D114,CB$4&lt;$D114+'Incremental Repayments'!$I$31),-PMT('Interest Rate'!$J$16,'Incremental Repayments'!$I$31,(HLOOKUP($D114,$E$4:$CZ$32,28,FALSE)*'Incremental Repayments'!$I$22)),0),0)</f>
        <v>0</v>
      </c>
      <c r="CC114" s="783">
        <f>IF('Incremental Repayments'!$R$22="Debt",IF(AND(CC$4&gt;=$D114,CC$4&lt;$D114+'Incremental Repayments'!$I$31),-PMT('Interest Rate'!$J$16,'Incremental Repayments'!$I$31,(HLOOKUP($D114,$E$4:$CZ$32,28,FALSE)*'Incremental Repayments'!$I$22)),0),0)</f>
        <v>0</v>
      </c>
      <c r="CD114" s="783">
        <f>IF('Incremental Repayments'!$R$22="Debt",IF(AND(CD$4&gt;=$D114,CD$4&lt;$D114+'Incremental Repayments'!$I$31),-PMT('Interest Rate'!$J$16,'Incremental Repayments'!$I$31,(HLOOKUP($D114,$E$4:$CZ$32,28,FALSE)*'Incremental Repayments'!$I$22)),0),0)</f>
        <v>0</v>
      </c>
      <c r="CE114" s="783">
        <f>IF('Incremental Repayments'!$R$22="Debt",IF(AND(CE$4&gt;=$D114,CE$4&lt;$D114+'Incremental Repayments'!$I$31),-PMT('Interest Rate'!$J$16,'Incremental Repayments'!$I$31,(HLOOKUP($D114,$E$4:$CZ$32,28,FALSE)*'Incremental Repayments'!$I$22)),0),0)</f>
        <v>0</v>
      </c>
      <c r="CF114" s="783">
        <f>IF('Incremental Repayments'!$R$22="Debt",IF(AND(CF$4&gt;=$D114,CF$4&lt;$D114+'Incremental Repayments'!$I$31),-PMT('Interest Rate'!$J$16,'Incremental Repayments'!$I$31,(HLOOKUP($D114,$E$4:$CZ$32,28,FALSE)*'Incremental Repayments'!$I$22)),0),0)</f>
        <v>0</v>
      </c>
      <c r="CG114" s="783">
        <f>IF('Incremental Repayments'!$R$22="Debt",IF(AND(CG$4&gt;=$D114,CG$4&lt;$D114+'Incremental Repayments'!$I$31),-PMT('Interest Rate'!$J$16,'Incremental Repayments'!$I$31,(HLOOKUP($D114,$E$4:$CZ$32,28,FALSE)*'Incremental Repayments'!$I$22)),0),0)</f>
        <v>0</v>
      </c>
      <c r="CH114" s="783">
        <f>IF('Incremental Repayments'!$R$22="Debt",IF(AND(CH$4&gt;=$D114,CH$4&lt;$D114+'Incremental Repayments'!$I$31),-PMT('Interest Rate'!$J$16,'Incremental Repayments'!$I$31,(HLOOKUP($D114,$E$4:$CZ$32,28,FALSE)*'Incremental Repayments'!$I$22)),0),0)</f>
        <v>0</v>
      </c>
      <c r="CI114" s="783">
        <f>IF('Incremental Repayments'!$R$22="Debt",IF(AND(CI$4&gt;=$D114,CI$4&lt;$D114+'Incremental Repayments'!$I$31),-PMT('Interest Rate'!$J$16,'Incremental Repayments'!$I$31,(HLOOKUP($D114,$E$4:$CZ$32,28,FALSE)*'Incremental Repayments'!$I$22)),0),0)</f>
        <v>0</v>
      </c>
      <c r="CJ114" s="783">
        <f>IF('Incremental Repayments'!$R$22="Debt",IF(AND(CJ$4&gt;=$D114,CJ$4&lt;$D114+'Incremental Repayments'!$I$31),-PMT('Interest Rate'!$J$16,'Incremental Repayments'!$I$31,(HLOOKUP($D114,$E$4:$CZ$32,28,FALSE)*'Incremental Repayments'!$I$22)),0),0)</f>
        <v>0</v>
      </c>
      <c r="CK114" s="783">
        <f>IF('Incremental Repayments'!$R$22="Debt",IF(AND(CK$4&gt;=$D114,CK$4&lt;$D114+'Incremental Repayments'!$I$31),-PMT('Interest Rate'!$J$16,'Incremental Repayments'!$I$31,(HLOOKUP($D114,$E$4:$CZ$32,28,FALSE)*'Incremental Repayments'!$I$22)),0),0)</f>
        <v>0</v>
      </c>
      <c r="CL114" s="783">
        <f>IF('Incremental Repayments'!$R$22="Debt",IF(AND(CL$4&gt;=$D114,CL$4&lt;$D114+'Incremental Repayments'!$I$31),-PMT('Interest Rate'!$J$16,'Incremental Repayments'!$I$31,(HLOOKUP($D114,$E$4:$CZ$32,28,FALSE)*'Incremental Repayments'!$I$22)),0),0)</f>
        <v>0</v>
      </c>
      <c r="CM114" s="783">
        <f>IF('Incremental Repayments'!$R$22="Debt",IF(AND(CM$4&gt;=$D114,CM$4&lt;$D114+'Incremental Repayments'!$I$31),-PMT('Interest Rate'!$J$16,'Incremental Repayments'!$I$31,(HLOOKUP($D114,$E$4:$CZ$32,28,FALSE)*'Incremental Repayments'!$I$22)),0),0)</f>
        <v>0</v>
      </c>
      <c r="CN114" s="783">
        <f>IF('Incremental Repayments'!$R$22="Debt",IF(AND(CN$4&gt;=$D114,CN$4&lt;$D114+'Incremental Repayments'!$I$31),-PMT('Interest Rate'!$J$16,'Incremental Repayments'!$I$31,(HLOOKUP($D114,$E$4:$CZ$32,28,FALSE)*'Incremental Repayments'!$I$22)),0),0)</f>
        <v>0</v>
      </c>
      <c r="CO114" s="783">
        <f>IF('Incremental Repayments'!$R$22="Debt",IF(AND(CO$4&gt;=$D114,CO$4&lt;$D114+'Incremental Repayments'!$I$31),-PMT('Interest Rate'!$J$16,'Incremental Repayments'!$I$31,(HLOOKUP($D114,$E$4:$CZ$32,28,FALSE)*'Incremental Repayments'!$I$22)),0),0)</f>
        <v>0</v>
      </c>
      <c r="CP114" s="783">
        <f>IF('Incremental Repayments'!$R$22="Debt",IF(AND(CP$4&gt;=$D114,CP$4&lt;$D114+'Incremental Repayments'!$I$31),-PMT('Interest Rate'!$J$16,'Incremental Repayments'!$I$31,(HLOOKUP($D114,$E$4:$CZ$32,28,FALSE)*'Incremental Repayments'!$I$22)),0),0)</f>
        <v>0</v>
      </c>
      <c r="CQ114" s="783">
        <f>IF('Incremental Repayments'!$R$22="Debt",IF(AND(CQ$4&gt;=$D114,CQ$4&lt;$D114+'Incremental Repayments'!$I$31),-PMT('Interest Rate'!$J$16,'Incremental Repayments'!$I$31,(HLOOKUP($D114,$E$4:$CZ$32,28,FALSE)*'Incremental Repayments'!$I$22)),0),0)</f>
        <v>0</v>
      </c>
      <c r="CR114" s="783">
        <f>IF('Incremental Repayments'!$R$22="Debt",IF(AND(CR$4&gt;=$D114,CR$4&lt;$D114+'Incremental Repayments'!$I$31),-PMT('Interest Rate'!$J$16,'Incremental Repayments'!$I$31,(HLOOKUP($D114,$E$4:$CZ$32,28,FALSE)*'Incremental Repayments'!$I$22)),0),0)</f>
        <v>0</v>
      </c>
      <c r="CS114" s="783">
        <f>IF('Incremental Repayments'!$R$22="Debt",IF(AND(CS$4&gt;=$D114,CS$4&lt;$D114+'Incremental Repayments'!$I$31),-PMT('Interest Rate'!$J$16,'Incremental Repayments'!$I$31,(HLOOKUP($D114,$E$4:$CZ$32,28,FALSE)*'Incremental Repayments'!$I$22)),0),0)</f>
        <v>0</v>
      </c>
      <c r="CT114" s="783">
        <f>IF('Incremental Repayments'!$R$22="Debt",IF(AND(CT$4&gt;=$D114,CT$4&lt;$D114+'Incremental Repayments'!$I$31),-PMT('Interest Rate'!$J$16,'Incremental Repayments'!$I$31,(HLOOKUP($D114,$E$4:$CZ$32,28,FALSE)*'Incremental Repayments'!$I$22)),0),0)</f>
        <v>0</v>
      </c>
      <c r="CU114" s="783">
        <f>IF('Incremental Repayments'!$R$22="Debt",IF(AND(CU$4&gt;=$D114,CU$4&lt;$D114+'Incremental Repayments'!$I$31),-PMT('Interest Rate'!$J$16,'Incremental Repayments'!$I$31,(HLOOKUP($D114,$E$4:$CZ$32,28,FALSE)*'Incremental Repayments'!$I$22)),0),0)</f>
        <v>0</v>
      </c>
      <c r="CV114" s="783">
        <f>IF('Incremental Repayments'!$R$22="Debt",IF(AND(CV$4&gt;=$D114,CV$4&lt;$D114+'Incremental Repayments'!$I$31),-PMT('Interest Rate'!$J$16,'Incremental Repayments'!$I$31,(HLOOKUP($D114,$E$4:$CZ$32,28,FALSE)*'Incremental Repayments'!$I$22)),0),0)</f>
        <v>0</v>
      </c>
      <c r="CW114" s="783">
        <f>IF('Incremental Repayments'!$R$22="Debt",IF(AND(CW$4&gt;=$D114,CW$4&lt;$D114+'Incremental Repayments'!$I$31),-PMT('Interest Rate'!$J$16,'Incremental Repayments'!$I$31,(HLOOKUP($D114,$E$4:$CZ$32,28,FALSE)*'Incremental Repayments'!$I$22)),0),0)</f>
        <v>0</v>
      </c>
      <c r="CX114" s="783">
        <f>IF('Incremental Repayments'!$R$22="Debt",IF(AND(CX$4&gt;=$D114,CX$4&lt;$D114+'Incremental Repayments'!$I$31),-PMT('Interest Rate'!$J$16,'Incremental Repayments'!$I$31,(HLOOKUP($D114,$E$4:$CZ$32,28,FALSE)*'Incremental Repayments'!$I$22)),0),0)</f>
        <v>0</v>
      </c>
      <c r="CY114" s="783">
        <f>IF('Incremental Repayments'!$R$22="Debt",IF(AND(CY$4&gt;=$D114,CY$4&lt;$D114+'Incremental Repayments'!$I$31),-PMT('Interest Rate'!$J$16,'Incremental Repayments'!$I$31,(HLOOKUP($D114,$E$4:$CZ$32,28,FALSE)*'Incremental Repayments'!$I$22)),0),0)</f>
        <v>0</v>
      </c>
      <c r="CZ114" s="783">
        <f>IF('Incremental Repayments'!$R$22="Debt",IF(AND(CZ$4&gt;=$D114,CZ$4&lt;$D114+'Incremental Repayments'!$I$31),-PMT('Interest Rate'!$J$16,'Incremental Repayments'!$I$31,(HLOOKUP($D114,$E$4:$CZ$32,28,FALSE)*'Incremental Repayments'!$I$22)),0),0)</f>
        <v>0</v>
      </c>
    </row>
    <row r="115" spans="1:104" x14ac:dyDescent="0.25">
      <c r="B115" s="480" t="str">
        <f>CONCATENATE("Series ",D115,"A Bonds (at ",'Interest Rate'!$J$16*100,"% Interest)")</f>
        <v>Series 2093A Bonds (at 4.5% Interest)</v>
      </c>
      <c r="C115" s="480"/>
      <c r="D115" s="492">
        <f t="shared" si="47"/>
        <v>2093</v>
      </c>
      <c r="E115" s="783">
        <f>IF('Incremental Repayments'!$R$22="Debt",IF(AND(E$4&gt;=$D115,E$4&lt;$D115+'Incremental Repayments'!$I$31),-PMT('Interest Rate'!$J$16,'Incremental Repayments'!$I$31,(HLOOKUP($D115,$E$4:$CZ$32,28,FALSE)*'Incremental Repayments'!$I$22)),0),0)</f>
        <v>0</v>
      </c>
      <c r="F115" s="783">
        <f>IF('Incremental Repayments'!$R$22="Debt",IF(AND(F$4&gt;=$D115,F$4&lt;$D115+'Incremental Repayments'!$I$31),-PMT('Interest Rate'!$J$16,'Incremental Repayments'!$I$31,(HLOOKUP($D115,$E$4:$CZ$32,28,FALSE)*'Incremental Repayments'!$I$22)),0),0)</f>
        <v>0</v>
      </c>
      <c r="G115" s="783">
        <f>IF('Incremental Repayments'!$R$22="Debt",IF(AND(G$4&gt;=$D115,G$4&lt;$D115+'Incremental Repayments'!$I$31),-PMT('Interest Rate'!$J$16,'Incremental Repayments'!$I$31,(HLOOKUP($D115,$E$4:$CZ$32,28,FALSE)*'Incremental Repayments'!$I$22)),0),0)</f>
        <v>0</v>
      </c>
      <c r="H115" s="783">
        <f>IF('Incremental Repayments'!$R$22="Debt",IF(AND(H$4&gt;=$D115,H$4&lt;$D115+'Incremental Repayments'!$I$31),-PMT('Interest Rate'!$J$16,'Incremental Repayments'!$I$31,(HLOOKUP($D115,$E$4:$CZ$32,28,FALSE)*'Incremental Repayments'!$I$22)),0),0)</f>
        <v>0</v>
      </c>
      <c r="I115" s="783">
        <f>IF('Incremental Repayments'!$R$22="Debt",IF(AND(I$4&gt;=$D115,I$4&lt;$D115+'Incremental Repayments'!$I$31),-PMT('Interest Rate'!$J$16,'Incremental Repayments'!$I$31,(HLOOKUP($D115,$E$4:$CZ$32,28,FALSE)*'Incremental Repayments'!$I$22)),0),0)</f>
        <v>0</v>
      </c>
      <c r="J115" s="783">
        <f>IF('Incremental Repayments'!$R$22="Debt",IF(AND(J$4&gt;=$D115,J$4&lt;$D115+'Incremental Repayments'!$I$31),-PMT('Interest Rate'!$J$16,'Incremental Repayments'!$I$31,(HLOOKUP($D115,$E$4:$CZ$32,28,FALSE)*'Incremental Repayments'!$I$22)),0),0)</f>
        <v>0</v>
      </c>
      <c r="K115" s="783">
        <f>IF('Incremental Repayments'!$R$22="Debt",IF(AND(K$4&gt;=$D115,K$4&lt;$D115+'Incremental Repayments'!$I$31),-PMT('Interest Rate'!$J$16,'Incremental Repayments'!$I$31,(HLOOKUP($D115,$E$4:$CZ$32,28,FALSE)*'Incremental Repayments'!$I$22)),0),0)</f>
        <v>0</v>
      </c>
      <c r="L115" s="783">
        <f>IF('Incremental Repayments'!$R$22="Debt",IF(AND(L$4&gt;=$D115,L$4&lt;$D115+'Incremental Repayments'!$I$31),-PMT('Interest Rate'!$J$16,'Incremental Repayments'!$I$31,(HLOOKUP($D115,$E$4:$CZ$32,28,FALSE)*'Incremental Repayments'!$I$22)),0),0)</f>
        <v>0</v>
      </c>
      <c r="M115" s="783">
        <f>IF('Incremental Repayments'!$R$22="Debt",IF(AND(M$4&gt;=$D115,M$4&lt;$D115+'Incremental Repayments'!$I$31),-PMT('Interest Rate'!$J$16,'Incremental Repayments'!$I$31,(HLOOKUP($D115,$E$4:$CZ$32,28,FALSE)*'Incremental Repayments'!$I$22)),0),0)</f>
        <v>0</v>
      </c>
      <c r="N115" s="783">
        <f>IF('Incremental Repayments'!$R$22="Debt",IF(AND(N$4&gt;=$D115,N$4&lt;$D115+'Incremental Repayments'!$I$31),-PMT('Interest Rate'!$J$16,'Incremental Repayments'!$I$31,(HLOOKUP($D115,$E$4:$CZ$32,28,FALSE)*'Incremental Repayments'!$I$22)),0),0)</f>
        <v>0</v>
      </c>
      <c r="O115" s="783">
        <f>IF('Incremental Repayments'!$R$22="Debt",IF(AND(O$4&gt;=$D115,O$4&lt;$D115+'Incremental Repayments'!$I$31),-PMT('Interest Rate'!$J$16,'Incremental Repayments'!$I$31,(HLOOKUP($D115,$E$4:$CZ$32,28,FALSE)*'Incremental Repayments'!$I$22)),0),0)</f>
        <v>0</v>
      </c>
      <c r="P115" s="783">
        <f>IF('Incremental Repayments'!$R$22="Debt",IF(AND(P$4&gt;=$D115,P$4&lt;$D115+'Incremental Repayments'!$I$31),-PMT('Interest Rate'!$J$16,'Incremental Repayments'!$I$31,(HLOOKUP($D115,$E$4:$CZ$32,28,FALSE)*'Incremental Repayments'!$I$22)),0),0)</f>
        <v>0</v>
      </c>
      <c r="Q115" s="783">
        <f>IF('Incremental Repayments'!$R$22="Debt",IF(AND(Q$4&gt;=$D115,Q$4&lt;$D115+'Incremental Repayments'!$I$31),-PMT('Interest Rate'!$J$16,'Incremental Repayments'!$I$31,(HLOOKUP($D115,$E$4:$CZ$32,28,FALSE)*'Incremental Repayments'!$I$22)),0),0)</f>
        <v>0</v>
      </c>
      <c r="R115" s="783">
        <f>IF('Incremental Repayments'!$R$22="Debt",IF(AND(R$4&gt;=$D115,R$4&lt;$D115+'Incremental Repayments'!$I$31),-PMT('Interest Rate'!$J$16,'Incremental Repayments'!$I$31,(HLOOKUP($D115,$E$4:$CZ$32,28,FALSE)*'Incremental Repayments'!$I$22)),0),0)</f>
        <v>0</v>
      </c>
      <c r="S115" s="783">
        <f>IF('Incremental Repayments'!$R$22="Debt",IF(AND(S$4&gt;=$D115,S$4&lt;$D115+'Incremental Repayments'!$I$31),-PMT('Interest Rate'!$J$16,'Incremental Repayments'!$I$31,(HLOOKUP($D115,$E$4:$CZ$32,28,FALSE)*'Incremental Repayments'!$I$22)),0),0)</f>
        <v>0</v>
      </c>
      <c r="T115" s="783">
        <f>IF('Incremental Repayments'!$R$22="Debt",IF(AND(T$4&gt;=$D115,T$4&lt;$D115+'Incremental Repayments'!$I$31),-PMT('Interest Rate'!$J$16,'Incremental Repayments'!$I$31,(HLOOKUP($D115,$E$4:$CZ$32,28,FALSE)*'Incremental Repayments'!$I$22)),0),0)</f>
        <v>0</v>
      </c>
      <c r="U115" s="783">
        <f>IF('Incremental Repayments'!$R$22="Debt",IF(AND(U$4&gt;=$D115,U$4&lt;$D115+'Incremental Repayments'!$I$31),-PMT('Interest Rate'!$J$16,'Incremental Repayments'!$I$31,(HLOOKUP($D115,$E$4:$CZ$32,28,FALSE)*'Incremental Repayments'!$I$22)),0),0)</f>
        <v>0</v>
      </c>
      <c r="V115" s="783">
        <f>IF('Incremental Repayments'!$R$22="Debt",IF(AND(V$4&gt;=$D115,V$4&lt;$D115+'Incremental Repayments'!$I$31),-PMT('Interest Rate'!$J$16,'Incremental Repayments'!$I$31,(HLOOKUP($D115,$E$4:$CZ$32,28,FALSE)*'Incremental Repayments'!$I$22)),0),0)</f>
        <v>0</v>
      </c>
      <c r="W115" s="783">
        <f>IF('Incremental Repayments'!$R$22="Debt",IF(AND(W$4&gt;=$D115,W$4&lt;$D115+'Incremental Repayments'!$I$31),-PMT('Interest Rate'!$J$16,'Incremental Repayments'!$I$31,(HLOOKUP($D115,$E$4:$CZ$32,28,FALSE)*'Incremental Repayments'!$I$22)),0),0)</f>
        <v>0</v>
      </c>
      <c r="X115" s="783">
        <f>IF('Incremental Repayments'!$R$22="Debt",IF(AND(X$4&gt;=$D115,X$4&lt;$D115+'Incremental Repayments'!$I$31),-PMT('Interest Rate'!$J$16,'Incremental Repayments'!$I$31,(HLOOKUP($D115,$E$4:$CZ$32,28,FALSE)*'Incremental Repayments'!$I$22)),0),0)</f>
        <v>0</v>
      </c>
      <c r="Y115" s="783">
        <f>IF('Incremental Repayments'!$R$22="Debt",IF(AND(Y$4&gt;=$D115,Y$4&lt;$D115+'Incremental Repayments'!$I$31),-PMT('Interest Rate'!$J$16,'Incremental Repayments'!$I$31,(HLOOKUP($D115,$E$4:$CZ$32,28,FALSE)*'Incremental Repayments'!$I$22)),0),0)</f>
        <v>0</v>
      </c>
      <c r="Z115" s="783">
        <f>IF('Incremental Repayments'!$R$22="Debt",IF(AND(Z$4&gt;=$D115,Z$4&lt;$D115+'Incremental Repayments'!$I$31),-PMT('Interest Rate'!$J$16,'Incremental Repayments'!$I$31,(HLOOKUP($D115,$E$4:$CZ$32,28,FALSE)*'Incremental Repayments'!$I$22)),0),0)</f>
        <v>0</v>
      </c>
      <c r="AA115" s="783">
        <f>IF('Incremental Repayments'!$R$22="Debt",IF(AND(AA$4&gt;=$D115,AA$4&lt;$D115+'Incremental Repayments'!$I$31),-PMT('Interest Rate'!$J$16,'Incremental Repayments'!$I$31,(HLOOKUP($D115,$E$4:$CZ$32,28,FALSE)*'Incremental Repayments'!$I$22)),0),0)</f>
        <v>0</v>
      </c>
      <c r="AB115" s="783">
        <f>IF('Incremental Repayments'!$R$22="Debt",IF(AND(AB$4&gt;=$D115,AB$4&lt;$D115+'Incremental Repayments'!$I$31),-PMT('Interest Rate'!$J$16,'Incremental Repayments'!$I$31,(HLOOKUP($D115,$E$4:$CZ$32,28,FALSE)*'Incremental Repayments'!$I$22)),0),0)</f>
        <v>0</v>
      </c>
      <c r="AC115" s="783">
        <f>IF('Incremental Repayments'!$R$22="Debt",IF(AND(AC$4&gt;=$D115,AC$4&lt;$D115+'Incremental Repayments'!$I$31),-PMT('Interest Rate'!$J$16,'Incremental Repayments'!$I$31,(HLOOKUP($D115,$E$4:$CZ$32,28,FALSE)*'Incremental Repayments'!$I$22)),0),0)</f>
        <v>0</v>
      </c>
      <c r="AD115" s="783">
        <f>IF('Incremental Repayments'!$R$22="Debt",IF(AND(AD$4&gt;=$D115,AD$4&lt;$D115+'Incremental Repayments'!$I$31),-PMT('Interest Rate'!$J$16,'Incremental Repayments'!$I$31,(HLOOKUP($D115,$E$4:$CZ$32,28,FALSE)*'Incremental Repayments'!$I$22)),0),0)</f>
        <v>0</v>
      </c>
      <c r="AE115" s="783">
        <f>IF('Incremental Repayments'!$R$22="Debt",IF(AND(AE$4&gt;=$D115,AE$4&lt;$D115+'Incremental Repayments'!$I$31),-PMT('Interest Rate'!$J$16,'Incremental Repayments'!$I$31,(HLOOKUP($D115,$E$4:$CZ$32,28,FALSE)*'Incremental Repayments'!$I$22)),0),0)</f>
        <v>0</v>
      </c>
      <c r="AF115" s="783">
        <f>IF('Incremental Repayments'!$R$22="Debt",IF(AND(AF$4&gt;=$D115,AF$4&lt;$D115+'Incremental Repayments'!$I$31),-PMT('Interest Rate'!$J$16,'Incremental Repayments'!$I$31,(HLOOKUP($D115,$E$4:$CZ$32,28,FALSE)*'Incremental Repayments'!$I$22)),0),0)</f>
        <v>0</v>
      </c>
      <c r="AG115" s="783">
        <f>IF('Incremental Repayments'!$R$22="Debt",IF(AND(AG$4&gt;=$D115,AG$4&lt;$D115+'Incremental Repayments'!$I$31),-PMT('Interest Rate'!$J$16,'Incremental Repayments'!$I$31,(HLOOKUP($D115,$E$4:$CZ$32,28,FALSE)*'Incremental Repayments'!$I$22)),0),0)</f>
        <v>0</v>
      </c>
      <c r="AH115" s="783">
        <f>IF('Incremental Repayments'!$R$22="Debt",IF(AND(AH$4&gt;=$D115,AH$4&lt;$D115+'Incremental Repayments'!$I$31),-PMT('Interest Rate'!$J$16,'Incremental Repayments'!$I$31,(HLOOKUP($D115,$E$4:$CZ$32,28,FALSE)*'Incremental Repayments'!$I$22)),0),0)</f>
        <v>0</v>
      </c>
      <c r="AI115" s="783">
        <f>IF('Incremental Repayments'!$R$22="Debt",IF(AND(AI$4&gt;=$D115,AI$4&lt;$D115+'Incremental Repayments'!$I$31),-PMT('Interest Rate'!$J$16,'Incremental Repayments'!$I$31,(HLOOKUP($D115,$E$4:$CZ$32,28,FALSE)*'Incremental Repayments'!$I$22)),0),0)</f>
        <v>0</v>
      </c>
      <c r="AJ115" s="783">
        <f>IF('Incremental Repayments'!$R$22="Debt",IF(AND(AJ$4&gt;=$D115,AJ$4&lt;$D115+'Incremental Repayments'!$I$31),-PMT('Interest Rate'!$J$16,'Incremental Repayments'!$I$31,(HLOOKUP($D115,$E$4:$CZ$32,28,FALSE)*'Incremental Repayments'!$I$22)),0),0)</f>
        <v>0</v>
      </c>
      <c r="AK115" s="783">
        <f>IF('Incremental Repayments'!$R$22="Debt",IF(AND(AK$4&gt;=$D115,AK$4&lt;$D115+'Incremental Repayments'!$I$31),-PMT('Interest Rate'!$J$16,'Incremental Repayments'!$I$31,(HLOOKUP($D115,$E$4:$CZ$32,28,FALSE)*'Incremental Repayments'!$I$22)),0),0)</f>
        <v>0</v>
      </c>
      <c r="AL115" s="783">
        <f>IF('Incremental Repayments'!$R$22="Debt",IF(AND(AL$4&gt;=$D115,AL$4&lt;$D115+'Incremental Repayments'!$I$31),-PMT('Interest Rate'!$J$16,'Incremental Repayments'!$I$31,(HLOOKUP($D115,$E$4:$CZ$32,28,FALSE)*'Incremental Repayments'!$I$22)),0),0)</f>
        <v>0</v>
      </c>
      <c r="AM115" s="783">
        <f>IF('Incremental Repayments'!$R$22="Debt",IF(AND(AM$4&gt;=$D115,AM$4&lt;$D115+'Incremental Repayments'!$I$31),-PMT('Interest Rate'!$J$16,'Incremental Repayments'!$I$31,(HLOOKUP($D115,$E$4:$CZ$32,28,FALSE)*'Incremental Repayments'!$I$22)),0),0)</f>
        <v>0</v>
      </c>
      <c r="AN115" s="783">
        <f>IF('Incremental Repayments'!$R$22="Debt",IF(AND(AN$4&gt;=$D115,AN$4&lt;$D115+'Incremental Repayments'!$I$31),-PMT('Interest Rate'!$J$16,'Incremental Repayments'!$I$31,(HLOOKUP($D115,$E$4:$CZ$32,28,FALSE)*'Incremental Repayments'!$I$22)),0),0)</f>
        <v>0</v>
      </c>
      <c r="AO115" s="783">
        <f>IF('Incremental Repayments'!$R$22="Debt",IF(AND(AO$4&gt;=$D115,AO$4&lt;$D115+'Incremental Repayments'!$I$31),-PMT('Interest Rate'!$J$16,'Incremental Repayments'!$I$31,(HLOOKUP($D115,$E$4:$CZ$32,28,FALSE)*'Incremental Repayments'!$I$22)),0),0)</f>
        <v>0</v>
      </c>
      <c r="AP115" s="783">
        <f>IF('Incremental Repayments'!$R$22="Debt",IF(AND(AP$4&gt;=$D115,AP$4&lt;$D115+'Incremental Repayments'!$I$31),-PMT('Interest Rate'!$J$16,'Incremental Repayments'!$I$31,(HLOOKUP($D115,$E$4:$CZ$32,28,FALSE)*'Incremental Repayments'!$I$22)),0),0)</f>
        <v>0</v>
      </c>
      <c r="AQ115" s="783">
        <f>IF('Incremental Repayments'!$R$22="Debt",IF(AND(AQ$4&gt;=$D115,AQ$4&lt;$D115+'Incremental Repayments'!$I$31),-PMT('Interest Rate'!$J$16,'Incremental Repayments'!$I$31,(HLOOKUP($D115,$E$4:$CZ$32,28,FALSE)*'Incremental Repayments'!$I$22)),0),0)</f>
        <v>0</v>
      </c>
      <c r="AR115" s="783">
        <f>IF('Incremental Repayments'!$R$22="Debt",IF(AND(AR$4&gt;=$D115,AR$4&lt;$D115+'Incremental Repayments'!$I$31),-PMT('Interest Rate'!$J$16,'Incremental Repayments'!$I$31,(HLOOKUP($D115,$E$4:$CZ$32,28,FALSE)*'Incremental Repayments'!$I$22)),0),0)</f>
        <v>0</v>
      </c>
      <c r="AS115" s="783">
        <f>IF('Incremental Repayments'!$R$22="Debt",IF(AND(AS$4&gt;=$D115,AS$4&lt;$D115+'Incremental Repayments'!$I$31),-PMT('Interest Rate'!$J$16,'Incremental Repayments'!$I$31,(HLOOKUP($D115,$E$4:$CZ$32,28,FALSE)*'Incremental Repayments'!$I$22)),0),0)</f>
        <v>0</v>
      </c>
      <c r="AT115" s="783">
        <f>IF('Incremental Repayments'!$R$22="Debt",IF(AND(AT$4&gt;=$D115,AT$4&lt;$D115+'Incremental Repayments'!$I$31),-PMT('Interest Rate'!$J$16,'Incremental Repayments'!$I$31,(HLOOKUP($D115,$E$4:$CZ$32,28,FALSE)*'Incremental Repayments'!$I$22)),0),0)</f>
        <v>0</v>
      </c>
      <c r="AU115" s="783">
        <f>IF('Incremental Repayments'!$R$22="Debt",IF(AND(AU$4&gt;=$D115,AU$4&lt;$D115+'Incremental Repayments'!$I$31),-PMT('Interest Rate'!$J$16,'Incremental Repayments'!$I$31,(HLOOKUP($D115,$E$4:$CZ$32,28,FALSE)*'Incremental Repayments'!$I$22)),0),0)</f>
        <v>0</v>
      </c>
      <c r="AV115" s="783">
        <f>IF('Incremental Repayments'!$R$22="Debt",IF(AND(AV$4&gt;=$D115,AV$4&lt;$D115+'Incremental Repayments'!$I$31),-PMT('Interest Rate'!$J$16,'Incremental Repayments'!$I$31,(HLOOKUP($D115,$E$4:$CZ$32,28,FALSE)*'Incremental Repayments'!$I$22)),0),0)</f>
        <v>0</v>
      </c>
      <c r="AW115" s="783">
        <f>IF('Incremental Repayments'!$R$22="Debt",IF(AND(AW$4&gt;=$D115,AW$4&lt;$D115+'Incremental Repayments'!$I$31),-PMT('Interest Rate'!$J$16,'Incremental Repayments'!$I$31,(HLOOKUP($D115,$E$4:$CZ$32,28,FALSE)*'Incremental Repayments'!$I$22)),0),0)</f>
        <v>0</v>
      </c>
      <c r="AX115" s="783">
        <f>IF('Incremental Repayments'!$R$22="Debt",IF(AND(AX$4&gt;=$D115,AX$4&lt;$D115+'Incremental Repayments'!$I$31),-PMT('Interest Rate'!$J$16,'Incremental Repayments'!$I$31,(HLOOKUP($D115,$E$4:$CZ$32,28,FALSE)*'Incremental Repayments'!$I$22)),0),0)</f>
        <v>0</v>
      </c>
      <c r="AY115" s="783">
        <f>IF('Incremental Repayments'!$R$22="Debt",IF(AND(AY$4&gt;=$D115,AY$4&lt;$D115+'Incremental Repayments'!$I$31),-PMT('Interest Rate'!$J$16,'Incremental Repayments'!$I$31,(HLOOKUP($D115,$E$4:$CZ$32,28,FALSE)*'Incremental Repayments'!$I$22)),0),0)</f>
        <v>0</v>
      </c>
      <c r="AZ115" s="783">
        <f>IF('Incremental Repayments'!$R$22="Debt",IF(AND(AZ$4&gt;=$D115,AZ$4&lt;$D115+'Incremental Repayments'!$I$31),-PMT('Interest Rate'!$J$16,'Incremental Repayments'!$I$31,(HLOOKUP($D115,$E$4:$CZ$32,28,FALSE)*'Incremental Repayments'!$I$22)),0),0)</f>
        <v>0</v>
      </c>
      <c r="BA115" s="783">
        <f>IF('Incremental Repayments'!$R$22="Debt",IF(AND(BA$4&gt;=$D115,BA$4&lt;$D115+'Incremental Repayments'!$I$31),-PMT('Interest Rate'!$J$16,'Incremental Repayments'!$I$31,(HLOOKUP($D115,$E$4:$CZ$32,28,FALSE)*'Incremental Repayments'!$I$22)),0),0)</f>
        <v>0</v>
      </c>
      <c r="BB115" s="783">
        <f>IF('Incremental Repayments'!$R$22="Debt",IF(AND(BB$4&gt;=$D115,BB$4&lt;$D115+'Incremental Repayments'!$I$31),-PMT('Interest Rate'!$J$16,'Incremental Repayments'!$I$31,(HLOOKUP($D115,$E$4:$CZ$32,28,FALSE)*'Incremental Repayments'!$I$22)),0),0)</f>
        <v>0</v>
      </c>
      <c r="BC115" s="783">
        <f>IF('Incremental Repayments'!$R$22="Debt",IF(AND(BC$4&gt;=$D115,BC$4&lt;$D115+'Incremental Repayments'!$I$31),-PMT('Interest Rate'!$J$16,'Incremental Repayments'!$I$31,(HLOOKUP($D115,$E$4:$CZ$32,28,FALSE)*'Incremental Repayments'!$I$22)),0),0)</f>
        <v>0</v>
      </c>
      <c r="BD115" s="783">
        <f>IF('Incremental Repayments'!$R$22="Debt",IF(AND(BD$4&gt;=$D115,BD$4&lt;$D115+'Incremental Repayments'!$I$31),-PMT('Interest Rate'!$J$16,'Incremental Repayments'!$I$31,(HLOOKUP($D115,$E$4:$CZ$32,28,FALSE)*'Incremental Repayments'!$I$22)),0),0)</f>
        <v>0</v>
      </c>
      <c r="BE115" s="783">
        <f>IF('Incremental Repayments'!$R$22="Debt",IF(AND(BE$4&gt;=$D115,BE$4&lt;$D115+'Incremental Repayments'!$I$31),-PMT('Interest Rate'!$J$16,'Incremental Repayments'!$I$31,(HLOOKUP($D115,$E$4:$CZ$32,28,FALSE)*'Incremental Repayments'!$I$22)),0),0)</f>
        <v>0</v>
      </c>
      <c r="BF115" s="783">
        <f>IF('Incremental Repayments'!$R$22="Debt",IF(AND(BF$4&gt;=$D115,BF$4&lt;$D115+'Incremental Repayments'!$I$31),-PMT('Interest Rate'!$J$16,'Incremental Repayments'!$I$31,(HLOOKUP($D115,$E$4:$CZ$32,28,FALSE)*'Incremental Repayments'!$I$22)),0),0)</f>
        <v>0</v>
      </c>
      <c r="BG115" s="783">
        <f>IF('Incremental Repayments'!$R$22="Debt",IF(AND(BG$4&gt;=$D115,BG$4&lt;$D115+'Incremental Repayments'!$I$31),-PMT('Interest Rate'!$J$16,'Incremental Repayments'!$I$31,(HLOOKUP($D115,$E$4:$CZ$32,28,FALSE)*'Incremental Repayments'!$I$22)),0),0)</f>
        <v>0</v>
      </c>
      <c r="BH115" s="783">
        <f>IF('Incremental Repayments'!$R$22="Debt",IF(AND(BH$4&gt;=$D115,BH$4&lt;$D115+'Incremental Repayments'!$I$31),-PMT('Interest Rate'!$J$16,'Incremental Repayments'!$I$31,(HLOOKUP($D115,$E$4:$CZ$32,28,FALSE)*'Incremental Repayments'!$I$22)),0),0)</f>
        <v>0</v>
      </c>
      <c r="BI115" s="783">
        <f>IF('Incremental Repayments'!$R$22="Debt",IF(AND(BI$4&gt;=$D115,BI$4&lt;$D115+'Incremental Repayments'!$I$31),-PMT('Interest Rate'!$J$16,'Incremental Repayments'!$I$31,(HLOOKUP($D115,$E$4:$CZ$32,28,FALSE)*'Incremental Repayments'!$I$22)),0),0)</f>
        <v>0</v>
      </c>
      <c r="BJ115" s="783">
        <f>IF('Incremental Repayments'!$R$22="Debt",IF(AND(BJ$4&gt;=$D115,BJ$4&lt;$D115+'Incremental Repayments'!$I$31),-PMT('Interest Rate'!$J$16,'Incremental Repayments'!$I$31,(HLOOKUP($D115,$E$4:$CZ$32,28,FALSE)*'Incremental Repayments'!$I$22)),0),0)</f>
        <v>0</v>
      </c>
      <c r="BK115" s="783">
        <f>IF('Incremental Repayments'!$R$22="Debt",IF(AND(BK$4&gt;=$D115,BK$4&lt;$D115+'Incremental Repayments'!$I$31),-PMT('Interest Rate'!$J$16,'Incremental Repayments'!$I$31,(HLOOKUP($D115,$E$4:$CZ$32,28,FALSE)*'Incremental Repayments'!$I$22)),0),0)</f>
        <v>0</v>
      </c>
      <c r="BL115" s="783">
        <f>IF('Incremental Repayments'!$R$22="Debt",IF(AND(BL$4&gt;=$D115,BL$4&lt;$D115+'Incremental Repayments'!$I$31),-PMT('Interest Rate'!$J$16,'Incremental Repayments'!$I$31,(HLOOKUP($D115,$E$4:$CZ$32,28,FALSE)*'Incremental Repayments'!$I$22)),0),0)</f>
        <v>0</v>
      </c>
      <c r="BM115" s="783">
        <f>IF('Incremental Repayments'!$R$22="Debt",IF(AND(BM$4&gt;=$D115,BM$4&lt;$D115+'Incremental Repayments'!$I$31),-PMT('Interest Rate'!$J$16,'Incremental Repayments'!$I$31,(HLOOKUP($D115,$E$4:$CZ$32,28,FALSE)*'Incremental Repayments'!$I$22)),0),0)</f>
        <v>0</v>
      </c>
      <c r="BN115" s="783">
        <f>IF('Incremental Repayments'!$R$22="Debt",IF(AND(BN$4&gt;=$D115,BN$4&lt;$D115+'Incremental Repayments'!$I$31),-PMT('Interest Rate'!$J$16,'Incremental Repayments'!$I$31,(HLOOKUP($D115,$E$4:$CZ$32,28,FALSE)*'Incremental Repayments'!$I$22)),0),0)</f>
        <v>0</v>
      </c>
      <c r="BO115" s="783">
        <f>IF('Incremental Repayments'!$R$22="Debt",IF(AND(BO$4&gt;=$D115,BO$4&lt;$D115+'Incremental Repayments'!$I$31),-PMT('Interest Rate'!$J$16,'Incremental Repayments'!$I$31,(HLOOKUP($D115,$E$4:$CZ$32,28,FALSE)*'Incremental Repayments'!$I$22)),0),0)</f>
        <v>0</v>
      </c>
      <c r="BP115" s="783">
        <f>IF('Incremental Repayments'!$R$22="Debt",IF(AND(BP$4&gt;=$D115,BP$4&lt;$D115+'Incremental Repayments'!$I$31),-PMT('Interest Rate'!$J$16,'Incremental Repayments'!$I$31,(HLOOKUP($D115,$E$4:$CZ$32,28,FALSE)*'Incremental Repayments'!$I$22)),0),0)</f>
        <v>0</v>
      </c>
      <c r="BQ115" s="783">
        <f>IF('Incremental Repayments'!$R$22="Debt",IF(AND(BQ$4&gt;=$D115,BQ$4&lt;$D115+'Incremental Repayments'!$I$31),-PMT('Interest Rate'!$J$16,'Incremental Repayments'!$I$31,(HLOOKUP($D115,$E$4:$CZ$32,28,FALSE)*'Incremental Repayments'!$I$22)),0),0)</f>
        <v>0</v>
      </c>
      <c r="BR115" s="783">
        <f>IF('Incremental Repayments'!$R$22="Debt",IF(AND(BR$4&gt;=$D115,BR$4&lt;$D115+'Incremental Repayments'!$I$31),-PMT('Interest Rate'!$J$16,'Incremental Repayments'!$I$31,(HLOOKUP($D115,$E$4:$CZ$32,28,FALSE)*'Incremental Repayments'!$I$22)),0),0)</f>
        <v>0</v>
      </c>
      <c r="BS115" s="783">
        <f>IF('Incremental Repayments'!$R$22="Debt",IF(AND(BS$4&gt;=$D115,BS$4&lt;$D115+'Incremental Repayments'!$I$31),-PMT('Interest Rate'!$J$16,'Incremental Repayments'!$I$31,(HLOOKUP($D115,$E$4:$CZ$32,28,FALSE)*'Incremental Repayments'!$I$22)),0),0)</f>
        <v>0</v>
      </c>
      <c r="BT115" s="783">
        <f>IF('Incremental Repayments'!$R$22="Debt",IF(AND(BT$4&gt;=$D115,BT$4&lt;$D115+'Incremental Repayments'!$I$31),-PMT('Interest Rate'!$J$16,'Incremental Repayments'!$I$31,(HLOOKUP($D115,$E$4:$CZ$32,28,FALSE)*'Incremental Repayments'!$I$22)),0),0)</f>
        <v>0</v>
      </c>
      <c r="BU115" s="783">
        <f>IF('Incremental Repayments'!$R$22="Debt",IF(AND(BU$4&gt;=$D115,BU$4&lt;$D115+'Incremental Repayments'!$I$31),-PMT('Interest Rate'!$J$16,'Incremental Repayments'!$I$31,(HLOOKUP($D115,$E$4:$CZ$32,28,FALSE)*'Incremental Repayments'!$I$22)),0),0)</f>
        <v>0</v>
      </c>
      <c r="BV115" s="783">
        <f>IF('Incremental Repayments'!$R$22="Debt",IF(AND(BV$4&gt;=$D115,BV$4&lt;$D115+'Incremental Repayments'!$I$31),-PMT('Interest Rate'!$J$16,'Incremental Repayments'!$I$31,(HLOOKUP($D115,$E$4:$CZ$32,28,FALSE)*'Incremental Repayments'!$I$22)),0),0)</f>
        <v>0</v>
      </c>
      <c r="BW115" s="783">
        <f>IF('Incremental Repayments'!$R$22="Debt",IF(AND(BW$4&gt;=$D115,BW$4&lt;$D115+'Incremental Repayments'!$I$31),-PMT('Interest Rate'!$J$16,'Incremental Repayments'!$I$31,(HLOOKUP($D115,$E$4:$CZ$32,28,FALSE)*'Incremental Repayments'!$I$22)),0),0)</f>
        <v>0</v>
      </c>
      <c r="BX115" s="783">
        <f>IF('Incremental Repayments'!$R$22="Debt",IF(AND(BX$4&gt;=$D115,BX$4&lt;$D115+'Incremental Repayments'!$I$31),-PMT('Interest Rate'!$J$16,'Incremental Repayments'!$I$31,(HLOOKUP($D115,$E$4:$CZ$32,28,FALSE)*'Incremental Repayments'!$I$22)),0),0)</f>
        <v>0</v>
      </c>
      <c r="BY115" s="783">
        <f>IF('Incremental Repayments'!$R$22="Debt",IF(AND(BY$4&gt;=$D115,BY$4&lt;$D115+'Incremental Repayments'!$I$31),-PMT('Interest Rate'!$J$16,'Incremental Repayments'!$I$31,(HLOOKUP($D115,$E$4:$CZ$32,28,FALSE)*'Incremental Repayments'!$I$22)),0),0)</f>
        <v>0</v>
      </c>
      <c r="BZ115" s="783">
        <f>IF('Incremental Repayments'!$R$22="Debt",IF(AND(BZ$4&gt;=$D115,BZ$4&lt;$D115+'Incremental Repayments'!$I$31),-PMT('Interest Rate'!$J$16,'Incremental Repayments'!$I$31,(HLOOKUP($D115,$E$4:$CZ$32,28,FALSE)*'Incremental Repayments'!$I$22)),0),0)</f>
        <v>0</v>
      </c>
      <c r="CA115" s="783">
        <f>IF('Incremental Repayments'!$R$22="Debt",IF(AND(CA$4&gt;=$D115,CA$4&lt;$D115+'Incremental Repayments'!$I$31),-PMT('Interest Rate'!$J$16,'Incremental Repayments'!$I$31,(HLOOKUP($D115,$E$4:$CZ$32,28,FALSE)*'Incremental Repayments'!$I$22)),0),0)</f>
        <v>0</v>
      </c>
      <c r="CB115" s="783">
        <f>IF('Incremental Repayments'!$R$22="Debt",IF(AND(CB$4&gt;=$D115,CB$4&lt;$D115+'Incremental Repayments'!$I$31),-PMT('Interest Rate'!$J$16,'Incremental Repayments'!$I$31,(HLOOKUP($D115,$E$4:$CZ$32,28,FALSE)*'Incremental Repayments'!$I$22)),0),0)</f>
        <v>0</v>
      </c>
      <c r="CC115" s="783">
        <f>IF('Incremental Repayments'!$R$22="Debt",IF(AND(CC$4&gt;=$D115,CC$4&lt;$D115+'Incremental Repayments'!$I$31),-PMT('Interest Rate'!$J$16,'Incremental Repayments'!$I$31,(HLOOKUP($D115,$E$4:$CZ$32,28,FALSE)*'Incremental Repayments'!$I$22)),0),0)</f>
        <v>0</v>
      </c>
      <c r="CD115" s="783">
        <f>IF('Incremental Repayments'!$R$22="Debt",IF(AND(CD$4&gt;=$D115,CD$4&lt;$D115+'Incremental Repayments'!$I$31),-PMT('Interest Rate'!$J$16,'Incremental Repayments'!$I$31,(HLOOKUP($D115,$E$4:$CZ$32,28,FALSE)*'Incremental Repayments'!$I$22)),0),0)</f>
        <v>0</v>
      </c>
      <c r="CE115" s="783">
        <f>IF('Incremental Repayments'!$R$22="Debt",IF(AND(CE$4&gt;=$D115,CE$4&lt;$D115+'Incremental Repayments'!$I$31),-PMT('Interest Rate'!$J$16,'Incremental Repayments'!$I$31,(HLOOKUP($D115,$E$4:$CZ$32,28,FALSE)*'Incremental Repayments'!$I$22)),0),0)</f>
        <v>0</v>
      </c>
      <c r="CF115" s="783">
        <f>IF('Incremental Repayments'!$R$22="Debt",IF(AND(CF$4&gt;=$D115,CF$4&lt;$D115+'Incremental Repayments'!$I$31),-PMT('Interest Rate'!$J$16,'Incremental Repayments'!$I$31,(HLOOKUP($D115,$E$4:$CZ$32,28,FALSE)*'Incremental Repayments'!$I$22)),0),0)</f>
        <v>0</v>
      </c>
      <c r="CG115" s="783">
        <f>IF('Incremental Repayments'!$R$22="Debt",IF(AND(CG$4&gt;=$D115,CG$4&lt;$D115+'Incremental Repayments'!$I$31),-PMT('Interest Rate'!$J$16,'Incremental Repayments'!$I$31,(HLOOKUP($D115,$E$4:$CZ$32,28,FALSE)*'Incremental Repayments'!$I$22)),0),0)</f>
        <v>0</v>
      </c>
      <c r="CH115" s="783">
        <f>IF('Incremental Repayments'!$R$22="Debt",IF(AND(CH$4&gt;=$D115,CH$4&lt;$D115+'Incremental Repayments'!$I$31),-PMT('Interest Rate'!$J$16,'Incremental Repayments'!$I$31,(HLOOKUP($D115,$E$4:$CZ$32,28,FALSE)*'Incremental Repayments'!$I$22)),0),0)</f>
        <v>0</v>
      </c>
      <c r="CI115" s="783">
        <f>IF('Incremental Repayments'!$R$22="Debt",IF(AND(CI$4&gt;=$D115,CI$4&lt;$D115+'Incremental Repayments'!$I$31),-PMT('Interest Rate'!$J$16,'Incremental Repayments'!$I$31,(HLOOKUP($D115,$E$4:$CZ$32,28,FALSE)*'Incremental Repayments'!$I$22)),0),0)</f>
        <v>0</v>
      </c>
      <c r="CJ115" s="783">
        <f>IF('Incremental Repayments'!$R$22="Debt",IF(AND(CJ$4&gt;=$D115,CJ$4&lt;$D115+'Incremental Repayments'!$I$31),-PMT('Interest Rate'!$J$16,'Incremental Repayments'!$I$31,(HLOOKUP($D115,$E$4:$CZ$32,28,FALSE)*'Incremental Repayments'!$I$22)),0),0)</f>
        <v>0</v>
      </c>
      <c r="CK115" s="783">
        <f>IF('Incremental Repayments'!$R$22="Debt",IF(AND(CK$4&gt;=$D115,CK$4&lt;$D115+'Incremental Repayments'!$I$31),-PMT('Interest Rate'!$J$16,'Incremental Repayments'!$I$31,(HLOOKUP($D115,$E$4:$CZ$32,28,FALSE)*'Incremental Repayments'!$I$22)),0),0)</f>
        <v>0</v>
      </c>
      <c r="CL115" s="783">
        <f>IF('Incremental Repayments'!$R$22="Debt",IF(AND(CL$4&gt;=$D115,CL$4&lt;$D115+'Incremental Repayments'!$I$31),-PMT('Interest Rate'!$J$16,'Incremental Repayments'!$I$31,(HLOOKUP($D115,$E$4:$CZ$32,28,FALSE)*'Incremental Repayments'!$I$22)),0),0)</f>
        <v>0</v>
      </c>
      <c r="CM115" s="783">
        <f>IF('Incremental Repayments'!$R$22="Debt",IF(AND(CM$4&gt;=$D115,CM$4&lt;$D115+'Incremental Repayments'!$I$31),-PMT('Interest Rate'!$J$16,'Incremental Repayments'!$I$31,(HLOOKUP($D115,$E$4:$CZ$32,28,FALSE)*'Incremental Repayments'!$I$22)),0),0)</f>
        <v>0</v>
      </c>
      <c r="CN115" s="783">
        <f>IF('Incremental Repayments'!$R$22="Debt",IF(AND(CN$4&gt;=$D115,CN$4&lt;$D115+'Incremental Repayments'!$I$31),-PMT('Interest Rate'!$J$16,'Incremental Repayments'!$I$31,(HLOOKUP($D115,$E$4:$CZ$32,28,FALSE)*'Incremental Repayments'!$I$22)),0),0)</f>
        <v>0</v>
      </c>
      <c r="CO115" s="783">
        <f>IF('Incremental Repayments'!$R$22="Debt",IF(AND(CO$4&gt;=$D115,CO$4&lt;$D115+'Incremental Repayments'!$I$31),-PMT('Interest Rate'!$J$16,'Incremental Repayments'!$I$31,(HLOOKUP($D115,$E$4:$CZ$32,28,FALSE)*'Incremental Repayments'!$I$22)),0),0)</f>
        <v>0</v>
      </c>
      <c r="CP115" s="783">
        <f>IF('Incremental Repayments'!$R$22="Debt",IF(AND(CP$4&gt;=$D115,CP$4&lt;$D115+'Incremental Repayments'!$I$31),-PMT('Interest Rate'!$J$16,'Incremental Repayments'!$I$31,(HLOOKUP($D115,$E$4:$CZ$32,28,FALSE)*'Incremental Repayments'!$I$22)),0),0)</f>
        <v>0</v>
      </c>
      <c r="CQ115" s="783">
        <f>IF('Incremental Repayments'!$R$22="Debt",IF(AND(CQ$4&gt;=$D115,CQ$4&lt;$D115+'Incremental Repayments'!$I$31),-PMT('Interest Rate'!$J$16,'Incremental Repayments'!$I$31,(HLOOKUP($D115,$E$4:$CZ$32,28,FALSE)*'Incremental Repayments'!$I$22)),0),0)</f>
        <v>0</v>
      </c>
      <c r="CR115" s="783">
        <f>IF('Incremental Repayments'!$R$22="Debt",IF(AND(CR$4&gt;=$D115,CR$4&lt;$D115+'Incremental Repayments'!$I$31),-PMT('Interest Rate'!$J$16,'Incremental Repayments'!$I$31,(HLOOKUP($D115,$E$4:$CZ$32,28,FALSE)*'Incremental Repayments'!$I$22)),0),0)</f>
        <v>0</v>
      </c>
      <c r="CS115" s="783">
        <f>IF('Incremental Repayments'!$R$22="Debt",IF(AND(CS$4&gt;=$D115,CS$4&lt;$D115+'Incremental Repayments'!$I$31),-PMT('Interest Rate'!$J$16,'Incremental Repayments'!$I$31,(HLOOKUP($D115,$E$4:$CZ$32,28,FALSE)*'Incremental Repayments'!$I$22)),0),0)</f>
        <v>0</v>
      </c>
      <c r="CT115" s="783">
        <f>IF('Incremental Repayments'!$R$22="Debt",IF(AND(CT$4&gt;=$D115,CT$4&lt;$D115+'Incremental Repayments'!$I$31),-PMT('Interest Rate'!$J$16,'Incremental Repayments'!$I$31,(HLOOKUP($D115,$E$4:$CZ$32,28,FALSE)*'Incremental Repayments'!$I$22)),0),0)</f>
        <v>0</v>
      </c>
      <c r="CU115" s="783">
        <f>IF('Incremental Repayments'!$R$22="Debt",IF(AND(CU$4&gt;=$D115,CU$4&lt;$D115+'Incremental Repayments'!$I$31),-PMT('Interest Rate'!$J$16,'Incremental Repayments'!$I$31,(HLOOKUP($D115,$E$4:$CZ$32,28,FALSE)*'Incremental Repayments'!$I$22)),0),0)</f>
        <v>0</v>
      </c>
      <c r="CV115" s="783">
        <f>IF('Incremental Repayments'!$R$22="Debt",IF(AND(CV$4&gt;=$D115,CV$4&lt;$D115+'Incremental Repayments'!$I$31),-PMT('Interest Rate'!$J$16,'Incremental Repayments'!$I$31,(HLOOKUP($D115,$E$4:$CZ$32,28,FALSE)*'Incremental Repayments'!$I$22)),0),0)</f>
        <v>0</v>
      </c>
      <c r="CW115" s="783">
        <f>IF('Incremental Repayments'!$R$22="Debt",IF(AND(CW$4&gt;=$D115,CW$4&lt;$D115+'Incremental Repayments'!$I$31),-PMT('Interest Rate'!$J$16,'Incremental Repayments'!$I$31,(HLOOKUP($D115,$E$4:$CZ$32,28,FALSE)*'Incremental Repayments'!$I$22)),0),0)</f>
        <v>0</v>
      </c>
      <c r="CX115" s="783">
        <f>IF('Incremental Repayments'!$R$22="Debt",IF(AND(CX$4&gt;=$D115,CX$4&lt;$D115+'Incremental Repayments'!$I$31),-PMT('Interest Rate'!$J$16,'Incremental Repayments'!$I$31,(HLOOKUP($D115,$E$4:$CZ$32,28,FALSE)*'Incremental Repayments'!$I$22)),0),0)</f>
        <v>0</v>
      </c>
      <c r="CY115" s="783">
        <f>IF('Incremental Repayments'!$R$22="Debt",IF(AND(CY$4&gt;=$D115,CY$4&lt;$D115+'Incremental Repayments'!$I$31),-PMT('Interest Rate'!$J$16,'Incremental Repayments'!$I$31,(HLOOKUP($D115,$E$4:$CZ$32,28,FALSE)*'Incremental Repayments'!$I$22)),0),0)</f>
        <v>0</v>
      </c>
      <c r="CZ115" s="783">
        <f>IF('Incremental Repayments'!$R$22="Debt",IF(AND(CZ$4&gt;=$D115,CZ$4&lt;$D115+'Incremental Repayments'!$I$31),-PMT('Interest Rate'!$J$16,'Incremental Repayments'!$I$31,(HLOOKUP($D115,$E$4:$CZ$32,28,FALSE)*'Incremental Repayments'!$I$22)),0),0)</f>
        <v>0</v>
      </c>
    </row>
    <row r="116" spans="1:104" x14ac:dyDescent="0.25">
      <c r="B116" s="480" t="str">
        <f>CONCATENATE("Series ",D116,"A Bonds (at ",'Interest Rate'!$J$16*100,"% Interest)")</f>
        <v>Series 2094A Bonds (at 4.5% Interest)</v>
      </c>
      <c r="C116" s="480"/>
      <c r="D116" s="492">
        <f t="shared" si="47"/>
        <v>2094</v>
      </c>
      <c r="E116" s="783">
        <f>IF('Incremental Repayments'!$R$22="Debt",IF(AND(E$4&gt;=$D116,E$4&lt;$D116+'Incremental Repayments'!$I$31),-PMT('Interest Rate'!$J$16,'Incremental Repayments'!$I$31,(HLOOKUP($D116,$E$4:$CZ$32,28,FALSE)*'Incremental Repayments'!$I$22)),0),0)</f>
        <v>0</v>
      </c>
      <c r="F116" s="783">
        <f>IF('Incremental Repayments'!$R$22="Debt",IF(AND(F$4&gt;=$D116,F$4&lt;$D116+'Incremental Repayments'!$I$31),-PMT('Interest Rate'!$J$16,'Incremental Repayments'!$I$31,(HLOOKUP($D116,$E$4:$CZ$32,28,FALSE)*'Incremental Repayments'!$I$22)),0),0)</f>
        <v>0</v>
      </c>
      <c r="G116" s="783">
        <f>IF('Incremental Repayments'!$R$22="Debt",IF(AND(G$4&gt;=$D116,G$4&lt;$D116+'Incremental Repayments'!$I$31),-PMT('Interest Rate'!$J$16,'Incremental Repayments'!$I$31,(HLOOKUP($D116,$E$4:$CZ$32,28,FALSE)*'Incremental Repayments'!$I$22)),0),0)</f>
        <v>0</v>
      </c>
      <c r="H116" s="783">
        <f>IF('Incremental Repayments'!$R$22="Debt",IF(AND(H$4&gt;=$D116,H$4&lt;$D116+'Incremental Repayments'!$I$31),-PMT('Interest Rate'!$J$16,'Incremental Repayments'!$I$31,(HLOOKUP($D116,$E$4:$CZ$32,28,FALSE)*'Incremental Repayments'!$I$22)),0),0)</f>
        <v>0</v>
      </c>
      <c r="I116" s="783">
        <f>IF('Incremental Repayments'!$R$22="Debt",IF(AND(I$4&gt;=$D116,I$4&lt;$D116+'Incremental Repayments'!$I$31),-PMT('Interest Rate'!$J$16,'Incremental Repayments'!$I$31,(HLOOKUP($D116,$E$4:$CZ$32,28,FALSE)*'Incremental Repayments'!$I$22)),0),0)</f>
        <v>0</v>
      </c>
      <c r="J116" s="783">
        <f>IF('Incremental Repayments'!$R$22="Debt",IF(AND(J$4&gt;=$D116,J$4&lt;$D116+'Incremental Repayments'!$I$31),-PMT('Interest Rate'!$J$16,'Incremental Repayments'!$I$31,(HLOOKUP($D116,$E$4:$CZ$32,28,FALSE)*'Incremental Repayments'!$I$22)),0),0)</f>
        <v>0</v>
      </c>
      <c r="K116" s="783">
        <f>IF('Incremental Repayments'!$R$22="Debt",IF(AND(K$4&gt;=$D116,K$4&lt;$D116+'Incremental Repayments'!$I$31),-PMT('Interest Rate'!$J$16,'Incremental Repayments'!$I$31,(HLOOKUP($D116,$E$4:$CZ$32,28,FALSE)*'Incremental Repayments'!$I$22)),0),0)</f>
        <v>0</v>
      </c>
      <c r="L116" s="783">
        <f>IF('Incremental Repayments'!$R$22="Debt",IF(AND(L$4&gt;=$D116,L$4&lt;$D116+'Incremental Repayments'!$I$31),-PMT('Interest Rate'!$J$16,'Incremental Repayments'!$I$31,(HLOOKUP($D116,$E$4:$CZ$32,28,FALSE)*'Incremental Repayments'!$I$22)),0),0)</f>
        <v>0</v>
      </c>
      <c r="M116" s="783">
        <f>IF('Incremental Repayments'!$R$22="Debt",IF(AND(M$4&gt;=$D116,M$4&lt;$D116+'Incremental Repayments'!$I$31),-PMT('Interest Rate'!$J$16,'Incremental Repayments'!$I$31,(HLOOKUP($D116,$E$4:$CZ$32,28,FALSE)*'Incremental Repayments'!$I$22)),0),0)</f>
        <v>0</v>
      </c>
      <c r="N116" s="783">
        <f>IF('Incremental Repayments'!$R$22="Debt",IF(AND(N$4&gt;=$D116,N$4&lt;$D116+'Incremental Repayments'!$I$31),-PMT('Interest Rate'!$J$16,'Incremental Repayments'!$I$31,(HLOOKUP($D116,$E$4:$CZ$32,28,FALSE)*'Incremental Repayments'!$I$22)),0),0)</f>
        <v>0</v>
      </c>
      <c r="O116" s="783">
        <f>IF('Incremental Repayments'!$R$22="Debt",IF(AND(O$4&gt;=$D116,O$4&lt;$D116+'Incremental Repayments'!$I$31),-PMT('Interest Rate'!$J$16,'Incremental Repayments'!$I$31,(HLOOKUP($D116,$E$4:$CZ$32,28,FALSE)*'Incremental Repayments'!$I$22)),0),0)</f>
        <v>0</v>
      </c>
      <c r="P116" s="783">
        <f>IF('Incremental Repayments'!$R$22="Debt",IF(AND(P$4&gt;=$D116,P$4&lt;$D116+'Incremental Repayments'!$I$31),-PMT('Interest Rate'!$J$16,'Incremental Repayments'!$I$31,(HLOOKUP($D116,$E$4:$CZ$32,28,FALSE)*'Incremental Repayments'!$I$22)),0),0)</f>
        <v>0</v>
      </c>
      <c r="Q116" s="783">
        <f>IF('Incremental Repayments'!$R$22="Debt",IF(AND(Q$4&gt;=$D116,Q$4&lt;$D116+'Incremental Repayments'!$I$31),-PMT('Interest Rate'!$J$16,'Incremental Repayments'!$I$31,(HLOOKUP($D116,$E$4:$CZ$32,28,FALSE)*'Incremental Repayments'!$I$22)),0),0)</f>
        <v>0</v>
      </c>
      <c r="R116" s="783">
        <f>IF('Incremental Repayments'!$R$22="Debt",IF(AND(R$4&gt;=$D116,R$4&lt;$D116+'Incremental Repayments'!$I$31),-PMT('Interest Rate'!$J$16,'Incremental Repayments'!$I$31,(HLOOKUP($D116,$E$4:$CZ$32,28,FALSE)*'Incremental Repayments'!$I$22)),0),0)</f>
        <v>0</v>
      </c>
      <c r="S116" s="783">
        <f>IF('Incremental Repayments'!$R$22="Debt",IF(AND(S$4&gt;=$D116,S$4&lt;$D116+'Incremental Repayments'!$I$31),-PMT('Interest Rate'!$J$16,'Incremental Repayments'!$I$31,(HLOOKUP($D116,$E$4:$CZ$32,28,FALSE)*'Incremental Repayments'!$I$22)),0),0)</f>
        <v>0</v>
      </c>
      <c r="T116" s="783">
        <f>IF('Incremental Repayments'!$R$22="Debt",IF(AND(T$4&gt;=$D116,T$4&lt;$D116+'Incremental Repayments'!$I$31),-PMT('Interest Rate'!$J$16,'Incremental Repayments'!$I$31,(HLOOKUP($D116,$E$4:$CZ$32,28,FALSE)*'Incremental Repayments'!$I$22)),0),0)</f>
        <v>0</v>
      </c>
      <c r="U116" s="783">
        <f>IF('Incremental Repayments'!$R$22="Debt",IF(AND(U$4&gt;=$D116,U$4&lt;$D116+'Incremental Repayments'!$I$31),-PMT('Interest Rate'!$J$16,'Incremental Repayments'!$I$31,(HLOOKUP($D116,$E$4:$CZ$32,28,FALSE)*'Incremental Repayments'!$I$22)),0),0)</f>
        <v>0</v>
      </c>
      <c r="V116" s="783">
        <f>IF('Incremental Repayments'!$R$22="Debt",IF(AND(V$4&gt;=$D116,V$4&lt;$D116+'Incremental Repayments'!$I$31),-PMT('Interest Rate'!$J$16,'Incremental Repayments'!$I$31,(HLOOKUP($D116,$E$4:$CZ$32,28,FALSE)*'Incremental Repayments'!$I$22)),0),0)</f>
        <v>0</v>
      </c>
      <c r="W116" s="783">
        <f>IF('Incremental Repayments'!$R$22="Debt",IF(AND(W$4&gt;=$D116,W$4&lt;$D116+'Incremental Repayments'!$I$31),-PMT('Interest Rate'!$J$16,'Incremental Repayments'!$I$31,(HLOOKUP($D116,$E$4:$CZ$32,28,FALSE)*'Incremental Repayments'!$I$22)),0),0)</f>
        <v>0</v>
      </c>
      <c r="X116" s="783">
        <f>IF('Incremental Repayments'!$R$22="Debt",IF(AND(X$4&gt;=$D116,X$4&lt;$D116+'Incremental Repayments'!$I$31),-PMT('Interest Rate'!$J$16,'Incremental Repayments'!$I$31,(HLOOKUP($D116,$E$4:$CZ$32,28,FALSE)*'Incremental Repayments'!$I$22)),0),0)</f>
        <v>0</v>
      </c>
      <c r="Y116" s="783">
        <f>IF('Incremental Repayments'!$R$22="Debt",IF(AND(Y$4&gt;=$D116,Y$4&lt;$D116+'Incremental Repayments'!$I$31),-PMT('Interest Rate'!$J$16,'Incremental Repayments'!$I$31,(HLOOKUP($D116,$E$4:$CZ$32,28,FALSE)*'Incremental Repayments'!$I$22)),0),0)</f>
        <v>0</v>
      </c>
      <c r="Z116" s="783">
        <f>IF('Incremental Repayments'!$R$22="Debt",IF(AND(Z$4&gt;=$D116,Z$4&lt;$D116+'Incremental Repayments'!$I$31),-PMT('Interest Rate'!$J$16,'Incremental Repayments'!$I$31,(HLOOKUP($D116,$E$4:$CZ$32,28,FALSE)*'Incremental Repayments'!$I$22)),0),0)</f>
        <v>0</v>
      </c>
      <c r="AA116" s="783">
        <f>IF('Incremental Repayments'!$R$22="Debt",IF(AND(AA$4&gt;=$D116,AA$4&lt;$D116+'Incremental Repayments'!$I$31),-PMT('Interest Rate'!$J$16,'Incremental Repayments'!$I$31,(HLOOKUP($D116,$E$4:$CZ$32,28,FALSE)*'Incremental Repayments'!$I$22)),0),0)</f>
        <v>0</v>
      </c>
      <c r="AB116" s="783">
        <f>IF('Incremental Repayments'!$R$22="Debt",IF(AND(AB$4&gt;=$D116,AB$4&lt;$D116+'Incremental Repayments'!$I$31),-PMT('Interest Rate'!$J$16,'Incremental Repayments'!$I$31,(HLOOKUP($D116,$E$4:$CZ$32,28,FALSE)*'Incremental Repayments'!$I$22)),0),0)</f>
        <v>0</v>
      </c>
      <c r="AC116" s="783">
        <f>IF('Incremental Repayments'!$R$22="Debt",IF(AND(AC$4&gt;=$D116,AC$4&lt;$D116+'Incremental Repayments'!$I$31),-PMT('Interest Rate'!$J$16,'Incremental Repayments'!$I$31,(HLOOKUP($D116,$E$4:$CZ$32,28,FALSE)*'Incremental Repayments'!$I$22)),0),0)</f>
        <v>0</v>
      </c>
      <c r="AD116" s="783">
        <f>IF('Incremental Repayments'!$R$22="Debt",IF(AND(AD$4&gt;=$D116,AD$4&lt;$D116+'Incremental Repayments'!$I$31),-PMT('Interest Rate'!$J$16,'Incremental Repayments'!$I$31,(HLOOKUP($D116,$E$4:$CZ$32,28,FALSE)*'Incremental Repayments'!$I$22)),0),0)</f>
        <v>0</v>
      </c>
      <c r="AE116" s="783">
        <f>IF('Incremental Repayments'!$R$22="Debt",IF(AND(AE$4&gt;=$D116,AE$4&lt;$D116+'Incremental Repayments'!$I$31),-PMT('Interest Rate'!$J$16,'Incremental Repayments'!$I$31,(HLOOKUP($D116,$E$4:$CZ$32,28,FALSE)*'Incremental Repayments'!$I$22)),0),0)</f>
        <v>0</v>
      </c>
      <c r="AF116" s="783">
        <f>IF('Incremental Repayments'!$R$22="Debt",IF(AND(AF$4&gt;=$D116,AF$4&lt;$D116+'Incremental Repayments'!$I$31),-PMT('Interest Rate'!$J$16,'Incremental Repayments'!$I$31,(HLOOKUP($D116,$E$4:$CZ$32,28,FALSE)*'Incremental Repayments'!$I$22)),0),0)</f>
        <v>0</v>
      </c>
      <c r="AG116" s="783">
        <f>IF('Incremental Repayments'!$R$22="Debt",IF(AND(AG$4&gt;=$D116,AG$4&lt;$D116+'Incremental Repayments'!$I$31),-PMT('Interest Rate'!$J$16,'Incremental Repayments'!$I$31,(HLOOKUP($D116,$E$4:$CZ$32,28,FALSE)*'Incremental Repayments'!$I$22)),0),0)</f>
        <v>0</v>
      </c>
      <c r="AH116" s="783">
        <f>IF('Incremental Repayments'!$R$22="Debt",IF(AND(AH$4&gt;=$D116,AH$4&lt;$D116+'Incremental Repayments'!$I$31),-PMT('Interest Rate'!$J$16,'Incremental Repayments'!$I$31,(HLOOKUP($D116,$E$4:$CZ$32,28,FALSE)*'Incremental Repayments'!$I$22)),0),0)</f>
        <v>0</v>
      </c>
      <c r="AI116" s="783">
        <f>IF('Incremental Repayments'!$R$22="Debt",IF(AND(AI$4&gt;=$D116,AI$4&lt;$D116+'Incremental Repayments'!$I$31),-PMT('Interest Rate'!$J$16,'Incremental Repayments'!$I$31,(HLOOKUP($D116,$E$4:$CZ$32,28,FALSE)*'Incremental Repayments'!$I$22)),0),0)</f>
        <v>0</v>
      </c>
      <c r="AJ116" s="783">
        <f>IF('Incremental Repayments'!$R$22="Debt",IF(AND(AJ$4&gt;=$D116,AJ$4&lt;$D116+'Incremental Repayments'!$I$31),-PMT('Interest Rate'!$J$16,'Incremental Repayments'!$I$31,(HLOOKUP($D116,$E$4:$CZ$32,28,FALSE)*'Incremental Repayments'!$I$22)),0),0)</f>
        <v>0</v>
      </c>
      <c r="AK116" s="783">
        <f>IF('Incremental Repayments'!$R$22="Debt",IF(AND(AK$4&gt;=$D116,AK$4&lt;$D116+'Incremental Repayments'!$I$31),-PMT('Interest Rate'!$J$16,'Incremental Repayments'!$I$31,(HLOOKUP($D116,$E$4:$CZ$32,28,FALSE)*'Incremental Repayments'!$I$22)),0),0)</f>
        <v>0</v>
      </c>
      <c r="AL116" s="783">
        <f>IF('Incremental Repayments'!$R$22="Debt",IF(AND(AL$4&gt;=$D116,AL$4&lt;$D116+'Incremental Repayments'!$I$31),-PMT('Interest Rate'!$J$16,'Incremental Repayments'!$I$31,(HLOOKUP($D116,$E$4:$CZ$32,28,FALSE)*'Incremental Repayments'!$I$22)),0),0)</f>
        <v>0</v>
      </c>
      <c r="AM116" s="783">
        <f>IF('Incremental Repayments'!$R$22="Debt",IF(AND(AM$4&gt;=$D116,AM$4&lt;$D116+'Incremental Repayments'!$I$31),-PMT('Interest Rate'!$J$16,'Incremental Repayments'!$I$31,(HLOOKUP($D116,$E$4:$CZ$32,28,FALSE)*'Incremental Repayments'!$I$22)),0),0)</f>
        <v>0</v>
      </c>
      <c r="AN116" s="783">
        <f>IF('Incremental Repayments'!$R$22="Debt",IF(AND(AN$4&gt;=$D116,AN$4&lt;$D116+'Incremental Repayments'!$I$31),-PMT('Interest Rate'!$J$16,'Incremental Repayments'!$I$31,(HLOOKUP($D116,$E$4:$CZ$32,28,FALSE)*'Incremental Repayments'!$I$22)),0),0)</f>
        <v>0</v>
      </c>
      <c r="AO116" s="783">
        <f>IF('Incremental Repayments'!$R$22="Debt",IF(AND(AO$4&gt;=$D116,AO$4&lt;$D116+'Incremental Repayments'!$I$31),-PMT('Interest Rate'!$J$16,'Incremental Repayments'!$I$31,(HLOOKUP($D116,$E$4:$CZ$32,28,FALSE)*'Incremental Repayments'!$I$22)),0),0)</f>
        <v>0</v>
      </c>
      <c r="AP116" s="783">
        <f>IF('Incremental Repayments'!$R$22="Debt",IF(AND(AP$4&gt;=$D116,AP$4&lt;$D116+'Incremental Repayments'!$I$31),-PMT('Interest Rate'!$J$16,'Incremental Repayments'!$I$31,(HLOOKUP($D116,$E$4:$CZ$32,28,FALSE)*'Incremental Repayments'!$I$22)),0),0)</f>
        <v>0</v>
      </c>
      <c r="AQ116" s="783">
        <f>IF('Incremental Repayments'!$R$22="Debt",IF(AND(AQ$4&gt;=$D116,AQ$4&lt;$D116+'Incremental Repayments'!$I$31),-PMT('Interest Rate'!$J$16,'Incremental Repayments'!$I$31,(HLOOKUP($D116,$E$4:$CZ$32,28,FALSE)*'Incremental Repayments'!$I$22)),0),0)</f>
        <v>0</v>
      </c>
      <c r="AR116" s="783">
        <f>IF('Incremental Repayments'!$R$22="Debt",IF(AND(AR$4&gt;=$D116,AR$4&lt;$D116+'Incremental Repayments'!$I$31),-PMT('Interest Rate'!$J$16,'Incremental Repayments'!$I$31,(HLOOKUP($D116,$E$4:$CZ$32,28,FALSE)*'Incremental Repayments'!$I$22)),0),0)</f>
        <v>0</v>
      </c>
      <c r="AS116" s="783">
        <f>IF('Incremental Repayments'!$R$22="Debt",IF(AND(AS$4&gt;=$D116,AS$4&lt;$D116+'Incremental Repayments'!$I$31),-PMT('Interest Rate'!$J$16,'Incremental Repayments'!$I$31,(HLOOKUP($D116,$E$4:$CZ$32,28,FALSE)*'Incremental Repayments'!$I$22)),0),0)</f>
        <v>0</v>
      </c>
      <c r="AT116" s="783">
        <f>IF('Incremental Repayments'!$R$22="Debt",IF(AND(AT$4&gt;=$D116,AT$4&lt;$D116+'Incremental Repayments'!$I$31),-PMT('Interest Rate'!$J$16,'Incremental Repayments'!$I$31,(HLOOKUP($D116,$E$4:$CZ$32,28,FALSE)*'Incremental Repayments'!$I$22)),0),0)</f>
        <v>0</v>
      </c>
      <c r="AU116" s="783">
        <f>IF('Incremental Repayments'!$R$22="Debt",IF(AND(AU$4&gt;=$D116,AU$4&lt;$D116+'Incremental Repayments'!$I$31),-PMT('Interest Rate'!$J$16,'Incremental Repayments'!$I$31,(HLOOKUP($D116,$E$4:$CZ$32,28,FALSE)*'Incremental Repayments'!$I$22)),0),0)</f>
        <v>0</v>
      </c>
      <c r="AV116" s="783">
        <f>IF('Incremental Repayments'!$R$22="Debt",IF(AND(AV$4&gt;=$D116,AV$4&lt;$D116+'Incremental Repayments'!$I$31),-PMT('Interest Rate'!$J$16,'Incremental Repayments'!$I$31,(HLOOKUP($D116,$E$4:$CZ$32,28,FALSE)*'Incremental Repayments'!$I$22)),0),0)</f>
        <v>0</v>
      </c>
      <c r="AW116" s="783">
        <f>IF('Incremental Repayments'!$R$22="Debt",IF(AND(AW$4&gt;=$D116,AW$4&lt;$D116+'Incremental Repayments'!$I$31),-PMT('Interest Rate'!$J$16,'Incremental Repayments'!$I$31,(HLOOKUP($D116,$E$4:$CZ$32,28,FALSE)*'Incremental Repayments'!$I$22)),0),0)</f>
        <v>0</v>
      </c>
      <c r="AX116" s="783">
        <f>IF('Incremental Repayments'!$R$22="Debt",IF(AND(AX$4&gt;=$D116,AX$4&lt;$D116+'Incremental Repayments'!$I$31),-PMT('Interest Rate'!$J$16,'Incremental Repayments'!$I$31,(HLOOKUP($D116,$E$4:$CZ$32,28,FALSE)*'Incremental Repayments'!$I$22)),0),0)</f>
        <v>0</v>
      </c>
      <c r="AY116" s="783">
        <f>IF('Incremental Repayments'!$R$22="Debt",IF(AND(AY$4&gt;=$D116,AY$4&lt;$D116+'Incremental Repayments'!$I$31),-PMT('Interest Rate'!$J$16,'Incremental Repayments'!$I$31,(HLOOKUP($D116,$E$4:$CZ$32,28,FALSE)*'Incremental Repayments'!$I$22)),0),0)</f>
        <v>0</v>
      </c>
      <c r="AZ116" s="783">
        <f>IF('Incremental Repayments'!$R$22="Debt",IF(AND(AZ$4&gt;=$D116,AZ$4&lt;$D116+'Incremental Repayments'!$I$31),-PMT('Interest Rate'!$J$16,'Incremental Repayments'!$I$31,(HLOOKUP($D116,$E$4:$CZ$32,28,FALSE)*'Incremental Repayments'!$I$22)),0),0)</f>
        <v>0</v>
      </c>
      <c r="BA116" s="783">
        <f>IF('Incremental Repayments'!$R$22="Debt",IF(AND(BA$4&gt;=$D116,BA$4&lt;$D116+'Incremental Repayments'!$I$31),-PMT('Interest Rate'!$J$16,'Incremental Repayments'!$I$31,(HLOOKUP($D116,$E$4:$CZ$32,28,FALSE)*'Incremental Repayments'!$I$22)),0),0)</f>
        <v>0</v>
      </c>
      <c r="BB116" s="783">
        <f>IF('Incremental Repayments'!$R$22="Debt",IF(AND(BB$4&gt;=$D116,BB$4&lt;$D116+'Incremental Repayments'!$I$31),-PMT('Interest Rate'!$J$16,'Incremental Repayments'!$I$31,(HLOOKUP($D116,$E$4:$CZ$32,28,FALSE)*'Incremental Repayments'!$I$22)),0),0)</f>
        <v>0</v>
      </c>
      <c r="BC116" s="783">
        <f>IF('Incremental Repayments'!$R$22="Debt",IF(AND(BC$4&gt;=$D116,BC$4&lt;$D116+'Incremental Repayments'!$I$31),-PMT('Interest Rate'!$J$16,'Incremental Repayments'!$I$31,(HLOOKUP($D116,$E$4:$CZ$32,28,FALSE)*'Incremental Repayments'!$I$22)),0),0)</f>
        <v>0</v>
      </c>
      <c r="BD116" s="783">
        <f>IF('Incremental Repayments'!$R$22="Debt",IF(AND(BD$4&gt;=$D116,BD$4&lt;$D116+'Incremental Repayments'!$I$31),-PMT('Interest Rate'!$J$16,'Incremental Repayments'!$I$31,(HLOOKUP($D116,$E$4:$CZ$32,28,FALSE)*'Incremental Repayments'!$I$22)),0),0)</f>
        <v>0</v>
      </c>
      <c r="BE116" s="783">
        <f>IF('Incremental Repayments'!$R$22="Debt",IF(AND(BE$4&gt;=$D116,BE$4&lt;$D116+'Incremental Repayments'!$I$31),-PMT('Interest Rate'!$J$16,'Incremental Repayments'!$I$31,(HLOOKUP($D116,$E$4:$CZ$32,28,FALSE)*'Incremental Repayments'!$I$22)),0),0)</f>
        <v>0</v>
      </c>
      <c r="BF116" s="783">
        <f>IF('Incremental Repayments'!$R$22="Debt",IF(AND(BF$4&gt;=$D116,BF$4&lt;$D116+'Incremental Repayments'!$I$31),-PMT('Interest Rate'!$J$16,'Incremental Repayments'!$I$31,(HLOOKUP($D116,$E$4:$CZ$32,28,FALSE)*'Incremental Repayments'!$I$22)),0),0)</f>
        <v>0</v>
      </c>
      <c r="BG116" s="783">
        <f>IF('Incremental Repayments'!$R$22="Debt",IF(AND(BG$4&gt;=$D116,BG$4&lt;$D116+'Incremental Repayments'!$I$31),-PMT('Interest Rate'!$J$16,'Incremental Repayments'!$I$31,(HLOOKUP($D116,$E$4:$CZ$32,28,FALSE)*'Incremental Repayments'!$I$22)),0),0)</f>
        <v>0</v>
      </c>
      <c r="BH116" s="783">
        <f>IF('Incremental Repayments'!$R$22="Debt",IF(AND(BH$4&gt;=$D116,BH$4&lt;$D116+'Incremental Repayments'!$I$31),-PMT('Interest Rate'!$J$16,'Incremental Repayments'!$I$31,(HLOOKUP($D116,$E$4:$CZ$32,28,FALSE)*'Incremental Repayments'!$I$22)),0),0)</f>
        <v>0</v>
      </c>
      <c r="BI116" s="783">
        <f>IF('Incremental Repayments'!$R$22="Debt",IF(AND(BI$4&gt;=$D116,BI$4&lt;$D116+'Incremental Repayments'!$I$31),-PMT('Interest Rate'!$J$16,'Incremental Repayments'!$I$31,(HLOOKUP($D116,$E$4:$CZ$32,28,FALSE)*'Incremental Repayments'!$I$22)),0),0)</f>
        <v>0</v>
      </c>
      <c r="BJ116" s="783">
        <f>IF('Incremental Repayments'!$R$22="Debt",IF(AND(BJ$4&gt;=$D116,BJ$4&lt;$D116+'Incremental Repayments'!$I$31),-PMT('Interest Rate'!$J$16,'Incremental Repayments'!$I$31,(HLOOKUP($D116,$E$4:$CZ$32,28,FALSE)*'Incremental Repayments'!$I$22)),0),0)</f>
        <v>0</v>
      </c>
      <c r="BK116" s="783">
        <f>IF('Incremental Repayments'!$R$22="Debt",IF(AND(BK$4&gt;=$D116,BK$4&lt;$D116+'Incremental Repayments'!$I$31),-PMT('Interest Rate'!$J$16,'Incremental Repayments'!$I$31,(HLOOKUP($D116,$E$4:$CZ$32,28,FALSE)*'Incremental Repayments'!$I$22)),0),0)</f>
        <v>0</v>
      </c>
      <c r="BL116" s="783">
        <f>IF('Incremental Repayments'!$R$22="Debt",IF(AND(BL$4&gt;=$D116,BL$4&lt;$D116+'Incremental Repayments'!$I$31),-PMT('Interest Rate'!$J$16,'Incremental Repayments'!$I$31,(HLOOKUP($D116,$E$4:$CZ$32,28,FALSE)*'Incremental Repayments'!$I$22)),0),0)</f>
        <v>0</v>
      </c>
      <c r="BM116" s="783">
        <f>IF('Incremental Repayments'!$R$22="Debt",IF(AND(BM$4&gt;=$D116,BM$4&lt;$D116+'Incremental Repayments'!$I$31),-PMT('Interest Rate'!$J$16,'Incremental Repayments'!$I$31,(HLOOKUP($D116,$E$4:$CZ$32,28,FALSE)*'Incremental Repayments'!$I$22)),0),0)</f>
        <v>0</v>
      </c>
      <c r="BN116" s="783">
        <f>IF('Incremental Repayments'!$R$22="Debt",IF(AND(BN$4&gt;=$D116,BN$4&lt;$D116+'Incremental Repayments'!$I$31),-PMT('Interest Rate'!$J$16,'Incremental Repayments'!$I$31,(HLOOKUP($D116,$E$4:$CZ$32,28,FALSE)*'Incremental Repayments'!$I$22)),0),0)</f>
        <v>0</v>
      </c>
      <c r="BO116" s="783">
        <f>IF('Incremental Repayments'!$R$22="Debt",IF(AND(BO$4&gt;=$D116,BO$4&lt;$D116+'Incremental Repayments'!$I$31),-PMT('Interest Rate'!$J$16,'Incremental Repayments'!$I$31,(HLOOKUP($D116,$E$4:$CZ$32,28,FALSE)*'Incremental Repayments'!$I$22)),0),0)</f>
        <v>0</v>
      </c>
      <c r="BP116" s="783">
        <f>IF('Incremental Repayments'!$R$22="Debt",IF(AND(BP$4&gt;=$D116,BP$4&lt;$D116+'Incremental Repayments'!$I$31),-PMT('Interest Rate'!$J$16,'Incremental Repayments'!$I$31,(HLOOKUP($D116,$E$4:$CZ$32,28,FALSE)*'Incremental Repayments'!$I$22)),0),0)</f>
        <v>0</v>
      </c>
      <c r="BQ116" s="783">
        <f>IF('Incremental Repayments'!$R$22="Debt",IF(AND(BQ$4&gt;=$D116,BQ$4&lt;$D116+'Incremental Repayments'!$I$31),-PMT('Interest Rate'!$J$16,'Incremental Repayments'!$I$31,(HLOOKUP($D116,$E$4:$CZ$32,28,FALSE)*'Incremental Repayments'!$I$22)),0),0)</f>
        <v>0</v>
      </c>
      <c r="BR116" s="783">
        <f>IF('Incremental Repayments'!$R$22="Debt",IF(AND(BR$4&gt;=$D116,BR$4&lt;$D116+'Incremental Repayments'!$I$31),-PMT('Interest Rate'!$J$16,'Incremental Repayments'!$I$31,(HLOOKUP($D116,$E$4:$CZ$32,28,FALSE)*'Incremental Repayments'!$I$22)),0),0)</f>
        <v>0</v>
      </c>
      <c r="BS116" s="783">
        <f>IF('Incremental Repayments'!$R$22="Debt",IF(AND(BS$4&gt;=$D116,BS$4&lt;$D116+'Incremental Repayments'!$I$31),-PMT('Interest Rate'!$J$16,'Incremental Repayments'!$I$31,(HLOOKUP($D116,$E$4:$CZ$32,28,FALSE)*'Incremental Repayments'!$I$22)),0),0)</f>
        <v>0</v>
      </c>
      <c r="BT116" s="783">
        <f>IF('Incremental Repayments'!$R$22="Debt",IF(AND(BT$4&gt;=$D116,BT$4&lt;$D116+'Incremental Repayments'!$I$31),-PMT('Interest Rate'!$J$16,'Incremental Repayments'!$I$31,(HLOOKUP($D116,$E$4:$CZ$32,28,FALSE)*'Incremental Repayments'!$I$22)),0),0)</f>
        <v>0</v>
      </c>
      <c r="BU116" s="783">
        <f>IF('Incremental Repayments'!$R$22="Debt",IF(AND(BU$4&gt;=$D116,BU$4&lt;$D116+'Incremental Repayments'!$I$31),-PMT('Interest Rate'!$J$16,'Incremental Repayments'!$I$31,(HLOOKUP($D116,$E$4:$CZ$32,28,FALSE)*'Incremental Repayments'!$I$22)),0),0)</f>
        <v>0</v>
      </c>
      <c r="BV116" s="783">
        <f>IF('Incremental Repayments'!$R$22="Debt",IF(AND(BV$4&gt;=$D116,BV$4&lt;$D116+'Incremental Repayments'!$I$31),-PMT('Interest Rate'!$J$16,'Incremental Repayments'!$I$31,(HLOOKUP($D116,$E$4:$CZ$32,28,FALSE)*'Incremental Repayments'!$I$22)),0),0)</f>
        <v>0</v>
      </c>
      <c r="BW116" s="783">
        <f>IF('Incremental Repayments'!$R$22="Debt",IF(AND(BW$4&gt;=$D116,BW$4&lt;$D116+'Incremental Repayments'!$I$31),-PMT('Interest Rate'!$J$16,'Incremental Repayments'!$I$31,(HLOOKUP($D116,$E$4:$CZ$32,28,FALSE)*'Incremental Repayments'!$I$22)),0),0)</f>
        <v>0</v>
      </c>
      <c r="BX116" s="783">
        <f>IF('Incremental Repayments'!$R$22="Debt",IF(AND(BX$4&gt;=$D116,BX$4&lt;$D116+'Incremental Repayments'!$I$31),-PMT('Interest Rate'!$J$16,'Incremental Repayments'!$I$31,(HLOOKUP($D116,$E$4:$CZ$32,28,FALSE)*'Incremental Repayments'!$I$22)),0),0)</f>
        <v>0</v>
      </c>
      <c r="BY116" s="783">
        <f>IF('Incremental Repayments'!$R$22="Debt",IF(AND(BY$4&gt;=$D116,BY$4&lt;$D116+'Incremental Repayments'!$I$31),-PMT('Interest Rate'!$J$16,'Incremental Repayments'!$I$31,(HLOOKUP($D116,$E$4:$CZ$32,28,FALSE)*'Incremental Repayments'!$I$22)),0),0)</f>
        <v>0</v>
      </c>
      <c r="BZ116" s="783">
        <f>IF('Incremental Repayments'!$R$22="Debt",IF(AND(BZ$4&gt;=$D116,BZ$4&lt;$D116+'Incremental Repayments'!$I$31),-PMT('Interest Rate'!$J$16,'Incremental Repayments'!$I$31,(HLOOKUP($D116,$E$4:$CZ$32,28,FALSE)*'Incremental Repayments'!$I$22)),0),0)</f>
        <v>0</v>
      </c>
      <c r="CA116" s="783">
        <f>IF('Incremental Repayments'!$R$22="Debt",IF(AND(CA$4&gt;=$D116,CA$4&lt;$D116+'Incremental Repayments'!$I$31),-PMT('Interest Rate'!$J$16,'Incremental Repayments'!$I$31,(HLOOKUP($D116,$E$4:$CZ$32,28,FALSE)*'Incremental Repayments'!$I$22)),0),0)</f>
        <v>0</v>
      </c>
      <c r="CB116" s="783">
        <f>IF('Incremental Repayments'!$R$22="Debt",IF(AND(CB$4&gt;=$D116,CB$4&lt;$D116+'Incremental Repayments'!$I$31),-PMT('Interest Rate'!$J$16,'Incremental Repayments'!$I$31,(HLOOKUP($D116,$E$4:$CZ$32,28,FALSE)*'Incremental Repayments'!$I$22)),0),0)</f>
        <v>0</v>
      </c>
      <c r="CC116" s="783">
        <f>IF('Incremental Repayments'!$R$22="Debt",IF(AND(CC$4&gt;=$D116,CC$4&lt;$D116+'Incremental Repayments'!$I$31),-PMT('Interest Rate'!$J$16,'Incremental Repayments'!$I$31,(HLOOKUP($D116,$E$4:$CZ$32,28,FALSE)*'Incremental Repayments'!$I$22)),0),0)</f>
        <v>0</v>
      </c>
      <c r="CD116" s="783">
        <f>IF('Incremental Repayments'!$R$22="Debt",IF(AND(CD$4&gt;=$D116,CD$4&lt;$D116+'Incremental Repayments'!$I$31),-PMT('Interest Rate'!$J$16,'Incremental Repayments'!$I$31,(HLOOKUP($D116,$E$4:$CZ$32,28,FALSE)*'Incremental Repayments'!$I$22)),0),0)</f>
        <v>0</v>
      </c>
      <c r="CE116" s="783">
        <f>IF('Incremental Repayments'!$R$22="Debt",IF(AND(CE$4&gt;=$D116,CE$4&lt;$D116+'Incremental Repayments'!$I$31),-PMT('Interest Rate'!$J$16,'Incremental Repayments'!$I$31,(HLOOKUP($D116,$E$4:$CZ$32,28,FALSE)*'Incremental Repayments'!$I$22)),0),0)</f>
        <v>0</v>
      </c>
      <c r="CF116" s="783">
        <f>IF('Incremental Repayments'!$R$22="Debt",IF(AND(CF$4&gt;=$D116,CF$4&lt;$D116+'Incremental Repayments'!$I$31),-PMT('Interest Rate'!$J$16,'Incremental Repayments'!$I$31,(HLOOKUP($D116,$E$4:$CZ$32,28,FALSE)*'Incremental Repayments'!$I$22)),0),0)</f>
        <v>0</v>
      </c>
      <c r="CG116" s="783">
        <f>IF('Incremental Repayments'!$R$22="Debt",IF(AND(CG$4&gt;=$D116,CG$4&lt;$D116+'Incremental Repayments'!$I$31),-PMT('Interest Rate'!$J$16,'Incremental Repayments'!$I$31,(HLOOKUP($D116,$E$4:$CZ$32,28,FALSE)*'Incremental Repayments'!$I$22)),0),0)</f>
        <v>0</v>
      </c>
      <c r="CH116" s="783">
        <f>IF('Incremental Repayments'!$R$22="Debt",IF(AND(CH$4&gt;=$D116,CH$4&lt;$D116+'Incremental Repayments'!$I$31),-PMT('Interest Rate'!$J$16,'Incremental Repayments'!$I$31,(HLOOKUP($D116,$E$4:$CZ$32,28,FALSE)*'Incremental Repayments'!$I$22)),0),0)</f>
        <v>0</v>
      </c>
      <c r="CI116" s="783">
        <f>IF('Incremental Repayments'!$R$22="Debt",IF(AND(CI$4&gt;=$D116,CI$4&lt;$D116+'Incremental Repayments'!$I$31),-PMT('Interest Rate'!$J$16,'Incremental Repayments'!$I$31,(HLOOKUP($D116,$E$4:$CZ$32,28,FALSE)*'Incremental Repayments'!$I$22)),0),0)</f>
        <v>0</v>
      </c>
      <c r="CJ116" s="783">
        <f>IF('Incremental Repayments'!$R$22="Debt",IF(AND(CJ$4&gt;=$D116,CJ$4&lt;$D116+'Incremental Repayments'!$I$31),-PMT('Interest Rate'!$J$16,'Incremental Repayments'!$I$31,(HLOOKUP($D116,$E$4:$CZ$32,28,FALSE)*'Incremental Repayments'!$I$22)),0),0)</f>
        <v>0</v>
      </c>
      <c r="CK116" s="783">
        <f>IF('Incremental Repayments'!$R$22="Debt",IF(AND(CK$4&gt;=$D116,CK$4&lt;$D116+'Incremental Repayments'!$I$31),-PMT('Interest Rate'!$J$16,'Incremental Repayments'!$I$31,(HLOOKUP($D116,$E$4:$CZ$32,28,FALSE)*'Incremental Repayments'!$I$22)),0),0)</f>
        <v>0</v>
      </c>
      <c r="CL116" s="783">
        <f>IF('Incremental Repayments'!$R$22="Debt",IF(AND(CL$4&gt;=$D116,CL$4&lt;$D116+'Incremental Repayments'!$I$31),-PMT('Interest Rate'!$J$16,'Incremental Repayments'!$I$31,(HLOOKUP($D116,$E$4:$CZ$32,28,FALSE)*'Incremental Repayments'!$I$22)),0),0)</f>
        <v>0</v>
      </c>
      <c r="CM116" s="783">
        <f>IF('Incremental Repayments'!$R$22="Debt",IF(AND(CM$4&gt;=$D116,CM$4&lt;$D116+'Incremental Repayments'!$I$31),-PMT('Interest Rate'!$J$16,'Incremental Repayments'!$I$31,(HLOOKUP($D116,$E$4:$CZ$32,28,FALSE)*'Incremental Repayments'!$I$22)),0),0)</f>
        <v>0</v>
      </c>
      <c r="CN116" s="783">
        <f>IF('Incremental Repayments'!$R$22="Debt",IF(AND(CN$4&gt;=$D116,CN$4&lt;$D116+'Incremental Repayments'!$I$31),-PMT('Interest Rate'!$J$16,'Incremental Repayments'!$I$31,(HLOOKUP($D116,$E$4:$CZ$32,28,FALSE)*'Incremental Repayments'!$I$22)),0),0)</f>
        <v>0</v>
      </c>
      <c r="CO116" s="783">
        <f>IF('Incremental Repayments'!$R$22="Debt",IF(AND(CO$4&gt;=$D116,CO$4&lt;$D116+'Incremental Repayments'!$I$31),-PMT('Interest Rate'!$J$16,'Incremental Repayments'!$I$31,(HLOOKUP($D116,$E$4:$CZ$32,28,FALSE)*'Incremental Repayments'!$I$22)),0),0)</f>
        <v>0</v>
      </c>
      <c r="CP116" s="783">
        <f>IF('Incremental Repayments'!$R$22="Debt",IF(AND(CP$4&gt;=$D116,CP$4&lt;$D116+'Incremental Repayments'!$I$31),-PMT('Interest Rate'!$J$16,'Incremental Repayments'!$I$31,(HLOOKUP($D116,$E$4:$CZ$32,28,FALSE)*'Incremental Repayments'!$I$22)),0),0)</f>
        <v>0</v>
      </c>
      <c r="CQ116" s="783">
        <f>IF('Incremental Repayments'!$R$22="Debt",IF(AND(CQ$4&gt;=$D116,CQ$4&lt;$D116+'Incremental Repayments'!$I$31),-PMT('Interest Rate'!$J$16,'Incremental Repayments'!$I$31,(HLOOKUP($D116,$E$4:$CZ$32,28,FALSE)*'Incremental Repayments'!$I$22)),0),0)</f>
        <v>0</v>
      </c>
      <c r="CR116" s="783">
        <f>IF('Incremental Repayments'!$R$22="Debt",IF(AND(CR$4&gt;=$D116,CR$4&lt;$D116+'Incremental Repayments'!$I$31),-PMT('Interest Rate'!$J$16,'Incremental Repayments'!$I$31,(HLOOKUP($D116,$E$4:$CZ$32,28,FALSE)*'Incremental Repayments'!$I$22)),0),0)</f>
        <v>0</v>
      </c>
      <c r="CS116" s="783">
        <f>IF('Incremental Repayments'!$R$22="Debt",IF(AND(CS$4&gt;=$D116,CS$4&lt;$D116+'Incremental Repayments'!$I$31),-PMT('Interest Rate'!$J$16,'Incremental Repayments'!$I$31,(HLOOKUP($D116,$E$4:$CZ$32,28,FALSE)*'Incremental Repayments'!$I$22)),0),0)</f>
        <v>0</v>
      </c>
      <c r="CT116" s="783">
        <f>IF('Incremental Repayments'!$R$22="Debt",IF(AND(CT$4&gt;=$D116,CT$4&lt;$D116+'Incremental Repayments'!$I$31),-PMT('Interest Rate'!$J$16,'Incremental Repayments'!$I$31,(HLOOKUP($D116,$E$4:$CZ$32,28,FALSE)*'Incremental Repayments'!$I$22)),0),0)</f>
        <v>0</v>
      </c>
      <c r="CU116" s="783">
        <f>IF('Incremental Repayments'!$R$22="Debt",IF(AND(CU$4&gt;=$D116,CU$4&lt;$D116+'Incremental Repayments'!$I$31),-PMT('Interest Rate'!$J$16,'Incremental Repayments'!$I$31,(HLOOKUP($D116,$E$4:$CZ$32,28,FALSE)*'Incremental Repayments'!$I$22)),0),0)</f>
        <v>0</v>
      </c>
      <c r="CV116" s="783">
        <f>IF('Incremental Repayments'!$R$22="Debt",IF(AND(CV$4&gt;=$D116,CV$4&lt;$D116+'Incremental Repayments'!$I$31),-PMT('Interest Rate'!$J$16,'Incremental Repayments'!$I$31,(HLOOKUP($D116,$E$4:$CZ$32,28,FALSE)*'Incremental Repayments'!$I$22)),0),0)</f>
        <v>0</v>
      </c>
      <c r="CW116" s="783">
        <f>IF('Incremental Repayments'!$R$22="Debt",IF(AND(CW$4&gt;=$D116,CW$4&lt;$D116+'Incremental Repayments'!$I$31),-PMT('Interest Rate'!$J$16,'Incremental Repayments'!$I$31,(HLOOKUP($D116,$E$4:$CZ$32,28,FALSE)*'Incremental Repayments'!$I$22)),0),0)</f>
        <v>0</v>
      </c>
      <c r="CX116" s="783">
        <f>IF('Incremental Repayments'!$R$22="Debt",IF(AND(CX$4&gt;=$D116,CX$4&lt;$D116+'Incremental Repayments'!$I$31),-PMT('Interest Rate'!$J$16,'Incremental Repayments'!$I$31,(HLOOKUP($D116,$E$4:$CZ$32,28,FALSE)*'Incremental Repayments'!$I$22)),0),0)</f>
        <v>0</v>
      </c>
      <c r="CY116" s="783">
        <f>IF('Incremental Repayments'!$R$22="Debt",IF(AND(CY$4&gt;=$D116,CY$4&lt;$D116+'Incremental Repayments'!$I$31),-PMT('Interest Rate'!$J$16,'Incremental Repayments'!$I$31,(HLOOKUP($D116,$E$4:$CZ$32,28,FALSE)*'Incremental Repayments'!$I$22)),0),0)</f>
        <v>0</v>
      </c>
      <c r="CZ116" s="783">
        <f>IF('Incremental Repayments'!$R$22="Debt",IF(AND(CZ$4&gt;=$D116,CZ$4&lt;$D116+'Incremental Repayments'!$I$31),-PMT('Interest Rate'!$J$16,'Incremental Repayments'!$I$31,(HLOOKUP($D116,$E$4:$CZ$32,28,FALSE)*'Incremental Repayments'!$I$22)),0),0)</f>
        <v>0</v>
      </c>
    </row>
    <row r="117" spans="1:104" x14ac:dyDescent="0.25">
      <c r="B117" s="480" t="str">
        <f>CONCATENATE("Series ",D117,"A Bonds (at ",'Interest Rate'!$J$16*100,"% Interest)")</f>
        <v>Series 2095A Bonds (at 4.5% Interest)</v>
      </c>
      <c r="C117" s="480"/>
      <c r="D117" s="492">
        <f t="shared" si="47"/>
        <v>2095</v>
      </c>
      <c r="E117" s="783">
        <f>IF('Incremental Repayments'!$R$22="Debt",IF(AND(E$4&gt;=$D117,E$4&lt;$D117+'Incremental Repayments'!$I$31),-PMT('Interest Rate'!$J$16,'Incremental Repayments'!$I$31,(HLOOKUP($D117,$E$4:$CZ$32,28,FALSE)*'Incremental Repayments'!$I$22)),0),0)</f>
        <v>0</v>
      </c>
      <c r="F117" s="783">
        <f>IF('Incremental Repayments'!$R$22="Debt",IF(AND(F$4&gt;=$D117,F$4&lt;$D117+'Incremental Repayments'!$I$31),-PMT('Interest Rate'!$J$16,'Incremental Repayments'!$I$31,(HLOOKUP($D117,$E$4:$CZ$32,28,FALSE)*'Incremental Repayments'!$I$22)),0),0)</f>
        <v>0</v>
      </c>
      <c r="G117" s="783">
        <f>IF('Incremental Repayments'!$R$22="Debt",IF(AND(G$4&gt;=$D117,G$4&lt;$D117+'Incremental Repayments'!$I$31),-PMT('Interest Rate'!$J$16,'Incremental Repayments'!$I$31,(HLOOKUP($D117,$E$4:$CZ$32,28,FALSE)*'Incremental Repayments'!$I$22)),0),0)</f>
        <v>0</v>
      </c>
      <c r="H117" s="783">
        <f>IF('Incremental Repayments'!$R$22="Debt",IF(AND(H$4&gt;=$D117,H$4&lt;$D117+'Incremental Repayments'!$I$31),-PMT('Interest Rate'!$J$16,'Incremental Repayments'!$I$31,(HLOOKUP($D117,$E$4:$CZ$32,28,FALSE)*'Incremental Repayments'!$I$22)),0),0)</f>
        <v>0</v>
      </c>
      <c r="I117" s="783">
        <f>IF('Incremental Repayments'!$R$22="Debt",IF(AND(I$4&gt;=$D117,I$4&lt;$D117+'Incremental Repayments'!$I$31),-PMT('Interest Rate'!$J$16,'Incremental Repayments'!$I$31,(HLOOKUP($D117,$E$4:$CZ$32,28,FALSE)*'Incremental Repayments'!$I$22)),0),0)</f>
        <v>0</v>
      </c>
      <c r="J117" s="783">
        <f>IF('Incremental Repayments'!$R$22="Debt",IF(AND(J$4&gt;=$D117,J$4&lt;$D117+'Incremental Repayments'!$I$31),-PMT('Interest Rate'!$J$16,'Incremental Repayments'!$I$31,(HLOOKUP($D117,$E$4:$CZ$32,28,FALSE)*'Incremental Repayments'!$I$22)),0),0)</f>
        <v>0</v>
      </c>
      <c r="K117" s="783">
        <f>IF('Incremental Repayments'!$R$22="Debt",IF(AND(K$4&gt;=$D117,K$4&lt;$D117+'Incremental Repayments'!$I$31),-PMT('Interest Rate'!$J$16,'Incremental Repayments'!$I$31,(HLOOKUP($D117,$E$4:$CZ$32,28,FALSE)*'Incremental Repayments'!$I$22)),0),0)</f>
        <v>0</v>
      </c>
      <c r="L117" s="783">
        <f>IF('Incremental Repayments'!$R$22="Debt",IF(AND(L$4&gt;=$D117,L$4&lt;$D117+'Incremental Repayments'!$I$31),-PMT('Interest Rate'!$J$16,'Incremental Repayments'!$I$31,(HLOOKUP($D117,$E$4:$CZ$32,28,FALSE)*'Incremental Repayments'!$I$22)),0),0)</f>
        <v>0</v>
      </c>
      <c r="M117" s="783">
        <f>IF('Incremental Repayments'!$R$22="Debt",IF(AND(M$4&gt;=$D117,M$4&lt;$D117+'Incremental Repayments'!$I$31),-PMT('Interest Rate'!$J$16,'Incremental Repayments'!$I$31,(HLOOKUP($D117,$E$4:$CZ$32,28,FALSE)*'Incremental Repayments'!$I$22)),0),0)</f>
        <v>0</v>
      </c>
      <c r="N117" s="783">
        <f>IF('Incremental Repayments'!$R$22="Debt",IF(AND(N$4&gt;=$D117,N$4&lt;$D117+'Incremental Repayments'!$I$31),-PMT('Interest Rate'!$J$16,'Incremental Repayments'!$I$31,(HLOOKUP($D117,$E$4:$CZ$32,28,FALSE)*'Incremental Repayments'!$I$22)),0),0)</f>
        <v>0</v>
      </c>
      <c r="O117" s="783">
        <f>IF('Incremental Repayments'!$R$22="Debt",IF(AND(O$4&gt;=$D117,O$4&lt;$D117+'Incremental Repayments'!$I$31),-PMT('Interest Rate'!$J$16,'Incremental Repayments'!$I$31,(HLOOKUP($D117,$E$4:$CZ$32,28,FALSE)*'Incremental Repayments'!$I$22)),0),0)</f>
        <v>0</v>
      </c>
      <c r="P117" s="783">
        <f>IF('Incremental Repayments'!$R$22="Debt",IF(AND(P$4&gt;=$D117,P$4&lt;$D117+'Incremental Repayments'!$I$31),-PMT('Interest Rate'!$J$16,'Incremental Repayments'!$I$31,(HLOOKUP($D117,$E$4:$CZ$32,28,FALSE)*'Incremental Repayments'!$I$22)),0),0)</f>
        <v>0</v>
      </c>
      <c r="Q117" s="783">
        <f>IF('Incremental Repayments'!$R$22="Debt",IF(AND(Q$4&gt;=$D117,Q$4&lt;$D117+'Incremental Repayments'!$I$31),-PMT('Interest Rate'!$J$16,'Incremental Repayments'!$I$31,(HLOOKUP($D117,$E$4:$CZ$32,28,FALSE)*'Incremental Repayments'!$I$22)),0),0)</f>
        <v>0</v>
      </c>
      <c r="R117" s="783">
        <f>IF('Incremental Repayments'!$R$22="Debt",IF(AND(R$4&gt;=$D117,R$4&lt;$D117+'Incremental Repayments'!$I$31),-PMT('Interest Rate'!$J$16,'Incremental Repayments'!$I$31,(HLOOKUP($D117,$E$4:$CZ$32,28,FALSE)*'Incremental Repayments'!$I$22)),0),0)</f>
        <v>0</v>
      </c>
      <c r="S117" s="783">
        <f>IF('Incremental Repayments'!$R$22="Debt",IF(AND(S$4&gt;=$D117,S$4&lt;$D117+'Incremental Repayments'!$I$31),-PMT('Interest Rate'!$J$16,'Incremental Repayments'!$I$31,(HLOOKUP($D117,$E$4:$CZ$32,28,FALSE)*'Incremental Repayments'!$I$22)),0),0)</f>
        <v>0</v>
      </c>
      <c r="T117" s="783">
        <f>IF('Incremental Repayments'!$R$22="Debt",IF(AND(T$4&gt;=$D117,T$4&lt;$D117+'Incremental Repayments'!$I$31),-PMT('Interest Rate'!$J$16,'Incremental Repayments'!$I$31,(HLOOKUP($D117,$E$4:$CZ$32,28,FALSE)*'Incremental Repayments'!$I$22)),0),0)</f>
        <v>0</v>
      </c>
      <c r="U117" s="783">
        <f>IF('Incremental Repayments'!$R$22="Debt",IF(AND(U$4&gt;=$D117,U$4&lt;$D117+'Incremental Repayments'!$I$31),-PMT('Interest Rate'!$J$16,'Incremental Repayments'!$I$31,(HLOOKUP($D117,$E$4:$CZ$32,28,FALSE)*'Incremental Repayments'!$I$22)),0),0)</f>
        <v>0</v>
      </c>
      <c r="V117" s="783">
        <f>IF('Incremental Repayments'!$R$22="Debt",IF(AND(V$4&gt;=$D117,V$4&lt;$D117+'Incremental Repayments'!$I$31),-PMT('Interest Rate'!$J$16,'Incremental Repayments'!$I$31,(HLOOKUP($D117,$E$4:$CZ$32,28,FALSE)*'Incremental Repayments'!$I$22)),0),0)</f>
        <v>0</v>
      </c>
      <c r="W117" s="783">
        <f>IF('Incremental Repayments'!$R$22="Debt",IF(AND(W$4&gt;=$D117,W$4&lt;$D117+'Incremental Repayments'!$I$31),-PMT('Interest Rate'!$J$16,'Incremental Repayments'!$I$31,(HLOOKUP($D117,$E$4:$CZ$32,28,FALSE)*'Incremental Repayments'!$I$22)),0),0)</f>
        <v>0</v>
      </c>
      <c r="X117" s="783">
        <f>IF('Incremental Repayments'!$R$22="Debt",IF(AND(X$4&gt;=$D117,X$4&lt;$D117+'Incremental Repayments'!$I$31),-PMT('Interest Rate'!$J$16,'Incremental Repayments'!$I$31,(HLOOKUP($D117,$E$4:$CZ$32,28,FALSE)*'Incremental Repayments'!$I$22)),0),0)</f>
        <v>0</v>
      </c>
      <c r="Y117" s="783">
        <f>IF('Incremental Repayments'!$R$22="Debt",IF(AND(Y$4&gt;=$D117,Y$4&lt;$D117+'Incremental Repayments'!$I$31),-PMT('Interest Rate'!$J$16,'Incremental Repayments'!$I$31,(HLOOKUP($D117,$E$4:$CZ$32,28,FALSE)*'Incremental Repayments'!$I$22)),0),0)</f>
        <v>0</v>
      </c>
      <c r="Z117" s="783">
        <f>IF('Incremental Repayments'!$R$22="Debt",IF(AND(Z$4&gt;=$D117,Z$4&lt;$D117+'Incremental Repayments'!$I$31),-PMT('Interest Rate'!$J$16,'Incremental Repayments'!$I$31,(HLOOKUP($D117,$E$4:$CZ$32,28,FALSE)*'Incremental Repayments'!$I$22)),0),0)</f>
        <v>0</v>
      </c>
      <c r="AA117" s="783">
        <f>IF('Incremental Repayments'!$R$22="Debt",IF(AND(AA$4&gt;=$D117,AA$4&lt;$D117+'Incremental Repayments'!$I$31),-PMT('Interest Rate'!$J$16,'Incremental Repayments'!$I$31,(HLOOKUP($D117,$E$4:$CZ$32,28,FALSE)*'Incremental Repayments'!$I$22)),0),0)</f>
        <v>0</v>
      </c>
      <c r="AB117" s="783">
        <f>IF('Incremental Repayments'!$R$22="Debt",IF(AND(AB$4&gt;=$D117,AB$4&lt;$D117+'Incremental Repayments'!$I$31),-PMT('Interest Rate'!$J$16,'Incremental Repayments'!$I$31,(HLOOKUP($D117,$E$4:$CZ$32,28,FALSE)*'Incremental Repayments'!$I$22)),0),0)</f>
        <v>0</v>
      </c>
      <c r="AC117" s="783">
        <f>IF('Incremental Repayments'!$R$22="Debt",IF(AND(AC$4&gt;=$D117,AC$4&lt;$D117+'Incremental Repayments'!$I$31),-PMT('Interest Rate'!$J$16,'Incremental Repayments'!$I$31,(HLOOKUP($D117,$E$4:$CZ$32,28,FALSE)*'Incremental Repayments'!$I$22)),0),0)</f>
        <v>0</v>
      </c>
      <c r="AD117" s="783">
        <f>IF('Incremental Repayments'!$R$22="Debt",IF(AND(AD$4&gt;=$D117,AD$4&lt;$D117+'Incremental Repayments'!$I$31),-PMT('Interest Rate'!$J$16,'Incremental Repayments'!$I$31,(HLOOKUP($D117,$E$4:$CZ$32,28,FALSE)*'Incremental Repayments'!$I$22)),0),0)</f>
        <v>0</v>
      </c>
      <c r="AE117" s="783">
        <f>IF('Incremental Repayments'!$R$22="Debt",IF(AND(AE$4&gt;=$D117,AE$4&lt;$D117+'Incremental Repayments'!$I$31),-PMT('Interest Rate'!$J$16,'Incremental Repayments'!$I$31,(HLOOKUP($D117,$E$4:$CZ$32,28,FALSE)*'Incremental Repayments'!$I$22)),0),0)</f>
        <v>0</v>
      </c>
      <c r="AF117" s="783">
        <f>IF('Incremental Repayments'!$R$22="Debt",IF(AND(AF$4&gt;=$D117,AF$4&lt;$D117+'Incremental Repayments'!$I$31),-PMT('Interest Rate'!$J$16,'Incremental Repayments'!$I$31,(HLOOKUP($D117,$E$4:$CZ$32,28,FALSE)*'Incremental Repayments'!$I$22)),0),0)</f>
        <v>0</v>
      </c>
      <c r="AG117" s="783">
        <f>IF('Incremental Repayments'!$R$22="Debt",IF(AND(AG$4&gt;=$D117,AG$4&lt;$D117+'Incremental Repayments'!$I$31),-PMT('Interest Rate'!$J$16,'Incremental Repayments'!$I$31,(HLOOKUP($D117,$E$4:$CZ$32,28,FALSE)*'Incremental Repayments'!$I$22)),0),0)</f>
        <v>0</v>
      </c>
      <c r="AH117" s="783">
        <f>IF('Incremental Repayments'!$R$22="Debt",IF(AND(AH$4&gt;=$D117,AH$4&lt;$D117+'Incremental Repayments'!$I$31),-PMT('Interest Rate'!$J$16,'Incremental Repayments'!$I$31,(HLOOKUP($D117,$E$4:$CZ$32,28,FALSE)*'Incremental Repayments'!$I$22)),0),0)</f>
        <v>0</v>
      </c>
      <c r="AI117" s="783">
        <f>IF('Incremental Repayments'!$R$22="Debt",IF(AND(AI$4&gt;=$D117,AI$4&lt;$D117+'Incremental Repayments'!$I$31),-PMT('Interest Rate'!$J$16,'Incremental Repayments'!$I$31,(HLOOKUP($D117,$E$4:$CZ$32,28,FALSE)*'Incremental Repayments'!$I$22)),0),0)</f>
        <v>0</v>
      </c>
      <c r="AJ117" s="783">
        <f>IF('Incremental Repayments'!$R$22="Debt",IF(AND(AJ$4&gt;=$D117,AJ$4&lt;$D117+'Incremental Repayments'!$I$31),-PMT('Interest Rate'!$J$16,'Incremental Repayments'!$I$31,(HLOOKUP($D117,$E$4:$CZ$32,28,FALSE)*'Incremental Repayments'!$I$22)),0),0)</f>
        <v>0</v>
      </c>
      <c r="AK117" s="783">
        <f>IF('Incremental Repayments'!$R$22="Debt",IF(AND(AK$4&gt;=$D117,AK$4&lt;$D117+'Incremental Repayments'!$I$31),-PMT('Interest Rate'!$J$16,'Incremental Repayments'!$I$31,(HLOOKUP($D117,$E$4:$CZ$32,28,FALSE)*'Incremental Repayments'!$I$22)),0),0)</f>
        <v>0</v>
      </c>
      <c r="AL117" s="783">
        <f>IF('Incremental Repayments'!$R$22="Debt",IF(AND(AL$4&gt;=$D117,AL$4&lt;$D117+'Incremental Repayments'!$I$31),-PMT('Interest Rate'!$J$16,'Incremental Repayments'!$I$31,(HLOOKUP($D117,$E$4:$CZ$32,28,FALSE)*'Incremental Repayments'!$I$22)),0),0)</f>
        <v>0</v>
      </c>
      <c r="AM117" s="783">
        <f>IF('Incremental Repayments'!$R$22="Debt",IF(AND(AM$4&gt;=$D117,AM$4&lt;$D117+'Incremental Repayments'!$I$31),-PMT('Interest Rate'!$J$16,'Incremental Repayments'!$I$31,(HLOOKUP($D117,$E$4:$CZ$32,28,FALSE)*'Incremental Repayments'!$I$22)),0),0)</f>
        <v>0</v>
      </c>
      <c r="AN117" s="783">
        <f>IF('Incremental Repayments'!$R$22="Debt",IF(AND(AN$4&gt;=$D117,AN$4&lt;$D117+'Incremental Repayments'!$I$31),-PMT('Interest Rate'!$J$16,'Incremental Repayments'!$I$31,(HLOOKUP($D117,$E$4:$CZ$32,28,FALSE)*'Incremental Repayments'!$I$22)),0),0)</f>
        <v>0</v>
      </c>
      <c r="AO117" s="783">
        <f>IF('Incremental Repayments'!$R$22="Debt",IF(AND(AO$4&gt;=$D117,AO$4&lt;$D117+'Incremental Repayments'!$I$31),-PMT('Interest Rate'!$J$16,'Incremental Repayments'!$I$31,(HLOOKUP($D117,$E$4:$CZ$32,28,FALSE)*'Incremental Repayments'!$I$22)),0),0)</f>
        <v>0</v>
      </c>
      <c r="AP117" s="783">
        <f>IF('Incremental Repayments'!$R$22="Debt",IF(AND(AP$4&gt;=$D117,AP$4&lt;$D117+'Incremental Repayments'!$I$31),-PMT('Interest Rate'!$J$16,'Incremental Repayments'!$I$31,(HLOOKUP($D117,$E$4:$CZ$32,28,FALSE)*'Incremental Repayments'!$I$22)),0),0)</f>
        <v>0</v>
      </c>
      <c r="AQ117" s="783">
        <f>IF('Incremental Repayments'!$R$22="Debt",IF(AND(AQ$4&gt;=$D117,AQ$4&lt;$D117+'Incremental Repayments'!$I$31),-PMT('Interest Rate'!$J$16,'Incremental Repayments'!$I$31,(HLOOKUP($D117,$E$4:$CZ$32,28,FALSE)*'Incremental Repayments'!$I$22)),0),0)</f>
        <v>0</v>
      </c>
      <c r="AR117" s="783">
        <f>IF('Incremental Repayments'!$R$22="Debt",IF(AND(AR$4&gt;=$D117,AR$4&lt;$D117+'Incremental Repayments'!$I$31),-PMT('Interest Rate'!$J$16,'Incremental Repayments'!$I$31,(HLOOKUP($D117,$E$4:$CZ$32,28,FALSE)*'Incremental Repayments'!$I$22)),0),0)</f>
        <v>0</v>
      </c>
      <c r="AS117" s="783">
        <f>IF('Incremental Repayments'!$R$22="Debt",IF(AND(AS$4&gt;=$D117,AS$4&lt;$D117+'Incremental Repayments'!$I$31),-PMT('Interest Rate'!$J$16,'Incremental Repayments'!$I$31,(HLOOKUP($D117,$E$4:$CZ$32,28,FALSE)*'Incremental Repayments'!$I$22)),0),0)</f>
        <v>0</v>
      </c>
      <c r="AT117" s="783">
        <f>IF('Incremental Repayments'!$R$22="Debt",IF(AND(AT$4&gt;=$D117,AT$4&lt;$D117+'Incremental Repayments'!$I$31),-PMT('Interest Rate'!$J$16,'Incremental Repayments'!$I$31,(HLOOKUP($D117,$E$4:$CZ$32,28,FALSE)*'Incremental Repayments'!$I$22)),0),0)</f>
        <v>0</v>
      </c>
      <c r="AU117" s="783">
        <f>IF('Incremental Repayments'!$R$22="Debt",IF(AND(AU$4&gt;=$D117,AU$4&lt;$D117+'Incremental Repayments'!$I$31),-PMT('Interest Rate'!$J$16,'Incremental Repayments'!$I$31,(HLOOKUP($D117,$E$4:$CZ$32,28,FALSE)*'Incremental Repayments'!$I$22)),0),0)</f>
        <v>0</v>
      </c>
      <c r="AV117" s="783">
        <f>IF('Incremental Repayments'!$R$22="Debt",IF(AND(AV$4&gt;=$D117,AV$4&lt;$D117+'Incremental Repayments'!$I$31),-PMT('Interest Rate'!$J$16,'Incremental Repayments'!$I$31,(HLOOKUP($D117,$E$4:$CZ$32,28,FALSE)*'Incremental Repayments'!$I$22)),0),0)</f>
        <v>0</v>
      </c>
      <c r="AW117" s="783">
        <f>IF('Incremental Repayments'!$R$22="Debt",IF(AND(AW$4&gt;=$D117,AW$4&lt;$D117+'Incremental Repayments'!$I$31),-PMT('Interest Rate'!$J$16,'Incremental Repayments'!$I$31,(HLOOKUP($D117,$E$4:$CZ$32,28,FALSE)*'Incremental Repayments'!$I$22)),0),0)</f>
        <v>0</v>
      </c>
      <c r="AX117" s="783">
        <f>IF('Incremental Repayments'!$R$22="Debt",IF(AND(AX$4&gt;=$D117,AX$4&lt;$D117+'Incremental Repayments'!$I$31),-PMT('Interest Rate'!$J$16,'Incremental Repayments'!$I$31,(HLOOKUP($D117,$E$4:$CZ$32,28,FALSE)*'Incremental Repayments'!$I$22)),0),0)</f>
        <v>0</v>
      </c>
      <c r="AY117" s="783">
        <f>IF('Incremental Repayments'!$R$22="Debt",IF(AND(AY$4&gt;=$D117,AY$4&lt;$D117+'Incremental Repayments'!$I$31),-PMT('Interest Rate'!$J$16,'Incremental Repayments'!$I$31,(HLOOKUP($D117,$E$4:$CZ$32,28,FALSE)*'Incremental Repayments'!$I$22)),0),0)</f>
        <v>0</v>
      </c>
      <c r="AZ117" s="783">
        <f>IF('Incremental Repayments'!$R$22="Debt",IF(AND(AZ$4&gt;=$D117,AZ$4&lt;$D117+'Incremental Repayments'!$I$31),-PMT('Interest Rate'!$J$16,'Incremental Repayments'!$I$31,(HLOOKUP($D117,$E$4:$CZ$32,28,FALSE)*'Incremental Repayments'!$I$22)),0),0)</f>
        <v>0</v>
      </c>
      <c r="BA117" s="783">
        <f>IF('Incremental Repayments'!$R$22="Debt",IF(AND(BA$4&gt;=$D117,BA$4&lt;$D117+'Incremental Repayments'!$I$31),-PMT('Interest Rate'!$J$16,'Incremental Repayments'!$I$31,(HLOOKUP($D117,$E$4:$CZ$32,28,FALSE)*'Incremental Repayments'!$I$22)),0),0)</f>
        <v>0</v>
      </c>
      <c r="BB117" s="783">
        <f>IF('Incremental Repayments'!$R$22="Debt",IF(AND(BB$4&gt;=$D117,BB$4&lt;$D117+'Incremental Repayments'!$I$31),-PMT('Interest Rate'!$J$16,'Incremental Repayments'!$I$31,(HLOOKUP($D117,$E$4:$CZ$32,28,FALSE)*'Incremental Repayments'!$I$22)),0),0)</f>
        <v>0</v>
      </c>
      <c r="BC117" s="783">
        <f>IF('Incremental Repayments'!$R$22="Debt",IF(AND(BC$4&gt;=$D117,BC$4&lt;$D117+'Incremental Repayments'!$I$31),-PMT('Interest Rate'!$J$16,'Incremental Repayments'!$I$31,(HLOOKUP($D117,$E$4:$CZ$32,28,FALSE)*'Incremental Repayments'!$I$22)),0),0)</f>
        <v>0</v>
      </c>
      <c r="BD117" s="783">
        <f>IF('Incremental Repayments'!$R$22="Debt",IF(AND(BD$4&gt;=$D117,BD$4&lt;$D117+'Incremental Repayments'!$I$31),-PMT('Interest Rate'!$J$16,'Incremental Repayments'!$I$31,(HLOOKUP($D117,$E$4:$CZ$32,28,FALSE)*'Incremental Repayments'!$I$22)),0),0)</f>
        <v>0</v>
      </c>
      <c r="BE117" s="783">
        <f>IF('Incremental Repayments'!$R$22="Debt",IF(AND(BE$4&gt;=$D117,BE$4&lt;$D117+'Incremental Repayments'!$I$31),-PMT('Interest Rate'!$J$16,'Incremental Repayments'!$I$31,(HLOOKUP($D117,$E$4:$CZ$32,28,FALSE)*'Incremental Repayments'!$I$22)),0),0)</f>
        <v>0</v>
      </c>
      <c r="BF117" s="783">
        <f>IF('Incremental Repayments'!$R$22="Debt",IF(AND(BF$4&gt;=$D117,BF$4&lt;$D117+'Incremental Repayments'!$I$31),-PMT('Interest Rate'!$J$16,'Incremental Repayments'!$I$31,(HLOOKUP($D117,$E$4:$CZ$32,28,FALSE)*'Incremental Repayments'!$I$22)),0),0)</f>
        <v>0</v>
      </c>
      <c r="BG117" s="783">
        <f>IF('Incremental Repayments'!$R$22="Debt",IF(AND(BG$4&gt;=$D117,BG$4&lt;$D117+'Incremental Repayments'!$I$31),-PMT('Interest Rate'!$J$16,'Incremental Repayments'!$I$31,(HLOOKUP($D117,$E$4:$CZ$32,28,FALSE)*'Incremental Repayments'!$I$22)),0),0)</f>
        <v>0</v>
      </c>
      <c r="BH117" s="783">
        <f>IF('Incremental Repayments'!$R$22="Debt",IF(AND(BH$4&gt;=$D117,BH$4&lt;$D117+'Incremental Repayments'!$I$31),-PMT('Interest Rate'!$J$16,'Incremental Repayments'!$I$31,(HLOOKUP($D117,$E$4:$CZ$32,28,FALSE)*'Incremental Repayments'!$I$22)),0),0)</f>
        <v>0</v>
      </c>
      <c r="BI117" s="783">
        <f>IF('Incremental Repayments'!$R$22="Debt",IF(AND(BI$4&gt;=$D117,BI$4&lt;$D117+'Incremental Repayments'!$I$31),-PMT('Interest Rate'!$J$16,'Incremental Repayments'!$I$31,(HLOOKUP($D117,$E$4:$CZ$32,28,FALSE)*'Incremental Repayments'!$I$22)),0),0)</f>
        <v>0</v>
      </c>
      <c r="BJ117" s="783">
        <f>IF('Incremental Repayments'!$R$22="Debt",IF(AND(BJ$4&gt;=$D117,BJ$4&lt;$D117+'Incremental Repayments'!$I$31),-PMT('Interest Rate'!$J$16,'Incremental Repayments'!$I$31,(HLOOKUP($D117,$E$4:$CZ$32,28,FALSE)*'Incremental Repayments'!$I$22)),0),0)</f>
        <v>0</v>
      </c>
      <c r="BK117" s="783">
        <f>IF('Incremental Repayments'!$R$22="Debt",IF(AND(BK$4&gt;=$D117,BK$4&lt;$D117+'Incremental Repayments'!$I$31),-PMT('Interest Rate'!$J$16,'Incremental Repayments'!$I$31,(HLOOKUP($D117,$E$4:$CZ$32,28,FALSE)*'Incremental Repayments'!$I$22)),0),0)</f>
        <v>0</v>
      </c>
      <c r="BL117" s="783">
        <f>IF('Incremental Repayments'!$R$22="Debt",IF(AND(BL$4&gt;=$D117,BL$4&lt;$D117+'Incremental Repayments'!$I$31),-PMT('Interest Rate'!$J$16,'Incremental Repayments'!$I$31,(HLOOKUP($D117,$E$4:$CZ$32,28,FALSE)*'Incremental Repayments'!$I$22)),0),0)</f>
        <v>0</v>
      </c>
      <c r="BM117" s="783">
        <f>IF('Incremental Repayments'!$R$22="Debt",IF(AND(BM$4&gt;=$D117,BM$4&lt;$D117+'Incremental Repayments'!$I$31),-PMT('Interest Rate'!$J$16,'Incremental Repayments'!$I$31,(HLOOKUP($D117,$E$4:$CZ$32,28,FALSE)*'Incremental Repayments'!$I$22)),0),0)</f>
        <v>0</v>
      </c>
      <c r="BN117" s="783">
        <f>IF('Incremental Repayments'!$R$22="Debt",IF(AND(BN$4&gt;=$D117,BN$4&lt;$D117+'Incremental Repayments'!$I$31),-PMT('Interest Rate'!$J$16,'Incremental Repayments'!$I$31,(HLOOKUP($D117,$E$4:$CZ$32,28,FALSE)*'Incremental Repayments'!$I$22)),0),0)</f>
        <v>0</v>
      </c>
      <c r="BO117" s="783">
        <f>IF('Incremental Repayments'!$R$22="Debt",IF(AND(BO$4&gt;=$D117,BO$4&lt;$D117+'Incremental Repayments'!$I$31),-PMT('Interest Rate'!$J$16,'Incremental Repayments'!$I$31,(HLOOKUP($D117,$E$4:$CZ$32,28,FALSE)*'Incremental Repayments'!$I$22)),0),0)</f>
        <v>0</v>
      </c>
      <c r="BP117" s="783">
        <f>IF('Incremental Repayments'!$R$22="Debt",IF(AND(BP$4&gt;=$D117,BP$4&lt;$D117+'Incremental Repayments'!$I$31),-PMT('Interest Rate'!$J$16,'Incremental Repayments'!$I$31,(HLOOKUP($D117,$E$4:$CZ$32,28,FALSE)*'Incremental Repayments'!$I$22)),0),0)</f>
        <v>0</v>
      </c>
      <c r="BQ117" s="783">
        <f>IF('Incremental Repayments'!$R$22="Debt",IF(AND(BQ$4&gt;=$D117,BQ$4&lt;$D117+'Incremental Repayments'!$I$31),-PMT('Interest Rate'!$J$16,'Incremental Repayments'!$I$31,(HLOOKUP($D117,$E$4:$CZ$32,28,FALSE)*'Incremental Repayments'!$I$22)),0),0)</f>
        <v>0</v>
      </c>
      <c r="BR117" s="783">
        <f>IF('Incremental Repayments'!$R$22="Debt",IF(AND(BR$4&gt;=$D117,BR$4&lt;$D117+'Incremental Repayments'!$I$31),-PMT('Interest Rate'!$J$16,'Incremental Repayments'!$I$31,(HLOOKUP($D117,$E$4:$CZ$32,28,FALSE)*'Incremental Repayments'!$I$22)),0),0)</f>
        <v>0</v>
      </c>
      <c r="BS117" s="783">
        <f>IF('Incremental Repayments'!$R$22="Debt",IF(AND(BS$4&gt;=$D117,BS$4&lt;$D117+'Incremental Repayments'!$I$31),-PMT('Interest Rate'!$J$16,'Incremental Repayments'!$I$31,(HLOOKUP($D117,$E$4:$CZ$32,28,FALSE)*'Incremental Repayments'!$I$22)),0),0)</f>
        <v>0</v>
      </c>
      <c r="BT117" s="783">
        <f>IF('Incremental Repayments'!$R$22="Debt",IF(AND(BT$4&gt;=$D117,BT$4&lt;$D117+'Incremental Repayments'!$I$31),-PMT('Interest Rate'!$J$16,'Incremental Repayments'!$I$31,(HLOOKUP($D117,$E$4:$CZ$32,28,FALSE)*'Incremental Repayments'!$I$22)),0),0)</f>
        <v>0</v>
      </c>
      <c r="BU117" s="783">
        <f>IF('Incremental Repayments'!$R$22="Debt",IF(AND(BU$4&gt;=$D117,BU$4&lt;$D117+'Incremental Repayments'!$I$31),-PMT('Interest Rate'!$J$16,'Incremental Repayments'!$I$31,(HLOOKUP($D117,$E$4:$CZ$32,28,FALSE)*'Incremental Repayments'!$I$22)),0),0)</f>
        <v>0</v>
      </c>
      <c r="BV117" s="783">
        <f>IF('Incremental Repayments'!$R$22="Debt",IF(AND(BV$4&gt;=$D117,BV$4&lt;$D117+'Incremental Repayments'!$I$31),-PMT('Interest Rate'!$J$16,'Incremental Repayments'!$I$31,(HLOOKUP($D117,$E$4:$CZ$32,28,FALSE)*'Incremental Repayments'!$I$22)),0),0)</f>
        <v>0</v>
      </c>
      <c r="BW117" s="783">
        <f>IF('Incremental Repayments'!$R$22="Debt",IF(AND(BW$4&gt;=$D117,BW$4&lt;$D117+'Incremental Repayments'!$I$31),-PMT('Interest Rate'!$J$16,'Incremental Repayments'!$I$31,(HLOOKUP($D117,$E$4:$CZ$32,28,FALSE)*'Incremental Repayments'!$I$22)),0),0)</f>
        <v>0</v>
      </c>
      <c r="BX117" s="783">
        <f>IF('Incremental Repayments'!$R$22="Debt",IF(AND(BX$4&gt;=$D117,BX$4&lt;$D117+'Incremental Repayments'!$I$31),-PMT('Interest Rate'!$J$16,'Incremental Repayments'!$I$31,(HLOOKUP($D117,$E$4:$CZ$32,28,FALSE)*'Incremental Repayments'!$I$22)),0),0)</f>
        <v>0</v>
      </c>
      <c r="BY117" s="783">
        <f>IF('Incremental Repayments'!$R$22="Debt",IF(AND(BY$4&gt;=$D117,BY$4&lt;$D117+'Incremental Repayments'!$I$31),-PMT('Interest Rate'!$J$16,'Incremental Repayments'!$I$31,(HLOOKUP($D117,$E$4:$CZ$32,28,FALSE)*'Incremental Repayments'!$I$22)),0),0)</f>
        <v>0</v>
      </c>
      <c r="BZ117" s="783">
        <f>IF('Incremental Repayments'!$R$22="Debt",IF(AND(BZ$4&gt;=$D117,BZ$4&lt;$D117+'Incremental Repayments'!$I$31),-PMT('Interest Rate'!$J$16,'Incremental Repayments'!$I$31,(HLOOKUP($D117,$E$4:$CZ$32,28,FALSE)*'Incremental Repayments'!$I$22)),0),0)</f>
        <v>0</v>
      </c>
      <c r="CA117" s="783">
        <f>IF('Incremental Repayments'!$R$22="Debt",IF(AND(CA$4&gt;=$D117,CA$4&lt;$D117+'Incremental Repayments'!$I$31),-PMT('Interest Rate'!$J$16,'Incremental Repayments'!$I$31,(HLOOKUP($D117,$E$4:$CZ$32,28,FALSE)*'Incremental Repayments'!$I$22)),0),0)</f>
        <v>0</v>
      </c>
      <c r="CB117" s="783">
        <f>IF('Incremental Repayments'!$R$22="Debt",IF(AND(CB$4&gt;=$D117,CB$4&lt;$D117+'Incremental Repayments'!$I$31),-PMT('Interest Rate'!$J$16,'Incremental Repayments'!$I$31,(HLOOKUP($D117,$E$4:$CZ$32,28,FALSE)*'Incremental Repayments'!$I$22)),0),0)</f>
        <v>0</v>
      </c>
      <c r="CC117" s="783">
        <f>IF('Incremental Repayments'!$R$22="Debt",IF(AND(CC$4&gt;=$D117,CC$4&lt;$D117+'Incremental Repayments'!$I$31),-PMT('Interest Rate'!$J$16,'Incremental Repayments'!$I$31,(HLOOKUP($D117,$E$4:$CZ$32,28,FALSE)*'Incremental Repayments'!$I$22)),0),0)</f>
        <v>0</v>
      </c>
      <c r="CD117" s="783">
        <f>IF('Incremental Repayments'!$R$22="Debt",IF(AND(CD$4&gt;=$D117,CD$4&lt;$D117+'Incremental Repayments'!$I$31),-PMT('Interest Rate'!$J$16,'Incremental Repayments'!$I$31,(HLOOKUP($D117,$E$4:$CZ$32,28,FALSE)*'Incremental Repayments'!$I$22)),0),0)</f>
        <v>0</v>
      </c>
      <c r="CE117" s="783">
        <f>IF('Incremental Repayments'!$R$22="Debt",IF(AND(CE$4&gt;=$D117,CE$4&lt;$D117+'Incremental Repayments'!$I$31),-PMT('Interest Rate'!$J$16,'Incremental Repayments'!$I$31,(HLOOKUP($D117,$E$4:$CZ$32,28,FALSE)*'Incremental Repayments'!$I$22)),0),0)</f>
        <v>0</v>
      </c>
      <c r="CF117" s="783">
        <f>IF('Incremental Repayments'!$R$22="Debt",IF(AND(CF$4&gt;=$D117,CF$4&lt;$D117+'Incremental Repayments'!$I$31),-PMT('Interest Rate'!$J$16,'Incremental Repayments'!$I$31,(HLOOKUP($D117,$E$4:$CZ$32,28,FALSE)*'Incremental Repayments'!$I$22)),0),0)</f>
        <v>0</v>
      </c>
      <c r="CG117" s="783">
        <f>IF('Incremental Repayments'!$R$22="Debt",IF(AND(CG$4&gt;=$D117,CG$4&lt;$D117+'Incremental Repayments'!$I$31),-PMT('Interest Rate'!$J$16,'Incremental Repayments'!$I$31,(HLOOKUP($D117,$E$4:$CZ$32,28,FALSE)*'Incremental Repayments'!$I$22)),0),0)</f>
        <v>0</v>
      </c>
      <c r="CH117" s="783">
        <f>IF('Incremental Repayments'!$R$22="Debt",IF(AND(CH$4&gt;=$D117,CH$4&lt;$D117+'Incremental Repayments'!$I$31),-PMT('Interest Rate'!$J$16,'Incremental Repayments'!$I$31,(HLOOKUP($D117,$E$4:$CZ$32,28,FALSE)*'Incremental Repayments'!$I$22)),0),0)</f>
        <v>0</v>
      </c>
      <c r="CI117" s="783">
        <f>IF('Incremental Repayments'!$R$22="Debt",IF(AND(CI$4&gt;=$D117,CI$4&lt;$D117+'Incremental Repayments'!$I$31),-PMT('Interest Rate'!$J$16,'Incremental Repayments'!$I$31,(HLOOKUP($D117,$E$4:$CZ$32,28,FALSE)*'Incremental Repayments'!$I$22)),0),0)</f>
        <v>0</v>
      </c>
      <c r="CJ117" s="783">
        <f>IF('Incremental Repayments'!$R$22="Debt",IF(AND(CJ$4&gt;=$D117,CJ$4&lt;$D117+'Incremental Repayments'!$I$31),-PMT('Interest Rate'!$J$16,'Incremental Repayments'!$I$31,(HLOOKUP($D117,$E$4:$CZ$32,28,FALSE)*'Incremental Repayments'!$I$22)),0),0)</f>
        <v>0</v>
      </c>
      <c r="CK117" s="783">
        <f>IF('Incremental Repayments'!$R$22="Debt",IF(AND(CK$4&gt;=$D117,CK$4&lt;$D117+'Incremental Repayments'!$I$31),-PMT('Interest Rate'!$J$16,'Incremental Repayments'!$I$31,(HLOOKUP($D117,$E$4:$CZ$32,28,FALSE)*'Incremental Repayments'!$I$22)),0),0)</f>
        <v>0</v>
      </c>
      <c r="CL117" s="783">
        <f>IF('Incremental Repayments'!$R$22="Debt",IF(AND(CL$4&gt;=$D117,CL$4&lt;$D117+'Incremental Repayments'!$I$31),-PMT('Interest Rate'!$J$16,'Incremental Repayments'!$I$31,(HLOOKUP($D117,$E$4:$CZ$32,28,FALSE)*'Incremental Repayments'!$I$22)),0),0)</f>
        <v>0</v>
      </c>
      <c r="CM117" s="783">
        <f>IF('Incremental Repayments'!$R$22="Debt",IF(AND(CM$4&gt;=$D117,CM$4&lt;$D117+'Incremental Repayments'!$I$31),-PMT('Interest Rate'!$J$16,'Incremental Repayments'!$I$31,(HLOOKUP($D117,$E$4:$CZ$32,28,FALSE)*'Incremental Repayments'!$I$22)),0),0)</f>
        <v>0</v>
      </c>
      <c r="CN117" s="783">
        <f>IF('Incremental Repayments'!$R$22="Debt",IF(AND(CN$4&gt;=$D117,CN$4&lt;$D117+'Incremental Repayments'!$I$31),-PMT('Interest Rate'!$J$16,'Incremental Repayments'!$I$31,(HLOOKUP($D117,$E$4:$CZ$32,28,FALSE)*'Incremental Repayments'!$I$22)),0),0)</f>
        <v>0</v>
      </c>
      <c r="CO117" s="783">
        <f>IF('Incremental Repayments'!$R$22="Debt",IF(AND(CO$4&gt;=$D117,CO$4&lt;$D117+'Incremental Repayments'!$I$31),-PMT('Interest Rate'!$J$16,'Incremental Repayments'!$I$31,(HLOOKUP($D117,$E$4:$CZ$32,28,FALSE)*'Incremental Repayments'!$I$22)),0),0)</f>
        <v>0</v>
      </c>
      <c r="CP117" s="783">
        <f>IF('Incremental Repayments'!$R$22="Debt",IF(AND(CP$4&gt;=$D117,CP$4&lt;$D117+'Incremental Repayments'!$I$31),-PMT('Interest Rate'!$J$16,'Incremental Repayments'!$I$31,(HLOOKUP($D117,$E$4:$CZ$32,28,FALSE)*'Incremental Repayments'!$I$22)),0),0)</f>
        <v>0</v>
      </c>
      <c r="CQ117" s="783">
        <f>IF('Incremental Repayments'!$R$22="Debt",IF(AND(CQ$4&gt;=$D117,CQ$4&lt;$D117+'Incremental Repayments'!$I$31),-PMT('Interest Rate'!$J$16,'Incremental Repayments'!$I$31,(HLOOKUP($D117,$E$4:$CZ$32,28,FALSE)*'Incremental Repayments'!$I$22)),0),0)</f>
        <v>0</v>
      </c>
      <c r="CR117" s="783">
        <f>IF('Incremental Repayments'!$R$22="Debt",IF(AND(CR$4&gt;=$D117,CR$4&lt;$D117+'Incremental Repayments'!$I$31),-PMT('Interest Rate'!$J$16,'Incremental Repayments'!$I$31,(HLOOKUP($D117,$E$4:$CZ$32,28,FALSE)*'Incremental Repayments'!$I$22)),0),0)</f>
        <v>0</v>
      </c>
      <c r="CS117" s="783">
        <f>IF('Incremental Repayments'!$R$22="Debt",IF(AND(CS$4&gt;=$D117,CS$4&lt;$D117+'Incremental Repayments'!$I$31),-PMT('Interest Rate'!$J$16,'Incremental Repayments'!$I$31,(HLOOKUP($D117,$E$4:$CZ$32,28,FALSE)*'Incremental Repayments'!$I$22)),0),0)</f>
        <v>0</v>
      </c>
      <c r="CT117" s="783">
        <f>IF('Incremental Repayments'!$R$22="Debt",IF(AND(CT$4&gt;=$D117,CT$4&lt;$D117+'Incremental Repayments'!$I$31),-PMT('Interest Rate'!$J$16,'Incremental Repayments'!$I$31,(HLOOKUP($D117,$E$4:$CZ$32,28,FALSE)*'Incremental Repayments'!$I$22)),0),0)</f>
        <v>0</v>
      </c>
      <c r="CU117" s="783">
        <f>IF('Incremental Repayments'!$R$22="Debt",IF(AND(CU$4&gt;=$D117,CU$4&lt;$D117+'Incremental Repayments'!$I$31),-PMT('Interest Rate'!$J$16,'Incremental Repayments'!$I$31,(HLOOKUP($D117,$E$4:$CZ$32,28,FALSE)*'Incremental Repayments'!$I$22)),0),0)</f>
        <v>0</v>
      </c>
      <c r="CV117" s="783">
        <f>IF('Incremental Repayments'!$R$22="Debt",IF(AND(CV$4&gt;=$D117,CV$4&lt;$D117+'Incremental Repayments'!$I$31),-PMT('Interest Rate'!$J$16,'Incremental Repayments'!$I$31,(HLOOKUP($D117,$E$4:$CZ$32,28,FALSE)*'Incremental Repayments'!$I$22)),0),0)</f>
        <v>0</v>
      </c>
      <c r="CW117" s="783">
        <f>IF('Incremental Repayments'!$R$22="Debt",IF(AND(CW$4&gt;=$D117,CW$4&lt;$D117+'Incremental Repayments'!$I$31),-PMT('Interest Rate'!$J$16,'Incremental Repayments'!$I$31,(HLOOKUP($D117,$E$4:$CZ$32,28,FALSE)*'Incremental Repayments'!$I$22)),0),0)</f>
        <v>0</v>
      </c>
      <c r="CX117" s="783">
        <f>IF('Incremental Repayments'!$R$22="Debt",IF(AND(CX$4&gt;=$D117,CX$4&lt;$D117+'Incremental Repayments'!$I$31),-PMT('Interest Rate'!$J$16,'Incremental Repayments'!$I$31,(HLOOKUP($D117,$E$4:$CZ$32,28,FALSE)*'Incremental Repayments'!$I$22)),0),0)</f>
        <v>0</v>
      </c>
      <c r="CY117" s="783">
        <f>IF('Incremental Repayments'!$R$22="Debt",IF(AND(CY$4&gt;=$D117,CY$4&lt;$D117+'Incremental Repayments'!$I$31),-PMT('Interest Rate'!$J$16,'Incremental Repayments'!$I$31,(HLOOKUP($D117,$E$4:$CZ$32,28,FALSE)*'Incremental Repayments'!$I$22)),0),0)</f>
        <v>0</v>
      </c>
      <c r="CZ117" s="783">
        <f>IF('Incremental Repayments'!$R$22="Debt",IF(AND(CZ$4&gt;=$D117,CZ$4&lt;$D117+'Incremental Repayments'!$I$31),-PMT('Interest Rate'!$J$16,'Incremental Repayments'!$I$31,(HLOOKUP($D117,$E$4:$CZ$32,28,FALSE)*'Incremental Repayments'!$I$22)),0),0)</f>
        <v>0</v>
      </c>
    </row>
    <row r="118" spans="1:104" x14ac:dyDescent="0.25">
      <c r="B118" s="480" t="str">
        <f>CONCATENATE("Series ",D118,"A Bonds (at ",'Interest Rate'!$J$16*100,"% Interest)")</f>
        <v>Series 2096A Bonds (at 4.5% Interest)</v>
      </c>
      <c r="C118" s="480"/>
      <c r="D118" s="492">
        <f t="shared" si="47"/>
        <v>2096</v>
      </c>
      <c r="E118" s="783">
        <f>IF('Incremental Repayments'!$R$22="Debt",IF(AND(E$4&gt;=$D118,E$4&lt;$D118+'Incremental Repayments'!$I$31),-PMT('Interest Rate'!$J$16,'Incremental Repayments'!$I$31,(HLOOKUP($D118,$E$4:$CZ$32,28,FALSE)*'Incremental Repayments'!$I$22)),0),0)</f>
        <v>0</v>
      </c>
      <c r="F118" s="783">
        <f>IF('Incremental Repayments'!$R$22="Debt",IF(AND(F$4&gt;=$D118,F$4&lt;$D118+'Incremental Repayments'!$I$31),-PMT('Interest Rate'!$J$16,'Incremental Repayments'!$I$31,(HLOOKUP($D118,$E$4:$CZ$32,28,FALSE)*'Incremental Repayments'!$I$22)),0),0)</f>
        <v>0</v>
      </c>
      <c r="G118" s="783">
        <f>IF('Incremental Repayments'!$R$22="Debt",IF(AND(G$4&gt;=$D118,G$4&lt;$D118+'Incremental Repayments'!$I$31),-PMT('Interest Rate'!$J$16,'Incremental Repayments'!$I$31,(HLOOKUP($D118,$E$4:$CZ$32,28,FALSE)*'Incremental Repayments'!$I$22)),0),0)</f>
        <v>0</v>
      </c>
      <c r="H118" s="783">
        <f>IF('Incremental Repayments'!$R$22="Debt",IF(AND(H$4&gt;=$D118,H$4&lt;$D118+'Incremental Repayments'!$I$31),-PMT('Interest Rate'!$J$16,'Incremental Repayments'!$I$31,(HLOOKUP($D118,$E$4:$CZ$32,28,FALSE)*'Incremental Repayments'!$I$22)),0),0)</f>
        <v>0</v>
      </c>
      <c r="I118" s="783">
        <f>IF('Incremental Repayments'!$R$22="Debt",IF(AND(I$4&gt;=$D118,I$4&lt;$D118+'Incremental Repayments'!$I$31),-PMT('Interest Rate'!$J$16,'Incremental Repayments'!$I$31,(HLOOKUP($D118,$E$4:$CZ$32,28,FALSE)*'Incremental Repayments'!$I$22)),0),0)</f>
        <v>0</v>
      </c>
      <c r="J118" s="783">
        <f>IF('Incremental Repayments'!$R$22="Debt",IF(AND(J$4&gt;=$D118,J$4&lt;$D118+'Incremental Repayments'!$I$31),-PMT('Interest Rate'!$J$16,'Incremental Repayments'!$I$31,(HLOOKUP($D118,$E$4:$CZ$32,28,FALSE)*'Incremental Repayments'!$I$22)),0),0)</f>
        <v>0</v>
      </c>
      <c r="K118" s="783">
        <f>IF('Incremental Repayments'!$R$22="Debt",IF(AND(K$4&gt;=$D118,K$4&lt;$D118+'Incremental Repayments'!$I$31),-PMT('Interest Rate'!$J$16,'Incremental Repayments'!$I$31,(HLOOKUP($D118,$E$4:$CZ$32,28,FALSE)*'Incremental Repayments'!$I$22)),0),0)</f>
        <v>0</v>
      </c>
      <c r="L118" s="783">
        <f>IF('Incremental Repayments'!$R$22="Debt",IF(AND(L$4&gt;=$D118,L$4&lt;$D118+'Incremental Repayments'!$I$31),-PMT('Interest Rate'!$J$16,'Incremental Repayments'!$I$31,(HLOOKUP($D118,$E$4:$CZ$32,28,FALSE)*'Incremental Repayments'!$I$22)),0),0)</f>
        <v>0</v>
      </c>
      <c r="M118" s="783">
        <f>IF('Incremental Repayments'!$R$22="Debt",IF(AND(M$4&gt;=$D118,M$4&lt;$D118+'Incremental Repayments'!$I$31),-PMT('Interest Rate'!$J$16,'Incremental Repayments'!$I$31,(HLOOKUP($D118,$E$4:$CZ$32,28,FALSE)*'Incremental Repayments'!$I$22)),0),0)</f>
        <v>0</v>
      </c>
      <c r="N118" s="783">
        <f>IF('Incremental Repayments'!$R$22="Debt",IF(AND(N$4&gt;=$D118,N$4&lt;$D118+'Incremental Repayments'!$I$31),-PMT('Interest Rate'!$J$16,'Incremental Repayments'!$I$31,(HLOOKUP($D118,$E$4:$CZ$32,28,FALSE)*'Incremental Repayments'!$I$22)),0),0)</f>
        <v>0</v>
      </c>
      <c r="O118" s="783">
        <f>IF('Incremental Repayments'!$R$22="Debt",IF(AND(O$4&gt;=$D118,O$4&lt;$D118+'Incremental Repayments'!$I$31),-PMT('Interest Rate'!$J$16,'Incremental Repayments'!$I$31,(HLOOKUP($D118,$E$4:$CZ$32,28,FALSE)*'Incremental Repayments'!$I$22)),0),0)</f>
        <v>0</v>
      </c>
      <c r="P118" s="783">
        <f>IF('Incremental Repayments'!$R$22="Debt",IF(AND(P$4&gt;=$D118,P$4&lt;$D118+'Incremental Repayments'!$I$31),-PMT('Interest Rate'!$J$16,'Incremental Repayments'!$I$31,(HLOOKUP($D118,$E$4:$CZ$32,28,FALSE)*'Incremental Repayments'!$I$22)),0),0)</f>
        <v>0</v>
      </c>
      <c r="Q118" s="783">
        <f>IF('Incremental Repayments'!$R$22="Debt",IF(AND(Q$4&gt;=$D118,Q$4&lt;$D118+'Incremental Repayments'!$I$31),-PMT('Interest Rate'!$J$16,'Incremental Repayments'!$I$31,(HLOOKUP($D118,$E$4:$CZ$32,28,FALSE)*'Incremental Repayments'!$I$22)),0),0)</f>
        <v>0</v>
      </c>
      <c r="R118" s="783">
        <f>IF('Incremental Repayments'!$R$22="Debt",IF(AND(R$4&gt;=$D118,R$4&lt;$D118+'Incremental Repayments'!$I$31),-PMT('Interest Rate'!$J$16,'Incremental Repayments'!$I$31,(HLOOKUP($D118,$E$4:$CZ$32,28,FALSE)*'Incremental Repayments'!$I$22)),0),0)</f>
        <v>0</v>
      </c>
      <c r="S118" s="783">
        <f>IF('Incremental Repayments'!$R$22="Debt",IF(AND(S$4&gt;=$D118,S$4&lt;$D118+'Incremental Repayments'!$I$31),-PMT('Interest Rate'!$J$16,'Incremental Repayments'!$I$31,(HLOOKUP($D118,$E$4:$CZ$32,28,FALSE)*'Incremental Repayments'!$I$22)),0),0)</f>
        <v>0</v>
      </c>
      <c r="T118" s="783">
        <f>IF('Incremental Repayments'!$R$22="Debt",IF(AND(T$4&gt;=$D118,T$4&lt;$D118+'Incremental Repayments'!$I$31),-PMT('Interest Rate'!$J$16,'Incremental Repayments'!$I$31,(HLOOKUP($D118,$E$4:$CZ$32,28,FALSE)*'Incremental Repayments'!$I$22)),0),0)</f>
        <v>0</v>
      </c>
      <c r="U118" s="783">
        <f>IF('Incremental Repayments'!$R$22="Debt",IF(AND(U$4&gt;=$D118,U$4&lt;$D118+'Incremental Repayments'!$I$31),-PMT('Interest Rate'!$J$16,'Incremental Repayments'!$I$31,(HLOOKUP($D118,$E$4:$CZ$32,28,FALSE)*'Incremental Repayments'!$I$22)),0),0)</f>
        <v>0</v>
      </c>
      <c r="V118" s="783">
        <f>IF('Incremental Repayments'!$R$22="Debt",IF(AND(V$4&gt;=$D118,V$4&lt;$D118+'Incremental Repayments'!$I$31),-PMT('Interest Rate'!$J$16,'Incremental Repayments'!$I$31,(HLOOKUP($D118,$E$4:$CZ$32,28,FALSE)*'Incremental Repayments'!$I$22)),0),0)</f>
        <v>0</v>
      </c>
      <c r="W118" s="783">
        <f>IF('Incremental Repayments'!$R$22="Debt",IF(AND(W$4&gt;=$D118,W$4&lt;$D118+'Incremental Repayments'!$I$31),-PMT('Interest Rate'!$J$16,'Incremental Repayments'!$I$31,(HLOOKUP($D118,$E$4:$CZ$32,28,FALSE)*'Incremental Repayments'!$I$22)),0),0)</f>
        <v>0</v>
      </c>
      <c r="X118" s="783">
        <f>IF('Incremental Repayments'!$R$22="Debt",IF(AND(X$4&gt;=$D118,X$4&lt;$D118+'Incremental Repayments'!$I$31),-PMT('Interest Rate'!$J$16,'Incremental Repayments'!$I$31,(HLOOKUP($D118,$E$4:$CZ$32,28,FALSE)*'Incremental Repayments'!$I$22)),0),0)</f>
        <v>0</v>
      </c>
      <c r="Y118" s="783">
        <f>IF('Incremental Repayments'!$R$22="Debt",IF(AND(Y$4&gt;=$D118,Y$4&lt;$D118+'Incremental Repayments'!$I$31),-PMT('Interest Rate'!$J$16,'Incremental Repayments'!$I$31,(HLOOKUP($D118,$E$4:$CZ$32,28,FALSE)*'Incremental Repayments'!$I$22)),0),0)</f>
        <v>0</v>
      </c>
      <c r="Z118" s="783">
        <f>IF('Incremental Repayments'!$R$22="Debt",IF(AND(Z$4&gt;=$D118,Z$4&lt;$D118+'Incremental Repayments'!$I$31),-PMT('Interest Rate'!$J$16,'Incremental Repayments'!$I$31,(HLOOKUP($D118,$E$4:$CZ$32,28,FALSE)*'Incremental Repayments'!$I$22)),0),0)</f>
        <v>0</v>
      </c>
      <c r="AA118" s="783">
        <f>IF('Incremental Repayments'!$R$22="Debt",IF(AND(AA$4&gt;=$D118,AA$4&lt;$D118+'Incremental Repayments'!$I$31),-PMT('Interest Rate'!$J$16,'Incremental Repayments'!$I$31,(HLOOKUP($D118,$E$4:$CZ$32,28,FALSE)*'Incremental Repayments'!$I$22)),0),0)</f>
        <v>0</v>
      </c>
      <c r="AB118" s="783">
        <f>IF('Incremental Repayments'!$R$22="Debt",IF(AND(AB$4&gt;=$D118,AB$4&lt;$D118+'Incremental Repayments'!$I$31),-PMT('Interest Rate'!$J$16,'Incremental Repayments'!$I$31,(HLOOKUP($D118,$E$4:$CZ$32,28,FALSE)*'Incremental Repayments'!$I$22)),0),0)</f>
        <v>0</v>
      </c>
      <c r="AC118" s="783">
        <f>IF('Incremental Repayments'!$R$22="Debt",IF(AND(AC$4&gt;=$D118,AC$4&lt;$D118+'Incremental Repayments'!$I$31),-PMT('Interest Rate'!$J$16,'Incremental Repayments'!$I$31,(HLOOKUP($D118,$E$4:$CZ$32,28,FALSE)*'Incremental Repayments'!$I$22)),0),0)</f>
        <v>0</v>
      </c>
      <c r="AD118" s="783">
        <f>IF('Incremental Repayments'!$R$22="Debt",IF(AND(AD$4&gt;=$D118,AD$4&lt;$D118+'Incremental Repayments'!$I$31),-PMT('Interest Rate'!$J$16,'Incremental Repayments'!$I$31,(HLOOKUP($D118,$E$4:$CZ$32,28,FALSE)*'Incremental Repayments'!$I$22)),0),0)</f>
        <v>0</v>
      </c>
      <c r="AE118" s="783">
        <f>IF('Incremental Repayments'!$R$22="Debt",IF(AND(AE$4&gt;=$D118,AE$4&lt;$D118+'Incremental Repayments'!$I$31),-PMT('Interest Rate'!$J$16,'Incremental Repayments'!$I$31,(HLOOKUP($D118,$E$4:$CZ$32,28,FALSE)*'Incremental Repayments'!$I$22)),0),0)</f>
        <v>0</v>
      </c>
      <c r="AF118" s="783">
        <f>IF('Incremental Repayments'!$R$22="Debt",IF(AND(AF$4&gt;=$D118,AF$4&lt;$D118+'Incremental Repayments'!$I$31),-PMT('Interest Rate'!$J$16,'Incremental Repayments'!$I$31,(HLOOKUP($D118,$E$4:$CZ$32,28,FALSE)*'Incremental Repayments'!$I$22)),0),0)</f>
        <v>0</v>
      </c>
      <c r="AG118" s="783">
        <f>IF('Incremental Repayments'!$R$22="Debt",IF(AND(AG$4&gt;=$D118,AG$4&lt;$D118+'Incremental Repayments'!$I$31),-PMT('Interest Rate'!$J$16,'Incremental Repayments'!$I$31,(HLOOKUP($D118,$E$4:$CZ$32,28,FALSE)*'Incremental Repayments'!$I$22)),0),0)</f>
        <v>0</v>
      </c>
      <c r="AH118" s="783">
        <f>IF('Incremental Repayments'!$R$22="Debt",IF(AND(AH$4&gt;=$D118,AH$4&lt;$D118+'Incremental Repayments'!$I$31),-PMT('Interest Rate'!$J$16,'Incremental Repayments'!$I$31,(HLOOKUP($D118,$E$4:$CZ$32,28,FALSE)*'Incremental Repayments'!$I$22)),0),0)</f>
        <v>0</v>
      </c>
      <c r="AI118" s="783">
        <f>IF('Incremental Repayments'!$R$22="Debt",IF(AND(AI$4&gt;=$D118,AI$4&lt;$D118+'Incremental Repayments'!$I$31),-PMT('Interest Rate'!$J$16,'Incremental Repayments'!$I$31,(HLOOKUP($D118,$E$4:$CZ$32,28,FALSE)*'Incremental Repayments'!$I$22)),0),0)</f>
        <v>0</v>
      </c>
      <c r="AJ118" s="783">
        <f>IF('Incremental Repayments'!$R$22="Debt",IF(AND(AJ$4&gt;=$D118,AJ$4&lt;$D118+'Incremental Repayments'!$I$31),-PMT('Interest Rate'!$J$16,'Incremental Repayments'!$I$31,(HLOOKUP($D118,$E$4:$CZ$32,28,FALSE)*'Incremental Repayments'!$I$22)),0),0)</f>
        <v>0</v>
      </c>
      <c r="AK118" s="783">
        <f>IF('Incremental Repayments'!$R$22="Debt",IF(AND(AK$4&gt;=$D118,AK$4&lt;$D118+'Incremental Repayments'!$I$31),-PMT('Interest Rate'!$J$16,'Incremental Repayments'!$I$31,(HLOOKUP($D118,$E$4:$CZ$32,28,FALSE)*'Incremental Repayments'!$I$22)),0),0)</f>
        <v>0</v>
      </c>
      <c r="AL118" s="783">
        <f>IF('Incremental Repayments'!$R$22="Debt",IF(AND(AL$4&gt;=$D118,AL$4&lt;$D118+'Incremental Repayments'!$I$31),-PMT('Interest Rate'!$J$16,'Incremental Repayments'!$I$31,(HLOOKUP($D118,$E$4:$CZ$32,28,FALSE)*'Incremental Repayments'!$I$22)),0),0)</f>
        <v>0</v>
      </c>
      <c r="AM118" s="783">
        <f>IF('Incremental Repayments'!$R$22="Debt",IF(AND(AM$4&gt;=$D118,AM$4&lt;$D118+'Incremental Repayments'!$I$31),-PMT('Interest Rate'!$J$16,'Incremental Repayments'!$I$31,(HLOOKUP($D118,$E$4:$CZ$32,28,FALSE)*'Incremental Repayments'!$I$22)),0),0)</f>
        <v>0</v>
      </c>
      <c r="AN118" s="783">
        <f>IF('Incremental Repayments'!$R$22="Debt",IF(AND(AN$4&gt;=$D118,AN$4&lt;$D118+'Incremental Repayments'!$I$31),-PMT('Interest Rate'!$J$16,'Incremental Repayments'!$I$31,(HLOOKUP($D118,$E$4:$CZ$32,28,FALSE)*'Incremental Repayments'!$I$22)),0),0)</f>
        <v>0</v>
      </c>
      <c r="AO118" s="783">
        <f>IF('Incremental Repayments'!$R$22="Debt",IF(AND(AO$4&gt;=$D118,AO$4&lt;$D118+'Incremental Repayments'!$I$31),-PMT('Interest Rate'!$J$16,'Incremental Repayments'!$I$31,(HLOOKUP($D118,$E$4:$CZ$32,28,FALSE)*'Incremental Repayments'!$I$22)),0),0)</f>
        <v>0</v>
      </c>
      <c r="AP118" s="783">
        <f>IF('Incremental Repayments'!$R$22="Debt",IF(AND(AP$4&gt;=$D118,AP$4&lt;$D118+'Incremental Repayments'!$I$31),-PMT('Interest Rate'!$J$16,'Incremental Repayments'!$I$31,(HLOOKUP($D118,$E$4:$CZ$32,28,FALSE)*'Incremental Repayments'!$I$22)),0),0)</f>
        <v>0</v>
      </c>
      <c r="AQ118" s="783">
        <f>IF('Incremental Repayments'!$R$22="Debt",IF(AND(AQ$4&gt;=$D118,AQ$4&lt;$D118+'Incremental Repayments'!$I$31),-PMT('Interest Rate'!$J$16,'Incremental Repayments'!$I$31,(HLOOKUP($D118,$E$4:$CZ$32,28,FALSE)*'Incremental Repayments'!$I$22)),0),0)</f>
        <v>0</v>
      </c>
      <c r="AR118" s="783">
        <f>IF('Incremental Repayments'!$R$22="Debt",IF(AND(AR$4&gt;=$D118,AR$4&lt;$D118+'Incremental Repayments'!$I$31),-PMT('Interest Rate'!$J$16,'Incremental Repayments'!$I$31,(HLOOKUP($D118,$E$4:$CZ$32,28,FALSE)*'Incremental Repayments'!$I$22)),0),0)</f>
        <v>0</v>
      </c>
      <c r="AS118" s="783">
        <f>IF('Incremental Repayments'!$R$22="Debt",IF(AND(AS$4&gt;=$D118,AS$4&lt;$D118+'Incremental Repayments'!$I$31),-PMT('Interest Rate'!$J$16,'Incremental Repayments'!$I$31,(HLOOKUP($D118,$E$4:$CZ$32,28,FALSE)*'Incremental Repayments'!$I$22)),0),0)</f>
        <v>0</v>
      </c>
      <c r="AT118" s="783">
        <f>IF('Incremental Repayments'!$R$22="Debt",IF(AND(AT$4&gt;=$D118,AT$4&lt;$D118+'Incremental Repayments'!$I$31),-PMT('Interest Rate'!$J$16,'Incremental Repayments'!$I$31,(HLOOKUP($D118,$E$4:$CZ$32,28,FALSE)*'Incremental Repayments'!$I$22)),0),0)</f>
        <v>0</v>
      </c>
      <c r="AU118" s="783">
        <f>IF('Incremental Repayments'!$R$22="Debt",IF(AND(AU$4&gt;=$D118,AU$4&lt;$D118+'Incremental Repayments'!$I$31),-PMT('Interest Rate'!$J$16,'Incremental Repayments'!$I$31,(HLOOKUP($D118,$E$4:$CZ$32,28,FALSE)*'Incremental Repayments'!$I$22)),0),0)</f>
        <v>0</v>
      </c>
      <c r="AV118" s="783">
        <f>IF('Incremental Repayments'!$R$22="Debt",IF(AND(AV$4&gt;=$D118,AV$4&lt;$D118+'Incremental Repayments'!$I$31),-PMT('Interest Rate'!$J$16,'Incremental Repayments'!$I$31,(HLOOKUP($D118,$E$4:$CZ$32,28,FALSE)*'Incremental Repayments'!$I$22)),0),0)</f>
        <v>0</v>
      </c>
      <c r="AW118" s="783">
        <f>IF('Incremental Repayments'!$R$22="Debt",IF(AND(AW$4&gt;=$D118,AW$4&lt;$D118+'Incremental Repayments'!$I$31),-PMT('Interest Rate'!$J$16,'Incremental Repayments'!$I$31,(HLOOKUP($D118,$E$4:$CZ$32,28,FALSE)*'Incremental Repayments'!$I$22)),0),0)</f>
        <v>0</v>
      </c>
      <c r="AX118" s="783">
        <f>IF('Incremental Repayments'!$R$22="Debt",IF(AND(AX$4&gt;=$D118,AX$4&lt;$D118+'Incremental Repayments'!$I$31),-PMT('Interest Rate'!$J$16,'Incremental Repayments'!$I$31,(HLOOKUP($D118,$E$4:$CZ$32,28,FALSE)*'Incremental Repayments'!$I$22)),0),0)</f>
        <v>0</v>
      </c>
      <c r="AY118" s="783">
        <f>IF('Incremental Repayments'!$R$22="Debt",IF(AND(AY$4&gt;=$D118,AY$4&lt;$D118+'Incremental Repayments'!$I$31),-PMT('Interest Rate'!$J$16,'Incremental Repayments'!$I$31,(HLOOKUP($D118,$E$4:$CZ$32,28,FALSE)*'Incremental Repayments'!$I$22)),0),0)</f>
        <v>0</v>
      </c>
      <c r="AZ118" s="783">
        <f>IF('Incremental Repayments'!$R$22="Debt",IF(AND(AZ$4&gt;=$D118,AZ$4&lt;$D118+'Incremental Repayments'!$I$31),-PMT('Interest Rate'!$J$16,'Incremental Repayments'!$I$31,(HLOOKUP($D118,$E$4:$CZ$32,28,FALSE)*'Incremental Repayments'!$I$22)),0),0)</f>
        <v>0</v>
      </c>
      <c r="BA118" s="783">
        <f>IF('Incremental Repayments'!$R$22="Debt",IF(AND(BA$4&gt;=$D118,BA$4&lt;$D118+'Incremental Repayments'!$I$31),-PMT('Interest Rate'!$J$16,'Incremental Repayments'!$I$31,(HLOOKUP($D118,$E$4:$CZ$32,28,FALSE)*'Incremental Repayments'!$I$22)),0),0)</f>
        <v>0</v>
      </c>
      <c r="BB118" s="783">
        <f>IF('Incremental Repayments'!$R$22="Debt",IF(AND(BB$4&gt;=$D118,BB$4&lt;$D118+'Incremental Repayments'!$I$31),-PMT('Interest Rate'!$J$16,'Incremental Repayments'!$I$31,(HLOOKUP($D118,$E$4:$CZ$32,28,FALSE)*'Incremental Repayments'!$I$22)),0),0)</f>
        <v>0</v>
      </c>
      <c r="BC118" s="783">
        <f>IF('Incremental Repayments'!$R$22="Debt",IF(AND(BC$4&gt;=$D118,BC$4&lt;$D118+'Incremental Repayments'!$I$31),-PMT('Interest Rate'!$J$16,'Incremental Repayments'!$I$31,(HLOOKUP($D118,$E$4:$CZ$32,28,FALSE)*'Incremental Repayments'!$I$22)),0),0)</f>
        <v>0</v>
      </c>
      <c r="BD118" s="783">
        <f>IF('Incremental Repayments'!$R$22="Debt",IF(AND(BD$4&gt;=$D118,BD$4&lt;$D118+'Incremental Repayments'!$I$31),-PMT('Interest Rate'!$J$16,'Incremental Repayments'!$I$31,(HLOOKUP($D118,$E$4:$CZ$32,28,FALSE)*'Incremental Repayments'!$I$22)),0),0)</f>
        <v>0</v>
      </c>
      <c r="BE118" s="783">
        <f>IF('Incremental Repayments'!$R$22="Debt",IF(AND(BE$4&gt;=$D118,BE$4&lt;$D118+'Incremental Repayments'!$I$31),-PMT('Interest Rate'!$J$16,'Incremental Repayments'!$I$31,(HLOOKUP($D118,$E$4:$CZ$32,28,FALSE)*'Incremental Repayments'!$I$22)),0),0)</f>
        <v>0</v>
      </c>
      <c r="BF118" s="783">
        <f>IF('Incremental Repayments'!$R$22="Debt",IF(AND(BF$4&gt;=$D118,BF$4&lt;$D118+'Incremental Repayments'!$I$31),-PMT('Interest Rate'!$J$16,'Incremental Repayments'!$I$31,(HLOOKUP($D118,$E$4:$CZ$32,28,FALSE)*'Incremental Repayments'!$I$22)),0),0)</f>
        <v>0</v>
      </c>
      <c r="BG118" s="783">
        <f>IF('Incremental Repayments'!$R$22="Debt",IF(AND(BG$4&gt;=$D118,BG$4&lt;$D118+'Incremental Repayments'!$I$31),-PMT('Interest Rate'!$J$16,'Incremental Repayments'!$I$31,(HLOOKUP($D118,$E$4:$CZ$32,28,FALSE)*'Incremental Repayments'!$I$22)),0),0)</f>
        <v>0</v>
      </c>
      <c r="BH118" s="783">
        <f>IF('Incremental Repayments'!$R$22="Debt",IF(AND(BH$4&gt;=$D118,BH$4&lt;$D118+'Incremental Repayments'!$I$31),-PMT('Interest Rate'!$J$16,'Incremental Repayments'!$I$31,(HLOOKUP($D118,$E$4:$CZ$32,28,FALSE)*'Incremental Repayments'!$I$22)),0),0)</f>
        <v>0</v>
      </c>
      <c r="BI118" s="783">
        <f>IF('Incremental Repayments'!$R$22="Debt",IF(AND(BI$4&gt;=$D118,BI$4&lt;$D118+'Incremental Repayments'!$I$31),-PMT('Interest Rate'!$J$16,'Incremental Repayments'!$I$31,(HLOOKUP($D118,$E$4:$CZ$32,28,FALSE)*'Incremental Repayments'!$I$22)),0),0)</f>
        <v>0</v>
      </c>
      <c r="BJ118" s="783">
        <f>IF('Incremental Repayments'!$R$22="Debt",IF(AND(BJ$4&gt;=$D118,BJ$4&lt;$D118+'Incremental Repayments'!$I$31),-PMT('Interest Rate'!$J$16,'Incremental Repayments'!$I$31,(HLOOKUP($D118,$E$4:$CZ$32,28,FALSE)*'Incremental Repayments'!$I$22)),0),0)</f>
        <v>0</v>
      </c>
      <c r="BK118" s="783">
        <f>IF('Incremental Repayments'!$R$22="Debt",IF(AND(BK$4&gt;=$D118,BK$4&lt;$D118+'Incremental Repayments'!$I$31),-PMT('Interest Rate'!$J$16,'Incremental Repayments'!$I$31,(HLOOKUP($D118,$E$4:$CZ$32,28,FALSE)*'Incremental Repayments'!$I$22)),0),0)</f>
        <v>0</v>
      </c>
      <c r="BL118" s="783">
        <f>IF('Incremental Repayments'!$R$22="Debt",IF(AND(BL$4&gt;=$D118,BL$4&lt;$D118+'Incremental Repayments'!$I$31),-PMT('Interest Rate'!$J$16,'Incremental Repayments'!$I$31,(HLOOKUP($D118,$E$4:$CZ$32,28,FALSE)*'Incremental Repayments'!$I$22)),0),0)</f>
        <v>0</v>
      </c>
      <c r="BM118" s="783">
        <f>IF('Incremental Repayments'!$R$22="Debt",IF(AND(BM$4&gt;=$D118,BM$4&lt;$D118+'Incremental Repayments'!$I$31),-PMT('Interest Rate'!$J$16,'Incremental Repayments'!$I$31,(HLOOKUP($D118,$E$4:$CZ$32,28,FALSE)*'Incremental Repayments'!$I$22)),0),0)</f>
        <v>0</v>
      </c>
      <c r="BN118" s="783">
        <f>IF('Incremental Repayments'!$R$22="Debt",IF(AND(BN$4&gt;=$D118,BN$4&lt;$D118+'Incremental Repayments'!$I$31),-PMT('Interest Rate'!$J$16,'Incremental Repayments'!$I$31,(HLOOKUP($D118,$E$4:$CZ$32,28,FALSE)*'Incremental Repayments'!$I$22)),0),0)</f>
        <v>0</v>
      </c>
      <c r="BO118" s="783">
        <f>IF('Incremental Repayments'!$R$22="Debt",IF(AND(BO$4&gt;=$D118,BO$4&lt;$D118+'Incremental Repayments'!$I$31),-PMT('Interest Rate'!$J$16,'Incremental Repayments'!$I$31,(HLOOKUP($D118,$E$4:$CZ$32,28,FALSE)*'Incremental Repayments'!$I$22)),0),0)</f>
        <v>0</v>
      </c>
      <c r="BP118" s="783">
        <f>IF('Incremental Repayments'!$R$22="Debt",IF(AND(BP$4&gt;=$D118,BP$4&lt;$D118+'Incremental Repayments'!$I$31),-PMT('Interest Rate'!$J$16,'Incremental Repayments'!$I$31,(HLOOKUP($D118,$E$4:$CZ$32,28,FALSE)*'Incremental Repayments'!$I$22)),0),0)</f>
        <v>0</v>
      </c>
      <c r="BQ118" s="783">
        <f>IF('Incremental Repayments'!$R$22="Debt",IF(AND(BQ$4&gt;=$D118,BQ$4&lt;$D118+'Incremental Repayments'!$I$31),-PMT('Interest Rate'!$J$16,'Incremental Repayments'!$I$31,(HLOOKUP($D118,$E$4:$CZ$32,28,FALSE)*'Incremental Repayments'!$I$22)),0),0)</f>
        <v>0</v>
      </c>
      <c r="BR118" s="783">
        <f>IF('Incremental Repayments'!$R$22="Debt",IF(AND(BR$4&gt;=$D118,BR$4&lt;$D118+'Incremental Repayments'!$I$31),-PMT('Interest Rate'!$J$16,'Incremental Repayments'!$I$31,(HLOOKUP($D118,$E$4:$CZ$32,28,FALSE)*'Incremental Repayments'!$I$22)),0),0)</f>
        <v>0</v>
      </c>
      <c r="BS118" s="783">
        <f>IF('Incremental Repayments'!$R$22="Debt",IF(AND(BS$4&gt;=$D118,BS$4&lt;$D118+'Incremental Repayments'!$I$31),-PMT('Interest Rate'!$J$16,'Incremental Repayments'!$I$31,(HLOOKUP($D118,$E$4:$CZ$32,28,FALSE)*'Incremental Repayments'!$I$22)),0),0)</f>
        <v>0</v>
      </c>
      <c r="BT118" s="783">
        <f>IF('Incremental Repayments'!$R$22="Debt",IF(AND(BT$4&gt;=$D118,BT$4&lt;$D118+'Incremental Repayments'!$I$31),-PMT('Interest Rate'!$J$16,'Incremental Repayments'!$I$31,(HLOOKUP($D118,$E$4:$CZ$32,28,FALSE)*'Incremental Repayments'!$I$22)),0),0)</f>
        <v>0</v>
      </c>
      <c r="BU118" s="783">
        <f>IF('Incremental Repayments'!$R$22="Debt",IF(AND(BU$4&gt;=$D118,BU$4&lt;$D118+'Incremental Repayments'!$I$31),-PMT('Interest Rate'!$J$16,'Incremental Repayments'!$I$31,(HLOOKUP($D118,$E$4:$CZ$32,28,FALSE)*'Incremental Repayments'!$I$22)),0),0)</f>
        <v>0</v>
      </c>
      <c r="BV118" s="783">
        <f>IF('Incremental Repayments'!$R$22="Debt",IF(AND(BV$4&gt;=$D118,BV$4&lt;$D118+'Incremental Repayments'!$I$31),-PMT('Interest Rate'!$J$16,'Incremental Repayments'!$I$31,(HLOOKUP($D118,$E$4:$CZ$32,28,FALSE)*'Incremental Repayments'!$I$22)),0),0)</f>
        <v>0</v>
      </c>
      <c r="BW118" s="783">
        <f>IF('Incremental Repayments'!$R$22="Debt",IF(AND(BW$4&gt;=$D118,BW$4&lt;$D118+'Incremental Repayments'!$I$31),-PMT('Interest Rate'!$J$16,'Incremental Repayments'!$I$31,(HLOOKUP($D118,$E$4:$CZ$32,28,FALSE)*'Incremental Repayments'!$I$22)),0),0)</f>
        <v>0</v>
      </c>
      <c r="BX118" s="783">
        <f>IF('Incremental Repayments'!$R$22="Debt",IF(AND(BX$4&gt;=$D118,BX$4&lt;$D118+'Incremental Repayments'!$I$31),-PMT('Interest Rate'!$J$16,'Incremental Repayments'!$I$31,(HLOOKUP($D118,$E$4:$CZ$32,28,FALSE)*'Incremental Repayments'!$I$22)),0),0)</f>
        <v>0</v>
      </c>
      <c r="BY118" s="783">
        <f>IF('Incremental Repayments'!$R$22="Debt",IF(AND(BY$4&gt;=$D118,BY$4&lt;$D118+'Incremental Repayments'!$I$31),-PMT('Interest Rate'!$J$16,'Incremental Repayments'!$I$31,(HLOOKUP($D118,$E$4:$CZ$32,28,FALSE)*'Incremental Repayments'!$I$22)),0),0)</f>
        <v>0</v>
      </c>
      <c r="BZ118" s="783">
        <f>IF('Incremental Repayments'!$R$22="Debt",IF(AND(BZ$4&gt;=$D118,BZ$4&lt;$D118+'Incremental Repayments'!$I$31),-PMT('Interest Rate'!$J$16,'Incremental Repayments'!$I$31,(HLOOKUP($D118,$E$4:$CZ$32,28,FALSE)*'Incremental Repayments'!$I$22)),0),0)</f>
        <v>0</v>
      </c>
      <c r="CA118" s="783">
        <f>IF('Incremental Repayments'!$R$22="Debt",IF(AND(CA$4&gt;=$D118,CA$4&lt;$D118+'Incremental Repayments'!$I$31),-PMT('Interest Rate'!$J$16,'Incremental Repayments'!$I$31,(HLOOKUP($D118,$E$4:$CZ$32,28,FALSE)*'Incremental Repayments'!$I$22)),0),0)</f>
        <v>0</v>
      </c>
      <c r="CB118" s="783">
        <f>IF('Incremental Repayments'!$R$22="Debt",IF(AND(CB$4&gt;=$D118,CB$4&lt;$D118+'Incremental Repayments'!$I$31),-PMT('Interest Rate'!$J$16,'Incremental Repayments'!$I$31,(HLOOKUP($D118,$E$4:$CZ$32,28,FALSE)*'Incremental Repayments'!$I$22)),0),0)</f>
        <v>0</v>
      </c>
      <c r="CC118" s="783">
        <f>IF('Incremental Repayments'!$R$22="Debt",IF(AND(CC$4&gt;=$D118,CC$4&lt;$D118+'Incremental Repayments'!$I$31),-PMT('Interest Rate'!$J$16,'Incremental Repayments'!$I$31,(HLOOKUP($D118,$E$4:$CZ$32,28,FALSE)*'Incremental Repayments'!$I$22)),0),0)</f>
        <v>0</v>
      </c>
      <c r="CD118" s="783">
        <f>IF('Incremental Repayments'!$R$22="Debt",IF(AND(CD$4&gt;=$D118,CD$4&lt;$D118+'Incremental Repayments'!$I$31),-PMT('Interest Rate'!$J$16,'Incremental Repayments'!$I$31,(HLOOKUP($D118,$E$4:$CZ$32,28,FALSE)*'Incremental Repayments'!$I$22)),0),0)</f>
        <v>0</v>
      </c>
      <c r="CE118" s="783">
        <f>IF('Incremental Repayments'!$R$22="Debt",IF(AND(CE$4&gt;=$D118,CE$4&lt;$D118+'Incremental Repayments'!$I$31),-PMT('Interest Rate'!$J$16,'Incremental Repayments'!$I$31,(HLOOKUP($D118,$E$4:$CZ$32,28,FALSE)*'Incremental Repayments'!$I$22)),0),0)</f>
        <v>0</v>
      </c>
      <c r="CF118" s="783">
        <f>IF('Incremental Repayments'!$R$22="Debt",IF(AND(CF$4&gt;=$D118,CF$4&lt;$D118+'Incremental Repayments'!$I$31),-PMT('Interest Rate'!$J$16,'Incremental Repayments'!$I$31,(HLOOKUP($D118,$E$4:$CZ$32,28,FALSE)*'Incremental Repayments'!$I$22)),0),0)</f>
        <v>0</v>
      </c>
      <c r="CG118" s="783">
        <f>IF('Incremental Repayments'!$R$22="Debt",IF(AND(CG$4&gt;=$D118,CG$4&lt;$D118+'Incremental Repayments'!$I$31),-PMT('Interest Rate'!$J$16,'Incremental Repayments'!$I$31,(HLOOKUP($D118,$E$4:$CZ$32,28,FALSE)*'Incremental Repayments'!$I$22)),0),0)</f>
        <v>0</v>
      </c>
      <c r="CH118" s="783">
        <f>IF('Incremental Repayments'!$R$22="Debt",IF(AND(CH$4&gt;=$D118,CH$4&lt;$D118+'Incremental Repayments'!$I$31),-PMT('Interest Rate'!$J$16,'Incremental Repayments'!$I$31,(HLOOKUP($D118,$E$4:$CZ$32,28,FALSE)*'Incremental Repayments'!$I$22)),0),0)</f>
        <v>0</v>
      </c>
      <c r="CI118" s="783">
        <f>IF('Incremental Repayments'!$R$22="Debt",IF(AND(CI$4&gt;=$D118,CI$4&lt;$D118+'Incremental Repayments'!$I$31),-PMT('Interest Rate'!$J$16,'Incremental Repayments'!$I$31,(HLOOKUP($D118,$E$4:$CZ$32,28,FALSE)*'Incremental Repayments'!$I$22)),0),0)</f>
        <v>0</v>
      </c>
      <c r="CJ118" s="783">
        <f>IF('Incremental Repayments'!$R$22="Debt",IF(AND(CJ$4&gt;=$D118,CJ$4&lt;$D118+'Incremental Repayments'!$I$31),-PMT('Interest Rate'!$J$16,'Incremental Repayments'!$I$31,(HLOOKUP($D118,$E$4:$CZ$32,28,FALSE)*'Incremental Repayments'!$I$22)),0),0)</f>
        <v>0</v>
      </c>
      <c r="CK118" s="783">
        <f>IF('Incremental Repayments'!$R$22="Debt",IF(AND(CK$4&gt;=$D118,CK$4&lt;$D118+'Incremental Repayments'!$I$31),-PMT('Interest Rate'!$J$16,'Incremental Repayments'!$I$31,(HLOOKUP($D118,$E$4:$CZ$32,28,FALSE)*'Incremental Repayments'!$I$22)),0),0)</f>
        <v>0</v>
      </c>
      <c r="CL118" s="783">
        <f>IF('Incremental Repayments'!$R$22="Debt",IF(AND(CL$4&gt;=$D118,CL$4&lt;$D118+'Incremental Repayments'!$I$31),-PMT('Interest Rate'!$J$16,'Incremental Repayments'!$I$31,(HLOOKUP($D118,$E$4:$CZ$32,28,FALSE)*'Incremental Repayments'!$I$22)),0),0)</f>
        <v>0</v>
      </c>
      <c r="CM118" s="783">
        <f>IF('Incremental Repayments'!$R$22="Debt",IF(AND(CM$4&gt;=$D118,CM$4&lt;$D118+'Incremental Repayments'!$I$31),-PMT('Interest Rate'!$J$16,'Incremental Repayments'!$I$31,(HLOOKUP($D118,$E$4:$CZ$32,28,FALSE)*'Incremental Repayments'!$I$22)),0),0)</f>
        <v>0</v>
      </c>
      <c r="CN118" s="783">
        <f>IF('Incremental Repayments'!$R$22="Debt",IF(AND(CN$4&gt;=$D118,CN$4&lt;$D118+'Incremental Repayments'!$I$31),-PMT('Interest Rate'!$J$16,'Incremental Repayments'!$I$31,(HLOOKUP($D118,$E$4:$CZ$32,28,FALSE)*'Incremental Repayments'!$I$22)),0),0)</f>
        <v>0</v>
      </c>
      <c r="CO118" s="783">
        <f>IF('Incremental Repayments'!$R$22="Debt",IF(AND(CO$4&gt;=$D118,CO$4&lt;$D118+'Incremental Repayments'!$I$31),-PMT('Interest Rate'!$J$16,'Incremental Repayments'!$I$31,(HLOOKUP($D118,$E$4:$CZ$32,28,FALSE)*'Incremental Repayments'!$I$22)),0),0)</f>
        <v>0</v>
      </c>
      <c r="CP118" s="783">
        <f>IF('Incremental Repayments'!$R$22="Debt",IF(AND(CP$4&gt;=$D118,CP$4&lt;$D118+'Incremental Repayments'!$I$31),-PMT('Interest Rate'!$J$16,'Incremental Repayments'!$I$31,(HLOOKUP($D118,$E$4:$CZ$32,28,FALSE)*'Incremental Repayments'!$I$22)),0),0)</f>
        <v>0</v>
      </c>
      <c r="CQ118" s="783">
        <f>IF('Incremental Repayments'!$R$22="Debt",IF(AND(CQ$4&gt;=$D118,CQ$4&lt;$D118+'Incremental Repayments'!$I$31),-PMT('Interest Rate'!$J$16,'Incremental Repayments'!$I$31,(HLOOKUP($D118,$E$4:$CZ$32,28,FALSE)*'Incremental Repayments'!$I$22)),0),0)</f>
        <v>0</v>
      </c>
      <c r="CR118" s="783">
        <f>IF('Incremental Repayments'!$R$22="Debt",IF(AND(CR$4&gt;=$D118,CR$4&lt;$D118+'Incremental Repayments'!$I$31),-PMT('Interest Rate'!$J$16,'Incremental Repayments'!$I$31,(HLOOKUP($D118,$E$4:$CZ$32,28,FALSE)*'Incremental Repayments'!$I$22)),0),0)</f>
        <v>0</v>
      </c>
      <c r="CS118" s="783">
        <f>IF('Incremental Repayments'!$R$22="Debt",IF(AND(CS$4&gt;=$D118,CS$4&lt;$D118+'Incremental Repayments'!$I$31),-PMT('Interest Rate'!$J$16,'Incremental Repayments'!$I$31,(HLOOKUP($D118,$E$4:$CZ$32,28,FALSE)*'Incremental Repayments'!$I$22)),0),0)</f>
        <v>0</v>
      </c>
      <c r="CT118" s="783">
        <f>IF('Incremental Repayments'!$R$22="Debt",IF(AND(CT$4&gt;=$D118,CT$4&lt;$D118+'Incremental Repayments'!$I$31),-PMT('Interest Rate'!$J$16,'Incremental Repayments'!$I$31,(HLOOKUP($D118,$E$4:$CZ$32,28,FALSE)*'Incremental Repayments'!$I$22)),0),0)</f>
        <v>0</v>
      </c>
      <c r="CU118" s="783">
        <f>IF('Incremental Repayments'!$R$22="Debt",IF(AND(CU$4&gt;=$D118,CU$4&lt;$D118+'Incremental Repayments'!$I$31),-PMT('Interest Rate'!$J$16,'Incremental Repayments'!$I$31,(HLOOKUP($D118,$E$4:$CZ$32,28,FALSE)*'Incremental Repayments'!$I$22)),0),0)</f>
        <v>0</v>
      </c>
      <c r="CV118" s="783">
        <f>IF('Incremental Repayments'!$R$22="Debt",IF(AND(CV$4&gt;=$D118,CV$4&lt;$D118+'Incremental Repayments'!$I$31),-PMT('Interest Rate'!$J$16,'Incremental Repayments'!$I$31,(HLOOKUP($D118,$E$4:$CZ$32,28,FALSE)*'Incremental Repayments'!$I$22)),0),0)</f>
        <v>0</v>
      </c>
      <c r="CW118" s="783">
        <f>IF('Incremental Repayments'!$R$22="Debt",IF(AND(CW$4&gt;=$D118,CW$4&lt;$D118+'Incremental Repayments'!$I$31),-PMT('Interest Rate'!$J$16,'Incremental Repayments'!$I$31,(HLOOKUP($D118,$E$4:$CZ$32,28,FALSE)*'Incremental Repayments'!$I$22)),0),0)</f>
        <v>0</v>
      </c>
      <c r="CX118" s="783">
        <f>IF('Incremental Repayments'!$R$22="Debt",IF(AND(CX$4&gt;=$D118,CX$4&lt;$D118+'Incremental Repayments'!$I$31),-PMT('Interest Rate'!$J$16,'Incremental Repayments'!$I$31,(HLOOKUP($D118,$E$4:$CZ$32,28,FALSE)*'Incremental Repayments'!$I$22)),0),0)</f>
        <v>0</v>
      </c>
      <c r="CY118" s="783">
        <f>IF('Incremental Repayments'!$R$22="Debt",IF(AND(CY$4&gt;=$D118,CY$4&lt;$D118+'Incremental Repayments'!$I$31),-PMT('Interest Rate'!$J$16,'Incremental Repayments'!$I$31,(HLOOKUP($D118,$E$4:$CZ$32,28,FALSE)*'Incremental Repayments'!$I$22)),0),0)</f>
        <v>0</v>
      </c>
      <c r="CZ118" s="783">
        <f>IF('Incremental Repayments'!$R$22="Debt",IF(AND(CZ$4&gt;=$D118,CZ$4&lt;$D118+'Incremental Repayments'!$I$31),-PMT('Interest Rate'!$J$16,'Incremental Repayments'!$I$31,(HLOOKUP($D118,$E$4:$CZ$32,28,FALSE)*'Incremental Repayments'!$I$22)),0),0)</f>
        <v>0</v>
      </c>
    </row>
    <row r="119" spans="1:104" x14ac:dyDescent="0.25">
      <c r="B119" s="480" t="str">
        <f>CONCATENATE("Series ",D119,"A Bonds (at ",'Interest Rate'!$J$16*100,"% Interest)")</f>
        <v>Series 2097A Bonds (at 4.5% Interest)</v>
      </c>
      <c r="C119" s="480"/>
      <c r="D119" s="492">
        <f t="shared" si="47"/>
        <v>2097</v>
      </c>
      <c r="E119" s="783">
        <f>IF('Incremental Repayments'!$R$22="Debt",IF(AND(E$4&gt;=$D119,E$4&lt;$D119+'Incremental Repayments'!$I$31),-PMT('Interest Rate'!$J$16,'Incremental Repayments'!$I$31,(HLOOKUP($D119,$E$4:$CZ$32,28,FALSE)*'Incremental Repayments'!$I$22)),0),0)</f>
        <v>0</v>
      </c>
      <c r="F119" s="783">
        <f>IF('Incremental Repayments'!$R$22="Debt",IF(AND(F$4&gt;=$D119,F$4&lt;$D119+'Incremental Repayments'!$I$31),-PMT('Interest Rate'!$J$16,'Incremental Repayments'!$I$31,(HLOOKUP($D119,$E$4:$CZ$32,28,FALSE)*'Incremental Repayments'!$I$22)),0),0)</f>
        <v>0</v>
      </c>
      <c r="G119" s="783">
        <f>IF('Incremental Repayments'!$R$22="Debt",IF(AND(G$4&gt;=$D119,G$4&lt;$D119+'Incremental Repayments'!$I$31),-PMT('Interest Rate'!$J$16,'Incremental Repayments'!$I$31,(HLOOKUP($D119,$E$4:$CZ$32,28,FALSE)*'Incremental Repayments'!$I$22)),0),0)</f>
        <v>0</v>
      </c>
      <c r="H119" s="783">
        <f>IF('Incremental Repayments'!$R$22="Debt",IF(AND(H$4&gt;=$D119,H$4&lt;$D119+'Incremental Repayments'!$I$31),-PMT('Interest Rate'!$J$16,'Incremental Repayments'!$I$31,(HLOOKUP($D119,$E$4:$CZ$32,28,FALSE)*'Incremental Repayments'!$I$22)),0),0)</f>
        <v>0</v>
      </c>
      <c r="I119" s="783">
        <f>IF('Incremental Repayments'!$R$22="Debt",IF(AND(I$4&gt;=$D119,I$4&lt;$D119+'Incremental Repayments'!$I$31),-PMT('Interest Rate'!$J$16,'Incremental Repayments'!$I$31,(HLOOKUP($D119,$E$4:$CZ$32,28,FALSE)*'Incremental Repayments'!$I$22)),0),0)</f>
        <v>0</v>
      </c>
      <c r="J119" s="783">
        <f>IF('Incremental Repayments'!$R$22="Debt",IF(AND(J$4&gt;=$D119,J$4&lt;$D119+'Incremental Repayments'!$I$31),-PMT('Interest Rate'!$J$16,'Incremental Repayments'!$I$31,(HLOOKUP($D119,$E$4:$CZ$32,28,FALSE)*'Incremental Repayments'!$I$22)),0),0)</f>
        <v>0</v>
      </c>
      <c r="K119" s="783">
        <f>IF('Incremental Repayments'!$R$22="Debt",IF(AND(K$4&gt;=$D119,K$4&lt;$D119+'Incremental Repayments'!$I$31),-PMT('Interest Rate'!$J$16,'Incremental Repayments'!$I$31,(HLOOKUP($D119,$E$4:$CZ$32,28,FALSE)*'Incremental Repayments'!$I$22)),0),0)</f>
        <v>0</v>
      </c>
      <c r="L119" s="783">
        <f>IF('Incremental Repayments'!$R$22="Debt",IF(AND(L$4&gt;=$D119,L$4&lt;$D119+'Incremental Repayments'!$I$31),-PMT('Interest Rate'!$J$16,'Incremental Repayments'!$I$31,(HLOOKUP($D119,$E$4:$CZ$32,28,FALSE)*'Incremental Repayments'!$I$22)),0),0)</f>
        <v>0</v>
      </c>
      <c r="M119" s="783">
        <f>IF('Incremental Repayments'!$R$22="Debt",IF(AND(M$4&gt;=$D119,M$4&lt;$D119+'Incremental Repayments'!$I$31),-PMT('Interest Rate'!$J$16,'Incremental Repayments'!$I$31,(HLOOKUP($D119,$E$4:$CZ$32,28,FALSE)*'Incremental Repayments'!$I$22)),0),0)</f>
        <v>0</v>
      </c>
      <c r="N119" s="783">
        <f>IF('Incremental Repayments'!$R$22="Debt",IF(AND(N$4&gt;=$D119,N$4&lt;$D119+'Incremental Repayments'!$I$31),-PMT('Interest Rate'!$J$16,'Incremental Repayments'!$I$31,(HLOOKUP($D119,$E$4:$CZ$32,28,FALSE)*'Incremental Repayments'!$I$22)),0),0)</f>
        <v>0</v>
      </c>
      <c r="O119" s="783">
        <f>IF('Incremental Repayments'!$R$22="Debt",IF(AND(O$4&gt;=$D119,O$4&lt;$D119+'Incremental Repayments'!$I$31),-PMT('Interest Rate'!$J$16,'Incremental Repayments'!$I$31,(HLOOKUP($D119,$E$4:$CZ$32,28,FALSE)*'Incremental Repayments'!$I$22)),0),0)</f>
        <v>0</v>
      </c>
      <c r="P119" s="783">
        <f>IF('Incremental Repayments'!$R$22="Debt",IF(AND(P$4&gt;=$D119,P$4&lt;$D119+'Incremental Repayments'!$I$31),-PMT('Interest Rate'!$J$16,'Incremental Repayments'!$I$31,(HLOOKUP($D119,$E$4:$CZ$32,28,FALSE)*'Incremental Repayments'!$I$22)),0),0)</f>
        <v>0</v>
      </c>
      <c r="Q119" s="783">
        <f>IF('Incremental Repayments'!$R$22="Debt",IF(AND(Q$4&gt;=$D119,Q$4&lt;$D119+'Incremental Repayments'!$I$31),-PMT('Interest Rate'!$J$16,'Incremental Repayments'!$I$31,(HLOOKUP($D119,$E$4:$CZ$32,28,FALSE)*'Incremental Repayments'!$I$22)),0),0)</f>
        <v>0</v>
      </c>
      <c r="R119" s="783">
        <f>IF('Incremental Repayments'!$R$22="Debt",IF(AND(R$4&gt;=$D119,R$4&lt;$D119+'Incremental Repayments'!$I$31),-PMT('Interest Rate'!$J$16,'Incremental Repayments'!$I$31,(HLOOKUP($D119,$E$4:$CZ$32,28,FALSE)*'Incremental Repayments'!$I$22)),0),0)</f>
        <v>0</v>
      </c>
      <c r="S119" s="783">
        <f>IF('Incremental Repayments'!$R$22="Debt",IF(AND(S$4&gt;=$D119,S$4&lt;$D119+'Incremental Repayments'!$I$31),-PMT('Interest Rate'!$J$16,'Incremental Repayments'!$I$31,(HLOOKUP($D119,$E$4:$CZ$32,28,FALSE)*'Incremental Repayments'!$I$22)),0),0)</f>
        <v>0</v>
      </c>
      <c r="T119" s="783">
        <f>IF('Incremental Repayments'!$R$22="Debt",IF(AND(T$4&gt;=$D119,T$4&lt;$D119+'Incremental Repayments'!$I$31),-PMT('Interest Rate'!$J$16,'Incremental Repayments'!$I$31,(HLOOKUP($D119,$E$4:$CZ$32,28,FALSE)*'Incremental Repayments'!$I$22)),0),0)</f>
        <v>0</v>
      </c>
      <c r="U119" s="783">
        <f>IF('Incremental Repayments'!$R$22="Debt",IF(AND(U$4&gt;=$D119,U$4&lt;$D119+'Incremental Repayments'!$I$31),-PMT('Interest Rate'!$J$16,'Incremental Repayments'!$I$31,(HLOOKUP($D119,$E$4:$CZ$32,28,FALSE)*'Incremental Repayments'!$I$22)),0),0)</f>
        <v>0</v>
      </c>
      <c r="V119" s="783">
        <f>IF('Incremental Repayments'!$R$22="Debt",IF(AND(V$4&gt;=$D119,V$4&lt;$D119+'Incremental Repayments'!$I$31),-PMT('Interest Rate'!$J$16,'Incremental Repayments'!$I$31,(HLOOKUP($D119,$E$4:$CZ$32,28,FALSE)*'Incremental Repayments'!$I$22)),0),0)</f>
        <v>0</v>
      </c>
      <c r="W119" s="783">
        <f>IF('Incremental Repayments'!$R$22="Debt",IF(AND(W$4&gt;=$D119,W$4&lt;$D119+'Incremental Repayments'!$I$31),-PMT('Interest Rate'!$J$16,'Incremental Repayments'!$I$31,(HLOOKUP($D119,$E$4:$CZ$32,28,FALSE)*'Incremental Repayments'!$I$22)),0),0)</f>
        <v>0</v>
      </c>
      <c r="X119" s="783">
        <f>IF('Incremental Repayments'!$R$22="Debt",IF(AND(X$4&gt;=$D119,X$4&lt;$D119+'Incremental Repayments'!$I$31),-PMT('Interest Rate'!$J$16,'Incremental Repayments'!$I$31,(HLOOKUP($D119,$E$4:$CZ$32,28,FALSE)*'Incremental Repayments'!$I$22)),0),0)</f>
        <v>0</v>
      </c>
      <c r="Y119" s="783">
        <f>IF('Incremental Repayments'!$R$22="Debt",IF(AND(Y$4&gt;=$D119,Y$4&lt;$D119+'Incremental Repayments'!$I$31),-PMT('Interest Rate'!$J$16,'Incremental Repayments'!$I$31,(HLOOKUP($D119,$E$4:$CZ$32,28,FALSE)*'Incremental Repayments'!$I$22)),0),0)</f>
        <v>0</v>
      </c>
      <c r="Z119" s="783">
        <f>IF('Incremental Repayments'!$R$22="Debt",IF(AND(Z$4&gt;=$D119,Z$4&lt;$D119+'Incremental Repayments'!$I$31),-PMT('Interest Rate'!$J$16,'Incremental Repayments'!$I$31,(HLOOKUP($D119,$E$4:$CZ$32,28,FALSE)*'Incremental Repayments'!$I$22)),0),0)</f>
        <v>0</v>
      </c>
      <c r="AA119" s="783">
        <f>IF('Incremental Repayments'!$R$22="Debt",IF(AND(AA$4&gt;=$D119,AA$4&lt;$D119+'Incremental Repayments'!$I$31),-PMT('Interest Rate'!$J$16,'Incremental Repayments'!$I$31,(HLOOKUP($D119,$E$4:$CZ$32,28,FALSE)*'Incremental Repayments'!$I$22)),0),0)</f>
        <v>0</v>
      </c>
      <c r="AB119" s="783">
        <f>IF('Incremental Repayments'!$R$22="Debt",IF(AND(AB$4&gt;=$D119,AB$4&lt;$D119+'Incremental Repayments'!$I$31),-PMT('Interest Rate'!$J$16,'Incremental Repayments'!$I$31,(HLOOKUP($D119,$E$4:$CZ$32,28,FALSE)*'Incremental Repayments'!$I$22)),0),0)</f>
        <v>0</v>
      </c>
      <c r="AC119" s="783">
        <f>IF('Incremental Repayments'!$R$22="Debt",IF(AND(AC$4&gt;=$D119,AC$4&lt;$D119+'Incremental Repayments'!$I$31),-PMT('Interest Rate'!$J$16,'Incremental Repayments'!$I$31,(HLOOKUP($D119,$E$4:$CZ$32,28,FALSE)*'Incremental Repayments'!$I$22)),0),0)</f>
        <v>0</v>
      </c>
      <c r="AD119" s="783">
        <f>IF('Incremental Repayments'!$R$22="Debt",IF(AND(AD$4&gt;=$D119,AD$4&lt;$D119+'Incremental Repayments'!$I$31),-PMT('Interest Rate'!$J$16,'Incremental Repayments'!$I$31,(HLOOKUP($D119,$E$4:$CZ$32,28,FALSE)*'Incremental Repayments'!$I$22)),0),0)</f>
        <v>0</v>
      </c>
      <c r="AE119" s="783">
        <f>IF('Incremental Repayments'!$R$22="Debt",IF(AND(AE$4&gt;=$D119,AE$4&lt;$D119+'Incremental Repayments'!$I$31),-PMT('Interest Rate'!$J$16,'Incremental Repayments'!$I$31,(HLOOKUP($D119,$E$4:$CZ$32,28,FALSE)*'Incremental Repayments'!$I$22)),0),0)</f>
        <v>0</v>
      </c>
      <c r="AF119" s="783">
        <f>IF('Incremental Repayments'!$R$22="Debt",IF(AND(AF$4&gt;=$D119,AF$4&lt;$D119+'Incremental Repayments'!$I$31),-PMT('Interest Rate'!$J$16,'Incremental Repayments'!$I$31,(HLOOKUP($D119,$E$4:$CZ$32,28,FALSE)*'Incremental Repayments'!$I$22)),0),0)</f>
        <v>0</v>
      </c>
      <c r="AG119" s="783">
        <f>IF('Incremental Repayments'!$R$22="Debt",IF(AND(AG$4&gt;=$D119,AG$4&lt;$D119+'Incremental Repayments'!$I$31),-PMT('Interest Rate'!$J$16,'Incremental Repayments'!$I$31,(HLOOKUP($D119,$E$4:$CZ$32,28,FALSE)*'Incremental Repayments'!$I$22)),0),0)</f>
        <v>0</v>
      </c>
      <c r="AH119" s="783">
        <f>IF('Incremental Repayments'!$R$22="Debt",IF(AND(AH$4&gt;=$D119,AH$4&lt;$D119+'Incremental Repayments'!$I$31),-PMT('Interest Rate'!$J$16,'Incremental Repayments'!$I$31,(HLOOKUP($D119,$E$4:$CZ$32,28,FALSE)*'Incremental Repayments'!$I$22)),0),0)</f>
        <v>0</v>
      </c>
      <c r="AI119" s="783">
        <f>IF('Incremental Repayments'!$R$22="Debt",IF(AND(AI$4&gt;=$D119,AI$4&lt;$D119+'Incremental Repayments'!$I$31),-PMT('Interest Rate'!$J$16,'Incremental Repayments'!$I$31,(HLOOKUP($D119,$E$4:$CZ$32,28,FALSE)*'Incremental Repayments'!$I$22)),0),0)</f>
        <v>0</v>
      </c>
      <c r="AJ119" s="783">
        <f>IF('Incremental Repayments'!$R$22="Debt",IF(AND(AJ$4&gt;=$D119,AJ$4&lt;$D119+'Incremental Repayments'!$I$31),-PMT('Interest Rate'!$J$16,'Incremental Repayments'!$I$31,(HLOOKUP($D119,$E$4:$CZ$32,28,FALSE)*'Incremental Repayments'!$I$22)),0),0)</f>
        <v>0</v>
      </c>
      <c r="AK119" s="783">
        <f>IF('Incremental Repayments'!$R$22="Debt",IF(AND(AK$4&gt;=$D119,AK$4&lt;$D119+'Incremental Repayments'!$I$31),-PMT('Interest Rate'!$J$16,'Incremental Repayments'!$I$31,(HLOOKUP($D119,$E$4:$CZ$32,28,FALSE)*'Incremental Repayments'!$I$22)),0),0)</f>
        <v>0</v>
      </c>
      <c r="AL119" s="783">
        <f>IF('Incremental Repayments'!$R$22="Debt",IF(AND(AL$4&gt;=$D119,AL$4&lt;$D119+'Incremental Repayments'!$I$31),-PMT('Interest Rate'!$J$16,'Incremental Repayments'!$I$31,(HLOOKUP($D119,$E$4:$CZ$32,28,FALSE)*'Incremental Repayments'!$I$22)),0),0)</f>
        <v>0</v>
      </c>
      <c r="AM119" s="783">
        <f>IF('Incremental Repayments'!$R$22="Debt",IF(AND(AM$4&gt;=$D119,AM$4&lt;$D119+'Incremental Repayments'!$I$31),-PMT('Interest Rate'!$J$16,'Incremental Repayments'!$I$31,(HLOOKUP($D119,$E$4:$CZ$32,28,FALSE)*'Incremental Repayments'!$I$22)),0),0)</f>
        <v>0</v>
      </c>
      <c r="AN119" s="783">
        <f>IF('Incremental Repayments'!$R$22="Debt",IF(AND(AN$4&gt;=$D119,AN$4&lt;$D119+'Incremental Repayments'!$I$31),-PMT('Interest Rate'!$J$16,'Incremental Repayments'!$I$31,(HLOOKUP($D119,$E$4:$CZ$32,28,FALSE)*'Incremental Repayments'!$I$22)),0),0)</f>
        <v>0</v>
      </c>
      <c r="AO119" s="783">
        <f>IF('Incremental Repayments'!$R$22="Debt",IF(AND(AO$4&gt;=$D119,AO$4&lt;$D119+'Incremental Repayments'!$I$31),-PMT('Interest Rate'!$J$16,'Incremental Repayments'!$I$31,(HLOOKUP($D119,$E$4:$CZ$32,28,FALSE)*'Incremental Repayments'!$I$22)),0),0)</f>
        <v>0</v>
      </c>
      <c r="AP119" s="783">
        <f>IF('Incremental Repayments'!$R$22="Debt",IF(AND(AP$4&gt;=$D119,AP$4&lt;$D119+'Incremental Repayments'!$I$31),-PMT('Interest Rate'!$J$16,'Incremental Repayments'!$I$31,(HLOOKUP($D119,$E$4:$CZ$32,28,FALSE)*'Incremental Repayments'!$I$22)),0),0)</f>
        <v>0</v>
      </c>
      <c r="AQ119" s="783">
        <f>IF('Incremental Repayments'!$R$22="Debt",IF(AND(AQ$4&gt;=$D119,AQ$4&lt;$D119+'Incremental Repayments'!$I$31),-PMT('Interest Rate'!$J$16,'Incremental Repayments'!$I$31,(HLOOKUP($D119,$E$4:$CZ$32,28,FALSE)*'Incremental Repayments'!$I$22)),0),0)</f>
        <v>0</v>
      </c>
      <c r="AR119" s="783">
        <f>IF('Incremental Repayments'!$R$22="Debt",IF(AND(AR$4&gt;=$D119,AR$4&lt;$D119+'Incremental Repayments'!$I$31),-PMT('Interest Rate'!$J$16,'Incremental Repayments'!$I$31,(HLOOKUP($D119,$E$4:$CZ$32,28,FALSE)*'Incremental Repayments'!$I$22)),0),0)</f>
        <v>0</v>
      </c>
      <c r="AS119" s="783">
        <f>IF('Incremental Repayments'!$R$22="Debt",IF(AND(AS$4&gt;=$D119,AS$4&lt;$D119+'Incremental Repayments'!$I$31),-PMT('Interest Rate'!$J$16,'Incremental Repayments'!$I$31,(HLOOKUP($D119,$E$4:$CZ$32,28,FALSE)*'Incremental Repayments'!$I$22)),0),0)</f>
        <v>0</v>
      </c>
      <c r="AT119" s="783">
        <f>IF('Incremental Repayments'!$R$22="Debt",IF(AND(AT$4&gt;=$D119,AT$4&lt;$D119+'Incremental Repayments'!$I$31),-PMT('Interest Rate'!$J$16,'Incremental Repayments'!$I$31,(HLOOKUP($D119,$E$4:$CZ$32,28,FALSE)*'Incremental Repayments'!$I$22)),0),0)</f>
        <v>0</v>
      </c>
      <c r="AU119" s="783">
        <f>IF('Incremental Repayments'!$R$22="Debt",IF(AND(AU$4&gt;=$D119,AU$4&lt;$D119+'Incremental Repayments'!$I$31),-PMT('Interest Rate'!$J$16,'Incremental Repayments'!$I$31,(HLOOKUP($D119,$E$4:$CZ$32,28,FALSE)*'Incremental Repayments'!$I$22)),0),0)</f>
        <v>0</v>
      </c>
      <c r="AV119" s="783">
        <f>IF('Incremental Repayments'!$R$22="Debt",IF(AND(AV$4&gt;=$D119,AV$4&lt;$D119+'Incremental Repayments'!$I$31),-PMT('Interest Rate'!$J$16,'Incremental Repayments'!$I$31,(HLOOKUP($D119,$E$4:$CZ$32,28,FALSE)*'Incremental Repayments'!$I$22)),0),0)</f>
        <v>0</v>
      </c>
      <c r="AW119" s="783">
        <f>IF('Incremental Repayments'!$R$22="Debt",IF(AND(AW$4&gt;=$D119,AW$4&lt;$D119+'Incremental Repayments'!$I$31),-PMT('Interest Rate'!$J$16,'Incremental Repayments'!$I$31,(HLOOKUP($D119,$E$4:$CZ$32,28,FALSE)*'Incremental Repayments'!$I$22)),0),0)</f>
        <v>0</v>
      </c>
      <c r="AX119" s="783">
        <f>IF('Incremental Repayments'!$R$22="Debt",IF(AND(AX$4&gt;=$D119,AX$4&lt;$D119+'Incremental Repayments'!$I$31),-PMT('Interest Rate'!$J$16,'Incremental Repayments'!$I$31,(HLOOKUP($D119,$E$4:$CZ$32,28,FALSE)*'Incremental Repayments'!$I$22)),0),0)</f>
        <v>0</v>
      </c>
      <c r="AY119" s="783">
        <f>IF('Incremental Repayments'!$R$22="Debt",IF(AND(AY$4&gt;=$D119,AY$4&lt;$D119+'Incremental Repayments'!$I$31),-PMT('Interest Rate'!$J$16,'Incremental Repayments'!$I$31,(HLOOKUP($D119,$E$4:$CZ$32,28,FALSE)*'Incremental Repayments'!$I$22)),0),0)</f>
        <v>0</v>
      </c>
      <c r="AZ119" s="783">
        <f>IF('Incremental Repayments'!$R$22="Debt",IF(AND(AZ$4&gt;=$D119,AZ$4&lt;$D119+'Incremental Repayments'!$I$31),-PMT('Interest Rate'!$J$16,'Incremental Repayments'!$I$31,(HLOOKUP($D119,$E$4:$CZ$32,28,FALSE)*'Incremental Repayments'!$I$22)),0),0)</f>
        <v>0</v>
      </c>
      <c r="BA119" s="783">
        <f>IF('Incremental Repayments'!$R$22="Debt",IF(AND(BA$4&gt;=$D119,BA$4&lt;$D119+'Incremental Repayments'!$I$31),-PMT('Interest Rate'!$J$16,'Incremental Repayments'!$I$31,(HLOOKUP($D119,$E$4:$CZ$32,28,FALSE)*'Incremental Repayments'!$I$22)),0),0)</f>
        <v>0</v>
      </c>
      <c r="BB119" s="783">
        <f>IF('Incremental Repayments'!$R$22="Debt",IF(AND(BB$4&gt;=$D119,BB$4&lt;$D119+'Incremental Repayments'!$I$31),-PMT('Interest Rate'!$J$16,'Incremental Repayments'!$I$31,(HLOOKUP($D119,$E$4:$CZ$32,28,FALSE)*'Incremental Repayments'!$I$22)),0),0)</f>
        <v>0</v>
      </c>
      <c r="BC119" s="783">
        <f>IF('Incremental Repayments'!$R$22="Debt",IF(AND(BC$4&gt;=$D119,BC$4&lt;$D119+'Incremental Repayments'!$I$31),-PMT('Interest Rate'!$J$16,'Incremental Repayments'!$I$31,(HLOOKUP($D119,$E$4:$CZ$32,28,FALSE)*'Incremental Repayments'!$I$22)),0),0)</f>
        <v>0</v>
      </c>
      <c r="BD119" s="783">
        <f>IF('Incremental Repayments'!$R$22="Debt",IF(AND(BD$4&gt;=$D119,BD$4&lt;$D119+'Incremental Repayments'!$I$31),-PMT('Interest Rate'!$J$16,'Incremental Repayments'!$I$31,(HLOOKUP($D119,$E$4:$CZ$32,28,FALSE)*'Incremental Repayments'!$I$22)),0),0)</f>
        <v>0</v>
      </c>
      <c r="BE119" s="783">
        <f>IF('Incremental Repayments'!$R$22="Debt",IF(AND(BE$4&gt;=$D119,BE$4&lt;$D119+'Incremental Repayments'!$I$31),-PMT('Interest Rate'!$J$16,'Incremental Repayments'!$I$31,(HLOOKUP($D119,$E$4:$CZ$32,28,FALSE)*'Incremental Repayments'!$I$22)),0),0)</f>
        <v>0</v>
      </c>
      <c r="BF119" s="783">
        <f>IF('Incremental Repayments'!$R$22="Debt",IF(AND(BF$4&gt;=$D119,BF$4&lt;$D119+'Incremental Repayments'!$I$31),-PMT('Interest Rate'!$J$16,'Incremental Repayments'!$I$31,(HLOOKUP($D119,$E$4:$CZ$32,28,FALSE)*'Incremental Repayments'!$I$22)),0),0)</f>
        <v>0</v>
      </c>
      <c r="BG119" s="783">
        <f>IF('Incremental Repayments'!$R$22="Debt",IF(AND(BG$4&gt;=$D119,BG$4&lt;$D119+'Incremental Repayments'!$I$31),-PMT('Interest Rate'!$J$16,'Incremental Repayments'!$I$31,(HLOOKUP($D119,$E$4:$CZ$32,28,FALSE)*'Incremental Repayments'!$I$22)),0),0)</f>
        <v>0</v>
      </c>
      <c r="BH119" s="783">
        <f>IF('Incremental Repayments'!$R$22="Debt",IF(AND(BH$4&gt;=$D119,BH$4&lt;$D119+'Incremental Repayments'!$I$31),-PMT('Interest Rate'!$J$16,'Incremental Repayments'!$I$31,(HLOOKUP($D119,$E$4:$CZ$32,28,FALSE)*'Incremental Repayments'!$I$22)),0),0)</f>
        <v>0</v>
      </c>
      <c r="BI119" s="783">
        <f>IF('Incremental Repayments'!$R$22="Debt",IF(AND(BI$4&gt;=$D119,BI$4&lt;$D119+'Incremental Repayments'!$I$31),-PMT('Interest Rate'!$J$16,'Incremental Repayments'!$I$31,(HLOOKUP($D119,$E$4:$CZ$32,28,FALSE)*'Incremental Repayments'!$I$22)),0),0)</f>
        <v>0</v>
      </c>
      <c r="BJ119" s="783">
        <f>IF('Incremental Repayments'!$R$22="Debt",IF(AND(BJ$4&gt;=$D119,BJ$4&lt;$D119+'Incremental Repayments'!$I$31),-PMT('Interest Rate'!$J$16,'Incremental Repayments'!$I$31,(HLOOKUP($D119,$E$4:$CZ$32,28,FALSE)*'Incremental Repayments'!$I$22)),0),0)</f>
        <v>0</v>
      </c>
      <c r="BK119" s="783">
        <f>IF('Incremental Repayments'!$R$22="Debt",IF(AND(BK$4&gt;=$D119,BK$4&lt;$D119+'Incremental Repayments'!$I$31),-PMT('Interest Rate'!$J$16,'Incremental Repayments'!$I$31,(HLOOKUP($D119,$E$4:$CZ$32,28,FALSE)*'Incremental Repayments'!$I$22)),0),0)</f>
        <v>0</v>
      </c>
      <c r="BL119" s="783">
        <f>IF('Incremental Repayments'!$R$22="Debt",IF(AND(BL$4&gt;=$D119,BL$4&lt;$D119+'Incremental Repayments'!$I$31),-PMT('Interest Rate'!$J$16,'Incremental Repayments'!$I$31,(HLOOKUP($D119,$E$4:$CZ$32,28,FALSE)*'Incremental Repayments'!$I$22)),0),0)</f>
        <v>0</v>
      </c>
      <c r="BM119" s="783">
        <f>IF('Incremental Repayments'!$R$22="Debt",IF(AND(BM$4&gt;=$D119,BM$4&lt;$D119+'Incremental Repayments'!$I$31),-PMT('Interest Rate'!$J$16,'Incremental Repayments'!$I$31,(HLOOKUP($D119,$E$4:$CZ$32,28,FALSE)*'Incremental Repayments'!$I$22)),0),0)</f>
        <v>0</v>
      </c>
      <c r="BN119" s="783">
        <f>IF('Incremental Repayments'!$R$22="Debt",IF(AND(BN$4&gt;=$D119,BN$4&lt;$D119+'Incremental Repayments'!$I$31),-PMT('Interest Rate'!$J$16,'Incremental Repayments'!$I$31,(HLOOKUP($D119,$E$4:$CZ$32,28,FALSE)*'Incremental Repayments'!$I$22)),0),0)</f>
        <v>0</v>
      </c>
      <c r="BO119" s="783">
        <f>IF('Incremental Repayments'!$R$22="Debt",IF(AND(BO$4&gt;=$D119,BO$4&lt;$D119+'Incremental Repayments'!$I$31),-PMT('Interest Rate'!$J$16,'Incremental Repayments'!$I$31,(HLOOKUP($D119,$E$4:$CZ$32,28,FALSE)*'Incremental Repayments'!$I$22)),0),0)</f>
        <v>0</v>
      </c>
      <c r="BP119" s="783">
        <f>IF('Incremental Repayments'!$R$22="Debt",IF(AND(BP$4&gt;=$D119,BP$4&lt;$D119+'Incremental Repayments'!$I$31),-PMT('Interest Rate'!$J$16,'Incremental Repayments'!$I$31,(HLOOKUP($D119,$E$4:$CZ$32,28,FALSE)*'Incremental Repayments'!$I$22)),0),0)</f>
        <v>0</v>
      </c>
      <c r="BQ119" s="783">
        <f>IF('Incremental Repayments'!$R$22="Debt",IF(AND(BQ$4&gt;=$D119,BQ$4&lt;$D119+'Incremental Repayments'!$I$31),-PMT('Interest Rate'!$J$16,'Incremental Repayments'!$I$31,(HLOOKUP($D119,$E$4:$CZ$32,28,FALSE)*'Incremental Repayments'!$I$22)),0),0)</f>
        <v>0</v>
      </c>
      <c r="BR119" s="783">
        <f>IF('Incremental Repayments'!$R$22="Debt",IF(AND(BR$4&gt;=$D119,BR$4&lt;$D119+'Incremental Repayments'!$I$31),-PMT('Interest Rate'!$J$16,'Incremental Repayments'!$I$31,(HLOOKUP($D119,$E$4:$CZ$32,28,FALSE)*'Incremental Repayments'!$I$22)),0),0)</f>
        <v>0</v>
      </c>
      <c r="BS119" s="783">
        <f>IF('Incremental Repayments'!$R$22="Debt",IF(AND(BS$4&gt;=$D119,BS$4&lt;$D119+'Incremental Repayments'!$I$31),-PMT('Interest Rate'!$J$16,'Incremental Repayments'!$I$31,(HLOOKUP($D119,$E$4:$CZ$32,28,FALSE)*'Incremental Repayments'!$I$22)),0),0)</f>
        <v>0</v>
      </c>
      <c r="BT119" s="783">
        <f>IF('Incremental Repayments'!$R$22="Debt",IF(AND(BT$4&gt;=$D119,BT$4&lt;$D119+'Incremental Repayments'!$I$31),-PMT('Interest Rate'!$J$16,'Incremental Repayments'!$I$31,(HLOOKUP($D119,$E$4:$CZ$32,28,FALSE)*'Incremental Repayments'!$I$22)),0),0)</f>
        <v>0</v>
      </c>
      <c r="BU119" s="783">
        <f>IF('Incremental Repayments'!$R$22="Debt",IF(AND(BU$4&gt;=$D119,BU$4&lt;$D119+'Incremental Repayments'!$I$31),-PMT('Interest Rate'!$J$16,'Incremental Repayments'!$I$31,(HLOOKUP($D119,$E$4:$CZ$32,28,FALSE)*'Incremental Repayments'!$I$22)),0),0)</f>
        <v>0</v>
      </c>
      <c r="BV119" s="783">
        <f>IF('Incremental Repayments'!$R$22="Debt",IF(AND(BV$4&gt;=$D119,BV$4&lt;$D119+'Incremental Repayments'!$I$31),-PMT('Interest Rate'!$J$16,'Incremental Repayments'!$I$31,(HLOOKUP($D119,$E$4:$CZ$32,28,FALSE)*'Incremental Repayments'!$I$22)),0),0)</f>
        <v>0</v>
      </c>
      <c r="BW119" s="783">
        <f>IF('Incremental Repayments'!$R$22="Debt",IF(AND(BW$4&gt;=$D119,BW$4&lt;$D119+'Incremental Repayments'!$I$31),-PMT('Interest Rate'!$J$16,'Incremental Repayments'!$I$31,(HLOOKUP($D119,$E$4:$CZ$32,28,FALSE)*'Incremental Repayments'!$I$22)),0),0)</f>
        <v>0</v>
      </c>
      <c r="BX119" s="783">
        <f>IF('Incremental Repayments'!$R$22="Debt",IF(AND(BX$4&gt;=$D119,BX$4&lt;$D119+'Incremental Repayments'!$I$31),-PMT('Interest Rate'!$J$16,'Incremental Repayments'!$I$31,(HLOOKUP($D119,$E$4:$CZ$32,28,FALSE)*'Incremental Repayments'!$I$22)),0),0)</f>
        <v>0</v>
      </c>
      <c r="BY119" s="783">
        <f>IF('Incremental Repayments'!$R$22="Debt",IF(AND(BY$4&gt;=$D119,BY$4&lt;$D119+'Incremental Repayments'!$I$31),-PMT('Interest Rate'!$J$16,'Incremental Repayments'!$I$31,(HLOOKUP($D119,$E$4:$CZ$32,28,FALSE)*'Incremental Repayments'!$I$22)),0),0)</f>
        <v>0</v>
      </c>
      <c r="BZ119" s="783">
        <f>IF('Incremental Repayments'!$R$22="Debt",IF(AND(BZ$4&gt;=$D119,BZ$4&lt;$D119+'Incremental Repayments'!$I$31),-PMT('Interest Rate'!$J$16,'Incremental Repayments'!$I$31,(HLOOKUP($D119,$E$4:$CZ$32,28,FALSE)*'Incremental Repayments'!$I$22)),0),0)</f>
        <v>0</v>
      </c>
      <c r="CA119" s="783">
        <f>IF('Incremental Repayments'!$R$22="Debt",IF(AND(CA$4&gt;=$D119,CA$4&lt;$D119+'Incremental Repayments'!$I$31),-PMT('Interest Rate'!$J$16,'Incremental Repayments'!$I$31,(HLOOKUP($D119,$E$4:$CZ$32,28,FALSE)*'Incremental Repayments'!$I$22)),0),0)</f>
        <v>0</v>
      </c>
      <c r="CB119" s="783">
        <f>IF('Incremental Repayments'!$R$22="Debt",IF(AND(CB$4&gt;=$D119,CB$4&lt;$D119+'Incremental Repayments'!$I$31),-PMT('Interest Rate'!$J$16,'Incremental Repayments'!$I$31,(HLOOKUP($D119,$E$4:$CZ$32,28,FALSE)*'Incremental Repayments'!$I$22)),0),0)</f>
        <v>0</v>
      </c>
      <c r="CC119" s="783">
        <f>IF('Incremental Repayments'!$R$22="Debt",IF(AND(CC$4&gt;=$D119,CC$4&lt;$D119+'Incremental Repayments'!$I$31),-PMT('Interest Rate'!$J$16,'Incremental Repayments'!$I$31,(HLOOKUP($D119,$E$4:$CZ$32,28,FALSE)*'Incremental Repayments'!$I$22)),0),0)</f>
        <v>0</v>
      </c>
      <c r="CD119" s="783">
        <f>IF('Incremental Repayments'!$R$22="Debt",IF(AND(CD$4&gt;=$D119,CD$4&lt;$D119+'Incremental Repayments'!$I$31),-PMT('Interest Rate'!$J$16,'Incremental Repayments'!$I$31,(HLOOKUP($D119,$E$4:$CZ$32,28,FALSE)*'Incremental Repayments'!$I$22)),0),0)</f>
        <v>0</v>
      </c>
      <c r="CE119" s="783">
        <f>IF('Incremental Repayments'!$R$22="Debt",IF(AND(CE$4&gt;=$D119,CE$4&lt;$D119+'Incremental Repayments'!$I$31),-PMT('Interest Rate'!$J$16,'Incremental Repayments'!$I$31,(HLOOKUP($D119,$E$4:$CZ$32,28,FALSE)*'Incremental Repayments'!$I$22)),0),0)</f>
        <v>0</v>
      </c>
      <c r="CF119" s="783">
        <f>IF('Incremental Repayments'!$R$22="Debt",IF(AND(CF$4&gt;=$D119,CF$4&lt;$D119+'Incremental Repayments'!$I$31),-PMT('Interest Rate'!$J$16,'Incremental Repayments'!$I$31,(HLOOKUP($D119,$E$4:$CZ$32,28,FALSE)*'Incremental Repayments'!$I$22)),0),0)</f>
        <v>0</v>
      </c>
      <c r="CG119" s="783">
        <f>IF('Incremental Repayments'!$R$22="Debt",IF(AND(CG$4&gt;=$D119,CG$4&lt;$D119+'Incremental Repayments'!$I$31),-PMT('Interest Rate'!$J$16,'Incremental Repayments'!$I$31,(HLOOKUP($D119,$E$4:$CZ$32,28,FALSE)*'Incremental Repayments'!$I$22)),0),0)</f>
        <v>0</v>
      </c>
      <c r="CH119" s="783">
        <f>IF('Incremental Repayments'!$R$22="Debt",IF(AND(CH$4&gt;=$D119,CH$4&lt;$D119+'Incremental Repayments'!$I$31),-PMT('Interest Rate'!$J$16,'Incremental Repayments'!$I$31,(HLOOKUP($D119,$E$4:$CZ$32,28,FALSE)*'Incremental Repayments'!$I$22)),0),0)</f>
        <v>0</v>
      </c>
      <c r="CI119" s="783">
        <f>IF('Incremental Repayments'!$R$22="Debt",IF(AND(CI$4&gt;=$D119,CI$4&lt;$D119+'Incremental Repayments'!$I$31),-PMT('Interest Rate'!$J$16,'Incremental Repayments'!$I$31,(HLOOKUP($D119,$E$4:$CZ$32,28,FALSE)*'Incremental Repayments'!$I$22)),0),0)</f>
        <v>0</v>
      </c>
      <c r="CJ119" s="783">
        <f>IF('Incremental Repayments'!$R$22="Debt",IF(AND(CJ$4&gt;=$D119,CJ$4&lt;$D119+'Incremental Repayments'!$I$31),-PMT('Interest Rate'!$J$16,'Incremental Repayments'!$I$31,(HLOOKUP($D119,$E$4:$CZ$32,28,FALSE)*'Incremental Repayments'!$I$22)),0),0)</f>
        <v>0</v>
      </c>
      <c r="CK119" s="783">
        <f>IF('Incremental Repayments'!$R$22="Debt",IF(AND(CK$4&gt;=$D119,CK$4&lt;$D119+'Incremental Repayments'!$I$31),-PMT('Interest Rate'!$J$16,'Incremental Repayments'!$I$31,(HLOOKUP($D119,$E$4:$CZ$32,28,FALSE)*'Incremental Repayments'!$I$22)),0),0)</f>
        <v>0</v>
      </c>
      <c r="CL119" s="783">
        <f>IF('Incremental Repayments'!$R$22="Debt",IF(AND(CL$4&gt;=$D119,CL$4&lt;$D119+'Incremental Repayments'!$I$31),-PMT('Interest Rate'!$J$16,'Incremental Repayments'!$I$31,(HLOOKUP($D119,$E$4:$CZ$32,28,FALSE)*'Incremental Repayments'!$I$22)),0),0)</f>
        <v>0</v>
      </c>
      <c r="CM119" s="783">
        <f>IF('Incremental Repayments'!$R$22="Debt",IF(AND(CM$4&gt;=$D119,CM$4&lt;$D119+'Incremental Repayments'!$I$31),-PMT('Interest Rate'!$J$16,'Incremental Repayments'!$I$31,(HLOOKUP($D119,$E$4:$CZ$32,28,FALSE)*'Incremental Repayments'!$I$22)),0),0)</f>
        <v>0</v>
      </c>
      <c r="CN119" s="783">
        <f>IF('Incremental Repayments'!$R$22="Debt",IF(AND(CN$4&gt;=$D119,CN$4&lt;$D119+'Incremental Repayments'!$I$31),-PMT('Interest Rate'!$J$16,'Incremental Repayments'!$I$31,(HLOOKUP($D119,$E$4:$CZ$32,28,FALSE)*'Incremental Repayments'!$I$22)),0),0)</f>
        <v>0</v>
      </c>
      <c r="CO119" s="783">
        <f>IF('Incremental Repayments'!$R$22="Debt",IF(AND(CO$4&gt;=$D119,CO$4&lt;$D119+'Incremental Repayments'!$I$31),-PMT('Interest Rate'!$J$16,'Incremental Repayments'!$I$31,(HLOOKUP($D119,$E$4:$CZ$32,28,FALSE)*'Incremental Repayments'!$I$22)),0),0)</f>
        <v>0</v>
      </c>
      <c r="CP119" s="783">
        <f>IF('Incremental Repayments'!$R$22="Debt",IF(AND(CP$4&gt;=$D119,CP$4&lt;$D119+'Incremental Repayments'!$I$31),-PMT('Interest Rate'!$J$16,'Incremental Repayments'!$I$31,(HLOOKUP($D119,$E$4:$CZ$32,28,FALSE)*'Incremental Repayments'!$I$22)),0),0)</f>
        <v>0</v>
      </c>
      <c r="CQ119" s="783">
        <f>IF('Incremental Repayments'!$R$22="Debt",IF(AND(CQ$4&gt;=$D119,CQ$4&lt;$D119+'Incremental Repayments'!$I$31),-PMT('Interest Rate'!$J$16,'Incremental Repayments'!$I$31,(HLOOKUP($D119,$E$4:$CZ$32,28,FALSE)*'Incremental Repayments'!$I$22)),0),0)</f>
        <v>0</v>
      </c>
      <c r="CR119" s="783">
        <f>IF('Incremental Repayments'!$R$22="Debt",IF(AND(CR$4&gt;=$D119,CR$4&lt;$D119+'Incremental Repayments'!$I$31),-PMT('Interest Rate'!$J$16,'Incremental Repayments'!$I$31,(HLOOKUP($D119,$E$4:$CZ$32,28,FALSE)*'Incremental Repayments'!$I$22)),0),0)</f>
        <v>0</v>
      </c>
      <c r="CS119" s="783">
        <f>IF('Incremental Repayments'!$R$22="Debt",IF(AND(CS$4&gt;=$D119,CS$4&lt;$D119+'Incremental Repayments'!$I$31),-PMT('Interest Rate'!$J$16,'Incremental Repayments'!$I$31,(HLOOKUP($D119,$E$4:$CZ$32,28,FALSE)*'Incremental Repayments'!$I$22)),0),0)</f>
        <v>0</v>
      </c>
      <c r="CT119" s="783">
        <f>IF('Incremental Repayments'!$R$22="Debt",IF(AND(CT$4&gt;=$D119,CT$4&lt;$D119+'Incremental Repayments'!$I$31),-PMT('Interest Rate'!$J$16,'Incremental Repayments'!$I$31,(HLOOKUP($D119,$E$4:$CZ$32,28,FALSE)*'Incremental Repayments'!$I$22)),0),0)</f>
        <v>0</v>
      </c>
      <c r="CU119" s="783">
        <f>IF('Incremental Repayments'!$R$22="Debt",IF(AND(CU$4&gt;=$D119,CU$4&lt;$D119+'Incremental Repayments'!$I$31),-PMT('Interest Rate'!$J$16,'Incremental Repayments'!$I$31,(HLOOKUP($D119,$E$4:$CZ$32,28,FALSE)*'Incremental Repayments'!$I$22)),0),0)</f>
        <v>0</v>
      </c>
      <c r="CV119" s="783">
        <f>IF('Incremental Repayments'!$R$22="Debt",IF(AND(CV$4&gt;=$D119,CV$4&lt;$D119+'Incremental Repayments'!$I$31),-PMT('Interest Rate'!$J$16,'Incremental Repayments'!$I$31,(HLOOKUP($D119,$E$4:$CZ$32,28,FALSE)*'Incremental Repayments'!$I$22)),0),0)</f>
        <v>0</v>
      </c>
      <c r="CW119" s="783">
        <f>IF('Incremental Repayments'!$R$22="Debt",IF(AND(CW$4&gt;=$D119,CW$4&lt;$D119+'Incremental Repayments'!$I$31),-PMT('Interest Rate'!$J$16,'Incremental Repayments'!$I$31,(HLOOKUP($D119,$E$4:$CZ$32,28,FALSE)*'Incremental Repayments'!$I$22)),0),0)</f>
        <v>0</v>
      </c>
      <c r="CX119" s="783">
        <f>IF('Incremental Repayments'!$R$22="Debt",IF(AND(CX$4&gt;=$D119,CX$4&lt;$D119+'Incremental Repayments'!$I$31),-PMT('Interest Rate'!$J$16,'Incremental Repayments'!$I$31,(HLOOKUP($D119,$E$4:$CZ$32,28,FALSE)*'Incremental Repayments'!$I$22)),0),0)</f>
        <v>0</v>
      </c>
      <c r="CY119" s="783">
        <f>IF('Incremental Repayments'!$R$22="Debt",IF(AND(CY$4&gt;=$D119,CY$4&lt;$D119+'Incremental Repayments'!$I$31),-PMT('Interest Rate'!$J$16,'Incremental Repayments'!$I$31,(HLOOKUP($D119,$E$4:$CZ$32,28,FALSE)*'Incremental Repayments'!$I$22)),0),0)</f>
        <v>0</v>
      </c>
      <c r="CZ119" s="783">
        <f>IF('Incremental Repayments'!$R$22="Debt",IF(AND(CZ$4&gt;=$D119,CZ$4&lt;$D119+'Incremental Repayments'!$I$31),-PMT('Interest Rate'!$J$16,'Incremental Repayments'!$I$31,(HLOOKUP($D119,$E$4:$CZ$32,28,FALSE)*'Incremental Repayments'!$I$22)),0),0)</f>
        <v>0</v>
      </c>
    </row>
    <row r="120" spans="1:104" x14ac:dyDescent="0.25">
      <c r="B120" s="480" t="str">
        <f>CONCATENATE("Series ",D120,"A Bonds (at ",'Interest Rate'!$J$16*100,"% Interest)")</f>
        <v>Series 2098A Bonds (at 4.5% Interest)</v>
      </c>
      <c r="C120" s="480"/>
      <c r="D120" s="492">
        <f t="shared" ref="D120:D123" si="48">D119+1</f>
        <v>2098</v>
      </c>
      <c r="E120" s="783">
        <f>IF('Incremental Repayments'!$R$22="Debt",IF(AND(E$4&gt;=$D120,E$4&lt;$D120+'Incremental Repayments'!$I$31),-PMT('Interest Rate'!$J$16,'Incremental Repayments'!$I$31,(HLOOKUP($D120,$E$4:$CZ$32,28,FALSE)*'Incremental Repayments'!$I$22)),0),0)</f>
        <v>0</v>
      </c>
      <c r="F120" s="783">
        <f>IF('Incremental Repayments'!$R$22="Debt",IF(AND(F$4&gt;=$D120,F$4&lt;$D120+'Incremental Repayments'!$I$31),-PMT('Interest Rate'!$J$16,'Incremental Repayments'!$I$31,(HLOOKUP($D120,$E$4:$CZ$32,28,FALSE)*'Incremental Repayments'!$I$22)),0),0)</f>
        <v>0</v>
      </c>
      <c r="G120" s="783">
        <f>IF('Incremental Repayments'!$R$22="Debt",IF(AND(G$4&gt;=$D120,G$4&lt;$D120+'Incremental Repayments'!$I$31),-PMT('Interest Rate'!$J$16,'Incremental Repayments'!$I$31,(HLOOKUP($D120,$E$4:$CZ$32,28,FALSE)*'Incremental Repayments'!$I$22)),0),0)</f>
        <v>0</v>
      </c>
      <c r="H120" s="783">
        <f>IF('Incremental Repayments'!$R$22="Debt",IF(AND(H$4&gt;=$D120,H$4&lt;$D120+'Incremental Repayments'!$I$31),-PMT('Interest Rate'!$J$16,'Incremental Repayments'!$I$31,(HLOOKUP($D120,$E$4:$CZ$32,28,FALSE)*'Incremental Repayments'!$I$22)),0),0)</f>
        <v>0</v>
      </c>
      <c r="I120" s="783">
        <f>IF('Incremental Repayments'!$R$22="Debt",IF(AND(I$4&gt;=$D120,I$4&lt;$D120+'Incremental Repayments'!$I$31),-PMT('Interest Rate'!$J$16,'Incremental Repayments'!$I$31,(HLOOKUP($D120,$E$4:$CZ$32,28,FALSE)*'Incremental Repayments'!$I$22)),0),0)</f>
        <v>0</v>
      </c>
      <c r="J120" s="783">
        <f>IF('Incremental Repayments'!$R$22="Debt",IF(AND(J$4&gt;=$D120,J$4&lt;$D120+'Incremental Repayments'!$I$31),-PMT('Interest Rate'!$J$16,'Incremental Repayments'!$I$31,(HLOOKUP($D120,$E$4:$CZ$32,28,FALSE)*'Incremental Repayments'!$I$22)),0),0)</f>
        <v>0</v>
      </c>
      <c r="K120" s="783">
        <f>IF('Incremental Repayments'!$R$22="Debt",IF(AND(K$4&gt;=$D120,K$4&lt;$D120+'Incremental Repayments'!$I$31),-PMT('Interest Rate'!$J$16,'Incremental Repayments'!$I$31,(HLOOKUP($D120,$E$4:$CZ$32,28,FALSE)*'Incremental Repayments'!$I$22)),0),0)</f>
        <v>0</v>
      </c>
      <c r="L120" s="783">
        <f>IF('Incremental Repayments'!$R$22="Debt",IF(AND(L$4&gt;=$D120,L$4&lt;$D120+'Incremental Repayments'!$I$31),-PMT('Interest Rate'!$J$16,'Incremental Repayments'!$I$31,(HLOOKUP($D120,$E$4:$CZ$32,28,FALSE)*'Incremental Repayments'!$I$22)),0),0)</f>
        <v>0</v>
      </c>
      <c r="M120" s="783">
        <f>IF('Incremental Repayments'!$R$22="Debt",IF(AND(M$4&gt;=$D120,M$4&lt;$D120+'Incremental Repayments'!$I$31),-PMT('Interest Rate'!$J$16,'Incremental Repayments'!$I$31,(HLOOKUP($D120,$E$4:$CZ$32,28,FALSE)*'Incremental Repayments'!$I$22)),0),0)</f>
        <v>0</v>
      </c>
      <c r="N120" s="783">
        <f>IF('Incremental Repayments'!$R$22="Debt",IF(AND(N$4&gt;=$D120,N$4&lt;$D120+'Incremental Repayments'!$I$31),-PMT('Interest Rate'!$J$16,'Incremental Repayments'!$I$31,(HLOOKUP($D120,$E$4:$CZ$32,28,FALSE)*'Incremental Repayments'!$I$22)),0),0)</f>
        <v>0</v>
      </c>
      <c r="O120" s="783">
        <f>IF('Incremental Repayments'!$R$22="Debt",IF(AND(O$4&gt;=$D120,O$4&lt;$D120+'Incremental Repayments'!$I$31),-PMT('Interest Rate'!$J$16,'Incremental Repayments'!$I$31,(HLOOKUP($D120,$E$4:$CZ$32,28,FALSE)*'Incremental Repayments'!$I$22)),0),0)</f>
        <v>0</v>
      </c>
      <c r="P120" s="783">
        <f>IF('Incremental Repayments'!$R$22="Debt",IF(AND(P$4&gt;=$D120,P$4&lt;$D120+'Incremental Repayments'!$I$31),-PMT('Interest Rate'!$J$16,'Incremental Repayments'!$I$31,(HLOOKUP($D120,$E$4:$CZ$32,28,FALSE)*'Incremental Repayments'!$I$22)),0),0)</f>
        <v>0</v>
      </c>
      <c r="Q120" s="783">
        <f>IF('Incremental Repayments'!$R$22="Debt",IF(AND(Q$4&gt;=$D120,Q$4&lt;$D120+'Incremental Repayments'!$I$31),-PMT('Interest Rate'!$J$16,'Incremental Repayments'!$I$31,(HLOOKUP($D120,$E$4:$CZ$32,28,FALSE)*'Incremental Repayments'!$I$22)),0),0)</f>
        <v>0</v>
      </c>
      <c r="R120" s="783">
        <f>IF('Incremental Repayments'!$R$22="Debt",IF(AND(R$4&gt;=$D120,R$4&lt;$D120+'Incremental Repayments'!$I$31),-PMT('Interest Rate'!$J$16,'Incremental Repayments'!$I$31,(HLOOKUP($D120,$E$4:$CZ$32,28,FALSE)*'Incremental Repayments'!$I$22)),0),0)</f>
        <v>0</v>
      </c>
      <c r="S120" s="783">
        <f>IF('Incremental Repayments'!$R$22="Debt",IF(AND(S$4&gt;=$D120,S$4&lt;$D120+'Incremental Repayments'!$I$31),-PMT('Interest Rate'!$J$16,'Incremental Repayments'!$I$31,(HLOOKUP($D120,$E$4:$CZ$32,28,FALSE)*'Incremental Repayments'!$I$22)),0),0)</f>
        <v>0</v>
      </c>
      <c r="T120" s="783">
        <f>IF('Incremental Repayments'!$R$22="Debt",IF(AND(T$4&gt;=$D120,T$4&lt;$D120+'Incremental Repayments'!$I$31),-PMT('Interest Rate'!$J$16,'Incremental Repayments'!$I$31,(HLOOKUP($D120,$E$4:$CZ$32,28,FALSE)*'Incremental Repayments'!$I$22)),0),0)</f>
        <v>0</v>
      </c>
      <c r="U120" s="783">
        <f>IF('Incremental Repayments'!$R$22="Debt",IF(AND(U$4&gt;=$D120,U$4&lt;$D120+'Incremental Repayments'!$I$31),-PMT('Interest Rate'!$J$16,'Incremental Repayments'!$I$31,(HLOOKUP($D120,$E$4:$CZ$32,28,FALSE)*'Incremental Repayments'!$I$22)),0),0)</f>
        <v>0</v>
      </c>
      <c r="V120" s="783">
        <f>IF('Incremental Repayments'!$R$22="Debt",IF(AND(V$4&gt;=$D120,V$4&lt;$D120+'Incremental Repayments'!$I$31),-PMT('Interest Rate'!$J$16,'Incremental Repayments'!$I$31,(HLOOKUP($D120,$E$4:$CZ$32,28,FALSE)*'Incremental Repayments'!$I$22)),0),0)</f>
        <v>0</v>
      </c>
      <c r="W120" s="783">
        <f>IF('Incremental Repayments'!$R$22="Debt",IF(AND(W$4&gt;=$D120,W$4&lt;$D120+'Incremental Repayments'!$I$31),-PMT('Interest Rate'!$J$16,'Incremental Repayments'!$I$31,(HLOOKUP($D120,$E$4:$CZ$32,28,FALSE)*'Incremental Repayments'!$I$22)),0),0)</f>
        <v>0</v>
      </c>
      <c r="X120" s="783">
        <f>IF('Incremental Repayments'!$R$22="Debt",IF(AND(X$4&gt;=$D120,X$4&lt;$D120+'Incremental Repayments'!$I$31),-PMT('Interest Rate'!$J$16,'Incremental Repayments'!$I$31,(HLOOKUP($D120,$E$4:$CZ$32,28,FALSE)*'Incremental Repayments'!$I$22)),0),0)</f>
        <v>0</v>
      </c>
      <c r="Y120" s="783">
        <f>IF('Incremental Repayments'!$R$22="Debt",IF(AND(Y$4&gt;=$D120,Y$4&lt;$D120+'Incremental Repayments'!$I$31),-PMT('Interest Rate'!$J$16,'Incremental Repayments'!$I$31,(HLOOKUP($D120,$E$4:$CZ$32,28,FALSE)*'Incremental Repayments'!$I$22)),0),0)</f>
        <v>0</v>
      </c>
      <c r="Z120" s="783">
        <f>IF('Incremental Repayments'!$R$22="Debt",IF(AND(Z$4&gt;=$D120,Z$4&lt;$D120+'Incremental Repayments'!$I$31),-PMT('Interest Rate'!$J$16,'Incremental Repayments'!$I$31,(HLOOKUP($D120,$E$4:$CZ$32,28,FALSE)*'Incremental Repayments'!$I$22)),0),0)</f>
        <v>0</v>
      </c>
      <c r="AA120" s="783">
        <f>IF('Incremental Repayments'!$R$22="Debt",IF(AND(AA$4&gt;=$D120,AA$4&lt;$D120+'Incremental Repayments'!$I$31),-PMT('Interest Rate'!$J$16,'Incremental Repayments'!$I$31,(HLOOKUP($D120,$E$4:$CZ$32,28,FALSE)*'Incremental Repayments'!$I$22)),0),0)</f>
        <v>0</v>
      </c>
      <c r="AB120" s="783">
        <f>IF('Incremental Repayments'!$R$22="Debt",IF(AND(AB$4&gt;=$D120,AB$4&lt;$D120+'Incremental Repayments'!$I$31),-PMT('Interest Rate'!$J$16,'Incremental Repayments'!$I$31,(HLOOKUP($D120,$E$4:$CZ$32,28,FALSE)*'Incremental Repayments'!$I$22)),0),0)</f>
        <v>0</v>
      </c>
      <c r="AC120" s="783">
        <f>IF('Incremental Repayments'!$R$22="Debt",IF(AND(AC$4&gt;=$D120,AC$4&lt;$D120+'Incremental Repayments'!$I$31),-PMT('Interest Rate'!$J$16,'Incremental Repayments'!$I$31,(HLOOKUP($D120,$E$4:$CZ$32,28,FALSE)*'Incremental Repayments'!$I$22)),0),0)</f>
        <v>0</v>
      </c>
      <c r="AD120" s="783">
        <f>IF('Incremental Repayments'!$R$22="Debt",IF(AND(AD$4&gt;=$D120,AD$4&lt;$D120+'Incremental Repayments'!$I$31),-PMT('Interest Rate'!$J$16,'Incremental Repayments'!$I$31,(HLOOKUP($D120,$E$4:$CZ$32,28,FALSE)*'Incremental Repayments'!$I$22)),0),0)</f>
        <v>0</v>
      </c>
      <c r="AE120" s="783">
        <f>IF('Incremental Repayments'!$R$22="Debt",IF(AND(AE$4&gt;=$D120,AE$4&lt;$D120+'Incremental Repayments'!$I$31),-PMT('Interest Rate'!$J$16,'Incremental Repayments'!$I$31,(HLOOKUP($D120,$E$4:$CZ$32,28,FALSE)*'Incremental Repayments'!$I$22)),0),0)</f>
        <v>0</v>
      </c>
      <c r="AF120" s="783">
        <f>IF('Incremental Repayments'!$R$22="Debt",IF(AND(AF$4&gt;=$D120,AF$4&lt;$D120+'Incremental Repayments'!$I$31),-PMT('Interest Rate'!$J$16,'Incremental Repayments'!$I$31,(HLOOKUP($D120,$E$4:$CZ$32,28,FALSE)*'Incremental Repayments'!$I$22)),0),0)</f>
        <v>0</v>
      </c>
      <c r="AG120" s="783">
        <f>IF('Incremental Repayments'!$R$22="Debt",IF(AND(AG$4&gt;=$D120,AG$4&lt;$D120+'Incremental Repayments'!$I$31),-PMT('Interest Rate'!$J$16,'Incremental Repayments'!$I$31,(HLOOKUP($D120,$E$4:$CZ$32,28,FALSE)*'Incremental Repayments'!$I$22)),0),0)</f>
        <v>0</v>
      </c>
      <c r="AH120" s="783">
        <f>IF('Incremental Repayments'!$R$22="Debt",IF(AND(AH$4&gt;=$D120,AH$4&lt;$D120+'Incremental Repayments'!$I$31),-PMT('Interest Rate'!$J$16,'Incremental Repayments'!$I$31,(HLOOKUP($D120,$E$4:$CZ$32,28,FALSE)*'Incremental Repayments'!$I$22)),0),0)</f>
        <v>0</v>
      </c>
      <c r="AI120" s="783">
        <f>IF('Incremental Repayments'!$R$22="Debt",IF(AND(AI$4&gt;=$D120,AI$4&lt;$D120+'Incremental Repayments'!$I$31),-PMT('Interest Rate'!$J$16,'Incremental Repayments'!$I$31,(HLOOKUP($D120,$E$4:$CZ$32,28,FALSE)*'Incremental Repayments'!$I$22)),0),0)</f>
        <v>0</v>
      </c>
      <c r="AJ120" s="783">
        <f>IF('Incremental Repayments'!$R$22="Debt",IF(AND(AJ$4&gt;=$D120,AJ$4&lt;$D120+'Incremental Repayments'!$I$31),-PMT('Interest Rate'!$J$16,'Incremental Repayments'!$I$31,(HLOOKUP($D120,$E$4:$CZ$32,28,FALSE)*'Incremental Repayments'!$I$22)),0),0)</f>
        <v>0</v>
      </c>
      <c r="AK120" s="783">
        <f>IF('Incremental Repayments'!$R$22="Debt",IF(AND(AK$4&gt;=$D120,AK$4&lt;$D120+'Incremental Repayments'!$I$31),-PMT('Interest Rate'!$J$16,'Incremental Repayments'!$I$31,(HLOOKUP($D120,$E$4:$CZ$32,28,FALSE)*'Incremental Repayments'!$I$22)),0),0)</f>
        <v>0</v>
      </c>
      <c r="AL120" s="783">
        <f>IF('Incremental Repayments'!$R$22="Debt",IF(AND(AL$4&gt;=$D120,AL$4&lt;$D120+'Incremental Repayments'!$I$31),-PMT('Interest Rate'!$J$16,'Incremental Repayments'!$I$31,(HLOOKUP($D120,$E$4:$CZ$32,28,FALSE)*'Incremental Repayments'!$I$22)),0),0)</f>
        <v>0</v>
      </c>
      <c r="AM120" s="783">
        <f>IF('Incremental Repayments'!$R$22="Debt",IF(AND(AM$4&gt;=$D120,AM$4&lt;$D120+'Incremental Repayments'!$I$31),-PMT('Interest Rate'!$J$16,'Incremental Repayments'!$I$31,(HLOOKUP($D120,$E$4:$CZ$32,28,FALSE)*'Incremental Repayments'!$I$22)),0),0)</f>
        <v>0</v>
      </c>
      <c r="AN120" s="783">
        <f>IF('Incremental Repayments'!$R$22="Debt",IF(AND(AN$4&gt;=$D120,AN$4&lt;$D120+'Incremental Repayments'!$I$31),-PMT('Interest Rate'!$J$16,'Incremental Repayments'!$I$31,(HLOOKUP($D120,$E$4:$CZ$32,28,FALSE)*'Incremental Repayments'!$I$22)),0),0)</f>
        <v>0</v>
      </c>
      <c r="AO120" s="783">
        <f>IF('Incremental Repayments'!$R$22="Debt",IF(AND(AO$4&gt;=$D120,AO$4&lt;$D120+'Incremental Repayments'!$I$31),-PMT('Interest Rate'!$J$16,'Incremental Repayments'!$I$31,(HLOOKUP($D120,$E$4:$CZ$32,28,FALSE)*'Incremental Repayments'!$I$22)),0),0)</f>
        <v>0</v>
      </c>
      <c r="AP120" s="783">
        <f>IF('Incremental Repayments'!$R$22="Debt",IF(AND(AP$4&gt;=$D120,AP$4&lt;$D120+'Incremental Repayments'!$I$31),-PMT('Interest Rate'!$J$16,'Incremental Repayments'!$I$31,(HLOOKUP($D120,$E$4:$CZ$32,28,FALSE)*'Incremental Repayments'!$I$22)),0),0)</f>
        <v>0</v>
      </c>
      <c r="AQ120" s="783">
        <f>IF('Incremental Repayments'!$R$22="Debt",IF(AND(AQ$4&gt;=$D120,AQ$4&lt;$D120+'Incremental Repayments'!$I$31),-PMT('Interest Rate'!$J$16,'Incremental Repayments'!$I$31,(HLOOKUP($D120,$E$4:$CZ$32,28,FALSE)*'Incremental Repayments'!$I$22)),0),0)</f>
        <v>0</v>
      </c>
      <c r="AR120" s="783">
        <f>IF('Incremental Repayments'!$R$22="Debt",IF(AND(AR$4&gt;=$D120,AR$4&lt;$D120+'Incremental Repayments'!$I$31),-PMT('Interest Rate'!$J$16,'Incremental Repayments'!$I$31,(HLOOKUP($D120,$E$4:$CZ$32,28,FALSE)*'Incremental Repayments'!$I$22)),0),0)</f>
        <v>0</v>
      </c>
      <c r="AS120" s="783">
        <f>IF('Incremental Repayments'!$R$22="Debt",IF(AND(AS$4&gt;=$D120,AS$4&lt;$D120+'Incremental Repayments'!$I$31),-PMT('Interest Rate'!$J$16,'Incremental Repayments'!$I$31,(HLOOKUP($D120,$E$4:$CZ$32,28,FALSE)*'Incremental Repayments'!$I$22)),0),0)</f>
        <v>0</v>
      </c>
      <c r="AT120" s="783">
        <f>IF('Incremental Repayments'!$R$22="Debt",IF(AND(AT$4&gt;=$D120,AT$4&lt;$D120+'Incremental Repayments'!$I$31),-PMT('Interest Rate'!$J$16,'Incremental Repayments'!$I$31,(HLOOKUP($D120,$E$4:$CZ$32,28,FALSE)*'Incremental Repayments'!$I$22)),0),0)</f>
        <v>0</v>
      </c>
      <c r="AU120" s="783">
        <f>IF('Incremental Repayments'!$R$22="Debt",IF(AND(AU$4&gt;=$D120,AU$4&lt;$D120+'Incremental Repayments'!$I$31),-PMT('Interest Rate'!$J$16,'Incremental Repayments'!$I$31,(HLOOKUP($D120,$E$4:$CZ$32,28,FALSE)*'Incremental Repayments'!$I$22)),0),0)</f>
        <v>0</v>
      </c>
      <c r="AV120" s="783">
        <f>IF('Incremental Repayments'!$R$22="Debt",IF(AND(AV$4&gt;=$D120,AV$4&lt;$D120+'Incremental Repayments'!$I$31),-PMT('Interest Rate'!$J$16,'Incremental Repayments'!$I$31,(HLOOKUP($D120,$E$4:$CZ$32,28,FALSE)*'Incremental Repayments'!$I$22)),0),0)</f>
        <v>0</v>
      </c>
      <c r="AW120" s="783">
        <f>IF('Incremental Repayments'!$R$22="Debt",IF(AND(AW$4&gt;=$D120,AW$4&lt;$D120+'Incremental Repayments'!$I$31),-PMT('Interest Rate'!$J$16,'Incremental Repayments'!$I$31,(HLOOKUP($D120,$E$4:$CZ$32,28,FALSE)*'Incremental Repayments'!$I$22)),0),0)</f>
        <v>0</v>
      </c>
      <c r="AX120" s="783">
        <f>IF('Incremental Repayments'!$R$22="Debt",IF(AND(AX$4&gt;=$D120,AX$4&lt;$D120+'Incremental Repayments'!$I$31),-PMT('Interest Rate'!$J$16,'Incremental Repayments'!$I$31,(HLOOKUP($D120,$E$4:$CZ$32,28,FALSE)*'Incremental Repayments'!$I$22)),0),0)</f>
        <v>0</v>
      </c>
      <c r="AY120" s="783">
        <f>IF('Incremental Repayments'!$R$22="Debt",IF(AND(AY$4&gt;=$D120,AY$4&lt;$D120+'Incremental Repayments'!$I$31),-PMT('Interest Rate'!$J$16,'Incremental Repayments'!$I$31,(HLOOKUP($D120,$E$4:$CZ$32,28,FALSE)*'Incremental Repayments'!$I$22)),0),0)</f>
        <v>0</v>
      </c>
      <c r="AZ120" s="783">
        <f>IF('Incremental Repayments'!$R$22="Debt",IF(AND(AZ$4&gt;=$D120,AZ$4&lt;$D120+'Incremental Repayments'!$I$31),-PMT('Interest Rate'!$J$16,'Incremental Repayments'!$I$31,(HLOOKUP($D120,$E$4:$CZ$32,28,FALSE)*'Incremental Repayments'!$I$22)),0),0)</f>
        <v>0</v>
      </c>
      <c r="BA120" s="783">
        <f>IF('Incremental Repayments'!$R$22="Debt",IF(AND(BA$4&gt;=$D120,BA$4&lt;$D120+'Incremental Repayments'!$I$31),-PMT('Interest Rate'!$J$16,'Incremental Repayments'!$I$31,(HLOOKUP($D120,$E$4:$CZ$32,28,FALSE)*'Incremental Repayments'!$I$22)),0),0)</f>
        <v>0</v>
      </c>
      <c r="BB120" s="783">
        <f>IF('Incremental Repayments'!$R$22="Debt",IF(AND(BB$4&gt;=$D120,BB$4&lt;$D120+'Incremental Repayments'!$I$31),-PMT('Interest Rate'!$J$16,'Incremental Repayments'!$I$31,(HLOOKUP($D120,$E$4:$CZ$32,28,FALSE)*'Incremental Repayments'!$I$22)),0),0)</f>
        <v>0</v>
      </c>
      <c r="BC120" s="783">
        <f>IF('Incremental Repayments'!$R$22="Debt",IF(AND(BC$4&gt;=$D120,BC$4&lt;$D120+'Incremental Repayments'!$I$31),-PMT('Interest Rate'!$J$16,'Incremental Repayments'!$I$31,(HLOOKUP($D120,$E$4:$CZ$32,28,FALSE)*'Incremental Repayments'!$I$22)),0),0)</f>
        <v>0</v>
      </c>
      <c r="BD120" s="783">
        <f>IF('Incremental Repayments'!$R$22="Debt",IF(AND(BD$4&gt;=$D120,BD$4&lt;$D120+'Incremental Repayments'!$I$31),-PMT('Interest Rate'!$J$16,'Incremental Repayments'!$I$31,(HLOOKUP($D120,$E$4:$CZ$32,28,FALSE)*'Incremental Repayments'!$I$22)),0),0)</f>
        <v>0</v>
      </c>
      <c r="BE120" s="783">
        <f>IF('Incremental Repayments'!$R$22="Debt",IF(AND(BE$4&gt;=$D120,BE$4&lt;$D120+'Incremental Repayments'!$I$31),-PMT('Interest Rate'!$J$16,'Incremental Repayments'!$I$31,(HLOOKUP($D120,$E$4:$CZ$32,28,FALSE)*'Incremental Repayments'!$I$22)),0),0)</f>
        <v>0</v>
      </c>
      <c r="BF120" s="783">
        <f>IF('Incremental Repayments'!$R$22="Debt",IF(AND(BF$4&gt;=$D120,BF$4&lt;$D120+'Incremental Repayments'!$I$31),-PMT('Interest Rate'!$J$16,'Incremental Repayments'!$I$31,(HLOOKUP($D120,$E$4:$CZ$32,28,FALSE)*'Incremental Repayments'!$I$22)),0),0)</f>
        <v>0</v>
      </c>
      <c r="BG120" s="783">
        <f>IF('Incremental Repayments'!$R$22="Debt",IF(AND(BG$4&gt;=$D120,BG$4&lt;$D120+'Incremental Repayments'!$I$31),-PMT('Interest Rate'!$J$16,'Incremental Repayments'!$I$31,(HLOOKUP($D120,$E$4:$CZ$32,28,FALSE)*'Incremental Repayments'!$I$22)),0),0)</f>
        <v>0</v>
      </c>
      <c r="BH120" s="783">
        <f>IF('Incremental Repayments'!$R$22="Debt",IF(AND(BH$4&gt;=$D120,BH$4&lt;$D120+'Incremental Repayments'!$I$31),-PMT('Interest Rate'!$J$16,'Incremental Repayments'!$I$31,(HLOOKUP($D120,$E$4:$CZ$32,28,FALSE)*'Incremental Repayments'!$I$22)),0),0)</f>
        <v>0</v>
      </c>
      <c r="BI120" s="783">
        <f>IF('Incremental Repayments'!$R$22="Debt",IF(AND(BI$4&gt;=$D120,BI$4&lt;$D120+'Incremental Repayments'!$I$31),-PMT('Interest Rate'!$J$16,'Incremental Repayments'!$I$31,(HLOOKUP($D120,$E$4:$CZ$32,28,FALSE)*'Incremental Repayments'!$I$22)),0),0)</f>
        <v>0</v>
      </c>
      <c r="BJ120" s="783">
        <f>IF('Incremental Repayments'!$R$22="Debt",IF(AND(BJ$4&gt;=$D120,BJ$4&lt;$D120+'Incremental Repayments'!$I$31),-PMT('Interest Rate'!$J$16,'Incremental Repayments'!$I$31,(HLOOKUP($D120,$E$4:$CZ$32,28,FALSE)*'Incremental Repayments'!$I$22)),0),0)</f>
        <v>0</v>
      </c>
      <c r="BK120" s="783">
        <f>IF('Incremental Repayments'!$R$22="Debt",IF(AND(BK$4&gt;=$D120,BK$4&lt;$D120+'Incremental Repayments'!$I$31),-PMT('Interest Rate'!$J$16,'Incremental Repayments'!$I$31,(HLOOKUP($D120,$E$4:$CZ$32,28,FALSE)*'Incremental Repayments'!$I$22)),0),0)</f>
        <v>0</v>
      </c>
      <c r="BL120" s="783">
        <f>IF('Incremental Repayments'!$R$22="Debt",IF(AND(BL$4&gt;=$D120,BL$4&lt;$D120+'Incremental Repayments'!$I$31),-PMT('Interest Rate'!$J$16,'Incremental Repayments'!$I$31,(HLOOKUP($D120,$E$4:$CZ$32,28,FALSE)*'Incremental Repayments'!$I$22)),0),0)</f>
        <v>0</v>
      </c>
      <c r="BM120" s="783">
        <f>IF('Incremental Repayments'!$R$22="Debt",IF(AND(BM$4&gt;=$D120,BM$4&lt;$D120+'Incremental Repayments'!$I$31),-PMT('Interest Rate'!$J$16,'Incremental Repayments'!$I$31,(HLOOKUP($D120,$E$4:$CZ$32,28,FALSE)*'Incremental Repayments'!$I$22)),0),0)</f>
        <v>0</v>
      </c>
      <c r="BN120" s="783">
        <f>IF('Incremental Repayments'!$R$22="Debt",IF(AND(BN$4&gt;=$D120,BN$4&lt;$D120+'Incremental Repayments'!$I$31),-PMT('Interest Rate'!$J$16,'Incremental Repayments'!$I$31,(HLOOKUP($D120,$E$4:$CZ$32,28,FALSE)*'Incremental Repayments'!$I$22)),0),0)</f>
        <v>0</v>
      </c>
      <c r="BO120" s="783">
        <f>IF('Incremental Repayments'!$R$22="Debt",IF(AND(BO$4&gt;=$D120,BO$4&lt;$D120+'Incremental Repayments'!$I$31),-PMT('Interest Rate'!$J$16,'Incremental Repayments'!$I$31,(HLOOKUP($D120,$E$4:$CZ$32,28,FALSE)*'Incremental Repayments'!$I$22)),0),0)</f>
        <v>0</v>
      </c>
      <c r="BP120" s="783">
        <f>IF('Incremental Repayments'!$R$22="Debt",IF(AND(BP$4&gt;=$D120,BP$4&lt;$D120+'Incremental Repayments'!$I$31),-PMT('Interest Rate'!$J$16,'Incremental Repayments'!$I$31,(HLOOKUP($D120,$E$4:$CZ$32,28,FALSE)*'Incremental Repayments'!$I$22)),0),0)</f>
        <v>0</v>
      </c>
      <c r="BQ120" s="783">
        <f>IF('Incremental Repayments'!$R$22="Debt",IF(AND(BQ$4&gt;=$D120,BQ$4&lt;$D120+'Incremental Repayments'!$I$31),-PMT('Interest Rate'!$J$16,'Incremental Repayments'!$I$31,(HLOOKUP($D120,$E$4:$CZ$32,28,FALSE)*'Incremental Repayments'!$I$22)),0),0)</f>
        <v>0</v>
      </c>
      <c r="BR120" s="783">
        <f>IF('Incremental Repayments'!$R$22="Debt",IF(AND(BR$4&gt;=$D120,BR$4&lt;$D120+'Incremental Repayments'!$I$31),-PMT('Interest Rate'!$J$16,'Incremental Repayments'!$I$31,(HLOOKUP($D120,$E$4:$CZ$32,28,FALSE)*'Incremental Repayments'!$I$22)),0),0)</f>
        <v>0</v>
      </c>
      <c r="BS120" s="783">
        <f>IF('Incremental Repayments'!$R$22="Debt",IF(AND(BS$4&gt;=$D120,BS$4&lt;$D120+'Incremental Repayments'!$I$31),-PMT('Interest Rate'!$J$16,'Incremental Repayments'!$I$31,(HLOOKUP($D120,$E$4:$CZ$32,28,FALSE)*'Incremental Repayments'!$I$22)),0),0)</f>
        <v>0</v>
      </c>
      <c r="BT120" s="783">
        <f>IF('Incremental Repayments'!$R$22="Debt",IF(AND(BT$4&gt;=$D120,BT$4&lt;$D120+'Incremental Repayments'!$I$31),-PMT('Interest Rate'!$J$16,'Incremental Repayments'!$I$31,(HLOOKUP($D120,$E$4:$CZ$32,28,FALSE)*'Incremental Repayments'!$I$22)),0),0)</f>
        <v>0</v>
      </c>
      <c r="BU120" s="783">
        <f>IF('Incremental Repayments'!$R$22="Debt",IF(AND(BU$4&gt;=$D120,BU$4&lt;$D120+'Incremental Repayments'!$I$31),-PMT('Interest Rate'!$J$16,'Incremental Repayments'!$I$31,(HLOOKUP($D120,$E$4:$CZ$32,28,FALSE)*'Incremental Repayments'!$I$22)),0),0)</f>
        <v>0</v>
      </c>
      <c r="BV120" s="783">
        <f>IF('Incremental Repayments'!$R$22="Debt",IF(AND(BV$4&gt;=$D120,BV$4&lt;$D120+'Incremental Repayments'!$I$31),-PMT('Interest Rate'!$J$16,'Incremental Repayments'!$I$31,(HLOOKUP($D120,$E$4:$CZ$32,28,FALSE)*'Incremental Repayments'!$I$22)),0),0)</f>
        <v>0</v>
      </c>
      <c r="BW120" s="783">
        <f>IF('Incremental Repayments'!$R$22="Debt",IF(AND(BW$4&gt;=$D120,BW$4&lt;$D120+'Incremental Repayments'!$I$31),-PMT('Interest Rate'!$J$16,'Incremental Repayments'!$I$31,(HLOOKUP($D120,$E$4:$CZ$32,28,FALSE)*'Incremental Repayments'!$I$22)),0),0)</f>
        <v>0</v>
      </c>
      <c r="BX120" s="783">
        <f>IF('Incremental Repayments'!$R$22="Debt",IF(AND(BX$4&gt;=$D120,BX$4&lt;$D120+'Incremental Repayments'!$I$31),-PMT('Interest Rate'!$J$16,'Incremental Repayments'!$I$31,(HLOOKUP($D120,$E$4:$CZ$32,28,FALSE)*'Incremental Repayments'!$I$22)),0),0)</f>
        <v>0</v>
      </c>
      <c r="BY120" s="783">
        <f>IF('Incremental Repayments'!$R$22="Debt",IF(AND(BY$4&gt;=$D120,BY$4&lt;$D120+'Incremental Repayments'!$I$31),-PMT('Interest Rate'!$J$16,'Incremental Repayments'!$I$31,(HLOOKUP($D120,$E$4:$CZ$32,28,FALSE)*'Incremental Repayments'!$I$22)),0),0)</f>
        <v>0</v>
      </c>
      <c r="BZ120" s="783">
        <f>IF('Incremental Repayments'!$R$22="Debt",IF(AND(BZ$4&gt;=$D120,BZ$4&lt;$D120+'Incremental Repayments'!$I$31),-PMT('Interest Rate'!$J$16,'Incremental Repayments'!$I$31,(HLOOKUP($D120,$E$4:$CZ$32,28,FALSE)*'Incremental Repayments'!$I$22)),0),0)</f>
        <v>0</v>
      </c>
      <c r="CA120" s="783">
        <f>IF('Incremental Repayments'!$R$22="Debt",IF(AND(CA$4&gt;=$D120,CA$4&lt;$D120+'Incremental Repayments'!$I$31),-PMT('Interest Rate'!$J$16,'Incremental Repayments'!$I$31,(HLOOKUP($D120,$E$4:$CZ$32,28,FALSE)*'Incremental Repayments'!$I$22)),0),0)</f>
        <v>0</v>
      </c>
      <c r="CB120" s="783">
        <f>IF('Incremental Repayments'!$R$22="Debt",IF(AND(CB$4&gt;=$D120,CB$4&lt;$D120+'Incremental Repayments'!$I$31),-PMT('Interest Rate'!$J$16,'Incremental Repayments'!$I$31,(HLOOKUP($D120,$E$4:$CZ$32,28,FALSE)*'Incremental Repayments'!$I$22)),0),0)</f>
        <v>0</v>
      </c>
      <c r="CC120" s="783">
        <f>IF('Incremental Repayments'!$R$22="Debt",IF(AND(CC$4&gt;=$D120,CC$4&lt;$D120+'Incremental Repayments'!$I$31),-PMT('Interest Rate'!$J$16,'Incremental Repayments'!$I$31,(HLOOKUP($D120,$E$4:$CZ$32,28,FALSE)*'Incremental Repayments'!$I$22)),0),0)</f>
        <v>0</v>
      </c>
      <c r="CD120" s="783">
        <f>IF('Incremental Repayments'!$R$22="Debt",IF(AND(CD$4&gt;=$D120,CD$4&lt;$D120+'Incremental Repayments'!$I$31),-PMT('Interest Rate'!$J$16,'Incremental Repayments'!$I$31,(HLOOKUP($D120,$E$4:$CZ$32,28,FALSE)*'Incremental Repayments'!$I$22)),0),0)</f>
        <v>0</v>
      </c>
      <c r="CE120" s="783">
        <f>IF('Incremental Repayments'!$R$22="Debt",IF(AND(CE$4&gt;=$D120,CE$4&lt;$D120+'Incremental Repayments'!$I$31),-PMT('Interest Rate'!$J$16,'Incremental Repayments'!$I$31,(HLOOKUP($D120,$E$4:$CZ$32,28,FALSE)*'Incremental Repayments'!$I$22)),0),0)</f>
        <v>0</v>
      </c>
      <c r="CF120" s="783">
        <f>IF('Incremental Repayments'!$R$22="Debt",IF(AND(CF$4&gt;=$D120,CF$4&lt;$D120+'Incremental Repayments'!$I$31),-PMT('Interest Rate'!$J$16,'Incremental Repayments'!$I$31,(HLOOKUP($D120,$E$4:$CZ$32,28,FALSE)*'Incremental Repayments'!$I$22)),0),0)</f>
        <v>0</v>
      </c>
      <c r="CG120" s="783">
        <f>IF('Incremental Repayments'!$R$22="Debt",IF(AND(CG$4&gt;=$D120,CG$4&lt;$D120+'Incremental Repayments'!$I$31),-PMT('Interest Rate'!$J$16,'Incremental Repayments'!$I$31,(HLOOKUP($D120,$E$4:$CZ$32,28,FALSE)*'Incremental Repayments'!$I$22)),0),0)</f>
        <v>0</v>
      </c>
      <c r="CH120" s="783">
        <f>IF('Incremental Repayments'!$R$22="Debt",IF(AND(CH$4&gt;=$D120,CH$4&lt;$D120+'Incremental Repayments'!$I$31),-PMT('Interest Rate'!$J$16,'Incremental Repayments'!$I$31,(HLOOKUP($D120,$E$4:$CZ$32,28,FALSE)*'Incremental Repayments'!$I$22)),0),0)</f>
        <v>0</v>
      </c>
      <c r="CI120" s="783">
        <f>IF('Incremental Repayments'!$R$22="Debt",IF(AND(CI$4&gt;=$D120,CI$4&lt;$D120+'Incremental Repayments'!$I$31),-PMT('Interest Rate'!$J$16,'Incremental Repayments'!$I$31,(HLOOKUP($D120,$E$4:$CZ$32,28,FALSE)*'Incremental Repayments'!$I$22)),0),0)</f>
        <v>0</v>
      </c>
      <c r="CJ120" s="783">
        <f>IF('Incremental Repayments'!$R$22="Debt",IF(AND(CJ$4&gt;=$D120,CJ$4&lt;$D120+'Incremental Repayments'!$I$31),-PMT('Interest Rate'!$J$16,'Incremental Repayments'!$I$31,(HLOOKUP($D120,$E$4:$CZ$32,28,FALSE)*'Incremental Repayments'!$I$22)),0),0)</f>
        <v>0</v>
      </c>
      <c r="CK120" s="783">
        <f>IF('Incremental Repayments'!$R$22="Debt",IF(AND(CK$4&gt;=$D120,CK$4&lt;$D120+'Incremental Repayments'!$I$31),-PMT('Interest Rate'!$J$16,'Incremental Repayments'!$I$31,(HLOOKUP($D120,$E$4:$CZ$32,28,FALSE)*'Incremental Repayments'!$I$22)),0),0)</f>
        <v>0</v>
      </c>
      <c r="CL120" s="783">
        <f>IF('Incremental Repayments'!$R$22="Debt",IF(AND(CL$4&gt;=$D120,CL$4&lt;$D120+'Incremental Repayments'!$I$31),-PMT('Interest Rate'!$J$16,'Incremental Repayments'!$I$31,(HLOOKUP($D120,$E$4:$CZ$32,28,FALSE)*'Incremental Repayments'!$I$22)),0),0)</f>
        <v>0</v>
      </c>
      <c r="CM120" s="783">
        <f>IF('Incremental Repayments'!$R$22="Debt",IF(AND(CM$4&gt;=$D120,CM$4&lt;$D120+'Incremental Repayments'!$I$31),-PMT('Interest Rate'!$J$16,'Incremental Repayments'!$I$31,(HLOOKUP($D120,$E$4:$CZ$32,28,FALSE)*'Incremental Repayments'!$I$22)),0),0)</f>
        <v>0</v>
      </c>
      <c r="CN120" s="783">
        <f>IF('Incremental Repayments'!$R$22="Debt",IF(AND(CN$4&gt;=$D120,CN$4&lt;$D120+'Incremental Repayments'!$I$31),-PMT('Interest Rate'!$J$16,'Incremental Repayments'!$I$31,(HLOOKUP($D120,$E$4:$CZ$32,28,FALSE)*'Incremental Repayments'!$I$22)),0),0)</f>
        <v>0</v>
      </c>
      <c r="CO120" s="783">
        <f>IF('Incremental Repayments'!$R$22="Debt",IF(AND(CO$4&gt;=$D120,CO$4&lt;$D120+'Incremental Repayments'!$I$31),-PMT('Interest Rate'!$J$16,'Incremental Repayments'!$I$31,(HLOOKUP($D120,$E$4:$CZ$32,28,FALSE)*'Incremental Repayments'!$I$22)),0),0)</f>
        <v>0</v>
      </c>
      <c r="CP120" s="783">
        <f>IF('Incremental Repayments'!$R$22="Debt",IF(AND(CP$4&gt;=$D120,CP$4&lt;$D120+'Incremental Repayments'!$I$31),-PMT('Interest Rate'!$J$16,'Incremental Repayments'!$I$31,(HLOOKUP($D120,$E$4:$CZ$32,28,FALSE)*'Incremental Repayments'!$I$22)),0),0)</f>
        <v>0</v>
      </c>
      <c r="CQ120" s="783">
        <f>IF('Incremental Repayments'!$R$22="Debt",IF(AND(CQ$4&gt;=$D120,CQ$4&lt;$D120+'Incremental Repayments'!$I$31),-PMT('Interest Rate'!$J$16,'Incremental Repayments'!$I$31,(HLOOKUP($D120,$E$4:$CZ$32,28,FALSE)*'Incremental Repayments'!$I$22)),0),0)</f>
        <v>0</v>
      </c>
      <c r="CR120" s="783">
        <f>IF('Incremental Repayments'!$R$22="Debt",IF(AND(CR$4&gt;=$D120,CR$4&lt;$D120+'Incremental Repayments'!$I$31),-PMT('Interest Rate'!$J$16,'Incremental Repayments'!$I$31,(HLOOKUP($D120,$E$4:$CZ$32,28,FALSE)*'Incremental Repayments'!$I$22)),0),0)</f>
        <v>0</v>
      </c>
      <c r="CS120" s="783">
        <f>IF('Incremental Repayments'!$R$22="Debt",IF(AND(CS$4&gt;=$D120,CS$4&lt;$D120+'Incremental Repayments'!$I$31),-PMT('Interest Rate'!$J$16,'Incremental Repayments'!$I$31,(HLOOKUP($D120,$E$4:$CZ$32,28,FALSE)*'Incremental Repayments'!$I$22)),0),0)</f>
        <v>0</v>
      </c>
      <c r="CT120" s="783">
        <f>IF('Incremental Repayments'!$R$22="Debt",IF(AND(CT$4&gt;=$D120,CT$4&lt;$D120+'Incremental Repayments'!$I$31),-PMT('Interest Rate'!$J$16,'Incremental Repayments'!$I$31,(HLOOKUP($D120,$E$4:$CZ$32,28,FALSE)*'Incremental Repayments'!$I$22)),0),0)</f>
        <v>0</v>
      </c>
      <c r="CU120" s="783">
        <f>IF('Incremental Repayments'!$R$22="Debt",IF(AND(CU$4&gt;=$D120,CU$4&lt;$D120+'Incremental Repayments'!$I$31),-PMT('Interest Rate'!$J$16,'Incremental Repayments'!$I$31,(HLOOKUP($D120,$E$4:$CZ$32,28,FALSE)*'Incremental Repayments'!$I$22)),0),0)</f>
        <v>0</v>
      </c>
      <c r="CV120" s="783">
        <f>IF('Incremental Repayments'!$R$22="Debt",IF(AND(CV$4&gt;=$D120,CV$4&lt;$D120+'Incremental Repayments'!$I$31),-PMT('Interest Rate'!$J$16,'Incremental Repayments'!$I$31,(HLOOKUP($D120,$E$4:$CZ$32,28,FALSE)*'Incremental Repayments'!$I$22)),0),0)</f>
        <v>0</v>
      </c>
      <c r="CW120" s="783">
        <f>IF('Incremental Repayments'!$R$22="Debt",IF(AND(CW$4&gt;=$D120,CW$4&lt;$D120+'Incremental Repayments'!$I$31),-PMT('Interest Rate'!$J$16,'Incremental Repayments'!$I$31,(HLOOKUP($D120,$E$4:$CZ$32,28,FALSE)*'Incremental Repayments'!$I$22)),0),0)</f>
        <v>0</v>
      </c>
      <c r="CX120" s="783">
        <f>IF('Incremental Repayments'!$R$22="Debt",IF(AND(CX$4&gt;=$D120,CX$4&lt;$D120+'Incremental Repayments'!$I$31),-PMT('Interest Rate'!$J$16,'Incremental Repayments'!$I$31,(HLOOKUP($D120,$E$4:$CZ$32,28,FALSE)*'Incremental Repayments'!$I$22)),0),0)</f>
        <v>0</v>
      </c>
      <c r="CY120" s="783">
        <f>IF('Incremental Repayments'!$R$22="Debt",IF(AND(CY$4&gt;=$D120,CY$4&lt;$D120+'Incremental Repayments'!$I$31),-PMT('Interest Rate'!$J$16,'Incremental Repayments'!$I$31,(HLOOKUP($D120,$E$4:$CZ$32,28,FALSE)*'Incremental Repayments'!$I$22)),0),0)</f>
        <v>0</v>
      </c>
      <c r="CZ120" s="783">
        <f>IF('Incremental Repayments'!$R$22="Debt",IF(AND(CZ$4&gt;=$D120,CZ$4&lt;$D120+'Incremental Repayments'!$I$31),-PMT('Interest Rate'!$J$16,'Incremental Repayments'!$I$31,(HLOOKUP($D120,$E$4:$CZ$32,28,FALSE)*'Incremental Repayments'!$I$22)),0),0)</f>
        <v>0</v>
      </c>
    </row>
    <row r="121" spans="1:104" x14ac:dyDescent="0.25">
      <c r="B121" s="480" t="str">
        <f>CONCATENATE("Series ",D121,"A Bonds (at ",'Interest Rate'!$J$16*100,"% Interest)")</f>
        <v>Series 2099A Bonds (at 4.5% Interest)</v>
      </c>
      <c r="C121" s="480"/>
      <c r="D121" s="492">
        <f t="shared" si="48"/>
        <v>2099</v>
      </c>
      <c r="E121" s="783">
        <f>IF('Incremental Repayments'!$R$22="Debt",IF(AND(E$4&gt;=$D121,E$4&lt;$D121+'Incremental Repayments'!$I$31),-PMT('Interest Rate'!$J$16,'Incremental Repayments'!$I$31,(HLOOKUP($D121,$E$4:$CZ$32,28,FALSE)*'Incremental Repayments'!$I$22)),0),0)</f>
        <v>0</v>
      </c>
      <c r="F121" s="783">
        <f>IF('Incremental Repayments'!$R$22="Debt",IF(AND(F$4&gt;=$D121,F$4&lt;$D121+'Incremental Repayments'!$I$31),-PMT('Interest Rate'!$J$16,'Incremental Repayments'!$I$31,(HLOOKUP($D121,$E$4:$CZ$32,28,FALSE)*'Incremental Repayments'!$I$22)),0),0)</f>
        <v>0</v>
      </c>
      <c r="G121" s="783">
        <f>IF('Incremental Repayments'!$R$22="Debt",IF(AND(G$4&gt;=$D121,G$4&lt;$D121+'Incremental Repayments'!$I$31),-PMT('Interest Rate'!$J$16,'Incremental Repayments'!$I$31,(HLOOKUP($D121,$E$4:$CZ$32,28,FALSE)*'Incremental Repayments'!$I$22)),0),0)</f>
        <v>0</v>
      </c>
      <c r="H121" s="783">
        <f>IF('Incremental Repayments'!$R$22="Debt",IF(AND(H$4&gt;=$D121,H$4&lt;$D121+'Incremental Repayments'!$I$31),-PMT('Interest Rate'!$J$16,'Incremental Repayments'!$I$31,(HLOOKUP($D121,$E$4:$CZ$32,28,FALSE)*'Incremental Repayments'!$I$22)),0),0)</f>
        <v>0</v>
      </c>
      <c r="I121" s="783">
        <f>IF('Incremental Repayments'!$R$22="Debt",IF(AND(I$4&gt;=$D121,I$4&lt;$D121+'Incremental Repayments'!$I$31),-PMT('Interest Rate'!$J$16,'Incremental Repayments'!$I$31,(HLOOKUP($D121,$E$4:$CZ$32,28,FALSE)*'Incremental Repayments'!$I$22)),0),0)</f>
        <v>0</v>
      </c>
      <c r="J121" s="783">
        <f>IF('Incremental Repayments'!$R$22="Debt",IF(AND(J$4&gt;=$D121,J$4&lt;$D121+'Incremental Repayments'!$I$31),-PMT('Interest Rate'!$J$16,'Incremental Repayments'!$I$31,(HLOOKUP($D121,$E$4:$CZ$32,28,FALSE)*'Incremental Repayments'!$I$22)),0),0)</f>
        <v>0</v>
      </c>
      <c r="K121" s="783">
        <f>IF('Incremental Repayments'!$R$22="Debt",IF(AND(K$4&gt;=$D121,K$4&lt;$D121+'Incremental Repayments'!$I$31),-PMT('Interest Rate'!$J$16,'Incremental Repayments'!$I$31,(HLOOKUP($D121,$E$4:$CZ$32,28,FALSE)*'Incremental Repayments'!$I$22)),0),0)</f>
        <v>0</v>
      </c>
      <c r="L121" s="783">
        <f>IF('Incremental Repayments'!$R$22="Debt",IF(AND(L$4&gt;=$D121,L$4&lt;$D121+'Incremental Repayments'!$I$31),-PMT('Interest Rate'!$J$16,'Incremental Repayments'!$I$31,(HLOOKUP($D121,$E$4:$CZ$32,28,FALSE)*'Incremental Repayments'!$I$22)),0),0)</f>
        <v>0</v>
      </c>
      <c r="M121" s="783">
        <f>IF('Incremental Repayments'!$R$22="Debt",IF(AND(M$4&gt;=$D121,M$4&lt;$D121+'Incremental Repayments'!$I$31),-PMT('Interest Rate'!$J$16,'Incremental Repayments'!$I$31,(HLOOKUP($D121,$E$4:$CZ$32,28,FALSE)*'Incremental Repayments'!$I$22)),0),0)</f>
        <v>0</v>
      </c>
      <c r="N121" s="783">
        <f>IF('Incremental Repayments'!$R$22="Debt",IF(AND(N$4&gt;=$D121,N$4&lt;$D121+'Incremental Repayments'!$I$31),-PMT('Interest Rate'!$J$16,'Incremental Repayments'!$I$31,(HLOOKUP($D121,$E$4:$CZ$32,28,FALSE)*'Incremental Repayments'!$I$22)),0),0)</f>
        <v>0</v>
      </c>
      <c r="O121" s="783">
        <f>IF('Incremental Repayments'!$R$22="Debt",IF(AND(O$4&gt;=$D121,O$4&lt;$D121+'Incremental Repayments'!$I$31),-PMT('Interest Rate'!$J$16,'Incremental Repayments'!$I$31,(HLOOKUP($D121,$E$4:$CZ$32,28,FALSE)*'Incremental Repayments'!$I$22)),0),0)</f>
        <v>0</v>
      </c>
      <c r="P121" s="783">
        <f>IF('Incremental Repayments'!$R$22="Debt",IF(AND(P$4&gt;=$D121,P$4&lt;$D121+'Incremental Repayments'!$I$31),-PMT('Interest Rate'!$J$16,'Incremental Repayments'!$I$31,(HLOOKUP($D121,$E$4:$CZ$32,28,FALSE)*'Incremental Repayments'!$I$22)),0),0)</f>
        <v>0</v>
      </c>
      <c r="Q121" s="783">
        <f>IF('Incremental Repayments'!$R$22="Debt",IF(AND(Q$4&gt;=$D121,Q$4&lt;$D121+'Incremental Repayments'!$I$31),-PMT('Interest Rate'!$J$16,'Incremental Repayments'!$I$31,(HLOOKUP($D121,$E$4:$CZ$32,28,FALSE)*'Incremental Repayments'!$I$22)),0),0)</f>
        <v>0</v>
      </c>
      <c r="R121" s="783">
        <f>IF('Incremental Repayments'!$R$22="Debt",IF(AND(R$4&gt;=$D121,R$4&lt;$D121+'Incremental Repayments'!$I$31),-PMT('Interest Rate'!$J$16,'Incremental Repayments'!$I$31,(HLOOKUP($D121,$E$4:$CZ$32,28,FALSE)*'Incremental Repayments'!$I$22)),0),0)</f>
        <v>0</v>
      </c>
      <c r="S121" s="783">
        <f>IF('Incremental Repayments'!$R$22="Debt",IF(AND(S$4&gt;=$D121,S$4&lt;$D121+'Incremental Repayments'!$I$31),-PMT('Interest Rate'!$J$16,'Incremental Repayments'!$I$31,(HLOOKUP($D121,$E$4:$CZ$32,28,FALSE)*'Incremental Repayments'!$I$22)),0),0)</f>
        <v>0</v>
      </c>
      <c r="T121" s="783">
        <f>IF('Incremental Repayments'!$R$22="Debt",IF(AND(T$4&gt;=$D121,T$4&lt;$D121+'Incremental Repayments'!$I$31),-PMT('Interest Rate'!$J$16,'Incremental Repayments'!$I$31,(HLOOKUP($D121,$E$4:$CZ$32,28,FALSE)*'Incremental Repayments'!$I$22)),0),0)</f>
        <v>0</v>
      </c>
      <c r="U121" s="783">
        <f>IF('Incremental Repayments'!$R$22="Debt",IF(AND(U$4&gt;=$D121,U$4&lt;$D121+'Incremental Repayments'!$I$31),-PMT('Interest Rate'!$J$16,'Incremental Repayments'!$I$31,(HLOOKUP($D121,$E$4:$CZ$32,28,FALSE)*'Incremental Repayments'!$I$22)),0),0)</f>
        <v>0</v>
      </c>
      <c r="V121" s="783">
        <f>IF('Incremental Repayments'!$R$22="Debt",IF(AND(V$4&gt;=$D121,V$4&lt;$D121+'Incremental Repayments'!$I$31),-PMT('Interest Rate'!$J$16,'Incremental Repayments'!$I$31,(HLOOKUP($D121,$E$4:$CZ$32,28,FALSE)*'Incremental Repayments'!$I$22)),0),0)</f>
        <v>0</v>
      </c>
      <c r="W121" s="783">
        <f>IF('Incremental Repayments'!$R$22="Debt",IF(AND(W$4&gt;=$D121,W$4&lt;$D121+'Incremental Repayments'!$I$31),-PMT('Interest Rate'!$J$16,'Incremental Repayments'!$I$31,(HLOOKUP($D121,$E$4:$CZ$32,28,FALSE)*'Incremental Repayments'!$I$22)),0),0)</f>
        <v>0</v>
      </c>
      <c r="X121" s="783">
        <f>IF('Incremental Repayments'!$R$22="Debt",IF(AND(X$4&gt;=$D121,X$4&lt;$D121+'Incremental Repayments'!$I$31),-PMT('Interest Rate'!$J$16,'Incremental Repayments'!$I$31,(HLOOKUP($D121,$E$4:$CZ$32,28,FALSE)*'Incremental Repayments'!$I$22)),0),0)</f>
        <v>0</v>
      </c>
      <c r="Y121" s="783">
        <f>IF('Incremental Repayments'!$R$22="Debt",IF(AND(Y$4&gt;=$D121,Y$4&lt;$D121+'Incremental Repayments'!$I$31),-PMT('Interest Rate'!$J$16,'Incremental Repayments'!$I$31,(HLOOKUP($D121,$E$4:$CZ$32,28,FALSE)*'Incremental Repayments'!$I$22)),0),0)</f>
        <v>0</v>
      </c>
      <c r="Z121" s="783">
        <f>IF('Incremental Repayments'!$R$22="Debt",IF(AND(Z$4&gt;=$D121,Z$4&lt;$D121+'Incremental Repayments'!$I$31),-PMT('Interest Rate'!$J$16,'Incremental Repayments'!$I$31,(HLOOKUP($D121,$E$4:$CZ$32,28,FALSE)*'Incremental Repayments'!$I$22)),0),0)</f>
        <v>0</v>
      </c>
      <c r="AA121" s="783">
        <f>IF('Incremental Repayments'!$R$22="Debt",IF(AND(AA$4&gt;=$D121,AA$4&lt;$D121+'Incremental Repayments'!$I$31),-PMT('Interest Rate'!$J$16,'Incremental Repayments'!$I$31,(HLOOKUP($D121,$E$4:$CZ$32,28,FALSE)*'Incremental Repayments'!$I$22)),0),0)</f>
        <v>0</v>
      </c>
      <c r="AB121" s="783">
        <f>IF('Incremental Repayments'!$R$22="Debt",IF(AND(AB$4&gt;=$D121,AB$4&lt;$D121+'Incremental Repayments'!$I$31),-PMT('Interest Rate'!$J$16,'Incremental Repayments'!$I$31,(HLOOKUP($D121,$E$4:$CZ$32,28,FALSE)*'Incremental Repayments'!$I$22)),0),0)</f>
        <v>0</v>
      </c>
      <c r="AC121" s="783">
        <f>IF('Incremental Repayments'!$R$22="Debt",IF(AND(AC$4&gt;=$D121,AC$4&lt;$D121+'Incremental Repayments'!$I$31),-PMT('Interest Rate'!$J$16,'Incremental Repayments'!$I$31,(HLOOKUP($D121,$E$4:$CZ$32,28,FALSE)*'Incremental Repayments'!$I$22)),0),0)</f>
        <v>0</v>
      </c>
      <c r="AD121" s="783">
        <f>IF('Incremental Repayments'!$R$22="Debt",IF(AND(AD$4&gt;=$D121,AD$4&lt;$D121+'Incremental Repayments'!$I$31),-PMT('Interest Rate'!$J$16,'Incremental Repayments'!$I$31,(HLOOKUP($D121,$E$4:$CZ$32,28,FALSE)*'Incremental Repayments'!$I$22)),0),0)</f>
        <v>0</v>
      </c>
      <c r="AE121" s="783">
        <f>IF('Incremental Repayments'!$R$22="Debt",IF(AND(AE$4&gt;=$D121,AE$4&lt;$D121+'Incremental Repayments'!$I$31),-PMT('Interest Rate'!$J$16,'Incremental Repayments'!$I$31,(HLOOKUP($D121,$E$4:$CZ$32,28,FALSE)*'Incremental Repayments'!$I$22)),0),0)</f>
        <v>0</v>
      </c>
      <c r="AF121" s="783">
        <f>IF('Incremental Repayments'!$R$22="Debt",IF(AND(AF$4&gt;=$D121,AF$4&lt;$D121+'Incremental Repayments'!$I$31),-PMT('Interest Rate'!$J$16,'Incremental Repayments'!$I$31,(HLOOKUP($D121,$E$4:$CZ$32,28,FALSE)*'Incremental Repayments'!$I$22)),0),0)</f>
        <v>0</v>
      </c>
      <c r="AG121" s="783">
        <f>IF('Incremental Repayments'!$R$22="Debt",IF(AND(AG$4&gt;=$D121,AG$4&lt;$D121+'Incremental Repayments'!$I$31),-PMT('Interest Rate'!$J$16,'Incremental Repayments'!$I$31,(HLOOKUP($D121,$E$4:$CZ$32,28,FALSE)*'Incremental Repayments'!$I$22)),0),0)</f>
        <v>0</v>
      </c>
      <c r="AH121" s="783">
        <f>IF('Incremental Repayments'!$R$22="Debt",IF(AND(AH$4&gt;=$D121,AH$4&lt;$D121+'Incremental Repayments'!$I$31),-PMT('Interest Rate'!$J$16,'Incremental Repayments'!$I$31,(HLOOKUP($D121,$E$4:$CZ$32,28,FALSE)*'Incremental Repayments'!$I$22)),0),0)</f>
        <v>0</v>
      </c>
      <c r="AI121" s="783">
        <f>IF('Incremental Repayments'!$R$22="Debt",IF(AND(AI$4&gt;=$D121,AI$4&lt;$D121+'Incremental Repayments'!$I$31),-PMT('Interest Rate'!$J$16,'Incremental Repayments'!$I$31,(HLOOKUP($D121,$E$4:$CZ$32,28,FALSE)*'Incremental Repayments'!$I$22)),0),0)</f>
        <v>0</v>
      </c>
      <c r="AJ121" s="783">
        <f>IF('Incremental Repayments'!$R$22="Debt",IF(AND(AJ$4&gt;=$D121,AJ$4&lt;$D121+'Incremental Repayments'!$I$31),-PMT('Interest Rate'!$J$16,'Incremental Repayments'!$I$31,(HLOOKUP($D121,$E$4:$CZ$32,28,FALSE)*'Incremental Repayments'!$I$22)),0),0)</f>
        <v>0</v>
      </c>
      <c r="AK121" s="783">
        <f>IF('Incremental Repayments'!$R$22="Debt",IF(AND(AK$4&gt;=$D121,AK$4&lt;$D121+'Incremental Repayments'!$I$31),-PMT('Interest Rate'!$J$16,'Incremental Repayments'!$I$31,(HLOOKUP($D121,$E$4:$CZ$32,28,FALSE)*'Incremental Repayments'!$I$22)),0),0)</f>
        <v>0</v>
      </c>
      <c r="AL121" s="783">
        <f>IF('Incremental Repayments'!$R$22="Debt",IF(AND(AL$4&gt;=$D121,AL$4&lt;$D121+'Incremental Repayments'!$I$31),-PMT('Interest Rate'!$J$16,'Incremental Repayments'!$I$31,(HLOOKUP($D121,$E$4:$CZ$32,28,FALSE)*'Incremental Repayments'!$I$22)),0),0)</f>
        <v>0</v>
      </c>
      <c r="AM121" s="783">
        <f>IF('Incremental Repayments'!$R$22="Debt",IF(AND(AM$4&gt;=$D121,AM$4&lt;$D121+'Incremental Repayments'!$I$31),-PMT('Interest Rate'!$J$16,'Incremental Repayments'!$I$31,(HLOOKUP($D121,$E$4:$CZ$32,28,FALSE)*'Incremental Repayments'!$I$22)),0),0)</f>
        <v>0</v>
      </c>
      <c r="AN121" s="783">
        <f>IF('Incremental Repayments'!$R$22="Debt",IF(AND(AN$4&gt;=$D121,AN$4&lt;$D121+'Incremental Repayments'!$I$31),-PMT('Interest Rate'!$J$16,'Incremental Repayments'!$I$31,(HLOOKUP($D121,$E$4:$CZ$32,28,FALSE)*'Incremental Repayments'!$I$22)),0),0)</f>
        <v>0</v>
      </c>
      <c r="AO121" s="783">
        <f>IF('Incremental Repayments'!$R$22="Debt",IF(AND(AO$4&gt;=$D121,AO$4&lt;$D121+'Incremental Repayments'!$I$31),-PMT('Interest Rate'!$J$16,'Incremental Repayments'!$I$31,(HLOOKUP($D121,$E$4:$CZ$32,28,FALSE)*'Incremental Repayments'!$I$22)),0),0)</f>
        <v>0</v>
      </c>
      <c r="AP121" s="783">
        <f>IF('Incremental Repayments'!$R$22="Debt",IF(AND(AP$4&gt;=$D121,AP$4&lt;$D121+'Incremental Repayments'!$I$31),-PMT('Interest Rate'!$J$16,'Incremental Repayments'!$I$31,(HLOOKUP($D121,$E$4:$CZ$32,28,FALSE)*'Incremental Repayments'!$I$22)),0),0)</f>
        <v>0</v>
      </c>
      <c r="AQ121" s="783">
        <f>IF('Incremental Repayments'!$R$22="Debt",IF(AND(AQ$4&gt;=$D121,AQ$4&lt;$D121+'Incremental Repayments'!$I$31),-PMT('Interest Rate'!$J$16,'Incremental Repayments'!$I$31,(HLOOKUP($D121,$E$4:$CZ$32,28,FALSE)*'Incremental Repayments'!$I$22)),0),0)</f>
        <v>0</v>
      </c>
      <c r="AR121" s="783">
        <f>IF('Incremental Repayments'!$R$22="Debt",IF(AND(AR$4&gt;=$D121,AR$4&lt;$D121+'Incremental Repayments'!$I$31),-PMT('Interest Rate'!$J$16,'Incremental Repayments'!$I$31,(HLOOKUP($D121,$E$4:$CZ$32,28,FALSE)*'Incremental Repayments'!$I$22)),0),0)</f>
        <v>0</v>
      </c>
      <c r="AS121" s="783">
        <f>IF('Incremental Repayments'!$R$22="Debt",IF(AND(AS$4&gt;=$D121,AS$4&lt;$D121+'Incremental Repayments'!$I$31),-PMT('Interest Rate'!$J$16,'Incremental Repayments'!$I$31,(HLOOKUP($D121,$E$4:$CZ$32,28,FALSE)*'Incremental Repayments'!$I$22)),0),0)</f>
        <v>0</v>
      </c>
      <c r="AT121" s="783">
        <f>IF('Incremental Repayments'!$R$22="Debt",IF(AND(AT$4&gt;=$D121,AT$4&lt;$D121+'Incremental Repayments'!$I$31),-PMT('Interest Rate'!$J$16,'Incremental Repayments'!$I$31,(HLOOKUP($D121,$E$4:$CZ$32,28,FALSE)*'Incremental Repayments'!$I$22)),0),0)</f>
        <v>0</v>
      </c>
      <c r="AU121" s="783">
        <f>IF('Incremental Repayments'!$R$22="Debt",IF(AND(AU$4&gt;=$D121,AU$4&lt;$D121+'Incremental Repayments'!$I$31),-PMT('Interest Rate'!$J$16,'Incremental Repayments'!$I$31,(HLOOKUP($D121,$E$4:$CZ$32,28,FALSE)*'Incremental Repayments'!$I$22)),0),0)</f>
        <v>0</v>
      </c>
      <c r="AV121" s="783">
        <f>IF('Incremental Repayments'!$R$22="Debt",IF(AND(AV$4&gt;=$D121,AV$4&lt;$D121+'Incremental Repayments'!$I$31),-PMT('Interest Rate'!$J$16,'Incremental Repayments'!$I$31,(HLOOKUP($D121,$E$4:$CZ$32,28,FALSE)*'Incremental Repayments'!$I$22)),0),0)</f>
        <v>0</v>
      </c>
      <c r="AW121" s="783">
        <f>IF('Incremental Repayments'!$R$22="Debt",IF(AND(AW$4&gt;=$D121,AW$4&lt;$D121+'Incremental Repayments'!$I$31),-PMT('Interest Rate'!$J$16,'Incremental Repayments'!$I$31,(HLOOKUP($D121,$E$4:$CZ$32,28,FALSE)*'Incremental Repayments'!$I$22)),0),0)</f>
        <v>0</v>
      </c>
      <c r="AX121" s="783">
        <f>IF('Incremental Repayments'!$R$22="Debt",IF(AND(AX$4&gt;=$D121,AX$4&lt;$D121+'Incremental Repayments'!$I$31),-PMT('Interest Rate'!$J$16,'Incremental Repayments'!$I$31,(HLOOKUP($D121,$E$4:$CZ$32,28,FALSE)*'Incremental Repayments'!$I$22)),0),0)</f>
        <v>0</v>
      </c>
      <c r="AY121" s="783">
        <f>IF('Incremental Repayments'!$R$22="Debt",IF(AND(AY$4&gt;=$D121,AY$4&lt;$D121+'Incremental Repayments'!$I$31),-PMT('Interest Rate'!$J$16,'Incremental Repayments'!$I$31,(HLOOKUP($D121,$E$4:$CZ$32,28,FALSE)*'Incremental Repayments'!$I$22)),0),0)</f>
        <v>0</v>
      </c>
      <c r="AZ121" s="783">
        <f>IF('Incremental Repayments'!$R$22="Debt",IF(AND(AZ$4&gt;=$D121,AZ$4&lt;$D121+'Incremental Repayments'!$I$31),-PMT('Interest Rate'!$J$16,'Incremental Repayments'!$I$31,(HLOOKUP($D121,$E$4:$CZ$32,28,FALSE)*'Incremental Repayments'!$I$22)),0),0)</f>
        <v>0</v>
      </c>
      <c r="BA121" s="783">
        <f>IF('Incremental Repayments'!$R$22="Debt",IF(AND(BA$4&gt;=$D121,BA$4&lt;$D121+'Incremental Repayments'!$I$31),-PMT('Interest Rate'!$J$16,'Incremental Repayments'!$I$31,(HLOOKUP($D121,$E$4:$CZ$32,28,FALSE)*'Incremental Repayments'!$I$22)),0),0)</f>
        <v>0</v>
      </c>
      <c r="BB121" s="783">
        <f>IF('Incremental Repayments'!$R$22="Debt",IF(AND(BB$4&gt;=$D121,BB$4&lt;$D121+'Incremental Repayments'!$I$31),-PMT('Interest Rate'!$J$16,'Incremental Repayments'!$I$31,(HLOOKUP($D121,$E$4:$CZ$32,28,FALSE)*'Incremental Repayments'!$I$22)),0),0)</f>
        <v>0</v>
      </c>
      <c r="BC121" s="783">
        <f>IF('Incremental Repayments'!$R$22="Debt",IF(AND(BC$4&gt;=$D121,BC$4&lt;$D121+'Incremental Repayments'!$I$31),-PMT('Interest Rate'!$J$16,'Incremental Repayments'!$I$31,(HLOOKUP($D121,$E$4:$CZ$32,28,FALSE)*'Incremental Repayments'!$I$22)),0),0)</f>
        <v>0</v>
      </c>
      <c r="BD121" s="783">
        <f>IF('Incremental Repayments'!$R$22="Debt",IF(AND(BD$4&gt;=$D121,BD$4&lt;$D121+'Incremental Repayments'!$I$31),-PMT('Interest Rate'!$J$16,'Incremental Repayments'!$I$31,(HLOOKUP($D121,$E$4:$CZ$32,28,FALSE)*'Incremental Repayments'!$I$22)),0),0)</f>
        <v>0</v>
      </c>
      <c r="BE121" s="783">
        <f>IF('Incremental Repayments'!$R$22="Debt",IF(AND(BE$4&gt;=$D121,BE$4&lt;$D121+'Incremental Repayments'!$I$31),-PMT('Interest Rate'!$J$16,'Incremental Repayments'!$I$31,(HLOOKUP($D121,$E$4:$CZ$32,28,FALSE)*'Incremental Repayments'!$I$22)),0),0)</f>
        <v>0</v>
      </c>
      <c r="BF121" s="783">
        <f>IF('Incremental Repayments'!$R$22="Debt",IF(AND(BF$4&gt;=$D121,BF$4&lt;$D121+'Incremental Repayments'!$I$31),-PMT('Interest Rate'!$J$16,'Incremental Repayments'!$I$31,(HLOOKUP($D121,$E$4:$CZ$32,28,FALSE)*'Incremental Repayments'!$I$22)),0),0)</f>
        <v>0</v>
      </c>
      <c r="BG121" s="783">
        <f>IF('Incremental Repayments'!$R$22="Debt",IF(AND(BG$4&gt;=$D121,BG$4&lt;$D121+'Incremental Repayments'!$I$31),-PMT('Interest Rate'!$J$16,'Incremental Repayments'!$I$31,(HLOOKUP($D121,$E$4:$CZ$32,28,FALSE)*'Incremental Repayments'!$I$22)),0),0)</f>
        <v>0</v>
      </c>
      <c r="BH121" s="783">
        <f>IF('Incremental Repayments'!$R$22="Debt",IF(AND(BH$4&gt;=$D121,BH$4&lt;$D121+'Incremental Repayments'!$I$31),-PMT('Interest Rate'!$J$16,'Incremental Repayments'!$I$31,(HLOOKUP($D121,$E$4:$CZ$32,28,FALSE)*'Incremental Repayments'!$I$22)),0),0)</f>
        <v>0</v>
      </c>
      <c r="BI121" s="783">
        <f>IF('Incremental Repayments'!$R$22="Debt",IF(AND(BI$4&gt;=$D121,BI$4&lt;$D121+'Incremental Repayments'!$I$31),-PMT('Interest Rate'!$J$16,'Incremental Repayments'!$I$31,(HLOOKUP($D121,$E$4:$CZ$32,28,FALSE)*'Incremental Repayments'!$I$22)),0),0)</f>
        <v>0</v>
      </c>
      <c r="BJ121" s="783">
        <f>IF('Incremental Repayments'!$R$22="Debt",IF(AND(BJ$4&gt;=$D121,BJ$4&lt;$D121+'Incremental Repayments'!$I$31),-PMT('Interest Rate'!$J$16,'Incremental Repayments'!$I$31,(HLOOKUP($D121,$E$4:$CZ$32,28,FALSE)*'Incremental Repayments'!$I$22)),0),0)</f>
        <v>0</v>
      </c>
      <c r="BK121" s="783">
        <f>IF('Incremental Repayments'!$R$22="Debt",IF(AND(BK$4&gt;=$D121,BK$4&lt;$D121+'Incremental Repayments'!$I$31),-PMT('Interest Rate'!$J$16,'Incremental Repayments'!$I$31,(HLOOKUP($D121,$E$4:$CZ$32,28,FALSE)*'Incremental Repayments'!$I$22)),0),0)</f>
        <v>0</v>
      </c>
      <c r="BL121" s="783">
        <f>IF('Incremental Repayments'!$R$22="Debt",IF(AND(BL$4&gt;=$D121,BL$4&lt;$D121+'Incremental Repayments'!$I$31),-PMT('Interest Rate'!$J$16,'Incremental Repayments'!$I$31,(HLOOKUP($D121,$E$4:$CZ$32,28,FALSE)*'Incremental Repayments'!$I$22)),0),0)</f>
        <v>0</v>
      </c>
      <c r="BM121" s="783">
        <f>IF('Incremental Repayments'!$R$22="Debt",IF(AND(BM$4&gt;=$D121,BM$4&lt;$D121+'Incremental Repayments'!$I$31),-PMT('Interest Rate'!$J$16,'Incremental Repayments'!$I$31,(HLOOKUP($D121,$E$4:$CZ$32,28,FALSE)*'Incremental Repayments'!$I$22)),0),0)</f>
        <v>0</v>
      </c>
      <c r="BN121" s="783">
        <f>IF('Incremental Repayments'!$R$22="Debt",IF(AND(BN$4&gt;=$D121,BN$4&lt;$D121+'Incremental Repayments'!$I$31),-PMT('Interest Rate'!$J$16,'Incremental Repayments'!$I$31,(HLOOKUP($D121,$E$4:$CZ$32,28,FALSE)*'Incremental Repayments'!$I$22)),0),0)</f>
        <v>0</v>
      </c>
      <c r="BO121" s="783">
        <f>IF('Incremental Repayments'!$R$22="Debt",IF(AND(BO$4&gt;=$D121,BO$4&lt;$D121+'Incremental Repayments'!$I$31),-PMT('Interest Rate'!$J$16,'Incremental Repayments'!$I$31,(HLOOKUP($D121,$E$4:$CZ$32,28,FALSE)*'Incremental Repayments'!$I$22)),0),0)</f>
        <v>0</v>
      </c>
      <c r="BP121" s="783">
        <f>IF('Incremental Repayments'!$R$22="Debt",IF(AND(BP$4&gt;=$D121,BP$4&lt;$D121+'Incremental Repayments'!$I$31),-PMT('Interest Rate'!$J$16,'Incremental Repayments'!$I$31,(HLOOKUP($D121,$E$4:$CZ$32,28,FALSE)*'Incremental Repayments'!$I$22)),0),0)</f>
        <v>0</v>
      </c>
      <c r="BQ121" s="783">
        <f>IF('Incremental Repayments'!$R$22="Debt",IF(AND(BQ$4&gt;=$D121,BQ$4&lt;$D121+'Incremental Repayments'!$I$31),-PMT('Interest Rate'!$J$16,'Incremental Repayments'!$I$31,(HLOOKUP($D121,$E$4:$CZ$32,28,FALSE)*'Incremental Repayments'!$I$22)),0),0)</f>
        <v>0</v>
      </c>
      <c r="BR121" s="783">
        <f>IF('Incremental Repayments'!$R$22="Debt",IF(AND(BR$4&gt;=$D121,BR$4&lt;$D121+'Incremental Repayments'!$I$31),-PMT('Interest Rate'!$J$16,'Incremental Repayments'!$I$31,(HLOOKUP($D121,$E$4:$CZ$32,28,FALSE)*'Incremental Repayments'!$I$22)),0),0)</f>
        <v>0</v>
      </c>
      <c r="BS121" s="783">
        <f>IF('Incremental Repayments'!$R$22="Debt",IF(AND(BS$4&gt;=$D121,BS$4&lt;$D121+'Incremental Repayments'!$I$31),-PMT('Interest Rate'!$J$16,'Incremental Repayments'!$I$31,(HLOOKUP($D121,$E$4:$CZ$32,28,FALSE)*'Incremental Repayments'!$I$22)),0),0)</f>
        <v>0</v>
      </c>
      <c r="BT121" s="783">
        <f>IF('Incremental Repayments'!$R$22="Debt",IF(AND(BT$4&gt;=$D121,BT$4&lt;$D121+'Incremental Repayments'!$I$31),-PMT('Interest Rate'!$J$16,'Incremental Repayments'!$I$31,(HLOOKUP($D121,$E$4:$CZ$32,28,FALSE)*'Incremental Repayments'!$I$22)),0),0)</f>
        <v>0</v>
      </c>
      <c r="BU121" s="783">
        <f>IF('Incremental Repayments'!$R$22="Debt",IF(AND(BU$4&gt;=$D121,BU$4&lt;$D121+'Incremental Repayments'!$I$31),-PMT('Interest Rate'!$J$16,'Incremental Repayments'!$I$31,(HLOOKUP($D121,$E$4:$CZ$32,28,FALSE)*'Incremental Repayments'!$I$22)),0),0)</f>
        <v>0</v>
      </c>
      <c r="BV121" s="783">
        <f>IF('Incremental Repayments'!$R$22="Debt",IF(AND(BV$4&gt;=$D121,BV$4&lt;$D121+'Incremental Repayments'!$I$31),-PMT('Interest Rate'!$J$16,'Incremental Repayments'!$I$31,(HLOOKUP($D121,$E$4:$CZ$32,28,FALSE)*'Incremental Repayments'!$I$22)),0),0)</f>
        <v>0</v>
      </c>
      <c r="BW121" s="783">
        <f>IF('Incremental Repayments'!$R$22="Debt",IF(AND(BW$4&gt;=$D121,BW$4&lt;$D121+'Incremental Repayments'!$I$31),-PMT('Interest Rate'!$J$16,'Incremental Repayments'!$I$31,(HLOOKUP($D121,$E$4:$CZ$32,28,FALSE)*'Incremental Repayments'!$I$22)),0),0)</f>
        <v>0</v>
      </c>
      <c r="BX121" s="783">
        <f>IF('Incremental Repayments'!$R$22="Debt",IF(AND(BX$4&gt;=$D121,BX$4&lt;$D121+'Incremental Repayments'!$I$31),-PMT('Interest Rate'!$J$16,'Incremental Repayments'!$I$31,(HLOOKUP($D121,$E$4:$CZ$32,28,FALSE)*'Incremental Repayments'!$I$22)),0),0)</f>
        <v>0</v>
      </c>
      <c r="BY121" s="783">
        <f>IF('Incremental Repayments'!$R$22="Debt",IF(AND(BY$4&gt;=$D121,BY$4&lt;$D121+'Incremental Repayments'!$I$31),-PMT('Interest Rate'!$J$16,'Incremental Repayments'!$I$31,(HLOOKUP($D121,$E$4:$CZ$32,28,FALSE)*'Incremental Repayments'!$I$22)),0),0)</f>
        <v>0</v>
      </c>
      <c r="BZ121" s="783">
        <f>IF('Incremental Repayments'!$R$22="Debt",IF(AND(BZ$4&gt;=$D121,BZ$4&lt;$D121+'Incremental Repayments'!$I$31),-PMT('Interest Rate'!$J$16,'Incremental Repayments'!$I$31,(HLOOKUP($D121,$E$4:$CZ$32,28,FALSE)*'Incremental Repayments'!$I$22)),0),0)</f>
        <v>0</v>
      </c>
      <c r="CA121" s="783">
        <f>IF('Incremental Repayments'!$R$22="Debt",IF(AND(CA$4&gt;=$D121,CA$4&lt;$D121+'Incremental Repayments'!$I$31),-PMT('Interest Rate'!$J$16,'Incremental Repayments'!$I$31,(HLOOKUP($D121,$E$4:$CZ$32,28,FALSE)*'Incremental Repayments'!$I$22)),0),0)</f>
        <v>0</v>
      </c>
      <c r="CB121" s="783">
        <f>IF('Incremental Repayments'!$R$22="Debt",IF(AND(CB$4&gt;=$D121,CB$4&lt;$D121+'Incremental Repayments'!$I$31),-PMT('Interest Rate'!$J$16,'Incremental Repayments'!$I$31,(HLOOKUP($D121,$E$4:$CZ$32,28,FALSE)*'Incremental Repayments'!$I$22)),0),0)</f>
        <v>0</v>
      </c>
      <c r="CC121" s="783">
        <f>IF('Incremental Repayments'!$R$22="Debt",IF(AND(CC$4&gt;=$D121,CC$4&lt;$D121+'Incremental Repayments'!$I$31),-PMT('Interest Rate'!$J$16,'Incremental Repayments'!$I$31,(HLOOKUP($D121,$E$4:$CZ$32,28,FALSE)*'Incremental Repayments'!$I$22)),0),0)</f>
        <v>0</v>
      </c>
      <c r="CD121" s="783">
        <f>IF('Incremental Repayments'!$R$22="Debt",IF(AND(CD$4&gt;=$D121,CD$4&lt;$D121+'Incremental Repayments'!$I$31),-PMT('Interest Rate'!$J$16,'Incremental Repayments'!$I$31,(HLOOKUP($D121,$E$4:$CZ$32,28,FALSE)*'Incremental Repayments'!$I$22)),0),0)</f>
        <v>0</v>
      </c>
      <c r="CE121" s="783">
        <f>IF('Incremental Repayments'!$R$22="Debt",IF(AND(CE$4&gt;=$D121,CE$4&lt;$D121+'Incremental Repayments'!$I$31),-PMT('Interest Rate'!$J$16,'Incremental Repayments'!$I$31,(HLOOKUP($D121,$E$4:$CZ$32,28,FALSE)*'Incremental Repayments'!$I$22)),0),0)</f>
        <v>0</v>
      </c>
      <c r="CF121" s="783">
        <f>IF('Incremental Repayments'!$R$22="Debt",IF(AND(CF$4&gt;=$D121,CF$4&lt;$D121+'Incremental Repayments'!$I$31),-PMT('Interest Rate'!$J$16,'Incremental Repayments'!$I$31,(HLOOKUP($D121,$E$4:$CZ$32,28,FALSE)*'Incremental Repayments'!$I$22)),0),0)</f>
        <v>0</v>
      </c>
      <c r="CG121" s="783">
        <f>IF('Incremental Repayments'!$R$22="Debt",IF(AND(CG$4&gt;=$D121,CG$4&lt;$D121+'Incremental Repayments'!$I$31),-PMT('Interest Rate'!$J$16,'Incremental Repayments'!$I$31,(HLOOKUP($D121,$E$4:$CZ$32,28,FALSE)*'Incremental Repayments'!$I$22)),0),0)</f>
        <v>0</v>
      </c>
      <c r="CH121" s="783">
        <f>IF('Incremental Repayments'!$R$22="Debt",IF(AND(CH$4&gt;=$D121,CH$4&lt;$D121+'Incremental Repayments'!$I$31),-PMT('Interest Rate'!$J$16,'Incremental Repayments'!$I$31,(HLOOKUP($D121,$E$4:$CZ$32,28,FALSE)*'Incremental Repayments'!$I$22)),0),0)</f>
        <v>0</v>
      </c>
      <c r="CI121" s="783">
        <f>IF('Incremental Repayments'!$R$22="Debt",IF(AND(CI$4&gt;=$D121,CI$4&lt;$D121+'Incremental Repayments'!$I$31),-PMT('Interest Rate'!$J$16,'Incremental Repayments'!$I$31,(HLOOKUP($D121,$E$4:$CZ$32,28,FALSE)*'Incremental Repayments'!$I$22)),0),0)</f>
        <v>0</v>
      </c>
      <c r="CJ121" s="783">
        <f>IF('Incremental Repayments'!$R$22="Debt",IF(AND(CJ$4&gt;=$D121,CJ$4&lt;$D121+'Incremental Repayments'!$I$31),-PMT('Interest Rate'!$J$16,'Incremental Repayments'!$I$31,(HLOOKUP($D121,$E$4:$CZ$32,28,FALSE)*'Incremental Repayments'!$I$22)),0),0)</f>
        <v>0</v>
      </c>
      <c r="CK121" s="783">
        <f>IF('Incremental Repayments'!$R$22="Debt",IF(AND(CK$4&gt;=$D121,CK$4&lt;$D121+'Incremental Repayments'!$I$31),-PMT('Interest Rate'!$J$16,'Incremental Repayments'!$I$31,(HLOOKUP($D121,$E$4:$CZ$32,28,FALSE)*'Incremental Repayments'!$I$22)),0),0)</f>
        <v>0</v>
      </c>
      <c r="CL121" s="783">
        <f>IF('Incremental Repayments'!$R$22="Debt",IF(AND(CL$4&gt;=$D121,CL$4&lt;$D121+'Incremental Repayments'!$I$31),-PMT('Interest Rate'!$J$16,'Incremental Repayments'!$I$31,(HLOOKUP($D121,$E$4:$CZ$32,28,FALSE)*'Incremental Repayments'!$I$22)),0),0)</f>
        <v>0</v>
      </c>
      <c r="CM121" s="783">
        <f>IF('Incremental Repayments'!$R$22="Debt",IF(AND(CM$4&gt;=$D121,CM$4&lt;$D121+'Incremental Repayments'!$I$31),-PMT('Interest Rate'!$J$16,'Incremental Repayments'!$I$31,(HLOOKUP($D121,$E$4:$CZ$32,28,FALSE)*'Incremental Repayments'!$I$22)),0),0)</f>
        <v>0</v>
      </c>
      <c r="CN121" s="783">
        <f>IF('Incremental Repayments'!$R$22="Debt",IF(AND(CN$4&gt;=$D121,CN$4&lt;$D121+'Incremental Repayments'!$I$31),-PMT('Interest Rate'!$J$16,'Incremental Repayments'!$I$31,(HLOOKUP($D121,$E$4:$CZ$32,28,FALSE)*'Incremental Repayments'!$I$22)),0),0)</f>
        <v>0</v>
      </c>
      <c r="CO121" s="783">
        <f>IF('Incremental Repayments'!$R$22="Debt",IF(AND(CO$4&gt;=$D121,CO$4&lt;$D121+'Incremental Repayments'!$I$31),-PMT('Interest Rate'!$J$16,'Incremental Repayments'!$I$31,(HLOOKUP($D121,$E$4:$CZ$32,28,FALSE)*'Incremental Repayments'!$I$22)),0),0)</f>
        <v>0</v>
      </c>
      <c r="CP121" s="783">
        <f>IF('Incremental Repayments'!$R$22="Debt",IF(AND(CP$4&gt;=$D121,CP$4&lt;$D121+'Incremental Repayments'!$I$31),-PMT('Interest Rate'!$J$16,'Incremental Repayments'!$I$31,(HLOOKUP($D121,$E$4:$CZ$32,28,FALSE)*'Incremental Repayments'!$I$22)),0),0)</f>
        <v>0</v>
      </c>
      <c r="CQ121" s="783">
        <f>IF('Incremental Repayments'!$R$22="Debt",IF(AND(CQ$4&gt;=$D121,CQ$4&lt;$D121+'Incremental Repayments'!$I$31),-PMT('Interest Rate'!$J$16,'Incremental Repayments'!$I$31,(HLOOKUP($D121,$E$4:$CZ$32,28,FALSE)*'Incremental Repayments'!$I$22)),0),0)</f>
        <v>0</v>
      </c>
      <c r="CR121" s="783">
        <f>IF('Incremental Repayments'!$R$22="Debt",IF(AND(CR$4&gt;=$D121,CR$4&lt;$D121+'Incremental Repayments'!$I$31),-PMT('Interest Rate'!$J$16,'Incremental Repayments'!$I$31,(HLOOKUP($D121,$E$4:$CZ$32,28,FALSE)*'Incremental Repayments'!$I$22)),0),0)</f>
        <v>0</v>
      </c>
      <c r="CS121" s="783">
        <f>IF('Incremental Repayments'!$R$22="Debt",IF(AND(CS$4&gt;=$D121,CS$4&lt;$D121+'Incremental Repayments'!$I$31),-PMT('Interest Rate'!$J$16,'Incremental Repayments'!$I$31,(HLOOKUP($D121,$E$4:$CZ$32,28,FALSE)*'Incremental Repayments'!$I$22)),0),0)</f>
        <v>0</v>
      </c>
      <c r="CT121" s="783">
        <f>IF('Incremental Repayments'!$R$22="Debt",IF(AND(CT$4&gt;=$D121,CT$4&lt;$D121+'Incremental Repayments'!$I$31),-PMT('Interest Rate'!$J$16,'Incremental Repayments'!$I$31,(HLOOKUP($D121,$E$4:$CZ$32,28,FALSE)*'Incremental Repayments'!$I$22)),0),0)</f>
        <v>0</v>
      </c>
      <c r="CU121" s="783">
        <f>IF('Incremental Repayments'!$R$22="Debt",IF(AND(CU$4&gt;=$D121,CU$4&lt;$D121+'Incremental Repayments'!$I$31),-PMT('Interest Rate'!$J$16,'Incremental Repayments'!$I$31,(HLOOKUP($D121,$E$4:$CZ$32,28,FALSE)*'Incremental Repayments'!$I$22)),0),0)</f>
        <v>0</v>
      </c>
      <c r="CV121" s="783">
        <f>IF('Incremental Repayments'!$R$22="Debt",IF(AND(CV$4&gt;=$D121,CV$4&lt;$D121+'Incremental Repayments'!$I$31),-PMT('Interest Rate'!$J$16,'Incremental Repayments'!$I$31,(HLOOKUP($D121,$E$4:$CZ$32,28,FALSE)*'Incremental Repayments'!$I$22)),0),0)</f>
        <v>0</v>
      </c>
      <c r="CW121" s="783">
        <f>IF('Incremental Repayments'!$R$22="Debt",IF(AND(CW$4&gt;=$D121,CW$4&lt;$D121+'Incremental Repayments'!$I$31),-PMT('Interest Rate'!$J$16,'Incremental Repayments'!$I$31,(HLOOKUP($D121,$E$4:$CZ$32,28,FALSE)*'Incremental Repayments'!$I$22)),0),0)</f>
        <v>0</v>
      </c>
      <c r="CX121" s="783">
        <f>IF('Incremental Repayments'!$R$22="Debt",IF(AND(CX$4&gt;=$D121,CX$4&lt;$D121+'Incremental Repayments'!$I$31),-PMT('Interest Rate'!$J$16,'Incremental Repayments'!$I$31,(HLOOKUP($D121,$E$4:$CZ$32,28,FALSE)*'Incremental Repayments'!$I$22)),0),0)</f>
        <v>0</v>
      </c>
      <c r="CY121" s="783">
        <f>IF('Incremental Repayments'!$R$22="Debt",IF(AND(CY$4&gt;=$D121,CY$4&lt;$D121+'Incremental Repayments'!$I$31),-PMT('Interest Rate'!$J$16,'Incremental Repayments'!$I$31,(HLOOKUP($D121,$E$4:$CZ$32,28,FALSE)*'Incremental Repayments'!$I$22)),0),0)</f>
        <v>0</v>
      </c>
      <c r="CZ121" s="783">
        <f>IF('Incremental Repayments'!$R$22="Debt",IF(AND(CZ$4&gt;=$D121,CZ$4&lt;$D121+'Incremental Repayments'!$I$31),-PMT('Interest Rate'!$J$16,'Incremental Repayments'!$I$31,(HLOOKUP($D121,$E$4:$CZ$32,28,FALSE)*'Incremental Repayments'!$I$22)),0),0)</f>
        <v>0</v>
      </c>
    </row>
    <row r="122" spans="1:104" x14ac:dyDescent="0.25">
      <c r="B122" s="480" t="str">
        <f>CONCATENATE("Series ",D122,"A Bonds (at ",'Interest Rate'!$J$16*100,"% Interest)")</f>
        <v>Series 2100A Bonds (at 4.5% Interest)</v>
      </c>
      <c r="C122" s="480"/>
      <c r="D122" s="492">
        <f t="shared" si="48"/>
        <v>2100</v>
      </c>
      <c r="E122" s="783">
        <f>IF('Incremental Repayments'!$R$22="Debt",IF(AND(E$4&gt;=$D122,E$4&lt;$D122+'Incremental Repayments'!$I$31),-PMT('Interest Rate'!$J$16,'Incremental Repayments'!$I$31,(HLOOKUP($D122,$E$4:$CZ$32,28,FALSE)*'Incremental Repayments'!$I$22)),0),0)</f>
        <v>0</v>
      </c>
      <c r="F122" s="783">
        <f>IF('Incremental Repayments'!$R$22="Debt",IF(AND(F$4&gt;=$D122,F$4&lt;$D122+'Incremental Repayments'!$I$31),-PMT('Interest Rate'!$J$16,'Incremental Repayments'!$I$31,(HLOOKUP($D122,$E$4:$CZ$32,28,FALSE)*'Incremental Repayments'!$I$22)),0),0)</f>
        <v>0</v>
      </c>
      <c r="G122" s="783">
        <f>IF('Incremental Repayments'!$R$22="Debt",IF(AND(G$4&gt;=$D122,G$4&lt;$D122+'Incremental Repayments'!$I$31),-PMT('Interest Rate'!$J$16,'Incremental Repayments'!$I$31,(HLOOKUP($D122,$E$4:$CZ$32,28,FALSE)*'Incremental Repayments'!$I$22)),0),0)</f>
        <v>0</v>
      </c>
      <c r="H122" s="783">
        <f>IF('Incremental Repayments'!$R$22="Debt",IF(AND(H$4&gt;=$D122,H$4&lt;$D122+'Incremental Repayments'!$I$31),-PMT('Interest Rate'!$J$16,'Incremental Repayments'!$I$31,(HLOOKUP($D122,$E$4:$CZ$32,28,FALSE)*'Incremental Repayments'!$I$22)),0),0)</f>
        <v>0</v>
      </c>
      <c r="I122" s="783">
        <f>IF('Incremental Repayments'!$R$22="Debt",IF(AND(I$4&gt;=$D122,I$4&lt;$D122+'Incremental Repayments'!$I$31),-PMT('Interest Rate'!$J$16,'Incremental Repayments'!$I$31,(HLOOKUP($D122,$E$4:$CZ$32,28,FALSE)*'Incremental Repayments'!$I$22)),0),0)</f>
        <v>0</v>
      </c>
      <c r="J122" s="783">
        <f>IF('Incremental Repayments'!$R$22="Debt",IF(AND(J$4&gt;=$D122,J$4&lt;$D122+'Incremental Repayments'!$I$31),-PMT('Interest Rate'!$J$16,'Incremental Repayments'!$I$31,(HLOOKUP($D122,$E$4:$CZ$32,28,FALSE)*'Incremental Repayments'!$I$22)),0),0)</f>
        <v>0</v>
      </c>
      <c r="K122" s="783">
        <f>IF('Incremental Repayments'!$R$22="Debt",IF(AND(K$4&gt;=$D122,K$4&lt;$D122+'Incremental Repayments'!$I$31),-PMT('Interest Rate'!$J$16,'Incremental Repayments'!$I$31,(HLOOKUP($D122,$E$4:$CZ$32,28,FALSE)*'Incremental Repayments'!$I$22)),0),0)</f>
        <v>0</v>
      </c>
      <c r="L122" s="783">
        <f>IF('Incremental Repayments'!$R$22="Debt",IF(AND(L$4&gt;=$D122,L$4&lt;$D122+'Incremental Repayments'!$I$31),-PMT('Interest Rate'!$J$16,'Incremental Repayments'!$I$31,(HLOOKUP($D122,$E$4:$CZ$32,28,FALSE)*'Incremental Repayments'!$I$22)),0),0)</f>
        <v>0</v>
      </c>
      <c r="M122" s="783">
        <f>IF('Incremental Repayments'!$R$22="Debt",IF(AND(M$4&gt;=$D122,M$4&lt;$D122+'Incremental Repayments'!$I$31),-PMT('Interest Rate'!$J$16,'Incremental Repayments'!$I$31,(HLOOKUP($D122,$E$4:$CZ$32,28,FALSE)*'Incremental Repayments'!$I$22)),0),0)</f>
        <v>0</v>
      </c>
      <c r="N122" s="783">
        <f>IF('Incremental Repayments'!$R$22="Debt",IF(AND(N$4&gt;=$D122,N$4&lt;$D122+'Incremental Repayments'!$I$31),-PMT('Interest Rate'!$J$16,'Incremental Repayments'!$I$31,(HLOOKUP($D122,$E$4:$CZ$32,28,FALSE)*'Incremental Repayments'!$I$22)),0),0)</f>
        <v>0</v>
      </c>
      <c r="O122" s="783">
        <f>IF('Incremental Repayments'!$R$22="Debt",IF(AND(O$4&gt;=$D122,O$4&lt;$D122+'Incremental Repayments'!$I$31),-PMT('Interest Rate'!$J$16,'Incremental Repayments'!$I$31,(HLOOKUP($D122,$E$4:$CZ$32,28,FALSE)*'Incremental Repayments'!$I$22)),0),0)</f>
        <v>0</v>
      </c>
      <c r="P122" s="783">
        <f>IF('Incremental Repayments'!$R$22="Debt",IF(AND(P$4&gt;=$D122,P$4&lt;$D122+'Incremental Repayments'!$I$31),-PMT('Interest Rate'!$J$16,'Incremental Repayments'!$I$31,(HLOOKUP($D122,$E$4:$CZ$32,28,FALSE)*'Incremental Repayments'!$I$22)),0),0)</f>
        <v>0</v>
      </c>
      <c r="Q122" s="783">
        <f>IF('Incremental Repayments'!$R$22="Debt",IF(AND(Q$4&gt;=$D122,Q$4&lt;$D122+'Incremental Repayments'!$I$31),-PMT('Interest Rate'!$J$16,'Incremental Repayments'!$I$31,(HLOOKUP($D122,$E$4:$CZ$32,28,FALSE)*'Incremental Repayments'!$I$22)),0),0)</f>
        <v>0</v>
      </c>
      <c r="R122" s="783">
        <f>IF('Incremental Repayments'!$R$22="Debt",IF(AND(R$4&gt;=$D122,R$4&lt;$D122+'Incremental Repayments'!$I$31),-PMT('Interest Rate'!$J$16,'Incremental Repayments'!$I$31,(HLOOKUP($D122,$E$4:$CZ$32,28,FALSE)*'Incremental Repayments'!$I$22)),0),0)</f>
        <v>0</v>
      </c>
      <c r="S122" s="783">
        <f>IF('Incremental Repayments'!$R$22="Debt",IF(AND(S$4&gt;=$D122,S$4&lt;$D122+'Incremental Repayments'!$I$31),-PMT('Interest Rate'!$J$16,'Incremental Repayments'!$I$31,(HLOOKUP($D122,$E$4:$CZ$32,28,FALSE)*'Incremental Repayments'!$I$22)),0),0)</f>
        <v>0</v>
      </c>
      <c r="T122" s="783">
        <f>IF('Incremental Repayments'!$R$22="Debt",IF(AND(T$4&gt;=$D122,T$4&lt;$D122+'Incremental Repayments'!$I$31),-PMT('Interest Rate'!$J$16,'Incremental Repayments'!$I$31,(HLOOKUP($D122,$E$4:$CZ$32,28,FALSE)*'Incremental Repayments'!$I$22)),0),0)</f>
        <v>0</v>
      </c>
      <c r="U122" s="783">
        <f>IF('Incremental Repayments'!$R$22="Debt",IF(AND(U$4&gt;=$D122,U$4&lt;$D122+'Incremental Repayments'!$I$31),-PMT('Interest Rate'!$J$16,'Incremental Repayments'!$I$31,(HLOOKUP($D122,$E$4:$CZ$32,28,FALSE)*'Incremental Repayments'!$I$22)),0),0)</f>
        <v>0</v>
      </c>
      <c r="V122" s="783">
        <f>IF('Incremental Repayments'!$R$22="Debt",IF(AND(V$4&gt;=$D122,V$4&lt;$D122+'Incremental Repayments'!$I$31),-PMT('Interest Rate'!$J$16,'Incremental Repayments'!$I$31,(HLOOKUP($D122,$E$4:$CZ$32,28,FALSE)*'Incremental Repayments'!$I$22)),0),0)</f>
        <v>0</v>
      </c>
      <c r="W122" s="783">
        <f>IF('Incremental Repayments'!$R$22="Debt",IF(AND(W$4&gt;=$D122,W$4&lt;$D122+'Incremental Repayments'!$I$31),-PMT('Interest Rate'!$J$16,'Incremental Repayments'!$I$31,(HLOOKUP($D122,$E$4:$CZ$32,28,FALSE)*'Incremental Repayments'!$I$22)),0),0)</f>
        <v>0</v>
      </c>
      <c r="X122" s="783">
        <f>IF('Incremental Repayments'!$R$22="Debt",IF(AND(X$4&gt;=$D122,X$4&lt;$D122+'Incremental Repayments'!$I$31),-PMT('Interest Rate'!$J$16,'Incremental Repayments'!$I$31,(HLOOKUP($D122,$E$4:$CZ$32,28,FALSE)*'Incremental Repayments'!$I$22)),0),0)</f>
        <v>0</v>
      </c>
      <c r="Y122" s="783">
        <f>IF('Incremental Repayments'!$R$22="Debt",IF(AND(Y$4&gt;=$D122,Y$4&lt;$D122+'Incremental Repayments'!$I$31),-PMT('Interest Rate'!$J$16,'Incremental Repayments'!$I$31,(HLOOKUP($D122,$E$4:$CZ$32,28,FALSE)*'Incremental Repayments'!$I$22)),0),0)</f>
        <v>0</v>
      </c>
      <c r="Z122" s="783">
        <f>IF('Incremental Repayments'!$R$22="Debt",IF(AND(Z$4&gt;=$D122,Z$4&lt;$D122+'Incremental Repayments'!$I$31),-PMT('Interest Rate'!$J$16,'Incremental Repayments'!$I$31,(HLOOKUP($D122,$E$4:$CZ$32,28,FALSE)*'Incremental Repayments'!$I$22)),0),0)</f>
        <v>0</v>
      </c>
      <c r="AA122" s="783">
        <f>IF('Incremental Repayments'!$R$22="Debt",IF(AND(AA$4&gt;=$D122,AA$4&lt;$D122+'Incremental Repayments'!$I$31),-PMT('Interest Rate'!$J$16,'Incremental Repayments'!$I$31,(HLOOKUP($D122,$E$4:$CZ$32,28,FALSE)*'Incremental Repayments'!$I$22)),0),0)</f>
        <v>0</v>
      </c>
      <c r="AB122" s="783">
        <f>IF('Incremental Repayments'!$R$22="Debt",IF(AND(AB$4&gt;=$D122,AB$4&lt;$D122+'Incremental Repayments'!$I$31),-PMT('Interest Rate'!$J$16,'Incremental Repayments'!$I$31,(HLOOKUP($D122,$E$4:$CZ$32,28,FALSE)*'Incremental Repayments'!$I$22)),0),0)</f>
        <v>0</v>
      </c>
      <c r="AC122" s="783">
        <f>IF('Incremental Repayments'!$R$22="Debt",IF(AND(AC$4&gt;=$D122,AC$4&lt;$D122+'Incremental Repayments'!$I$31),-PMT('Interest Rate'!$J$16,'Incremental Repayments'!$I$31,(HLOOKUP($D122,$E$4:$CZ$32,28,FALSE)*'Incremental Repayments'!$I$22)),0),0)</f>
        <v>0</v>
      </c>
      <c r="AD122" s="783">
        <f>IF('Incremental Repayments'!$R$22="Debt",IF(AND(AD$4&gt;=$D122,AD$4&lt;$D122+'Incremental Repayments'!$I$31),-PMT('Interest Rate'!$J$16,'Incremental Repayments'!$I$31,(HLOOKUP($D122,$E$4:$CZ$32,28,FALSE)*'Incremental Repayments'!$I$22)),0),0)</f>
        <v>0</v>
      </c>
      <c r="AE122" s="783">
        <f>IF('Incremental Repayments'!$R$22="Debt",IF(AND(AE$4&gt;=$D122,AE$4&lt;$D122+'Incremental Repayments'!$I$31),-PMT('Interest Rate'!$J$16,'Incremental Repayments'!$I$31,(HLOOKUP($D122,$E$4:$CZ$32,28,FALSE)*'Incremental Repayments'!$I$22)),0),0)</f>
        <v>0</v>
      </c>
      <c r="AF122" s="783">
        <f>IF('Incremental Repayments'!$R$22="Debt",IF(AND(AF$4&gt;=$D122,AF$4&lt;$D122+'Incremental Repayments'!$I$31),-PMT('Interest Rate'!$J$16,'Incremental Repayments'!$I$31,(HLOOKUP($D122,$E$4:$CZ$32,28,FALSE)*'Incremental Repayments'!$I$22)),0),0)</f>
        <v>0</v>
      </c>
      <c r="AG122" s="783">
        <f>IF('Incremental Repayments'!$R$22="Debt",IF(AND(AG$4&gt;=$D122,AG$4&lt;$D122+'Incremental Repayments'!$I$31),-PMT('Interest Rate'!$J$16,'Incremental Repayments'!$I$31,(HLOOKUP($D122,$E$4:$CZ$32,28,FALSE)*'Incremental Repayments'!$I$22)),0),0)</f>
        <v>0</v>
      </c>
      <c r="AH122" s="783">
        <f>IF('Incremental Repayments'!$R$22="Debt",IF(AND(AH$4&gt;=$D122,AH$4&lt;$D122+'Incremental Repayments'!$I$31),-PMT('Interest Rate'!$J$16,'Incremental Repayments'!$I$31,(HLOOKUP($D122,$E$4:$CZ$32,28,FALSE)*'Incremental Repayments'!$I$22)),0),0)</f>
        <v>0</v>
      </c>
      <c r="AI122" s="783">
        <f>IF('Incremental Repayments'!$R$22="Debt",IF(AND(AI$4&gt;=$D122,AI$4&lt;$D122+'Incremental Repayments'!$I$31),-PMT('Interest Rate'!$J$16,'Incremental Repayments'!$I$31,(HLOOKUP($D122,$E$4:$CZ$32,28,FALSE)*'Incremental Repayments'!$I$22)),0),0)</f>
        <v>0</v>
      </c>
      <c r="AJ122" s="783">
        <f>IF('Incremental Repayments'!$R$22="Debt",IF(AND(AJ$4&gt;=$D122,AJ$4&lt;$D122+'Incremental Repayments'!$I$31),-PMT('Interest Rate'!$J$16,'Incremental Repayments'!$I$31,(HLOOKUP($D122,$E$4:$CZ$32,28,FALSE)*'Incremental Repayments'!$I$22)),0),0)</f>
        <v>0</v>
      </c>
      <c r="AK122" s="783">
        <f>IF('Incremental Repayments'!$R$22="Debt",IF(AND(AK$4&gt;=$D122,AK$4&lt;$D122+'Incremental Repayments'!$I$31),-PMT('Interest Rate'!$J$16,'Incremental Repayments'!$I$31,(HLOOKUP($D122,$E$4:$CZ$32,28,FALSE)*'Incremental Repayments'!$I$22)),0),0)</f>
        <v>0</v>
      </c>
      <c r="AL122" s="783">
        <f>IF('Incremental Repayments'!$R$22="Debt",IF(AND(AL$4&gt;=$D122,AL$4&lt;$D122+'Incremental Repayments'!$I$31),-PMT('Interest Rate'!$J$16,'Incremental Repayments'!$I$31,(HLOOKUP($D122,$E$4:$CZ$32,28,FALSE)*'Incremental Repayments'!$I$22)),0),0)</f>
        <v>0</v>
      </c>
      <c r="AM122" s="783">
        <f>IF('Incremental Repayments'!$R$22="Debt",IF(AND(AM$4&gt;=$D122,AM$4&lt;$D122+'Incremental Repayments'!$I$31),-PMT('Interest Rate'!$J$16,'Incremental Repayments'!$I$31,(HLOOKUP($D122,$E$4:$CZ$32,28,FALSE)*'Incremental Repayments'!$I$22)),0),0)</f>
        <v>0</v>
      </c>
      <c r="AN122" s="783">
        <f>IF('Incremental Repayments'!$R$22="Debt",IF(AND(AN$4&gt;=$D122,AN$4&lt;$D122+'Incremental Repayments'!$I$31),-PMT('Interest Rate'!$J$16,'Incremental Repayments'!$I$31,(HLOOKUP($D122,$E$4:$CZ$32,28,FALSE)*'Incremental Repayments'!$I$22)),0),0)</f>
        <v>0</v>
      </c>
      <c r="AO122" s="783">
        <f>IF('Incremental Repayments'!$R$22="Debt",IF(AND(AO$4&gt;=$D122,AO$4&lt;$D122+'Incremental Repayments'!$I$31),-PMT('Interest Rate'!$J$16,'Incremental Repayments'!$I$31,(HLOOKUP($D122,$E$4:$CZ$32,28,FALSE)*'Incremental Repayments'!$I$22)),0),0)</f>
        <v>0</v>
      </c>
      <c r="AP122" s="783">
        <f>IF('Incremental Repayments'!$R$22="Debt",IF(AND(AP$4&gt;=$D122,AP$4&lt;$D122+'Incremental Repayments'!$I$31),-PMT('Interest Rate'!$J$16,'Incremental Repayments'!$I$31,(HLOOKUP($D122,$E$4:$CZ$32,28,FALSE)*'Incremental Repayments'!$I$22)),0),0)</f>
        <v>0</v>
      </c>
      <c r="AQ122" s="783">
        <f>IF('Incremental Repayments'!$R$22="Debt",IF(AND(AQ$4&gt;=$D122,AQ$4&lt;$D122+'Incremental Repayments'!$I$31),-PMT('Interest Rate'!$J$16,'Incremental Repayments'!$I$31,(HLOOKUP($D122,$E$4:$CZ$32,28,FALSE)*'Incremental Repayments'!$I$22)),0),0)</f>
        <v>0</v>
      </c>
      <c r="AR122" s="783">
        <f>IF('Incremental Repayments'!$R$22="Debt",IF(AND(AR$4&gt;=$D122,AR$4&lt;$D122+'Incremental Repayments'!$I$31),-PMT('Interest Rate'!$J$16,'Incremental Repayments'!$I$31,(HLOOKUP($D122,$E$4:$CZ$32,28,FALSE)*'Incremental Repayments'!$I$22)),0),0)</f>
        <v>0</v>
      </c>
      <c r="AS122" s="783">
        <f>IF('Incremental Repayments'!$R$22="Debt",IF(AND(AS$4&gt;=$D122,AS$4&lt;$D122+'Incremental Repayments'!$I$31),-PMT('Interest Rate'!$J$16,'Incremental Repayments'!$I$31,(HLOOKUP($D122,$E$4:$CZ$32,28,FALSE)*'Incremental Repayments'!$I$22)),0),0)</f>
        <v>0</v>
      </c>
      <c r="AT122" s="783">
        <f>IF('Incremental Repayments'!$R$22="Debt",IF(AND(AT$4&gt;=$D122,AT$4&lt;$D122+'Incremental Repayments'!$I$31),-PMT('Interest Rate'!$J$16,'Incremental Repayments'!$I$31,(HLOOKUP($D122,$E$4:$CZ$32,28,FALSE)*'Incremental Repayments'!$I$22)),0),0)</f>
        <v>0</v>
      </c>
      <c r="AU122" s="783">
        <f>IF('Incremental Repayments'!$R$22="Debt",IF(AND(AU$4&gt;=$D122,AU$4&lt;$D122+'Incremental Repayments'!$I$31),-PMT('Interest Rate'!$J$16,'Incremental Repayments'!$I$31,(HLOOKUP($D122,$E$4:$CZ$32,28,FALSE)*'Incremental Repayments'!$I$22)),0),0)</f>
        <v>0</v>
      </c>
      <c r="AV122" s="783">
        <f>IF('Incremental Repayments'!$R$22="Debt",IF(AND(AV$4&gt;=$D122,AV$4&lt;$D122+'Incremental Repayments'!$I$31),-PMT('Interest Rate'!$J$16,'Incremental Repayments'!$I$31,(HLOOKUP($D122,$E$4:$CZ$32,28,FALSE)*'Incremental Repayments'!$I$22)),0),0)</f>
        <v>0</v>
      </c>
      <c r="AW122" s="783">
        <f>IF('Incremental Repayments'!$R$22="Debt",IF(AND(AW$4&gt;=$D122,AW$4&lt;$D122+'Incremental Repayments'!$I$31),-PMT('Interest Rate'!$J$16,'Incremental Repayments'!$I$31,(HLOOKUP($D122,$E$4:$CZ$32,28,FALSE)*'Incremental Repayments'!$I$22)),0),0)</f>
        <v>0</v>
      </c>
      <c r="AX122" s="783">
        <f>IF('Incremental Repayments'!$R$22="Debt",IF(AND(AX$4&gt;=$D122,AX$4&lt;$D122+'Incremental Repayments'!$I$31),-PMT('Interest Rate'!$J$16,'Incremental Repayments'!$I$31,(HLOOKUP($D122,$E$4:$CZ$32,28,FALSE)*'Incremental Repayments'!$I$22)),0),0)</f>
        <v>0</v>
      </c>
      <c r="AY122" s="783">
        <f>IF('Incremental Repayments'!$R$22="Debt",IF(AND(AY$4&gt;=$D122,AY$4&lt;$D122+'Incremental Repayments'!$I$31),-PMT('Interest Rate'!$J$16,'Incremental Repayments'!$I$31,(HLOOKUP($D122,$E$4:$CZ$32,28,FALSE)*'Incremental Repayments'!$I$22)),0),0)</f>
        <v>0</v>
      </c>
      <c r="AZ122" s="783">
        <f>IF('Incremental Repayments'!$R$22="Debt",IF(AND(AZ$4&gt;=$D122,AZ$4&lt;$D122+'Incremental Repayments'!$I$31),-PMT('Interest Rate'!$J$16,'Incremental Repayments'!$I$31,(HLOOKUP($D122,$E$4:$CZ$32,28,FALSE)*'Incremental Repayments'!$I$22)),0),0)</f>
        <v>0</v>
      </c>
      <c r="BA122" s="783">
        <f>IF('Incremental Repayments'!$R$22="Debt",IF(AND(BA$4&gt;=$D122,BA$4&lt;$D122+'Incremental Repayments'!$I$31),-PMT('Interest Rate'!$J$16,'Incremental Repayments'!$I$31,(HLOOKUP($D122,$E$4:$CZ$32,28,FALSE)*'Incremental Repayments'!$I$22)),0),0)</f>
        <v>0</v>
      </c>
      <c r="BB122" s="783">
        <f>IF('Incremental Repayments'!$R$22="Debt",IF(AND(BB$4&gt;=$D122,BB$4&lt;$D122+'Incremental Repayments'!$I$31),-PMT('Interest Rate'!$J$16,'Incremental Repayments'!$I$31,(HLOOKUP($D122,$E$4:$CZ$32,28,FALSE)*'Incremental Repayments'!$I$22)),0),0)</f>
        <v>0</v>
      </c>
      <c r="BC122" s="783">
        <f>IF('Incremental Repayments'!$R$22="Debt",IF(AND(BC$4&gt;=$D122,BC$4&lt;$D122+'Incremental Repayments'!$I$31),-PMT('Interest Rate'!$J$16,'Incremental Repayments'!$I$31,(HLOOKUP($D122,$E$4:$CZ$32,28,FALSE)*'Incremental Repayments'!$I$22)),0),0)</f>
        <v>0</v>
      </c>
      <c r="BD122" s="783">
        <f>IF('Incremental Repayments'!$R$22="Debt",IF(AND(BD$4&gt;=$D122,BD$4&lt;$D122+'Incremental Repayments'!$I$31),-PMT('Interest Rate'!$J$16,'Incremental Repayments'!$I$31,(HLOOKUP($D122,$E$4:$CZ$32,28,FALSE)*'Incremental Repayments'!$I$22)),0),0)</f>
        <v>0</v>
      </c>
      <c r="BE122" s="783">
        <f>IF('Incremental Repayments'!$R$22="Debt",IF(AND(BE$4&gt;=$D122,BE$4&lt;$D122+'Incremental Repayments'!$I$31),-PMT('Interest Rate'!$J$16,'Incremental Repayments'!$I$31,(HLOOKUP($D122,$E$4:$CZ$32,28,FALSE)*'Incremental Repayments'!$I$22)),0),0)</f>
        <v>0</v>
      </c>
      <c r="BF122" s="783">
        <f>IF('Incremental Repayments'!$R$22="Debt",IF(AND(BF$4&gt;=$D122,BF$4&lt;$D122+'Incremental Repayments'!$I$31),-PMT('Interest Rate'!$J$16,'Incremental Repayments'!$I$31,(HLOOKUP($D122,$E$4:$CZ$32,28,FALSE)*'Incremental Repayments'!$I$22)),0),0)</f>
        <v>0</v>
      </c>
      <c r="BG122" s="783">
        <f>IF('Incremental Repayments'!$R$22="Debt",IF(AND(BG$4&gt;=$D122,BG$4&lt;$D122+'Incremental Repayments'!$I$31),-PMT('Interest Rate'!$J$16,'Incremental Repayments'!$I$31,(HLOOKUP($D122,$E$4:$CZ$32,28,FALSE)*'Incremental Repayments'!$I$22)),0),0)</f>
        <v>0</v>
      </c>
      <c r="BH122" s="783">
        <f>IF('Incremental Repayments'!$R$22="Debt",IF(AND(BH$4&gt;=$D122,BH$4&lt;$D122+'Incremental Repayments'!$I$31),-PMT('Interest Rate'!$J$16,'Incremental Repayments'!$I$31,(HLOOKUP($D122,$E$4:$CZ$32,28,FALSE)*'Incremental Repayments'!$I$22)),0),0)</f>
        <v>0</v>
      </c>
      <c r="BI122" s="783">
        <f>IF('Incremental Repayments'!$R$22="Debt",IF(AND(BI$4&gt;=$D122,BI$4&lt;$D122+'Incremental Repayments'!$I$31),-PMT('Interest Rate'!$J$16,'Incremental Repayments'!$I$31,(HLOOKUP($D122,$E$4:$CZ$32,28,FALSE)*'Incremental Repayments'!$I$22)),0),0)</f>
        <v>0</v>
      </c>
      <c r="BJ122" s="783">
        <f>IF('Incremental Repayments'!$R$22="Debt",IF(AND(BJ$4&gt;=$D122,BJ$4&lt;$D122+'Incremental Repayments'!$I$31),-PMT('Interest Rate'!$J$16,'Incremental Repayments'!$I$31,(HLOOKUP($D122,$E$4:$CZ$32,28,FALSE)*'Incremental Repayments'!$I$22)),0),0)</f>
        <v>0</v>
      </c>
      <c r="BK122" s="783">
        <f>IF('Incremental Repayments'!$R$22="Debt",IF(AND(BK$4&gt;=$D122,BK$4&lt;$D122+'Incremental Repayments'!$I$31),-PMT('Interest Rate'!$J$16,'Incremental Repayments'!$I$31,(HLOOKUP($D122,$E$4:$CZ$32,28,FALSE)*'Incremental Repayments'!$I$22)),0),0)</f>
        <v>0</v>
      </c>
      <c r="BL122" s="783">
        <f>IF('Incremental Repayments'!$R$22="Debt",IF(AND(BL$4&gt;=$D122,BL$4&lt;$D122+'Incremental Repayments'!$I$31),-PMT('Interest Rate'!$J$16,'Incremental Repayments'!$I$31,(HLOOKUP($D122,$E$4:$CZ$32,28,FALSE)*'Incremental Repayments'!$I$22)),0),0)</f>
        <v>0</v>
      </c>
      <c r="BM122" s="783">
        <f>IF('Incremental Repayments'!$R$22="Debt",IF(AND(BM$4&gt;=$D122,BM$4&lt;$D122+'Incremental Repayments'!$I$31),-PMT('Interest Rate'!$J$16,'Incremental Repayments'!$I$31,(HLOOKUP($D122,$E$4:$CZ$32,28,FALSE)*'Incremental Repayments'!$I$22)),0),0)</f>
        <v>0</v>
      </c>
      <c r="BN122" s="783">
        <f>IF('Incremental Repayments'!$R$22="Debt",IF(AND(BN$4&gt;=$D122,BN$4&lt;$D122+'Incremental Repayments'!$I$31),-PMT('Interest Rate'!$J$16,'Incremental Repayments'!$I$31,(HLOOKUP($D122,$E$4:$CZ$32,28,FALSE)*'Incremental Repayments'!$I$22)),0),0)</f>
        <v>0</v>
      </c>
      <c r="BO122" s="783">
        <f>IF('Incremental Repayments'!$R$22="Debt",IF(AND(BO$4&gt;=$D122,BO$4&lt;$D122+'Incremental Repayments'!$I$31),-PMT('Interest Rate'!$J$16,'Incremental Repayments'!$I$31,(HLOOKUP($D122,$E$4:$CZ$32,28,FALSE)*'Incremental Repayments'!$I$22)),0),0)</f>
        <v>0</v>
      </c>
      <c r="BP122" s="783">
        <f>IF('Incremental Repayments'!$R$22="Debt",IF(AND(BP$4&gt;=$D122,BP$4&lt;$D122+'Incremental Repayments'!$I$31),-PMT('Interest Rate'!$J$16,'Incremental Repayments'!$I$31,(HLOOKUP($D122,$E$4:$CZ$32,28,FALSE)*'Incremental Repayments'!$I$22)),0),0)</f>
        <v>0</v>
      </c>
      <c r="BQ122" s="783">
        <f>IF('Incremental Repayments'!$R$22="Debt",IF(AND(BQ$4&gt;=$D122,BQ$4&lt;$D122+'Incremental Repayments'!$I$31),-PMT('Interest Rate'!$J$16,'Incremental Repayments'!$I$31,(HLOOKUP($D122,$E$4:$CZ$32,28,FALSE)*'Incremental Repayments'!$I$22)),0),0)</f>
        <v>0</v>
      </c>
      <c r="BR122" s="783">
        <f>IF('Incremental Repayments'!$R$22="Debt",IF(AND(BR$4&gt;=$D122,BR$4&lt;$D122+'Incremental Repayments'!$I$31),-PMT('Interest Rate'!$J$16,'Incremental Repayments'!$I$31,(HLOOKUP($D122,$E$4:$CZ$32,28,FALSE)*'Incremental Repayments'!$I$22)),0),0)</f>
        <v>0</v>
      </c>
      <c r="BS122" s="783">
        <f>IF('Incremental Repayments'!$R$22="Debt",IF(AND(BS$4&gt;=$D122,BS$4&lt;$D122+'Incremental Repayments'!$I$31),-PMT('Interest Rate'!$J$16,'Incremental Repayments'!$I$31,(HLOOKUP($D122,$E$4:$CZ$32,28,FALSE)*'Incremental Repayments'!$I$22)),0),0)</f>
        <v>0</v>
      </c>
      <c r="BT122" s="783">
        <f>IF('Incremental Repayments'!$R$22="Debt",IF(AND(BT$4&gt;=$D122,BT$4&lt;$D122+'Incremental Repayments'!$I$31),-PMT('Interest Rate'!$J$16,'Incremental Repayments'!$I$31,(HLOOKUP($D122,$E$4:$CZ$32,28,FALSE)*'Incremental Repayments'!$I$22)),0),0)</f>
        <v>0</v>
      </c>
      <c r="BU122" s="783">
        <f>IF('Incremental Repayments'!$R$22="Debt",IF(AND(BU$4&gt;=$D122,BU$4&lt;$D122+'Incremental Repayments'!$I$31),-PMT('Interest Rate'!$J$16,'Incremental Repayments'!$I$31,(HLOOKUP($D122,$E$4:$CZ$32,28,FALSE)*'Incremental Repayments'!$I$22)),0),0)</f>
        <v>0</v>
      </c>
      <c r="BV122" s="783">
        <f>IF('Incremental Repayments'!$R$22="Debt",IF(AND(BV$4&gt;=$D122,BV$4&lt;$D122+'Incremental Repayments'!$I$31),-PMT('Interest Rate'!$J$16,'Incremental Repayments'!$I$31,(HLOOKUP($D122,$E$4:$CZ$32,28,FALSE)*'Incremental Repayments'!$I$22)),0),0)</f>
        <v>0</v>
      </c>
      <c r="BW122" s="783">
        <f>IF('Incremental Repayments'!$R$22="Debt",IF(AND(BW$4&gt;=$D122,BW$4&lt;$D122+'Incremental Repayments'!$I$31),-PMT('Interest Rate'!$J$16,'Incremental Repayments'!$I$31,(HLOOKUP($D122,$E$4:$CZ$32,28,FALSE)*'Incremental Repayments'!$I$22)),0),0)</f>
        <v>0</v>
      </c>
      <c r="BX122" s="783">
        <f>IF('Incremental Repayments'!$R$22="Debt",IF(AND(BX$4&gt;=$D122,BX$4&lt;$D122+'Incremental Repayments'!$I$31),-PMT('Interest Rate'!$J$16,'Incremental Repayments'!$I$31,(HLOOKUP($D122,$E$4:$CZ$32,28,FALSE)*'Incremental Repayments'!$I$22)),0),0)</f>
        <v>0</v>
      </c>
      <c r="BY122" s="783">
        <f>IF('Incremental Repayments'!$R$22="Debt",IF(AND(BY$4&gt;=$D122,BY$4&lt;$D122+'Incremental Repayments'!$I$31),-PMT('Interest Rate'!$J$16,'Incremental Repayments'!$I$31,(HLOOKUP($D122,$E$4:$CZ$32,28,FALSE)*'Incremental Repayments'!$I$22)),0),0)</f>
        <v>0</v>
      </c>
      <c r="BZ122" s="783">
        <f>IF('Incremental Repayments'!$R$22="Debt",IF(AND(BZ$4&gt;=$D122,BZ$4&lt;$D122+'Incremental Repayments'!$I$31),-PMT('Interest Rate'!$J$16,'Incremental Repayments'!$I$31,(HLOOKUP($D122,$E$4:$CZ$32,28,FALSE)*'Incremental Repayments'!$I$22)),0),0)</f>
        <v>0</v>
      </c>
      <c r="CA122" s="783">
        <f>IF('Incremental Repayments'!$R$22="Debt",IF(AND(CA$4&gt;=$D122,CA$4&lt;$D122+'Incremental Repayments'!$I$31),-PMT('Interest Rate'!$J$16,'Incremental Repayments'!$I$31,(HLOOKUP($D122,$E$4:$CZ$32,28,FALSE)*'Incremental Repayments'!$I$22)),0),0)</f>
        <v>0</v>
      </c>
      <c r="CB122" s="783">
        <f>IF('Incremental Repayments'!$R$22="Debt",IF(AND(CB$4&gt;=$D122,CB$4&lt;$D122+'Incremental Repayments'!$I$31),-PMT('Interest Rate'!$J$16,'Incremental Repayments'!$I$31,(HLOOKUP($D122,$E$4:$CZ$32,28,FALSE)*'Incremental Repayments'!$I$22)),0),0)</f>
        <v>0</v>
      </c>
      <c r="CC122" s="783">
        <f>IF('Incremental Repayments'!$R$22="Debt",IF(AND(CC$4&gt;=$D122,CC$4&lt;$D122+'Incremental Repayments'!$I$31),-PMT('Interest Rate'!$J$16,'Incremental Repayments'!$I$31,(HLOOKUP($D122,$E$4:$CZ$32,28,FALSE)*'Incremental Repayments'!$I$22)),0),0)</f>
        <v>0</v>
      </c>
      <c r="CD122" s="783">
        <f>IF('Incremental Repayments'!$R$22="Debt",IF(AND(CD$4&gt;=$D122,CD$4&lt;$D122+'Incremental Repayments'!$I$31),-PMT('Interest Rate'!$J$16,'Incremental Repayments'!$I$31,(HLOOKUP($D122,$E$4:$CZ$32,28,FALSE)*'Incremental Repayments'!$I$22)),0),0)</f>
        <v>0</v>
      </c>
      <c r="CE122" s="783">
        <f>IF('Incremental Repayments'!$R$22="Debt",IF(AND(CE$4&gt;=$D122,CE$4&lt;$D122+'Incremental Repayments'!$I$31),-PMT('Interest Rate'!$J$16,'Incremental Repayments'!$I$31,(HLOOKUP($D122,$E$4:$CZ$32,28,FALSE)*'Incremental Repayments'!$I$22)),0),0)</f>
        <v>0</v>
      </c>
      <c r="CF122" s="783">
        <f>IF('Incremental Repayments'!$R$22="Debt",IF(AND(CF$4&gt;=$D122,CF$4&lt;$D122+'Incremental Repayments'!$I$31),-PMT('Interest Rate'!$J$16,'Incremental Repayments'!$I$31,(HLOOKUP($D122,$E$4:$CZ$32,28,FALSE)*'Incremental Repayments'!$I$22)),0),0)</f>
        <v>0</v>
      </c>
      <c r="CG122" s="783">
        <f>IF('Incremental Repayments'!$R$22="Debt",IF(AND(CG$4&gt;=$D122,CG$4&lt;$D122+'Incremental Repayments'!$I$31),-PMT('Interest Rate'!$J$16,'Incremental Repayments'!$I$31,(HLOOKUP($D122,$E$4:$CZ$32,28,FALSE)*'Incremental Repayments'!$I$22)),0),0)</f>
        <v>0</v>
      </c>
      <c r="CH122" s="783">
        <f>IF('Incremental Repayments'!$R$22="Debt",IF(AND(CH$4&gt;=$D122,CH$4&lt;$D122+'Incremental Repayments'!$I$31),-PMT('Interest Rate'!$J$16,'Incremental Repayments'!$I$31,(HLOOKUP($D122,$E$4:$CZ$32,28,FALSE)*'Incremental Repayments'!$I$22)),0),0)</f>
        <v>0</v>
      </c>
      <c r="CI122" s="783">
        <f>IF('Incremental Repayments'!$R$22="Debt",IF(AND(CI$4&gt;=$D122,CI$4&lt;$D122+'Incremental Repayments'!$I$31),-PMT('Interest Rate'!$J$16,'Incremental Repayments'!$I$31,(HLOOKUP($D122,$E$4:$CZ$32,28,FALSE)*'Incremental Repayments'!$I$22)),0),0)</f>
        <v>0</v>
      </c>
      <c r="CJ122" s="783">
        <f>IF('Incremental Repayments'!$R$22="Debt",IF(AND(CJ$4&gt;=$D122,CJ$4&lt;$D122+'Incremental Repayments'!$I$31),-PMT('Interest Rate'!$J$16,'Incremental Repayments'!$I$31,(HLOOKUP($D122,$E$4:$CZ$32,28,FALSE)*'Incremental Repayments'!$I$22)),0),0)</f>
        <v>0</v>
      </c>
      <c r="CK122" s="783">
        <f>IF('Incremental Repayments'!$R$22="Debt",IF(AND(CK$4&gt;=$D122,CK$4&lt;$D122+'Incremental Repayments'!$I$31),-PMT('Interest Rate'!$J$16,'Incremental Repayments'!$I$31,(HLOOKUP($D122,$E$4:$CZ$32,28,FALSE)*'Incremental Repayments'!$I$22)),0),0)</f>
        <v>0</v>
      </c>
      <c r="CL122" s="783">
        <f>IF('Incremental Repayments'!$R$22="Debt",IF(AND(CL$4&gt;=$D122,CL$4&lt;$D122+'Incremental Repayments'!$I$31),-PMT('Interest Rate'!$J$16,'Incremental Repayments'!$I$31,(HLOOKUP($D122,$E$4:$CZ$32,28,FALSE)*'Incremental Repayments'!$I$22)),0),0)</f>
        <v>0</v>
      </c>
      <c r="CM122" s="783">
        <f>IF('Incremental Repayments'!$R$22="Debt",IF(AND(CM$4&gt;=$D122,CM$4&lt;$D122+'Incremental Repayments'!$I$31),-PMT('Interest Rate'!$J$16,'Incremental Repayments'!$I$31,(HLOOKUP($D122,$E$4:$CZ$32,28,FALSE)*'Incremental Repayments'!$I$22)),0),0)</f>
        <v>0</v>
      </c>
      <c r="CN122" s="783">
        <f>IF('Incremental Repayments'!$R$22="Debt",IF(AND(CN$4&gt;=$D122,CN$4&lt;$D122+'Incremental Repayments'!$I$31),-PMT('Interest Rate'!$J$16,'Incremental Repayments'!$I$31,(HLOOKUP($D122,$E$4:$CZ$32,28,FALSE)*'Incremental Repayments'!$I$22)),0),0)</f>
        <v>0</v>
      </c>
      <c r="CO122" s="783">
        <f>IF('Incremental Repayments'!$R$22="Debt",IF(AND(CO$4&gt;=$D122,CO$4&lt;$D122+'Incremental Repayments'!$I$31),-PMT('Interest Rate'!$J$16,'Incremental Repayments'!$I$31,(HLOOKUP($D122,$E$4:$CZ$32,28,FALSE)*'Incremental Repayments'!$I$22)),0),0)</f>
        <v>0</v>
      </c>
      <c r="CP122" s="783">
        <f>IF('Incremental Repayments'!$R$22="Debt",IF(AND(CP$4&gt;=$D122,CP$4&lt;$D122+'Incremental Repayments'!$I$31),-PMT('Interest Rate'!$J$16,'Incremental Repayments'!$I$31,(HLOOKUP($D122,$E$4:$CZ$32,28,FALSE)*'Incremental Repayments'!$I$22)),0),0)</f>
        <v>0</v>
      </c>
      <c r="CQ122" s="783">
        <f>IF('Incremental Repayments'!$R$22="Debt",IF(AND(CQ$4&gt;=$D122,CQ$4&lt;$D122+'Incremental Repayments'!$I$31),-PMT('Interest Rate'!$J$16,'Incremental Repayments'!$I$31,(HLOOKUP($D122,$E$4:$CZ$32,28,FALSE)*'Incremental Repayments'!$I$22)),0),0)</f>
        <v>0</v>
      </c>
      <c r="CR122" s="783">
        <f>IF('Incremental Repayments'!$R$22="Debt",IF(AND(CR$4&gt;=$D122,CR$4&lt;$D122+'Incremental Repayments'!$I$31),-PMT('Interest Rate'!$J$16,'Incremental Repayments'!$I$31,(HLOOKUP($D122,$E$4:$CZ$32,28,FALSE)*'Incremental Repayments'!$I$22)),0),0)</f>
        <v>0</v>
      </c>
      <c r="CS122" s="783">
        <f>IF('Incremental Repayments'!$R$22="Debt",IF(AND(CS$4&gt;=$D122,CS$4&lt;$D122+'Incremental Repayments'!$I$31),-PMT('Interest Rate'!$J$16,'Incremental Repayments'!$I$31,(HLOOKUP($D122,$E$4:$CZ$32,28,FALSE)*'Incremental Repayments'!$I$22)),0),0)</f>
        <v>0</v>
      </c>
      <c r="CT122" s="783">
        <f>IF('Incremental Repayments'!$R$22="Debt",IF(AND(CT$4&gt;=$D122,CT$4&lt;$D122+'Incremental Repayments'!$I$31),-PMT('Interest Rate'!$J$16,'Incremental Repayments'!$I$31,(HLOOKUP($D122,$E$4:$CZ$32,28,FALSE)*'Incremental Repayments'!$I$22)),0),0)</f>
        <v>0</v>
      </c>
      <c r="CU122" s="783">
        <f>IF('Incremental Repayments'!$R$22="Debt",IF(AND(CU$4&gt;=$D122,CU$4&lt;$D122+'Incremental Repayments'!$I$31),-PMT('Interest Rate'!$J$16,'Incremental Repayments'!$I$31,(HLOOKUP($D122,$E$4:$CZ$32,28,FALSE)*'Incremental Repayments'!$I$22)),0),0)</f>
        <v>0</v>
      </c>
      <c r="CV122" s="783">
        <f>IF('Incremental Repayments'!$R$22="Debt",IF(AND(CV$4&gt;=$D122,CV$4&lt;$D122+'Incremental Repayments'!$I$31),-PMT('Interest Rate'!$J$16,'Incremental Repayments'!$I$31,(HLOOKUP($D122,$E$4:$CZ$32,28,FALSE)*'Incremental Repayments'!$I$22)),0),0)</f>
        <v>0</v>
      </c>
      <c r="CW122" s="783">
        <f>IF('Incremental Repayments'!$R$22="Debt",IF(AND(CW$4&gt;=$D122,CW$4&lt;$D122+'Incremental Repayments'!$I$31),-PMT('Interest Rate'!$J$16,'Incremental Repayments'!$I$31,(HLOOKUP($D122,$E$4:$CZ$32,28,FALSE)*'Incremental Repayments'!$I$22)),0),0)</f>
        <v>0</v>
      </c>
      <c r="CX122" s="783">
        <f>IF('Incremental Repayments'!$R$22="Debt",IF(AND(CX$4&gt;=$D122,CX$4&lt;$D122+'Incremental Repayments'!$I$31),-PMT('Interest Rate'!$J$16,'Incremental Repayments'!$I$31,(HLOOKUP($D122,$E$4:$CZ$32,28,FALSE)*'Incremental Repayments'!$I$22)),0),0)</f>
        <v>0</v>
      </c>
      <c r="CY122" s="783">
        <f>IF('Incremental Repayments'!$R$22="Debt",IF(AND(CY$4&gt;=$D122,CY$4&lt;$D122+'Incremental Repayments'!$I$31),-PMT('Interest Rate'!$J$16,'Incremental Repayments'!$I$31,(HLOOKUP($D122,$E$4:$CZ$32,28,FALSE)*'Incremental Repayments'!$I$22)),0),0)</f>
        <v>0</v>
      </c>
      <c r="CZ122" s="783">
        <f>IF('Incremental Repayments'!$R$22="Debt",IF(AND(CZ$4&gt;=$D122,CZ$4&lt;$D122+'Incremental Repayments'!$I$31),-PMT('Interest Rate'!$J$16,'Incremental Repayments'!$I$31,(HLOOKUP($D122,$E$4:$CZ$32,28,FALSE)*'Incremental Repayments'!$I$22)),0),0)</f>
        <v>0</v>
      </c>
    </row>
    <row r="123" spans="1:104" x14ac:dyDescent="0.25">
      <c r="B123" s="480" t="str">
        <f>CONCATENATE("Series ",D123,"A Bonds (at ",'Interest Rate'!$J$16*100,"% Interest)")</f>
        <v>Series 2101A Bonds (at 4.5% Interest)</v>
      </c>
      <c r="C123" s="480"/>
      <c r="D123" s="492">
        <f t="shared" si="48"/>
        <v>2101</v>
      </c>
      <c r="E123" s="783">
        <f>IF('Incremental Repayments'!$R$22="Debt",IF(AND(E$4&gt;=$D123,E$4&lt;$D123+'Incremental Repayments'!$I$31),-PMT('Interest Rate'!$J$16,'Incremental Repayments'!$I$31,(HLOOKUP($D123,$E$4:$CZ$32,28,FALSE)*'Incremental Repayments'!$I$22)),0),0)</f>
        <v>0</v>
      </c>
      <c r="F123" s="783">
        <f>IF('Incremental Repayments'!$R$22="Debt",IF(AND(F$4&gt;=$D123,F$4&lt;$D123+'Incremental Repayments'!$I$31),-PMT('Interest Rate'!$J$16,'Incremental Repayments'!$I$31,(HLOOKUP($D123,$E$4:$CZ$32,28,FALSE)*'Incremental Repayments'!$I$22)),0),0)</f>
        <v>0</v>
      </c>
      <c r="G123" s="783">
        <f>IF('Incremental Repayments'!$R$22="Debt",IF(AND(G$4&gt;=$D123,G$4&lt;$D123+'Incremental Repayments'!$I$31),-PMT('Interest Rate'!$J$16,'Incremental Repayments'!$I$31,(HLOOKUP($D123,$E$4:$CZ$32,28,FALSE)*'Incremental Repayments'!$I$22)),0),0)</f>
        <v>0</v>
      </c>
      <c r="H123" s="783">
        <f>IF('Incremental Repayments'!$R$22="Debt",IF(AND(H$4&gt;=$D123,H$4&lt;$D123+'Incremental Repayments'!$I$31),-PMT('Interest Rate'!$J$16,'Incremental Repayments'!$I$31,(HLOOKUP($D123,$E$4:$CZ$32,28,FALSE)*'Incremental Repayments'!$I$22)),0),0)</f>
        <v>0</v>
      </c>
      <c r="I123" s="783">
        <f>IF('Incremental Repayments'!$R$22="Debt",IF(AND(I$4&gt;=$D123,I$4&lt;$D123+'Incremental Repayments'!$I$31),-PMT('Interest Rate'!$J$16,'Incremental Repayments'!$I$31,(HLOOKUP($D123,$E$4:$CZ$32,28,FALSE)*'Incremental Repayments'!$I$22)),0),0)</f>
        <v>0</v>
      </c>
      <c r="J123" s="783">
        <f>IF('Incremental Repayments'!$R$22="Debt",IF(AND(J$4&gt;=$D123,J$4&lt;$D123+'Incremental Repayments'!$I$31),-PMT('Interest Rate'!$J$16,'Incremental Repayments'!$I$31,(HLOOKUP($D123,$E$4:$CZ$32,28,FALSE)*'Incremental Repayments'!$I$22)),0),0)</f>
        <v>0</v>
      </c>
      <c r="K123" s="783">
        <f>IF('Incremental Repayments'!$R$22="Debt",IF(AND(K$4&gt;=$D123,K$4&lt;$D123+'Incremental Repayments'!$I$31),-PMT('Interest Rate'!$J$16,'Incremental Repayments'!$I$31,(HLOOKUP($D123,$E$4:$CZ$32,28,FALSE)*'Incremental Repayments'!$I$22)),0),0)</f>
        <v>0</v>
      </c>
      <c r="L123" s="783">
        <f>IF('Incremental Repayments'!$R$22="Debt",IF(AND(L$4&gt;=$D123,L$4&lt;$D123+'Incremental Repayments'!$I$31),-PMT('Interest Rate'!$J$16,'Incremental Repayments'!$I$31,(HLOOKUP($D123,$E$4:$CZ$32,28,FALSE)*'Incremental Repayments'!$I$22)),0),0)</f>
        <v>0</v>
      </c>
      <c r="M123" s="783">
        <f>IF('Incremental Repayments'!$R$22="Debt",IF(AND(M$4&gt;=$D123,M$4&lt;$D123+'Incremental Repayments'!$I$31),-PMT('Interest Rate'!$J$16,'Incremental Repayments'!$I$31,(HLOOKUP($D123,$E$4:$CZ$32,28,FALSE)*'Incremental Repayments'!$I$22)),0),0)</f>
        <v>0</v>
      </c>
      <c r="N123" s="783">
        <f>IF('Incremental Repayments'!$R$22="Debt",IF(AND(N$4&gt;=$D123,N$4&lt;$D123+'Incremental Repayments'!$I$31),-PMT('Interest Rate'!$J$16,'Incremental Repayments'!$I$31,(HLOOKUP($D123,$E$4:$CZ$32,28,FALSE)*'Incremental Repayments'!$I$22)),0),0)</f>
        <v>0</v>
      </c>
      <c r="O123" s="783">
        <f>IF('Incremental Repayments'!$R$22="Debt",IF(AND(O$4&gt;=$D123,O$4&lt;$D123+'Incremental Repayments'!$I$31),-PMT('Interest Rate'!$J$16,'Incremental Repayments'!$I$31,(HLOOKUP($D123,$E$4:$CZ$32,28,FALSE)*'Incremental Repayments'!$I$22)),0),0)</f>
        <v>0</v>
      </c>
      <c r="P123" s="783">
        <f>IF('Incremental Repayments'!$R$22="Debt",IF(AND(P$4&gt;=$D123,P$4&lt;$D123+'Incremental Repayments'!$I$31),-PMT('Interest Rate'!$J$16,'Incremental Repayments'!$I$31,(HLOOKUP($D123,$E$4:$CZ$32,28,FALSE)*'Incremental Repayments'!$I$22)),0),0)</f>
        <v>0</v>
      </c>
      <c r="Q123" s="783">
        <f>IF('Incremental Repayments'!$R$22="Debt",IF(AND(Q$4&gt;=$D123,Q$4&lt;$D123+'Incremental Repayments'!$I$31),-PMT('Interest Rate'!$J$16,'Incremental Repayments'!$I$31,(HLOOKUP($D123,$E$4:$CZ$32,28,FALSE)*'Incremental Repayments'!$I$22)),0),0)</f>
        <v>0</v>
      </c>
      <c r="R123" s="783">
        <f>IF('Incremental Repayments'!$R$22="Debt",IF(AND(R$4&gt;=$D123,R$4&lt;$D123+'Incremental Repayments'!$I$31),-PMT('Interest Rate'!$J$16,'Incremental Repayments'!$I$31,(HLOOKUP($D123,$E$4:$CZ$32,28,FALSE)*'Incremental Repayments'!$I$22)),0),0)</f>
        <v>0</v>
      </c>
      <c r="S123" s="783">
        <f>IF('Incremental Repayments'!$R$22="Debt",IF(AND(S$4&gt;=$D123,S$4&lt;$D123+'Incremental Repayments'!$I$31),-PMT('Interest Rate'!$J$16,'Incremental Repayments'!$I$31,(HLOOKUP($D123,$E$4:$CZ$32,28,FALSE)*'Incremental Repayments'!$I$22)),0),0)</f>
        <v>0</v>
      </c>
      <c r="T123" s="783">
        <f>IF('Incremental Repayments'!$R$22="Debt",IF(AND(T$4&gt;=$D123,T$4&lt;$D123+'Incremental Repayments'!$I$31),-PMT('Interest Rate'!$J$16,'Incremental Repayments'!$I$31,(HLOOKUP($D123,$E$4:$CZ$32,28,FALSE)*'Incremental Repayments'!$I$22)),0),0)</f>
        <v>0</v>
      </c>
      <c r="U123" s="783">
        <f>IF('Incremental Repayments'!$R$22="Debt",IF(AND(U$4&gt;=$D123,U$4&lt;$D123+'Incremental Repayments'!$I$31),-PMT('Interest Rate'!$J$16,'Incremental Repayments'!$I$31,(HLOOKUP($D123,$E$4:$CZ$32,28,FALSE)*'Incremental Repayments'!$I$22)),0),0)</f>
        <v>0</v>
      </c>
      <c r="V123" s="783">
        <f>IF('Incremental Repayments'!$R$22="Debt",IF(AND(V$4&gt;=$D123,V$4&lt;$D123+'Incremental Repayments'!$I$31),-PMT('Interest Rate'!$J$16,'Incremental Repayments'!$I$31,(HLOOKUP($D123,$E$4:$CZ$32,28,FALSE)*'Incremental Repayments'!$I$22)),0),0)</f>
        <v>0</v>
      </c>
      <c r="W123" s="783">
        <f>IF('Incremental Repayments'!$R$22="Debt",IF(AND(W$4&gt;=$D123,W$4&lt;$D123+'Incremental Repayments'!$I$31),-PMT('Interest Rate'!$J$16,'Incremental Repayments'!$I$31,(HLOOKUP($D123,$E$4:$CZ$32,28,FALSE)*'Incremental Repayments'!$I$22)),0),0)</f>
        <v>0</v>
      </c>
      <c r="X123" s="783">
        <f>IF('Incremental Repayments'!$R$22="Debt",IF(AND(X$4&gt;=$D123,X$4&lt;$D123+'Incremental Repayments'!$I$31),-PMT('Interest Rate'!$J$16,'Incremental Repayments'!$I$31,(HLOOKUP($D123,$E$4:$CZ$32,28,FALSE)*'Incremental Repayments'!$I$22)),0),0)</f>
        <v>0</v>
      </c>
      <c r="Y123" s="783">
        <f>IF('Incremental Repayments'!$R$22="Debt",IF(AND(Y$4&gt;=$D123,Y$4&lt;$D123+'Incremental Repayments'!$I$31),-PMT('Interest Rate'!$J$16,'Incremental Repayments'!$I$31,(HLOOKUP($D123,$E$4:$CZ$32,28,FALSE)*'Incremental Repayments'!$I$22)),0),0)</f>
        <v>0</v>
      </c>
      <c r="Z123" s="783">
        <f>IF('Incremental Repayments'!$R$22="Debt",IF(AND(Z$4&gt;=$D123,Z$4&lt;$D123+'Incremental Repayments'!$I$31),-PMT('Interest Rate'!$J$16,'Incremental Repayments'!$I$31,(HLOOKUP($D123,$E$4:$CZ$32,28,FALSE)*'Incremental Repayments'!$I$22)),0),0)</f>
        <v>0</v>
      </c>
      <c r="AA123" s="783">
        <f>IF('Incremental Repayments'!$R$22="Debt",IF(AND(AA$4&gt;=$D123,AA$4&lt;$D123+'Incremental Repayments'!$I$31),-PMT('Interest Rate'!$J$16,'Incremental Repayments'!$I$31,(HLOOKUP($D123,$E$4:$CZ$32,28,FALSE)*'Incremental Repayments'!$I$22)),0),0)</f>
        <v>0</v>
      </c>
      <c r="AB123" s="783">
        <f>IF('Incremental Repayments'!$R$22="Debt",IF(AND(AB$4&gt;=$D123,AB$4&lt;$D123+'Incremental Repayments'!$I$31),-PMT('Interest Rate'!$J$16,'Incremental Repayments'!$I$31,(HLOOKUP($D123,$E$4:$CZ$32,28,FALSE)*'Incremental Repayments'!$I$22)),0),0)</f>
        <v>0</v>
      </c>
      <c r="AC123" s="783">
        <f>IF('Incremental Repayments'!$R$22="Debt",IF(AND(AC$4&gt;=$D123,AC$4&lt;$D123+'Incremental Repayments'!$I$31),-PMT('Interest Rate'!$J$16,'Incremental Repayments'!$I$31,(HLOOKUP($D123,$E$4:$CZ$32,28,FALSE)*'Incremental Repayments'!$I$22)),0),0)</f>
        <v>0</v>
      </c>
      <c r="AD123" s="783">
        <f>IF('Incremental Repayments'!$R$22="Debt",IF(AND(AD$4&gt;=$D123,AD$4&lt;$D123+'Incremental Repayments'!$I$31),-PMT('Interest Rate'!$J$16,'Incremental Repayments'!$I$31,(HLOOKUP($D123,$E$4:$CZ$32,28,FALSE)*'Incremental Repayments'!$I$22)),0),0)</f>
        <v>0</v>
      </c>
      <c r="AE123" s="783">
        <f>IF('Incremental Repayments'!$R$22="Debt",IF(AND(AE$4&gt;=$D123,AE$4&lt;$D123+'Incremental Repayments'!$I$31),-PMT('Interest Rate'!$J$16,'Incremental Repayments'!$I$31,(HLOOKUP($D123,$E$4:$CZ$32,28,FALSE)*'Incremental Repayments'!$I$22)),0),0)</f>
        <v>0</v>
      </c>
      <c r="AF123" s="783">
        <f>IF('Incremental Repayments'!$R$22="Debt",IF(AND(AF$4&gt;=$D123,AF$4&lt;$D123+'Incremental Repayments'!$I$31),-PMT('Interest Rate'!$J$16,'Incremental Repayments'!$I$31,(HLOOKUP($D123,$E$4:$CZ$32,28,FALSE)*'Incremental Repayments'!$I$22)),0),0)</f>
        <v>0</v>
      </c>
      <c r="AG123" s="783">
        <f>IF('Incremental Repayments'!$R$22="Debt",IF(AND(AG$4&gt;=$D123,AG$4&lt;$D123+'Incremental Repayments'!$I$31),-PMT('Interest Rate'!$J$16,'Incremental Repayments'!$I$31,(HLOOKUP($D123,$E$4:$CZ$32,28,FALSE)*'Incremental Repayments'!$I$22)),0),0)</f>
        <v>0</v>
      </c>
      <c r="AH123" s="783">
        <f>IF('Incremental Repayments'!$R$22="Debt",IF(AND(AH$4&gt;=$D123,AH$4&lt;$D123+'Incremental Repayments'!$I$31),-PMT('Interest Rate'!$J$16,'Incremental Repayments'!$I$31,(HLOOKUP($D123,$E$4:$CZ$32,28,FALSE)*'Incremental Repayments'!$I$22)),0),0)</f>
        <v>0</v>
      </c>
      <c r="AI123" s="783">
        <f>IF('Incremental Repayments'!$R$22="Debt",IF(AND(AI$4&gt;=$D123,AI$4&lt;$D123+'Incremental Repayments'!$I$31),-PMT('Interest Rate'!$J$16,'Incremental Repayments'!$I$31,(HLOOKUP($D123,$E$4:$CZ$32,28,FALSE)*'Incremental Repayments'!$I$22)),0),0)</f>
        <v>0</v>
      </c>
      <c r="AJ123" s="783">
        <f>IF('Incremental Repayments'!$R$22="Debt",IF(AND(AJ$4&gt;=$D123,AJ$4&lt;$D123+'Incremental Repayments'!$I$31),-PMT('Interest Rate'!$J$16,'Incremental Repayments'!$I$31,(HLOOKUP($D123,$E$4:$CZ$32,28,FALSE)*'Incremental Repayments'!$I$22)),0),0)</f>
        <v>0</v>
      </c>
      <c r="AK123" s="783">
        <f>IF('Incremental Repayments'!$R$22="Debt",IF(AND(AK$4&gt;=$D123,AK$4&lt;$D123+'Incremental Repayments'!$I$31),-PMT('Interest Rate'!$J$16,'Incremental Repayments'!$I$31,(HLOOKUP($D123,$E$4:$CZ$32,28,FALSE)*'Incremental Repayments'!$I$22)),0),0)</f>
        <v>0</v>
      </c>
      <c r="AL123" s="783">
        <f>IF('Incremental Repayments'!$R$22="Debt",IF(AND(AL$4&gt;=$D123,AL$4&lt;$D123+'Incremental Repayments'!$I$31),-PMT('Interest Rate'!$J$16,'Incremental Repayments'!$I$31,(HLOOKUP($D123,$E$4:$CZ$32,28,FALSE)*'Incremental Repayments'!$I$22)),0),0)</f>
        <v>0</v>
      </c>
      <c r="AM123" s="783">
        <f>IF('Incremental Repayments'!$R$22="Debt",IF(AND(AM$4&gt;=$D123,AM$4&lt;$D123+'Incremental Repayments'!$I$31),-PMT('Interest Rate'!$J$16,'Incremental Repayments'!$I$31,(HLOOKUP($D123,$E$4:$CZ$32,28,FALSE)*'Incremental Repayments'!$I$22)),0),0)</f>
        <v>0</v>
      </c>
      <c r="AN123" s="783">
        <f>IF('Incremental Repayments'!$R$22="Debt",IF(AND(AN$4&gt;=$D123,AN$4&lt;$D123+'Incremental Repayments'!$I$31),-PMT('Interest Rate'!$J$16,'Incremental Repayments'!$I$31,(HLOOKUP($D123,$E$4:$CZ$32,28,FALSE)*'Incremental Repayments'!$I$22)),0),0)</f>
        <v>0</v>
      </c>
      <c r="AO123" s="783">
        <f>IF('Incremental Repayments'!$R$22="Debt",IF(AND(AO$4&gt;=$D123,AO$4&lt;$D123+'Incremental Repayments'!$I$31),-PMT('Interest Rate'!$J$16,'Incremental Repayments'!$I$31,(HLOOKUP($D123,$E$4:$CZ$32,28,FALSE)*'Incremental Repayments'!$I$22)),0),0)</f>
        <v>0</v>
      </c>
      <c r="AP123" s="783">
        <f>IF('Incremental Repayments'!$R$22="Debt",IF(AND(AP$4&gt;=$D123,AP$4&lt;$D123+'Incremental Repayments'!$I$31),-PMT('Interest Rate'!$J$16,'Incremental Repayments'!$I$31,(HLOOKUP($D123,$E$4:$CZ$32,28,FALSE)*'Incremental Repayments'!$I$22)),0),0)</f>
        <v>0</v>
      </c>
      <c r="AQ123" s="783">
        <f>IF('Incremental Repayments'!$R$22="Debt",IF(AND(AQ$4&gt;=$D123,AQ$4&lt;$D123+'Incremental Repayments'!$I$31),-PMT('Interest Rate'!$J$16,'Incremental Repayments'!$I$31,(HLOOKUP($D123,$E$4:$CZ$32,28,FALSE)*'Incremental Repayments'!$I$22)),0),0)</f>
        <v>0</v>
      </c>
      <c r="AR123" s="783">
        <f>IF('Incremental Repayments'!$R$22="Debt",IF(AND(AR$4&gt;=$D123,AR$4&lt;$D123+'Incremental Repayments'!$I$31),-PMT('Interest Rate'!$J$16,'Incremental Repayments'!$I$31,(HLOOKUP($D123,$E$4:$CZ$32,28,FALSE)*'Incremental Repayments'!$I$22)),0),0)</f>
        <v>0</v>
      </c>
      <c r="AS123" s="783">
        <f>IF('Incremental Repayments'!$R$22="Debt",IF(AND(AS$4&gt;=$D123,AS$4&lt;$D123+'Incremental Repayments'!$I$31),-PMT('Interest Rate'!$J$16,'Incremental Repayments'!$I$31,(HLOOKUP($D123,$E$4:$CZ$32,28,FALSE)*'Incremental Repayments'!$I$22)),0),0)</f>
        <v>0</v>
      </c>
      <c r="AT123" s="783">
        <f>IF('Incremental Repayments'!$R$22="Debt",IF(AND(AT$4&gt;=$D123,AT$4&lt;$D123+'Incremental Repayments'!$I$31),-PMT('Interest Rate'!$J$16,'Incremental Repayments'!$I$31,(HLOOKUP($D123,$E$4:$CZ$32,28,FALSE)*'Incremental Repayments'!$I$22)),0),0)</f>
        <v>0</v>
      </c>
      <c r="AU123" s="783">
        <f>IF('Incremental Repayments'!$R$22="Debt",IF(AND(AU$4&gt;=$D123,AU$4&lt;$D123+'Incremental Repayments'!$I$31),-PMT('Interest Rate'!$J$16,'Incremental Repayments'!$I$31,(HLOOKUP($D123,$E$4:$CZ$32,28,FALSE)*'Incremental Repayments'!$I$22)),0),0)</f>
        <v>0</v>
      </c>
      <c r="AV123" s="783">
        <f>IF('Incremental Repayments'!$R$22="Debt",IF(AND(AV$4&gt;=$D123,AV$4&lt;$D123+'Incremental Repayments'!$I$31),-PMT('Interest Rate'!$J$16,'Incremental Repayments'!$I$31,(HLOOKUP($D123,$E$4:$CZ$32,28,FALSE)*'Incremental Repayments'!$I$22)),0),0)</f>
        <v>0</v>
      </c>
      <c r="AW123" s="783">
        <f>IF('Incremental Repayments'!$R$22="Debt",IF(AND(AW$4&gt;=$D123,AW$4&lt;$D123+'Incremental Repayments'!$I$31),-PMT('Interest Rate'!$J$16,'Incremental Repayments'!$I$31,(HLOOKUP($D123,$E$4:$CZ$32,28,FALSE)*'Incremental Repayments'!$I$22)),0),0)</f>
        <v>0</v>
      </c>
      <c r="AX123" s="783">
        <f>IF('Incremental Repayments'!$R$22="Debt",IF(AND(AX$4&gt;=$D123,AX$4&lt;$D123+'Incremental Repayments'!$I$31),-PMT('Interest Rate'!$J$16,'Incremental Repayments'!$I$31,(HLOOKUP($D123,$E$4:$CZ$32,28,FALSE)*'Incremental Repayments'!$I$22)),0),0)</f>
        <v>0</v>
      </c>
      <c r="AY123" s="783">
        <f>IF('Incremental Repayments'!$R$22="Debt",IF(AND(AY$4&gt;=$D123,AY$4&lt;$D123+'Incremental Repayments'!$I$31),-PMT('Interest Rate'!$J$16,'Incremental Repayments'!$I$31,(HLOOKUP($D123,$E$4:$CZ$32,28,FALSE)*'Incremental Repayments'!$I$22)),0),0)</f>
        <v>0</v>
      </c>
      <c r="AZ123" s="783">
        <f>IF('Incremental Repayments'!$R$22="Debt",IF(AND(AZ$4&gt;=$D123,AZ$4&lt;$D123+'Incremental Repayments'!$I$31),-PMT('Interest Rate'!$J$16,'Incremental Repayments'!$I$31,(HLOOKUP($D123,$E$4:$CZ$32,28,FALSE)*'Incremental Repayments'!$I$22)),0),0)</f>
        <v>0</v>
      </c>
      <c r="BA123" s="783">
        <f>IF('Incremental Repayments'!$R$22="Debt",IF(AND(BA$4&gt;=$D123,BA$4&lt;$D123+'Incremental Repayments'!$I$31),-PMT('Interest Rate'!$J$16,'Incremental Repayments'!$I$31,(HLOOKUP($D123,$E$4:$CZ$32,28,FALSE)*'Incremental Repayments'!$I$22)),0),0)</f>
        <v>0</v>
      </c>
      <c r="BB123" s="783">
        <f>IF('Incremental Repayments'!$R$22="Debt",IF(AND(BB$4&gt;=$D123,BB$4&lt;$D123+'Incremental Repayments'!$I$31),-PMT('Interest Rate'!$J$16,'Incremental Repayments'!$I$31,(HLOOKUP($D123,$E$4:$CZ$32,28,FALSE)*'Incremental Repayments'!$I$22)),0),0)</f>
        <v>0</v>
      </c>
      <c r="BC123" s="783">
        <f>IF('Incremental Repayments'!$R$22="Debt",IF(AND(BC$4&gt;=$D123,BC$4&lt;$D123+'Incremental Repayments'!$I$31),-PMT('Interest Rate'!$J$16,'Incremental Repayments'!$I$31,(HLOOKUP($D123,$E$4:$CZ$32,28,FALSE)*'Incremental Repayments'!$I$22)),0),0)</f>
        <v>0</v>
      </c>
      <c r="BD123" s="783">
        <f>IF('Incremental Repayments'!$R$22="Debt",IF(AND(BD$4&gt;=$D123,BD$4&lt;$D123+'Incremental Repayments'!$I$31),-PMT('Interest Rate'!$J$16,'Incremental Repayments'!$I$31,(HLOOKUP($D123,$E$4:$CZ$32,28,FALSE)*'Incremental Repayments'!$I$22)),0),0)</f>
        <v>0</v>
      </c>
      <c r="BE123" s="783">
        <f>IF('Incremental Repayments'!$R$22="Debt",IF(AND(BE$4&gt;=$D123,BE$4&lt;$D123+'Incremental Repayments'!$I$31),-PMT('Interest Rate'!$J$16,'Incremental Repayments'!$I$31,(HLOOKUP($D123,$E$4:$CZ$32,28,FALSE)*'Incremental Repayments'!$I$22)),0),0)</f>
        <v>0</v>
      </c>
      <c r="BF123" s="783">
        <f>IF('Incremental Repayments'!$R$22="Debt",IF(AND(BF$4&gt;=$D123,BF$4&lt;$D123+'Incremental Repayments'!$I$31),-PMT('Interest Rate'!$J$16,'Incremental Repayments'!$I$31,(HLOOKUP($D123,$E$4:$CZ$32,28,FALSE)*'Incremental Repayments'!$I$22)),0),0)</f>
        <v>0</v>
      </c>
      <c r="BG123" s="783">
        <f>IF('Incremental Repayments'!$R$22="Debt",IF(AND(BG$4&gt;=$D123,BG$4&lt;$D123+'Incremental Repayments'!$I$31),-PMT('Interest Rate'!$J$16,'Incremental Repayments'!$I$31,(HLOOKUP($D123,$E$4:$CZ$32,28,FALSE)*'Incremental Repayments'!$I$22)),0),0)</f>
        <v>0</v>
      </c>
      <c r="BH123" s="783">
        <f>IF('Incremental Repayments'!$R$22="Debt",IF(AND(BH$4&gt;=$D123,BH$4&lt;$D123+'Incremental Repayments'!$I$31),-PMT('Interest Rate'!$J$16,'Incremental Repayments'!$I$31,(HLOOKUP($D123,$E$4:$CZ$32,28,FALSE)*'Incremental Repayments'!$I$22)),0),0)</f>
        <v>0</v>
      </c>
      <c r="BI123" s="783">
        <f>IF('Incremental Repayments'!$R$22="Debt",IF(AND(BI$4&gt;=$D123,BI$4&lt;$D123+'Incremental Repayments'!$I$31),-PMT('Interest Rate'!$J$16,'Incremental Repayments'!$I$31,(HLOOKUP($D123,$E$4:$CZ$32,28,FALSE)*'Incremental Repayments'!$I$22)),0),0)</f>
        <v>0</v>
      </c>
      <c r="BJ123" s="783">
        <f>IF('Incremental Repayments'!$R$22="Debt",IF(AND(BJ$4&gt;=$D123,BJ$4&lt;$D123+'Incremental Repayments'!$I$31),-PMT('Interest Rate'!$J$16,'Incremental Repayments'!$I$31,(HLOOKUP($D123,$E$4:$CZ$32,28,FALSE)*'Incremental Repayments'!$I$22)),0),0)</f>
        <v>0</v>
      </c>
      <c r="BK123" s="783">
        <f>IF('Incremental Repayments'!$R$22="Debt",IF(AND(BK$4&gt;=$D123,BK$4&lt;$D123+'Incremental Repayments'!$I$31),-PMT('Interest Rate'!$J$16,'Incremental Repayments'!$I$31,(HLOOKUP($D123,$E$4:$CZ$32,28,FALSE)*'Incremental Repayments'!$I$22)),0),0)</f>
        <v>0</v>
      </c>
      <c r="BL123" s="783">
        <f>IF('Incremental Repayments'!$R$22="Debt",IF(AND(BL$4&gt;=$D123,BL$4&lt;$D123+'Incremental Repayments'!$I$31),-PMT('Interest Rate'!$J$16,'Incremental Repayments'!$I$31,(HLOOKUP($D123,$E$4:$CZ$32,28,FALSE)*'Incremental Repayments'!$I$22)),0),0)</f>
        <v>0</v>
      </c>
      <c r="BM123" s="783">
        <f>IF('Incremental Repayments'!$R$22="Debt",IF(AND(BM$4&gt;=$D123,BM$4&lt;$D123+'Incremental Repayments'!$I$31),-PMT('Interest Rate'!$J$16,'Incremental Repayments'!$I$31,(HLOOKUP($D123,$E$4:$CZ$32,28,FALSE)*'Incremental Repayments'!$I$22)),0),0)</f>
        <v>0</v>
      </c>
      <c r="BN123" s="783">
        <f>IF('Incremental Repayments'!$R$22="Debt",IF(AND(BN$4&gt;=$D123,BN$4&lt;$D123+'Incremental Repayments'!$I$31),-PMT('Interest Rate'!$J$16,'Incremental Repayments'!$I$31,(HLOOKUP($D123,$E$4:$CZ$32,28,FALSE)*'Incremental Repayments'!$I$22)),0),0)</f>
        <v>0</v>
      </c>
      <c r="BO123" s="783">
        <f>IF('Incremental Repayments'!$R$22="Debt",IF(AND(BO$4&gt;=$D123,BO$4&lt;$D123+'Incremental Repayments'!$I$31),-PMT('Interest Rate'!$J$16,'Incremental Repayments'!$I$31,(HLOOKUP($D123,$E$4:$CZ$32,28,FALSE)*'Incremental Repayments'!$I$22)),0),0)</f>
        <v>0</v>
      </c>
      <c r="BP123" s="783">
        <f>IF('Incremental Repayments'!$R$22="Debt",IF(AND(BP$4&gt;=$D123,BP$4&lt;$D123+'Incremental Repayments'!$I$31),-PMT('Interest Rate'!$J$16,'Incremental Repayments'!$I$31,(HLOOKUP($D123,$E$4:$CZ$32,28,FALSE)*'Incremental Repayments'!$I$22)),0),0)</f>
        <v>0</v>
      </c>
      <c r="BQ123" s="783">
        <f>IF('Incremental Repayments'!$R$22="Debt",IF(AND(BQ$4&gt;=$D123,BQ$4&lt;$D123+'Incremental Repayments'!$I$31),-PMT('Interest Rate'!$J$16,'Incremental Repayments'!$I$31,(HLOOKUP($D123,$E$4:$CZ$32,28,FALSE)*'Incremental Repayments'!$I$22)),0),0)</f>
        <v>0</v>
      </c>
      <c r="BR123" s="783">
        <f>IF('Incremental Repayments'!$R$22="Debt",IF(AND(BR$4&gt;=$D123,BR$4&lt;$D123+'Incremental Repayments'!$I$31),-PMT('Interest Rate'!$J$16,'Incremental Repayments'!$I$31,(HLOOKUP($D123,$E$4:$CZ$32,28,FALSE)*'Incremental Repayments'!$I$22)),0),0)</f>
        <v>0</v>
      </c>
      <c r="BS123" s="783">
        <f>IF('Incremental Repayments'!$R$22="Debt",IF(AND(BS$4&gt;=$D123,BS$4&lt;$D123+'Incremental Repayments'!$I$31),-PMT('Interest Rate'!$J$16,'Incremental Repayments'!$I$31,(HLOOKUP($D123,$E$4:$CZ$32,28,FALSE)*'Incremental Repayments'!$I$22)),0),0)</f>
        <v>0</v>
      </c>
      <c r="BT123" s="783">
        <f>IF('Incremental Repayments'!$R$22="Debt",IF(AND(BT$4&gt;=$D123,BT$4&lt;$D123+'Incremental Repayments'!$I$31),-PMT('Interest Rate'!$J$16,'Incremental Repayments'!$I$31,(HLOOKUP($D123,$E$4:$CZ$32,28,FALSE)*'Incremental Repayments'!$I$22)),0),0)</f>
        <v>0</v>
      </c>
      <c r="BU123" s="783">
        <f>IF('Incremental Repayments'!$R$22="Debt",IF(AND(BU$4&gt;=$D123,BU$4&lt;$D123+'Incremental Repayments'!$I$31),-PMT('Interest Rate'!$J$16,'Incremental Repayments'!$I$31,(HLOOKUP($D123,$E$4:$CZ$32,28,FALSE)*'Incremental Repayments'!$I$22)),0),0)</f>
        <v>0</v>
      </c>
      <c r="BV123" s="783">
        <f>IF('Incremental Repayments'!$R$22="Debt",IF(AND(BV$4&gt;=$D123,BV$4&lt;$D123+'Incremental Repayments'!$I$31),-PMT('Interest Rate'!$J$16,'Incremental Repayments'!$I$31,(HLOOKUP($D123,$E$4:$CZ$32,28,FALSE)*'Incremental Repayments'!$I$22)),0),0)</f>
        <v>0</v>
      </c>
      <c r="BW123" s="783">
        <f>IF('Incremental Repayments'!$R$22="Debt",IF(AND(BW$4&gt;=$D123,BW$4&lt;$D123+'Incremental Repayments'!$I$31),-PMT('Interest Rate'!$J$16,'Incremental Repayments'!$I$31,(HLOOKUP($D123,$E$4:$CZ$32,28,FALSE)*'Incremental Repayments'!$I$22)),0),0)</f>
        <v>0</v>
      </c>
      <c r="BX123" s="783">
        <f>IF('Incremental Repayments'!$R$22="Debt",IF(AND(BX$4&gt;=$D123,BX$4&lt;$D123+'Incremental Repayments'!$I$31),-PMT('Interest Rate'!$J$16,'Incremental Repayments'!$I$31,(HLOOKUP($D123,$E$4:$CZ$32,28,FALSE)*'Incremental Repayments'!$I$22)),0),0)</f>
        <v>0</v>
      </c>
      <c r="BY123" s="783">
        <f>IF('Incremental Repayments'!$R$22="Debt",IF(AND(BY$4&gt;=$D123,BY$4&lt;$D123+'Incremental Repayments'!$I$31),-PMT('Interest Rate'!$J$16,'Incremental Repayments'!$I$31,(HLOOKUP($D123,$E$4:$CZ$32,28,FALSE)*'Incremental Repayments'!$I$22)),0),0)</f>
        <v>0</v>
      </c>
      <c r="BZ123" s="783">
        <f>IF('Incremental Repayments'!$R$22="Debt",IF(AND(BZ$4&gt;=$D123,BZ$4&lt;$D123+'Incremental Repayments'!$I$31),-PMT('Interest Rate'!$J$16,'Incremental Repayments'!$I$31,(HLOOKUP($D123,$E$4:$CZ$32,28,FALSE)*'Incremental Repayments'!$I$22)),0),0)</f>
        <v>0</v>
      </c>
      <c r="CA123" s="783">
        <f>IF('Incremental Repayments'!$R$22="Debt",IF(AND(CA$4&gt;=$D123,CA$4&lt;$D123+'Incremental Repayments'!$I$31),-PMT('Interest Rate'!$J$16,'Incremental Repayments'!$I$31,(HLOOKUP($D123,$E$4:$CZ$32,28,FALSE)*'Incremental Repayments'!$I$22)),0),0)</f>
        <v>0</v>
      </c>
      <c r="CB123" s="783">
        <f>IF('Incremental Repayments'!$R$22="Debt",IF(AND(CB$4&gt;=$D123,CB$4&lt;$D123+'Incremental Repayments'!$I$31),-PMT('Interest Rate'!$J$16,'Incremental Repayments'!$I$31,(HLOOKUP($D123,$E$4:$CZ$32,28,FALSE)*'Incremental Repayments'!$I$22)),0),0)</f>
        <v>0</v>
      </c>
      <c r="CC123" s="783">
        <f>IF('Incremental Repayments'!$R$22="Debt",IF(AND(CC$4&gt;=$D123,CC$4&lt;$D123+'Incremental Repayments'!$I$31),-PMT('Interest Rate'!$J$16,'Incremental Repayments'!$I$31,(HLOOKUP($D123,$E$4:$CZ$32,28,FALSE)*'Incremental Repayments'!$I$22)),0),0)</f>
        <v>0</v>
      </c>
      <c r="CD123" s="783">
        <f>IF('Incremental Repayments'!$R$22="Debt",IF(AND(CD$4&gt;=$D123,CD$4&lt;$D123+'Incremental Repayments'!$I$31),-PMT('Interest Rate'!$J$16,'Incremental Repayments'!$I$31,(HLOOKUP($D123,$E$4:$CZ$32,28,FALSE)*'Incremental Repayments'!$I$22)),0),0)</f>
        <v>0</v>
      </c>
      <c r="CE123" s="783">
        <f>IF('Incremental Repayments'!$R$22="Debt",IF(AND(CE$4&gt;=$D123,CE$4&lt;$D123+'Incremental Repayments'!$I$31),-PMT('Interest Rate'!$J$16,'Incremental Repayments'!$I$31,(HLOOKUP($D123,$E$4:$CZ$32,28,FALSE)*'Incremental Repayments'!$I$22)),0),0)</f>
        <v>0</v>
      </c>
      <c r="CF123" s="783">
        <f>IF('Incremental Repayments'!$R$22="Debt",IF(AND(CF$4&gt;=$D123,CF$4&lt;$D123+'Incremental Repayments'!$I$31),-PMT('Interest Rate'!$J$16,'Incremental Repayments'!$I$31,(HLOOKUP($D123,$E$4:$CZ$32,28,FALSE)*'Incremental Repayments'!$I$22)),0),0)</f>
        <v>0</v>
      </c>
      <c r="CG123" s="783">
        <f>IF('Incremental Repayments'!$R$22="Debt",IF(AND(CG$4&gt;=$D123,CG$4&lt;$D123+'Incremental Repayments'!$I$31),-PMT('Interest Rate'!$J$16,'Incremental Repayments'!$I$31,(HLOOKUP($D123,$E$4:$CZ$32,28,FALSE)*'Incremental Repayments'!$I$22)),0),0)</f>
        <v>0</v>
      </c>
      <c r="CH123" s="783">
        <f>IF('Incremental Repayments'!$R$22="Debt",IF(AND(CH$4&gt;=$D123,CH$4&lt;$D123+'Incremental Repayments'!$I$31),-PMT('Interest Rate'!$J$16,'Incremental Repayments'!$I$31,(HLOOKUP($D123,$E$4:$CZ$32,28,FALSE)*'Incremental Repayments'!$I$22)),0),0)</f>
        <v>0</v>
      </c>
      <c r="CI123" s="783">
        <f>IF('Incremental Repayments'!$R$22="Debt",IF(AND(CI$4&gt;=$D123,CI$4&lt;$D123+'Incremental Repayments'!$I$31),-PMT('Interest Rate'!$J$16,'Incremental Repayments'!$I$31,(HLOOKUP($D123,$E$4:$CZ$32,28,FALSE)*'Incremental Repayments'!$I$22)),0),0)</f>
        <v>0</v>
      </c>
      <c r="CJ123" s="783">
        <f>IF('Incremental Repayments'!$R$22="Debt",IF(AND(CJ$4&gt;=$D123,CJ$4&lt;$D123+'Incremental Repayments'!$I$31),-PMT('Interest Rate'!$J$16,'Incremental Repayments'!$I$31,(HLOOKUP($D123,$E$4:$CZ$32,28,FALSE)*'Incremental Repayments'!$I$22)),0),0)</f>
        <v>0</v>
      </c>
      <c r="CK123" s="783">
        <f>IF('Incremental Repayments'!$R$22="Debt",IF(AND(CK$4&gt;=$D123,CK$4&lt;$D123+'Incremental Repayments'!$I$31),-PMT('Interest Rate'!$J$16,'Incremental Repayments'!$I$31,(HLOOKUP($D123,$E$4:$CZ$32,28,FALSE)*'Incremental Repayments'!$I$22)),0),0)</f>
        <v>0</v>
      </c>
      <c r="CL123" s="783">
        <f>IF('Incremental Repayments'!$R$22="Debt",IF(AND(CL$4&gt;=$D123,CL$4&lt;$D123+'Incremental Repayments'!$I$31),-PMT('Interest Rate'!$J$16,'Incremental Repayments'!$I$31,(HLOOKUP($D123,$E$4:$CZ$32,28,FALSE)*'Incremental Repayments'!$I$22)),0),0)</f>
        <v>0</v>
      </c>
      <c r="CM123" s="783">
        <f>IF('Incremental Repayments'!$R$22="Debt",IF(AND(CM$4&gt;=$D123,CM$4&lt;$D123+'Incremental Repayments'!$I$31),-PMT('Interest Rate'!$J$16,'Incremental Repayments'!$I$31,(HLOOKUP($D123,$E$4:$CZ$32,28,FALSE)*'Incremental Repayments'!$I$22)),0),0)</f>
        <v>0</v>
      </c>
      <c r="CN123" s="783">
        <f>IF('Incremental Repayments'!$R$22="Debt",IF(AND(CN$4&gt;=$D123,CN$4&lt;$D123+'Incremental Repayments'!$I$31),-PMT('Interest Rate'!$J$16,'Incremental Repayments'!$I$31,(HLOOKUP($D123,$E$4:$CZ$32,28,FALSE)*'Incremental Repayments'!$I$22)),0),0)</f>
        <v>0</v>
      </c>
      <c r="CO123" s="783">
        <f>IF('Incremental Repayments'!$R$22="Debt",IF(AND(CO$4&gt;=$D123,CO$4&lt;$D123+'Incremental Repayments'!$I$31),-PMT('Interest Rate'!$J$16,'Incremental Repayments'!$I$31,(HLOOKUP($D123,$E$4:$CZ$32,28,FALSE)*'Incremental Repayments'!$I$22)),0),0)</f>
        <v>0</v>
      </c>
      <c r="CP123" s="783">
        <f>IF('Incremental Repayments'!$R$22="Debt",IF(AND(CP$4&gt;=$D123,CP$4&lt;$D123+'Incremental Repayments'!$I$31),-PMT('Interest Rate'!$J$16,'Incremental Repayments'!$I$31,(HLOOKUP($D123,$E$4:$CZ$32,28,FALSE)*'Incremental Repayments'!$I$22)),0),0)</f>
        <v>0</v>
      </c>
      <c r="CQ123" s="783">
        <f>IF('Incremental Repayments'!$R$22="Debt",IF(AND(CQ$4&gt;=$D123,CQ$4&lt;$D123+'Incremental Repayments'!$I$31),-PMT('Interest Rate'!$J$16,'Incremental Repayments'!$I$31,(HLOOKUP($D123,$E$4:$CZ$32,28,FALSE)*'Incremental Repayments'!$I$22)),0),0)</f>
        <v>0</v>
      </c>
      <c r="CR123" s="783">
        <f>IF('Incremental Repayments'!$R$22="Debt",IF(AND(CR$4&gt;=$D123,CR$4&lt;$D123+'Incremental Repayments'!$I$31),-PMT('Interest Rate'!$J$16,'Incremental Repayments'!$I$31,(HLOOKUP($D123,$E$4:$CZ$32,28,FALSE)*'Incremental Repayments'!$I$22)),0),0)</f>
        <v>0</v>
      </c>
      <c r="CS123" s="783">
        <f>IF('Incremental Repayments'!$R$22="Debt",IF(AND(CS$4&gt;=$D123,CS$4&lt;$D123+'Incremental Repayments'!$I$31),-PMT('Interest Rate'!$J$16,'Incremental Repayments'!$I$31,(HLOOKUP($D123,$E$4:$CZ$32,28,FALSE)*'Incremental Repayments'!$I$22)),0),0)</f>
        <v>0</v>
      </c>
      <c r="CT123" s="783">
        <f>IF('Incremental Repayments'!$R$22="Debt",IF(AND(CT$4&gt;=$D123,CT$4&lt;$D123+'Incremental Repayments'!$I$31),-PMT('Interest Rate'!$J$16,'Incremental Repayments'!$I$31,(HLOOKUP($D123,$E$4:$CZ$32,28,FALSE)*'Incremental Repayments'!$I$22)),0),0)</f>
        <v>0</v>
      </c>
      <c r="CU123" s="783">
        <f>IF('Incremental Repayments'!$R$22="Debt",IF(AND(CU$4&gt;=$D123,CU$4&lt;$D123+'Incremental Repayments'!$I$31),-PMT('Interest Rate'!$J$16,'Incremental Repayments'!$I$31,(HLOOKUP($D123,$E$4:$CZ$32,28,FALSE)*'Incremental Repayments'!$I$22)),0),0)</f>
        <v>0</v>
      </c>
      <c r="CV123" s="783">
        <f>IF('Incremental Repayments'!$R$22="Debt",IF(AND(CV$4&gt;=$D123,CV$4&lt;$D123+'Incremental Repayments'!$I$31),-PMT('Interest Rate'!$J$16,'Incremental Repayments'!$I$31,(HLOOKUP($D123,$E$4:$CZ$32,28,FALSE)*'Incremental Repayments'!$I$22)),0),0)</f>
        <v>0</v>
      </c>
      <c r="CW123" s="783">
        <f>IF('Incremental Repayments'!$R$22="Debt",IF(AND(CW$4&gt;=$D123,CW$4&lt;$D123+'Incremental Repayments'!$I$31),-PMT('Interest Rate'!$J$16,'Incremental Repayments'!$I$31,(HLOOKUP($D123,$E$4:$CZ$32,28,FALSE)*'Incremental Repayments'!$I$22)),0),0)</f>
        <v>0</v>
      </c>
      <c r="CX123" s="783">
        <f>IF('Incremental Repayments'!$R$22="Debt",IF(AND(CX$4&gt;=$D123,CX$4&lt;$D123+'Incremental Repayments'!$I$31),-PMT('Interest Rate'!$J$16,'Incremental Repayments'!$I$31,(HLOOKUP($D123,$E$4:$CZ$32,28,FALSE)*'Incremental Repayments'!$I$22)),0),0)</f>
        <v>0</v>
      </c>
      <c r="CY123" s="783">
        <f>IF('Incremental Repayments'!$R$22="Debt",IF(AND(CY$4&gt;=$D123,CY$4&lt;$D123+'Incremental Repayments'!$I$31),-PMT('Interest Rate'!$J$16,'Incremental Repayments'!$I$31,(HLOOKUP($D123,$E$4:$CZ$32,28,FALSE)*'Incremental Repayments'!$I$22)),0),0)</f>
        <v>0</v>
      </c>
      <c r="CZ123" s="783">
        <f>IF('Incremental Repayments'!$R$22="Debt",IF(AND(CZ$4&gt;=$D123,CZ$4&lt;$D123+'Incremental Repayments'!$I$31),-PMT('Interest Rate'!$J$16,'Incremental Repayments'!$I$31,(HLOOKUP($D123,$E$4:$CZ$32,28,FALSE)*'Incremental Repayments'!$I$22)),0),0)</f>
        <v>0</v>
      </c>
    </row>
    <row r="124" spans="1:104" s="762" customFormat="1" x14ac:dyDescent="0.25">
      <c r="B124" s="765" t="s">
        <v>532</v>
      </c>
      <c r="C124" s="765"/>
      <c r="D124" s="766"/>
      <c r="E124" s="477">
        <f>IF('Incremental Repayments'!$R$22="Debt",IF(AND(E$4&gt;=$D124,E$4&lt;$D124+'Incremental Repayments'!$I$31),-PMT('Interest Rate'!$J$16,'Incremental Repayments'!$I$31,(HLOOKUP($D124,$E$4:$CZ$32,28,FALSE)*(1+'Interest Rate'!$J$16)^($D124-$E$4)*'Incremental Repayments'!$I$22)),0),0)</f>
        <v>0</v>
      </c>
      <c r="F124" s="767">
        <f t="shared" ref="F124:T124" si="49">SUM(F53:F123)</f>
        <v>3069577.1454296578</v>
      </c>
      <c r="G124" s="767">
        <f t="shared" si="49"/>
        <v>3069577.1454296578</v>
      </c>
      <c r="H124" s="767">
        <f t="shared" si="49"/>
        <v>3069577.1454296578</v>
      </c>
      <c r="I124" s="767">
        <f t="shared" si="49"/>
        <v>3069577.1454296578</v>
      </c>
      <c r="J124" s="767">
        <f t="shared" si="49"/>
        <v>3069577.1454296578</v>
      </c>
      <c r="K124" s="767">
        <f t="shared" si="49"/>
        <v>3069577.1454296578</v>
      </c>
      <c r="L124" s="767">
        <f t="shared" si="49"/>
        <v>3069577.1454296578</v>
      </c>
      <c r="M124" s="767">
        <f t="shared" si="49"/>
        <v>3069577.1454296578</v>
      </c>
      <c r="N124" s="767">
        <f t="shared" si="49"/>
        <v>3069577.1454296578</v>
      </c>
      <c r="O124" s="767">
        <f t="shared" si="49"/>
        <v>3069577.1454296578</v>
      </c>
      <c r="P124" s="767">
        <f t="shared" si="49"/>
        <v>3069577.1454296578</v>
      </c>
      <c r="Q124" s="767">
        <f t="shared" si="49"/>
        <v>3069577.1454296578</v>
      </c>
      <c r="R124" s="767">
        <f t="shared" si="49"/>
        <v>3069577.1454296578</v>
      </c>
      <c r="S124" s="767">
        <f t="shared" si="49"/>
        <v>3069577.1454296578</v>
      </c>
      <c r="T124" s="767">
        <f t="shared" si="49"/>
        <v>3069577.1454296578</v>
      </c>
      <c r="U124" s="767">
        <f>SUM(U53:U123)</f>
        <v>3069577.1454296578</v>
      </c>
      <c r="V124" s="767">
        <f t="shared" ref="V124:CG124" si="50">SUM(V53:V123)</f>
        <v>3069577.1454296578</v>
      </c>
      <c r="W124" s="767">
        <f t="shared" si="50"/>
        <v>3798917.7972390321</v>
      </c>
      <c r="X124" s="767">
        <f t="shared" si="50"/>
        <v>6003890.6920353984</v>
      </c>
      <c r="Y124" s="767">
        <f t="shared" si="50"/>
        <v>9731704.343377864</v>
      </c>
      <c r="Z124" s="767">
        <f t="shared" si="50"/>
        <v>14921554.575133795</v>
      </c>
      <c r="AA124" s="767">
        <f t="shared" si="50"/>
        <v>21399691.541300599</v>
      </c>
      <c r="AB124" s="767">
        <f t="shared" si="50"/>
        <v>28888304.598284606</v>
      </c>
      <c r="AC124" s="767">
        <f t="shared" si="50"/>
        <v>37028565.508216701</v>
      </c>
      <c r="AD124" s="767">
        <f t="shared" si="50"/>
        <v>45415616.038890213</v>
      </c>
      <c r="AE124" s="767">
        <f t="shared" si="50"/>
        <v>53640817.991705678</v>
      </c>
      <c r="AF124" s="767">
        <f t="shared" si="50"/>
        <v>61334817.391377605</v>
      </c>
      <c r="AG124" s="767">
        <f t="shared" si="50"/>
        <v>68204443.121133313</v>
      </c>
      <c r="AH124" s="767">
        <f t="shared" si="50"/>
        <v>74057434.905724376</v>
      </c>
      <c r="AI124" s="767">
        <f t="shared" si="50"/>
        <v>75741780.103136554</v>
      </c>
      <c r="AJ124" s="767">
        <f t="shared" si="50"/>
        <v>79416700.980754092</v>
      </c>
      <c r="AK124" s="767">
        <f t="shared" si="50"/>
        <v>82114484.68821986</v>
      </c>
      <c r="AL124" s="767">
        <f t="shared" si="50"/>
        <v>83990008.115352631</v>
      </c>
      <c r="AM124" s="767">
        <f t="shared" si="50"/>
        <v>85220631.45489198</v>
      </c>
      <c r="AN124" s="767">
        <f t="shared" si="50"/>
        <v>85985287.981565163</v>
      </c>
      <c r="AO124" s="767">
        <f t="shared" si="50"/>
        <v>86426370.36411792</v>
      </c>
      <c r="AP124" s="767">
        <f t="shared" si="50"/>
        <v>86660890.618987143</v>
      </c>
      <c r="AQ124" s="767">
        <f t="shared" si="50"/>
        <v>86774821.459125191</v>
      </c>
      <c r="AR124" s="767">
        <f t="shared" si="50"/>
        <v>86824844.943533227</v>
      </c>
      <c r="AS124" s="767">
        <f t="shared" si="50"/>
        <v>86844424.056874514</v>
      </c>
      <c r="AT124" s="767">
        <f t="shared" si="50"/>
        <v>86851134.06804125</v>
      </c>
      <c r="AU124" s="767">
        <f t="shared" si="50"/>
        <v>86853099.691648096</v>
      </c>
      <c r="AV124" s="767">
        <f t="shared" si="50"/>
        <v>86853575.391444504</v>
      </c>
      <c r="AW124" s="767">
        <f t="shared" si="50"/>
        <v>86853665.7083368</v>
      </c>
      <c r="AX124" s="767">
        <f t="shared" si="50"/>
        <v>86853678.030520633</v>
      </c>
      <c r="AY124" s="767">
        <f t="shared" si="50"/>
        <v>86853679.036823899</v>
      </c>
      <c r="AZ124" s="767">
        <f t="shared" si="50"/>
        <v>86853679.061760142</v>
      </c>
      <c r="BA124" s="767">
        <f t="shared" si="50"/>
        <v>86124338.409950763</v>
      </c>
      <c r="BB124" s="767">
        <f t="shared" si="50"/>
        <v>83919365.515154406</v>
      </c>
      <c r="BC124" s="767">
        <f t="shared" si="50"/>
        <v>80191551.863811925</v>
      </c>
      <c r="BD124" s="767">
        <f t="shared" si="50"/>
        <v>75001701.632055998</v>
      </c>
      <c r="BE124" s="767">
        <f t="shared" si="50"/>
        <v>68523564.665889218</v>
      </c>
      <c r="BF124" s="767">
        <f t="shared" si="50"/>
        <v>61034951.608905211</v>
      </c>
      <c r="BG124" s="767">
        <f t="shared" si="50"/>
        <v>52894690.698973119</v>
      </c>
      <c r="BH124" s="767">
        <f t="shared" si="50"/>
        <v>44507640.168299615</v>
      </c>
      <c r="BI124" s="767">
        <f t="shared" si="50"/>
        <v>36282438.215484142</v>
      </c>
      <c r="BJ124" s="767">
        <f t="shared" si="50"/>
        <v>28588438.815812219</v>
      </c>
      <c r="BK124" s="767">
        <f t="shared" si="50"/>
        <v>21718813.086056516</v>
      </c>
      <c r="BL124" s="767">
        <f t="shared" si="50"/>
        <v>15865821.301465454</v>
      </c>
      <c r="BM124" s="767">
        <f t="shared" si="50"/>
        <v>11111898.95862361</v>
      </c>
      <c r="BN124" s="767">
        <f t="shared" si="50"/>
        <v>7436978.0810060687</v>
      </c>
      <c r="BO124" s="767">
        <f t="shared" si="50"/>
        <v>4739194.3735402962</v>
      </c>
      <c r="BP124" s="767">
        <f t="shared" si="50"/>
        <v>2863670.9464075188</v>
      </c>
      <c r="BQ124" s="767">
        <f t="shared" si="50"/>
        <v>1633047.6068681639</v>
      </c>
      <c r="BR124" s="767">
        <f t="shared" si="50"/>
        <v>868391.08019497455</v>
      </c>
      <c r="BS124" s="767">
        <f t="shared" si="50"/>
        <v>427308.69764222164</v>
      </c>
      <c r="BT124" s="767">
        <f t="shared" si="50"/>
        <v>192788.44277300133</v>
      </c>
      <c r="BU124" s="767">
        <f t="shared" si="50"/>
        <v>78857.602634946059</v>
      </c>
      <c r="BV124" s="767">
        <f t="shared" si="50"/>
        <v>28834.118226911552</v>
      </c>
      <c r="BW124" s="767">
        <f t="shared" si="50"/>
        <v>9255.0048856246431</v>
      </c>
      <c r="BX124" s="767">
        <f t="shared" si="50"/>
        <v>2544.9937188871513</v>
      </c>
      <c r="BY124" s="767">
        <f t="shared" si="50"/>
        <v>579.37011204170119</v>
      </c>
      <c r="BZ124" s="767">
        <f t="shared" si="50"/>
        <v>103.67031563860294</v>
      </c>
      <c r="CA124" s="767">
        <f t="shared" si="50"/>
        <v>13.353423342194869</v>
      </c>
      <c r="CB124" s="767">
        <f t="shared" si="50"/>
        <v>1.0312395171124851</v>
      </c>
      <c r="CC124" s="767">
        <f t="shared" si="50"/>
        <v>2.4936244468260826E-2</v>
      </c>
      <c r="CD124" s="767">
        <f t="shared" si="50"/>
        <v>0</v>
      </c>
      <c r="CE124" s="767">
        <f t="shared" si="50"/>
        <v>0</v>
      </c>
      <c r="CF124" s="767">
        <f t="shared" si="50"/>
        <v>0</v>
      </c>
      <c r="CG124" s="767">
        <f t="shared" si="50"/>
        <v>0</v>
      </c>
      <c r="CH124" s="767">
        <f t="shared" ref="CH124:CZ124" si="51">SUM(CH53:CH123)</f>
        <v>0</v>
      </c>
      <c r="CI124" s="767">
        <f t="shared" si="51"/>
        <v>0</v>
      </c>
      <c r="CJ124" s="767">
        <f t="shared" si="51"/>
        <v>0</v>
      </c>
      <c r="CK124" s="767">
        <f t="shared" si="51"/>
        <v>0</v>
      </c>
      <c r="CL124" s="767">
        <f t="shared" si="51"/>
        <v>0</v>
      </c>
      <c r="CM124" s="767">
        <f t="shared" si="51"/>
        <v>0</v>
      </c>
      <c r="CN124" s="767">
        <f t="shared" si="51"/>
        <v>0</v>
      </c>
      <c r="CO124" s="767">
        <f t="shared" si="51"/>
        <v>0</v>
      </c>
      <c r="CP124" s="767">
        <f t="shared" si="51"/>
        <v>0</v>
      </c>
      <c r="CQ124" s="767">
        <f t="shared" si="51"/>
        <v>0</v>
      </c>
      <c r="CR124" s="767">
        <f t="shared" si="51"/>
        <v>0</v>
      </c>
      <c r="CS124" s="767">
        <f t="shared" si="51"/>
        <v>0</v>
      </c>
      <c r="CT124" s="767">
        <f t="shared" si="51"/>
        <v>0</v>
      </c>
      <c r="CU124" s="767">
        <f t="shared" si="51"/>
        <v>0</v>
      </c>
      <c r="CV124" s="767">
        <f t="shared" si="51"/>
        <v>0</v>
      </c>
      <c r="CW124" s="767">
        <f t="shared" si="51"/>
        <v>0</v>
      </c>
      <c r="CX124" s="767">
        <f t="shared" si="51"/>
        <v>0</v>
      </c>
      <c r="CY124" s="767">
        <f t="shared" si="51"/>
        <v>0</v>
      </c>
      <c r="CZ124" s="767">
        <f t="shared" si="51"/>
        <v>0</v>
      </c>
    </row>
    <row r="125" spans="1:104" x14ac:dyDescent="0.25">
      <c r="B125" s="480"/>
      <c r="C125" s="782" t="s">
        <v>596</v>
      </c>
      <c r="D125" s="492"/>
      <c r="E125" s="477">
        <f>IF('Incremental Repayments'!$R$22="Debt",IF(AND(E$4&gt;=$D125,E$4&lt;$D125+'Incremental Repayments'!$I$31),-PMT('Interest Rate'!$J$16,'Incremental Repayments'!$I$31,(HLOOKUP($D125,$E$4:$CZ$32,28,FALSE)*(1+'Interest Rate'!$J$16)^($D125-$E$4)*'Incremental Repayments'!$I$22)),0),0)</f>
        <v>0</v>
      </c>
      <c r="F125" s="790">
        <f t="shared" ref="F125:BQ125" si="52">F52*(F124+F129)</f>
        <v>2937394.3975403425</v>
      </c>
      <c r="G125" s="790">
        <f t="shared" si="52"/>
        <v>2810903.7297036774</v>
      </c>
      <c r="H125" s="790">
        <f t="shared" si="52"/>
        <v>2689860.0284245713</v>
      </c>
      <c r="I125" s="790">
        <f t="shared" si="52"/>
        <v>2574028.7353345188</v>
      </c>
      <c r="J125" s="790">
        <f t="shared" si="52"/>
        <v>2463185.3926646113</v>
      </c>
      <c r="K125" s="790">
        <f t="shared" si="52"/>
        <v>2357115.2082914948</v>
      </c>
      <c r="L125" s="790">
        <f t="shared" si="52"/>
        <v>2255612.639513392</v>
      </c>
      <c r="M125" s="790">
        <f t="shared" si="52"/>
        <v>2158480.9947496583</v>
      </c>
      <c r="N125" s="790">
        <f t="shared" si="52"/>
        <v>2065532.0523920176</v>
      </c>
      <c r="O125" s="790">
        <f t="shared" si="52"/>
        <v>1976585.6960689165</v>
      </c>
      <c r="P125" s="790">
        <f t="shared" si="52"/>
        <v>1891469.5656161881</v>
      </c>
      <c r="Q125" s="790">
        <f t="shared" si="52"/>
        <v>1810018.7230776923</v>
      </c>
      <c r="R125" s="790">
        <f t="shared" si="52"/>
        <v>1732075.3330887007</v>
      </c>
      <c r="S125" s="790">
        <f t="shared" si="52"/>
        <v>1657488.3570226806</v>
      </c>
      <c r="T125" s="790">
        <f t="shared" si="52"/>
        <v>1586113.2603087851</v>
      </c>
      <c r="U125" s="790">
        <f t="shared" si="52"/>
        <v>1517811.732352905</v>
      </c>
      <c r="V125" s="790">
        <f t="shared" si="52"/>
        <v>1452451.4185195263</v>
      </c>
      <c r="W125" s="790">
        <f t="shared" si="52"/>
        <v>7099487.0424779877</v>
      </c>
      <c r="X125" s="790">
        <f t="shared" si="52"/>
        <v>18164205.269047014</v>
      </c>
      <c r="Y125" s="790">
        <f t="shared" si="52"/>
        <v>29213101.0138002</v>
      </c>
      <c r="Z125" s="790">
        <f t="shared" si="52"/>
        <v>39463860.95899874</v>
      </c>
      <c r="AA125" s="790">
        <f t="shared" si="52"/>
        <v>48192146.18088875</v>
      </c>
      <c r="AB125" s="790">
        <f t="shared" si="52"/>
        <v>54818448.065920331</v>
      </c>
      <c r="AC125" s="790">
        <f t="shared" si="52"/>
        <v>58978982.015262343</v>
      </c>
      <c r="AD125" s="790">
        <f t="shared" si="52"/>
        <v>60567398.817304119</v>
      </c>
      <c r="AE125" s="790">
        <f t="shared" si="52"/>
        <v>59738742.938185737</v>
      </c>
      <c r="AF125" s="790">
        <f t="shared" si="52"/>
        <v>56874153.631644435</v>
      </c>
      <c r="AG125" s="790">
        <f t="shared" si="52"/>
        <v>52512759.529122248</v>
      </c>
      <c r="AH125" s="790">
        <f t="shared" si="52"/>
        <v>47264073.9277431</v>
      </c>
      <c r="AI125" s="790">
        <f t="shared" si="52"/>
        <v>40898499.350799151</v>
      </c>
      <c r="AJ125" s="790">
        <f t="shared" si="52"/>
        <v>35585628.583461754</v>
      </c>
      <c r="AK125" s="790">
        <f t="shared" si="52"/>
        <v>30821263.402016584</v>
      </c>
      <c r="AL125" s="790">
        <f t="shared" si="52"/>
        <v>26799108.871902037</v>
      </c>
      <c r="AM125" s="790">
        <f t="shared" si="52"/>
        <v>23568651.331416477</v>
      </c>
      <c r="AN125" s="790">
        <f t="shared" si="52"/>
        <v>21091355.717646968</v>
      </c>
      <c r="AO125" s="790">
        <f t="shared" si="52"/>
        <v>19192915.389232993</v>
      </c>
      <c r="AP125" s="790">
        <f t="shared" si="52"/>
        <v>17752293.799222458</v>
      </c>
      <c r="AQ125" s="790">
        <f t="shared" si="52"/>
        <v>16640439.427725142</v>
      </c>
      <c r="AR125" s="790">
        <f t="shared" si="52"/>
        <v>15745824.827416599</v>
      </c>
      <c r="AS125" s="790">
        <f t="shared" si="52"/>
        <v>14985880.86913332</v>
      </c>
      <c r="AT125" s="790">
        <f t="shared" si="52"/>
        <v>14307171.520331351</v>
      </c>
      <c r="AU125" s="790">
        <f t="shared" si="52"/>
        <v>13679215.584136724</v>
      </c>
      <c r="AV125" s="790">
        <f t="shared" si="52"/>
        <v>13086573.711768817</v>
      </c>
      <c r="AW125" s="790">
        <f t="shared" si="52"/>
        <v>12522145.02735989</v>
      </c>
      <c r="AX125" s="790">
        <f t="shared" si="52"/>
        <v>11982740.325371413</v>
      </c>
      <c r="AY125" s="790">
        <f t="shared" si="52"/>
        <v>11466712.951371672</v>
      </c>
      <c r="AZ125" s="790">
        <f t="shared" si="52"/>
        <v>10972929.037532242</v>
      </c>
      <c r="BA125" s="790">
        <f t="shared" si="52"/>
        <v>10412234.901790779</v>
      </c>
      <c r="BB125" s="790">
        <f t="shared" si="52"/>
        <v>9708764.3426908683</v>
      </c>
      <c r="BC125" s="790">
        <f t="shared" si="52"/>
        <v>8877978.6370450575</v>
      </c>
      <c r="BD125" s="790">
        <f t="shared" si="52"/>
        <v>7945848.9325485174</v>
      </c>
      <c r="BE125" s="790">
        <f t="shared" si="52"/>
        <v>6946928.7411545776</v>
      </c>
      <c r="BF125" s="790">
        <f t="shared" si="52"/>
        <v>5921274.7208846686</v>
      </c>
      <c r="BG125" s="790">
        <f t="shared" si="52"/>
        <v>4910575.5576941473</v>
      </c>
      <c r="BH125" s="790">
        <f t="shared" si="52"/>
        <v>3954017.5595140122</v>
      </c>
      <c r="BI125" s="790">
        <f t="shared" si="52"/>
        <v>3084495.9145216784</v>
      </c>
      <c r="BJ125" s="790">
        <f t="shared" si="52"/>
        <v>2325743.8657678016</v>
      </c>
      <c r="BK125" s="790">
        <f t="shared" si="52"/>
        <v>1690796.1171823267</v>
      </c>
      <c r="BL125" s="790">
        <f t="shared" si="52"/>
        <v>1181956.3061172501</v>
      </c>
      <c r="BM125" s="790">
        <f t="shared" si="52"/>
        <v>792156.25687606307</v>
      </c>
      <c r="BN125" s="790">
        <f t="shared" si="52"/>
        <v>507344.29856509314</v>
      </c>
      <c r="BO125" s="790">
        <f t="shared" si="52"/>
        <v>309381.62307579955</v>
      </c>
      <c r="BP125" s="790">
        <f t="shared" si="52"/>
        <v>178894.42854935757</v>
      </c>
      <c r="BQ125" s="790">
        <f t="shared" si="52"/>
        <v>97623.923272854663</v>
      </c>
      <c r="BR125" s="790">
        <f t="shared" ref="BR125:CZ125" si="53">BR52*(BR124+BR129)</f>
        <v>49677.127421318757</v>
      </c>
      <c r="BS125" s="790">
        <f t="shared" si="53"/>
        <v>23391.9573389498</v>
      </c>
      <c r="BT125" s="790">
        <f t="shared" si="53"/>
        <v>10099.259590940754</v>
      </c>
      <c r="BU125" s="790">
        <f t="shared" si="53"/>
        <v>3953.0819665625645</v>
      </c>
      <c r="BV125" s="790">
        <f t="shared" si="53"/>
        <v>1383.1925272786616</v>
      </c>
      <c r="BW125" s="790">
        <f t="shared" si="53"/>
        <v>424.85068327576039</v>
      </c>
      <c r="BX125" s="790">
        <f t="shared" si="53"/>
        <v>111.79698542618399</v>
      </c>
      <c r="BY125" s="790">
        <f t="shared" si="53"/>
        <v>24.354721926251322</v>
      </c>
      <c r="BZ125" s="790">
        <f t="shared" si="53"/>
        <v>4.1702800279986896</v>
      </c>
      <c r="CA125" s="790">
        <f t="shared" si="53"/>
        <v>0.51402841202539051</v>
      </c>
      <c r="CB125" s="790">
        <f t="shared" si="53"/>
        <v>3.7987241984913482E-2</v>
      </c>
      <c r="CC125" s="790">
        <f t="shared" si="53"/>
        <v>8.7900829416651647E-4</v>
      </c>
      <c r="CD125" s="790">
        <f t="shared" si="53"/>
        <v>0</v>
      </c>
      <c r="CE125" s="790">
        <f t="shared" si="53"/>
        <v>0</v>
      </c>
      <c r="CF125" s="790">
        <f t="shared" si="53"/>
        <v>0</v>
      </c>
      <c r="CG125" s="790">
        <f t="shared" si="53"/>
        <v>0</v>
      </c>
      <c r="CH125" s="790">
        <f t="shared" si="53"/>
        <v>0</v>
      </c>
      <c r="CI125" s="790">
        <f t="shared" si="53"/>
        <v>0</v>
      </c>
      <c r="CJ125" s="790">
        <f t="shared" si="53"/>
        <v>0</v>
      </c>
      <c r="CK125" s="790">
        <f t="shared" si="53"/>
        <v>0</v>
      </c>
      <c r="CL125" s="790">
        <f t="shared" si="53"/>
        <v>0</v>
      </c>
      <c r="CM125" s="790">
        <f t="shared" si="53"/>
        <v>0</v>
      </c>
      <c r="CN125" s="790">
        <f t="shared" si="53"/>
        <v>0</v>
      </c>
      <c r="CO125" s="790">
        <f t="shared" si="53"/>
        <v>0</v>
      </c>
      <c r="CP125" s="790">
        <f t="shared" si="53"/>
        <v>0</v>
      </c>
      <c r="CQ125" s="790">
        <f t="shared" si="53"/>
        <v>0</v>
      </c>
      <c r="CR125" s="790">
        <f t="shared" si="53"/>
        <v>0</v>
      </c>
      <c r="CS125" s="790">
        <f t="shared" si="53"/>
        <v>0</v>
      </c>
      <c r="CT125" s="790">
        <f t="shared" si="53"/>
        <v>0</v>
      </c>
      <c r="CU125" s="790">
        <f t="shared" si="53"/>
        <v>0</v>
      </c>
      <c r="CV125" s="790">
        <f t="shared" si="53"/>
        <v>0</v>
      </c>
      <c r="CW125" s="790">
        <f t="shared" si="53"/>
        <v>0</v>
      </c>
      <c r="CX125" s="790">
        <f t="shared" si="53"/>
        <v>0</v>
      </c>
      <c r="CY125" s="790">
        <f t="shared" si="53"/>
        <v>0</v>
      </c>
      <c r="CZ125" s="790">
        <f t="shared" si="53"/>
        <v>0</v>
      </c>
    </row>
    <row r="126" spans="1:104" s="410" customFormat="1" x14ac:dyDescent="0.25">
      <c r="A126" s="762" t="s">
        <v>533</v>
      </c>
      <c r="B126" s="768"/>
      <c r="C126" s="768"/>
      <c r="D126" s="769"/>
      <c r="E126" s="770"/>
      <c r="F126" s="770"/>
      <c r="G126" s="770"/>
      <c r="H126" s="770"/>
      <c r="I126" s="770"/>
      <c r="J126" s="770"/>
      <c r="K126" s="770"/>
      <c r="L126" s="770"/>
      <c r="M126" s="770"/>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c r="AN126" s="770"/>
      <c r="AO126" s="770"/>
      <c r="AP126" s="770"/>
      <c r="AQ126" s="770"/>
      <c r="AR126" s="770"/>
      <c r="AS126" s="770"/>
      <c r="AT126" s="770"/>
      <c r="AU126" s="770"/>
      <c r="AV126" s="770"/>
      <c r="AW126" s="770"/>
      <c r="AX126" s="770"/>
      <c r="AY126" s="770"/>
      <c r="AZ126" s="770"/>
      <c r="BA126" s="770"/>
      <c r="BB126" s="770"/>
      <c r="BC126" s="770"/>
      <c r="BD126" s="770"/>
      <c r="BE126" s="770"/>
      <c r="BF126" s="770"/>
      <c r="BG126" s="770"/>
      <c r="BH126" s="770"/>
      <c r="BI126" s="770"/>
      <c r="BJ126" s="770"/>
      <c r="BK126" s="770"/>
      <c r="BL126" s="770"/>
      <c r="BM126" s="770"/>
      <c r="BN126" s="770"/>
      <c r="BO126" s="770"/>
      <c r="BP126" s="770"/>
      <c r="BQ126" s="770"/>
      <c r="BR126" s="770"/>
      <c r="BS126" s="770"/>
      <c r="BT126" s="770"/>
      <c r="BU126" s="770"/>
      <c r="BV126" s="770"/>
      <c r="BW126" s="770"/>
      <c r="BX126" s="770"/>
      <c r="BY126" s="770"/>
      <c r="BZ126" s="770"/>
      <c r="CA126" s="770"/>
      <c r="CB126" s="770"/>
      <c r="CC126" s="770"/>
      <c r="CD126" s="770"/>
      <c r="CE126" s="770"/>
      <c r="CF126" s="770"/>
      <c r="CG126" s="770"/>
      <c r="CH126" s="770"/>
      <c r="CI126" s="770"/>
      <c r="CJ126" s="770"/>
      <c r="CK126" s="770"/>
      <c r="CL126" s="770"/>
      <c r="CM126" s="770"/>
      <c r="CN126" s="770"/>
      <c r="CO126" s="770"/>
      <c r="CP126" s="770"/>
      <c r="CQ126" s="770"/>
      <c r="CR126" s="770"/>
      <c r="CS126" s="770"/>
      <c r="CT126" s="770"/>
      <c r="CU126" s="770"/>
      <c r="CV126" s="770"/>
      <c r="CW126" s="770"/>
      <c r="CX126" s="770"/>
      <c r="CY126" s="770"/>
      <c r="CZ126" s="770"/>
    </row>
    <row r="127" spans="1:104" s="410" customFormat="1" x14ac:dyDescent="0.25">
      <c r="B127" s="768" t="s">
        <v>534</v>
      </c>
      <c r="C127" s="768"/>
      <c r="D127" s="769"/>
      <c r="E127" s="763">
        <f>E124+E37+E40+E48</f>
        <v>0</v>
      </c>
      <c r="F127" s="763">
        <f t="shared" ref="F127:Y127" si="54">F124+F37+F40+F48</f>
        <v>3069577.1454296578</v>
      </c>
      <c r="G127" s="763">
        <f t="shared" si="54"/>
        <v>3069577.1454296578</v>
      </c>
      <c r="H127" s="763">
        <f t="shared" si="54"/>
        <v>3069577.1454296578</v>
      </c>
      <c r="I127" s="763">
        <f t="shared" si="54"/>
        <v>3069577.1454296578</v>
      </c>
      <c r="J127" s="763">
        <f t="shared" si="54"/>
        <v>3069577.1454296578</v>
      </c>
      <c r="K127" s="763">
        <f t="shared" si="54"/>
        <v>3069577.1454296578</v>
      </c>
      <c r="L127" s="763">
        <f t="shared" si="54"/>
        <v>3069577.1454296578</v>
      </c>
      <c r="M127" s="763">
        <f t="shared" si="54"/>
        <v>3069577.1454296578</v>
      </c>
      <c r="N127" s="763">
        <f t="shared" si="54"/>
        <v>3069577.1454296578</v>
      </c>
      <c r="O127" s="763">
        <f t="shared" si="54"/>
        <v>3069577.1454296578</v>
      </c>
      <c r="P127" s="763">
        <f t="shared" si="54"/>
        <v>3069577.1454296578</v>
      </c>
      <c r="Q127" s="763">
        <f t="shared" si="54"/>
        <v>3069577.1454296578</v>
      </c>
      <c r="R127" s="763">
        <f t="shared" si="54"/>
        <v>3069577.1454296578</v>
      </c>
      <c r="S127" s="763">
        <f t="shared" si="54"/>
        <v>3069577.1454296578</v>
      </c>
      <c r="T127" s="763">
        <f t="shared" si="54"/>
        <v>3069577.1454296578</v>
      </c>
      <c r="U127" s="763">
        <f t="shared" si="54"/>
        <v>3069577.1454296578</v>
      </c>
      <c r="V127" s="763">
        <f t="shared" si="54"/>
        <v>3069577.1454296578</v>
      </c>
      <c r="W127" s="763">
        <f t="shared" si="54"/>
        <v>15679066.385380907</v>
      </c>
      <c r="X127" s="763">
        <f t="shared" si="54"/>
        <v>41920448.418551341</v>
      </c>
      <c r="Y127" s="763">
        <f t="shared" si="54"/>
        <v>70453645.423973709</v>
      </c>
      <c r="Z127" s="763">
        <f>Z124+Z37+Z40+Z48</f>
        <v>99458446.561757788</v>
      </c>
      <c r="AA127" s="763">
        <f>AA124+AA37+AA40+AA48</f>
        <v>126921342.55782911</v>
      </c>
      <c r="AB127" s="763">
        <f t="shared" ref="AB127:CN127" si="55">AB124+AB37+AB40+AB48</f>
        <v>150869488.03480327</v>
      </c>
      <c r="AC127" s="763">
        <f t="shared" si="55"/>
        <v>169624368.1915319</v>
      </c>
      <c r="AD127" s="763">
        <f t="shared" si="55"/>
        <v>182031347.34834963</v>
      </c>
      <c r="AE127" s="763">
        <f t="shared" si="55"/>
        <v>187620215.85538375</v>
      </c>
      <c r="AF127" s="763">
        <f t="shared" si="55"/>
        <v>186661516.07245889</v>
      </c>
      <c r="AG127" s="763">
        <f t="shared" si="55"/>
        <v>180103010.97410285</v>
      </c>
      <c r="AH127" s="763">
        <f t="shared" si="55"/>
        <v>169396165.73556638</v>
      </c>
      <c r="AI127" s="763">
        <f t="shared" si="55"/>
        <v>153177891.29389185</v>
      </c>
      <c r="AJ127" s="763">
        <f t="shared" si="55"/>
        <v>139277077.56534636</v>
      </c>
      <c r="AK127" s="763">
        <f t="shared" si="55"/>
        <v>126058382.81572819</v>
      </c>
      <c r="AL127" s="763">
        <f t="shared" si="55"/>
        <v>114540200.18212107</v>
      </c>
      <c r="AM127" s="763">
        <f t="shared" si="55"/>
        <v>105266117.87264906</v>
      </c>
      <c r="AN127" s="763">
        <f t="shared" si="55"/>
        <v>98440692.919207782</v>
      </c>
      <c r="AO127" s="763">
        <f t="shared" si="55"/>
        <v>93611112.132369086</v>
      </c>
      <c r="AP127" s="763">
        <f t="shared" si="55"/>
        <v>90480964.911930084</v>
      </c>
      <c r="AQ127" s="763">
        <f t="shared" si="55"/>
        <v>88630628.215891168</v>
      </c>
      <c r="AR127" s="763">
        <f t="shared" si="55"/>
        <v>87639671.905652672</v>
      </c>
      <c r="AS127" s="763">
        <f t="shared" si="55"/>
        <v>87163346.051886737</v>
      </c>
      <c r="AT127" s="763">
        <f t="shared" si="55"/>
        <v>86960432.692067176</v>
      </c>
      <c r="AU127" s="763">
        <f t="shared" si="55"/>
        <v>86885117.515500024</v>
      </c>
      <c r="AV127" s="763">
        <f t="shared" si="55"/>
        <v>86861324.012408659</v>
      </c>
      <c r="AW127" s="763">
        <f t="shared" si="55"/>
        <v>86855136.870129079</v>
      </c>
      <c r="AX127" s="763">
        <f t="shared" si="55"/>
        <v>86853878.745199576</v>
      </c>
      <c r="AY127" s="763">
        <f t="shared" si="55"/>
        <v>86853695.428385749</v>
      </c>
      <c r="AZ127" s="763">
        <f t="shared" si="55"/>
        <v>86853679.467943847</v>
      </c>
      <c r="BA127" s="763">
        <f t="shared" si="55"/>
        <v>86124338.409950763</v>
      </c>
      <c r="BB127" s="763">
        <f t="shared" si="55"/>
        <v>83919365.515154406</v>
      </c>
      <c r="BC127" s="763">
        <f t="shared" si="55"/>
        <v>80191551.863811925</v>
      </c>
      <c r="BD127" s="763">
        <f t="shared" si="55"/>
        <v>75001701.632055998</v>
      </c>
      <c r="BE127" s="763">
        <f t="shared" si="55"/>
        <v>68523564.665889218</v>
      </c>
      <c r="BF127" s="763">
        <f t="shared" si="55"/>
        <v>61034951.608905211</v>
      </c>
      <c r="BG127" s="763">
        <f t="shared" si="55"/>
        <v>52894690.698973119</v>
      </c>
      <c r="BH127" s="763">
        <f t="shared" si="55"/>
        <v>44507640.168299615</v>
      </c>
      <c r="BI127" s="763">
        <f t="shared" si="55"/>
        <v>36282438.215484142</v>
      </c>
      <c r="BJ127" s="763">
        <f t="shared" si="55"/>
        <v>28588438.815812219</v>
      </c>
      <c r="BK127" s="763">
        <f t="shared" si="55"/>
        <v>21718813.086056516</v>
      </c>
      <c r="BL127" s="763">
        <f t="shared" si="55"/>
        <v>15865821.301465454</v>
      </c>
      <c r="BM127" s="763">
        <f t="shared" si="55"/>
        <v>11111898.95862361</v>
      </c>
      <c r="BN127" s="763">
        <f t="shared" si="55"/>
        <v>7436978.0810060687</v>
      </c>
      <c r="BO127" s="763">
        <f t="shared" si="55"/>
        <v>4739194.3735402962</v>
      </c>
      <c r="BP127" s="763">
        <f t="shared" si="55"/>
        <v>2863670.9464075188</v>
      </c>
      <c r="BQ127" s="763">
        <f t="shared" si="55"/>
        <v>1633047.6068681639</v>
      </c>
      <c r="BR127" s="763">
        <f t="shared" si="55"/>
        <v>868391.08019497455</v>
      </c>
      <c r="BS127" s="763">
        <f t="shared" si="55"/>
        <v>427308.69764222164</v>
      </c>
      <c r="BT127" s="763">
        <f t="shared" si="55"/>
        <v>192788.44277300133</v>
      </c>
      <c r="BU127" s="763">
        <f t="shared" si="55"/>
        <v>78857.602634946059</v>
      </c>
      <c r="BV127" s="763">
        <f t="shared" si="55"/>
        <v>28834.118226911552</v>
      </c>
      <c r="BW127" s="763">
        <f t="shared" si="55"/>
        <v>9255.0048856246431</v>
      </c>
      <c r="BX127" s="763">
        <f t="shared" si="55"/>
        <v>2544.9937188871513</v>
      </c>
      <c r="BY127" s="763">
        <f t="shared" si="55"/>
        <v>579.37011204170119</v>
      </c>
      <c r="BZ127" s="763">
        <f t="shared" si="55"/>
        <v>103.67031563860294</v>
      </c>
      <c r="CA127" s="763">
        <f t="shared" si="55"/>
        <v>13.353423342194869</v>
      </c>
      <c r="CB127" s="763">
        <f t="shared" si="55"/>
        <v>1.0312395171124851</v>
      </c>
      <c r="CC127" s="763">
        <f t="shared" si="55"/>
        <v>2.4936244468260826E-2</v>
      </c>
      <c r="CD127" s="763">
        <f t="shared" si="55"/>
        <v>0</v>
      </c>
      <c r="CE127" s="763">
        <f t="shared" si="55"/>
        <v>0</v>
      </c>
      <c r="CF127" s="763">
        <f t="shared" si="55"/>
        <v>0</v>
      </c>
      <c r="CG127" s="763">
        <f t="shared" si="55"/>
        <v>0</v>
      </c>
      <c r="CH127" s="763">
        <f t="shared" si="55"/>
        <v>0</v>
      </c>
      <c r="CI127" s="763">
        <f t="shared" si="55"/>
        <v>0</v>
      </c>
      <c r="CJ127" s="763">
        <f t="shared" si="55"/>
        <v>0</v>
      </c>
      <c r="CK127" s="763">
        <f t="shared" si="55"/>
        <v>0</v>
      </c>
      <c r="CL127" s="763">
        <f t="shared" si="55"/>
        <v>0</v>
      </c>
      <c r="CM127" s="763">
        <f>CM124+CM37+CM40+CM48</f>
        <v>0</v>
      </c>
      <c r="CN127" s="763">
        <f t="shared" si="55"/>
        <v>0</v>
      </c>
      <c r="CO127" s="763">
        <f t="shared" ref="CO127:CP127" si="56">CO124+CO37+CO40+CO48</f>
        <v>0</v>
      </c>
      <c r="CP127" s="763">
        <f t="shared" si="56"/>
        <v>0</v>
      </c>
      <c r="CQ127" s="763">
        <f t="shared" ref="CQ127:CZ127" si="57">CQ124+CQ37+CQ40+CQ48+CQ124</f>
        <v>0</v>
      </c>
      <c r="CR127" s="763">
        <f t="shared" si="57"/>
        <v>0</v>
      </c>
      <c r="CS127" s="763">
        <f t="shared" si="57"/>
        <v>0</v>
      </c>
      <c r="CT127" s="763">
        <f t="shared" si="57"/>
        <v>0</v>
      </c>
      <c r="CU127" s="763">
        <f t="shared" si="57"/>
        <v>0</v>
      </c>
      <c r="CV127" s="763">
        <f t="shared" si="57"/>
        <v>0</v>
      </c>
      <c r="CW127" s="763">
        <f t="shared" si="57"/>
        <v>0</v>
      </c>
      <c r="CX127" s="763">
        <f t="shared" si="57"/>
        <v>0</v>
      </c>
      <c r="CY127" s="763">
        <f t="shared" si="57"/>
        <v>0</v>
      </c>
      <c r="CZ127" s="763">
        <f t="shared" si="57"/>
        <v>0</v>
      </c>
    </row>
    <row r="128" spans="1:104" s="410" customFormat="1" x14ac:dyDescent="0.25">
      <c r="B128" s="768"/>
      <c r="C128" s="768" t="s">
        <v>378</v>
      </c>
      <c r="D128" s="769"/>
      <c r="E128" s="763">
        <f>E37+E45+E124</f>
        <v>0</v>
      </c>
      <c r="F128" s="763">
        <f t="shared" ref="F128:BQ128" si="58">F37+F45+F124</f>
        <v>3069577.1454296578</v>
      </c>
      <c r="G128" s="763">
        <f t="shared" si="58"/>
        <v>3069577.1454296578</v>
      </c>
      <c r="H128" s="763">
        <f t="shared" si="58"/>
        <v>3069577.1454296578</v>
      </c>
      <c r="I128" s="763">
        <f t="shared" si="58"/>
        <v>3069577.1454296578</v>
      </c>
      <c r="J128" s="763">
        <f t="shared" si="58"/>
        <v>3069577.1454296578</v>
      </c>
      <c r="K128" s="763">
        <f t="shared" si="58"/>
        <v>3069577.1454296578</v>
      </c>
      <c r="L128" s="763">
        <f t="shared" si="58"/>
        <v>3069577.1454296578</v>
      </c>
      <c r="M128" s="763">
        <f t="shared" si="58"/>
        <v>3069577.1454296578</v>
      </c>
      <c r="N128" s="763">
        <f t="shared" si="58"/>
        <v>3069577.1454296578</v>
      </c>
      <c r="O128" s="763">
        <f t="shared" si="58"/>
        <v>3069577.1454296578</v>
      </c>
      <c r="P128" s="763">
        <f t="shared" si="58"/>
        <v>3069577.1454296578</v>
      </c>
      <c r="Q128" s="763">
        <f t="shared" si="58"/>
        <v>3069577.1454296578</v>
      </c>
      <c r="R128" s="763">
        <f t="shared" si="58"/>
        <v>3069577.1454296578</v>
      </c>
      <c r="S128" s="763">
        <f t="shared" si="58"/>
        <v>3069577.1454296578</v>
      </c>
      <c r="T128" s="763">
        <f t="shared" si="58"/>
        <v>3069577.1454296578</v>
      </c>
      <c r="U128" s="763">
        <f t="shared" si="58"/>
        <v>3069577.1454296578</v>
      </c>
      <c r="V128" s="763">
        <f t="shared" si="58"/>
        <v>3069577.1454296578</v>
      </c>
      <c r="W128" s="763">
        <f t="shared" si="58"/>
        <v>3798917.7972390321</v>
      </c>
      <c r="X128" s="763">
        <f t="shared" si="58"/>
        <v>6003890.6920353984</v>
      </c>
      <c r="Y128" s="763">
        <f t="shared" si="58"/>
        <v>9731704.343377864</v>
      </c>
      <c r="Z128" s="763">
        <f t="shared" si="58"/>
        <v>14921554.575133795</v>
      </c>
      <c r="AA128" s="763">
        <f t="shared" si="58"/>
        <v>21399691.541300599</v>
      </c>
      <c r="AB128" s="763">
        <f t="shared" si="58"/>
        <v>28888304.598284606</v>
      </c>
      <c r="AC128" s="763">
        <f t="shared" si="58"/>
        <v>37028565.508216701</v>
      </c>
      <c r="AD128" s="763">
        <f t="shared" si="58"/>
        <v>45415616.038890213</v>
      </c>
      <c r="AE128" s="763">
        <f t="shared" si="58"/>
        <v>53640817.991705678</v>
      </c>
      <c r="AF128" s="763">
        <f t="shared" si="58"/>
        <v>61334817.391377605</v>
      </c>
      <c r="AG128" s="763">
        <f t="shared" si="58"/>
        <v>68204443.121133313</v>
      </c>
      <c r="AH128" s="763">
        <f t="shared" si="58"/>
        <v>74057434.905724376</v>
      </c>
      <c r="AI128" s="763">
        <f t="shared" si="58"/>
        <v>75741780.103136554</v>
      </c>
      <c r="AJ128" s="763">
        <f t="shared" si="58"/>
        <v>79416700.980754092</v>
      </c>
      <c r="AK128" s="763">
        <f t="shared" si="58"/>
        <v>82114484.68821986</v>
      </c>
      <c r="AL128" s="763">
        <f t="shared" si="58"/>
        <v>83990008.115352631</v>
      </c>
      <c r="AM128" s="763">
        <f t="shared" si="58"/>
        <v>85220631.45489198</v>
      </c>
      <c r="AN128" s="763">
        <f t="shared" si="58"/>
        <v>85985287.981565163</v>
      </c>
      <c r="AO128" s="763">
        <f t="shared" si="58"/>
        <v>86426370.36411792</v>
      </c>
      <c r="AP128" s="763">
        <f t="shared" si="58"/>
        <v>86660890.618987143</v>
      </c>
      <c r="AQ128" s="763">
        <f t="shared" si="58"/>
        <v>86774821.459125191</v>
      </c>
      <c r="AR128" s="763">
        <f t="shared" si="58"/>
        <v>86824844.943533227</v>
      </c>
      <c r="AS128" s="763">
        <f t="shared" si="58"/>
        <v>86844424.056874514</v>
      </c>
      <c r="AT128" s="763">
        <f t="shared" si="58"/>
        <v>86851134.06804125</v>
      </c>
      <c r="AU128" s="763">
        <f t="shared" si="58"/>
        <v>86853099.691648096</v>
      </c>
      <c r="AV128" s="763">
        <f t="shared" si="58"/>
        <v>86853575.391444504</v>
      </c>
      <c r="AW128" s="763">
        <f t="shared" si="58"/>
        <v>86853665.7083368</v>
      </c>
      <c r="AX128" s="763">
        <f t="shared" si="58"/>
        <v>86853678.030520633</v>
      </c>
      <c r="AY128" s="763">
        <f t="shared" si="58"/>
        <v>86853679.036823899</v>
      </c>
      <c r="AZ128" s="763">
        <f t="shared" si="58"/>
        <v>86853679.061760142</v>
      </c>
      <c r="BA128" s="763">
        <f t="shared" si="58"/>
        <v>86124338.409950763</v>
      </c>
      <c r="BB128" s="763">
        <f t="shared" si="58"/>
        <v>83919365.515154406</v>
      </c>
      <c r="BC128" s="763">
        <f t="shared" si="58"/>
        <v>80191551.863811925</v>
      </c>
      <c r="BD128" s="763">
        <f t="shared" si="58"/>
        <v>75001701.632055998</v>
      </c>
      <c r="BE128" s="763">
        <f t="shared" si="58"/>
        <v>68523564.665889218</v>
      </c>
      <c r="BF128" s="763">
        <f t="shared" si="58"/>
        <v>61034951.608905211</v>
      </c>
      <c r="BG128" s="763">
        <f t="shared" si="58"/>
        <v>52894690.698973119</v>
      </c>
      <c r="BH128" s="763">
        <f t="shared" si="58"/>
        <v>44507640.168299615</v>
      </c>
      <c r="BI128" s="763">
        <f t="shared" si="58"/>
        <v>36282438.215484142</v>
      </c>
      <c r="BJ128" s="763">
        <f t="shared" si="58"/>
        <v>28588438.815812219</v>
      </c>
      <c r="BK128" s="763">
        <f t="shared" si="58"/>
        <v>21718813.086056516</v>
      </c>
      <c r="BL128" s="763">
        <f t="shared" si="58"/>
        <v>15865821.301465454</v>
      </c>
      <c r="BM128" s="763">
        <f t="shared" si="58"/>
        <v>11111898.95862361</v>
      </c>
      <c r="BN128" s="763">
        <f t="shared" si="58"/>
        <v>7436978.0810060687</v>
      </c>
      <c r="BO128" s="763">
        <f t="shared" si="58"/>
        <v>4739194.3735402962</v>
      </c>
      <c r="BP128" s="763">
        <f t="shared" si="58"/>
        <v>2863670.9464075188</v>
      </c>
      <c r="BQ128" s="763">
        <f t="shared" si="58"/>
        <v>1633047.6068681639</v>
      </c>
      <c r="BR128" s="763">
        <f t="shared" ref="BR128:CZ128" si="59">BR37+BR45+BR124</f>
        <v>868391.08019497455</v>
      </c>
      <c r="BS128" s="763">
        <f t="shared" si="59"/>
        <v>427308.69764222164</v>
      </c>
      <c r="BT128" s="763">
        <f t="shared" si="59"/>
        <v>192788.44277300133</v>
      </c>
      <c r="BU128" s="763">
        <f t="shared" si="59"/>
        <v>78857.602634946059</v>
      </c>
      <c r="BV128" s="763">
        <f t="shared" si="59"/>
        <v>28834.118226911552</v>
      </c>
      <c r="BW128" s="763">
        <f t="shared" si="59"/>
        <v>9255.0048856246431</v>
      </c>
      <c r="BX128" s="763">
        <f t="shared" si="59"/>
        <v>2544.9937188871513</v>
      </c>
      <c r="BY128" s="763">
        <f t="shared" si="59"/>
        <v>579.37011204170119</v>
      </c>
      <c r="BZ128" s="763">
        <f t="shared" si="59"/>
        <v>103.67031563860294</v>
      </c>
      <c r="CA128" s="763">
        <f t="shared" si="59"/>
        <v>13.353423342194869</v>
      </c>
      <c r="CB128" s="763">
        <f t="shared" si="59"/>
        <v>1.0312395171124851</v>
      </c>
      <c r="CC128" s="763">
        <f t="shared" si="59"/>
        <v>2.4936244468260826E-2</v>
      </c>
      <c r="CD128" s="763">
        <f t="shared" si="59"/>
        <v>0</v>
      </c>
      <c r="CE128" s="763">
        <f t="shared" si="59"/>
        <v>0</v>
      </c>
      <c r="CF128" s="763">
        <f t="shared" si="59"/>
        <v>0</v>
      </c>
      <c r="CG128" s="763">
        <f t="shared" si="59"/>
        <v>0</v>
      </c>
      <c r="CH128" s="763">
        <f t="shared" si="59"/>
        <v>0</v>
      </c>
      <c r="CI128" s="763">
        <f t="shared" si="59"/>
        <v>0</v>
      </c>
      <c r="CJ128" s="763">
        <f t="shared" si="59"/>
        <v>0</v>
      </c>
      <c r="CK128" s="763">
        <f t="shared" si="59"/>
        <v>0</v>
      </c>
      <c r="CL128" s="763">
        <f t="shared" si="59"/>
        <v>0</v>
      </c>
      <c r="CM128" s="763">
        <f t="shared" si="59"/>
        <v>0</v>
      </c>
      <c r="CN128" s="763">
        <f t="shared" si="59"/>
        <v>0</v>
      </c>
      <c r="CO128" s="763">
        <f t="shared" si="59"/>
        <v>0</v>
      </c>
      <c r="CP128" s="763">
        <f t="shared" si="59"/>
        <v>0</v>
      </c>
      <c r="CQ128" s="763">
        <f t="shared" si="59"/>
        <v>0</v>
      </c>
      <c r="CR128" s="763">
        <f t="shared" si="59"/>
        <v>0</v>
      </c>
      <c r="CS128" s="763">
        <f t="shared" si="59"/>
        <v>0</v>
      </c>
      <c r="CT128" s="763">
        <f t="shared" si="59"/>
        <v>0</v>
      </c>
      <c r="CU128" s="763">
        <f t="shared" si="59"/>
        <v>0</v>
      </c>
      <c r="CV128" s="763">
        <f t="shared" si="59"/>
        <v>0</v>
      </c>
      <c r="CW128" s="763">
        <f t="shared" si="59"/>
        <v>0</v>
      </c>
      <c r="CX128" s="763">
        <f t="shared" si="59"/>
        <v>0</v>
      </c>
      <c r="CY128" s="763">
        <f t="shared" si="59"/>
        <v>0</v>
      </c>
      <c r="CZ128" s="763">
        <f t="shared" si="59"/>
        <v>0</v>
      </c>
    </row>
    <row r="129" spans="1:104" s="410" customFormat="1" x14ac:dyDescent="0.25">
      <c r="B129" s="768"/>
      <c r="C129" s="768" t="s">
        <v>379</v>
      </c>
      <c r="D129" s="769"/>
      <c r="E129" s="763">
        <f>E40+E48</f>
        <v>0</v>
      </c>
      <c r="F129" s="763">
        <f t="shared" ref="F129:BQ129" si="60">F40+F48</f>
        <v>0</v>
      </c>
      <c r="G129" s="763">
        <f t="shared" si="60"/>
        <v>0</v>
      </c>
      <c r="H129" s="763">
        <f t="shared" si="60"/>
        <v>0</v>
      </c>
      <c r="I129" s="763">
        <f t="shared" si="60"/>
        <v>0</v>
      </c>
      <c r="J129" s="763">
        <f t="shared" si="60"/>
        <v>0</v>
      </c>
      <c r="K129" s="763">
        <f t="shared" si="60"/>
        <v>0</v>
      </c>
      <c r="L129" s="763">
        <f t="shared" si="60"/>
        <v>0</v>
      </c>
      <c r="M129" s="763">
        <f t="shared" si="60"/>
        <v>0</v>
      </c>
      <c r="N129" s="763">
        <f t="shared" si="60"/>
        <v>0</v>
      </c>
      <c r="O129" s="763">
        <f t="shared" si="60"/>
        <v>0</v>
      </c>
      <c r="P129" s="763">
        <f t="shared" si="60"/>
        <v>0</v>
      </c>
      <c r="Q129" s="763">
        <f t="shared" si="60"/>
        <v>0</v>
      </c>
      <c r="R129" s="763">
        <f t="shared" si="60"/>
        <v>0</v>
      </c>
      <c r="S129" s="763">
        <f t="shared" si="60"/>
        <v>0</v>
      </c>
      <c r="T129" s="763">
        <f t="shared" si="60"/>
        <v>0</v>
      </c>
      <c r="U129" s="763">
        <f t="shared" si="60"/>
        <v>0</v>
      </c>
      <c r="V129" s="763">
        <f t="shared" si="60"/>
        <v>0</v>
      </c>
      <c r="W129" s="763">
        <f t="shared" si="60"/>
        <v>11880148.588141875</v>
      </c>
      <c r="X129" s="763">
        <f t="shared" si="60"/>
        <v>35916557.726515941</v>
      </c>
      <c r="Y129" s="763">
        <f t="shared" si="60"/>
        <v>60721941.080595851</v>
      </c>
      <c r="Z129" s="763">
        <f t="shared" si="60"/>
        <v>84536891.986623988</v>
      </c>
      <c r="AA129" s="763">
        <f t="shared" si="60"/>
        <v>105521651.01652852</v>
      </c>
      <c r="AB129" s="763">
        <f t="shared" si="60"/>
        <v>121981183.43651867</v>
      </c>
      <c r="AC129" s="763">
        <f t="shared" si="60"/>
        <v>132595802.6833152</v>
      </c>
      <c r="AD129" s="763">
        <f t="shared" si="60"/>
        <v>136615731.30945942</v>
      </c>
      <c r="AE129" s="763">
        <f t="shared" si="60"/>
        <v>133979397.86367808</v>
      </c>
      <c r="AF129" s="763">
        <f t="shared" si="60"/>
        <v>125326698.68108128</v>
      </c>
      <c r="AG129" s="763">
        <f t="shared" si="60"/>
        <v>111898567.85296954</v>
      </c>
      <c r="AH129" s="763">
        <f t="shared" si="60"/>
        <v>95338730.829842001</v>
      </c>
      <c r="AI129" s="763">
        <f t="shared" si="60"/>
        <v>77436111.190755293</v>
      </c>
      <c r="AJ129" s="763">
        <f t="shared" si="60"/>
        <v>59860376.584592275</v>
      </c>
      <c r="AK129" s="763">
        <f t="shared" si="60"/>
        <v>43943898.12750832</v>
      </c>
      <c r="AL129" s="763">
        <f t="shared" si="60"/>
        <v>30550192.066768438</v>
      </c>
      <c r="AM129" s="763">
        <f t="shared" si="60"/>
        <v>20045486.417757083</v>
      </c>
      <c r="AN129" s="763">
        <f t="shared" si="60"/>
        <v>12455404.937642613</v>
      </c>
      <c r="AO129" s="763">
        <f t="shared" si="60"/>
        <v>7184741.7682511657</v>
      </c>
      <c r="AP129" s="763">
        <f t="shared" si="60"/>
        <v>3820074.292942944</v>
      </c>
      <c r="AQ129" s="763">
        <f t="shared" si="60"/>
        <v>1855806.7567659724</v>
      </c>
      <c r="AR129" s="763">
        <f t="shared" si="60"/>
        <v>814826.96211944486</v>
      </c>
      <c r="AS129" s="763">
        <f t="shared" si="60"/>
        <v>318921.99501222133</v>
      </c>
      <c r="AT129" s="763">
        <f t="shared" si="60"/>
        <v>109298.62402592052</v>
      </c>
      <c r="AU129" s="763">
        <f t="shared" si="60"/>
        <v>32017.823851928562</v>
      </c>
      <c r="AV129" s="763">
        <f t="shared" si="60"/>
        <v>7748.620964150964</v>
      </c>
      <c r="AW129" s="763">
        <f t="shared" si="60"/>
        <v>1471.1617922827311</v>
      </c>
      <c r="AX129" s="763">
        <f t="shared" si="60"/>
        <v>200.7146789490057</v>
      </c>
      <c r="AY129" s="763">
        <f t="shared" si="60"/>
        <v>16.391561849854877</v>
      </c>
      <c r="AZ129" s="763">
        <f t="shared" si="60"/>
        <v>0.40618370685663974</v>
      </c>
      <c r="BA129" s="763">
        <f t="shared" si="60"/>
        <v>0</v>
      </c>
      <c r="BB129" s="763">
        <f t="shared" si="60"/>
        <v>0</v>
      </c>
      <c r="BC129" s="763">
        <f t="shared" si="60"/>
        <v>0</v>
      </c>
      <c r="BD129" s="763">
        <f t="shared" si="60"/>
        <v>0</v>
      </c>
      <c r="BE129" s="763">
        <f t="shared" si="60"/>
        <v>0</v>
      </c>
      <c r="BF129" s="763">
        <f t="shared" si="60"/>
        <v>0</v>
      </c>
      <c r="BG129" s="763">
        <f t="shared" si="60"/>
        <v>0</v>
      </c>
      <c r="BH129" s="763">
        <f t="shared" si="60"/>
        <v>0</v>
      </c>
      <c r="BI129" s="763">
        <f t="shared" si="60"/>
        <v>0</v>
      </c>
      <c r="BJ129" s="763">
        <f t="shared" si="60"/>
        <v>0</v>
      </c>
      <c r="BK129" s="763">
        <f t="shared" si="60"/>
        <v>0</v>
      </c>
      <c r="BL129" s="763">
        <f t="shared" si="60"/>
        <v>0</v>
      </c>
      <c r="BM129" s="763">
        <f t="shared" si="60"/>
        <v>0</v>
      </c>
      <c r="BN129" s="763">
        <f t="shared" si="60"/>
        <v>0</v>
      </c>
      <c r="BO129" s="763">
        <f t="shared" si="60"/>
        <v>0</v>
      </c>
      <c r="BP129" s="763">
        <f t="shared" si="60"/>
        <v>0</v>
      </c>
      <c r="BQ129" s="763">
        <f t="shared" si="60"/>
        <v>0</v>
      </c>
      <c r="BR129" s="763">
        <f t="shared" ref="BR129:CZ129" si="61">BR40+BR48</f>
        <v>0</v>
      </c>
      <c r="BS129" s="763">
        <f t="shared" si="61"/>
        <v>0</v>
      </c>
      <c r="BT129" s="763">
        <f t="shared" si="61"/>
        <v>0</v>
      </c>
      <c r="BU129" s="763">
        <f t="shared" si="61"/>
        <v>0</v>
      </c>
      <c r="BV129" s="763">
        <f t="shared" si="61"/>
        <v>0</v>
      </c>
      <c r="BW129" s="763">
        <f t="shared" si="61"/>
        <v>0</v>
      </c>
      <c r="BX129" s="763">
        <f t="shared" si="61"/>
        <v>0</v>
      </c>
      <c r="BY129" s="763">
        <f t="shared" si="61"/>
        <v>0</v>
      </c>
      <c r="BZ129" s="763">
        <f t="shared" si="61"/>
        <v>0</v>
      </c>
      <c r="CA129" s="763">
        <f t="shared" si="61"/>
        <v>0</v>
      </c>
      <c r="CB129" s="763">
        <f t="shared" si="61"/>
        <v>0</v>
      </c>
      <c r="CC129" s="763">
        <f t="shared" si="61"/>
        <v>0</v>
      </c>
      <c r="CD129" s="763">
        <f t="shared" si="61"/>
        <v>0</v>
      </c>
      <c r="CE129" s="763">
        <f t="shared" si="61"/>
        <v>0</v>
      </c>
      <c r="CF129" s="763">
        <f t="shared" si="61"/>
        <v>0</v>
      </c>
      <c r="CG129" s="763">
        <f t="shared" si="61"/>
        <v>0</v>
      </c>
      <c r="CH129" s="763">
        <f t="shared" si="61"/>
        <v>0</v>
      </c>
      <c r="CI129" s="763">
        <f t="shared" si="61"/>
        <v>0</v>
      </c>
      <c r="CJ129" s="763">
        <f t="shared" si="61"/>
        <v>0</v>
      </c>
      <c r="CK129" s="763">
        <f t="shared" si="61"/>
        <v>0</v>
      </c>
      <c r="CL129" s="763">
        <f t="shared" si="61"/>
        <v>0</v>
      </c>
      <c r="CM129" s="763">
        <f t="shared" si="61"/>
        <v>0</v>
      </c>
      <c r="CN129" s="763">
        <f t="shared" si="61"/>
        <v>0</v>
      </c>
      <c r="CO129" s="763">
        <f t="shared" si="61"/>
        <v>0</v>
      </c>
      <c r="CP129" s="763">
        <f t="shared" si="61"/>
        <v>0</v>
      </c>
      <c r="CQ129" s="763">
        <f t="shared" si="61"/>
        <v>0</v>
      </c>
      <c r="CR129" s="763">
        <f t="shared" si="61"/>
        <v>0</v>
      </c>
      <c r="CS129" s="763">
        <f t="shared" si="61"/>
        <v>0</v>
      </c>
      <c r="CT129" s="763">
        <f t="shared" si="61"/>
        <v>0</v>
      </c>
      <c r="CU129" s="763">
        <f t="shared" si="61"/>
        <v>0</v>
      </c>
      <c r="CV129" s="763">
        <f t="shared" si="61"/>
        <v>0</v>
      </c>
      <c r="CW129" s="763">
        <f t="shared" si="61"/>
        <v>0</v>
      </c>
      <c r="CX129" s="763">
        <f t="shared" si="61"/>
        <v>0</v>
      </c>
      <c r="CY129" s="763">
        <f t="shared" si="61"/>
        <v>0</v>
      </c>
      <c r="CZ129" s="763">
        <f t="shared" si="61"/>
        <v>0</v>
      </c>
    </row>
    <row r="130" spans="1:104" x14ac:dyDescent="0.25">
      <c r="B130" s="480" t="s">
        <v>323</v>
      </c>
      <c r="C130" s="480"/>
      <c r="D130" s="492"/>
      <c r="E130" s="477">
        <f>E127</f>
        <v>0</v>
      </c>
      <c r="F130" s="477">
        <f t="shared" ref="F130:BQ130" si="62">E130+F127</f>
        <v>3069577.1454296578</v>
      </c>
      <c r="G130" s="477">
        <f t="shared" si="62"/>
        <v>6139154.2908593155</v>
      </c>
      <c r="H130" s="477">
        <f t="shared" si="62"/>
        <v>9208731.4362889733</v>
      </c>
      <c r="I130" s="477">
        <f t="shared" si="62"/>
        <v>12278308.581718631</v>
      </c>
      <c r="J130" s="477">
        <f t="shared" si="62"/>
        <v>15347885.727148289</v>
      </c>
      <c r="K130" s="477">
        <f t="shared" si="62"/>
        <v>18417462.872577947</v>
      </c>
      <c r="L130" s="477">
        <f t="shared" si="62"/>
        <v>21487040.018007606</v>
      </c>
      <c r="M130" s="477">
        <f t="shared" si="62"/>
        <v>24556617.163437262</v>
      </c>
      <c r="N130" s="477">
        <f t="shared" si="62"/>
        <v>27626194.308866918</v>
      </c>
      <c r="O130" s="477">
        <f t="shared" si="62"/>
        <v>30695771.454296574</v>
      </c>
      <c r="P130" s="477">
        <f t="shared" si="62"/>
        <v>33765348.59972623</v>
      </c>
      <c r="Q130" s="477">
        <f t="shared" si="62"/>
        <v>36834925.745155886</v>
      </c>
      <c r="R130" s="477">
        <f t="shared" si="62"/>
        <v>39904502.890585542</v>
      </c>
      <c r="S130" s="477">
        <f t="shared" si="62"/>
        <v>42974080.036015198</v>
      </c>
      <c r="T130" s="477">
        <f t="shared" si="62"/>
        <v>46043657.181444854</v>
      </c>
      <c r="U130" s="477">
        <f t="shared" si="62"/>
        <v>49113234.326874509</v>
      </c>
      <c r="V130" s="477">
        <f t="shared" si="62"/>
        <v>52182811.472304165</v>
      </c>
      <c r="W130" s="477">
        <f t="shared" si="62"/>
        <v>67861877.857685074</v>
      </c>
      <c r="X130" s="477">
        <f t="shared" si="62"/>
        <v>109782326.27623641</v>
      </c>
      <c r="Y130" s="477">
        <f t="shared" si="62"/>
        <v>180235971.70021012</v>
      </c>
      <c r="Z130" s="477">
        <f t="shared" si="62"/>
        <v>279694418.2619679</v>
      </c>
      <c r="AA130" s="477">
        <f t="shared" si="62"/>
        <v>406615760.81979704</v>
      </c>
      <c r="AB130" s="477">
        <f t="shared" si="62"/>
        <v>557485248.85460031</v>
      </c>
      <c r="AC130" s="477">
        <f t="shared" si="62"/>
        <v>727109617.04613221</v>
      </c>
      <c r="AD130" s="477">
        <f t="shared" si="62"/>
        <v>909140964.3944819</v>
      </c>
      <c r="AE130" s="477">
        <f t="shared" si="62"/>
        <v>1096761180.2498655</v>
      </c>
      <c r="AF130" s="477">
        <f t="shared" si="62"/>
        <v>1283422696.3223245</v>
      </c>
      <c r="AG130" s="477">
        <f t="shared" si="62"/>
        <v>1463525707.2964272</v>
      </c>
      <c r="AH130" s="477">
        <f t="shared" si="62"/>
        <v>1632921873.0319936</v>
      </c>
      <c r="AI130" s="477">
        <f t="shared" si="62"/>
        <v>1786099764.3258855</v>
      </c>
      <c r="AJ130" s="477">
        <f t="shared" si="62"/>
        <v>1925376841.891232</v>
      </c>
      <c r="AK130" s="477">
        <f t="shared" si="62"/>
        <v>2051435224.7069602</v>
      </c>
      <c r="AL130" s="477">
        <f t="shared" si="62"/>
        <v>2165975424.8890815</v>
      </c>
      <c r="AM130" s="477">
        <f t="shared" si="62"/>
        <v>2271241542.7617307</v>
      </c>
      <c r="AN130" s="477">
        <f t="shared" si="62"/>
        <v>2369682235.6809382</v>
      </c>
      <c r="AO130" s="477">
        <f t="shared" si="62"/>
        <v>2463293347.8133073</v>
      </c>
      <c r="AP130" s="477">
        <f t="shared" si="62"/>
        <v>2553774312.7252374</v>
      </c>
      <c r="AQ130" s="477">
        <f t="shared" si="62"/>
        <v>2642404940.9411287</v>
      </c>
      <c r="AR130" s="477">
        <f t="shared" si="62"/>
        <v>2730044612.8467813</v>
      </c>
      <c r="AS130" s="477">
        <f t="shared" si="62"/>
        <v>2817207958.8986678</v>
      </c>
      <c r="AT130" s="477">
        <f t="shared" si="62"/>
        <v>2904168391.590735</v>
      </c>
      <c r="AU130" s="477">
        <f t="shared" si="62"/>
        <v>2991053509.106235</v>
      </c>
      <c r="AV130" s="477">
        <f t="shared" si="62"/>
        <v>3077914833.1186438</v>
      </c>
      <c r="AW130" s="477">
        <f t="shared" si="62"/>
        <v>3164769969.9887729</v>
      </c>
      <c r="AX130" s="477">
        <f t="shared" si="62"/>
        <v>3251623848.7339725</v>
      </c>
      <c r="AY130" s="477">
        <f t="shared" si="62"/>
        <v>3338477544.1623583</v>
      </c>
      <c r="AZ130" s="477">
        <f t="shared" si="62"/>
        <v>3425331223.630302</v>
      </c>
      <c r="BA130" s="477">
        <f t="shared" si="62"/>
        <v>3511455562.0402527</v>
      </c>
      <c r="BB130" s="477">
        <f t="shared" si="62"/>
        <v>3595374927.555407</v>
      </c>
      <c r="BC130" s="477">
        <f t="shared" si="62"/>
        <v>3675566479.419219</v>
      </c>
      <c r="BD130" s="477">
        <f t="shared" si="62"/>
        <v>3750568181.0512753</v>
      </c>
      <c r="BE130" s="477">
        <f t="shared" si="62"/>
        <v>3819091745.7171645</v>
      </c>
      <c r="BF130" s="477">
        <f t="shared" si="62"/>
        <v>3880126697.3260698</v>
      </c>
      <c r="BG130" s="477">
        <f t="shared" si="62"/>
        <v>3933021388.025043</v>
      </c>
      <c r="BH130" s="477">
        <f t="shared" si="62"/>
        <v>3977529028.1933427</v>
      </c>
      <c r="BI130" s="477">
        <f t="shared" si="62"/>
        <v>4013811466.4088268</v>
      </c>
      <c r="BJ130" s="477">
        <f t="shared" si="62"/>
        <v>4042399905.2246389</v>
      </c>
      <c r="BK130" s="477">
        <f t="shared" si="62"/>
        <v>4064118718.3106956</v>
      </c>
      <c r="BL130" s="477">
        <f t="shared" si="62"/>
        <v>4079984539.6121612</v>
      </c>
      <c r="BM130" s="477">
        <f t="shared" si="62"/>
        <v>4091096438.5707846</v>
      </c>
      <c r="BN130" s="477">
        <f t="shared" si="62"/>
        <v>4098533416.6517906</v>
      </c>
      <c r="BO130" s="477">
        <f t="shared" si="62"/>
        <v>4103272611.025331</v>
      </c>
      <c r="BP130" s="477">
        <f t="shared" si="62"/>
        <v>4106136281.9717383</v>
      </c>
      <c r="BQ130" s="477">
        <f t="shared" si="62"/>
        <v>4107769329.5786066</v>
      </c>
      <c r="BR130" s="477">
        <f t="shared" ref="BR130:CZ130" si="63">BQ130+BR127</f>
        <v>4108637720.6588016</v>
      </c>
      <c r="BS130" s="477">
        <f t="shared" si="63"/>
        <v>4109065029.3564439</v>
      </c>
      <c r="BT130" s="477">
        <f t="shared" si="63"/>
        <v>4109257817.7992167</v>
      </c>
      <c r="BU130" s="477">
        <f t="shared" si="63"/>
        <v>4109336675.4018517</v>
      </c>
      <c r="BV130" s="477">
        <f t="shared" si="63"/>
        <v>4109365509.5200787</v>
      </c>
      <c r="BW130" s="477">
        <f t="shared" si="63"/>
        <v>4109374764.5249643</v>
      </c>
      <c r="BX130" s="477">
        <f t="shared" si="63"/>
        <v>4109377309.5186834</v>
      </c>
      <c r="BY130" s="477">
        <f t="shared" si="63"/>
        <v>4109377888.8887954</v>
      </c>
      <c r="BZ130" s="477">
        <f t="shared" si="63"/>
        <v>4109377992.5591111</v>
      </c>
      <c r="CA130" s="477">
        <f t="shared" si="63"/>
        <v>4109378005.9125342</v>
      </c>
      <c r="CB130" s="477">
        <f t="shared" si="63"/>
        <v>4109378006.9437737</v>
      </c>
      <c r="CC130" s="477">
        <f t="shared" si="63"/>
        <v>4109378006.9687099</v>
      </c>
      <c r="CD130" s="477">
        <f t="shared" si="63"/>
        <v>4109378006.9687099</v>
      </c>
      <c r="CE130" s="477">
        <f t="shared" si="63"/>
        <v>4109378006.9687099</v>
      </c>
      <c r="CF130" s="477">
        <f t="shared" si="63"/>
        <v>4109378006.9687099</v>
      </c>
      <c r="CG130" s="477">
        <f t="shared" si="63"/>
        <v>4109378006.9687099</v>
      </c>
      <c r="CH130" s="477">
        <f t="shared" si="63"/>
        <v>4109378006.9687099</v>
      </c>
      <c r="CI130" s="477">
        <f t="shared" si="63"/>
        <v>4109378006.9687099</v>
      </c>
      <c r="CJ130" s="477">
        <f t="shared" si="63"/>
        <v>4109378006.9687099</v>
      </c>
      <c r="CK130" s="477">
        <f t="shared" si="63"/>
        <v>4109378006.9687099</v>
      </c>
      <c r="CL130" s="477">
        <f t="shared" si="63"/>
        <v>4109378006.9687099</v>
      </c>
      <c r="CM130" s="477">
        <f t="shared" si="63"/>
        <v>4109378006.9687099</v>
      </c>
      <c r="CN130" s="477">
        <f t="shared" si="63"/>
        <v>4109378006.9687099</v>
      </c>
      <c r="CO130" s="477">
        <f t="shared" si="63"/>
        <v>4109378006.9687099</v>
      </c>
      <c r="CP130" s="477">
        <f t="shared" si="63"/>
        <v>4109378006.9687099</v>
      </c>
      <c r="CQ130" s="477">
        <f t="shared" si="63"/>
        <v>4109378006.9687099</v>
      </c>
      <c r="CR130" s="477">
        <f t="shared" si="63"/>
        <v>4109378006.9687099</v>
      </c>
      <c r="CS130" s="477">
        <f t="shared" si="63"/>
        <v>4109378006.9687099</v>
      </c>
      <c r="CT130" s="477">
        <f t="shared" si="63"/>
        <v>4109378006.9687099</v>
      </c>
      <c r="CU130" s="477">
        <f t="shared" si="63"/>
        <v>4109378006.9687099</v>
      </c>
      <c r="CV130" s="477">
        <f t="shared" si="63"/>
        <v>4109378006.9687099</v>
      </c>
      <c r="CW130" s="477">
        <f t="shared" si="63"/>
        <v>4109378006.9687099</v>
      </c>
      <c r="CX130" s="477">
        <f t="shared" si="63"/>
        <v>4109378006.9687099</v>
      </c>
      <c r="CY130" s="477">
        <f t="shared" si="63"/>
        <v>4109378006.9687099</v>
      </c>
      <c r="CZ130" s="477">
        <f t="shared" si="63"/>
        <v>4109378006.9687099</v>
      </c>
    </row>
    <row r="131" spans="1:104" x14ac:dyDescent="0.25">
      <c r="C131" s="784" t="s">
        <v>597</v>
      </c>
      <c r="E131" s="783">
        <f>E125</f>
        <v>0</v>
      </c>
      <c r="F131" s="783">
        <f>E131+F125</f>
        <v>2937394.3975403425</v>
      </c>
      <c r="G131" s="783">
        <f>F131+G125</f>
        <v>5748298.1272440199</v>
      </c>
      <c r="H131" s="783">
        <f t="shared" ref="H131:BS131" si="64">G131+H125</f>
        <v>8438158.1556685902</v>
      </c>
      <c r="I131" s="783">
        <f t="shared" si="64"/>
        <v>11012186.89100311</v>
      </c>
      <c r="J131" s="783">
        <f t="shared" si="64"/>
        <v>13475372.283667721</v>
      </c>
      <c r="K131" s="783">
        <f t="shared" si="64"/>
        <v>15832487.491959216</v>
      </c>
      <c r="L131" s="783">
        <f t="shared" si="64"/>
        <v>18088100.13147261</v>
      </c>
      <c r="M131" s="783">
        <f t="shared" si="64"/>
        <v>20246581.126222268</v>
      </c>
      <c r="N131" s="783">
        <f t="shared" si="64"/>
        <v>22312113.178614285</v>
      </c>
      <c r="O131" s="783">
        <f t="shared" si="64"/>
        <v>24288698.874683201</v>
      </c>
      <c r="P131" s="783">
        <f t="shared" si="64"/>
        <v>26180168.440299388</v>
      </c>
      <c r="Q131" s="783">
        <f t="shared" si="64"/>
        <v>27990187.16337708</v>
      </c>
      <c r="R131" s="783">
        <f t="shared" si="64"/>
        <v>29722262.49646578</v>
      </c>
      <c r="S131" s="783">
        <f t="shared" si="64"/>
        <v>31379750.85348846</v>
      </c>
      <c r="T131" s="783">
        <f t="shared" si="64"/>
        <v>32965864.113797244</v>
      </c>
      <c r="U131" s="783">
        <f t="shared" si="64"/>
        <v>34483675.846150145</v>
      </c>
      <c r="V131" s="783">
        <f t="shared" si="64"/>
        <v>35936127.264669672</v>
      </c>
      <c r="W131" s="783">
        <f t="shared" si="64"/>
        <v>43035614.307147659</v>
      </c>
      <c r="X131" s="783">
        <f t="shared" si="64"/>
        <v>61199819.576194674</v>
      </c>
      <c r="Y131" s="783">
        <f t="shared" si="64"/>
        <v>90412920.589994878</v>
      </c>
      <c r="Z131" s="783">
        <f t="shared" si="64"/>
        <v>129876781.54899362</v>
      </c>
      <c r="AA131" s="783">
        <f t="shared" si="64"/>
        <v>178068927.72988236</v>
      </c>
      <c r="AB131" s="783">
        <f t="shared" si="64"/>
        <v>232887375.79580268</v>
      </c>
      <c r="AC131" s="783">
        <f t="shared" si="64"/>
        <v>291866357.81106502</v>
      </c>
      <c r="AD131" s="783">
        <f t="shared" si="64"/>
        <v>352433756.62836915</v>
      </c>
      <c r="AE131" s="783">
        <f t="shared" si="64"/>
        <v>412172499.5665549</v>
      </c>
      <c r="AF131" s="783">
        <f t="shared" si="64"/>
        <v>469046653.19819933</v>
      </c>
      <c r="AG131" s="783">
        <f t="shared" si="64"/>
        <v>521559412.72732157</v>
      </c>
      <c r="AH131" s="783">
        <f t="shared" si="64"/>
        <v>568823486.6550647</v>
      </c>
      <c r="AI131" s="783">
        <f t="shared" si="64"/>
        <v>609721986.0058639</v>
      </c>
      <c r="AJ131" s="783">
        <f t="shared" si="64"/>
        <v>645307614.58932567</v>
      </c>
      <c r="AK131" s="783">
        <f t="shared" si="64"/>
        <v>676128877.99134231</v>
      </c>
      <c r="AL131" s="783">
        <f t="shared" si="64"/>
        <v>702927986.8632443</v>
      </c>
      <c r="AM131" s="783">
        <f t="shared" si="64"/>
        <v>726496638.19466078</v>
      </c>
      <c r="AN131" s="783">
        <f t="shared" si="64"/>
        <v>747587993.91230774</v>
      </c>
      <c r="AO131" s="783">
        <f t="shared" si="64"/>
        <v>766780909.30154073</v>
      </c>
      <c r="AP131" s="783">
        <f t="shared" si="64"/>
        <v>784533203.1007632</v>
      </c>
      <c r="AQ131" s="783">
        <f t="shared" si="64"/>
        <v>801173642.5284884</v>
      </c>
      <c r="AR131" s="783">
        <f t="shared" si="64"/>
        <v>816919467.35590506</v>
      </c>
      <c r="AS131" s="783">
        <f t="shared" si="64"/>
        <v>831905348.22503841</v>
      </c>
      <c r="AT131" s="783">
        <f t="shared" si="64"/>
        <v>846212519.74536979</v>
      </c>
      <c r="AU131" s="783">
        <f t="shared" si="64"/>
        <v>859891735.32950652</v>
      </c>
      <c r="AV131" s="783">
        <f t="shared" si="64"/>
        <v>872978309.04127538</v>
      </c>
      <c r="AW131" s="783">
        <f t="shared" si="64"/>
        <v>885500454.06863523</v>
      </c>
      <c r="AX131" s="783">
        <f t="shared" si="64"/>
        <v>897483194.39400661</v>
      </c>
      <c r="AY131" s="783">
        <f t="shared" si="64"/>
        <v>908949907.34537828</v>
      </c>
      <c r="AZ131" s="783">
        <f t="shared" si="64"/>
        <v>919922836.38291049</v>
      </c>
      <c r="BA131" s="783">
        <f t="shared" si="64"/>
        <v>930335071.28470123</v>
      </c>
      <c r="BB131" s="783">
        <f t="shared" si="64"/>
        <v>940043835.62739205</v>
      </c>
      <c r="BC131" s="783">
        <f t="shared" si="64"/>
        <v>948921814.26443708</v>
      </c>
      <c r="BD131" s="783">
        <f t="shared" si="64"/>
        <v>956867663.1969856</v>
      </c>
      <c r="BE131" s="783">
        <f t="shared" si="64"/>
        <v>963814591.93814015</v>
      </c>
      <c r="BF131" s="783">
        <f t="shared" si="64"/>
        <v>969735866.65902483</v>
      </c>
      <c r="BG131" s="783">
        <f t="shared" si="64"/>
        <v>974646442.21671903</v>
      </c>
      <c r="BH131" s="783">
        <f t="shared" si="64"/>
        <v>978600459.77623308</v>
      </c>
      <c r="BI131" s="783">
        <f t="shared" si="64"/>
        <v>981684955.69075477</v>
      </c>
      <c r="BJ131" s="783">
        <f t="shared" si="64"/>
        <v>984010699.55652261</v>
      </c>
      <c r="BK131" s="783">
        <f t="shared" si="64"/>
        <v>985701495.67370498</v>
      </c>
      <c r="BL131" s="783">
        <f t="shared" si="64"/>
        <v>986883451.97982228</v>
      </c>
      <c r="BM131" s="783">
        <f t="shared" si="64"/>
        <v>987675608.23669839</v>
      </c>
      <c r="BN131" s="783">
        <f t="shared" si="64"/>
        <v>988182952.53526354</v>
      </c>
      <c r="BO131" s="783">
        <f t="shared" si="64"/>
        <v>988492334.15833938</v>
      </c>
      <c r="BP131" s="783">
        <f t="shared" si="64"/>
        <v>988671228.58688879</v>
      </c>
      <c r="BQ131" s="783">
        <f t="shared" si="64"/>
        <v>988768852.51016164</v>
      </c>
      <c r="BR131" s="783">
        <f t="shared" si="64"/>
        <v>988818529.6375829</v>
      </c>
      <c r="BS131" s="783">
        <f t="shared" si="64"/>
        <v>988841921.59492183</v>
      </c>
      <c r="BT131" s="783">
        <f t="shared" ref="BT131:CZ131" si="65">BS131+BT125</f>
        <v>988852020.85451281</v>
      </c>
      <c r="BU131" s="783">
        <f t="shared" si="65"/>
        <v>988855973.93647933</v>
      </c>
      <c r="BV131" s="783">
        <f t="shared" si="65"/>
        <v>988857357.12900662</v>
      </c>
      <c r="BW131" s="783">
        <f t="shared" si="65"/>
        <v>988857781.97968996</v>
      </c>
      <c r="BX131" s="783">
        <f t="shared" si="65"/>
        <v>988857893.77667534</v>
      </c>
      <c r="BY131" s="783">
        <f t="shared" si="65"/>
        <v>988857918.13139725</v>
      </c>
      <c r="BZ131" s="783">
        <f t="shared" si="65"/>
        <v>988857922.30167723</v>
      </c>
      <c r="CA131" s="783">
        <f t="shared" si="65"/>
        <v>988857922.81570566</v>
      </c>
      <c r="CB131" s="783">
        <f t="shared" si="65"/>
        <v>988857922.85369289</v>
      </c>
      <c r="CC131" s="783">
        <f t="shared" si="65"/>
        <v>988857922.85457194</v>
      </c>
      <c r="CD131" s="783">
        <f t="shared" si="65"/>
        <v>988857922.85457194</v>
      </c>
      <c r="CE131" s="783">
        <f t="shared" si="65"/>
        <v>988857922.85457194</v>
      </c>
      <c r="CF131" s="783">
        <f t="shared" si="65"/>
        <v>988857922.85457194</v>
      </c>
      <c r="CG131" s="783">
        <f t="shared" si="65"/>
        <v>988857922.85457194</v>
      </c>
      <c r="CH131" s="783">
        <f t="shared" si="65"/>
        <v>988857922.85457194</v>
      </c>
      <c r="CI131" s="783">
        <f t="shared" si="65"/>
        <v>988857922.85457194</v>
      </c>
      <c r="CJ131" s="783">
        <f t="shared" si="65"/>
        <v>988857922.85457194</v>
      </c>
      <c r="CK131" s="783">
        <f t="shared" si="65"/>
        <v>988857922.85457194</v>
      </c>
      <c r="CL131" s="783">
        <f t="shared" si="65"/>
        <v>988857922.85457194</v>
      </c>
      <c r="CM131" s="783">
        <f t="shared" si="65"/>
        <v>988857922.85457194</v>
      </c>
      <c r="CN131" s="783">
        <f t="shared" si="65"/>
        <v>988857922.85457194</v>
      </c>
      <c r="CO131" s="783">
        <f t="shared" si="65"/>
        <v>988857922.85457194</v>
      </c>
      <c r="CP131" s="783">
        <f t="shared" si="65"/>
        <v>988857922.85457194</v>
      </c>
      <c r="CQ131" s="783">
        <f t="shared" si="65"/>
        <v>988857922.85457194</v>
      </c>
      <c r="CR131" s="783">
        <f t="shared" si="65"/>
        <v>988857922.85457194</v>
      </c>
      <c r="CS131" s="783">
        <f t="shared" si="65"/>
        <v>988857922.85457194</v>
      </c>
      <c r="CT131" s="783">
        <f t="shared" si="65"/>
        <v>988857922.85457194</v>
      </c>
      <c r="CU131" s="783">
        <f t="shared" si="65"/>
        <v>988857922.85457194</v>
      </c>
      <c r="CV131" s="783">
        <f t="shared" si="65"/>
        <v>988857922.85457194</v>
      </c>
      <c r="CW131" s="783">
        <f t="shared" si="65"/>
        <v>988857922.85457194</v>
      </c>
      <c r="CX131" s="783">
        <f t="shared" si="65"/>
        <v>988857922.85457194</v>
      </c>
      <c r="CY131" s="783">
        <f t="shared" si="65"/>
        <v>988857922.85457194</v>
      </c>
      <c r="CZ131" s="783">
        <f t="shared" si="65"/>
        <v>988857922.85457194</v>
      </c>
    </row>
    <row r="132" spans="1:104" x14ac:dyDescent="0.25">
      <c r="C132" s="807" t="s">
        <v>621</v>
      </c>
      <c r="E132" s="477"/>
      <c r="F132" s="796">
        <f>F127/F6</f>
        <v>19.178827924192298</v>
      </c>
      <c r="G132" s="796">
        <f t="shared" ref="G132:BR132" si="66">G127/G6</f>
        <v>18.647377660857853</v>
      </c>
      <c r="H132" s="796">
        <f t="shared" si="66"/>
        <v>18.130654021252166</v>
      </c>
      <c r="I132" s="796">
        <f t="shared" si="66"/>
        <v>17.628248926837305</v>
      </c>
      <c r="J132" s="796">
        <f t="shared" si="66"/>
        <v>17.139765607036757</v>
      </c>
      <c r="K132" s="796">
        <f t="shared" si="66"/>
        <v>16.664818285888924</v>
      </c>
      <c r="L132" s="796">
        <f t="shared" si="66"/>
        <v>16.203031877383495</v>
      </c>
      <c r="M132" s="796">
        <f t="shared" si="66"/>
        <v>15.75404168924015</v>
      </c>
      <c r="N132" s="796">
        <f t="shared" si="66"/>
        <v>15.317493134895626</v>
      </c>
      <c r="O132" s="796">
        <f t="shared" si="66"/>
        <v>14.893041453471684</v>
      </c>
      <c r="P132" s="796">
        <f t="shared" si="66"/>
        <v>14.480351437502854</v>
      </c>
      <c r="Q132" s="796">
        <f t="shared" si="66"/>
        <v>14.0790971682089</v>
      </c>
      <c r="R132" s="796">
        <f t="shared" si="66"/>
        <v>13.688961758102966</v>
      </c>
      <c r="S132" s="796">
        <f t="shared" si="66"/>
        <v>13.3096371007321</v>
      </c>
      <c r="T132" s="796">
        <f t="shared" si="66"/>
        <v>12.940823627352554</v>
      </c>
      <c r="U132" s="796">
        <f t="shared" si="66"/>
        <v>12.582230070347645</v>
      </c>
      <c r="V132" s="796">
        <f t="shared" si="66"/>
        <v>12.233573233201406</v>
      </c>
      <c r="W132" s="796">
        <f t="shared" si="66"/>
        <v>60.756210252000145</v>
      </c>
      <c r="X132" s="796">
        <f t="shared" si="66"/>
        <v>157.93998811470715</v>
      </c>
      <c r="Y132" s="796">
        <f t="shared" si="66"/>
        <v>258.08653962684673</v>
      </c>
      <c r="Z132" s="796">
        <f t="shared" si="66"/>
        <v>354.24135552092309</v>
      </c>
      <c r="AA132" s="796">
        <f t="shared" si="66"/>
        <v>439.52942069296796</v>
      </c>
      <c r="AB132" s="796">
        <f t="shared" si="66"/>
        <v>507.98444490185335</v>
      </c>
      <c r="AC132" s="796">
        <f t="shared" si="66"/>
        <v>555.30673941930604</v>
      </c>
      <c r="AD132" s="796">
        <f t="shared" si="66"/>
        <v>579.41080375375259</v>
      </c>
      <c r="AE132" s="796">
        <f t="shared" si="66"/>
        <v>580.65175157757346</v>
      </c>
      <c r="AF132" s="796">
        <f t="shared" si="66"/>
        <v>561.67695034982717</v>
      </c>
      <c r="AG132" s="796">
        <f t="shared" si="66"/>
        <v>526.92461946628043</v>
      </c>
      <c r="AH132" s="796">
        <f t="shared" si="66"/>
        <v>481.86656919222611</v>
      </c>
      <c r="AI132" s="796">
        <f t="shared" si="66"/>
        <v>423.65760974579098</v>
      </c>
      <c r="AJ132" s="796">
        <f t="shared" si="66"/>
        <v>374.53660930041121</v>
      </c>
      <c r="AK132" s="796">
        <f t="shared" si="66"/>
        <v>329.59610009486966</v>
      </c>
      <c r="AL132" s="796">
        <f t="shared" si="66"/>
        <v>291.18163128989937</v>
      </c>
      <c r="AM132" s="796">
        <f t="shared" si="66"/>
        <v>260.18984820450623</v>
      </c>
      <c r="AN132" s="796">
        <f t="shared" si="66"/>
        <v>236.57677483601623</v>
      </c>
      <c r="AO132" s="796">
        <f t="shared" si="66"/>
        <v>218.73614493011462</v>
      </c>
      <c r="AP132" s="796">
        <f t="shared" si="66"/>
        <v>205.5635343987565</v>
      </c>
      <c r="AQ132" s="796">
        <f t="shared" si="66"/>
        <v>195.7800271571451</v>
      </c>
      <c r="AR132" s="796">
        <f t="shared" si="66"/>
        <v>188.22660273540126</v>
      </c>
      <c r="AS132" s="796">
        <f t="shared" si="66"/>
        <v>182.01612255680982</v>
      </c>
      <c r="AT132" s="796">
        <f t="shared" si="66"/>
        <v>176.5604230430468</v>
      </c>
      <c r="AU132" s="796">
        <f t="shared" si="66"/>
        <v>171.51920914642017</v>
      </c>
      <c r="AV132" s="796">
        <f t="shared" si="66"/>
        <v>166.72069867188122</v>
      </c>
      <c r="AW132" s="796">
        <f t="shared" si="66"/>
        <v>162.08927869420936</v>
      </c>
      <c r="AX132" s="796">
        <f t="shared" si="66"/>
        <v>157.59546016358416</v>
      </c>
      <c r="AY132" s="796">
        <f t="shared" si="66"/>
        <v>153.22812594762374</v>
      </c>
      <c r="AZ132" s="796">
        <f t="shared" si="66"/>
        <v>148.98210772003736</v>
      </c>
      <c r="BA132" s="796">
        <f t="shared" si="66"/>
        <v>143.63738675874654</v>
      </c>
      <c r="BB132" s="796">
        <f t="shared" si="66"/>
        <v>136.08162669759275</v>
      </c>
      <c r="BC132" s="796">
        <f t="shared" si="66"/>
        <v>126.43334336684978</v>
      </c>
      <c r="BD132" s="796">
        <f t="shared" si="66"/>
        <v>114.97404876825767</v>
      </c>
      <c r="BE132" s="796">
        <f t="shared" si="66"/>
        <v>102.13259336251855</v>
      </c>
      <c r="BF132" s="796">
        <f t="shared" si="66"/>
        <v>88.450179974587215</v>
      </c>
      <c r="BG132" s="796">
        <f t="shared" si="66"/>
        <v>74.529447589331383</v>
      </c>
      <c r="BH132" s="796">
        <f t="shared" si="66"/>
        <v>60.974197414013751</v>
      </c>
      <c r="BI132" s="796">
        <f t="shared" si="66"/>
        <v>48.328541924372935</v>
      </c>
      <c r="BJ132" s="796">
        <f t="shared" si="66"/>
        <v>38.080063849532422</v>
      </c>
      <c r="BK132" s="796">
        <f t="shared" si="66"/>
        <v>28.128010789370123</v>
      </c>
      <c r="BL132" s="796">
        <f t="shared" si="66"/>
        <v>19.978422564158844</v>
      </c>
      <c r="BM132" s="796">
        <f t="shared" si="66"/>
        <v>13.604501217171578</v>
      </c>
      <c r="BN132" s="796">
        <f t="shared" si="66"/>
        <v>8.8529201206865711</v>
      </c>
      <c r="BO132" s="796">
        <f t="shared" si="66"/>
        <v>5.4851722390760749</v>
      </c>
      <c r="BP132" s="796">
        <f t="shared" si="66"/>
        <v>3.2225863665394683</v>
      </c>
      <c r="BQ132" s="796">
        <f t="shared" si="66"/>
        <v>1.7868002377432044</v>
      </c>
      <c r="BR132" s="796">
        <f t="shared" si="66"/>
        <v>0.92382181605358604</v>
      </c>
      <c r="BS132" s="796">
        <f t="shared" ref="BS132:CZ132" si="67">BS127/BS6</f>
        <v>0.44198781511374319</v>
      </c>
      <c r="BT132" s="796">
        <f t="shared" si="67"/>
        <v>0.19388546980468685</v>
      </c>
      <c r="BU132" s="796">
        <f t="shared" si="67"/>
        <v>7.7108728498046369E-2</v>
      </c>
      <c r="BV132" s="796">
        <f t="shared" si="67"/>
        <v>2.7413365133495248E-2</v>
      </c>
      <c r="BW132" s="796">
        <f t="shared" si="67"/>
        <v>8.5551579514153257E-3</v>
      </c>
      <c r="BX132" s="796">
        <f t="shared" si="67"/>
        <v>2.2873561894209034E-3</v>
      </c>
      <c r="BY132" s="796">
        <f t="shared" si="67"/>
        <v>5.0628944719386E-4</v>
      </c>
      <c r="BZ132" s="796">
        <f t="shared" si="67"/>
        <v>8.808316525937181E-5</v>
      </c>
      <c r="CA132" s="796">
        <f t="shared" si="67"/>
        <v>1.1031302992424443E-5</v>
      </c>
      <c r="CB132" s="796">
        <f t="shared" si="67"/>
        <v>8.283034047549532E-7</v>
      </c>
      <c r="CC132" s="796">
        <f t="shared" si="67"/>
        <v>1.9474066588226928E-8</v>
      </c>
      <c r="CD132" s="796">
        <f t="shared" si="67"/>
        <v>0</v>
      </c>
      <c r="CE132" s="796" t="e">
        <f t="shared" si="67"/>
        <v>#N/A</v>
      </c>
      <c r="CF132" s="796" t="e">
        <f t="shared" si="67"/>
        <v>#N/A</v>
      </c>
      <c r="CG132" s="796" t="e">
        <f t="shared" si="67"/>
        <v>#N/A</v>
      </c>
      <c r="CH132" s="796" t="e">
        <f t="shared" si="67"/>
        <v>#N/A</v>
      </c>
      <c r="CI132" s="796" t="e">
        <f t="shared" si="67"/>
        <v>#N/A</v>
      </c>
      <c r="CJ132" s="796" t="e">
        <f t="shared" si="67"/>
        <v>#N/A</v>
      </c>
      <c r="CK132" s="796" t="e">
        <f t="shared" si="67"/>
        <v>#N/A</v>
      </c>
      <c r="CL132" s="796" t="e">
        <f t="shared" si="67"/>
        <v>#N/A</v>
      </c>
      <c r="CM132" s="796" t="e">
        <f t="shared" si="67"/>
        <v>#N/A</v>
      </c>
      <c r="CN132" s="796" t="e">
        <f t="shared" si="67"/>
        <v>#N/A</v>
      </c>
      <c r="CO132" s="796" t="e">
        <f t="shared" si="67"/>
        <v>#N/A</v>
      </c>
      <c r="CP132" s="796" t="e">
        <f t="shared" si="67"/>
        <v>#N/A</v>
      </c>
      <c r="CQ132" s="796" t="e">
        <f t="shared" si="67"/>
        <v>#N/A</v>
      </c>
      <c r="CR132" s="796" t="e">
        <f t="shared" si="67"/>
        <v>#N/A</v>
      </c>
      <c r="CS132" s="796" t="e">
        <f t="shared" si="67"/>
        <v>#N/A</v>
      </c>
      <c r="CT132" s="796" t="e">
        <f t="shared" si="67"/>
        <v>#N/A</v>
      </c>
      <c r="CU132" s="796" t="e">
        <f t="shared" si="67"/>
        <v>#N/A</v>
      </c>
      <c r="CV132" s="796" t="e">
        <f t="shared" si="67"/>
        <v>#N/A</v>
      </c>
      <c r="CW132" s="796" t="e">
        <f t="shared" si="67"/>
        <v>#N/A</v>
      </c>
      <c r="CX132" s="796" t="e">
        <f t="shared" si="67"/>
        <v>#N/A</v>
      </c>
      <c r="CY132" s="796" t="e">
        <f t="shared" si="67"/>
        <v>#N/A</v>
      </c>
      <c r="CZ132" s="796" t="e">
        <f t="shared" si="67"/>
        <v>#N/A</v>
      </c>
    </row>
    <row r="133" spans="1:104" x14ac:dyDescent="0.25">
      <c r="A133" s="472" t="s">
        <v>278</v>
      </c>
      <c r="E133" s="477"/>
    </row>
    <row r="134" spans="1:104" x14ac:dyDescent="0.25">
      <c r="A134" s="472"/>
      <c r="B134" s="609" t="s">
        <v>283</v>
      </c>
      <c r="E134" s="478">
        <f>(E37+E124+E45)/(E10*1000000/1000)</f>
        <v>0</v>
      </c>
      <c r="F134" s="478">
        <f t="shared" ref="F134:BQ134" si="68">(F37+F124)/(F10*1000000/1000)</f>
        <v>0.19694413969228072</v>
      </c>
      <c r="G134" s="478">
        <f t="shared" si="68"/>
        <v>0.19342977703859141</v>
      </c>
      <c r="H134" s="478">
        <f t="shared" si="68"/>
        <v>0.18999768864999636</v>
      </c>
      <c r="I134" s="478">
        <f t="shared" si="68"/>
        <v>0.18664611021456065</v>
      </c>
      <c r="J134" s="478">
        <f t="shared" si="68"/>
        <v>0.18337332454293712</v>
      </c>
      <c r="K134" s="478">
        <f t="shared" si="68"/>
        <v>0.18017766067240609</v>
      </c>
      <c r="L134" s="478">
        <f t="shared" si="68"/>
        <v>0.17705749300833373</v>
      </c>
      <c r="M134" s="478">
        <f t="shared" si="68"/>
        <v>0.17401124050322159</v>
      </c>
      <c r="N134" s="478">
        <f t="shared" si="68"/>
        <v>0.1710373658736101</v>
      </c>
      <c r="O134" s="478">
        <f t="shared" si="68"/>
        <v>0.16813437485519328</v>
      </c>
      <c r="P134" s="478">
        <f t="shared" si="68"/>
        <v>0.16530081549660786</v>
      </c>
      <c r="Q134" s="478">
        <f t="shared" si="68"/>
        <v>0.16112309504593553</v>
      </c>
      <c r="R134" s="478">
        <f t="shared" si="68"/>
        <v>0.15705194646867854</v>
      </c>
      <c r="S134" s="478">
        <f t="shared" si="68"/>
        <v>0.15308463131858913</v>
      </c>
      <c r="T134" s="478">
        <f t="shared" si="68"/>
        <v>0.14921848193524914</v>
      </c>
      <c r="U134" s="478">
        <f t="shared" si="68"/>
        <v>0.1454508996051978</v>
      </c>
      <c r="V134" s="478">
        <f t="shared" si="68"/>
        <v>0.14177935277103351</v>
      </c>
      <c r="W134" s="478">
        <f t="shared" si="68"/>
        <v>0.17103843275719069</v>
      </c>
      <c r="X134" s="478">
        <f t="shared" si="68"/>
        <v>0.26349281444744188</v>
      </c>
      <c r="Y134" s="478">
        <f t="shared" si="68"/>
        <v>0.41632253506333489</v>
      </c>
      <c r="Z134" s="478">
        <f t="shared" si="68"/>
        <v>0.62224718295662707</v>
      </c>
      <c r="AA134" s="478">
        <f t="shared" si="68"/>
        <v>0.86989551263563958</v>
      </c>
      <c r="AB134" s="478">
        <f t="shared" si="68"/>
        <v>1.1447093007731648</v>
      </c>
      <c r="AC134" s="478">
        <f t="shared" si="68"/>
        <v>1.4302979267729488</v>
      </c>
      <c r="AD134" s="478">
        <f t="shared" si="68"/>
        <v>1.710071209122197</v>
      </c>
      <c r="AE134" s="478">
        <f t="shared" si="68"/>
        <v>1.9689135908648949</v>
      </c>
      <c r="AF134" s="478">
        <f t="shared" si="68"/>
        <v>2.1946413142112458</v>
      </c>
      <c r="AG134" s="478">
        <f t="shared" si="68"/>
        <v>2.3790156316320896</v>
      </c>
      <c r="AH134" s="478">
        <f t="shared" si="68"/>
        <v>2.5181663073428333</v>
      </c>
      <c r="AI134" s="478">
        <f t="shared" si="68"/>
        <v>2.5106451944287311</v>
      </c>
      <c r="AJ134" s="478">
        <f t="shared" si="68"/>
        <v>2.5662488030010473</v>
      </c>
      <c r="AK134" s="478">
        <f t="shared" si="68"/>
        <v>2.5867042699603093</v>
      </c>
      <c r="AL134" s="478">
        <f t="shared" si="68"/>
        <v>2.5792755749646852</v>
      </c>
      <c r="AM134" s="478">
        <f t="shared" si="68"/>
        <v>2.5512970314883847</v>
      </c>
      <c r="AN134" s="478">
        <f t="shared" si="68"/>
        <v>2.5095140717619313</v>
      </c>
      <c r="AO134" s="478">
        <f t="shared" si="68"/>
        <v>2.4590312091389448</v>
      </c>
      <c r="AP134" s="478">
        <f t="shared" si="68"/>
        <v>2.3973785665859033</v>
      </c>
      <c r="AQ134" s="478">
        <f t="shared" si="68"/>
        <v>2.3340110242300152</v>
      </c>
      <c r="AR134" s="478">
        <f t="shared" si="68"/>
        <v>2.2706431914506258</v>
      </c>
      <c r="AS134" s="478">
        <f t="shared" si="68"/>
        <v>2.2082209279417699</v>
      </c>
      <c r="AT134" s="478">
        <f t="shared" si="68"/>
        <v>2.1471964468063955</v>
      </c>
      <c r="AU134" s="478">
        <f t="shared" si="68"/>
        <v>2.0877443289960831</v>
      </c>
      <c r="AV134" s="478">
        <f t="shared" si="68"/>
        <v>2.0299035135642596</v>
      </c>
      <c r="AW134" s="478">
        <f t="shared" si="68"/>
        <v>1.9736564165395145</v>
      </c>
      <c r="AX134" s="478">
        <f t="shared" si="68"/>
        <v>1.9189661609605528</v>
      </c>
      <c r="AY134" s="478">
        <f t="shared" si="68"/>
        <v>1.8657911358231021</v>
      </c>
      <c r="AZ134" s="478">
        <f t="shared" si="68"/>
        <v>1.8140895832365413</v>
      </c>
      <c r="BA134" s="478">
        <f t="shared" si="68"/>
        <v>1.7490092756011733</v>
      </c>
      <c r="BB134" s="478">
        <f t="shared" si="68"/>
        <v>1.6570061089508992</v>
      </c>
      <c r="BC134" s="478">
        <f t="shared" si="68"/>
        <v>1.5395232069022786</v>
      </c>
      <c r="BD134" s="478">
        <f t="shared" si="68"/>
        <v>1.3999884172694981</v>
      </c>
      <c r="BE134" s="478">
        <f t="shared" si="68"/>
        <v>1.2436236634705442</v>
      </c>
      <c r="BF134" s="478">
        <f t="shared" si="68"/>
        <v>1.0770189342415479</v>
      </c>
      <c r="BG134" s="478">
        <f t="shared" si="68"/>
        <v>0.907512299413471</v>
      </c>
      <c r="BH134" s="478">
        <f t="shared" si="68"/>
        <v>0.74245598068814223</v>
      </c>
      <c r="BI134" s="478">
        <f t="shared" si="68"/>
        <v>0.58847539633939572</v>
      </c>
      <c r="BJ134" s="478">
        <f t="shared" si="68"/>
        <v>0.4636841869045038</v>
      </c>
      <c r="BK134" s="478">
        <f t="shared" si="68"/>
        <v>0.3425024144824364</v>
      </c>
      <c r="BL134" s="478">
        <f t="shared" si="68"/>
        <v>0.24326846349051834</v>
      </c>
      <c r="BM134" s="478">
        <f t="shared" si="68"/>
        <v>0.16565602699752283</v>
      </c>
      <c r="BN134" s="478">
        <f t="shared" si="68"/>
        <v>0.10779811410272828</v>
      </c>
      <c r="BO134" s="478">
        <f t="shared" si="68"/>
        <v>6.6790529547349389E-2</v>
      </c>
      <c r="BP134" s="478">
        <f t="shared" si="68"/>
        <v>3.9240016639749957E-2</v>
      </c>
      <c r="BQ134" s="478">
        <f t="shared" si="68"/>
        <v>2.1757080520465176E-2</v>
      </c>
      <c r="BR134" s="478">
        <f t="shared" ref="BR134:CZ134" si="69">(BR37+BR124)/(BR10*1000000/1000)</f>
        <v>1.1248971884975161E-2</v>
      </c>
      <c r="BS134" s="478">
        <f>(BS37+BS124)/(BS10*1000000/1000)</f>
        <v>5.3818912038203076E-3</v>
      </c>
      <c r="BT134" s="478">
        <f t="shared" si="69"/>
        <v>2.360858079813536E-3</v>
      </c>
      <c r="BU134" s="478">
        <f t="shared" si="69"/>
        <v>9.3891906846936123E-4</v>
      </c>
      <c r="BV134" s="478">
        <f t="shared" si="69"/>
        <v>3.3380048868791743E-4</v>
      </c>
      <c r="BW134" s="478">
        <f t="shared" si="69"/>
        <v>1.0417239514660962E-4</v>
      </c>
      <c r="BX134" s="478">
        <f t="shared" si="69"/>
        <v>2.7852130160376265E-5</v>
      </c>
      <c r="BY134" s="478">
        <f t="shared" si="69"/>
        <v>6.1648638927715004E-6</v>
      </c>
      <c r="BZ134" s="478">
        <f t="shared" si="69"/>
        <v>1.0725499574961548E-6</v>
      </c>
      <c r="CA134" s="478">
        <f t="shared" si="69"/>
        <v>1.3432332410866889E-7</v>
      </c>
      <c r="CB134" s="478">
        <f t="shared" si="69"/>
        <v>1.0085886207061823E-8</v>
      </c>
      <c r="CC134" s="478">
        <f t="shared" si="69"/>
        <v>2.3712714262681162E-10</v>
      </c>
      <c r="CD134" s="478" t="e">
        <f t="shared" si="69"/>
        <v>#DIV/0!</v>
      </c>
      <c r="CE134" s="478" t="e">
        <f t="shared" si="69"/>
        <v>#DIV/0!</v>
      </c>
      <c r="CF134" s="478" t="e">
        <f t="shared" si="69"/>
        <v>#DIV/0!</v>
      </c>
      <c r="CG134" s="478" t="e">
        <f t="shared" si="69"/>
        <v>#DIV/0!</v>
      </c>
      <c r="CH134" s="478" t="e">
        <f t="shared" si="69"/>
        <v>#DIV/0!</v>
      </c>
      <c r="CI134" s="478" t="e">
        <f t="shared" si="69"/>
        <v>#DIV/0!</v>
      </c>
      <c r="CJ134" s="478" t="e">
        <f t="shared" si="69"/>
        <v>#DIV/0!</v>
      </c>
      <c r="CK134" s="478" t="e">
        <f t="shared" si="69"/>
        <v>#DIV/0!</v>
      </c>
      <c r="CL134" s="478" t="e">
        <f t="shared" si="69"/>
        <v>#DIV/0!</v>
      </c>
      <c r="CM134" s="478" t="e">
        <f t="shared" si="69"/>
        <v>#DIV/0!</v>
      </c>
      <c r="CN134" s="478" t="e">
        <f t="shared" si="69"/>
        <v>#DIV/0!</v>
      </c>
      <c r="CO134" s="478" t="e">
        <f t="shared" si="69"/>
        <v>#DIV/0!</v>
      </c>
      <c r="CP134" s="478" t="e">
        <f t="shared" si="69"/>
        <v>#DIV/0!</v>
      </c>
      <c r="CQ134" s="478" t="e">
        <f t="shared" si="69"/>
        <v>#DIV/0!</v>
      </c>
      <c r="CR134" s="478" t="e">
        <f t="shared" si="69"/>
        <v>#DIV/0!</v>
      </c>
      <c r="CS134" s="478" t="e">
        <f t="shared" si="69"/>
        <v>#DIV/0!</v>
      </c>
      <c r="CT134" s="478" t="e">
        <f t="shared" si="69"/>
        <v>#DIV/0!</v>
      </c>
      <c r="CU134" s="478" t="e">
        <f t="shared" si="69"/>
        <v>#DIV/0!</v>
      </c>
      <c r="CV134" s="478" t="e">
        <f t="shared" si="69"/>
        <v>#DIV/0!</v>
      </c>
      <c r="CW134" s="478" t="e">
        <f t="shared" si="69"/>
        <v>#DIV/0!</v>
      </c>
      <c r="CX134" s="478" t="e">
        <f t="shared" si="69"/>
        <v>#DIV/0!</v>
      </c>
      <c r="CY134" s="478" t="e">
        <f t="shared" si="69"/>
        <v>#DIV/0!</v>
      </c>
      <c r="CZ134" s="478" t="e">
        <f t="shared" si="69"/>
        <v>#DIV/0!</v>
      </c>
    </row>
    <row r="135" spans="1:104" x14ac:dyDescent="0.25">
      <c r="B135" s="609" t="s">
        <v>279</v>
      </c>
      <c r="E135" s="479">
        <f t="shared" ref="E135:BP135" si="70">E127/E6</f>
        <v>0</v>
      </c>
      <c r="F135" s="479">
        <f t="shared" si="70"/>
        <v>19.178827924192298</v>
      </c>
      <c r="G135" s="479">
        <f t="shared" si="70"/>
        <v>18.647377660857853</v>
      </c>
      <c r="H135" s="479">
        <f t="shared" si="70"/>
        <v>18.130654021252166</v>
      </c>
      <c r="I135" s="479">
        <f t="shared" si="70"/>
        <v>17.628248926837305</v>
      </c>
      <c r="J135" s="479">
        <f t="shared" si="70"/>
        <v>17.139765607036757</v>
      </c>
      <c r="K135" s="479">
        <f t="shared" si="70"/>
        <v>16.664818285888924</v>
      </c>
      <c r="L135" s="479">
        <f t="shared" si="70"/>
        <v>16.203031877383495</v>
      </c>
      <c r="M135" s="479">
        <f t="shared" si="70"/>
        <v>15.75404168924015</v>
      </c>
      <c r="N135" s="479">
        <f t="shared" si="70"/>
        <v>15.317493134895626</v>
      </c>
      <c r="O135" s="479">
        <f t="shared" si="70"/>
        <v>14.893041453471684</v>
      </c>
      <c r="P135" s="479">
        <f t="shared" si="70"/>
        <v>14.480351437502854</v>
      </c>
      <c r="Q135" s="479">
        <f t="shared" si="70"/>
        <v>14.0790971682089</v>
      </c>
      <c r="R135" s="479">
        <f t="shared" si="70"/>
        <v>13.688961758102966</v>
      </c>
      <c r="S135" s="479">
        <f t="shared" si="70"/>
        <v>13.3096371007321</v>
      </c>
      <c r="T135" s="479">
        <f t="shared" si="70"/>
        <v>12.940823627352554</v>
      </c>
      <c r="U135" s="479">
        <f t="shared" si="70"/>
        <v>12.582230070347645</v>
      </c>
      <c r="V135" s="479">
        <f t="shared" si="70"/>
        <v>12.233573233201406</v>
      </c>
      <c r="W135" s="479">
        <f t="shared" si="70"/>
        <v>60.756210252000145</v>
      </c>
      <c r="X135" s="479">
        <f t="shared" si="70"/>
        <v>157.93998811470715</v>
      </c>
      <c r="Y135" s="479">
        <f t="shared" si="70"/>
        <v>258.08653962684673</v>
      </c>
      <c r="Z135" s="479">
        <f t="shared" si="70"/>
        <v>354.24135552092309</v>
      </c>
      <c r="AA135" s="479">
        <f t="shared" si="70"/>
        <v>439.52942069296796</v>
      </c>
      <c r="AB135" s="479">
        <f t="shared" si="70"/>
        <v>507.98444490185335</v>
      </c>
      <c r="AC135" s="479">
        <f t="shared" si="70"/>
        <v>555.30673941930604</v>
      </c>
      <c r="AD135" s="479">
        <f t="shared" si="70"/>
        <v>579.41080375375259</v>
      </c>
      <c r="AE135" s="479">
        <f t="shared" si="70"/>
        <v>580.65175157757346</v>
      </c>
      <c r="AF135" s="479">
        <f t="shared" si="70"/>
        <v>561.67695034982717</v>
      </c>
      <c r="AG135" s="479">
        <f t="shared" si="70"/>
        <v>526.92461946628043</v>
      </c>
      <c r="AH135" s="479">
        <f t="shared" si="70"/>
        <v>481.86656919222611</v>
      </c>
      <c r="AI135" s="479">
        <f t="shared" si="70"/>
        <v>423.65760974579098</v>
      </c>
      <c r="AJ135" s="479">
        <f t="shared" si="70"/>
        <v>374.53660930041121</v>
      </c>
      <c r="AK135" s="479">
        <f t="shared" si="70"/>
        <v>329.59610009486966</v>
      </c>
      <c r="AL135" s="479">
        <f t="shared" si="70"/>
        <v>291.18163128989937</v>
      </c>
      <c r="AM135" s="479">
        <f t="shared" si="70"/>
        <v>260.18984820450623</v>
      </c>
      <c r="AN135" s="479">
        <f t="shared" si="70"/>
        <v>236.57677483601623</v>
      </c>
      <c r="AO135" s="479">
        <f t="shared" si="70"/>
        <v>218.73614493011462</v>
      </c>
      <c r="AP135" s="479">
        <f t="shared" si="70"/>
        <v>205.5635343987565</v>
      </c>
      <c r="AQ135" s="479">
        <f t="shared" si="70"/>
        <v>195.7800271571451</v>
      </c>
      <c r="AR135" s="479">
        <f t="shared" si="70"/>
        <v>188.22660273540126</v>
      </c>
      <c r="AS135" s="479">
        <f t="shared" si="70"/>
        <v>182.01612255680982</v>
      </c>
      <c r="AT135" s="479">
        <f t="shared" si="70"/>
        <v>176.5604230430468</v>
      </c>
      <c r="AU135" s="479">
        <f t="shared" si="70"/>
        <v>171.51920914642017</v>
      </c>
      <c r="AV135" s="479">
        <f t="shared" si="70"/>
        <v>166.72069867188122</v>
      </c>
      <c r="AW135" s="479">
        <f t="shared" si="70"/>
        <v>162.08927869420936</v>
      </c>
      <c r="AX135" s="479">
        <f t="shared" si="70"/>
        <v>157.59546016358416</v>
      </c>
      <c r="AY135" s="479">
        <f t="shared" si="70"/>
        <v>153.22812594762374</v>
      </c>
      <c r="AZ135" s="479">
        <f t="shared" si="70"/>
        <v>148.98210772003736</v>
      </c>
      <c r="BA135" s="479">
        <f t="shared" si="70"/>
        <v>143.63738675874654</v>
      </c>
      <c r="BB135" s="479">
        <f t="shared" si="70"/>
        <v>136.08162669759275</v>
      </c>
      <c r="BC135" s="479">
        <f t="shared" si="70"/>
        <v>126.43334336684978</v>
      </c>
      <c r="BD135" s="479">
        <f t="shared" si="70"/>
        <v>114.97404876825767</v>
      </c>
      <c r="BE135" s="479">
        <f t="shared" si="70"/>
        <v>102.13259336251855</v>
      </c>
      <c r="BF135" s="479">
        <f t="shared" si="70"/>
        <v>88.450179974587215</v>
      </c>
      <c r="BG135" s="479">
        <f t="shared" si="70"/>
        <v>74.529447589331383</v>
      </c>
      <c r="BH135" s="479">
        <f t="shared" si="70"/>
        <v>60.974197414013751</v>
      </c>
      <c r="BI135" s="479">
        <f t="shared" si="70"/>
        <v>48.328541924372935</v>
      </c>
      <c r="BJ135" s="479">
        <f t="shared" si="70"/>
        <v>38.080063849532422</v>
      </c>
      <c r="BK135" s="479">
        <f t="shared" si="70"/>
        <v>28.128010789370123</v>
      </c>
      <c r="BL135" s="479">
        <f t="shared" si="70"/>
        <v>19.978422564158844</v>
      </c>
      <c r="BM135" s="479">
        <f t="shared" si="70"/>
        <v>13.604501217171578</v>
      </c>
      <c r="BN135" s="479">
        <f t="shared" si="70"/>
        <v>8.8529201206865711</v>
      </c>
      <c r="BO135" s="479">
        <f t="shared" si="70"/>
        <v>5.4851722390760749</v>
      </c>
      <c r="BP135" s="479">
        <f t="shared" si="70"/>
        <v>3.2225863665394683</v>
      </c>
      <c r="BQ135" s="479">
        <f t="shared" ref="BQ135:CZ135" si="71">BQ127/BQ6</f>
        <v>1.7868002377432044</v>
      </c>
      <c r="BR135" s="479">
        <f t="shared" si="71"/>
        <v>0.92382181605358604</v>
      </c>
      <c r="BS135" s="479">
        <f t="shared" si="71"/>
        <v>0.44198781511374319</v>
      </c>
      <c r="BT135" s="479">
        <f t="shared" si="71"/>
        <v>0.19388546980468685</v>
      </c>
      <c r="BU135" s="479">
        <f t="shared" si="71"/>
        <v>7.7108728498046369E-2</v>
      </c>
      <c r="BV135" s="479">
        <f t="shared" si="71"/>
        <v>2.7413365133495248E-2</v>
      </c>
      <c r="BW135" s="479">
        <f t="shared" si="71"/>
        <v>8.5551579514153257E-3</v>
      </c>
      <c r="BX135" s="479">
        <f t="shared" si="71"/>
        <v>2.2873561894209034E-3</v>
      </c>
      <c r="BY135" s="479">
        <f t="shared" si="71"/>
        <v>5.0628944719386E-4</v>
      </c>
      <c r="BZ135" s="479">
        <f t="shared" si="71"/>
        <v>8.808316525937181E-5</v>
      </c>
      <c r="CA135" s="479">
        <f t="shared" si="71"/>
        <v>1.1031302992424443E-5</v>
      </c>
      <c r="CB135" s="479">
        <f t="shared" si="71"/>
        <v>8.283034047549532E-7</v>
      </c>
      <c r="CC135" s="479">
        <f t="shared" si="71"/>
        <v>1.9474066588226928E-8</v>
      </c>
      <c r="CD135" s="479">
        <f t="shared" si="71"/>
        <v>0</v>
      </c>
      <c r="CE135" s="479" t="e">
        <f t="shared" si="71"/>
        <v>#N/A</v>
      </c>
      <c r="CF135" s="479" t="e">
        <f t="shared" si="71"/>
        <v>#N/A</v>
      </c>
      <c r="CG135" s="479" t="e">
        <f t="shared" si="71"/>
        <v>#N/A</v>
      </c>
      <c r="CH135" s="479" t="e">
        <f t="shared" si="71"/>
        <v>#N/A</v>
      </c>
      <c r="CI135" s="479" t="e">
        <f t="shared" si="71"/>
        <v>#N/A</v>
      </c>
      <c r="CJ135" s="479" t="e">
        <f t="shared" si="71"/>
        <v>#N/A</v>
      </c>
      <c r="CK135" s="479" t="e">
        <f t="shared" si="71"/>
        <v>#N/A</v>
      </c>
      <c r="CL135" s="479" t="e">
        <f t="shared" si="71"/>
        <v>#N/A</v>
      </c>
      <c r="CM135" s="479" t="e">
        <f t="shared" si="71"/>
        <v>#N/A</v>
      </c>
      <c r="CN135" s="479" t="e">
        <f t="shared" si="71"/>
        <v>#N/A</v>
      </c>
      <c r="CO135" s="479" t="e">
        <f t="shared" si="71"/>
        <v>#N/A</v>
      </c>
      <c r="CP135" s="479" t="e">
        <f t="shared" si="71"/>
        <v>#N/A</v>
      </c>
      <c r="CQ135" s="479" t="e">
        <f t="shared" si="71"/>
        <v>#N/A</v>
      </c>
      <c r="CR135" s="479" t="e">
        <f t="shared" si="71"/>
        <v>#N/A</v>
      </c>
      <c r="CS135" s="479" t="e">
        <f t="shared" si="71"/>
        <v>#N/A</v>
      </c>
      <c r="CT135" s="479" t="e">
        <f t="shared" si="71"/>
        <v>#N/A</v>
      </c>
      <c r="CU135" s="479" t="e">
        <f t="shared" si="71"/>
        <v>#N/A</v>
      </c>
      <c r="CV135" s="479" t="e">
        <f t="shared" si="71"/>
        <v>#N/A</v>
      </c>
      <c r="CW135" s="479" t="e">
        <f t="shared" si="71"/>
        <v>#N/A</v>
      </c>
      <c r="CX135" s="479" t="e">
        <f t="shared" si="71"/>
        <v>#N/A</v>
      </c>
      <c r="CY135" s="479" t="e">
        <f t="shared" si="71"/>
        <v>#N/A</v>
      </c>
      <c r="CZ135" s="479" t="e">
        <f t="shared" si="71"/>
        <v>#N/A</v>
      </c>
    </row>
    <row r="136" spans="1:104" x14ac:dyDescent="0.25">
      <c r="B136" s="609" t="s">
        <v>280</v>
      </c>
      <c r="E136" s="479">
        <f>E135/12*2.8</f>
        <v>0</v>
      </c>
      <c r="F136" s="479">
        <f t="shared" ref="F136:BQ136" si="72">F135/12*2.8</f>
        <v>4.4750598489782023</v>
      </c>
      <c r="G136" s="479">
        <f t="shared" si="72"/>
        <v>4.3510547875334984</v>
      </c>
      <c r="H136" s="479">
        <f t="shared" si="72"/>
        <v>4.2304859382921718</v>
      </c>
      <c r="I136" s="479">
        <f t="shared" si="72"/>
        <v>4.113258082928704</v>
      </c>
      <c r="J136" s="479">
        <f t="shared" si="72"/>
        <v>3.9992786416419097</v>
      </c>
      <c r="K136" s="479">
        <f t="shared" si="72"/>
        <v>3.8884576000407485</v>
      </c>
      <c r="L136" s="479">
        <f t="shared" si="72"/>
        <v>3.7807074380561487</v>
      </c>
      <c r="M136" s="479">
        <f t="shared" si="72"/>
        <v>3.6759430608227013</v>
      </c>
      <c r="N136" s="479">
        <f t="shared" si="72"/>
        <v>3.5740817314756459</v>
      </c>
      <c r="O136" s="479">
        <f t="shared" si="72"/>
        <v>3.4750430058100594</v>
      </c>
      <c r="P136" s="479">
        <f t="shared" si="72"/>
        <v>3.3787486687506658</v>
      </c>
      <c r="Q136" s="479">
        <f t="shared" si="72"/>
        <v>3.2851226725820761</v>
      </c>
      <c r="R136" s="479">
        <f t="shared" si="72"/>
        <v>3.1940910768906918</v>
      </c>
      <c r="S136" s="479">
        <f t="shared" si="72"/>
        <v>3.105581990170823</v>
      </c>
      <c r="T136" s="479">
        <f t="shared" si="72"/>
        <v>3.0195255130489294</v>
      </c>
      <c r="U136" s="479">
        <f t="shared" si="72"/>
        <v>2.9358536830811168</v>
      </c>
      <c r="V136" s="479">
        <f t="shared" si="72"/>
        <v>2.8545004210803282</v>
      </c>
      <c r="W136" s="479">
        <f t="shared" si="72"/>
        <v>14.176449058800033</v>
      </c>
      <c r="X136" s="479">
        <f t="shared" si="72"/>
        <v>36.852663893431668</v>
      </c>
      <c r="Y136" s="479">
        <f t="shared" si="72"/>
        <v>60.220192579597565</v>
      </c>
      <c r="Z136" s="479">
        <f t="shared" si="72"/>
        <v>82.656316288215393</v>
      </c>
      <c r="AA136" s="479">
        <f t="shared" si="72"/>
        <v>102.55686482835918</v>
      </c>
      <c r="AB136" s="479">
        <f t="shared" si="72"/>
        <v>118.52970381043244</v>
      </c>
      <c r="AC136" s="479">
        <f t="shared" si="72"/>
        <v>129.5715725311714</v>
      </c>
      <c r="AD136" s="479">
        <f t="shared" si="72"/>
        <v>135.19585420920893</v>
      </c>
      <c r="AE136" s="479">
        <f t="shared" si="72"/>
        <v>135.48540870143381</v>
      </c>
      <c r="AF136" s="479">
        <f t="shared" si="72"/>
        <v>131.05795508162632</v>
      </c>
      <c r="AG136" s="479">
        <f t="shared" si="72"/>
        <v>122.94907787546542</v>
      </c>
      <c r="AH136" s="479">
        <f t="shared" si="72"/>
        <v>112.43553281151942</v>
      </c>
      <c r="AI136" s="479">
        <f t="shared" si="72"/>
        <v>98.85344227401788</v>
      </c>
      <c r="AJ136" s="479">
        <f t="shared" si="72"/>
        <v>87.391875503429276</v>
      </c>
      <c r="AK136" s="479">
        <f t="shared" si="72"/>
        <v>76.905756688802924</v>
      </c>
      <c r="AL136" s="479">
        <f t="shared" si="72"/>
        <v>67.942380634309842</v>
      </c>
      <c r="AM136" s="479">
        <f t="shared" si="72"/>
        <v>60.710964581051456</v>
      </c>
      <c r="AN136" s="479">
        <f t="shared" si="72"/>
        <v>55.201247461737118</v>
      </c>
      <c r="AO136" s="479">
        <f t="shared" si="72"/>
        <v>51.038433817026736</v>
      </c>
      <c r="AP136" s="479">
        <f t="shared" si="72"/>
        <v>47.964824693043184</v>
      </c>
      <c r="AQ136" s="479">
        <f t="shared" si="72"/>
        <v>45.682006336667193</v>
      </c>
      <c r="AR136" s="479">
        <f t="shared" si="72"/>
        <v>43.919540638260287</v>
      </c>
      <c r="AS136" s="479">
        <f t="shared" si="72"/>
        <v>42.470428596588953</v>
      </c>
      <c r="AT136" s="479">
        <f t="shared" si="72"/>
        <v>41.197432043377582</v>
      </c>
      <c r="AU136" s="479">
        <f t="shared" si="72"/>
        <v>40.021148800831369</v>
      </c>
      <c r="AV136" s="479">
        <f t="shared" si="72"/>
        <v>38.901496356772284</v>
      </c>
      <c r="AW136" s="479">
        <f t="shared" si="72"/>
        <v>37.820831695315512</v>
      </c>
      <c r="AX136" s="479">
        <f t="shared" si="72"/>
        <v>36.772274038169634</v>
      </c>
      <c r="AY136" s="479">
        <f t="shared" si="72"/>
        <v>35.753229387778873</v>
      </c>
      <c r="AZ136" s="479">
        <f t="shared" si="72"/>
        <v>34.762491801342051</v>
      </c>
      <c r="BA136" s="479">
        <f t="shared" si="72"/>
        <v>33.515390243707522</v>
      </c>
      <c r="BB136" s="479">
        <f t="shared" si="72"/>
        <v>31.75237956277164</v>
      </c>
      <c r="BC136" s="479">
        <f t="shared" si="72"/>
        <v>29.501113452264946</v>
      </c>
      <c r="BD136" s="479">
        <f t="shared" si="72"/>
        <v>26.827278045926789</v>
      </c>
      <c r="BE136" s="479">
        <f t="shared" si="72"/>
        <v>23.83093845125433</v>
      </c>
      <c r="BF136" s="479">
        <f t="shared" si="72"/>
        <v>20.638375327403683</v>
      </c>
      <c r="BG136" s="479">
        <f t="shared" si="72"/>
        <v>17.390204437510654</v>
      </c>
      <c r="BH136" s="479">
        <f t="shared" si="72"/>
        <v>14.227312729936541</v>
      </c>
      <c r="BI136" s="479">
        <f t="shared" si="72"/>
        <v>11.276659782353684</v>
      </c>
      <c r="BJ136" s="479">
        <f t="shared" si="72"/>
        <v>8.8853482315575647</v>
      </c>
      <c r="BK136" s="479">
        <f t="shared" si="72"/>
        <v>6.5632025175196942</v>
      </c>
      <c r="BL136" s="479">
        <f t="shared" si="72"/>
        <v>4.6616319316370634</v>
      </c>
      <c r="BM136" s="479">
        <f t="shared" si="72"/>
        <v>3.1743836173400344</v>
      </c>
      <c r="BN136" s="479">
        <f t="shared" si="72"/>
        <v>2.065681361493533</v>
      </c>
      <c r="BO136" s="479">
        <f t="shared" si="72"/>
        <v>1.2798735224510842</v>
      </c>
      <c r="BP136" s="479">
        <f t="shared" si="72"/>
        <v>0.75193681885920927</v>
      </c>
      <c r="BQ136" s="479">
        <f t="shared" si="72"/>
        <v>0.41692005547341437</v>
      </c>
      <c r="BR136" s="479">
        <f t="shared" ref="BR136:CZ136" si="73">BR135/12*2.8</f>
        <v>0.21555842374583672</v>
      </c>
      <c r="BS136" s="479">
        <f t="shared" si="73"/>
        <v>0.10313049019320675</v>
      </c>
      <c r="BT136" s="479">
        <f t="shared" si="73"/>
        <v>4.5239942954426932E-2</v>
      </c>
      <c r="BU136" s="479">
        <f t="shared" si="73"/>
        <v>1.7992036649544154E-2</v>
      </c>
      <c r="BV136" s="479">
        <f t="shared" si="73"/>
        <v>6.3964518644822246E-3</v>
      </c>
      <c r="BW136" s="479">
        <f t="shared" si="73"/>
        <v>1.996203521996909E-3</v>
      </c>
      <c r="BX136" s="479">
        <f t="shared" si="73"/>
        <v>5.3371644419821071E-4</v>
      </c>
      <c r="BY136" s="479">
        <f t="shared" si="73"/>
        <v>1.1813420434523399E-4</v>
      </c>
      <c r="BZ136" s="479">
        <f t="shared" si="73"/>
        <v>2.0552738560520087E-5</v>
      </c>
      <c r="CA136" s="479">
        <f t="shared" si="73"/>
        <v>2.5739706982323696E-6</v>
      </c>
      <c r="CB136" s="479">
        <f t="shared" si="73"/>
        <v>1.932707944428224E-7</v>
      </c>
      <c r="CC136" s="479">
        <f t="shared" si="73"/>
        <v>4.5439488705862824E-9</v>
      </c>
      <c r="CD136" s="479">
        <f t="shared" si="73"/>
        <v>0</v>
      </c>
      <c r="CE136" s="479" t="e">
        <f t="shared" si="73"/>
        <v>#N/A</v>
      </c>
      <c r="CF136" s="479" t="e">
        <f t="shared" si="73"/>
        <v>#N/A</v>
      </c>
      <c r="CG136" s="479" t="e">
        <f t="shared" si="73"/>
        <v>#N/A</v>
      </c>
      <c r="CH136" s="479" t="e">
        <f t="shared" si="73"/>
        <v>#N/A</v>
      </c>
      <c r="CI136" s="479" t="e">
        <f t="shared" si="73"/>
        <v>#N/A</v>
      </c>
      <c r="CJ136" s="479" t="e">
        <f t="shared" si="73"/>
        <v>#N/A</v>
      </c>
      <c r="CK136" s="479" t="e">
        <f t="shared" si="73"/>
        <v>#N/A</v>
      </c>
      <c r="CL136" s="479" t="e">
        <f t="shared" si="73"/>
        <v>#N/A</v>
      </c>
      <c r="CM136" s="479" t="e">
        <f t="shared" si="73"/>
        <v>#N/A</v>
      </c>
      <c r="CN136" s="479" t="e">
        <f t="shared" si="73"/>
        <v>#N/A</v>
      </c>
      <c r="CO136" s="479" t="e">
        <f t="shared" si="73"/>
        <v>#N/A</v>
      </c>
      <c r="CP136" s="479" t="e">
        <f t="shared" si="73"/>
        <v>#N/A</v>
      </c>
      <c r="CQ136" s="479" t="e">
        <f t="shared" si="73"/>
        <v>#N/A</v>
      </c>
      <c r="CR136" s="479" t="e">
        <f t="shared" si="73"/>
        <v>#N/A</v>
      </c>
      <c r="CS136" s="479" t="e">
        <f t="shared" si="73"/>
        <v>#N/A</v>
      </c>
      <c r="CT136" s="479" t="e">
        <f t="shared" si="73"/>
        <v>#N/A</v>
      </c>
      <c r="CU136" s="479" t="e">
        <f t="shared" si="73"/>
        <v>#N/A</v>
      </c>
      <c r="CV136" s="479" t="e">
        <f t="shared" si="73"/>
        <v>#N/A</v>
      </c>
      <c r="CW136" s="479" t="e">
        <f t="shared" si="73"/>
        <v>#N/A</v>
      </c>
      <c r="CX136" s="479" t="e">
        <f t="shared" si="73"/>
        <v>#N/A</v>
      </c>
      <c r="CY136" s="479" t="e">
        <f t="shared" si="73"/>
        <v>#N/A</v>
      </c>
      <c r="CZ136" s="479" t="e">
        <f t="shared" si="73"/>
        <v>#N/A</v>
      </c>
    </row>
    <row r="137" spans="1:104" x14ac:dyDescent="0.25">
      <c r="B137" s="609" t="s">
        <v>324</v>
      </c>
      <c r="E137" s="477">
        <f t="shared" ref="E137:BP137" si="74">(E40+E48)/E7</f>
        <v>0</v>
      </c>
      <c r="F137" s="477">
        <f t="shared" si="74"/>
        <v>0</v>
      </c>
      <c r="G137" s="477">
        <f t="shared" si="74"/>
        <v>0</v>
      </c>
      <c r="H137" s="477">
        <f t="shared" si="74"/>
        <v>0</v>
      </c>
      <c r="I137" s="477">
        <f t="shared" si="74"/>
        <v>0</v>
      </c>
      <c r="J137" s="477">
        <f t="shared" si="74"/>
        <v>0</v>
      </c>
      <c r="K137" s="477">
        <f t="shared" si="74"/>
        <v>0</v>
      </c>
      <c r="L137" s="477">
        <f t="shared" si="74"/>
        <v>0</v>
      </c>
      <c r="M137" s="477">
        <f t="shared" si="74"/>
        <v>0</v>
      </c>
      <c r="N137" s="477">
        <f t="shared" si="74"/>
        <v>0</v>
      </c>
      <c r="O137" s="477">
        <f t="shared" si="74"/>
        <v>0</v>
      </c>
      <c r="P137" s="477">
        <f t="shared" si="74"/>
        <v>0</v>
      </c>
      <c r="Q137" s="477">
        <f t="shared" si="74"/>
        <v>0</v>
      </c>
      <c r="R137" s="477">
        <f t="shared" si="74"/>
        <v>0</v>
      </c>
      <c r="S137" s="477">
        <f t="shared" si="74"/>
        <v>0</v>
      </c>
      <c r="T137" s="477">
        <f t="shared" si="74"/>
        <v>0</v>
      </c>
      <c r="U137" s="477">
        <f t="shared" si="74"/>
        <v>0</v>
      </c>
      <c r="V137" s="477">
        <f t="shared" si="74"/>
        <v>0</v>
      </c>
      <c r="W137" s="477">
        <f t="shared" si="74"/>
        <v>4884.2638465667296</v>
      </c>
      <c r="X137" s="477">
        <f t="shared" si="74"/>
        <v>14357.130722092135</v>
      </c>
      <c r="Y137" s="477">
        <f t="shared" si="74"/>
        <v>23600.1247075869</v>
      </c>
      <c r="Z137" s="477">
        <f t="shared" si="74"/>
        <v>31945.5693418886</v>
      </c>
      <c r="AA137" s="477">
        <f t="shared" si="74"/>
        <v>38770.521025472379</v>
      </c>
      <c r="AB137" s="477">
        <f t="shared" si="74"/>
        <v>43576.12481175729</v>
      </c>
      <c r="AC137" s="477">
        <f t="shared" si="74"/>
        <v>46055.47272593934</v>
      </c>
      <c r="AD137" s="477">
        <f t="shared" si="74"/>
        <v>46136.843968423265</v>
      </c>
      <c r="AE137" s="477">
        <f t="shared" si="74"/>
        <v>43992.728377364161</v>
      </c>
      <c r="AF137" s="477">
        <f t="shared" si="74"/>
        <v>40011.255515519013</v>
      </c>
      <c r="AG137" s="477">
        <f t="shared" si="74"/>
        <v>34734.320856816623</v>
      </c>
      <c r="AH137" s="477">
        <f t="shared" si="74"/>
        <v>28773.94132881079</v>
      </c>
      <c r="AI137" s="477">
        <f t="shared" si="74"/>
        <v>22723.186149349378</v>
      </c>
      <c r="AJ137" s="477">
        <f t="shared" si="74"/>
        <v>17078.937142011284</v>
      </c>
      <c r="AK137" s="477">
        <f t="shared" si="74"/>
        <v>12190.336069645939</v>
      </c>
      <c r="AL137" s="477">
        <f t="shared" si="74"/>
        <v>8239.991208997164</v>
      </c>
      <c r="AM137" s="477">
        <f t="shared" si="74"/>
        <v>5256.8442091666238</v>
      </c>
      <c r="AN137" s="477">
        <f t="shared" si="74"/>
        <v>3175.8652169863835</v>
      </c>
      <c r="AO137" s="477">
        <f t="shared" si="74"/>
        <v>1781.1934063298488</v>
      </c>
      <c r="AP137" s="477">
        <f t="shared" si="74"/>
        <v>920.80449025882638</v>
      </c>
      <c r="AQ137" s="477">
        <f t="shared" si="74"/>
        <v>434.9347169018402</v>
      </c>
      <c r="AR137" s="477">
        <f t="shared" si="74"/>
        <v>185.67456636567312</v>
      </c>
      <c r="AS137" s="477">
        <f t="shared" si="74"/>
        <v>70.658953880953121</v>
      </c>
      <c r="AT137" s="477">
        <f t="shared" si="74"/>
        <v>23.544698297314362</v>
      </c>
      <c r="AU137" s="477">
        <f t="shared" si="74"/>
        <v>6.7060370745945601</v>
      </c>
      <c r="AV137" s="477">
        <f t="shared" si="74"/>
        <v>1.5779537153811032</v>
      </c>
      <c r="AW137" s="477">
        <f t="shared" si="74"/>
        <v>0.29129027418346853</v>
      </c>
      <c r="AX137" s="477">
        <f t="shared" si="74"/>
        <v>3.8640290794197646E-2</v>
      </c>
      <c r="AY137" s="477">
        <f t="shared" si="74"/>
        <v>3.0681549704684231E-3</v>
      </c>
      <c r="AZ137" s="477">
        <f t="shared" si="74"/>
        <v>7.392224667061483E-5</v>
      </c>
      <c r="BA137" s="477">
        <f t="shared" si="74"/>
        <v>0</v>
      </c>
      <c r="BB137" s="477">
        <f t="shared" si="74"/>
        <v>0</v>
      </c>
      <c r="BC137" s="477">
        <f t="shared" si="74"/>
        <v>0</v>
      </c>
      <c r="BD137" s="477">
        <f t="shared" si="74"/>
        <v>0</v>
      </c>
      <c r="BE137" s="477">
        <f t="shared" si="74"/>
        <v>0</v>
      </c>
      <c r="BF137" s="477">
        <f t="shared" si="74"/>
        <v>0</v>
      </c>
      <c r="BG137" s="477">
        <f t="shared" si="74"/>
        <v>0</v>
      </c>
      <c r="BH137" s="477">
        <f t="shared" si="74"/>
        <v>0</v>
      </c>
      <c r="BI137" s="477">
        <f t="shared" si="74"/>
        <v>0</v>
      </c>
      <c r="BJ137" s="477">
        <f t="shared" si="74"/>
        <v>0</v>
      </c>
      <c r="BK137" s="477">
        <f t="shared" si="74"/>
        <v>0</v>
      </c>
      <c r="BL137" s="477">
        <f t="shared" si="74"/>
        <v>0</v>
      </c>
      <c r="BM137" s="477">
        <f t="shared" si="74"/>
        <v>0</v>
      </c>
      <c r="BN137" s="477">
        <f t="shared" si="74"/>
        <v>0</v>
      </c>
      <c r="BO137" s="477">
        <f t="shared" si="74"/>
        <v>0</v>
      </c>
      <c r="BP137" s="477">
        <f t="shared" si="74"/>
        <v>0</v>
      </c>
      <c r="BQ137" s="477">
        <f t="shared" ref="BQ137:CZ137" si="75">(BQ40+BQ48)/BQ7</f>
        <v>0</v>
      </c>
      <c r="BR137" s="477">
        <f t="shared" si="75"/>
        <v>0</v>
      </c>
      <c r="BS137" s="477">
        <f t="shared" si="75"/>
        <v>0</v>
      </c>
      <c r="BT137" s="477">
        <f t="shared" si="75"/>
        <v>0</v>
      </c>
      <c r="BU137" s="477">
        <f t="shared" si="75"/>
        <v>0</v>
      </c>
      <c r="BV137" s="477">
        <f t="shared" si="75"/>
        <v>0</v>
      </c>
      <c r="BW137" s="477">
        <f t="shared" si="75"/>
        <v>0</v>
      </c>
      <c r="BX137" s="477">
        <f t="shared" si="75"/>
        <v>0</v>
      </c>
      <c r="BY137" s="477">
        <f t="shared" si="75"/>
        <v>0</v>
      </c>
      <c r="BZ137" s="477">
        <f t="shared" si="75"/>
        <v>0</v>
      </c>
      <c r="CA137" s="477">
        <f t="shared" si="75"/>
        <v>0</v>
      </c>
      <c r="CB137" s="477">
        <f t="shared" si="75"/>
        <v>0</v>
      </c>
      <c r="CC137" s="477">
        <f t="shared" si="75"/>
        <v>0</v>
      </c>
      <c r="CD137" s="477" t="e">
        <f t="shared" si="75"/>
        <v>#DIV/0!</v>
      </c>
      <c r="CE137" s="477" t="e">
        <f t="shared" si="75"/>
        <v>#DIV/0!</v>
      </c>
      <c r="CF137" s="477" t="e">
        <f t="shared" si="75"/>
        <v>#DIV/0!</v>
      </c>
      <c r="CG137" s="477" t="e">
        <f t="shared" si="75"/>
        <v>#DIV/0!</v>
      </c>
      <c r="CH137" s="477" t="e">
        <f t="shared" si="75"/>
        <v>#DIV/0!</v>
      </c>
      <c r="CI137" s="477" t="e">
        <f t="shared" si="75"/>
        <v>#DIV/0!</v>
      </c>
      <c r="CJ137" s="477" t="e">
        <f t="shared" si="75"/>
        <v>#DIV/0!</v>
      </c>
      <c r="CK137" s="477" t="e">
        <f t="shared" si="75"/>
        <v>#DIV/0!</v>
      </c>
      <c r="CL137" s="477" t="e">
        <f t="shared" si="75"/>
        <v>#DIV/0!</v>
      </c>
      <c r="CM137" s="477" t="e">
        <f t="shared" si="75"/>
        <v>#DIV/0!</v>
      </c>
      <c r="CN137" s="477" t="e">
        <f t="shared" si="75"/>
        <v>#DIV/0!</v>
      </c>
      <c r="CO137" s="477" t="e">
        <f t="shared" si="75"/>
        <v>#DIV/0!</v>
      </c>
      <c r="CP137" s="477" t="e">
        <f t="shared" si="75"/>
        <v>#DIV/0!</v>
      </c>
      <c r="CQ137" s="477" t="e">
        <f t="shared" si="75"/>
        <v>#DIV/0!</v>
      </c>
      <c r="CR137" s="477" t="e">
        <f t="shared" si="75"/>
        <v>#DIV/0!</v>
      </c>
      <c r="CS137" s="477" t="e">
        <f t="shared" si="75"/>
        <v>#DIV/0!</v>
      </c>
      <c r="CT137" s="477" t="e">
        <f t="shared" si="75"/>
        <v>#DIV/0!</v>
      </c>
      <c r="CU137" s="477" t="e">
        <f t="shared" si="75"/>
        <v>#DIV/0!</v>
      </c>
      <c r="CV137" s="477" t="e">
        <f t="shared" si="75"/>
        <v>#DIV/0!</v>
      </c>
      <c r="CW137" s="477" t="e">
        <f t="shared" si="75"/>
        <v>#DIV/0!</v>
      </c>
      <c r="CX137" s="477" t="e">
        <f t="shared" si="75"/>
        <v>#DIV/0!</v>
      </c>
      <c r="CY137" s="477" t="e">
        <f t="shared" si="75"/>
        <v>#DIV/0!</v>
      </c>
      <c r="CZ137" s="477" t="e">
        <f t="shared" si="75"/>
        <v>#DIV/0!</v>
      </c>
    </row>
    <row r="138" spans="1:104" x14ac:dyDescent="0.25">
      <c r="B138" s="609" t="s">
        <v>600</v>
      </c>
      <c r="F138" s="796">
        <f>F127/F6</f>
        <v>19.178827924192298</v>
      </c>
      <c r="G138" s="796">
        <f t="shared" ref="G138:BR138" si="76">G127/G6</f>
        <v>18.647377660857853</v>
      </c>
      <c r="H138" s="796">
        <f t="shared" si="76"/>
        <v>18.130654021252166</v>
      </c>
      <c r="I138" s="796">
        <f t="shared" si="76"/>
        <v>17.628248926837305</v>
      </c>
      <c r="J138" s="796">
        <f t="shared" si="76"/>
        <v>17.139765607036757</v>
      </c>
      <c r="K138" s="796">
        <f t="shared" si="76"/>
        <v>16.664818285888924</v>
      </c>
      <c r="L138" s="796">
        <f t="shared" si="76"/>
        <v>16.203031877383495</v>
      </c>
      <c r="M138" s="796">
        <f t="shared" si="76"/>
        <v>15.75404168924015</v>
      </c>
      <c r="N138" s="796">
        <f t="shared" si="76"/>
        <v>15.317493134895626</v>
      </c>
      <c r="O138" s="796">
        <f t="shared" si="76"/>
        <v>14.893041453471684</v>
      </c>
      <c r="P138" s="796">
        <f t="shared" si="76"/>
        <v>14.480351437502854</v>
      </c>
      <c r="Q138" s="796">
        <f t="shared" si="76"/>
        <v>14.0790971682089</v>
      </c>
      <c r="R138" s="796">
        <f t="shared" si="76"/>
        <v>13.688961758102966</v>
      </c>
      <c r="S138" s="796">
        <f t="shared" si="76"/>
        <v>13.3096371007321</v>
      </c>
      <c r="T138" s="796">
        <f t="shared" si="76"/>
        <v>12.940823627352554</v>
      </c>
      <c r="U138" s="796">
        <f t="shared" si="76"/>
        <v>12.582230070347645</v>
      </c>
      <c r="V138" s="796">
        <f t="shared" si="76"/>
        <v>12.233573233201406</v>
      </c>
      <c r="W138" s="796">
        <f t="shared" si="76"/>
        <v>60.756210252000145</v>
      </c>
      <c r="X138" s="796">
        <f t="shared" si="76"/>
        <v>157.93998811470715</v>
      </c>
      <c r="Y138" s="796">
        <f t="shared" si="76"/>
        <v>258.08653962684673</v>
      </c>
      <c r="Z138" s="796">
        <f t="shared" si="76"/>
        <v>354.24135552092309</v>
      </c>
      <c r="AA138" s="796">
        <f t="shared" si="76"/>
        <v>439.52942069296796</v>
      </c>
      <c r="AB138" s="796">
        <f t="shared" si="76"/>
        <v>507.98444490185335</v>
      </c>
      <c r="AC138" s="796">
        <f t="shared" si="76"/>
        <v>555.30673941930604</v>
      </c>
      <c r="AD138" s="796">
        <f t="shared" si="76"/>
        <v>579.41080375375259</v>
      </c>
      <c r="AE138" s="796">
        <f t="shared" si="76"/>
        <v>580.65175157757346</v>
      </c>
      <c r="AF138" s="796">
        <f t="shared" si="76"/>
        <v>561.67695034982717</v>
      </c>
      <c r="AG138" s="796">
        <f t="shared" si="76"/>
        <v>526.92461946628043</v>
      </c>
      <c r="AH138" s="796">
        <f t="shared" si="76"/>
        <v>481.86656919222611</v>
      </c>
      <c r="AI138" s="796">
        <f t="shared" si="76"/>
        <v>423.65760974579098</v>
      </c>
      <c r="AJ138" s="796">
        <f t="shared" si="76"/>
        <v>374.53660930041121</v>
      </c>
      <c r="AK138" s="796">
        <f t="shared" si="76"/>
        <v>329.59610009486966</v>
      </c>
      <c r="AL138" s="796">
        <f t="shared" si="76"/>
        <v>291.18163128989937</v>
      </c>
      <c r="AM138" s="796">
        <f t="shared" si="76"/>
        <v>260.18984820450623</v>
      </c>
      <c r="AN138" s="796">
        <f t="shared" si="76"/>
        <v>236.57677483601623</v>
      </c>
      <c r="AO138" s="796">
        <f t="shared" si="76"/>
        <v>218.73614493011462</v>
      </c>
      <c r="AP138" s="796">
        <f t="shared" si="76"/>
        <v>205.5635343987565</v>
      </c>
      <c r="AQ138" s="796">
        <f t="shared" si="76"/>
        <v>195.7800271571451</v>
      </c>
      <c r="AR138" s="796">
        <f t="shared" si="76"/>
        <v>188.22660273540126</v>
      </c>
      <c r="AS138" s="796">
        <f t="shared" si="76"/>
        <v>182.01612255680982</v>
      </c>
      <c r="AT138" s="796">
        <f t="shared" si="76"/>
        <v>176.5604230430468</v>
      </c>
      <c r="AU138" s="796">
        <f t="shared" si="76"/>
        <v>171.51920914642017</v>
      </c>
      <c r="AV138" s="796">
        <f t="shared" si="76"/>
        <v>166.72069867188122</v>
      </c>
      <c r="AW138" s="796">
        <f t="shared" si="76"/>
        <v>162.08927869420936</v>
      </c>
      <c r="AX138" s="796">
        <f t="shared" si="76"/>
        <v>157.59546016358416</v>
      </c>
      <c r="AY138" s="796">
        <f t="shared" si="76"/>
        <v>153.22812594762374</v>
      </c>
      <c r="AZ138" s="796">
        <f t="shared" si="76"/>
        <v>148.98210772003736</v>
      </c>
      <c r="BA138" s="796">
        <f t="shared" si="76"/>
        <v>143.63738675874654</v>
      </c>
      <c r="BB138" s="796">
        <f t="shared" si="76"/>
        <v>136.08162669759275</v>
      </c>
      <c r="BC138" s="796">
        <f t="shared" si="76"/>
        <v>126.43334336684978</v>
      </c>
      <c r="BD138" s="796">
        <f t="shared" si="76"/>
        <v>114.97404876825767</v>
      </c>
      <c r="BE138" s="796">
        <f t="shared" si="76"/>
        <v>102.13259336251855</v>
      </c>
      <c r="BF138" s="796">
        <f t="shared" si="76"/>
        <v>88.450179974587215</v>
      </c>
      <c r="BG138" s="796">
        <f t="shared" si="76"/>
        <v>74.529447589331383</v>
      </c>
      <c r="BH138" s="796">
        <f t="shared" si="76"/>
        <v>60.974197414013751</v>
      </c>
      <c r="BI138" s="796">
        <f t="shared" si="76"/>
        <v>48.328541924372935</v>
      </c>
      <c r="BJ138" s="796">
        <f t="shared" si="76"/>
        <v>38.080063849532422</v>
      </c>
      <c r="BK138" s="796">
        <f t="shared" si="76"/>
        <v>28.128010789370123</v>
      </c>
      <c r="BL138" s="796">
        <f t="shared" si="76"/>
        <v>19.978422564158844</v>
      </c>
      <c r="BM138" s="796">
        <f t="shared" si="76"/>
        <v>13.604501217171578</v>
      </c>
      <c r="BN138" s="796">
        <f t="shared" si="76"/>
        <v>8.8529201206865711</v>
      </c>
      <c r="BO138" s="796">
        <f t="shared" si="76"/>
        <v>5.4851722390760749</v>
      </c>
      <c r="BP138" s="796">
        <f t="shared" si="76"/>
        <v>3.2225863665394683</v>
      </c>
      <c r="BQ138" s="796">
        <f t="shared" si="76"/>
        <v>1.7868002377432044</v>
      </c>
      <c r="BR138" s="796">
        <f t="shared" si="76"/>
        <v>0.92382181605358604</v>
      </c>
      <c r="BS138" s="796">
        <f t="shared" ref="BS138:CZ138" si="77">BS127/BS6</f>
        <v>0.44198781511374319</v>
      </c>
      <c r="BT138" s="796">
        <f t="shared" si="77"/>
        <v>0.19388546980468685</v>
      </c>
      <c r="BU138" s="796">
        <f t="shared" si="77"/>
        <v>7.7108728498046369E-2</v>
      </c>
      <c r="BV138" s="796">
        <f t="shared" si="77"/>
        <v>2.7413365133495248E-2</v>
      </c>
      <c r="BW138" s="796">
        <f t="shared" si="77"/>
        <v>8.5551579514153257E-3</v>
      </c>
      <c r="BX138" s="796">
        <f t="shared" si="77"/>
        <v>2.2873561894209034E-3</v>
      </c>
      <c r="BY138" s="796">
        <f t="shared" si="77"/>
        <v>5.0628944719386E-4</v>
      </c>
      <c r="BZ138" s="796">
        <f t="shared" si="77"/>
        <v>8.808316525937181E-5</v>
      </c>
      <c r="CA138" s="796">
        <f t="shared" si="77"/>
        <v>1.1031302992424443E-5</v>
      </c>
      <c r="CB138" s="796">
        <f t="shared" si="77"/>
        <v>8.283034047549532E-7</v>
      </c>
      <c r="CC138" s="796">
        <f t="shared" si="77"/>
        <v>1.9474066588226928E-8</v>
      </c>
      <c r="CD138" s="796">
        <f t="shared" si="77"/>
        <v>0</v>
      </c>
      <c r="CE138" s="796" t="e">
        <f t="shared" si="77"/>
        <v>#N/A</v>
      </c>
      <c r="CF138" s="796" t="e">
        <f t="shared" si="77"/>
        <v>#N/A</v>
      </c>
      <c r="CG138" s="796" t="e">
        <f t="shared" si="77"/>
        <v>#N/A</v>
      </c>
      <c r="CH138" s="796" t="e">
        <f t="shared" si="77"/>
        <v>#N/A</v>
      </c>
      <c r="CI138" s="796" t="e">
        <f t="shared" si="77"/>
        <v>#N/A</v>
      </c>
      <c r="CJ138" s="796" t="e">
        <f t="shared" si="77"/>
        <v>#N/A</v>
      </c>
      <c r="CK138" s="796" t="e">
        <f t="shared" si="77"/>
        <v>#N/A</v>
      </c>
      <c r="CL138" s="796" t="e">
        <f t="shared" si="77"/>
        <v>#N/A</v>
      </c>
      <c r="CM138" s="796" t="e">
        <f t="shared" si="77"/>
        <v>#N/A</v>
      </c>
      <c r="CN138" s="796" t="e">
        <f t="shared" si="77"/>
        <v>#N/A</v>
      </c>
      <c r="CO138" s="796" t="e">
        <f t="shared" si="77"/>
        <v>#N/A</v>
      </c>
      <c r="CP138" s="796" t="e">
        <f t="shared" si="77"/>
        <v>#N/A</v>
      </c>
      <c r="CQ138" s="796" t="e">
        <f t="shared" si="77"/>
        <v>#N/A</v>
      </c>
      <c r="CR138" s="796" t="e">
        <f t="shared" si="77"/>
        <v>#N/A</v>
      </c>
      <c r="CS138" s="796" t="e">
        <f t="shared" si="77"/>
        <v>#N/A</v>
      </c>
      <c r="CT138" s="796" t="e">
        <f t="shared" si="77"/>
        <v>#N/A</v>
      </c>
      <c r="CU138" s="796" t="e">
        <f t="shared" si="77"/>
        <v>#N/A</v>
      </c>
      <c r="CV138" s="796" t="e">
        <f t="shared" si="77"/>
        <v>#N/A</v>
      </c>
      <c r="CW138" s="796" t="e">
        <f t="shared" si="77"/>
        <v>#N/A</v>
      </c>
      <c r="CX138" s="796" t="e">
        <f t="shared" si="77"/>
        <v>#N/A</v>
      </c>
      <c r="CY138" s="796" t="e">
        <f t="shared" si="77"/>
        <v>#N/A</v>
      </c>
      <c r="CZ138" s="796" t="e">
        <f t="shared" si="77"/>
        <v>#N/A</v>
      </c>
    </row>
    <row r="139" spans="1:104" x14ac:dyDescent="0.25">
      <c r="A139" s="803" t="s">
        <v>601</v>
      </c>
      <c r="B139" s="802"/>
      <c r="C139" s="802"/>
      <c r="W139" s="783">
        <v>23493230.614828616</v>
      </c>
      <c r="X139" s="783">
        <f>W139*1.04</f>
        <v>24432959.83942176</v>
      </c>
      <c r="Y139" s="783">
        <f>X139*1.04</f>
        <v>25410278.232998632</v>
      </c>
      <c r="Z139" s="783">
        <f t="shared" ref="Z139:CK139" si="78">Y139*1.04</f>
        <v>26426689.362318579</v>
      </c>
      <c r="AA139" s="783">
        <f t="shared" si="78"/>
        <v>27483756.936811324</v>
      </c>
      <c r="AB139" s="783">
        <f t="shared" si="78"/>
        <v>28583107.214283779</v>
      </c>
      <c r="AC139" s="783">
        <f t="shared" si="78"/>
        <v>29726431.502855133</v>
      </c>
      <c r="AD139" s="783">
        <f t="shared" si="78"/>
        <v>30915488.762969341</v>
      </c>
      <c r="AE139" s="783">
        <f t="shared" si="78"/>
        <v>32152108.313488115</v>
      </c>
      <c r="AF139" s="783">
        <f t="shared" si="78"/>
        <v>33438192.64602764</v>
      </c>
      <c r="AG139" s="783">
        <f t="shared" si="78"/>
        <v>34775720.351868749</v>
      </c>
      <c r="AH139" s="783">
        <f t="shared" si="78"/>
        <v>36166749.165943503</v>
      </c>
      <c r="AI139" s="783">
        <f t="shared" si="78"/>
        <v>37613419.132581241</v>
      </c>
      <c r="AJ139" s="783">
        <f t="shared" si="78"/>
        <v>39117955.897884496</v>
      </c>
      <c r="AK139" s="783">
        <f t="shared" si="78"/>
        <v>40682674.133799873</v>
      </c>
      <c r="AL139" s="783">
        <f t="shared" si="78"/>
        <v>42309981.099151872</v>
      </c>
      <c r="AM139" s="783">
        <f t="shared" si="78"/>
        <v>44002380.343117945</v>
      </c>
      <c r="AN139" s="783">
        <f t="shared" si="78"/>
        <v>45762475.556842662</v>
      </c>
      <c r="AO139" s="783">
        <f t="shared" si="78"/>
        <v>47592974.579116367</v>
      </c>
      <c r="AP139" s="783">
        <f t="shared" si="78"/>
        <v>49496693.56228102</v>
      </c>
      <c r="AQ139" s="783">
        <f t="shared" si="78"/>
        <v>51476561.304772265</v>
      </c>
      <c r="AR139" s="783">
        <f t="shared" si="78"/>
        <v>53535623.756963156</v>
      </c>
      <c r="AS139" s="783">
        <f t="shared" si="78"/>
        <v>55677048.707241684</v>
      </c>
      <c r="AT139" s="783">
        <f t="shared" si="78"/>
        <v>57904130.655531354</v>
      </c>
      <c r="AU139" s="783">
        <f t="shared" si="78"/>
        <v>60220295.88175261</v>
      </c>
      <c r="AV139" s="783">
        <f t="shared" si="78"/>
        <v>62629107.717022717</v>
      </c>
      <c r="AW139" s="783">
        <f t="shared" si="78"/>
        <v>65134272.025703631</v>
      </c>
      <c r="AX139" s="783">
        <f t="shared" si="78"/>
        <v>67739642.906731784</v>
      </c>
      <c r="AY139" s="783">
        <f t="shared" si="78"/>
        <v>70449228.623001054</v>
      </c>
      <c r="AZ139" s="783">
        <f t="shared" si="78"/>
        <v>73267197.767921105</v>
      </c>
      <c r="BA139" s="783">
        <f t="shared" si="78"/>
        <v>76197885.678637952</v>
      </c>
      <c r="BB139" s="783">
        <f t="shared" si="78"/>
        <v>79245801.105783477</v>
      </c>
      <c r="BC139" s="783">
        <f t="shared" si="78"/>
        <v>82415633.150014818</v>
      </c>
      <c r="BD139" s="783">
        <f t="shared" si="78"/>
        <v>85712258.476015419</v>
      </c>
      <c r="BE139" s="783">
        <f t="shared" si="78"/>
        <v>89140748.815056041</v>
      </c>
      <c r="BF139" s="783">
        <f t="shared" si="78"/>
        <v>92706378.767658278</v>
      </c>
      <c r="BG139" s="783">
        <f t="shared" si="78"/>
        <v>96414633.918364614</v>
      </c>
      <c r="BH139" s="783">
        <f t="shared" si="78"/>
        <v>100271219.2750992</v>
      </c>
      <c r="BI139" s="783">
        <f t="shared" si="78"/>
        <v>104282068.04610318</v>
      </c>
      <c r="BJ139" s="783">
        <f t="shared" si="78"/>
        <v>108453350.76794732</v>
      </c>
      <c r="BK139" s="783">
        <f t="shared" si="78"/>
        <v>112791484.79866521</v>
      </c>
      <c r="BL139" s="783">
        <f t="shared" si="78"/>
        <v>117303144.19061182</v>
      </c>
      <c r="BM139" s="783">
        <f t="shared" si="78"/>
        <v>121995269.95823631</v>
      </c>
      <c r="BN139" s="783">
        <f t="shared" si="78"/>
        <v>126875080.75656576</v>
      </c>
      <c r="BO139" s="783">
        <f t="shared" si="78"/>
        <v>131950083.9868284</v>
      </c>
      <c r="BP139" s="783">
        <f t="shared" si="78"/>
        <v>137228087.34630156</v>
      </c>
      <c r="BQ139" s="783">
        <f t="shared" si="78"/>
        <v>142717210.84015363</v>
      </c>
      <c r="BR139" s="783">
        <f t="shared" si="78"/>
        <v>148425899.27375978</v>
      </c>
      <c r="BS139" s="783">
        <f t="shared" si="78"/>
        <v>154362935.24471018</v>
      </c>
      <c r="BT139" s="783">
        <f t="shared" si="78"/>
        <v>160537452.65449858</v>
      </c>
      <c r="BU139" s="783">
        <f t="shared" si="78"/>
        <v>166958950.76067853</v>
      </c>
      <c r="BV139" s="783">
        <f t="shared" si="78"/>
        <v>173637308.79110569</v>
      </c>
      <c r="BW139" s="783">
        <f t="shared" si="78"/>
        <v>180582801.14274994</v>
      </c>
      <c r="BX139" s="783">
        <f t="shared" si="78"/>
        <v>187806113.18845993</v>
      </c>
      <c r="BY139" s="783">
        <f t="shared" si="78"/>
        <v>195318357.71599835</v>
      </c>
      <c r="BZ139" s="783">
        <f t="shared" si="78"/>
        <v>203131092.0246383</v>
      </c>
      <c r="CA139" s="783">
        <f t="shared" si="78"/>
        <v>211256335.70562384</v>
      </c>
      <c r="CB139" s="783">
        <f t="shared" si="78"/>
        <v>219706589.13384879</v>
      </c>
      <c r="CC139" s="783">
        <f t="shared" si="78"/>
        <v>228494852.69920275</v>
      </c>
      <c r="CD139" s="783">
        <f t="shared" si="78"/>
        <v>237634646.80717087</v>
      </c>
      <c r="CE139" s="783">
        <f t="shared" si="78"/>
        <v>247140032.67945772</v>
      </c>
      <c r="CF139" s="783">
        <f t="shared" si="78"/>
        <v>257025633.98663604</v>
      </c>
      <c r="CG139" s="783">
        <f t="shared" si="78"/>
        <v>267306659.34610149</v>
      </c>
      <c r="CH139" s="783">
        <f t="shared" si="78"/>
        <v>277998925.71994555</v>
      </c>
      <c r="CI139" s="783">
        <f t="shared" si="78"/>
        <v>289118882.74874336</v>
      </c>
      <c r="CJ139" s="783">
        <f t="shared" si="78"/>
        <v>300683638.05869311</v>
      </c>
      <c r="CK139" s="783">
        <f t="shared" si="78"/>
        <v>312710983.58104086</v>
      </c>
      <c r="CL139" s="783">
        <f t="shared" ref="CL139:CZ139" si="79">CK139*1.04</f>
        <v>325219422.92428249</v>
      </c>
      <c r="CM139" s="783">
        <f t="shared" si="79"/>
        <v>338228199.84125382</v>
      </c>
      <c r="CN139" s="783">
        <f t="shared" si="79"/>
        <v>351757327.83490396</v>
      </c>
      <c r="CO139" s="783">
        <f t="shared" si="79"/>
        <v>365827620.94830012</v>
      </c>
      <c r="CP139" s="783">
        <f t="shared" si="79"/>
        <v>380460725.78623211</v>
      </c>
      <c r="CQ139" s="783">
        <f t="shared" si="79"/>
        <v>395679154.81768143</v>
      </c>
      <c r="CR139" s="783">
        <f t="shared" si="79"/>
        <v>411506321.01038873</v>
      </c>
      <c r="CS139" s="783">
        <f t="shared" si="79"/>
        <v>427966573.85080427</v>
      </c>
      <c r="CT139" s="783">
        <f t="shared" si="79"/>
        <v>445085236.80483645</v>
      </c>
      <c r="CU139" s="783">
        <f t="shared" si="79"/>
        <v>462888646.27702993</v>
      </c>
      <c r="CV139" s="783">
        <f t="shared" si="79"/>
        <v>481404192.12811112</v>
      </c>
      <c r="CW139" s="783">
        <f t="shared" si="79"/>
        <v>500660359.81323558</v>
      </c>
      <c r="CX139" s="783">
        <f t="shared" si="79"/>
        <v>520686774.20576501</v>
      </c>
      <c r="CY139" s="783">
        <f t="shared" si="79"/>
        <v>541514245.17399561</v>
      </c>
      <c r="CZ139" s="783">
        <f t="shared" si="79"/>
        <v>563174814.98095548</v>
      </c>
    </row>
    <row r="140" spans="1:104" x14ac:dyDescent="0.25">
      <c r="A140" s="472"/>
      <c r="B140" s="802" t="s">
        <v>603</v>
      </c>
      <c r="C140" s="802"/>
      <c r="F140" s="796">
        <f>F139*F52</f>
        <v>0</v>
      </c>
      <c r="G140" s="796">
        <f t="shared" ref="G140:BR140" si="80">G139*G52</f>
        <v>0</v>
      </c>
      <c r="H140" s="796">
        <f t="shared" si="80"/>
        <v>0</v>
      </c>
      <c r="I140" s="796">
        <f t="shared" si="80"/>
        <v>0</v>
      </c>
      <c r="J140" s="796">
        <f t="shared" si="80"/>
        <v>0</v>
      </c>
      <c r="K140" s="796">
        <f t="shared" si="80"/>
        <v>0</v>
      </c>
      <c r="L140" s="796">
        <f t="shared" si="80"/>
        <v>0</v>
      </c>
      <c r="M140" s="796">
        <f t="shared" si="80"/>
        <v>0</v>
      </c>
      <c r="N140" s="796">
        <f t="shared" si="80"/>
        <v>0</v>
      </c>
      <c r="O140" s="796">
        <f t="shared" si="80"/>
        <v>0</v>
      </c>
      <c r="P140" s="796">
        <f t="shared" si="80"/>
        <v>0</v>
      </c>
      <c r="Q140" s="796">
        <f t="shared" si="80"/>
        <v>0</v>
      </c>
      <c r="R140" s="796">
        <f t="shared" si="80"/>
        <v>0</v>
      </c>
      <c r="S140" s="796">
        <f t="shared" si="80"/>
        <v>0</v>
      </c>
      <c r="T140" s="796">
        <f t="shared" si="80"/>
        <v>0</v>
      </c>
      <c r="U140" s="796">
        <f t="shared" si="80"/>
        <v>0</v>
      </c>
      <c r="V140" s="796">
        <f t="shared" si="80"/>
        <v>0</v>
      </c>
      <c r="W140" s="796">
        <f t="shared" si="80"/>
        <v>10637743.4878034</v>
      </c>
      <c r="X140" s="796">
        <f t="shared" si="80"/>
        <v>10586845.193603383</v>
      </c>
      <c r="Y140" s="796">
        <f t="shared" si="80"/>
        <v>10536190.431911504</v>
      </c>
      <c r="Z140" s="796">
        <f t="shared" si="80"/>
        <v>10485778.037500445</v>
      </c>
      <c r="AA140" s="796">
        <f t="shared" si="80"/>
        <v>10435606.85071815</v>
      </c>
      <c r="AB140" s="796">
        <f t="shared" si="80"/>
        <v>10385675.717461126</v>
      </c>
      <c r="AC140" s="796">
        <f t="shared" si="80"/>
        <v>10335983.489147916</v>
      </c>
      <c r="AD140" s="796">
        <f t="shared" si="80"/>
        <v>10286529.022692665</v>
      </c>
      <c r="AE140" s="796">
        <f t="shared" si="80"/>
        <v>10237311.180478828</v>
      </c>
      <c r="AF140" s="796">
        <f t="shared" si="80"/>
        <v>10188328.830332996</v>
      </c>
      <c r="AG140" s="796">
        <f t="shared" si="80"/>
        <v>10139580.845498871</v>
      </c>
      <c r="AH140" s="796">
        <f t="shared" si="80"/>
        <v>10091066.104611317</v>
      </c>
      <c r="AI140" s="796">
        <f t="shared" si="80"/>
        <v>10042783.491670595</v>
      </c>
      <c r="AJ140" s="796">
        <f t="shared" si="80"/>
        <v>9994731.8960166685</v>
      </c>
      <c r="AK140" s="796">
        <f t="shared" si="80"/>
        <v>9946910.2123036738</v>
      </c>
      <c r="AL140" s="796">
        <f t="shared" si="80"/>
        <v>9899317.3404744733</v>
      </c>
      <c r="AM140" s="796">
        <f t="shared" si="80"/>
        <v>9851952.1857353598</v>
      </c>
      <c r="AN140" s="796">
        <f t="shared" si="80"/>
        <v>9804813.6585308854</v>
      </c>
      <c r="AO140" s="796">
        <f t="shared" si="80"/>
        <v>9757900.6745187771</v>
      </c>
      <c r="AP140" s="796">
        <f t="shared" si="80"/>
        <v>9711212.1545450035</v>
      </c>
      <c r="AQ140" s="796">
        <f t="shared" si="80"/>
        <v>9664747.0246189535</v>
      </c>
      <c r="AR140" s="796">
        <f t="shared" si="80"/>
        <v>9618504.21588872</v>
      </c>
      <c r="AS140" s="796">
        <f t="shared" si="80"/>
        <v>9572482.664616527</v>
      </c>
      <c r="AT140" s="796">
        <f t="shared" si="80"/>
        <v>9526681.3121542484</v>
      </c>
      <c r="AU140" s="796">
        <f t="shared" si="80"/>
        <v>9481099.1049190629</v>
      </c>
      <c r="AV140" s="796">
        <f t="shared" si="80"/>
        <v>9435734.9943692107</v>
      </c>
      <c r="AW140" s="796">
        <f t="shared" si="80"/>
        <v>9390587.9369798861</v>
      </c>
      <c r="AX140" s="796">
        <f t="shared" si="80"/>
        <v>9345656.8942192197</v>
      </c>
      <c r="AY140" s="796">
        <f t="shared" si="80"/>
        <v>9300940.8325243909</v>
      </c>
      <c r="AZ140" s="796">
        <f t="shared" si="80"/>
        <v>9256438.7232778631</v>
      </c>
      <c r="BA140" s="796">
        <f t="shared" si="80"/>
        <v>9212149.5427837148</v>
      </c>
      <c r="BB140" s="796">
        <f t="shared" si="80"/>
        <v>9168072.2722440809</v>
      </c>
      <c r="BC140" s="796">
        <f t="shared" si="80"/>
        <v>9124205.8977357373</v>
      </c>
      <c r="BD140" s="796">
        <f t="shared" si="80"/>
        <v>9080549.4101867639</v>
      </c>
      <c r="BE140" s="796">
        <f t="shared" si="80"/>
        <v>9037101.8053533379</v>
      </c>
      <c r="BF140" s="796">
        <f t="shared" si="80"/>
        <v>8993862.0837966222</v>
      </c>
      <c r="BG140" s="796">
        <f t="shared" si="80"/>
        <v>8950829.2508597989</v>
      </c>
      <c r="BH140" s="796">
        <f t="shared" si="80"/>
        <v>8908002.3166451585</v>
      </c>
      <c r="BI140" s="796">
        <f t="shared" si="80"/>
        <v>8865380.2959913574</v>
      </c>
      <c r="BJ140" s="796">
        <f t="shared" si="80"/>
        <v>8822962.2084507309</v>
      </c>
      <c r="BK140" s="796">
        <f t="shared" si="80"/>
        <v>8780747.0782667585</v>
      </c>
      <c r="BL140" s="796">
        <f t="shared" si="80"/>
        <v>8738733.9343516063</v>
      </c>
      <c r="BM140" s="796">
        <f t="shared" si="80"/>
        <v>8696921.8102638014</v>
      </c>
      <c r="BN140" s="796">
        <f t="shared" si="80"/>
        <v>8655309.7441859841</v>
      </c>
      <c r="BO140" s="796">
        <f t="shared" si="80"/>
        <v>8613896.7789028008</v>
      </c>
      <c r="BP140" s="796">
        <f t="shared" si="80"/>
        <v>8572681.9617788624</v>
      </c>
      <c r="BQ140" s="796">
        <f t="shared" si="80"/>
        <v>8531664.3447368648</v>
      </c>
      <c r="BR140" s="796">
        <f t="shared" si="80"/>
        <v>8490842.9842357319</v>
      </c>
      <c r="BS140" s="796">
        <f t="shared" ref="BS140:CZ140" si="81">BS139*BS52</f>
        <v>8450216.9412489608</v>
      </c>
      <c r="BT140" s="796">
        <f t="shared" si="81"/>
        <v>8409785.2812429834</v>
      </c>
      <c r="BU140" s="796">
        <f t="shared" si="81"/>
        <v>8369547.0741556985</v>
      </c>
      <c r="BV140" s="796">
        <f t="shared" si="81"/>
        <v>8329501.3943750504</v>
      </c>
      <c r="BW140" s="796">
        <f t="shared" si="81"/>
        <v>8289647.3207177566</v>
      </c>
      <c r="BX140" s="796">
        <f t="shared" si="81"/>
        <v>8249983.9364081025</v>
      </c>
      <c r="BY140" s="796">
        <f t="shared" si="81"/>
        <v>8210510.3290568702</v>
      </c>
      <c r="BZ140" s="796">
        <f t="shared" si="81"/>
        <v>8171225.5906403325</v>
      </c>
      <c r="CA140" s="796">
        <f t="shared" si="81"/>
        <v>8132128.8174793748</v>
      </c>
      <c r="CB140" s="796">
        <f t="shared" si="81"/>
        <v>8093219.1102187084</v>
      </c>
      <c r="CC140" s="796">
        <f t="shared" si="81"/>
        <v>8054495.5738061797</v>
      </c>
      <c r="CD140" s="796">
        <f t="shared" si="81"/>
        <v>8015957.3174721794</v>
      </c>
      <c r="CE140" s="796">
        <f t="shared" si="81"/>
        <v>7977603.4547091564</v>
      </c>
      <c r="CF140" s="796">
        <f t="shared" si="81"/>
        <v>7939433.1032512188</v>
      </c>
      <c r="CG140" s="796">
        <f t="shared" si="81"/>
        <v>7901445.385053847</v>
      </c>
      <c r="CH140" s="796">
        <f t="shared" si="81"/>
        <v>7863639.4262736859</v>
      </c>
      <c r="CI140" s="796">
        <f t="shared" si="81"/>
        <v>7826014.3572484534</v>
      </c>
      <c r="CJ140" s="796">
        <f t="shared" si="81"/>
        <v>7788569.3124769311</v>
      </c>
      <c r="CK140" s="796">
        <f t="shared" si="81"/>
        <v>7751303.4305990534</v>
      </c>
      <c r="CL140" s="796">
        <f t="shared" si="81"/>
        <v>7714215.8543760907</v>
      </c>
      <c r="CM140" s="796">
        <f t="shared" si="81"/>
        <v>7677305.7306709448</v>
      </c>
      <c r="CN140" s="796">
        <f t="shared" si="81"/>
        <v>7640572.2104284987</v>
      </c>
      <c r="CO140" s="796">
        <f t="shared" si="81"/>
        <v>7604014.4486561157</v>
      </c>
      <c r="CP140" s="796">
        <f t="shared" si="81"/>
        <v>7567631.6044041729</v>
      </c>
      <c r="CQ140" s="796">
        <f t="shared" si="81"/>
        <v>7531422.8407467389</v>
      </c>
      <c r="CR140" s="796">
        <f t="shared" si="81"/>
        <v>7495387.3247623052</v>
      </c>
      <c r="CS140" s="796">
        <f t="shared" si="81"/>
        <v>7459524.2275146414</v>
      </c>
      <c r="CT140" s="796">
        <f t="shared" si="81"/>
        <v>7423832.7240337078</v>
      </c>
      <c r="CU140" s="796">
        <f t="shared" si="81"/>
        <v>7388311.993296708</v>
      </c>
      <c r="CV140" s="796">
        <f t="shared" si="81"/>
        <v>7352961.2182091624</v>
      </c>
      <c r="CW140" s="796">
        <f t="shared" si="81"/>
        <v>7317779.5855861558</v>
      </c>
      <c r="CX140" s="796">
        <f t="shared" si="81"/>
        <v>7282766.2861335929</v>
      </c>
      <c r="CY140" s="796">
        <f t="shared" si="81"/>
        <v>7247920.5144296046</v>
      </c>
      <c r="CZ140" s="796">
        <f t="shared" si="81"/>
        <v>7213241.4689060189</v>
      </c>
    </row>
    <row r="141" spans="1:104" x14ac:dyDescent="0.25">
      <c r="B141" s="802" t="s">
        <v>602</v>
      </c>
      <c r="C141" s="802"/>
      <c r="F141" s="796">
        <f>(F127+F139)/F6</f>
        <v>19.178827924192298</v>
      </c>
      <c r="G141" s="796">
        <f t="shared" ref="G141:BR141" si="82">(G127+G139)/G6</f>
        <v>18.647377660857853</v>
      </c>
      <c r="H141" s="796">
        <f t="shared" si="82"/>
        <v>18.130654021252166</v>
      </c>
      <c r="I141" s="796">
        <f t="shared" si="82"/>
        <v>17.628248926837305</v>
      </c>
      <c r="J141" s="796">
        <f>(J127+J139)/J6</f>
        <v>17.139765607036757</v>
      </c>
      <c r="K141" s="796">
        <f t="shared" si="82"/>
        <v>16.664818285888924</v>
      </c>
      <c r="L141" s="796">
        <f t="shared" si="82"/>
        <v>16.203031877383495</v>
      </c>
      <c r="M141" s="796">
        <f t="shared" si="82"/>
        <v>15.75404168924015</v>
      </c>
      <c r="N141" s="796">
        <f t="shared" si="82"/>
        <v>15.317493134895626</v>
      </c>
      <c r="O141" s="796">
        <f t="shared" si="82"/>
        <v>14.893041453471684</v>
      </c>
      <c r="P141" s="796">
        <f t="shared" si="82"/>
        <v>14.480351437502854</v>
      </c>
      <c r="Q141" s="796">
        <f t="shared" si="82"/>
        <v>14.0790971682089</v>
      </c>
      <c r="R141" s="796">
        <f t="shared" si="82"/>
        <v>13.688961758102966</v>
      </c>
      <c r="S141" s="796">
        <f t="shared" si="82"/>
        <v>13.3096371007321</v>
      </c>
      <c r="T141" s="796">
        <f t="shared" si="82"/>
        <v>12.940823627352554</v>
      </c>
      <c r="U141" s="796">
        <f t="shared" si="82"/>
        <v>12.582230070347645</v>
      </c>
      <c r="V141" s="796">
        <f t="shared" si="82"/>
        <v>12.233573233201406</v>
      </c>
      <c r="W141" s="796">
        <f t="shared" si="82"/>
        <v>151.79222117571931</v>
      </c>
      <c r="X141" s="796">
        <f t="shared" si="82"/>
        <v>249.99390290388357</v>
      </c>
      <c r="Y141" s="796">
        <f t="shared" si="82"/>
        <v>351.16973980258183</v>
      </c>
      <c r="Z141" s="796">
        <f t="shared" si="82"/>
        <v>448.36534986488459</v>
      </c>
      <c r="AA141" s="796">
        <f t="shared" si="82"/>
        <v>534.70584667033313</v>
      </c>
      <c r="AB141" s="796">
        <f t="shared" si="82"/>
        <v>604.22507010016125</v>
      </c>
      <c r="AC141" s="796">
        <f t="shared" si="82"/>
        <v>652.62346300339971</v>
      </c>
      <c r="AD141" s="796">
        <f t="shared" si="82"/>
        <v>677.8156579369878</v>
      </c>
      <c r="AE141" s="796">
        <f t="shared" si="82"/>
        <v>680.15690310947878</v>
      </c>
      <c r="AF141" s="796">
        <f t="shared" si="82"/>
        <v>662.29470202039738</v>
      </c>
      <c r="AG141" s="796">
        <f t="shared" si="82"/>
        <v>628.66741162709036</v>
      </c>
      <c r="AH141" s="796">
        <f t="shared" si="82"/>
        <v>584.74698129455214</v>
      </c>
      <c r="AI141" s="796">
        <f t="shared" si="82"/>
        <v>527.68836189593117</v>
      </c>
      <c r="AJ141" s="796">
        <f t="shared" si="82"/>
        <v>479.73056383239543</v>
      </c>
      <c r="AK141" s="796">
        <f t="shared" si="82"/>
        <v>435.96626316075555</v>
      </c>
      <c r="AL141" s="796">
        <f t="shared" si="82"/>
        <v>398.74115446784907</v>
      </c>
      <c r="AM141" s="796">
        <f t="shared" si="82"/>
        <v>368.95203012484433</v>
      </c>
      <c r="AN141" s="796">
        <f t="shared" si="82"/>
        <v>346.55506282546844</v>
      </c>
      <c r="AO141" s="796">
        <f t="shared" si="82"/>
        <v>329.94413667443183</v>
      </c>
      <c r="AP141" s="796">
        <f t="shared" si="82"/>
        <v>318.01497962392904</v>
      </c>
      <c r="AQ141" s="796">
        <f t="shared" si="82"/>
        <v>309.4888293294149</v>
      </c>
      <c r="AR141" s="796">
        <f t="shared" si="82"/>
        <v>303.20682078028267</v>
      </c>
      <c r="AS141" s="796">
        <f t="shared" si="82"/>
        <v>298.28197259733167</v>
      </c>
      <c r="AT141" s="796">
        <f t="shared" si="82"/>
        <v>294.12628015742956</v>
      </c>
      <c r="AU141" s="796">
        <f t="shared" si="82"/>
        <v>290.39960914540711</v>
      </c>
      <c r="AV141" s="796">
        <f t="shared" si="82"/>
        <v>286.93033989594198</v>
      </c>
      <c r="AW141" s="796">
        <f t="shared" si="82"/>
        <v>283.64302383083862</v>
      </c>
      <c r="AX141" s="796">
        <f t="shared" si="82"/>
        <v>280.50833808492047</v>
      </c>
      <c r="AY141" s="796">
        <f t="shared" si="82"/>
        <v>277.51533356861529</v>
      </c>
      <c r="AZ141" s="796">
        <f t="shared" si="82"/>
        <v>274.65901187738416</v>
      </c>
      <c r="BA141" s="796">
        <f t="shared" si="82"/>
        <v>270.71952611085226</v>
      </c>
      <c r="BB141" s="796">
        <f t="shared" si="82"/>
        <v>264.58471364575996</v>
      </c>
      <c r="BC141" s="796">
        <f t="shared" si="82"/>
        <v>256.37326599795711</v>
      </c>
      <c r="BD141" s="796">
        <f t="shared" si="82"/>
        <v>246.36687281915863</v>
      </c>
      <c r="BE141" s="796">
        <f t="shared" si="82"/>
        <v>234.99456420640479</v>
      </c>
      <c r="BF141" s="796">
        <f t="shared" si="82"/>
        <v>222.79772462956211</v>
      </c>
      <c r="BG141" s="796">
        <f t="shared" si="82"/>
        <v>210.37917674944214</v>
      </c>
      <c r="BH141" s="796">
        <f t="shared" si="82"/>
        <v>198.34290750299306</v>
      </c>
      <c r="BI141" s="796">
        <f t="shared" si="82"/>
        <v>187.23321717234424</v>
      </c>
      <c r="BJ141" s="796">
        <f t="shared" si="82"/>
        <v>182.54092610742262</v>
      </c>
      <c r="BK141" s="796">
        <f t="shared" si="82"/>
        <v>174.20413791450946</v>
      </c>
      <c r="BL141" s="796">
        <f t="shared" si="82"/>
        <v>167.68787536935565</v>
      </c>
      <c r="BM141" s="796">
        <f t="shared" si="82"/>
        <v>162.96554245917906</v>
      </c>
      <c r="BN141" s="796">
        <f t="shared" si="82"/>
        <v>159.88401675820509</v>
      </c>
      <c r="BO141" s="796">
        <f t="shared" si="82"/>
        <v>158.20499771600294</v>
      </c>
      <c r="BP141" s="796">
        <f t="shared" si="82"/>
        <v>157.65002292074848</v>
      </c>
      <c r="BQ141" s="796">
        <f t="shared" si="82"/>
        <v>157.94094123567942</v>
      </c>
      <c r="BR141" s="796">
        <f t="shared" si="82"/>
        <v>158.82397411343197</v>
      </c>
      <c r="BS141" s="796">
        <f t="shared" ref="BS141:CZ141" si="83">(BS127+BS139)/BS6</f>
        <v>160.1076741440136</v>
      </c>
      <c r="BT141" s="796">
        <f t="shared" si="83"/>
        <v>161.64484685245503</v>
      </c>
      <c r="BU141" s="796">
        <f t="shared" si="83"/>
        <v>163.3333069180521</v>
      </c>
      <c r="BV141" s="796">
        <f t="shared" si="83"/>
        <v>165.10903331373461</v>
      </c>
      <c r="BW141" s="796">
        <f t="shared" si="83"/>
        <v>166.93600751239495</v>
      </c>
      <c r="BX141" s="796">
        <f t="shared" si="83"/>
        <v>168.79621098148965</v>
      </c>
      <c r="BY141" s="796">
        <f t="shared" si="83"/>
        <v>170.68177082062098</v>
      </c>
      <c r="BZ141" s="796">
        <f t="shared" si="83"/>
        <v>172.58979650554812</v>
      </c>
      <c r="CA141" s="796">
        <f t="shared" si="83"/>
        <v>174.5195022897164</v>
      </c>
      <c r="CB141" s="796">
        <f t="shared" si="83"/>
        <v>176.47085246539618</v>
      </c>
      <c r="CC141" s="796">
        <f t="shared" si="83"/>
        <v>178.44403084356404</v>
      </c>
      <c r="CD141" s="796">
        <f t="shared" si="83"/>
        <v>227.0629998143265</v>
      </c>
      <c r="CE141" s="796" t="e">
        <f t="shared" si="83"/>
        <v>#N/A</v>
      </c>
      <c r="CF141" s="796" t="e">
        <f t="shared" si="83"/>
        <v>#N/A</v>
      </c>
      <c r="CG141" s="796" t="e">
        <f t="shared" si="83"/>
        <v>#N/A</v>
      </c>
      <c r="CH141" s="796" t="e">
        <f t="shared" si="83"/>
        <v>#N/A</v>
      </c>
      <c r="CI141" s="796" t="e">
        <f t="shared" si="83"/>
        <v>#N/A</v>
      </c>
      <c r="CJ141" s="796" t="e">
        <f t="shared" si="83"/>
        <v>#N/A</v>
      </c>
      <c r="CK141" s="796" t="e">
        <f t="shared" si="83"/>
        <v>#N/A</v>
      </c>
      <c r="CL141" s="796" t="e">
        <f t="shared" si="83"/>
        <v>#N/A</v>
      </c>
      <c r="CM141" s="796" t="e">
        <f t="shared" si="83"/>
        <v>#N/A</v>
      </c>
      <c r="CN141" s="796" t="e">
        <f t="shared" si="83"/>
        <v>#N/A</v>
      </c>
      <c r="CO141" s="796" t="e">
        <f t="shared" si="83"/>
        <v>#N/A</v>
      </c>
      <c r="CP141" s="796" t="e">
        <f t="shared" si="83"/>
        <v>#N/A</v>
      </c>
      <c r="CQ141" s="796" t="e">
        <f t="shared" si="83"/>
        <v>#N/A</v>
      </c>
      <c r="CR141" s="796" t="e">
        <f t="shared" si="83"/>
        <v>#N/A</v>
      </c>
      <c r="CS141" s="796" t="e">
        <f t="shared" si="83"/>
        <v>#N/A</v>
      </c>
      <c r="CT141" s="796" t="e">
        <f t="shared" si="83"/>
        <v>#N/A</v>
      </c>
      <c r="CU141" s="796" t="e">
        <f t="shared" si="83"/>
        <v>#N/A</v>
      </c>
      <c r="CV141" s="796" t="e">
        <f t="shared" si="83"/>
        <v>#N/A</v>
      </c>
      <c r="CW141" s="796" t="e">
        <f t="shared" si="83"/>
        <v>#N/A</v>
      </c>
      <c r="CX141" s="796" t="e">
        <f t="shared" si="83"/>
        <v>#N/A</v>
      </c>
      <c r="CY141" s="796" t="e">
        <f t="shared" si="83"/>
        <v>#N/A</v>
      </c>
      <c r="CZ141" s="796" t="e">
        <f t="shared" si="83"/>
        <v>#N/A</v>
      </c>
    </row>
    <row r="144" spans="1:104" x14ac:dyDescent="0.25">
      <c r="C144" s="784" t="s">
        <v>607</v>
      </c>
      <c r="E144" s="796">
        <f>CC131</f>
        <v>988857922.85457194</v>
      </c>
      <c r="F144" s="797" t="s">
        <v>604</v>
      </c>
    </row>
    <row r="145" spans="5:6" x14ac:dyDescent="0.25">
      <c r="E145" s="796">
        <f>SUM(F140:CZ140)</f>
        <v>722934163.41848302</v>
      </c>
      <c r="F145" s="797" t="s">
        <v>605</v>
      </c>
    </row>
    <row r="146" spans="5:6" x14ac:dyDescent="0.25">
      <c r="E146" s="796">
        <f>SUM(E144:E145)</f>
        <v>1711792086.2730551</v>
      </c>
      <c r="F146" s="797" t="s">
        <v>606</v>
      </c>
    </row>
  </sheetData>
  <pageMargins left="0.7" right="0.7" top="0.75" bottom="0.75" header="0.3" footer="0.3"/>
  <pageSetup paperSize="17" scale="63" fitToWidth="6" fitToHeight="3" orientation="landscape" r:id="rId1"/>
  <headerFooter>
    <oddFooter xml:space="preserve">&amp;L&amp;"-,Bold"&amp;9This is a preliminary draft document. It is intended for discussion purposes only.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Z299"/>
  <sheetViews>
    <sheetView tabSelected="1" zoomScale="90" zoomScaleNormal="90" workbookViewId="0">
      <pane xSplit="3" ySplit="4" topLeftCell="AS58" activePane="bottomRight" state="frozen"/>
      <selection sqref="A1:Y40"/>
      <selection pane="topRight" sqref="A1:Y40"/>
      <selection pane="bottomLeft" sqref="A1:Y40"/>
      <selection pane="bottomRight" activeCell="AZ83" sqref="AZ83"/>
    </sheetView>
  </sheetViews>
  <sheetFormatPr defaultColWidth="9" defaultRowHeight="15" x14ac:dyDescent="0.25"/>
  <cols>
    <col min="1" max="1" width="1.85546875" style="609" customWidth="1"/>
    <col min="2" max="2" width="1.7109375" style="609" customWidth="1"/>
    <col min="3" max="3" width="54.140625" style="609" customWidth="1"/>
    <col min="4" max="4" width="11.28515625" style="609" customWidth="1"/>
    <col min="5" max="5" width="18.85546875" style="609" customWidth="1"/>
    <col min="6" max="6" width="15.140625" style="609" customWidth="1"/>
    <col min="7" max="7" width="15.85546875" style="609" customWidth="1"/>
    <col min="8" max="8" width="14.5703125" style="609" customWidth="1"/>
    <col min="9" max="9" width="15.28515625" style="609" customWidth="1"/>
    <col min="10" max="10" width="16" style="609" customWidth="1"/>
    <col min="11" max="11" width="14.28515625" style="609" customWidth="1"/>
    <col min="12" max="12" width="14.85546875" style="609" customWidth="1"/>
    <col min="13" max="13" width="14.28515625" style="609" customWidth="1"/>
    <col min="14" max="14" width="14.7109375" style="609" customWidth="1"/>
    <col min="15" max="15" width="14.42578125" style="609" customWidth="1"/>
    <col min="16" max="16" width="14.5703125" style="609" customWidth="1"/>
    <col min="17" max="18" width="14.42578125" style="609" bestFit="1" customWidth="1"/>
    <col min="19" max="21" width="13.7109375" style="609" bestFit="1" customWidth="1"/>
    <col min="22" max="22" width="16.42578125" style="609" customWidth="1"/>
    <col min="23" max="23" width="15.7109375" style="609" customWidth="1"/>
    <col min="24" max="24" width="16.7109375" style="609" customWidth="1"/>
    <col min="25" max="25" width="16.85546875" style="609" customWidth="1"/>
    <col min="26" max="26" width="16.140625" style="609" customWidth="1"/>
    <col min="27" max="27" width="16" style="609" customWidth="1"/>
    <col min="28" max="28" width="17.42578125" style="609" customWidth="1"/>
    <col min="29" max="29" width="18.140625" style="609" customWidth="1"/>
    <col min="30" max="30" width="17" style="609" customWidth="1"/>
    <col min="31" max="31" width="16.85546875" style="609" customWidth="1"/>
    <col min="32" max="32" width="15.140625" style="609" customWidth="1"/>
    <col min="33" max="33" width="16.28515625" style="609" customWidth="1"/>
    <col min="34" max="34" width="15.42578125" style="609" customWidth="1"/>
    <col min="35" max="35" width="15.5703125" style="609" customWidth="1"/>
    <col min="36" max="36" width="14.28515625" style="609" customWidth="1"/>
    <col min="37" max="39" width="13.7109375" style="609" bestFit="1" customWidth="1"/>
    <col min="40" max="40" width="18" style="609" customWidth="1"/>
    <col min="41" max="54" width="13.7109375" style="609" bestFit="1" customWidth="1"/>
    <col min="55" max="103" width="15.28515625" style="609" bestFit="1" customWidth="1"/>
    <col min="104" max="104" width="16.85546875" style="609" customWidth="1"/>
    <col min="105" max="16384" width="9" style="609"/>
  </cols>
  <sheetData>
    <row r="1" spans="1:104" s="481" customFormat="1" ht="21" x14ac:dyDescent="0.35">
      <c r="A1" s="481" t="s">
        <v>325</v>
      </c>
      <c r="F1" s="798"/>
      <c r="P1" s="580"/>
      <c r="Q1" s="579"/>
      <c r="V1" s="491"/>
    </row>
    <row r="2" spans="1:104" x14ac:dyDescent="0.25">
      <c r="I2" s="800"/>
      <c r="J2" s="801">
        <f>PV(  ('Interest Rate'!$J$16-'Dynamic Assumptions'!$G$2)/(1+'Interest Rate'!$J$16),  CC4-E4+1,  -13231636)</f>
        <v>587184648.5627197</v>
      </c>
      <c r="K2" s="799"/>
      <c r="V2" s="614"/>
    </row>
    <row r="3" spans="1:104" s="472" customFormat="1" x14ac:dyDescent="0.25">
      <c r="E3" s="612" t="s">
        <v>170</v>
      </c>
      <c r="F3" s="612" t="s">
        <v>171</v>
      </c>
      <c r="G3" s="612" t="s">
        <v>172</v>
      </c>
      <c r="H3" s="612" t="s">
        <v>173</v>
      </c>
      <c r="I3" s="612" t="s">
        <v>174</v>
      </c>
      <c r="J3" s="612" t="s">
        <v>175</v>
      </c>
      <c r="K3" s="612" t="s">
        <v>176</v>
      </c>
      <c r="L3" s="612" t="s">
        <v>177</v>
      </c>
      <c r="M3" s="612" t="s">
        <v>178</v>
      </c>
      <c r="N3" s="612" t="s">
        <v>179</v>
      </c>
      <c r="O3" s="612" t="s">
        <v>180</v>
      </c>
      <c r="P3" s="612" t="s">
        <v>181</v>
      </c>
      <c r="Q3" s="612" t="s">
        <v>182</v>
      </c>
      <c r="R3" s="612" t="s">
        <v>183</v>
      </c>
      <c r="S3" s="612" t="s">
        <v>184</v>
      </c>
      <c r="T3" s="612" t="s">
        <v>185</v>
      </c>
      <c r="U3" s="612" t="s">
        <v>186</v>
      </c>
      <c r="V3" s="612" t="s">
        <v>187</v>
      </c>
      <c r="W3" s="612" t="s">
        <v>188</v>
      </c>
      <c r="X3" s="612" t="s">
        <v>189</v>
      </c>
      <c r="Y3" s="612" t="s">
        <v>190</v>
      </c>
      <c r="Z3" s="612" t="s">
        <v>191</v>
      </c>
      <c r="AA3" s="612" t="s">
        <v>192</v>
      </c>
      <c r="AB3" s="612" t="s">
        <v>193</v>
      </c>
      <c r="AC3" s="612" t="s">
        <v>194</v>
      </c>
      <c r="AD3" s="612" t="s">
        <v>195</v>
      </c>
      <c r="AE3" s="612" t="s">
        <v>196</v>
      </c>
      <c r="AF3" s="612" t="s">
        <v>197</v>
      </c>
      <c r="AG3" s="612" t="s">
        <v>198</v>
      </c>
      <c r="AH3" s="612" t="s">
        <v>199</v>
      </c>
      <c r="AI3" s="612" t="s">
        <v>200</v>
      </c>
      <c r="AJ3" s="612" t="s">
        <v>201</v>
      </c>
      <c r="AK3" s="612" t="s">
        <v>202</v>
      </c>
      <c r="AL3" s="612" t="s">
        <v>203</v>
      </c>
      <c r="AM3" s="612" t="s">
        <v>204</v>
      </c>
      <c r="AN3" s="612" t="s">
        <v>205</v>
      </c>
      <c r="AO3" s="612" t="s">
        <v>206</v>
      </c>
      <c r="AP3" s="612" t="s">
        <v>207</v>
      </c>
      <c r="AQ3" s="612" t="s">
        <v>208</v>
      </c>
      <c r="AR3" s="612" t="s">
        <v>209</v>
      </c>
      <c r="AS3" s="612" t="s">
        <v>210</v>
      </c>
      <c r="AT3" s="612" t="s">
        <v>211</v>
      </c>
      <c r="AU3" s="612" t="s">
        <v>212</v>
      </c>
      <c r="AV3" s="612" t="s">
        <v>213</v>
      </c>
      <c r="AW3" s="612" t="s">
        <v>214</v>
      </c>
      <c r="AX3" s="612" t="s">
        <v>215</v>
      </c>
      <c r="AY3" s="612" t="s">
        <v>216</v>
      </c>
      <c r="AZ3" s="612" t="s">
        <v>217</v>
      </c>
      <c r="BA3" s="612" t="s">
        <v>218</v>
      </c>
      <c r="BB3" s="612" t="s">
        <v>219</v>
      </c>
      <c r="BC3" s="612" t="s">
        <v>225</v>
      </c>
      <c r="BD3" s="612" t="s">
        <v>226</v>
      </c>
      <c r="BE3" s="612" t="s">
        <v>227</v>
      </c>
      <c r="BF3" s="612" t="s">
        <v>228</v>
      </c>
      <c r="BG3" s="612" t="s">
        <v>229</v>
      </c>
      <c r="BH3" s="612" t="s">
        <v>230</v>
      </c>
      <c r="BI3" s="612" t="s">
        <v>231</v>
      </c>
      <c r="BJ3" s="612" t="s">
        <v>232</v>
      </c>
      <c r="BK3" s="612" t="s">
        <v>233</v>
      </c>
      <c r="BL3" s="612" t="s">
        <v>234</v>
      </c>
      <c r="BM3" s="612" t="s">
        <v>235</v>
      </c>
      <c r="BN3" s="612" t="s">
        <v>236</v>
      </c>
      <c r="BO3" s="612" t="s">
        <v>237</v>
      </c>
      <c r="BP3" s="612" t="s">
        <v>238</v>
      </c>
      <c r="BQ3" s="612" t="s">
        <v>239</v>
      </c>
      <c r="BR3" s="612" t="s">
        <v>240</v>
      </c>
      <c r="BS3" s="612" t="s">
        <v>241</v>
      </c>
      <c r="BT3" s="612" t="s">
        <v>242</v>
      </c>
      <c r="BU3" s="612" t="s">
        <v>243</v>
      </c>
      <c r="BV3" s="612" t="s">
        <v>244</v>
      </c>
      <c r="BW3" s="612" t="s">
        <v>245</v>
      </c>
      <c r="BX3" s="612" t="s">
        <v>246</v>
      </c>
      <c r="BY3" s="612" t="s">
        <v>247</v>
      </c>
      <c r="BZ3" s="612" t="s">
        <v>248</v>
      </c>
      <c r="CA3" s="612" t="s">
        <v>249</v>
      </c>
      <c r="CB3" s="612" t="s">
        <v>250</v>
      </c>
      <c r="CC3" s="612" t="s">
        <v>251</v>
      </c>
      <c r="CD3" s="612" t="s">
        <v>252</v>
      </c>
      <c r="CE3" s="612" t="s">
        <v>253</v>
      </c>
      <c r="CF3" s="612" t="s">
        <v>254</v>
      </c>
      <c r="CG3" s="612" t="s">
        <v>255</v>
      </c>
      <c r="CH3" s="612" t="s">
        <v>256</v>
      </c>
      <c r="CI3" s="612" t="s">
        <v>257</v>
      </c>
      <c r="CJ3" s="612" t="s">
        <v>258</v>
      </c>
      <c r="CK3" s="612" t="s">
        <v>259</v>
      </c>
      <c r="CL3" s="612" t="s">
        <v>260</v>
      </c>
      <c r="CM3" s="612" t="s">
        <v>261</v>
      </c>
      <c r="CN3" s="612" t="s">
        <v>262</v>
      </c>
      <c r="CO3" s="612" t="s">
        <v>263</v>
      </c>
      <c r="CP3" s="612" t="s">
        <v>264</v>
      </c>
      <c r="CQ3" s="612" t="s">
        <v>265</v>
      </c>
      <c r="CR3" s="612" t="s">
        <v>266</v>
      </c>
      <c r="CS3" s="612" t="s">
        <v>267</v>
      </c>
      <c r="CT3" s="612" t="s">
        <v>268</v>
      </c>
      <c r="CU3" s="612" t="s">
        <v>269</v>
      </c>
      <c r="CV3" s="612" t="s">
        <v>270</v>
      </c>
      <c r="CW3" s="612" t="s">
        <v>271</v>
      </c>
      <c r="CX3" s="612" t="s">
        <v>272</v>
      </c>
      <c r="CY3" s="612" t="s">
        <v>273</v>
      </c>
      <c r="CZ3" s="612" t="s">
        <v>274</v>
      </c>
    </row>
    <row r="4" spans="1:104" x14ac:dyDescent="0.25">
      <c r="E4" s="609">
        <v>2014</v>
      </c>
      <c r="F4" s="609">
        <f>E4+1</f>
        <v>2015</v>
      </c>
      <c r="G4" s="609">
        <f t="shared" ref="G4:BR4" si="0">F4+1</f>
        <v>2016</v>
      </c>
      <c r="H4" s="609">
        <f t="shared" si="0"/>
        <v>2017</v>
      </c>
      <c r="I4" s="609">
        <f t="shared" si="0"/>
        <v>2018</v>
      </c>
      <c r="J4" s="609">
        <f t="shared" si="0"/>
        <v>2019</v>
      </c>
      <c r="K4" s="609">
        <f t="shared" si="0"/>
        <v>2020</v>
      </c>
      <c r="L4" s="609">
        <f t="shared" si="0"/>
        <v>2021</v>
      </c>
      <c r="M4" s="609">
        <f t="shared" si="0"/>
        <v>2022</v>
      </c>
      <c r="N4" s="609">
        <f t="shared" si="0"/>
        <v>2023</v>
      </c>
      <c r="O4" s="609">
        <f t="shared" si="0"/>
        <v>2024</v>
      </c>
      <c r="P4" s="609">
        <f t="shared" si="0"/>
        <v>2025</v>
      </c>
      <c r="Q4" s="609">
        <f t="shared" si="0"/>
        <v>2026</v>
      </c>
      <c r="R4" s="609">
        <f t="shared" si="0"/>
        <v>2027</v>
      </c>
      <c r="S4" s="609">
        <f t="shared" si="0"/>
        <v>2028</v>
      </c>
      <c r="T4" s="609">
        <f t="shared" si="0"/>
        <v>2029</v>
      </c>
      <c r="U4" s="609">
        <f t="shared" si="0"/>
        <v>2030</v>
      </c>
      <c r="V4" s="609">
        <f t="shared" si="0"/>
        <v>2031</v>
      </c>
      <c r="W4" s="609">
        <f t="shared" si="0"/>
        <v>2032</v>
      </c>
      <c r="X4" s="609">
        <f t="shared" si="0"/>
        <v>2033</v>
      </c>
      <c r="Y4" s="609">
        <f t="shared" si="0"/>
        <v>2034</v>
      </c>
      <c r="Z4" s="609">
        <f t="shared" si="0"/>
        <v>2035</v>
      </c>
      <c r="AA4" s="609">
        <f t="shared" si="0"/>
        <v>2036</v>
      </c>
      <c r="AB4" s="609">
        <f t="shared" si="0"/>
        <v>2037</v>
      </c>
      <c r="AC4" s="609">
        <f t="shared" si="0"/>
        <v>2038</v>
      </c>
      <c r="AD4" s="609">
        <f t="shared" si="0"/>
        <v>2039</v>
      </c>
      <c r="AE4" s="609">
        <f t="shared" si="0"/>
        <v>2040</v>
      </c>
      <c r="AF4" s="609">
        <f t="shared" si="0"/>
        <v>2041</v>
      </c>
      <c r="AG4" s="609">
        <f t="shared" si="0"/>
        <v>2042</v>
      </c>
      <c r="AH4" s="609">
        <f t="shared" si="0"/>
        <v>2043</v>
      </c>
      <c r="AI4" s="609">
        <f t="shared" si="0"/>
        <v>2044</v>
      </c>
      <c r="AJ4" s="609">
        <f t="shared" si="0"/>
        <v>2045</v>
      </c>
      <c r="AK4" s="609">
        <f t="shared" si="0"/>
        <v>2046</v>
      </c>
      <c r="AL4" s="609">
        <f t="shared" si="0"/>
        <v>2047</v>
      </c>
      <c r="AM4" s="609">
        <f t="shared" si="0"/>
        <v>2048</v>
      </c>
      <c r="AN4" s="609">
        <f t="shared" si="0"/>
        <v>2049</v>
      </c>
      <c r="AO4" s="609">
        <f t="shared" si="0"/>
        <v>2050</v>
      </c>
      <c r="AP4" s="609">
        <f t="shared" si="0"/>
        <v>2051</v>
      </c>
      <c r="AQ4" s="609">
        <f t="shared" si="0"/>
        <v>2052</v>
      </c>
      <c r="AR4" s="609">
        <f t="shared" si="0"/>
        <v>2053</v>
      </c>
      <c r="AS4" s="609">
        <f t="shared" si="0"/>
        <v>2054</v>
      </c>
      <c r="AT4" s="609">
        <f t="shared" si="0"/>
        <v>2055</v>
      </c>
      <c r="AU4" s="609">
        <f t="shared" si="0"/>
        <v>2056</v>
      </c>
      <c r="AV4" s="609">
        <f t="shared" si="0"/>
        <v>2057</v>
      </c>
      <c r="AW4" s="609">
        <f t="shared" si="0"/>
        <v>2058</v>
      </c>
      <c r="AX4" s="609">
        <f t="shared" si="0"/>
        <v>2059</v>
      </c>
      <c r="AY4" s="609">
        <f t="shared" si="0"/>
        <v>2060</v>
      </c>
      <c r="AZ4" s="609">
        <f t="shared" si="0"/>
        <v>2061</v>
      </c>
      <c r="BA4" s="609">
        <f t="shared" si="0"/>
        <v>2062</v>
      </c>
      <c r="BB4" s="609">
        <f t="shared" si="0"/>
        <v>2063</v>
      </c>
      <c r="BC4" s="609">
        <f t="shared" si="0"/>
        <v>2064</v>
      </c>
      <c r="BD4" s="609">
        <f t="shared" si="0"/>
        <v>2065</v>
      </c>
      <c r="BE4" s="609">
        <f t="shared" si="0"/>
        <v>2066</v>
      </c>
      <c r="BF4" s="609">
        <f t="shared" si="0"/>
        <v>2067</v>
      </c>
      <c r="BG4" s="609">
        <f t="shared" si="0"/>
        <v>2068</v>
      </c>
      <c r="BH4" s="609">
        <f t="shared" si="0"/>
        <v>2069</v>
      </c>
      <c r="BI4" s="609">
        <f t="shared" si="0"/>
        <v>2070</v>
      </c>
      <c r="BJ4" s="609">
        <f t="shared" si="0"/>
        <v>2071</v>
      </c>
      <c r="BK4" s="609">
        <f t="shared" si="0"/>
        <v>2072</v>
      </c>
      <c r="BL4" s="609">
        <f t="shared" si="0"/>
        <v>2073</v>
      </c>
      <c r="BM4" s="609">
        <f t="shared" si="0"/>
        <v>2074</v>
      </c>
      <c r="BN4" s="609">
        <f t="shared" si="0"/>
        <v>2075</v>
      </c>
      <c r="BO4" s="609">
        <f t="shared" si="0"/>
        <v>2076</v>
      </c>
      <c r="BP4" s="609">
        <f t="shared" si="0"/>
        <v>2077</v>
      </c>
      <c r="BQ4" s="609">
        <f t="shared" si="0"/>
        <v>2078</v>
      </c>
      <c r="BR4" s="609">
        <f t="shared" si="0"/>
        <v>2079</v>
      </c>
      <c r="BS4" s="609">
        <f t="shared" ref="BS4:CZ4" si="1">BR4+1</f>
        <v>2080</v>
      </c>
      <c r="BT4" s="609">
        <f t="shared" si="1"/>
        <v>2081</v>
      </c>
      <c r="BU4" s="609">
        <f t="shared" si="1"/>
        <v>2082</v>
      </c>
      <c r="BV4" s="609">
        <f t="shared" si="1"/>
        <v>2083</v>
      </c>
      <c r="BW4" s="609">
        <f t="shared" si="1"/>
        <v>2084</v>
      </c>
      <c r="BX4" s="609">
        <f t="shared" si="1"/>
        <v>2085</v>
      </c>
      <c r="BY4" s="609">
        <f t="shared" si="1"/>
        <v>2086</v>
      </c>
      <c r="BZ4" s="609">
        <f t="shared" si="1"/>
        <v>2087</v>
      </c>
      <c r="CA4" s="609">
        <f t="shared" si="1"/>
        <v>2088</v>
      </c>
      <c r="CB4" s="609">
        <f t="shared" si="1"/>
        <v>2089</v>
      </c>
      <c r="CC4" s="609">
        <f t="shared" si="1"/>
        <v>2090</v>
      </c>
      <c r="CD4" s="609">
        <f t="shared" si="1"/>
        <v>2091</v>
      </c>
      <c r="CE4" s="609">
        <f t="shared" si="1"/>
        <v>2092</v>
      </c>
      <c r="CF4" s="609">
        <f t="shared" si="1"/>
        <v>2093</v>
      </c>
      <c r="CG4" s="609">
        <f t="shared" si="1"/>
        <v>2094</v>
      </c>
      <c r="CH4" s="609">
        <f t="shared" si="1"/>
        <v>2095</v>
      </c>
      <c r="CI4" s="609">
        <f t="shared" si="1"/>
        <v>2096</v>
      </c>
      <c r="CJ4" s="609">
        <f t="shared" si="1"/>
        <v>2097</v>
      </c>
      <c r="CK4" s="609">
        <f t="shared" si="1"/>
        <v>2098</v>
      </c>
      <c r="CL4" s="609">
        <f t="shared" si="1"/>
        <v>2099</v>
      </c>
      <c r="CM4" s="609">
        <f t="shared" si="1"/>
        <v>2100</v>
      </c>
      <c r="CN4" s="609">
        <f t="shared" si="1"/>
        <v>2101</v>
      </c>
      <c r="CO4" s="609">
        <f t="shared" si="1"/>
        <v>2102</v>
      </c>
      <c r="CP4" s="609">
        <f t="shared" si="1"/>
        <v>2103</v>
      </c>
      <c r="CQ4" s="609">
        <f t="shared" si="1"/>
        <v>2104</v>
      </c>
      <c r="CR4" s="609">
        <f t="shared" si="1"/>
        <v>2105</v>
      </c>
      <c r="CS4" s="609">
        <f t="shared" si="1"/>
        <v>2106</v>
      </c>
      <c r="CT4" s="609">
        <f t="shared" si="1"/>
        <v>2107</v>
      </c>
      <c r="CU4" s="609">
        <f t="shared" si="1"/>
        <v>2108</v>
      </c>
      <c r="CV4" s="609">
        <f t="shared" si="1"/>
        <v>2109</v>
      </c>
      <c r="CW4" s="609">
        <f t="shared" si="1"/>
        <v>2110</v>
      </c>
      <c r="CX4" s="609">
        <f t="shared" si="1"/>
        <v>2111</v>
      </c>
      <c r="CY4" s="609">
        <f t="shared" si="1"/>
        <v>2112</v>
      </c>
      <c r="CZ4" s="609">
        <f t="shared" si="1"/>
        <v>2113</v>
      </c>
    </row>
    <row r="5" spans="1:104" x14ac:dyDescent="0.25">
      <c r="A5" s="472" t="s">
        <v>222</v>
      </c>
    </row>
    <row r="6" spans="1:104" x14ac:dyDescent="0.25">
      <c r="B6" s="609" t="s">
        <v>66</v>
      </c>
      <c r="E6" s="611">
        <f>'Economist Plan 2'!D7</f>
        <v>155615.26406250001</v>
      </c>
      <c r="F6" s="611">
        <f>'Economist Plan 2'!E7</f>
        <v>160050.29908828126</v>
      </c>
      <c r="G6" s="611">
        <f>'Economist Plan 2'!F7</f>
        <v>164611.73261229726</v>
      </c>
      <c r="H6" s="611">
        <f>'Economist Plan 2'!G7</f>
        <v>169303.16699174771</v>
      </c>
      <c r="I6" s="611">
        <f>'Economist Plan 2'!H7</f>
        <v>174128.30725101251</v>
      </c>
      <c r="J6" s="611">
        <f>'Economist Plan 2'!I7</f>
        <v>179090.96400766636</v>
      </c>
      <c r="K6" s="611">
        <f>'Economist Plan 2'!J7</f>
        <v>184195.05648188485</v>
      </c>
      <c r="L6" s="611">
        <f>'Economist Plan 2'!K7</f>
        <v>189444.61559161855</v>
      </c>
      <c r="M6" s="611">
        <f>'Economist Plan 2'!L7</f>
        <v>194843.78713597968</v>
      </c>
      <c r="N6" s="611">
        <f>'Economist Plan 2'!M7</f>
        <v>200396.83506935509</v>
      </c>
      <c r="O6" s="611">
        <f>'Economist Plan 2'!N7</f>
        <v>206108.1448688317</v>
      </c>
      <c r="P6" s="611">
        <f>'Economist Plan 2'!O7</f>
        <v>211982.22699759339</v>
      </c>
      <c r="Q6" s="611">
        <f>'Economist Plan 2'!P7</f>
        <v>218023.7204670248</v>
      </c>
      <c r="R6" s="611">
        <f>'Economist Plan 2'!Q7</f>
        <v>224237.39650033502</v>
      </c>
      <c r="S6" s="611">
        <f>'Economist Plan 2'!R7</f>
        <v>230628.16230059456</v>
      </c>
      <c r="T6" s="611">
        <f>'Economist Plan 2'!S7</f>
        <v>237201.06492616149</v>
      </c>
      <c r="U6" s="611">
        <f>'Economist Plan 2'!T7</f>
        <v>243961.2952765571</v>
      </c>
      <c r="V6" s="611">
        <f>'Economist Plan 2'!U7</f>
        <v>250914.19219193896</v>
      </c>
      <c r="W6" s="611">
        <f>'Economist Plan 2'!V7</f>
        <v>258065.24666940921</v>
      </c>
      <c r="X6" s="611">
        <f>'Economist Plan 2'!W7</f>
        <v>265420.10619948735</v>
      </c>
      <c r="Y6" s="611">
        <f>'Economist Plan 2'!X7</f>
        <v>272984.5792261727</v>
      </c>
      <c r="Z6" s="611">
        <f>'Economist Plan 2'!Y7</f>
        <v>280764.63973411859</v>
      </c>
      <c r="AA6" s="611">
        <f>'Economist Plan 2'!Z7</f>
        <v>288766.43196654099</v>
      </c>
      <c r="AB6" s="611">
        <f>'Economist Plan 2'!AA7</f>
        <v>296996.27527758741</v>
      </c>
      <c r="AC6" s="611">
        <f>'Economist Plan 2'!AB7</f>
        <v>305460.66912299866</v>
      </c>
      <c r="AD6" s="611">
        <f>'Economist Plan 2'!AC7</f>
        <v>314166.2981930041</v>
      </c>
      <c r="AE6" s="611">
        <f>'Economist Plan 2'!AD7</f>
        <v>323120.03769150469</v>
      </c>
      <c r="AF6" s="611">
        <f>'Economist Plan 2'!AE7</f>
        <v>332328.95876571257</v>
      </c>
      <c r="AG6" s="611">
        <f>'Economist Plan 2'!AF7</f>
        <v>341800.33409053535</v>
      </c>
      <c r="AH6" s="611">
        <f>'Economist Plan 2'!AG7</f>
        <v>351541.64361211559</v>
      </c>
      <c r="AI6" s="611">
        <f>'Economist Plan 2'!AH7</f>
        <v>361560.58045506087</v>
      </c>
      <c r="AJ6" s="611">
        <f>'Economist Plan 2'!AI7</f>
        <v>371865.05699803011</v>
      </c>
      <c r="AK6" s="611">
        <f>'Economist Plan 2'!AJ7</f>
        <v>382463.21112247393</v>
      </c>
      <c r="AL6" s="611">
        <f>'Economist Plan 2'!AK7</f>
        <v>393363.41263946443</v>
      </c>
      <c r="AM6" s="611">
        <f>'Economist Plan 2'!AL7</f>
        <v>404574.26989968913</v>
      </c>
      <c r="AN6" s="611">
        <f>'Economist Plan 2'!AM7</f>
        <v>416104.63659183023</v>
      </c>
      <c r="AO6" s="611">
        <f>'Economist Plan 2'!AN7</f>
        <v>427963.6187346974</v>
      </c>
      <c r="AP6" s="611">
        <f>'Economist Plan 2'!AO7</f>
        <v>440160.58186863625</v>
      </c>
      <c r="AQ6" s="611">
        <f>'Economist Plan 2'!AP7</f>
        <v>452705.15845189238</v>
      </c>
      <c r="AR6" s="611">
        <f>'Economist Plan 2'!AQ7</f>
        <v>465607.25546777132</v>
      </c>
      <c r="AS6" s="611">
        <f>'Economist Plan 2'!AR7</f>
        <v>478877.0622486028</v>
      </c>
      <c r="AT6" s="611">
        <f>'Economist Plan 2'!AS7</f>
        <v>492525.05852268799</v>
      </c>
      <c r="AU6" s="611">
        <f>'Economist Plan 2'!AT7</f>
        <v>506562.02269058459</v>
      </c>
      <c r="AV6" s="611">
        <f>'Economist Plan 2'!AU7</f>
        <v>520999.04033726623</v>
      </c>
      <c r="AW6" s="611">
        <f>'Economist Plan 2'!AV7</f>
        <v>535847.51298687828</v>
      </c>
      <c r="AX6" s="611">
        <f>'Economist Plan 2'!AW7</f>
        <v>551119.16710700432</v>
      </c>
      <c r="AY6" s="611">
        <f>'Economist Plan 2'!AX7</f>
        <v>566826.06336955389</v>
      </c>
      <c r="AZ6" s="611">
        <f>'Economist Plan 2'!AY7</f>
        <v>582980.60617558612</v>
      </c>
      <c r="BA6" s="611">
        <f>'Economist Plan 2'!AZ7</f>
        <v>599595.55345159036</v>
      </c>
      <c r="BB6" s="611">
        <f>'Economist Plan 2'!BA7</f>
        <v>616684.02672496065</v>
      </c>
      <c r="BC6" s="611">
        <f>'Economist Plan 2'!BB7</f>
        <v>634259.52148662205</v>
      </c>
      <c r="BD6" s="611">
        <f>'Economist Plan 2'!BC7</f>
        <v>652335.91784899076</v>
      </c>
      <c r="BE6" s="611">
        <f>'Economist Plan 2'!BD7</f>
        <v>670927.49150768702</v>
      </c>
      <c r="BF6" s="611">
        <f>'Economist Plan 2'!BE7</f>
        <v>690048.92501565604</v>
      </c>
      <c r="BG6" s="611">
        <f>'Economist Plan 2'!BF7</f>
        <v>709715.3193786022</v>
      </c>
      <c r="BH6" s="611">
        <f>'Economist Plan 2'!BG7</f>
        <v>729942.20598089229</v>
      </c>
      <c r="BI6" s="611">
        <f>'Economist Plan 2'!BH7</f>
        <v>750745.55885134765</v>
      </c>
      <c r="BJ6" s="611">
        <f>'Economist Plan 2'!BI7</f>
        <v>750745.55885134765</v>
      </c>
      <c r="BK6" s="611">
        <f>'Economist Plan 2'!BJ7</f>
        <v>772141.807278611</v>
      </c>
      <c r="BL6" s="611">
        <f>'Economist Plan 2'!BK7</f>
        <v>794147.84878605139</v>
      </c>
      <c r="BM6" s="611">
        <f>'Economist Plan 2'!BL7</f>
        <v>816781.06247645384</v>
      </c>
      <c r="BN6" s="611">
        <f>'Economist Plan 2'!BM7</f>
        <v>840059.3227570327</v>
      </c>
      <c r="BO6" s="611">
        <f>'Economist Plan 2'!BN7</f>
        <v>864001.01345560816</v>
      </c>
      <c r="BP6" s="611">
        <f>'Economist Plan 2'!BO7</f>
        <v>888625.04233909294</v>
      </c>
      <c r="BQ6" s="611">
        <f>'Economist Plan 2'!BP7</f>
        <v>913950.85604575707</v>
      </c>
      <c r="BR6" s="611">
        <f>'Economist Plan 2'!BQ7</f>
        <v>939998.45544306107</v>
      </c>
      <c r="BS6" s="611">
        <f>'Economist Plan 2'!BR7</f>
        <v>966788.41142318828</v>
      </c>
      <c r="BT6" s="611">
        <f>'Economist Plan 2'!BS7</f>
        <v>994341.88114874915</v>
      </c>
      <c r="BU6" s="611">
        <f>'Economist Plan 2'!BT7</f>
        <v>1022680.6247614885</v>
      </c>
      <c r="BV6" s="611">
        <f>'Economist Plan 2'!BU7</f>
        <v>1051827.0225671909</v>
      </c>
      <c r="BW6" s="611">
        <f>'Economist Plan 2'!BV7</f>
        <v>1081804.0927103558</v>
      </c>
      <c r="BX6" s="611">
        <f>'Economist Plan 2'!BW7</f>
        <v>1112635.5093526009</v>
      </c>
      <c r="BY6" s="611">
        <f>'Economist Plan 2'!BX7</f>
        <v>1144345.62136915</v>
      </c>
      <c r="BZ6" s="611">
        <f>'Economist Plan 2'!BY7</f>
        <v>1176959.4715781708</v>
      </c>
      <c r="CA6" s="611">
        <f>'Economist Plan 2'!BZ7</f>
        <v>1210502.8165181486</v>
      </c>
      <c r="CB6" s="611">
        <f>'Economist Plan 2'!CA7</f>
        <v>1245002.1467889159</v>
      </c>
      <c r="CC6" s="611">
        <f>'Economist Plan 2'!CB7</f>
        <v>1280484.7079723999</v>
      </c>
      <c r="CD6" s="611">
        <f>VLOOKUP(CD$4,'Summary Baseline Data'!$A$9:$AA$110,4,FALSE)</f>
        <v>1046558.2107234071</v>
      </c>
      <c r="CE6" s="611" t="e">
        <f>VLOOKUP(CE$4,'Summary Baseline Data'!$A$9:$AA$110,4,FALSE)</f>
        <v>#N/A</v>
      </c>
      <c r="CF6" s="611" t="e">
        <f>VLOOKUP(CF$4,'Summary Baseline Data'!$A$9:$AA$110,4,FALSE)</f>
        <v>#N/A</v>
      </c>
      <c r="CG6" s="611" t="e">
        <f>VLOOKUP(CG$4,'Summary Baseline Data'!$A$9:$AA$110,4,FALSE)</f>
        <v>#N/A</v>
      </c>
      <c r="CH6" s="611" t="e">
        <f>VLOOKUP(CH$4,'Summary Baseline Data'!$A$9:$AA$110,4,FALSE)</f>
        <v>#N/A</v>
      </c>
      <c r="CI6" s="611" t="e">
        <f>VLOOKUP(CI$4,'Summary Baseline Data'!$A$9:$AA$110,4,FALSE)</f>
        <v>#N/A</v>
      </c>
      <c r="CJ6" s="611" t="e">
        <f>VLOOKUP(CJ$4,'Summary Baseline Data'!$A$9:$AA$110,4,FALSE)</f>
        <v>#N/A</v>
      </c>
      <c r="CK6" s="611" t="e">
        <f>VLOOKUP(CK$4,'Summary Baseline Data'!$A$9:$AA$110,4,FALSE)</f>
        <v>#N/A</v>
      </c>
      <c r="CL6" s="611" t="e">
        <f>VLOOKUP(CL$4,'Summary Baseline Data'!$A$9:$AA$110,4,FALSE)</f>
        <v>#N/A</v>
      </c>
      <c r="CM6" s="611" t="e">
        <f>VLOOKUP(CM$4,'Summary Baseline Data'!$A$9:$AA$110,4,FALSE)</f>
        <v>#N/A</v>
      </c>
      <c r="CN6" s="611" t="e">
        <f>VLOOKUP(CN$4,'Summary Baseline Data'!$A$9:$AA$110,4,FALSE)</f>
        <v>#N/A</v>
      </c>
      <c r="CO6" s="611" t="e">
        <f>VLOOKUP(CO$4,'Summary Baseline Data'!$A$9:$AA$110,4,FALSE)</f>
        <v>#N/A</v>
      </c>
      <c r="CP6" s="611" t="e">
        <f>VLOOKUP(CP$4,'Summary Baseline Data'!$A$9:$AA$110,4,FALSE)</f>
        <v>#N/A</v>
      </c>
      <c r="CQ6" s="611" t="e">
        <f>VLOOKUP(CQ$4,'Summary Baseline Data'!$A$9:$AA$110,4,FALSE)</f>
        <v>#N/A</v>
      </c>
      <c r="CR6" s="611" t="e">
        <f>VLOOKUP(CR$4,'Summary Baseline Data'!$A$9:$AA$110,4,FALSE)</f>
        <v>#N/A</v>
      </c>
      <c r="CS6" s="611" t="e">
        <f>VLOOKUP(CS$4,'Summary Baseline Data'!$A$9:$AA$110,4,FALSE)</f>
        <v>#N/A</v>
      </c>
      <c r="CT6" s="611" t="e">
        <f>VLOOKUP(CT$4,'Summary Baseline Data'!$A$9:$AA$110,4,FALSE)</f>
        <v>#N/A</v>
      </c>
      <c r="CU6" s="611" t="e">
        <f>VLOOKUP(CU$4,'Summary Baseline Data'!$A$9:$AA$110,4,FALSE)</f>
        <v>#N/A</v>
      </c>
      <c r="CV6" s="611" t="e">
        <f>VLOOKUP(CV$4,'Summary Baseline Data'!$A$9:$AA$110,4,FALSE)</f>
        <v>#N/A</v>
      </c>
      <c r="CW6" s="611" t="e">
        <f>VLOOKUP(CW$4,'Summary Baseline Data'!$A$9:$AA$110,4,FALSE)</f>
        <v>#N/A</v>
      </c>
      <c r="CX6" s="611" t="e">
        <f>VLOOKUP(CX$4,'Summary Baseline Data'!$A$9:$AA$110,4,FALSE)</f>
        <v>#N/A</v>
      </c>
      <c r="CY6" s="611" t="e">
        <f>VLOOKUP(CY$4,'Summary Baseline Data'!$A$9:$AA$110,4,FALSE)</f>
        <v>#N/A</v>
      </c>
      <c r="CZ6" s="611" t="e">
        <f>VLOOKUP(CZ$4,'Summary Baseline Data'!$A$9:$AA$110,4,FALSE)</f>
        <v>#N/A</v>
      </c>
    </row>
    <row r="7" spans="1:104" x14ac:dyDescent="0.25">
      <c r="B7" s="609" t="s">
        <v>281</v>
      </c>
      <c r="E7" s="611">
        <f>'Economist Plan 2'!D8</f>
        <v>1466.7139668367367</v>
      </c>
      <c r="F7" s="611">
        <f>'Economist Plan 2'!E8</f>
        <v>1508.5153148915829</v>
      </c>
      <c r="G7" s="611">
        <f>'Economist Plan 2'!F8</f>
        <v>1551.5080013659863</v>
      </c>
      <c r="H7" s="611">
        <f>'Economist Plan 2'!G8</f>
        <v>1595.725979404916</v>
      </c>
      <c r="I7" s="611">
        <f>'Economist Plan 2'!H8</f>
        <v>1641.2041698179571</v>
      </c>
      <c r="J7" s="611">
        <f>'Economist Plan 2'!I8</f>
        <v>1687.9784886577747</v>
      </c>
      <c r="K7" s="611">
        <f>'Economist Plan 2'!J8</f>
        <v>1736.0858755845195</v>
      </c>
      <c r="L7" s="611">
        <f>'Economist Plan 2'!K8</f>
        <v>1785.564323038674</v>
      </c>
      <c r="M7" s="611">
        <f>'Economist Plan 2'!L8</f>
        <v>1836.452906245283</v>
      </c>
      <c r="N7" s="611">
        <f>'Economist Plan 2'!M8</f>
        <v>1888.791814073267</v>
      </c>
      <c r="O7" s="611">
        <f>'Economist Plan 2'!N8</f>
        <v>1942.6223807743586</v>
      </c>
      <c r="P7" s="611">
        <f>'Economist Plan 2'!O8</f>
        <v>1997.9871186264236</v>
      </c>
      <c r="Q7" s="611">
        <f>'Economist Plan 2'!P8</f>
        <v>2054.929751507284</v>
      </c>
      <c r="R7" s="611">
        <f>'Economist Plan 2'!Q8</f>
        <v>2113.4952494252429</v>
      </c>
      <c r="S7" s="611">
        <f>'Economist Plan 2'!R8</f>
        <v>2173.7298640338577</v>
      </c>
      <c r="T7" s="611">
        <f>'Economist Plan 2'!S8</f>
        <v>2235.68116515882</v>
      </c>
      <c r="U7" s="611">
        <f>'Economist Plan 2'!T8</f>
        <v>2299.3980783658526</v>
      </c>
      <c r="V7" s="611">
        <f>'Economist Plan 2'!U8</f>
        <v>2364.9309235992728</v>
      </c>
      <c r="W7" s="611">
        <f>'Economist Plan 2'!V8</f>
        <v>2432.3314549218562</v>
      </c>
      <c r="X7" s="611">
        <f>'Economist Plan 2'!W8</f>
        <v>2501.6529013871195</v>
      </c>
      <c r="Y7" s="611">
        <f>'Economist Plan 2'!X8</f>
        <v>2572.9500090766528</v>
      </c>
      <c r="Z7" s="611">
        <f>'Economist Plan 2'!Y8</f>
        <v>2646.2790843353373</v>
      </c>
      <c r="AA7" s="611">
        <f>'Economist Plan 2'!Z8</f>
        <v>2721.6980382389083</v>
      </c>
      <c r="AB7" s="611">
        <f>'Economist Plan 2'!AA8</f>
        <v>2799.2664323287158</v>
      </c>
      <c r="AC7" s="611">
        <f>'Economist Plan 2'!AB8</f>
        <v>2879.0455256500854</v>
      </c>
      <c r="AD7" s="611">
        <f>'Economist Plan 2'!AC8</f>
        <v>2961.0983231311016</v>
      </c>
      <c r="AE7" s="611">
        <f>'Economist Plan 2'!AD8</f>
        <v>3045.489625340339</v>
      </c>
      <c r="AF7" s="611">
        <f>'Economist Plan 2'!AE8</f>
        <v>3132.2860796625414</v>
      </c>
      <c r="AG7" s="611">
        <f>'Economist Plan 2'!AF8</f>
        <v>3221.5562329329209</v>
      </c>
      <c r="AH7" s="611">
        <f>'Economist Plan 2'!AG8</f>
        <v>3313.3705855715075</v>
      </c>
      <c r="AI7" s="611">
        <f>'Economist Plan 2'!AH8</f>
        <v>3407.8016472603022</v>
      </c>
      <c r="AJ7" s="611">
        <f>'Economist Plan 2'!AI8</f>
        <v>3504.9239942072227</v>
      </c>
      <c r="AK7" s="611">
        <f>'Economist Plan 2'!AJ8</f>
        <v>3604.8143280421182</v>
      </c>
      <c r="AL7" s="611">
        <f>'Economist Plan 2'!AK8</f>
        <v>3707.5515363913237</v>
      </c>
      <c r="AM7" s="611">
        <f>'Economist Plan 2'!AL8</f>
        <v>3813.2167551784696</v>
      </c>
      <c r="AN7" s="611">
        <f>'Economist Plan 2'!AM8</f>
        <v>3921.8934327010566</v>
      </c>
      <c r="AO7" s="611">
        <f>'Economist Plan 2'!AN8</f>
        <v>4033.6673955330516</v>
      </c>
      <c r="AP7" s="611">
        <f>'Economist Plan 2'!AO8</f>
        <v>4148.6269163057295</v>
      </c>
      <c r="AQ7" s="611">
        <f>'Economist Plan 2'!AP8</f>
        <v>4266.8627834204526</v>
      </c>
      <c r="AR7" s="611">
        <f>'Economist Plan 2'!AQ8</f>
        <v>4388.4683727479396</v>
      </c>
      <c r="AS7" s="611">
        <f>'Economist Plan 2'!AR8</f>
        <v>4513.5397213712522</v>
      </c>
      <c r="AT7" s="611">
        <f>'Economist Plan 2'!AS8</f>
        <v>4642.1756034303371</v>
      </c>
      <c r="AU7" s="611">
        <f>'Economist Plan 2'!AT8</f>
        <v>4774.4776081280952</v>
      </c>
      <c r="AV7" s="611">
        <f>'Economist Plan 2'!AU8</f>
        <v>4910.5502199597395</v>
      </c>
      <c r="AW7" s="611">
        <f>'Economist Plan 2'!AV8</f>
        <v>5050.5009012285909</v>
      </c>
      <c r="AX7" s="611">
        <f>'Economist Plan 2'!AW8</f>
        <v>5194.4401769136193</v>
      </c>
      <c r="AY7" s="611">
        <f>'Economist Plan 2'!AX8</f>
        <v>5342.4817219556335</v>
      </c>
      <c r="AZ7" s="611">
        <f>'Economist Plan 2'!AY8</f>
        <v>5494.7424510313713</v>
      </c>
      <c r="BA7" s="611">
        <f>'Economist Plan 2'!AZ8</f>
        <v>5651.3426108857966</v>
      </c>
      <c r="BB7" s="611">
        <f>'Economist Plan 2'!BA8</f>
        <v>5812.40587529602</v>
      </c>
      <c r="BC7" s="611">
        <f>'Economist Plan 2'!BB8</f>
        <v>5978.059442741971</v>
      </c>
      <c r="BD7" s="611">
        <f>'Economist Plan 2'!BC8</f>
        <v>6148.4341368601072</v>
      </c>
      <c r="BE7" s="611">
        <f>'Economist Plan 2'!BD8</f>
        <v>6323.6645097606324</v>
      </c>
      <c r="BF7" s="611">
        <f>'Economist Plan 2'!BE8</f>
        <v>6503.8889482887826</v>
      </c>
      <c r="BG7" s="611">
        <f>'Economist Plan 2'!BF8</f>
        <v>6689.2497833150201</v>
      </c>
      <c r="BH7" s="611">
        <f>'Economist Plan 2'!BG8</f>
        <v>6879.8934021394871</v>
      </c>
      <c r="BI7" s="611">
        <f>'Economist Plan 2'!BH8</f>
        <v>7075.9703641004635</v>
      </c>
      <c r="BJ7" s="611">
        <f>'Economist Plan 2'!BI8</f>
        <v>7075.9703641004635</v>
      </c>
      <c r="BK7" s="611">
        <f>'Economist Plan 2'!BJ8</f>
        <v>7277.6355194773287</v>
      </c>
      <c r="BL7" s="611">
        <f>'Economist Plan 2'!BK8</f>
        <v>7485.0481317824442</v>
      </c>
      <c r="BM7" s="611">
        <f>'Economist Plan 2'!BL8</f>
        <v>7698.3720035382494</v>
      </c>
      <c r="BN7" s="611">
        <f>'Economist Plan 2'!BM8</f>
        <v>7917.775605639069</v>
      </c>
      <c r="BO7" s="611">
        <f>'Economist Plan 2'!BN8</f>
        <v>8143.4322103998165</v>
      </c>
      <c r="BP7" s="611">
        <f>'Economist Plan 2'!BO8</f>
        <v>8375.5200283961822</v>
      </c>
      <c r="BQ7" s="611">
        <f>'Economist Plan 2'!BP8</f>
        <v>8614.2223492054891</v>
      </c>
      <c r="BR7" s="611">
        <f>'Economist Plan 2'!BQ8</f>
        <v>8859.7276861578248</v>
      </c>
      <c r="BS7" s="611">
        <f>'Economist Plan 2'!BR8</f>
        <v>9112.229925213338</v>
      </c>
      <c r="BT7" s="611">
        <f>'Economist Plan 2'!BS8</f>
        <v>9371.9284780819271</v>
      </c>
      <c r="BU7" s="611">
        <f>'Economist Plan 2'!BT8</f>
        <v>9639.0284397072701</v>
      </c>
      <c r="BV7" s="611">
        <f>'Economist Plan 2'!BU8</f>
        <v>9913.7407502389142</v>
      </c>
      <c r="BW7" s="611">
        <f>'Economist Plan 2'!BV8</f>
        <v>10196.282361620692</v>
      </c>
      <c r="BX7" s="611">
        <f>'Economist Plan 2'!BW8</f>
        <v>10486.876408926917</v>
      </c>
      <c r="BY7" s="611">
        <f>'Economist Plan 2'!BX8</f>
        <v>10785.752386581327</v>
      </c>
      <c r="BZ7" s="611">
        <f>'Economist Plan 2'!BY8</f>
        <v>11093.146329598903</v>
      </c>
      <c r="CA7" s="611">
        <f>'Economist Plan 2'!BZ8</f>
        <v>11409.300999992471</v>
      </c>
      <c r="CB7" s="611">
        <f>'Economist Plan 2'!CA8</f>
        <v>11734.466078492249</v>
      </c>
      <c r="CC7" s="611">
        <f>'Economist Plan 2'!CB8</f>
        <v>12068.898361729265</v>
      </c>
    </row>
    <row r="8" spans="1:104" x14ac:dyDescent="0.25">
      <c r="B8" s="609" t="s">
        <v>302</v>
      </c>
      <c r="E8" s="611">
        <f>E7</f>
        <v>1466.7139668367367</v>
      </c>
      <c r="F8" s="611">
        <f>F7+E8</f>
        <v>2975.2292817283196</v>
      </c>
      <c r="G8" s="611">
        <f t="shared" ref="G8:BR8" si="2">G7+F8</f>
        <v>4526.7372830943059</v>
      </c>
      <c r="H8" s="611">
        <f t="shared" si="2"/>
        <v>6122.4632624992219</v>
      </c>
      <c r="I8" s="611">
        <f t="shared" si="2"/>
        <v>7763.6674323171792</v>
      </c>
      <c r="J8" s="611">
        <f t="shared" si="2"/>
        <v>9451.6459209749537</v>
      </c>
      <c r="K8" s="611">
        <f t="shared" si="2"/>
        <v>11187.731796559474</v>
      </c>
      <c r="L8" s="611">
        <f t="shared" si="2"/>
        <v>12973.296119598148</v>
      </c>
      <c r="M8" s="611">
        <f t="shared" si="2"/>
        <v>14809.74902584343</v>
      </c>
      <c r="N8" s="611">
        <f t="shared" si="2"/>
        <v>16698.540839916695</v>
      </c>
      <c r="O8" s="611">
        <f t="shared" si="2"/>
        <v>18641.163220691054</v>
      </c>
      <c r="P8" s="611">
        <f t="shared" si="2"/>
        <v>20639.150339317479</v>
      </c>
      <c r="Q8" s="611">
        <f t="shared" si="2"/>
        <v>22694.080090824762</v>
      </c>
      <c r="R8" s="611">
        <f t="shared" si="2"/>
        <v>24807.575340250005</v>
      </c>
      <c r="S8" s="611">
        <f t="shared" si="2"/>
        <v>26981.305204283861</v>
      </c>
      <c r="T8" s="611">
        <f t="shared" si="2"/>
        <v>29216.986369442682</v>
      </c>
      <c r="U8" s="611">
        <f t="shared" si="2"/>
        <v>31516.384447808534</v>
      </c>
      <c r="V8" s="611">
        <f t="shared" si="2"/>
        <v>33881.315371407807</v>
      </c>
      <c r="W8" s="611">
        <f t="shared" si="2"/>
        <v>36313.646826329663</v>
      </c>
      <c r="X8" s="611">
        <f t="shared" si="2"/>
        <v>38815.299727716781</v>
      </c>
      <c r="Y8" s="611">
        <f t="shared" si="2"/>
        <v>41388.249736793434</v>
      </c>
      <c r="Z8" s="611">
        <f t="shared" si="2"/>
        <v>44034.52882112877</v>
      </c>
      <c r="AA8" s="611">
        <f t="shared" si="2"/>
        <v>46756.226859367678</v>
      </c>
      <c r="AB8" s="611">
        <f t="shared" si="2"/>
        <v>49555.493291696395</v>
      </c>
      <c r="AC8" s="611">
        <f t="shared" si="2"/>
        <v>52434.538817346482</v>
      </c>
      <c r="AD8" s="611">
        <f t="shared" si="2"/>
        <v>55395.637140477585</v>
      </c>
      <c r="AE8" s="611">
        <f t="shared" si="2"/>
        <v>58441.126765817928</v>
      </c>
      <c r="AF8" s="611">
        <f t="shared" si="2"/>
        <v>61573.412845480467</v>
      </c>
      <c r="AG8" s="611">
        <f t="shared" si="2"/>
        <v>64794.969078413385</v>
      </c>
      <c r="AH8" s="611">
        <f t="shared" si="2"/>
        <v>68108.339663984894</v>
      </c>
      <c r="AI8" s="611">
        <f t="shared" si="2"/>
        <v>71516.141311245199</v>
      </c>
      <c r="AJ8" s="611">
        <f t="shared" si="2"/>
        <v>75021.065305452415</v>
      </c>
      <c r="AK8" s="611">
        <f t="shared" si="2"/>
        <v>78625.879633494536</v>
      </c>
      <c r="AL8" s="611">
        <f t="shared" si="2"/>
        <v>82333.431169885866</v>
      </c>
      <c r="AM8" s="611">
        <f t="shared" si="2"/>
        <v>86146.647925064332</v>
      </c>
      <c r="AN8" s="611">
        <f t="shared" si="2"/>
        <v>90068.541357765382</v>
      </c>
      <c r="AO8" s="611">
        <f t="shared" si="2"/>
        <v>94102.20875329843</v>
      </c>
      <c r="AP8" s="611">
        <f t="shared" si="2"/>
        <v>98250.835669604159</v>
      </c>
      <c r="AQ8" s="611">
        <f t="shared" si="2"/>
        <v>102517.69845302461</v>
      </c>
      <c r="AR8" s="611">
        <f t="shared" si="2"/>
        <v>106906.16682577255</v>
      </c>
      <c r="AS8" s="611">
        <f t="shared" si="2"/>
        <v>111419.70654714381</v>
      </c>
      <c r="AT8" s="611">
        <f t="shared" si="2"/>
        <v>116061.88215057415</v>
      </c>
      <c r="AU8" s="611">
        <f t="shared" si="2"/>
        <v>120836.35975870225</v>
      </c>
      <c r="AV8" s="611">
        <f t="shared" si="2"/>
        <v>125746.90997866199</v>
      </c>
      <c r="AW8" s="611">
        <f t="shared" si="2"/>
        <v>130797.41087989058</v>
      </c>
      <c r="AX8" s="611">
        <f t="shared" si="2"/>
        <v>135991.85105680421</v>
      </c>
      <c r="AY8" s="611">
        <f t="shared" si="2"/>
        <v>141334.33277875985</v>
      </c>
      <c r="AZ8" s="611">
        <f t="shared" si="2"/>
        <v>146829.07522979123</v>
      </c>
      <c r="BA8" s="611">
        <f t="shared" si="2"/>
        <v>152480.41784067702</v>
      </c>
      <c r="BB8" s="611">
        <f t="shared" si="2"/>
        <v>158292.82371597303</v>
      </c>
      <c r="BC8" s="611">
        <f t="shared" si="2"/>
        <v>164270.88315871501</v>
      </c>
      <c r="BD8" s="611">
        <f t="shared" si="2"/>
        <v>170419.31729557511</v>
      </c>
      <c r="BE8" s="611">
        <f t="shared" si="2"/>
        <v>176742.98180533573</v>
      </c>
      <c r="BF8" s="611">
        <f t="shared" si="2"/>
        <v>183246.87075362451</v>
      </c>
      <c r="BG8" s="611">
        <f t="shared" si="2"/>
        <v>189936.12053693953</v>
      </c>
      <c r="BH8" s="611">
        <f t="shared" si="2"/>
        <v>196816.01393907901</v>
      </c>
      <c r="BI8" s="611">
        <f t="shared" si="2"/>
        <v>203891.98430317949</v>
      </c>
      <c r="BJ8" s="611">
        <f t="shared" si="2"/>
        <v>210967.95466727996</v>
      </c>
      <c r="BK8" s="611">
        <f t="shared" si="2"/>
        <v>218245.5901867573</v>
      </c>
      <c r="BL8" s="611">
        <f t="shared" si="2"/>
        <v>225730.63831853974</v>
      </c>
      <c r="BM8" s="611">
        <f t="shared" si="2"/>
        <v>233429.01032207799</v>
      </c>
      <c r="BN8" s="611">
        <f t="shared" si="2"/>
        <v>241346.78592771705</v>
      </c>
      <c r="BO8" s="611">
        <f t="shared" si="2"/>
        <v>249490.21813811688</v>
      </c>
      <c r="BP8" s="611">
        <f t="shared" si="2"/>
        <v>257865.73816651307</v>
      </c>
      <c r="BQ8" s="611">
        <f t="shared" si="2"/>
        <v>266479.96051571856</v>
      </c>
      <c r="BR8" s="611">
        <f t="shared" si="2"/>
        <v>275339.68820187636</v>
      </c>
      <c r="BS8" s="611">
        <f t="shared" ref="BS8:CC8" si="3">BS7+BR8</f>
        <v>284451.91812708968</v>
      </c>
      <c r="BT8" s="611">
        <f t="shared" si="3"/>
        <v>293823.84660517162</v>
      </c>
      <c r="BU8" s="611">
        <f t="shared" si="3"/>
        <v>303462.87504487892</v>
      </c>
      <c r="BV8" s="611">
        <f t="shared" si="3"/>
        <v>313376.61579511786</v>
      </c>
      <c r="BW8" s="611">
        <f t="shared" si="3"/>
        <v>323572.89815673855</v>
      </c>
      <c r="BX8" s="611">
        <f t="shared" si="3"/>
        <v>334059.77456566546</v>
      </c>
      <c r="BY8" s="611">
        <f t="shared" si="3"/>
        <v>344845.52695224679</v>
      </c>
      <c r="BZ8" s="611">
        <f t="shared" si="3"/>
        <v>355938.67328184569</v>
      </c>
      <c r="CA8" s="611">
        <f t="shared" si="3"/>
        <v>367347.97428183816</v>
      </c>
      <c r="CB8" s="611">
        <f t="shared" si="3"/>
        <v>379082.44036033039</v>
      </c>
      <c r="CC8" s="611">
        <f t="shared" si="3"/>
        <v>391151.33872205968</v>
      </c>
      <c r="CD8" s="611"/>
      <c r="CE8" s="611"/>
      <c r="CF8" s="611"/>
      <c r="CG8" s="611"/>
      <c r="CH8" s="611"/>
      <c r="CI8" s="611"/>
      <c r="CJ8" s="611"/>
      <c r="CK8" s="611"/>
      <c r="CL8" s="611"/>
      <c r="CM8" s="611"/>
      <c r="CN8" s="611"/>
      <c r="CO8" s="611"/>
      <c r="CP8" s="611"/>
      <c r="CQ8" s="611"/>
      <c r="CR8" s="611"/>
      <c r="CS8" s="611"/>
      <c r="CT8" s="611"/>
      <c r="CU8" s="611"/>
      <c r="CV8" s="611"/>
      <c r="CW8" s="611"/>
      <c r="CX8" s="611"/>
      <c r="CY8" s="611"/>
      <c r="CZ8" s="611"/>
    </row>
    <row r="9" spans="1:104" x14ac:dyDescent="0.25">
      <c r="B9" s="609" t="s">
        <v>220</v>
      </c>
      <c r="E9" s="474">
        <f>'Economist Plan 2'!D9</f>
        <v>269.48020983554437</v>
      </c>
      <c r="F9" s="474">
        <f>'Economist Plan 2'!E9</f>
        <v>266.8001907595858</v>
      </c>
      <c r="G9" s="474">
        <f>'Economist Plan 2'!F9</f>
        <v>264.12017168362723</v>
      </c>
      <c r="H9" s="474">
        <f>'Economist Plan 2'!G9</f>
        <v>261.44015260766867</v>
      </c>
      <c r="I9" s="474">
        <f>'Economist Plan 2'!H9</f>
        <v>258.7601335317101</v>
      </c>
      <c r="J9" s="474">
        <f>'Economist Plan 2'!I9</f>
        <v>256.08011445575153</v>
      </c>
      <c r="K9" s="474">
        <f>'Economist Plan 2'!J9</f>
        <v>253.40009537979296</v>
      </c>
      <c r="L9" s="474">
        <f>'Economist Plan 2'!K9</f>
        <v>250.72007630383439</v>
      </c>
      <c r="M9" s="474">
        <f>'Economist Plan 2'!L9</f>
        <v>248.04005722787582</v>
      </c>
      <c r="N9" s="474">
        <f>'Economist Plan 2'!M9</f>
        <v>245.36003815191725</v>
      </c>
      <c r="O9" s="474">
        <f>'Economist Plan 2'!N9</f>
        <v>242.68001907595868</v>
      </c>
      <c r="P9" s="474">
        <f>'Economist Plan 2'!O9</f>
        <v>240.00000000000011</v>
      </c>
      <c r="Q9" s="474">
        <f>'Economist Plan 2'!P9</f>
        <v>239.40000000000012</v>
      </c>
      <c r="R9" s="474">
        <f>'Economist Plan 2'!Q9</f>
        <v>238.80000000000013</v>
      </c>
      <c r="S9" s="474">
        <f>'Economist Plan 2'!R9</f>
        <v>238.20000000000013</v>
      </c>
      <c r="T9" s="474">
        <f>'Economist Plan 2'!S9</f>
        <v>237.60000000000014</v>
      </c>
      <c r="U9" s="474">
        <f>'Economist Plan 2'!T9</f>
        <v>237.00000000000014</v>
      </c>
      <c r="V9" s="474">
        <f>'Economist Plan 2'!U9</f>
        <v>236.40000000000015</v>
      </c>
      <c r="W9" s="474">
        <f>'Economist Plan 2'!V9</f>
        <v>235.80000000000015</v>
      </c>
      <c r="X9" s="474">
        <f>'Economist Plan 2'!W9</f>
        <v>235.20000000000016</v>
      </c>
      <c r="Y9" s="474">
        <f>'Economist Plan 2'!X9</f>
        <v>234.60000000000016</v>
      </c>
      <c r="Z9" s="474">
        <f>'Economist Plan 2'!Y9</f>
        <v>234.00000000000017</v>
      </c>
      <c r="AA9" s="474">
        <f>'Economist Plan 2'!Z9</f>
        <v>233.40000000000018</v>
      </c>
      <c r="AB9" s="474">
        <f>'Economist Plan 2'!AA9</f>
        <v>232.80000000000018</v>
      </c>
      <c r="AC9" s="474">
        <f>'Economist Plan 2'!AB9</f>
        <v>232.20000000000019</v>
      </c>
      <c r="AD9" s="474">
        <f>'Economist Plan 2'!AC9</f>
        <v>231.60000000000019</v>
      </c>
      <c r="AE9" s="474">
        <f>'Economist Plan 2'!AD9</f>
        <v>231.0000000000002</v>
      </c>
      <c r="AF9" s="474">
        <f>'Economist Plan 2'!AE9</f>
        <v>230.4000000000002</v>
      </c>
      <c r="AG9" s="474">
        <f>'Economist Plan 2'!AF9</f>
        <v>229.80000000000021</v>
      </c>
      <c r="AH9" s="474">
        <f>'Economist Plan 2'!AG9</f>
        <v>229.20000000000022</v>
      </c>
      <c r="AI9" s="474">
        <f>'Economist Plan 2'!AH9</f>
        <v>228.60000000000022</v>
      </c>
      <c r="AJ9" s="474">
        <f>'Economist Plan 2'!AI9</f>
        <v>228.00000000000023</v>
      </c>
      <c r="AK9" s="474">
        <f>'Economist Plan 2'!AJ9</f>
        <v>227.40000000000023</v>
      </c>
      <c r="AL9" s="474">
        <f>'Economist Plan 2'!AK9</f>
        <v>226.80000000000024</v>
      </c>
      <c r="AM9" s="474">
        <f>'Economist Plan 2'!AL9</f>
        <v>226.20000000000024</v>
      </c>
      <c r="AN9" s="474">
        <f>'Economist Plan 2'!AM9</f>
        <v>225.60000000000025</v>
      </c>
      <c r="AO9" s="474">
        <f>'Economist Plan 2'!AN9</f>
        <v>225.00000000000026</v>
      </c>
      <c r="AP9" s="474">
        <f>'Economist Plan 2'!AO9</f>
        <v>225.00000000000026</v>
      </c>
      <c r="AQ9" s="474">
        <f>'Economist Plan 2'!AP9</f>
        <v>225.00000000000026</v>
      </c>
      <c r="AR9" s="474">
        <f>'Economist Plan 2'!AQ9</f>
        <v>225.00000000000026</v>
      </c>
      <c r="AS9" s="474">
        <f>'Economist Plan 2'!AR9</f>
        <v>225.00000000000026</v>
      </c>
      <c r="AT9" s="474">
        <f>'Economist Plan 2'!AS9</f>
        <v>225.00000000000026</v>
      </c>
      <c r="AU9" s="474">
        <f>'Economist Plan 2'!AT9</f>
        <v>225.00000000000026</v>
      </c>
      <c r="AV9" s="474">
        <f>'Economist Plan 2'!AU9</f>
        <v>225.00000000000026</v>
      </c>
      <c r="AW9" s="474">
        <f>'Economist Plan 2'!AV9</f>
        <v>225.00000000000026</v>
      </c>
      <c r="AX9" s="474">
        <f>'Economist Plan 2'!AW9</f>
        <v>225.00000000000026</v>
      </c>
      <c r="AY9" s="474">
        <f>'Economist Plan 2'!AX9</f>
        <v>225.00000000000026</v>
      </c>
      <c r="AZ9" s="474">
        <f>'Economist Plan 2'!AY9</f>
        <v>225.00000000000026</v>
      </c>
      <c r="BA9" s="474">
        <f>'Economist Plan 2'!AZ9</f>
        <v>225.00000000000026</v>
      </c>
      <c r="BB9" s="474">
        <f>'Economist Plan 2'!BA9</f>
        <v>225.00000000000026</v>
      </c>
      <c r="BC9" s="474">
        <f>'Economist Plan 2'!BB9</f>
        <v>225.00000000000026</v>
      </c>
      <c r="BD9" s="474">
        <f>'Economist Plan 2'!BC9</f>
        <v>225.00000000000026</v>
      </c>
      <c r="BE9" s="474">
        <f>'Economist Plan 2'!BD9</f>
        <v>225.00000000000026</v>
      </c>
      <c r="BF9" s="474">
        <f>'Economist Plan 2'!BE9</f>
        <v>225.00000000000026</v>
      </c>
      <c r="BG9" s="474">
        <f>'Economist Plan 2'!BF9</f>
        <v>225.00000000000026</v>
      </c>
      <c r="BH9" s="474">
        <f>'Economist Plan 2'!BG9</f>
        <v>225.00000000000026</v>
      </c>
      <c r="BI9" s="474">
        <f>'Economist Plan 2'!BH9</f>
        <v>225.00000000000026</v>
      </c>
      <c r="BJ9" s="474">
        <f>'Economist Plan 2'!BI9</f>
        <v>225.00000000000026</v>
      </c>
      <c r="BK9" s="474">
        <f>'Economist Plan 2'!BJ9</f>
        <v>225.00000000000026</v>
      </c>
      <c r="BL9" s="474">
        <f>'Economist Plan 2'!BK9</f>
        <v>225.00000000000026</v>
      </c>
      <c r="BM9" s="474">
        <f>'Economist Plan 2'!BL9</f>
        <v>225.00000000000026</v>
      </c>
      <c r="BN9" s="474">
        <f>'Economist Plan 2'!BM9</f>
        <v>225.00000000000026</v>
      </c>
      <c r="BO9" s="474">
        <f>'Economist Plan 2'!BN9</f>
        <v>225.00000000000026</v>
      </c>
      <c r="BP9" s="474">
        <f>'Economist Plan 2'!BO9</f>
        <v>225.00000000000026</v>
      </c>
      <c r="BQ9" s="474">
        <f>'Economist Plan 2'!BP9</f>
        <v>225.00000000000026</v>
      </c>
      <c r="BR9" s="474">
        <f>'Economist Plan 2'!BQ9</f>
        <v>225.00000000000026</v>
      </c>
      <c r="BS9" s="474">
        <f>'Economist Plan 2'!BR9</f>
        <v>225.00000000000026</v>
      </c>
      <c r="BT9" s="474">
        <f>'Economist Plan 2'!BS9</f>
        <v>225.00000000000026</v>
      </c>
      <c r="BU9" s="474">
        <f>'Economist Plan 2'!BT9</f>
        <v>225.00000000000026</v>
      </c>
      <c r="BV9" s="474">
        <f>'Economist Plan 2'!BU9</f>
        <v>225.00000000000026</v>
      </c>
      <c r="BW9" s="474">
        <f>'Economist Plan 2'!BV9</f>
        <v>225.00000000000026</v>
      </c>
      <c r="BX9" s="474">
        <f>'Economist Plan 2'!BW9</f>
        <v>225.00000000000026</v>
      </c>
      <c r="BY9" s="474">
        <f>'Economist Plan 2'!BX9</f>
        <v>225.00000000000026</v>
      </c>
      <c r="BZ9" s="474">
        <f>'Economist Plan 2'!BY9</f>
        <v>225.00000000000026</v>
      </c>
      <c r="CA9" s="474">
        <f>'Economist Plan 2'!BZ9</f>
        <v>225.00000000000026</v>
      </c>
      <c r="CB9" s="474">
        <f>'Economist Plan 2'!CA9</f>
        <v>225.00000000000026</v>
      </c>
      <c r="CC9" s="474">
        <f>'Economist Plan 2'!CB9</f>
        <v>225.00000000000026</v>
      </c>
    </row>
    <row r="10" spans="1:104" x14ac:dyDescent="0.25">
      <c r="B10" s="609" t="s">
        <v>221</v>
      </c>
      <c r="E10" s="613">
        <f t="shared" ref="E10:BP10" si="4">E6*E9*365/1000000</f>
        <v>15306.360414809296</v>
      </c>
      <c r="F10" s="613">
        <f t="shared" si="4"/>
        <v>15586.029369677004</v>
      </c>
      <c r="G10" s="613">
        <f t="shared" si="4"/>
        <v>15869.206863725241</v>
      </c>
      <c r="H10" s="613">
        <f t="shared" si="4"/>
        <v>16155.865722578708</v>
      </c>
      <c r="I10" s="613">
        <f t="shared" si="4"/>
        <v>16445.974373111763</v>
      </c>
      <c r="J10" s="613">
        <f t="shared" si="4"/>
        <v>16739.496614792039</v>
      </c>
      <c r="K10" s="613">
        <f t="shared" si="4"/>
        <v>17036.391381563531</v>
      </c>
      <c r="L10" s="613">
        <f t="shared" si="4"/>
        <v>17336.612493915629</v>
      </c>
      <c r="M10" s="613">
        <f t="shared" si="4"/>
        <v>17640.108400772126</v>
      </c>
      <c r="N10" s="613">
        <f t="shared" si="4"/>
        <v>17946.821910821258</v>
      </c>
      <c r="O10" s="613">
        <f t="shared" si="4"/>
        <v>18256.689912894664</v>
      </c>
      <c r="P10" s="613">
        <f t="shared" si="4"/>
        <v>18569.643084989188</v>
      </c>
      <c r="Q10" s="613">
        <f t="shared" si="4"/>
        <v>19051.130718129105</v>
      </c>
      <c r="R10" s="613">
        <f>(R6*R9*365)/1000000</f>
        <v>19544.979953762209</v>
      </c>
      <c r="S10" s="613">
        <f t="shared" si="4"/>
        <v>20051.504314900605</v>
      </c>
      <c r="T10" s="613">
        <f t="shared" si="4"/>
        <v>20571.02515465644</v>
      </c>
      <c r="U10" s="613">
        <f t="shared" si="4"/>
        <v>21103.871847898587</v>
      </c>
      <c r="V10" s="613">
        <f t="shared" si="4"/>
        <v>21650.381987473658</v>
      </c>
      <c r="W10" s="613">
        <f t="shared" si="4"/>
        <v>22210.901585096057</v>
      </c>
      <c r="X10" s="613">
        <f t="shared" si="4"/>
        <v>22785.785277013601</v>
      </c>
      <c r="Y10" s="613">
        <f t="shared" si="4"/>
        <v>23375.39653455796</v>
      </c>
      <c r="Z10" s="613">
        <f t="shared" si="4"/>
        <v>23980.107879691084</v>
      </c>
      <c r="AA10" s="613">
        <f t="shared" si="4"/>
        <v>24600.301105661612</v>
      </c>
      <c r="AB10" s="613">
        <f t="shared" si="4"/>
        <v>25236.36750288718</v>
      </c>
      <c r="AC10" s="613">
        <f t="shared" si="4"/>
        <v>25888.708090181528</v>
      </c>
      <c r="AD10" s="613">
        <f t="shared" si="4"/>
        <v>26557.733851447432</v>
      </c>
      <c r="AE10" s="613">
        <f t="shared" si="4"/>
        <v>27243.865977959245</v>
      </c>
      <c r="AF10" s="613">
        <f t="shared" si="4"/>
        <v>27947.536116361385</v>
      </c>
      <c r="AG10" s="613">
        <f t="shared" si="4"/>
        <v>28669.186622511861</v>
      </c>
      <c r="AH10" s="613">
        <f t="shared" si="4"/>
        <v>29409.270821302391</v>
      </c>
      <c r="AI10" s="613">
        <f t="shared" si="4"/>
        <v>30168.253272589856</v>
      </c>
      <c r="AJ10" s="613">
        <f t="shared" si="4"/>
        <v>30946.610043376095</v>
      </c>
      <c r="AK10" s="613">
        <f t="shared" si="4"/>
        <v>31744.828986376491</v>
      </c>
      <c r="AL10" s="613">
        <f t="shared" si="4"/>
        <v>32563.410025120174</v>
      </c>
      <c r="AM10" s="613">
        <f t="shared" si="4"/>
        <v>33402.865445728072</v>
      </c>
      <c r="AN10" s="613">
        <f t="shared" si="4"/>
        <v>34263.720195517708</v>
      </c>
      <c r="AO10" s="613">
        <f t="shared" si="4"/>
        <v>35146.512188587069</v>
      </c>
      <c r="AP10" s="613">
        <f t="shared" si="4"/>
        <v>36148.187785961789</v>
      </c>
      <c r="AQ10" s="613">
        <f t="shared" si="4"/>
        <v>37178.411137861702</v>
      </c>
      <c r="AR10" s="613">
        <f t="shared" si="4"/>
        <v>38237.995855290763</v>
      </c>
      <c r="AS10" s="613">
        <f t="shared" si="4"/>
        <v>39327.778737166547</v>
      </c>
      <c r="AT10" s="613">
        <f t="shared" si="4"/>
        <v>40448.620431175797</v>
      </c>
      <c r="AU10" s="613">
        <f t="shared" si="4"/>
        <v>41601.406113464313</v>
      </c>
      <c r="AV10" s="613">
        <f t="shared" si="4"/>
        <v>42787.046187698033</v>
      </c>
      <c r="AW10" s="613">
        <f t="shared" si="4"/>
        <v>44006.477004047432</v>
      </c>
      <c r="AX10" s="613">
        <f t="shared" si="4"/>
        <v>45260.66159866278</v>
      </c>
      <c r="AY10" s="613">
        <f t="shared" si="4"/>
        <v>46550.590454224672</v>
      </c>
      <c r="AZ10" s="613">
        <f t="shared" si="4"/>
        <v>47877.282282170068</v>
      </c>
      <c r="BA10" s="613">
        <f t="shared" si="4"/>
        <v>49241.784827211915</v>
      </c>
      <c r="BB10" s="613">
        <f t="shared" si="4"/>
        <v>50645.175694787453</v>
      </c>
      <c r="BC10" s="613">
        <f t="shared" si="4"/>
        <v>52088.563202088895</v>
      </c>
      <c r="BD10" s="613">
        <f t="shared" si="4"/>
        <v>53573.087253348436</v>
      </c>
      <c r="BE10" s="613">
        <f t="shared" si="4"/>
        <v>55099.920240068866</v>
      </c>
      <c r="BF10" s="613">
        <f t="shared" si="4"/>
        <v>56670.267966910811</v>
      </c>
      <c r="BG10" s="613">
        <f t="shared" si="4"/>
        <v>58285.370603967771</v>
      </c>
      <c r="BH10" s="613">
        <f t="shared" si="4"/>
        <v>59946.503666180848</v>
      </c>
      <c r="BI10" s="613">
        <f t="shared" si="4"/>
        <v>61654.979020667</v>
      </c>
      <c r="BJ10" s="613">
        <f t="shared" si="4"/>
        <v>61654.979020667</v>
      </c>
      <c r="BK10" s="613">
        <f t="shared" si="4"/>
        <v>63412.145922756004</v>
      </c>
      <c r="BL10" s="613">
        <f t="shared" si="4"/>
        <v>65219.39208155455</v>
      </c>
      <c r="BM10" s="613">
        <f t="shared" si="4"/>
        <v>67078.14475587885</v>
      </c>
      <c r="BN10" s="613">
        <f t="shared" si="4"/>
        <v>68989.871881421393</v>
      </c>
      <c r="BO10" s="613">
        <f t="shared" si="4"/>
        <v>70956.083230041899</v>
      </c>
      <c r="BP10" s="613">
        <f t="shared" si="4"/>
        <v>72978.331602098086</v>
      </c>
      <c r="BQ10" s="613">
        <f t="shared" ref="BQ10:CC10" si="5">BQ6*BQ9*365/1000000</f>
        <v>75058.214052757874</v>
      </c>
      <c r="BR10" s="613">
        <f t="shared" si="5"/>
        <v>77197.373153261477</v>
      </c>
      <c r="BS10" s="613">
        <f t="shared" si="5"/>
        <v>79397.498288129427</v>
      </c>
      <c r="BT10" s="613">
        <f t="shared" si="5"/>
        <v>81660.326989341105</v>
      </c>
      <c r="BU10" s="613">
        <f t="shared" si="5"/>
        <v>83987.64630853734</v>
      </c>
      <c r="BV10" s="613">
        <f t="shared" si="5"/>
        <v>86381.294228330662</v>
      </c>
      <c r="BW10" s="613">
        <f t="shared" si="5"/>
        <v>88843.161113838069</v>
      </c>
      <c r="BX10" s="613">
        <f t="shared" si="5"/>
        <v>91375.191205582465</v>
      </c>
      <c r="BY10" s="613">
        <f t="shared" si="5"/>
        <v>93979.384154941537</v>
      </c>
      <c r="BZ10" s="613">
        <f t="shared" si="5"/>
        <v>96657.79660335739</v>
      </c>
      <c r="CA10" s="613">
        <f t="shared" si="5"/>
        <v>99412.543806553062</v>
      </c>
      <c r="CB10" s="613">
        <f t="shared" si="5"/>
        <v>102245.80130503984</v>
      </c>
      <c r="CC10" s="613">
        <f t="shared" si="5"/>
        <v>105159.80664223345</v>
      </c>
    </row>
    <row r="11" spans="1:104" x14ac:dyDescent="0.25">
      <c r="B11" s="609" t="s">
        <v>305</v>
      </c>
      <c r="E11" s="613">
        <f>E10</f>
        <v>15306.360414809296</v>
      </c>
      <c r="F11" s="613">
        <f>F10+E11</f>
        <v>30892.389784486302</v>
      </c>
      <c r="G11" s="613">
        <f t="shared" ref="G11:BR11" si="6">G10+F11</f>
        <v>46761.596648211547</v>
      </c>
      <c r="H11" s="613">
        <f t="shared" si="6"/>
        <v>62917.462370790257</v>
      </c>
      <c r="I11" s="613">
        <f t="shared" si="6"/>
        <v>79363.436743902013</v>
      </c>
      <c r="J11" s="613">
        <f t="shared" si="6"/>
        <v>96102.933358694048</v>
      </c>
      <c r="K11" s="613">
        <f t="shared" si="6"/>
        <v>113139.32474025758</v>
      </c>
      <c r="L11" s="613">
        <f t="shared" si="6"/>
        <v>130475.93723417321</v>
      </c>
      <c r="M11" s="613">
        <f t="shared" si="6"/>
        <v>148116.04563494533</v>
      </c>
      <c r="N11" s="613">
        <f t="shared" si="6"/>
        <v>166062.86754576658</v>
      </c>
      <c r="O11" s="613">
        <f t="shared" si="6"/>
        <v>184319.55745866123</v>
      </c>
      <c r="P11" s="613">
        <f t="shared" si="6"/>
        <v>202889.20054365043</v>
      </c>
      <c r="Q11" s="613">
        <f t="shared" si="6"/>
        <v>221940.33126177953</v>
      </c>
      <c r="R11" s="613">
        <f t="shared" si="6"/>
        <v>241485.31121554173</v>
      </c>
      <c r="S11" s="613">
        <f t="shared" si="6"/>
        <v>261536.81553044234</v>
      </c>
      <c r="T11" s="613">
        <f t="shared" si="6"/>
        <v>282107.84068509878</v>
      </c>
      <c r="U11" s="613">
        <f t="shared" si="6"/>
        <v>303211.71253299736</v>
      </c>
      <c r="V11" s="613">
        <f t="shared" si="6"/>
        <v>324862.094520471</v>
      </c>
      <c r="W11" s="613">
        <f t="shared" si="6"/>
        <v>347072.99610556709</v>
      </c>
      <c r="X11" s="613">
        <f t="shared" si="6"/>
        <v>369858.7813825807</v>
      </c>
      <c r="Y11" s="613">
        <f t="shared" si="6"/>
        <v>393234.17791713867</v>
      </c>
      <c r="Z11" s="613">
        <f t="shared" si="6"/>
        <v>417214.28579682973</v>
      </c>
      <c r="AA11" s="613">
        <f t="shared" si="6"/>
        <v>441814.58690249134</v>
      </c>
      <c r="AB11" s="613">
        <f t="shared" si="6"/>
        <v>467050.95440537855</v>
      </c>
      <c r="AC11" s="613">
        <f t="shared" si="6"/>
        <v>492939.66249556007</v>
      </c>
      <c r="AD11" s="613">
        <f t="shared" si="6"/>
        <v>519497.39634700748</v>
      </c>
      <c r="AE11" s="613">
        <f t="shared" si="6"/>
        <v>546741.26232496672</v>
      </c>
      <c r="AF11" s="613">
        <f t="shared" si="6"/>
        <v>574688.79844132811</v>
      </c>
      <c r="AG11" s="613">
        <f t="shared" si="6"/>
        <v>603357.98506383994</v>
      </c>
      <c r="AH11" s="613">
        <f t="shared" si="6"/>
        <v>632767.25588514237</v>
      </c>
      <c r="AI11" s="613">
        <f t="shared" si="6"/>
        <v>662935.50915773225</v>
      </c>
      <c r="AJ11" s="613">
        <f t="shared" si="6"/>
        <v>693882.11920110835</v>
      </c>
      <c r="AK11" s="613">
        <f t="shared" si="6"/>
        <v>725626.94818748487</v>
      </c>
      <c r="AL11" s="613">
        <f t="shared" si="6"/>
        <v>758190.358212605</v>
      </c>
      <c r="AM11" s="613">
        <f t="shared" si="6"/>
        <v>791593.22365833307</v>
      </c>
      <c r="AN11" s="613">
        <f t="shared" si="6"/>
        <v>825856.94385385083</v>
      </c>
      <c r="AO11" s="613">
        <f t="shared" si="6"/>
        <v>861003.45604243793</v>
      </c>
      <c r="AP11" s="613">
        <f t="shared" si="6"/>
        <v>897151.64382839971</v>
      </c>
      <c r="AQ11" s="613">
        <f t="shared" si="6"/>
        <v>934330.05496626138</v>
      </c>
      <c r="AR11" s="613">
        <f t="shared" si="6"/>
        <v>972568.05082155217</v>
      </c>
      <c r="AS11" s="613">
        <f t="shared" si="6"/>
        <v>1011895.8295587187</v>
      </c>
      <c r="AT11" s="613">
        <f t="shared" si="6"/>
        <v>1052344.4499898944</v>
      </c>
      <c r="AU11" s="613">
        <f t="shared" si="6"/>
        <v>1093945.8561033588</v>
      </c>
      <c r="AV11" s="613">
        <f t="shared" si="6"/>
        <v>1136732.9022910569</v>
      </c>
      <c r="AW11" s="613">
        <f t="shared" si="6"/>
        <v>1180739.3792951044</v>
      </c>
      <c r="AX11" s="613">
        <f t="shared" si="6"/>
        <v>1226000.0408937673</v>
      </c>
      <c r="AY11" s="613">
        <f t="shared" si="6"/>
        <v>1272550.631347992</v>
      </c>
      <c r="AZ11" s="613">
        <f t="shared" si="6"/>
        <v>1320427.9136301621</v>
      </c>
      <c r="BA11" s="613">
        <f t="shared" si="6"/>
        <v>1369669.698457374</v>
      </c>
      <c r="BB11" s="613">
        <f t="shared" si="6"/>
        <v>1420314.8741521614</v>
      </c>
      <c r="BC11" s="613">
        <f t="shared" si="6"/>
        <v>1472403.4373542503</v>
      </c>
      <c r="BD11" s="613">
        <f t="shared" si="6"/>
        <v>1525976.5246075988</v>
      </c>
      <c r="BE11" s="613">
        <f t="shared" si="6"/>
        <v>1581076.4448476676</v>
      </c>
      <c r="BF11" s="613">
        <f t="shared" si="6"/>
        <v>1637746.7128145783</v>
      </c>
      <c r="BG11" s="613">
        <f t="shared" si="6"/>
        <v>1696032.083418546</v>
      </c>
      <c r="BH11" s="613">
        <f t="shared" si="6"/>
        <v>1755978.5870847269</v>
      </c>
      <c r="BI11" s="613">
        <f t="shared" si="6"/>
        <v>1817633.5661053939</v>
      </c>
      <c r="BJ11" s="613">
        <f t="shared" si="6"/>
        <v>1879288.545126061</v>
      </c>
      <c r="BK11" s="613">
        <f t="shared" si="6"/>
        <v>1942700.691048817</v>
      </c>
      <c r="BL11" s="613">
        <f t="shared" si="6"/>
        <v>2007920.0831303715</v>
      </c>
      <c r="BM11" s="613">
        <f t="shared" si="6"/>
        <v>2074998.2278862505</v>
      </c>
      <c r="BN11" s="613">
        <f t="shared" si="6"/>
        <v>2143988.0997676719</v>
      </c>
      <c r="BO11" s="613">
        <f t="shared" si="6"/>
        <v>2214944.1829977138</v>
      </c>
      <c r="BP11" s="613">
        <f t="shared" si="6"/>
        <v>2287922.5145998118</v>
      </c>
      <c r="BQ11" s="613">
        <f t="shared" si="6"/>
        <v>2362980.7286525695</v>
      </c>
      <c r="BR11" s="613">
        <f t="shared" si="6"/>
        <v>2440178.1018058308</v>
      </c>
      <c r="BS11" s="613">
        <f t="shared" ref="BS11:CC11" si="7">BS10+BR11</f>
        <v>2519575.6000939603</v>
      </c>
      <c r="BT11" s="613">
        <f t="shared" si="7"/>
        <v>2601235.9270833014</v>
      </c>
      <c r="BU11" s="613">
        <f t="shared" si="7"/>
        <v>2685223.5733918389</v>
      </c>
      <c r="BV11" s="613">
        <f t="shared" si="7"/>
        <v>2771604.8676201697</v>
      </c>
      <c r="BW11" s="613">
        <f t="shared" si="7"/>
        <v>2860448.0287340079</v>
      </c>
      <c r="BX11" s="613">
        <f t="shared" si="7"/>
        <v>2951823.2199395904</v>
      </c>
      <c r="BY11" s="613">
        <f t="shared" si="7"/>
        <v>3045802.6040945319</v>
      </c>
      <c r="BZ11" s="613">
        <f t="shared" si="7"/>
        <v>3142460.4006978893</v>
      </c>
      <c r="CA11" s="613">
        <f t="shared" si="7"/>
        <v>3241872.9445044422</v>
      </c>
      <c r="CB11" s="613">
        <f t="shared" si="7"/>
        <v>3344118.7458094819</v>
      </c>
      <c r="CC11" s="613">
        <f t="shared" si="7"/>
        <v>3449278.5524517153</v>
      </c>
      <c r="CD11" s="613"/>
      <c r="CE11" s="613"/>
      <c r="CF11" s="613"/>
      <c r="CG11" s="613"/>
      <c r="CH11" s="613"/>
      <c r="CI11" s="613"/>
      <c r="CJ11" s="613"/>
      <c r="CK11" s="613"/>
      <c r="CL11" s="613"/>
      <c r="CM11" s="613"/>
      <c r="CN11" s="613"/>
      <c r="CO11" s="613"/>
      <c r="CP11" s="613"/>
      <c r="CQ11" s="613"/>
      <c r="CR11" s="613"/>
      <c r="CS11" s="613"/>
      <c r="CT11" s="613"/>
      <c r="CU11" s="613"/>
      <c r="CV11" s="613"/>
      <c r="CW11" s="613"/>
      <c r="CX11" s="613"/>
      <c r="CY11" s="613"/>
      <c r="CZ11" s="613"/>
    </row>
    <row r="12" spans="1:104" x14ac:dyDescent="0.25">
      <c r="B12" s="609" t="s">
        <v>316</v>
      </c>
      <c r="E12" s="611">
        <f>'Economist Plan 2'!D11</f>
        <v>20275.609848683933</v>
      </c>
      <c r="F12" s="611">
        <f>'Economist Plan 2'!E11</f>
        <v>21823.404134398086</v>
      </c>
      <c r="G12" s="611">
        <f>'Economist Plan 2'!F11</f>
        <v>21823.404134398086</v>
      </c>
      <c r="H12" s="611">
        <f>'Economist Plan 2'!G11</f>
        <v>21823.404134398086</v>
      </c>
      <c r="I12" s="611">
        <f>'Economist Plan 2'!H11</f>
        <v>21823.404134398086</v>
      </c>
      <c r="J12" s="611">
        <f>'Economist Plan 2'!I11</f>
        <v>23061.639562969405</v>
      </c>
      <c r="K12" s="611">
        <f>'Economist Plan 2'!J11</f>
        <v>23061.639562969405</v>
      </c>
      <c r="L12" s="611">
        <f>'Economist Plan 2'!K11</f>
        <v>23061.639562969405</v>
      </c>
      <c r="M12" s="611">
        <f>'Economist Plan 2'!L11</f>
        <v>23061.639562969405</v>
      </c>
      <c r="N12" s="611">
        <f>'Economist Plan 2'!M11</f>
        <v>23061.639562969405</v>
      </c>
      <c r="O12" s="611">
        <f>'Economist Plan 2'!N11</f>
        <v>23061.639562969405</v>
      </c>
      <c r="P12" s="611">
        <f>'Economist Plan 2'!O11</f>
        <v>23061.639562969405</v>
      </c>
      <c r="Q12" s="611">
        <f>'Economist Plan 2'!P11</f>
        <v>23061.639562969405</v>
      </c>
      <c r="R12" s="611">
        <f>'Economist Plan 2'!Q11</f>
        <v>23061.639562969405</v>
      </c>
      <c r="S12" s="611">
        <f>'Economist Plan 2'!R11</f>
        <v>23061.639562969405</v>
      </c>
      <c r="T12" s="611">
        <f>'Economist Plan 2'!S11</f>
        <v>23061.639562969405</v>
      </c>
      <c r="U12" s="611">
        <f>'Economist Plan 2'!T11</f>
        <v>23061.639562969405</v>
      </c>
      <c r="V12" s="611">
        <f>'Economist Plan 2'!U11</f>
        <v>23061.639562969405</v>
      </c>
      <c r="W12" s="611">
        <f>'Economist Plan 2'!V11</f>
        <v>23061.639562969405</v>
      </c>
      <c r="X12" s="611">
        <f>'Economist Plan 2'!W11</f>
        <v>23061.639562969405</v>
      </c>
      <c r="Y12" s="611">
        <f>'Economist Plan 2'!X11</f>
        <v>23061.639562969405</v>
      </c>
      <c r="Z12" s="611">
        <f>'Economist Plan 2'!Y11</f>
        <v>23061.639562969405</v>
      </c>
      <c r="AA12" s="611">
        <f>'Economist Plan 2'!Z11</f>
        <v>23061.639562969405</v>
      </c>
      <c r="AB12" s="611">
        <f>'Economist Plan 2'!AA11</f>
        <v>23061.639562969405</v>
      </c>
      <c r="AC12" s="611">
        <f>'Economist Plan 2'!AB11</f>
        <v>23061.639562969405</v>
      </c>
      <c r="AD12" s="611">
        <f>'Economist Plan 2'!AC11</f>
        <v>23061.639562969405</v>
      </c>
      <c r="AE12" s="611">
        <f>'Economist Plan 2'!AD11</f>
        <v>23061.639562969405</v>
      </c>
      <c r="AF12" s="611">
        <f>'Economist Plan 2'!AE11</f>
        <v>23061.639562969405</v>
      </c>
      <c r="AG12" s="611">
        <f>'Economist Plan 2'!AF11</f>
        <v>23061.639562969405</v>
      </c>
      <c r="AH12" s="611">
        <f>'Economist Plan 2'!AG11</f>
        <v>23061.639562969405</v>
      </c>
      <c r="AI12" s="611">
        <f>'Economist Plan 2'!AH11</f>
        <v>23061.639562969405</v>
      </c>
      <c r="AJ12" s="611">
        <f>'Economist Plan 2'!AI11</f>
        <v>23061.639562969405</v>
      </c>
      <c r="AK12" s="611">
        <f>'Economist Plan 2'!AJ11</f>
        <v>23061.639562969405</v>
      </c>
      <c r="AL12" s="611">
        <f>'Economist Plan 2'!AK11</f>
        <v>23061.639562969405</v>
      </c>
      <c r="AM12" s="611">
        <f>'Economist Plan 2'!AL11</f>
        <v>23061.639562969405</v>
      </c>
      <c r="AN12" s="611">
        <f>'Economist Plan 2'!AM11</f>
        <v>23061.639562969405</v>
      </c>
      <c r="AO12" s="611">
        <f>'Economist Plan 2'!AN11</f>
        <v>23061.639562969405</v>
      </c>
      <c r="AP12" s="611">
        <f>'Economist Plan 2'!AO11</f>
        <v>23061.639562969405</v>
      </c>
      <c r="AQ12" s="611">
        <f>'Economist Plan 2'!AP11</f>
        <v>23061.639562969405</v>
      </c>
      <c r="AR12" s="611">
        <f>'Economist Plan 2'!AQ11</f>
        <v>23061.639562969405</v>
      </c>
      <c r="AS12" s="611">
        <f>'Economist Plan 2'!AR11</f>
        <v>23061.639562969405</v>
      </c>
      <c r="AT12" s="611">
        <f>'Economist Plan 2'!AS11</f>
        <v>23061.639562969405</v>
      </c>
      <c r="AU12" s="611">
        <f>'Economist Plan 2'!AT11</f>
        <v>23061.639562969405</v>
      </c>
      <c r="AV12" s="611">
        <f>'Economist Plan 2'!AU11</f>
        <v>23061.639562969405</v>
      </c>
      <c r="AW12" s="611">
        <f>'Economist Plan 2'!AV11</f>
        <v>23061.639562969405</v>
      </c>
      <c r="AX12" s="611">
        <f>'Economist Plan 2'!AW11</f>
        <v>23061.639562969405</v>
      </c>
      <c r="AY12" s="611">
        <f>'Economist Plan 2'!AX11</f>
        <v>23061.639562969405</v>
      </c>
      <c r="AZ12" s="611">
        <f>'Economist Plan 2'!AY11</f>
        <v>23061.639562969405</v>
      </c>
      <c r="BA12" s="611">
        <f>'Economist Plan 2'!AZ11</f>
        <v>23061.639562969405</v>
      </c>
      <c r="BB12" s="611">
        <f>'Economist Plan 2'!BA11</f>
        <v>23061.639562969405</v>
      </c>
      <c r="BC12" s="611">
        <f>'Economist Plan 2'!BB11</f>
        <v>23061.639562969405</v>
      </c>
      <c r="BD12" s="611">
        <f>'Economist Plan 2'!BC11</f>
        <v>23061.639562969405</v>
      </c>
      <c r="BE12" s="611">
        <f>'Economist Plan 2'!BD11</f>
        <v>23061.639562969405</v>
      </c>
      <c r="BF12" s="611">
        <f>'Economist Plan 2'!BE11</f>
        <v>23061.639562969405</v>
      </c>
      <c r="BG12" s="611">
        <f>'Economist Plan 2'!BF11</f>
        <v>23061.639562969405</v>
      </c>
      <c r="BH12" s="611">
        <f>'Economist Plan 2'!BG11</f>
        <v>23061.639562969405</v>
      </c>
      <c r="BI12" s="611">
        <f>'Economist Plan 2'!BH11</f>
        <v>23061.639562969405</v>
      </c>
      <c r="BJ12" s="611">
        <f>'Economist Plan 2'!BI11</f>
        <v>23061.639562969405</v>
      </c>
      <c r="BK12" s="611">
        <f>'Economist Plan 2'!BJ11</f>
        <v>23061.639562969405</v>
      </c>
      <c r="BL12" s="611">
        <f>'Economist Plan 2'!BK11</f>
        <v>23061.639562969405</v>
      </c>
      <c r="BM12" s="611">
        <f>'Economist Plan 2'!BL11</f>
        <v>23061.639562969405</v>
      </c>
      <c r="BN12" s="611">
        <f>'Economist Plan 2'!BM11</f>
        <v>23061.639562969405</v>
      </c>
      <c r="BO12" s="611">
        <f>'Economist Plan 2'!BN11</f>
        <v>23061.639562969405</v>
      </c>
      <c r="BP12" s="611">
        <f>'Economist Plan 2'!BO11</f>
        <v>23061.639562969405</v>
      </c>
      <c r="BQ12" s="611">
        <f>'Economist Plan 2'!BP11</f>
        <v>23061.639562969405</v>
      </c>
      <c r="BR12" s="611">
        <f>'Economist Plan 2'!BQ11</f>
        <v>23061.639562969405</v>
      </c>
      <c r="BS12" s="611">
        <f>'Economist Plan 2'!BR11</f>
        <v>23061.639562969405</v>
      </c>
      <c r="BT12" s="611">
        <f>'Economist Plan 2'!BS11</f>
        <v>0</v>
      </c>
      <c r="BU12" s="611">
        <f>'Economist Plan 2'!BT11</f>
        <v>0</v>
      </c>
      <c r="BV12" s="611">
        <f>'Economist Plan 2'!BU11</f>
        <v>0</v>
      </c>
      <c r="BW12" s="611">
        <f>'Economist Plan 2'!BV11</f>
        <v>0</v>
      </c>
      <c r="BX12" s="611">
        <f>'Economist Plan 2'!BW11</f>
        <v>0</v>
      </c>
      <c r="BY12" s="611">
        <f>'Economist Plan 2'!BX11</f>
        <v>0</v>
      </c>
      <c r="BZ12" s="611">
        <f>'Economist Plan 2'!BY11</f>
        <v>0</v>
      </c>
      <c r="CA12" s="611">
        <f>'Economist Plan 2'!BZ11</f>
        <v>0</v>
      </c>
      <c r="CB12" s="611">
        <f>'Economist Plan 2'!CA11</f>
        <v>0</v>
      </c>
      <c r="CC12" s="611">
        <f>'Economist Plan 2'!CB11</f>
        <v>0</v>
      </c>
    </row>
    <row r="13" spans="1:104" x14ac:dyDescent="0.25">
      <c r="B13" s="609" t="s">
        <v>317</v>
      </c>
      <c r="E13" s="614">
        <f t="shared" ref="E13:BP13" si="8">E12-E10</f>
        <v>4969.2494338746365</v>
      </c>
      <c r="F13" s="614">
        <f t="shared" si="8"/>
        <v>6237.3747647210821</v>
      </c>
      <c r="G13" s="614">
        <f t="shared" si="8"/>
        <v>5954.1972706728448</v>
      </c>
      <c r="H13" s="614">
        <f t="shared" si="8"/>
        <v>5667.5384118193779</v>
      </c>
      <c r="I13" s="614">
        <f t="shared" si="8"/>
        <v>5377.4297612863229</v>
      </c>
      <c r="J13" s="614">
        <f t="shared" si="8"/>
        <v>6322.1429481773666</v>
      </c>
      <c r="K13" s="614">
        <f t="shared" si="8"/>
        <v>6025.2481814058738</v>
      </c>
      <c r="L13" s="614">
        <f t="shared" si="8"/>
        <v>5725.0270690537764</v>
      </c>
      <c r="M13" s="614">
        <f t="shared" si="8"/>
        <v>5421.5311621972796</v>
      </c>
      <c r="N13" s="614">
        <f t="shared" si="8"/>
        <v>5114.8176521481473</v>
      </c>
      <c r="O13" s="614">
        <f t="shared" si="8"/>
        <v>4804.9496500747409</v>
      </c>
      <c r="P13" s="614">
        <f t="shared" si="8"/>
        <v>4491.9964779802176</v>
      </c>
      <c r="Q13" s="614">
        <f t="shared" si="8"/>
        <v>4010.5088448403003</v>
      </c>
      <c r="R13" s="614">
        <f t="shared" si="8"/>
        <v>3516.6596092071959</v>
      </c>
      <c r="S13" s="614">
        <f t="shared" si="8"/>
        <v>3010.1352480688001</v>
      </c>
      <c r="T13" s="614">
        <f t="shared" si="8"/>
        <v>2490.6144083129657</v>
      </c>
      <c r="U13" s="614">
        <f t="shared" si="8"/>
        <v>1957.7677150708187</v>
      </c>
      <c r="V13" s="614">
        <f t="shared" si="8"/>
        <v>1411.257575495747</v>
      </c>
      <c r="W13" s="614">
        <f t="shared" si="8"/>
        <v>850.73797787334843</v>
      </c>
      <c r="X13" s="614">
        <f t="shared" si="8"/>
        <v>275.85428595580379</v>
      </c>
      <c r="Y13" s="614">
        <f t="shared" si="8"/>
        <v>-313.75697158855473</v>
      </c>
      <c r="Z13" s="614">
        <f t="shared" si="8"/>
        <v>-918.468316721679</v>
      </c>
      <c r="AA13" s="614">
        <f t="shared" si="8"/>
        <v>-1538.6615426922071</v>
      </c>
      <c r="AB13" s="614">
        <f t="shared" si="8"/>
        <v>-2174.7279399177751</v>
      </c>
      <c r="AC13" s="614">
        <f t="shared" si="8"/>
        <v>-2827.0685272121227</v>
      </c>
      <c r="AD13" s="614">
        <f t="shared" si="8"/>
        <v>-3496.094288478027</v>
      </c>
      <c r="AE13" s="614">
        <f t="shared" si="8"/>
        <v>-4182.2264149898401</v>
      </c>
      <c r="AF13" s="614">
        <f t="shared" si="8"/>
        <v>-4885.89655339198</v>
      </c>
      <c r="AG13" s="614">
        <f t="shared" si="8"/>
        <v>-5607.5470595424558</v>
      </c>
      <c r="AH13" s="614">
        <f t="shared" si="8"/>
        <v>-6347.6312583329855</v>
      </c>
      <c r="AI13" s="614">
        <f t="shared" si="8"/>
        <v>-7106.6137096204511</v>
      </c>
      <c r="AJ13" s="614">
        <f t="shared" si="8"/>
        <v>-7884.9704804066896</v>
      </c>
      <c r="AK13" s="614">
        <f t="shared" si="8"/>
        <v>-8683.189423407086</v>
      </c>
      <c r="AL13" s="614">
        <f t="shared" si="8"/>
        <v>-9501.7704621507692</v>
      </c>
      <c r="AM13" s="614">
        <f t="shared" si="8"/>
        <v>-10341.225882758667</v>
      </c>
      <c r="AN13" s="614">
        <f t="shared" si="8"/>
        <v>-11202.080632548303</v>
      </c>
      <c r="AO13" s="614">
        <f t="shared" si="8"/>
        <v>-12084.872625617663</v>
      </c>
      <c r="AP13" s="614">
        <f t="shared" si="8"/>
        <v>-13086.548222992384</v>
      </c>
      <c r="AQ13" s="614">
        <f t="shared" si="8"/>
        <v>-14116.771574892296</v>
      </c>
      <c r="AR13" s="614">
        <f t="shared" si="8"/>
        <v>-15176.356292321358</v>
      </c>
      <c r="AS13" s="614">
        <f t="shared" si="8"/>
        <v>-16266.139174197142</v>
      </c>
      <c r="AT13" s="614">
        <f t="shared" si="8"/>
        <v>-17386.980868206392</v>
      </c>
      <c r="AU13" s="614">
        <f t="shared" si="8"/>
        <v>-18539.766550494907</v>
      </c>
      <c r="AV13" s="614">
        <f t="shared" si="8"/>
        <v>-19725.406624728628</v>
      </c>
      <c r="AW13" s="614">
        <f t="shared" si="8"/>
        <v>-20944.837441078027</v>
      </c>
      <c r="AX13" s="614">
        <f t="shared" si="8"/>
        <v>-22199.022035693375</v>
      </c>
      <c r="AY13" s="614">
        <f t="shared" si="8"/>
        <v>-23488.950891255266</v>
      </c>
      <c r="AZ13" s="614">
        <f t="shared" si="8"/>
        <v>-24815.642719200663</v>
      </c>
      <c r="BA13" s="614">
        <f t="shared" si="8"/>
        <v>-26180.14526424251</v>
      </c>
      <c r="BB13" s="614">
        <f t="shared" si="8"/>
        <v>-27583.536131818048</v>
      </c>
      <c r="BC13" s="614">
        <f t="shared" si="8"/>
        <v>-29026.92363911949</v>
      </c>
      <c r="BD13" s="614">
        <f t="shared" si="8"/>
        <v>-30511.447690379031</v>
      </c>
      <c r="BE13" s="614">
        <f t="shared" si="8"/>
        <v>-32038.280677099461</v>
      </c>
      <c r="BF13" s="614">
        <f t="shared" si="8"/>
        <v>-33608.628403941402</v>
      </c>
      <c r="BG13" s="614">
        <f t="shared" si="8"/>
        <v>-35223.731040998362</v>
      </c>
      <c r="BH13" s="614">
        <f t="shared" si="8"/>
        <v>-36884.864103211439</v>
      </c>
      <c r="BI13" s="614">
        <f t="shared" si="8"/>
        <v>-38593.339457697599</v>
      </c>
      <c r="BJ13" s="614">
        <f t="shared" si="8"/>
        <v>-38593.339457697599</v>
      </c>
      <c r="BK13" s="614">
        <f t="shared" si="8"/>
        <v>-40350.506359786596</v>
      </c>
      <c r="BL13" s="614">
        <f t="shared" si="8"/>
        <v>-42157.752518585141</v>
      </c>
      <c r="BM13" s="614">
        <f t="shared" si="8"/>
        <v>-44016.505192909448</v>
      </c>
      <c r="BN13" s="614">
        <f t="shared" si="8"/>
        <v>-45928.232318451992</v>
      </c>
      <c r="BO13" s="614">
        <f t="shared" si="8"/>
        <v>-47894.443667072497</v>
      </c>
      <c r="BP13" s="614">
        <f t="shared" si="8"/>
        <v>-49916.692039128684</v>
      </c>
      <c r="BQ13" s="614">
        <f t="shared" ref="BQ13:CC13" si="9">BQ12-BQ10</f>
        <v>-51996.574489788472</v>
      </c>
      <c r="BR13" s="614">
        <f t="shared" si="9"/>
        <v>-54135.733590292075</v>
      </c>
      <c r="BS13" s="614">
        <f t="shared" si="9"/>
        <v>-56335.858725160026</v>
      </c>
      <c r="BT13" s="614">
        <f t="shared" si="9"/>
        <v>-81660.326989341105</v>
      </c>
      <c r="BU13" s="614">
        <f t="shared" si="9"/>
        <v>-83987.64630853734</v>
      </c>
      <c r="BV13" s="614">
        <f t="shared" si="9"/>
        <v>-86381.294228330662</v>
      </c>
      <c r="BW13" s="614">
        <f t="shared" si="9"/>
        <v>-88843.161113838069</v>
      </c>
      <c r="BX13" s="614">
        <f t="shared" si="9"/>
        <v>-91375.191205582465</v>
      </c>
      <c r="BY13" s="614">
        <f t="shared" si="9"/>
        <v>-93979.384154941537</v>
      </c>
      <c r="BZ13" s="614">
        <f t="shared" si="9"/>
        <v>-96657.79660335739</v>
      </c>
      <c r="CA13" s="614">
        <f t="shared" si="9"/>
        <v>-99412.543806553062</v>
      </c>
      <c r="CB13" s="614">
        <f t="shared" si="9"/>
        <v>-102245.80130503984</v>
      </c>
      <c r="CC13" s="614">
        <f t="shared" si="9"/>
        <v>-105159.80664223345</v>
      </c>
    </row>
    <row r="14" spans="1:104" s="757" customFormat="1" x14ac:dyDescent="0.25">
      <c r="B14" s="757" t="s">
        <v>529</v>
      </c>
      <c r="E14" s="758">
        <f>VLOOKUP(E4,'Dynamic Population'!$A$14:$AA$97,12)*'Underlying Assumptions'!$E$9/1000000</f>
        <v>15869.206863725241</v>
      </c>
      <c r="F14" s="758">
        <f>VLOOKUP(F4,'Dynamic Population'!$A$14:$AA$97,12)*'Underlying Assumptions'!$E$9/1000000</f>
        <v>16155.865722578708</v>
      </c>
      <c r="G14" s="758">
        <f>VLOOKUP(G4,'Dynamic Population'!$A$14:$AA$97,12)*'Underlying Assumptions'!$E$9/1000000</f>
        <v>16445.974373111763</v>
      </c>
      <c r="H14" s="758">
        <f>VLOOKUP(H4,'Dynamic Population'!$A$14:$AA$97,12)*'Underlying Assumptions'!$E$9/1000000</f>
        <v>16739.496614792039</v>
      </c>
      <c r="I14" s="758">
        <f>VLOOKUP(I4,'Dynamic Population'!$A$14:$AA$97,12)*'Underlying Assumptions'!$E$9/1000000</f>
        <v>17036.391381563531</v>
      </c>
      <c r="J14" s="758">
        <f>VLOOKUP(J4,'Dynamic Population'!$A$14:$AA$97,12)*'Underlying Assumptions'!$E$9/1000000</f>
        <v>17336.612493915629</v>
      </c>
      <c r="K14" s="758">
        <f>VLOOKUP(K4,'Dynamic Population'!$A$14:$AA$97,12)*'Underlying Assumptions'!$E$9/1000000</f>
        <v>17640.108400772126</v>
      </c>
      <c r="L14" s="758">
        <f>VLOOKUP(L4,'Dynamic Population'!$A$14:$AA$97,12)*'Underlying Assumptions'!$E$9/1000000</f>
        <v>17946.821910821258</v>
      </c>
      <c r="M14" s="758">
        <f>VLOOKUP(M4,'Dynamic Population'!$A$14:$AA$97,12)*'Underlying Assumptions'!$E$9/1000000</f>
        <v>18256.689912894664</v>
      </c>
      <c r="N14" s="758">
        <f>VLOOKUP(N4,'Dynamic Population'!$A$14:$AA$97,12)*'Underlying Assumptions'!$E$9/1000000</f>
        <v>18569.643084989188</v>
      </c>
      <c r="O14" s="758">
        <f>VLOOKUP(O4,'Dynamic Population'!$A$14:$AA$97,12)*'Underlying Assumptions'!$E$9/1000000</f>
        <v>19051.130718129105</v>
      </c>
      <c r="P14" s="758">
        <f>VLOOKUP(P4,'Dynamic Population'!$A$14:$AA$97,12)*'Underlying Assumptions'!$E$9/1000000</f>
        <v>19544.979953762209</v>
      </c>
      <c r="Q14" s="758">
        <f>VLOOKUP(Q4,'Dynamic Population'!$A$14:$AA$97,12)*'Underlying Assumptions'!$E$9/1000000</f>
        <v>20051.504314900605</v>
      </c>
      <c r="R14" s="758">
        <f>VLOOKUP(R4,'Dynamic Population'!$A$14:$AA$97,12)*'Underlying Assumptions'!$E$9/1000000</f>
        <v>20571.02515465644</v>
      </c>
      <c r="S14" s="758">
        <f>VLOOKUP(S4,'Dynamic Population'!$A$14:$AA$97,12)*'Underlying Assumptions'!$E$9/1000000</f>
        <v>21103.871847898587</v>
      </c>
      <c r="T14" s="758">
        <f>VLOOKUP(T4,'Dynamic Population'!$A$14:$AA$97,12)*'Underlying Assumptions'!$E$9/1000000</f>
        <v>21650.381987473658</v>
      </c>
      <c r="U14" s="758">
        <f>VLOOKUP(U4,'Dynamic Population'!$A$14:$AA$97,12)*'Underlying Assumptions'!$E$9/1000000</f>
        <v>22210.901585096057</v>
      </c>
      <c r="V14" s="758">
        <f>VLOOKUP(V4,'Dynamic Population'!$A$14:$AA$97,12)*'Underlying Assumptions'!$E$9/1000000</f>
        <v>22785.785277013609</v>
      </c>
      <c r="W14" s="758">
        <f>VLOOKUP(W4,'Dynamic Population'!$A$14:$AA$97,12)*'Underlying Assumptions'!$E$9/1000000</f>
        <v>23375.39653455796</v>
      </c>
      <c r="X14" s="758">
        <f>VLOOKUP(X4,'Dynamic Population'!$A$14:$AA$97,12)*'Underlying Assumptions'!$E$9/1000000</f>
        <v>23980.107879691084</v>
      </c>
      <c r="Y14" s="758">
        <f>VLOOKUP(Y4,'Dynamic Population'!$A$14:$AA$97,12)*'Underlying Assumptions'!$E$9/1000000</f>
        <v>24600.301105661612</v>
      </c>
      <c r="Z14" s="758">
        <f>VLOOKUP(Z4,'Dynamic Population'!$A$14:$AA$97,12)*'Underlying Assumptions'!$E$9/1000000</f>
        <v>25236.36750288718</v>
      </c>
      <c r="AA14" s="758">
        <f>VLOOKUP(AA4,'Dynamic Population'!$A$14:$AA$97,12)*'Underlying Assumptions'!$E$9/1000000</f>
        <v>25888.708090181528</v>
      </c>
      <c r="AB14" s="758">
        <f>VLOOKUP(AB4,'Dynamic Population'!$A$14:$AA$97,12)*'Underlying Assumptions'!$E$9/1000000</f>
        <v>26557.733851447432</v>
      </c>
      <c r="AC14" s="758">
        <f>VLOOKUP(AC4,'Dynamic Population'!$A$14:$AA$97,12)*'Underlying Assumptions'!$E$9/1000000</f>
        <v>27243.865977959245</v>
      </c>
      <c r="AD14" s="758">
        <f>VLOOKUP(AD4,'Dynamic Population'!$A$14:$AA$97,12)*'Underlying Assumptions'!$E$9/1000000</f>
        <v>27947.536116361385</v>
      </c>
      <c r="AE14" s="758">
        <f>VLOOKUP(AE4,'Dynamic Population'!$A$14:$AA$97,12)*'Underlying Assumptions'!$E$9/1000000</f>
        <v>28669.186622511861</v>
      </c>
      <c r="AF14" s="758">
        <f>VLOOKUP(AF4,'Dynamic Population'!$A$14:$AA$97,12)*'Underlying Assumptions'!$E$9/1000000</f>
        <v>29409.270821302391</v>
      </c>
      <c r="AG14" s="758">
        <f>VLOOKUP(AG4,'Dynamic Population'!$A$14:$AA$97,12)*'Underlying Assumptions'!$E$9/1000000</f>
        <v>30168.253272589856</v>
      </c>
      <c r="AH14" s="758">
        <f>VLOOKUP(AH4,'Dynamic Population'!$A$14:$AA$97,12)*'Underlying Assumptions'!$E$9/1000000</f>
        <v>30946.610043376095</v>
      </c>
      <c r="AI14" s="758">
        <f>VLOOKUP(AI4,'Dynamic Population'!$A$14:$AA$97,12)*'Underlying Assumptions'!$E$9/1000000</f>
        <v>31744.828986376491</v>
      </c>
      <c r="AJ14" s="758">
        <f>VLOOKUP(AJ4,'Dynamic Population'!$A$14:$AA$97,12)*'Underlying Assumptions'!$E$9/1000000</f>
        <v>32563.410025120171</v>
      </c>
      <c r="AK14" s="758">
        <f>VLOOKUP(AK4,'Dynamic Population'!$A$14:$AA$97,12)*'Underlying Assumptions'!$E$9/1000000</f>
        <v>33402.865445728072</v>
      </c>
      <c r="AL14" s="758">
        <f>VLOOKUP(AL4,'Dynamic Population'!$A$14:$AA$97,12)*'Underlying Assumptions'!$E$9/1000000</f>
        <v>34263.720195517708</v>
      </c>
      <c r="AM14" s="758">
        <f>VLOOKUP(AM4,'Dynamic Population'!$A$14:$AA$97,12)*'Underlying Assumptions'!$E$9/1000000</f>
        <v>35146.512188587069</v>
      </c>
      <c r="AN14" s="758">
        <f>VLOOKUP(AN4,'Dynamic Population'!$A$14:$AA$97,12)*'Underlying Assumptions'!$E$9/1000000</f>
        <v>36148.187785961789</v>
      </c>
      <c r="AO14" s="758">
        <f>VLOOKUP(AO4,'Dynamic Population'!$A$14:$AA$97,12)*'Underlying Assumptions'!$E$9/1000000</f>
        <v>37178.411137861702</v>
      </c>
      <c r="AP14" s="758">
        <f>VLOOKUP(AP4,'Dynamic Population'!$A$14:$AA$97,12)*'Underlying Assumptions'!$E$9/1000000</f>
        <v>38237.995855290763</v>
      </c>
      <c r="AQ14" s="758">
        <f>VLOOKUP(AQ4,'Dynamic Population'!$A$14:$AA$97,12)*'Underlying Assumptions'!$E$9/1000000</f>
        <v>39327.778737166547</v>
      </c>
      <c r="AR14" s="758">
        <f>VLOOKUP(AR4,'Dynamic Population'!$A$14:$AA$97,12)*'Underlying Assumptions'!$E$9/1000000</f>
        <v>40448.620431175797</v>
      </c>
      <c r="AS14" s="758">
        <f>VLOOKUP(AS4,'Dynamic Population'!$A$14:$AA$97,12)*'Underlying Assumptions'!$E$9/1000000</f>
        <v>41601.406113464313</v>
      </c>
      <c r="AT14" s="758">
        <f>VLOOKUP(AT4,'Dynamic Population'!$A$14:$AA$97,12)*'Underlying Assumptions'!$E$9/1000000</f>
        <v>42787.046187698033</v>
      </c>
      <c r="AU14" s="758">
        <f>VLOOKUP(AU4,'Dynamic Population'!$A$14:$AA$97,12)*'Underlying Assumptions'!$E$9/1000000</f>
        <v>44006.477004047432</v>
      </c>
      <c r="AV14" s="758">
        <f>VLOOKUP(AV4,'Dynamic Population'!$A$14:$AA$97,12)*'Underlying Assumptions'!$E$9/1000000</f>
        <v>45260.66159866278</v>
      </c>
      <c r="AW14" s="758">
        <f>VLOOKUP(AW4,'Dynamic Population'!$A$14:$AA$97,12)*'Underlying Assumptions'!$E$9/1000000</f>
        <v>46550.590454224672</v>
      </c>
      <c r="AX14" s="758">
        <f>VLOOKUP(AX4,'Dynamic Population'!$A$14:$AA$97,12)*'Underlying Assumptions'!$E$9/1000000</f>
        <v>47877.282282170068</v>
      </c>
      <c r="AY14" s="758">
        <f>VLOOKUP(AY4,'Dynamic Population'!$A$14:$AA$97,12)*'Underlying Assumptions'!$E$9/1000000</f>
        <v>49241.784827211923</v>
      </c>
      <c r="AZ14" s="758">
        <f>VLOOKUP(AZ4,'Dynamic Population'!$A$14:$AA$97,12)*'Underlying Assumptions'!$E$9/1000000</f>
        <v>50645.175694787446</v>
      </c>
      <c r="BA14" s="758">
        <f>VLOOKUP(BA4,'Dynamic Population'!$A$14:$AA$97,12)*'Underlying Assumptions'!$E$9/1000000</f>
        <v>52088.563202088895</v>
      </c>
      <c r="BB14" s="758">
        <f>VLOOKUP(BB4,'Dynamic Population'!$A$14:$AA$97,12)*'Underlying Assumptions'!$E$9/1000000</f>
        <v>53573.087253348436</v>
      </c>
      <c r="BC14" s="758">
        <f>VLOOKUP(BC4,'Dynamic Population'!$A$14:$AA$97,12)*'Underlying Assumptions'!$E$9/1000000</f>
        <v>55099.920240068866</v>
      </c>
      <c r="BD14" s="758">
        <f>VLOOKUP(BD4,'Dynamic Population'!$A$14:$AA$97,12)*'Underlying Assumptions'!$E$9/1000000</f>
        <v>56670.267966910811</v>
      </c>
      <c r="BE14" s="758">
        <f>VLOOKUP(BE4,'Dynamic Population'!$A$14:$AA$97,12)*'Underlying Assumptions'!$E$9/1000000</f>
        <v>58285.370603967764</v>
      </c>
      <c r="BF14" s="758">
        <f>VLOOKUP(BF4,'Dynamic Population'!$A$14:$AA$97,12)*'Underlying Assumptions'!$E$9/1000000</f>
        <v>59946.503666180848</v>
      </c>
      <c r="BG14" s="758">
        <f>VLOOKUP(BG4,'Dynamic Population'!$A$14:$AA$97,12)*'Underlying Assumptions'!$E$9/1000000</f>
        <v>61654.979020667</v>
      </c>
      <c r="BH14" s="758">
        <f>VLOOKUP(BH4,'Dynamic Population'!$A$14:$AA$97,12)*'Underlying Assumptions'!$E$9/1000000</f>
        <v>63412.145922756004</v>
      </c>
      <c r="BI14" s="758">
        <f>VLOOKUP(BI4,'Dynamic Population'!$A$14:$AA$97,12)*'Underlying Assumptions'!$E$9/1000000</f>
        <v>65219.39208155455</v>
      </c>
      <c r="BJ14" s="758">
        <f>VLOOKUP(BJ4,'Dynamic Population'!$A$14:$AA$97,12)*'Underlying Assumptions'!$E$9/1000000</f>
        <v>67078.14475587885</v>
      </c>
      <c r="BK14" s="758">
        <f>VLOOKUP(BK4,'Dynamic Population'!$A$14:$AA$97,12)*'Underlying Assumptions'!$E$9/1000000</f>
        <v>68989.871881421393</v>
      </c>
      <c r="BL14" s="758">
        <f>VLOOKUP(BL4,'Dynamic Population'!$A$14:$AA$97,12)*'Underlying Assumptions'!$E$9/1000000</f>
        <v>70956.083230041899</v>
      </c>
      <c r="BM14" s="758">
        <f>VLOOKUP(BM4,'Dynamic Population'!$A$14:$AA$97,12)*'Underlying Assumptions'!$E$9/1000000</f>
        <v>72978.331602098086</v>
      </c>
      <c r="BN14" s="758">
        <f>VLOOKUP(BN4,'Dynamic Population'!$A$14:$AA$97,12)*'Underlying Assumptions'!$E$9/1000000</f>
        <v>75058.214052757874</v>
      </c>
      <c r="BO14" s="758">
        <f>VLOOKUP(BO4,'Dynamic Population'!$A$14:$AA$97,12)*'Underlying Assumptions'!$E$9/1000000</f>
        <v>77197.373153261477</v>
      </c>
      <c r="BP14" s="758">
        <f>VLOOKUP(BP4,'Dynamic Population'!$A$14:$AA$97,12)*'Underlying Assumptions'!$E$9/1000000</f>
        <v>79397.498288129427</v>
      </c>
      <c r="BQ14" s="758">
        <f>VLOOKUP(BQ4,'Dynamic Population'!$A$14:$AA$97,12)*'Underlying Assumptions'!$E$9/1000000</f>
        <v>81660.326989341105</v>
      </c>
      <c r="BR14" s="758">
        <f>VLOOKUP(BR4,'Dynamic Population'!$A$14:$AA$97,12)*'Underlying Assumptions'!$E$9/1000000</f>
        <v>83987.64630853734</v>
      </c>
      <c r="BS14" s="758">
        <f>VLOOKUP(BS4,'Dynamic Population'!$A$14:$AA$97,12)*'Underlying Assumptions'!$E$9/1000000</f>
        <v>86381.294228330662</v>
      </c>
      <c r="BT14" s="758">
        <f>VLOOKUP(BT4,'Dynamic Population'!$A$14:$AA$97,12)*'Underlying Assumptions'!$E$9/1000000</f>
        <v>88843.161113838069</v>
      </c>
      <c r="BU14" s="758">
        <f>VLOOKUP(BU4,'Dynamic Population'!$A$14:$AA$97,12)*'Underlying Assumptions'!$E$9/1000000</f>
        <v>91375.191205582465</v>
      </c>
      <c r="BV14" s="758">
        <f>VLOOKUP(BV4,'Dynamic Population'!$A$14:$AA$97,12)*'Underlying Assumptions'!$E$9/1000000</f>
        <v>93979.384154941537</v>
      </c>
      <c r="BW14" s="758">
        <f>VLOOKUP(BW4,'Dynamic Population'!$A$14:$AA$97,12)*'Underlying Assumptions'!$E$9/1000000</f>
        <v>96657.79660335739</v>
      </c>
      <c r="BX14" s="758">
        <f>VLOOKUP(BX4,'Dynamic Population'!$A$14:$AA$97,12)*'Underlying Assumptions'!$E$9/1000000</f>
        <v>99412.543806553076</v>
      </c>
      <c r="BY14" s="758">
        <f>VLOOKUP(BY4,'Dynamic Population'!$A$14:$AA$97,12)*'Underlying Assumptions'!$E$9/1000000</f>
        <v>102245.80130503984</v>
      </c>
      <c r="BZ14" s="758">
        <f>VLOOKUP(BZ4,'Dynamic Population'!$A$14:$AA$97,12)*'Underlying Assumptions'!$E$9/1000000</f>
        <v>105159.80664223345</v>
      </c>
      <c r="CA14" s="758">
        <f>VLOOKUP(CA4,'Dynamic Population'!$A$14:$AA$97,12)*'Underlying Assumptions'!$E$9/1000000</f>
        <v>108156.86113153711</v>
      </c>
      <c r="CB14" s="758">
        <f>VLOOKUP(CB4,'Dynamic Population'!$A$14:$AA$97,12)*'Underlying Assumptions'!$E$9/1000000</f>
        <v>111239.3316737859</v>
      </c>
      <c r="CC14" s="758">
        <f>VLOOKUP(CC4,'Dynamic Population'!$A$14:$AA$97,12)*'Underlying Assumptions'!$E$9/1000000</f>
        <v>111239.3316737859</v>
      </c>
      <c r="CD14" s="758">
        <f>VLOOKUP(CD4,'Dynamic Population'!$A$14:$AA$97,12)*'Underlying Assumptions'!$E$9/1000000</f>
        <v>111239.3316737859</v>
      </c>
      <c r="CE14" s="758">
        <f>VLOOKUP(CE4,'Dynamic Population'!$A$14:$AA$97,12)*'Underlying Assumptions'!$E$9/1000000</f>
        <v>111239.3316737859</v>
      </c>
      <c r="CF14" s="758">
        <f>VLOOKUP(CF4,'Dynamic Population'!$A$14:$AA$97,12)*'Underlying Assumptions'!$E$9/1000000</f>
        <v>111239.3316737859</v>
      </c>
      <c r="CG14" s="758">
        <f>VLOOKUP(CG4,'Dynamic Population'!$A$14:$AA$97,12)*'Underlying Assumptions'!$E$9/1000000</f>
        <v>111239.3316737859</v>
      </c>
      <c r="CH14" s="758">
        <f>VLOOKUP(CH4,'Dynamic Population'!$A$14:$AA$97,12)*'Underlying Assumptions'!$E$9/1000000</f>
        <v>111239.3316737859</v>
      </c>
      <c r="CI14" s="758">
        <f>VLOOKUP(CI4,'Dynamic Population'!$A$14:$AA$97,12)*'Underlying Assumptions'!$E$9/1000000</f>
        <v>111239.3316737859</v>
      </c>
      <c r="CJ14" s="758">
        <f>VLOOKUP(CJ4,'Dynamic Population'!$A$14:$AA$97,12)*'Underlying Assumptions'!$E$9/1000000</f>
        <v>111239.3316737859</v>
      </c>
      <c r="CK14" s="758">
        <f>VLOOKUP(CK4,'Dynamic Population'!$A$14:$AA$97,12)*'Underlying Assumptions'!$E$9/1000000</f>
        <v>111239.3316737859</v>
      </c>
      <c r="CL14" s="758">
        <f>VLOOKUP(CL4,'Dynamic Population'!$A$14:$AA$97,12)*'Underlying Assumptions'!$E$9/1000000</f>
        <v>111239.3316737859</v>
      </c>
      <c r="CM14" s="758">
        <f>VLOOKUP(CM4,'Dynamic Population'!$A$14:$AA$97,12)*'Underlying Assumptions'!$E$9/1000000</f>
        <v>111239.3316737859</v>
      </c>
    </row>
    <row r="15" spans="1:104" s="759" customFormat="1" x14ac:dyDescent="0.25">
      <c r="B15" s="759" t="s">
        <v>320</v>
      </c>
      <c r="E15" s="758">
        <f>VLOOKUP(E$4,'Dynamic Population'!$A$14:$AA$97,19,FALSE)*'Underlying Assumptions'!$E$9/1000000</f>
        <v>20275.609848683933</v>
      </c>
      <c r="F15" s="758">
        <f>VLOOKUP(F$4,'Dynamic Population'!$A$14:$AA$97,19,FALSE)*'Underlying Assumptions'!$E$9/1000000</f>
        <v>21823.404134398086</v>
      </c>
      <c r="G15" s="758">
        <f>VLOOKUP(G$4,'Dynamic Population'!$A$14:$AA$97,19,FALSE)*'Underlying Assumptions'!$E$9/1000000</f>
        <v>21823.404134398086</v>
      </c>
      <c r="H15" s="758">
        <f>VLOOKUP(H$4,'Dynamic Population'!$A$14:$AA$97,19,FALSE)*'Underlying Assumptions'!$E$9/1000000</f>
        <v>21823.404134398086</v>
      </c>
      <c r="I15" s="758">
        <f>VLOOKUP(I$4,'Dynamic Population'!$A$14:$AA$97,19,FALSE)*'Underlying Assumptions'!$E$9/1000000</f>
        <v>21823.404134398086</v>
      </c>
      <c r="J15" s="758">
        <f>VLOOKUP(J$4,'Dynamic Population'!$A$14:$AA$97,19,FALSE)*'Underlying Assumptions'!$E$9/1000000</f>
        <v>23061.639562969405</v>
      </c>
      <c r="K15" s="758">
        <f>VLOOKUP(K$4,'Dynamic Population'!$A$14:$AA$97,19,FALSE)*'Underlying Assumptions'!$E$9/1000000</f>
        <v>23061.639562969405</v>
      </c>
      <c r="L15" s="758">
        <f>VLOOKUP(L$4,'Dynamic Population'!$A$14:$AA$97,19,FALSE)*'Underlying Assumptions'!$E$9/1000000</f>
        <v>23061.639562969405</v>
      </c>
      <c r="M15" s="758">
        <f>VLOOKUP(M$4,'Dynamic Population'!$A$14:$AA$97,19,FALSE)*'Underlying Assumptions'!$E$9/1000000</f>
        <v>23061.639562969405</v>
      </c>
      <c r="N15" s="758">
        <f>VLOOKUP(N$4,'Dynamic Population'!$A$14:$AA$97,19,FALSE)*'Underlying Assumptions'!$E$9/1000000</f>
        <v>23061.639562969405</v>
      </c>
      <c r="O15" s="758">
        <f>VLOOKUP(O$4,'Dynamic Population'!$A$14:$AA$97,19,FALSE)*'Underlying Assumptions'!$E$9/1000000</f>
        <v>23061.639562969405</v>
      </c>
      <c r="P15" s="758">
        <f>VLOOKUP(P$4,'Dynamic Population'!$A$14:$AA$97,19,FALSE)*'Underlying Assumptions'!$E$9/1000000</f>
        <v>23061.639562969405</v>
      </c>
      <c r="Q15" s="758">
        <f>VLOOKUP(Q$4,'Dynamic Population'!$A$14:$AA$97,19,FALSE)*'Underlying Assumptions'!$E$9/1000000</f>
        <v>23061.639562969405</v>
      </c>
      <c r="R15" s="758">
        <f>VLOOKUP(R$4,'Dynamic Population'!$A$14:$AA$97,19,FALSE)*'Underlying Assumptions'!$E$9/1000000</f>
        <v>23061.639562969405</v>
      </c>
      <c r="S15" s="758">
        <f>VLOOKUP(S$4,'Dynamic Population'!$A$14:$AA$97,19,FALSE)*'Underlying Assumptions'!$E$9/1000000</f>
        <v>23061.639562969405</v>
      </c>
      <c r="T15" s="758">
        <f>VLOOKUP(T$4,'Dynamic Population'!$A$14:$AA$97,19,FALSE)*'Underlying Assumptions'!$E$9/1000000</f>
        <v>23061.639562969405</v>
      </c>
      <c r="U15" s="758">
        <f>VLOOKUP(U$4,'Dynamic Population'!$A$14:$AA$97,19,FALSE)*'Underlying Assumptions'!$E$9/1000000</f>
        <v>23061.639562969405</v>
      </c>
      <c r="V15" s="758">
        <f>VLOOKUP(V$4,'Dynamic Population'!$A$14:$AA$97,19,FALSE)*'Underlying Assumptions'!$E$9/1000000</f>
        <v>23061.639562969405</v>
      </c>
      <c r="W15" s="758">
        <f>VLOOKUP(W$4,'Dynamic Population'!$A$14:$AA$97,19,FALSE)*'Underlying Assumptions'!$E$9/1000000</f>
        <v>23061.639562969405</v>
      </c>
      <c r="X15" s="758">
        <f>VLOOKUP(X$4,'Dynamic Population'!$A$14:$AA$97,19,FALSE)*'Underlying Assumptions'!$E$9/1000000</f>
        <v>23061.639562969405</v>
      </c>
      <c r="Y15" s="758">
        <f>VLOOKUP(Y$4,'Dynamic Population'!$A$14:$AA$97,19,FALSE)*'Underlying Assumptions'!$E$9/1000000</f>
        <v>23061.639562969405</v>
      </c>
      <c r="Z15" s="758">
        <f>VLOOKUP(Z$4,'Dynamic Population'!$A$14:$AA$97,19,FALSE)*'Underlying Assumptions'!$E$9/1000000</f>
        <v>23061.639562969405</v>
      </c>
      <c r="AA15" s="758">
        <f>VLOOKUP(AA$4,'Dynamic Population'!$A$14:$AA$97,19,FALSE)*'Underlying Assumptions'!$E$9/1000000</f>
        <v>23061.639562969405</v>
      </c>
      <c r="AB15" s="758">
        <f>VLOOKUP(AB$4,'Dynamic Population'!$A$14:$AA$97,19,FALSE)*'Underlying Assumptions'!$E$9/1000000</f>
        <v>23061.639562969405</v>
      </c>
      <c r="AC15" s="758">
        <f>VLOOKUP(AC$4,'Dynamic Population'!$A$14:$AA$97,19,FALSE)*'Underlying Assumptions'!$E$9/1000000</f>
        <v>23061.639562969405</v>
      </c>
      <c r="AD15" s="758">
        <f>VLOOKUP(AD$4,'Dynamic Population'!$A$14:$AA$97,19,FALSE)*'Underlying Assumptions'!$E$9/1000000</f>
        <v>23061.639562969405</v>
      </c>
      <c r="AE15" s="758">
        <f>VLOOKUP(AE$4,'Dynamic Population'!$A$14:$AA$97,19,FALSE)*'Underlying Assumptions'!$E$9/1000000</f>
        <v>23061.639562969405</v>
      </c>
      <c r="AF15" s="758">
        <f>VLOOKUP(AF$4,'Dynamic Population'!$A$14:$AA$97,19,FALSE)*'Underlying Assumptions'!$E$9/1000000</f>
        <v>23061.639562969405</v>
      </c>
      <c r="AG15" s="758">
        <f>VLOOKUP(AG$4,'Dynamic Population'!$A$14:$AA$97,19,FALSE)*'Underlying Assumptions'!$E$9/1000000</f>
        <v>23061.639562969405</v>
      </c>
      <c r="AH15" s="758">
        <f>VLOOKUP(AH$4,'Dynamic Population'!$A$14:$AA$97,19,FALSE)*'Underlying Assumptions'!$E$9/1000000</f>
        <v>23061.639562969405</v>
      </c>
      <c r="AI15" s="758">
        <f>VLOOKUP(AI$4,'Dynamic Population'!$A$14:$AA$97,19,FALSE)*'Underlying Assumptions'!$E$9/1000000</f>
        <v>23061.639562969405</v>
      </c>
      <c r="AJ15" s="758">
        <f>VLOOKUP(AJ$4,'Dynamic Population'!$A$14:$AA$97,19,FALSE)*'Underlying Assumptions'!$E$9/1000000</f>
        <v>23061.639562969405</v>
      </c>
      <c r="AK15" s="758">
        <f>VLOOKUP(AK$4,'Dynamic Population'!$A$14:$AA$97,19,FALSE)*'Underlying Assumptions'!$E$9/1000000</f>
        <v>23061.639562969405</v>
      </c>
      <c r="AL15" s="758">
        <f>VLOOKUP(AL$4,'Dynamic Population'!$A$14:$AA$97,19,FALSE)*'Underlying Assumptions'!$E$9/1000000</f>
        <v>23061.639562969405</v>
      </c>
      <c r="AM15" s="758">
        <f>VLOOKUP(AM$4,'Dynamic Population'!$A$14:$AA$97,19,FALSE)*'Underlying Assumptions'!$E$9/1000000</f>
        <v>23061.639562969405</v>
      </c>
      <c r="AN15" s="758">
        <f>VLOOKUP(AN$4,'Dynamic Population'!$A$14:$AA$97,19,FALSE)*'Underlying Assumptions'!$E$9/1000000</f>
        <v>23061.639562969405</v>
      </c>
      <c r="AO15" s="758">
        <f>VLOOKUP(AO$4,'Dynamic Population'!$A$14:$AA$97,19,FALSE)*'Underlying Assumptions'!$E$9/1000000</f>
        <v>23061.639562969405</v>
      </c>
      <c r="AP15" s="758">
        <f>VLOOKUP(AP$4,'Dynamic Population'!$A$14:$AA$97,19,FALSE)*'Underlying Assumptions'!$E$9/1000000</f>
        <v>23061.639562969405</v>
      </c>
      <c r="AQ15" s="758">
        <f>VLOOKUP(AQ$4,'Dynamic Population'!$A$14:$AA$97,19,FALSE)*'Underlying Assumptions'!$E$9/1000000</f>
        <v>23061.639562969405</v>
      </c>
      <c r="AR15" s="758">
        <f>VLOOKUP(AR$4,'Dynamic Population'!$A$14:$AA$97,19,FALSE)*'Underlying Assumptions'!$E$9/1000000</f>
        <v>23061.639562969405</v>
      </c>
      <c r="AS15" s="758">
        <f>VLOOKUP(AS$4,'Dynamic Population'!$A$14:$AA$97,19,FALSE)*'Underlying Assumptions'!$E$9/1000000</f>
        <v>23061.639562969405</v>
      </c>
      <c r="AT15" s="758">
        <f>VLOOKUP(AT$4,'Dynamic Population'!$A$14:$AA$97,19,FALSE)*'Underlying Assumptions'!$E$9/1000000</f>
        <v>23061.639562969405</v>
      </c>
      <c r="AU15" s="758">
        <f>VLOOKUP(AU$4,'Dynamic Population'!$A$14:$AA$97,19,FALSE)*'Underlying Assumptions'!$E$9/1000000</f>
        <v>23061.639562969405</v>
      </c>
      <c r="AV15" s="758">
        <f>VLOOKUP(AV$4,'Dynamic Population'!$A$14:$AA$97,19,FALSE)*'Underlying Assumptions'!$E$9/1000000</f>
        <v>23061.639562969405</v>
      </c>
      <c r="AW15" s="758">
        <f>VLOOKUP(AW$4,'Dynamic Population'!$A$14:$AA$97,19,FALSE)*'Underlying Assumptions'!$E$9/1000000</f>
        <v>23061.639562969405</v>
      </c>
      <c r="AX15" s="758">
        <f>VLOOKUP(AX$4,'Dynamic Population'!$A$14:$AA$97,19,FALSE)*'Underlying Assumptions'!$E$9/1000000</f>
        <v>23061.639562969405</v>
      </c>
      <c r="AY15" s="758">
        <f>VLOOKUP(AY$4,'Dynamic Population'!$A$14:$AA$97,19,FALSE)*'Underlying Assumptions'!$E$9/1000000</f>
        <v>23061.639562969405</v>
      </c>
      <c r="AZ15" s="758">
        <f>VLOOKUP(AZ$4,'Dynamic Population'!$A$14:$AA$97,19,FALSE)*'Underlying Assumptions'!$E$9/1000000</f>
        <v>23061.639562969405</v>
      </c>
      <c r="BA15" s="758">
        <f>VLOOKUP(BA$4,'Dynamic Population'!$A$14:$AA$97,19,FALSE)*'Underlying Assumptions'!$E$9/1000000</f>
        <v>23061.639562969405</v>
      </c>
      <c r="BB15" s="758">
        <f>VLOOKUP(BB$4,'Dynamic Population'!$A$14:$AA$97,19,FALSE)*'Underlying Assumptions'!$E$9/1000000</f>
        <v>23061.639562969405</v>
      </c>
      <c r="BC15" s="758">
        <f>VLOOKUP(BC$4,'Dynamic Population'!$A$14:$AA$97,19,FALSE)*'Underlying Assumptions'!$E$9/1000000</f>
        <v>23061.639562969405</v>
      </c>
      <c r="BD15" s="758">
        <f>VLOOKUP(BD$4,'Dynamic Population'!$A$14:$AA$97,19,FALSE)*'Underlying Assumptions'!$E$9/1000000</f>
        <v>23061.639562969405</v>
      </c>
      <c r="BE15" s="758">
        <f>VLOOKUP(BE$4,'Dynamic Population'!$A$14:$AA$97,19,FALSE)*'Underlying Assumptions'!$E$9/1000000</f>
        <v>23061.639562969405</v>
      </c>
      <c r="BF15" s="758">
        <f>VLOOKUP(BF$4,'Dynamic Population'!$A$14:$AA$97,19,FALSE)*'Underlying Assumptions'!$E$9/1000000</f>
        <v>23061.639562969405</v>
      </c>
      <c r="BG15" s="758">
        <f>VLOOKUP(BG$4,'Dynamic Population'!$A$14:$AA$97,19,FALSE)*'Underlying Assumptions'!$E$9/1000000</f>
        <v>23061.639562969405</v>
      </c>
      <c r="BH15" s="758">
        <f>VLOOKUP(BH$4,'Dynamic Population'!$A$14:$AA$97,19,FALSE)*'Underlying Assumptions'!$E$9/1000000</f>
        <v>23061.639562969405</v>
      </c>
      <c r="BI15" s="758">
        <f>VLOOKUP(BI$4,'Dynamic Population'!$A$14:$AA$97,19,FALSE)*'Underlying Assumptions'!$E$9/1000000</f>
        <v>23061.639562969405</v>
      </c>
      <c r="BJ15" s="758">
        <f>VLOOKUP(BJ$4,'Dynamic Population'!$A$14:$AA$97,19,FALSE)*'Underlying Assumptions'!$E$9/1000000</f>
        <v>23061.639562969405</v>
      </c>
      <c r="BK15" s="758">
        <f>VLOOKUP(BK$4,'Dynamic Population'!$A$14:$AA$97,19,FALSE)*'Underlying Assumptions'!$E$9/1000000</f>
        <v>23061.639562969405</v>
      </c>
      <c r="BL15" s="758">
        <f>VLOOKUP(BL$4,'Dynamic Population'!$A$14:$AA$97,19,FALSE)*'Underlying Assumptions'!$E$9/1000000</f>
        <v>23061.639562969405</v>
      </c>
      <c r="BM15" s="758">
        <f>VLOOKUP(BM$4,'Dynamic Population'!$A$14:$AA$97,19,FALSE)*'Underlying Assumptions'!$E$9/1000000</f>
        <v>23061.639562969405</v>
      </c>
      <c r="BN15" s="758">
        <f>VLOOKUP(BN$4,'Dynamic Population'!$A$14:$AA$97,19,FALSE)*'Underlying Assumptions'!$E$9/1000000</f>
        <v>23061.639562969405</v>
      </c>
      <c r="BO15" s="758">
        <f>VLOOKUP(BO$4,'Dynamic Population'!$A$14:$AA$97,19,FALSE)*'Underlying Assumptions'!$E$9/1000000</f>
        <v>23061.639562969405</v>
      </c>
      <c r="BP15" s="758">
        <f>VLOOKUP(BP$4,'Dynamic Population'!$A$14:$AA$97,19,FALSE)*'Underlying Assumptions'!$E$9/1000000</f>
        <v>23061.639562969405</v>
      </c>
      <c r="BQ15" s="758">
        <f>VLOOKUP(BQ$4,'Dynamic Population'!$A$14:$AA$97,19,FALSE)*'Underlying Assumptions'!$E$9/1000000</f>
        <v>23061.639562969405</v>
      </c>
      <c r="BR15" s="758">
        <f>VLOOKUP(BR$4,'Dynamic Population'!$A$14:$AA$97,19,FALSE)*'Underlying Assumptions'!$E$9/1000000</f>
        <v>23061.639562969405</v>
      </c>
      <c r="BS15" s="758">
        <f>VLOOKUP(BS$4,'Dynamic Population'!$A$14:$AA$97,19,FALSE)*'Underlying Assumptions'!$E$9/1000000</f>
        <v>23061.639562969405</v>
      </c>
      <c r="BT15" s="758">
        <f>VLOOKUP(BT$4,'Dynamic Population'!$A$14:$AA$97,19,FALSE)*'Underlying Assumptions'!$E$9/1000000</f>
        <v>23061.639562969405</v>
      </c>
      <c r="BU15" s="758">
        <f>VLOOKUP(BU$4,'Dynamic Population'!$A$14:$AA$97,19,FALSE)*'Underlying Assumptions'!$E$9/1000000</f>
        <v>23061.639562969405</v>
      </c>
      <c r="BV15" s="758">
        <f>VLOOKUP(BV$4,'Dynamic Population'!$A$14:$AA$97,19,FALSE)*'Underlying Assumptions'!$E$9/1000000</f>
        <v>23061.639562969405</v>
      </c>
      <c r="BW15" s="758">
        <f>VLOOKUP(BW$4,'Dynamic Population'!$A$14:$AA$97,19,FALSE)*'Underlying Assumptions'!$E$9/1000000</f>
        <v>23061.639562969405</v>
      </c>
      <c r="BX15" s="758">
        <f>VLOOKUP(BX$4,'Dynamic Population'!$A$14:$AA$97,19,FALSE)*'Underlying Assumptions'!$E$9/1000000</f>
        <v>23061.639562969405</v>
      </c>
      <c r="BY15" s="758">
        <f>VLOOKUP(BY$4,'Dynamic Population'!$A$14:$AA$97,19,FALSE)*'Underlying Assumptions'!$E$9/1000000</f>
        <v>23061.639562969405</v>
      </c>
      <c r="BZ15" s="758">
        <f>VLOOKUP(BZ$4,'Dynamic Population'!$A$14:$AA$97,19,FALSE)*'Underlying Assumptions'!$E$9/1000000</f>
        <v>23061.639562969405</v>
      </c>
      <c r="CA15" s="758">
        <f>VLOOKUP(CA$4,'Dynamic Population'!$A$14:$AA$97,19,FALSE)*'Underlying Assumptions'!$E$9/1000000</f>
        <v>23061.639562969405</v>
      </c>
      <c r="CB15" s="758">
        <f>VLOOKUP(CB$4,'Dynamic Population'!$A$14:$AA$97,19,FALSE)*'Underlying Assumptions'!$E$9/1000000</f>
        <v>23061.639562969405</v>
      </c>
      <c r="CC15" s="758">
        <f>VLOOKUP(CC$4,'Dynamic Population'!$A$14:$AA$97,19,FALSE)*'Underlying Assumptions'!$E$9/1000000</f>
        <v>23061.639562969405</v>
      </c>
      <c r="CD15" s="758">
        <f>VLOOKUP(CD$4,'Dynamic Population'!$A$14:$AA$97,19,FALSE)*'Underlying Assumptions'!$E$9/1000000</f>
        <v>23061.639562969405</v>
      </c>
      <c r="CE15" s="758" t="e">
        <f>VLOOKUP(CE$4,'Dynamic Population'!$A$14:$AA$97,19,FALSE)*'Underlying Assumptions'!$E$9/1000000</f>
        <v>#N/A</v>
      </c>
      <c r="CF15" s="758" t="e">
        <f>VLOOKUP(CF$4,'Dynamic Population'!$A$14:$AA$97,19,FALSE)*'Underlying Assumptions'!$E$9/1000000</f>
        <v>#N/A</v>
      </c>
      <c r="CG15" s="758" t="e">
        <f>VLOOKUP(CG$4,'Dynamic Population'!$A$14:$AA$97,19,FALSE)*'Underlying Assumptions'!$E$9/1000000</f>
        <v>#N/A</v>
      </c>
      <c r="CH15" s="758" t="e">
        <f>VLOOKUP(CH$4,'Dynamic Population'!$A$14:$AA$97,19,FALSE)*'Underlying Assumptions'!$E$9/1000000</f>
        <v>#N/A</v>
      </c>
      <c r="CI15" s="758" t="e">
        <f>VLOOKUP(CI$4,'Dynamic Population'!$A$14:$AA$97,19,FALSE)*'Underlying Assumptions'!$E$9/1000000</f>
        <v>#N/A</v>
      </c>
      <c r="CJ15" s="758" t="e">
        <f>VLOOKUP(CJ$4,'Dynamic Population'!$A$14:$AA$97,19,FALSE)*'Underlying Assumptions'!$E$9/1000000</f>
        <v>#N/A</v>
      </c>
      <c r="CK15" s="758" t="e">
        <f>VLOOKUP(CK$4,'Dynamic Population'!$A$14:$AA$97,19,FALSE)*'Underlying Assumptions'!$E$9/1000000</f>
        <v>#N/A</v>
      </c>
      <c r="CL15" s="758" t="e">
        <f>VLOOKUP(CL$4,'Dynamic Population'!$A$14:$AA$97,19,FALSE)*'Underlying Assumptions'!$E$9/1000000</f>
        <v>#N/A</v>
      </c>
      <c r="CM15" s="758" t="e">
        <f>VLOOKUP(CM$4,'Dynamic Population'!$A$14:$AA$97,19,FALSE)*'Underlying Assumptions'!$E$9/1000000</f>
        <v>#N/A</v>
      </c>
      <c r="CN15" s="760"/>
      <c r="CO15" s="760"/>
      <c r="CP15" s="760"/>
      <c r="CQ15" s="760"/>
      <c r="CR15" s="760"/>
      <c r="CS15" s="760"/>
      <c r="CT15" s="760"/>
      <c r="CU15" s="760"/>
      <c r="CV15" s="760"/>
      <c r="CW15" s="760"/>
      <c r="CX15" s="760"/>
      <c r="CY15" s="760"/>
      <c r="CZ15" s="760"/>
    </row>
    <row r="16" spans="1:104" x14ac:dyDescent="0.25">
      <c r="B16" s="609" t="s">
        <v>321</v>
      </c>
      <c r="E16" s="614">
        <f>E15-E14</f>
        <v>4406.4029849586914</v>
      </c>
      <c r="F16" s="614">
        <f t="shared" ref="F16:BQ16" si="10">F15-F14</f>
        <v>5667.5384118193779</v>
      </c>
      <c r="G16" s="614">
        <f t="shared" si="10"/>
        <v>5377.4297612863229</v>
      </c>
      <c r="H16" s="614">
        <f t="shared" si="10"/>
        <v>5083.9075196060476</v>
      </c>
      <c r="I16" s="614">
        <f t="shared" si="10"/>
        <v>4787.0127528345547</v>
      </c>
      <c r="J16" s="614">
        <f t="shared" si="10"/>
        <v>5725.0270690537764</v>
      </c>
      <c r="K16" s="614">
        <f t="shared" si="10"/>
        <v>5421.5311621972796</v>
      </c>
      <c r="L16" s="614">
        <f t="shared" si="10"/>
        <v>5114.8176521481473</v>
      </c>
      <c r="M16" s="614">
        <f t="shared" si="10"/>
        <v>4804.9496500747409</v>
      </c>
      <c r="N16" s="614">
        <f t="shared" si="10"/>
        <v>4491.9964779802176</v>
      </c>
      <c r="O16" s="614">
        <f t="shared" si="10"/>
        <v>4010.5088448403003</v>
      </c>
      <c r="P16" s="614">
        <f t="shared" si="10"/>
        <v>3516.6596092071959</v>
      </c>
      <c r="Q16" s="614">
        <f t="shared" si="10"/>
        <v>3010.1352480688001</v>
      </c>
      <c r="R16" s="614">
        <f t="shared" si="10"/>
        <v>2490.6144083129657</v>
      </c>
      <c r="S16" s="614">
        <f t="shared" si="10"/>
        <v>1957.7677150708187</v>
      </c>
      <c r="T16" s="614">
        <f t="shared" si="10"/>
        <v>1411.257575495747</v>
      </c>
      <c r="U16" s="614">
        <f t="shared" si="10"/>
        <v>850.73797787334843</v>
      </c>
      <c r="V16" s="614">
        <f t="shared" si="10"/>
        <v>275.85428595579651</v>
      </c>
      <c r="W16" s="614">
        <f t="shared" si="10"/>
        <v>-313.75697158855473</v>
      </c>
      <c r="X16" s="614">
        <f t="shared" si="10"/>
        <v>-918.468316721679</v>
      </c>
      <c r="Y16" s="614">
        <f t="shared" si="10"/>
        <v>-1538.6615426922071</v>
      </c>
      <c r="Z16" s="614">
        <f t="shared" si="10"/>
        <v>-2174.7279399177751</v>
      </c>
      <c r="AA16" s="614">
        <f t="shared" si="10"/>
        <v>-2827.0685272121227</v>
      </c>
      <c r="AB16" s="614">
        <f t="shared" si="10"/>
        <v>-3496.094288478027</v>
      </c>
      <c r="AC16" s="614">
        <f t="shared" si="10"/>
        <v>-4182.2264149898401</v>
      </c>
      <c r="AD16" s="614">
        <f t="shared" si="10"/>
        <v>-4885.89655339198</v>
      </c>
      <c r="AE16" s="614">
        <f t="shared" si="10"/>
        <v>-5607.5470595424558</v>
      </c>
      <c r="AF16" s="614">
        <f t="shared" si="10"/>
        <v>-6347.6312583329855</v>
      </c>
      <c r="AG16" s="614">
        <f t="shared" si="10"/>
        <v>-7106.6137096204511</v>
      </c>
      <c r="AH16" s="614">
        <f t="shared" si="10"/>
        <v>-7884.9704804066896</v>
      </c>
      <c r="AI16" s="614">
        <f t="shared" si="10"/>
        <v>-8683.189423407086</v>
      </c>
      <c r="AJ16" s="614">
        <f t="shared" si="10"/>
        <v>-9501.7704621507655</v>
      </c>
      <c r="AK16" s="614">
        <f t="shared" si="10"/>
        <v>-10341.225882758667</v>
      </c>
      <c r="AL16" s="614">
        <f t="shared" si="10"/>
        <v>-11202.080632548303</v>
      </c>
      <c r="AM16" s="614">
        <f t="shared" si="10"/>
        <v>-12084.872625617663</v>
      </c>
      <c r="AN16" s="614">
        <f t="shared" si="10"/>
        <v>-13086.548222992384</v>
      </c>
      <c r="AO16" s="614">
        <f t="shared" si="10"/>
        <v>-14116.771574892296</v>
      </c>
      <c r="AP16" s="614">
        <f t="shared" si="10"/>
        <v>-15176.356292321358</v>
      </c>
      <c r="AQ16" s="614">
        <f t="shared" si="10"/>
        <v>-16266.139174197142</v>
      </c>
      <c r="AR16" s="614">
        <f t="shared" si="10"/>
        <v>-17386.980868206392</v>
      </c>
      <c r="AS16" s="614">
        <f t="shared" si="10"/>
        <v>-18539.766550494907</v>
      </c>
      <c r="AT16" s="614">
        <f t="shared" si="10"/>
        <v>-19725.406624728628</v>
      </c>
      <c r="AU16" s="614">
        <f t="shared" si="10"/>
        <v>-20944.837441078027</v>
      </c>
      <c r="AV16" s="614">
        <f t="shared" si="10"/>
        <v>-22199.022035693375</v>
      </c>
      <c r="AW16" s="614">
        <f t="shared" si="10"/>
        <v>-23488.950891255266</v>
      </c>
      <c r="AX16" s="614">
        <f t="shared" si="10"/>
        <v>-24815.642719200663</v>
      </c>
      <c r="AY16" s="614">
        <f t="shared" si="10"/>
        <v>-26180.145264242517</v>
      </c>
      <c r="AZ16" s="614">
        <f t="shared" si="10"/>
        <v>-27583.53613181804</v>
      </c>
      <c r="BA16" s="614">
        <f t="shared" si="10"/>
        <v>-29026.92363911949</v>
      </c>
      <c r="BB16" s="614">
        <f t="shared" si="10"/>
        <v>-30511.447690379031</v>
      </c>
      <c r="BC16" s="614">
        <f t="shared" si="10"/>
        <v>-32038.280677099461</v>
      </c>
      <c r="BD16" s="614">
        <f t="shared" si="10"/>
        <v>-33608.628403941402</v>
      </c>
      <c r="BE16" s="614">
        <f t="shared" si="10"/>
        <v>-35223.731040998362</v>
      </c>
      <c r="BF16" s="614">
        <f t="shared" si="10"/>
        <v>-36884.864103211439</v>
      </c>
      <c r="BG16" s="614">
        <f t="shared" si="10"/>
        <v>-38593.339457697599</v>
      </c>
      <c r="BH16" s="614">
        <f t="shared" si="10"/>
        <v>-40350.506359786596</v>
      </c>
      <c r="BI16" s="614">
        <f t="shared" si="10"/>
        <v>-42157.752518585141</v>
      </c>
      <c r="BJ16" s="614">
        <f t="shared" si="10"/>
        <v>-44016.505192909448</v>
      </c>
      <c r="BK16" s="614">
        <f t="shared" si="10"/>
        <v>-45928.232318451992</v>
      </c>
      <c r="BL16" s="614">
        <f t="shared" si="10"/>
        <v>-47894.443667072497</v>
      </c>
      <c r="BM16" s="614">
        <f t="shared" si="10"/>
        <v>-49916.692039128684</v>
      </c>
      <c r="BN16" s="614">
        <f t="shared" si="10"/>
        <v>-51996.574489788472</v>
      </c>
      <c r="BO16" s="614">
        <f t="shared" si="10"/>
        <v>-54135.733590292075</v>
      </c>
      <c r="BP16" s="614">
        <f t="shared" si="10"/>
        <v>-56335.858725160026</v>
      </c>
      <c r="BQ16" s="614">
        <f t="shared" si="10"/>
        <v>-58598.687426371704</v>
      </c>
      <c r="BR16" s="614">
        <f t="shared" ref="BR16:CC16" si="11">BR15-BR14</f>
        <v>-60926.006745567938</v>
      </c>
      <c r="BS16" s="614">
        <f t="shared" si="11"/>
        <v>-63319.65466536126</v>
      </c>
      <c r="BT16" s="614">
        <f t="shared" si="11"/>
        <v>-65781.521550868667</v>
      </c>
      <c r="BU16" s="614">
        <f t="shared" si="11"/>
        <v>-68313.551642613063</v>
      </c>
      <c r="BV16" s="614">
        <f t="shared" si="11"/>
        <v>-70917.744591972136</v>
      </c>
      <c r="BW16" s="614">
        <f t="shared" si="11"/>
        <v>-73596.157040387989</v>
      </c>
      <c r="BX16" s="614">
        <f t="shared" si="11"/>
        <v>-76350.904243583675</v>
      </c>
      <c r="BY16" s="614">
        <f t="shared" si="11"/>
        <v>-79184.161742070442</v>
      </c>
      <c r="BZ16" s="614">
        <f t="shared" si="11"/>
        <v>-82098.167079264051</v>
      </c>
      <c r="CA16" s="614">
        <f t="shared" si="11"/>
        <v>-85095.221568567707</v>
      </c>
      <c r="CB16" s="614">
        <f t="shared" si="11"/>
        <v>-88177.692110816497</v>
      </c>
      <c r="CC16" s="614">
        <f t="shared" si="11"/>
        <v>-88177.692110816497</v>
      </c>
      <c r="CD16" s="614"/>
      <c r="CE16" s="614"/>
      <c r="CF16" s="614"/>
      <c r="CG16" s="614"/>
      <c r="CH16" s="614"/>
      <c r="CI16" s="614"/>
      <c r="CJ16" s="614"/>
      <c r="CK16" s="614"/>
      <c r="CL16" s="614"/>
      <c r="CM16" s="614"/>
      <c r="CN16" s="614"/>
      <c r="CO16" s="614"/>
      <c r="CP16" s="614"/>
      <c r="CQ16" s="614"/>
      <c r="CR16" s="614"/>
      <c r="CS16" s="614"/>
      <c r="CT16" s="614"/>
      <c r="CU16" s="614"/>
      <c r="CV16" s="614"/>
      <c r="CW16" s="614"/>
      <c r="CX16" s="614"/>
      <c r="CY16" s="614"/>
      <c r="CZ16" s="614"/>
    </row>
    <row r="17" spans="1:104" x14ac:dyDescent="0.25">
      <c r="B17" s="609" t="s">
        <v>312</v>
      </c>
      <c r="E17" s="614">
        <f>VLOOKUP(E4,'Dynamic Population'!$A$14:$L$97,12)*'Underlying Assumptions'!$E$9/1000000</f>
        <v>15869.206863725241</v>
      </c>
      <c r="F17" s="614">
        <f>VLOOKUP(F4,'Dynamic Population'!$A$14:$L$97,12)*'Underlying Assumptions'!$E$9/1000000</f>
        <v>16155.865722578708</v>
      </c>
      <c r="G17" s="614">
        <f>VLOOKUP(G4,'Dynamic Population'!$A$14:$L$97,12)*'Underlying Assumptions'!$E$9/1000000</f>
        <v>16445.974373111763</v>
      </c>
      <c r="H17" s="614">
        <f>VLOOKUP(H4,'Dynamic Population'!$A$14:$L$97,12)*'Underlying Assumptions'!$E$9/1000000</f>
        <v>16739.496614792039</v>
      </c>
      <c r="I17" s="614">
        <f>VLOOKUP(I4,'Dynamic Population'!$A$14:$L$97,12)*'Underlying Assumptions'!$E$9/1000000</f>
        <v>17036.391381563531</v>
      </c>
      <c r="J17" s="614">
        <f>VLOOKUP(J4,'Dynamic Population'!$A$14:$L$97,12)*'Underlying Assumptions'!$E$9/1000000</f>
        <v>17336.612493915629</v>
      </c>
      <c r="K17" s="614">
        <f>VLOOKUP(K4,'Dynamic Population'!$A$14:$L$97,12)*'Underlying Assumptions'!$E$9/1000000</f>
        <v>17640.108400772126</v>
      </c>
      <c r="L17" s="614">
        <f>VLOOKUP(L4,'Dynamic Population'!$A$14:$L$97,12)*'Underlying Assumptions'!$E$9/1000000</f>
        <v>17946.821910821258</v>
      </c>
      <c r="M17" s="614">
        <f>VLOOKUP(M4,'Dynamic Population'!$A$14:$L$97,12)*'Underlying Assumptions'!$E$9/1000000</f>
        <v>18256.689912894664</v>
      </c>
      <c r="N17" s="614">
        <f>VLOOKUP(N4,'Dynamic Population'!$A$14:$L$97,12)*'Underlying Assumptions'!$E$9/1000000</f>
        <v>18569.643084989188</v>
      </c>
      <c r="O17" s="614">
        <f>VLOOKUP(O4,'Dynamic Population'!$A$14:$L$97,12)*'Underlying Assumptions'!$E$9/1000000</f>
        <v>19051.130718129105</v>
      </c>
      <c r="P17" s="614">
        <f>VLOOKUP(P4,'Dynamic Population'!$A$14:$L$97,12)*'Underlying Assumptions'!$E$9/1000000</f>
        <v>19544.979953762209</v>
      </c>
      <c r="Q17" s="614">
        <f>VLOOKUP(Q4,'Dynamic Population'!$A$14:$L$97,12)*'Underlying Assumptions'!$E$9/1000000</f>
        <v>20051.504314900605</v>
      </c>
      <c r="R17" s="614">
        <f>VLOOKUP(R4,'Dynamic Population'!$A$14:$L$97,12)*'Underlying Assumptions'!$E$9/1000000</f>
        <v>20571.02515465644</v>
      </c>
      <c r="S17" s="614">
        <f>VLOOKUP(S4,'Dynamic Population'!$A$14:$L$97,12)*'Underlying Assumptions'!$E$9/1000000</f>
        <v>21103.871847898587</v>
      </c>
      <c r="T17" s="614">
        <f>VLOOKUP(T4,'Dynamic Population'!$A$14:$L$97,12)*'Underlying Assumptions'!$E$9/1000000</f>
        <v>21650.381987473658</v>
      </c>
      <c r="U17" s="614">
        <f>VLOOKUP(U4,'Dynamic Population'!$A$14:$L$97,12)*'Underlying Assumptions'!$E$9/1000000</f>
        <v>22210.901585096057</v>
      </c>
      <c r="V17" s="614">
        <f>VLOOKUP(V4,'Dynamic Population'!$A$14:$L$97,12)*'Underlying Assumptions'!$E$9/1000000</f>
        <v>22785.785277013609</v>
      </c>
      <c r="W17" s="614">
        <f>VLOOKUP(W4,'Dynamic Population'!$A$14:$L$97,12)*'Underlying Assumptions'!$E$9/1000000</f>
        <v>23375.39653455796</v>
      </c>
      <c r="X17" s="614">
        <f>VLOOKUP(X4,'Dynamic Population'!$A$14:$L$97,12)*'Underlying Assumptions'!$E$9/1000000</f>
        <v>23980.107879691084</v>
      </c>
      <c r="Y17" s="614">
        <f>VLOOKUP(Y4,'Dynamic Population'!$A$14:$L$97,12)*'Underlying Assumptions'!$E$9/1000000</f>
        <v>24600.301105661612</v>
      </c>
      <c r="Z17" s="614">
        <f>VLOOKUP(Z4,'Dynamic Population'!$A$14:$L$97,12)*'Underlying Assumptions'!$E$9/1000000</f>
        <v>25236.36750288718</v>
      </c>
      <c r="AA17" s="614">
        <f>VLOOKUP(AA4,'Dynamic Population'!$A$14:$L$97,12)*'Underlying Assumptions'!$E$9/1000000</f>
        <v>25888.708090181528</v>
      </c>
      <c r="AB17" s="614">
        <f>VLOOKUP(AB4,'Dynamic Population'!$A$14:$L$97,12)*'Underlying Assumptions'!$E$9/1000000</f>
        <v>26557.733851447432</v>
      </c>
      <c r="AC17" s="614">
        <f>VLOOKUP(AC4,'Dynamic Population'!$A$14:$L$97,12)*'Underlying Assumptions'!$E$9/1000000</f>
        <v>27243.865977959245</v>
      </c>
      <c r="AD17" s="614">
        <f>VLOOKUP(AD4,'Dynamic Population'!$A$14:$L$97,12)*'Underlying Assumptions'!$E$9/1000000</f>
        <v>27947.536116361385</v>
      </c>
      <c r="AE17" s="614">
        <f>VLOOKUP(AE4,'Dynamic Population'!$A$14:$L$97,12)*'Underlying Assumptions'!$E$9/1000000</f>
        <v>28669.186622511861</v>
      </c>
      <c r="AF17" s="614">
        <f>VLOOKUP(AF4,'Dynamic Population'!$A$14:$L$97,12)*'Underlying Assumptions'!$E$9/1000000</f>
        <v>29409.270821302391</v>
      </c>
      <c r="AG17" s="614">
        <f>VLOOKUP(AG4,'Dynamic Population'!$A$14:$L$97,12)*'Underlying Assumptions'!$E$9/1000000</f>
        <v>30168.253272589856</v>
      </c>
      <c r="AH17" s="614">
        <f>VLOOKUP(AH4,'Dynamic Population'!$A$14:$L$97,12)*'Underlying Assumptions'!$E$9/1000000</f>
        <v>30946.610043376095</v>
      </c>
      <c r="AI17" s="614">
        <f>VLOOKUP(AI4,'Dynamic Population'!$A$14:$L$97,12)*'Underlying Assumptions'!$E$9/1000000</f>
        <v>31744.828986376491</v>
      </c>
      <c r="AJ17" s="614">
        <f>VLOOKUP(AJ4,'Dynamic Population'!$A$14:$L$97,12)*'Underlying Assumptions'!$E$9/1000000</f>
        <v>32563.410025120171</v>
      </c>
      <c r="AK17" s="614">
        <f>VLOOKUP(AK4,'Dynamic Population'!$A$14:$L$97,12)*'Underlying Assumptions'!$E$9/1000000</f>
        <v>33402.865445728072</v>
      </c>
      <c r="AL17" s="614">
        <f>VLOOKUP(AL4,'Dynamic Population'!$A$14:$L$97,12)*'Underlying Assumptions'!$E$9/1000000</f>
        <v>34263.720195517708</v>
      </c>
      <c r="AM17" s="614">
        <f>VLOOKUP(AM4,'Dynamic Population'!$A$14:$L$97,12)*'Underlying Assumptions'!$E$9/1000000</f>
        <v>35146.512188587069</v>
      </c>
      <c r="AN17" s="614">
        <f>VLOOKUP(AN4,'Dynamic Population'!$A$14:$L$97,12)*'Underlying Assumptions'!$E$9/1000000</f>
        <v>36148.187785961789</v>
      </c>
      <c r="AO17" s="614">
        <f>VLOOKUP(AO4,'Dynamic Population'!$A$14:$L$97,12)*'Underlying Assumptions'!$E$9/1000000</f>
        <v>37178.411137861702</v>
      </c>
      <c r="AP17" s="614">
        <f>VLOOKUP(AP4,'Dynamic Population'!$A$14:$L$97,12)*'Underlying Assumptions'!$E$9/1000000</f>
        <v>38237.995855290763</v>
      </c>
      <c r="AQ17" s="614">
        <f>VLOOKUP(AQ4,'Dynamic Population'!$A$14:$L$97,12)*'Underlying Assumptions'!$E$9/1000000</f>
        <v>39327.778737166547</v>
      </c>
      <c r="AR17" s="614">
        <f>VLOOKUP(AR4,'Dynamic Population'!$A$14:$L$97,12)*'Underlying Assumptions'!$E$9/1000000</f>
        <v>40448.620431175797</v>
      </c>
      <c r="AS17" s="614">
        <f>VLOOKUP(AS4,'Dynamic Population'!$A$14:$L$97,12)*'Underlying Assumptions'!$E$9/1000000</f>
        <v>41601.406113464313</v>
      </c>
      <c r="AT17" s="614">
        <f>VLOOKUP(AT4,'Dynamic Population'!$A$14:$L$97,12)*'Underlying Assumptions'!$E$9/1000000</f>
        <v>42787.046187698033</v>
      </c>
      <c r="AU17" s="614">
        <f>VLOOKUP(AU4,'Dynamic Population'!$A$14:$L$97,12)*'Underlying Assumptions'!$E$9/1000000</f>
        <v>44006.477004047432</v>
      </c>
      <c r="AV17" s="614">
        <f>VLOOKUP(AV4,'Dynamic Population'!$A$14:$L$97,12)*'Underlying Assumptions'!$E$9/1000000</f>
        <v>45260.66159866278</v>
      </c>
      <c r="AW17" s="614">
        <f>VLOOKUP(AW4,'Dynamic Population'!$A$14:$L$97,12)*'Underlying Assumptions'!$E$9/1000000</f>
        <v>46550.590454224672</v>
      </c>
      <c r="AX17" s="614">
        <f>VLOOKUP(AX4,'Dynamic Population'!$A$14:$L$97,12)*'Underlying Assumptions'!$E$9/1000000</f>
        <v>47877.282282170068</v>
      </c>
      <c r="AY17" s="614">
        <f>VLOOKUP(AY4,'Dynamic Population'!$A$14:$L$97,12)*'Underlying Assumptions'!$E$9/1000000</f>
        <v>49241.784827211923</v>
      </c>
      <c r="AZ17" s="614">
        <f>VLOOKUP(AZ4,'Dynamic Population'!$A$14:$L$97,12)*'Underlying Assumptions'!$E$9/1000000</f>
        <v>50645.175694787446</v>
      </c>
      <c r="BA17" s="614">
        <f>VLOOKUP(BA4,'Dynamic Population'!$A$14:$L$97,12)*'Underlying Assumptions'!$E$9/1000000</f>
        <v>52088.563202088895</v>
      </c>
      <c r="BB17" s="614">
        <f>VLOOKUP(BB4,'Dynamic Population'!$A$14:$L$97,12)*'Underlying Assumptions'!$E$9/1000000</f>
        <v>53573.087253348436</v>
      </c>
      <c r="BC17" s="614">
        <f>VLOOKUP(BC4,'Dynamic Population'!$A$14:$L$97,12)*'Underlying Assumptions'!$E$9/1000000</f>
        <v>55099.920240068866</v>
      </c>
      <c r="BD17" s="614">
        <f>VLOOKUP(BD4,'Dynamic Population'!$A$14:$L$97,12)*'Underlying Assumptions'!$E$9/1000000</f>
        <v>56670.267966910811</v>
      </c>
      <c r="BE17" s="614">
        <f>VLOOKUP(BE4,'Dynamic Population'!$A$14:$L$97,12)*'Underlying Assumptions'!$E$9/1000000</f>
        <v>58285.370603967764</v>
      </c>
      <c r="BF17" s="614">
        <f>VLOOKUP(BF4,'Dynamic Population'!$A$14:$L$97,12)*'Underlying Assumptions'!$E$9/1000000</f>
        <v>59946.503666180848</v>
      </c>
      <c r="BG17" s="614">
        <f>VLOOKUP(BG4,'Dynamic Population'!$A$14:$L$97,12)*'Underlying Assumptions'!$E$9/1000000</f>
        <v>61654.979020667</v>
      </c>
      <c r="BH17" s="614">
        <f>VLOOKUP(BH4,'Dynamic Population'!$A$14:$L$97,12)*'Underlying Assumptions'!$E$9/1000000</f>
        <v>63412.145922756004</v>
      </c>
      <c r="BI17" s="614">
        <f>VLOOKUP(BI4,'Dynamic Population'!$A$14:$L$97,12)*'Underlying Assumptions'!$E$9/1000000</f>
        <v>65219.39208155455</v>
      </c>
      <c r="BJ17" s="614">
        <f>VLOOKUP(BJ4,'Dynamic Population'!$A$14:$L$97,12)*'Underlying Assumptions'!$E$9/1000000</f>
        <v>67078.14475587885</v>
      </c>
      <c r="BK17" s="614">
        <f>VLOOKUP(BK4,'Dynamic Population'!$A$14:$L$97,12)*'Underlying Assumptions'!$E$9/1000000</f>
        <v>68989.871881421393</v>
      </c>
      <c r="BL17" s="614">
        <f>VLOOKUP(BL4,'Dynamic Population'!$A$14:$L$97,12)*'Underlying Assumptions'!$E$9/1000000</f>
        <v>70956.083230041899</v>
      </c>
      <c r="BM17" s="614">
        <f>VLOOKUP(BM4,'Dynamic Population'!$A$14:$L$97,12)*'Underlying Assumptions'!$E$9/1000000</f>
        <v>72978.331602098086</v>
      </c>
      <c r="BN17" s="614">
        <f>VLOOKUP(BN4,'Dynamic Population'!$A$14:$L$97,12)*'Underlying Assumptions'!$E$9/1000000</f>
        <v>75058.214052757874</v>
      </c>
      <c r="BO17" s="614">
        <f>VLOOKUP(BO4,'Dynamic Population'!$A$14:$L$97,12)*'Underlying Assumptions'!$E$9/1000000</f>
        <v>77197.373153261477</v>
      </c>
      <c r="BP17" s="614">
        <f>VLOOKUP(BP4,'Dynamic Population'!$A$14:$L$97,12)*'Underlying Assumptions'!$E$9/1000000</f>
        <v>79397.498288129427</v>
      </c>
      <c r="BQ17" s="614">
        <f>VLOOKUP(BQ4,'Dynamic Population'!$A$14:$L$97,12)*'Underlying Assumptions'!$E$9/1000000</f>
        <v>81660.326989341105</v>
      </c>
      <c r="BR17" s="614">
        <f>VLOOKUP(BR4,'Dynamic Population'!$A$14:$L$97,12)*'Underlying Assumptions'!$E$9/1000000</f>
        <v>83987.64630853734</v>
      </c>
      <c r="BS17" s="614">
        <f>VLOOKUP(BS4,'Dynamic Population'!$A$14:$L$97,12)*'Underlying Assumptions'!$E$9/1000000</f>
        <v>86381.294228330662</v>
      </c>
      <c r="BT17" s="614">
        <f>VLOOKUP(BT4,'Dynamic Population'!$A$14:$L$97,12)*'Underlying Assumptions'!$E$9/1000000</f>
        <v>88843.161113838069</v>
      </c>
      <c r="BU17" s="614">
        <f>VLOOKUP(BU4,'Dynamic Population'!$A$14:$L$97,12)*'Underlying Assumptions'!$E$9/1000000</f>
        <v>91375.191205582465</v>
      </c>
      <c r="BV17" s="614">
        <f>VLOOKUP(BV4,'Dynamic Population'!$A$14:$L$97,12)*'Underlying Assumptions'!$E$9/1000000</f>
        <v>93979.384154941537</v>
      </c>
      <c r="BW17" s="614">
        <f>VLOOKUP(BW4,'Dynamic Population'!$A$14:$L$97,12)*'Underlying Assumptions'!$E$9/1000000</f>
        <v>96657.79660335739</v>
      </c>
      <c r="BX17" s="614">
        <f>VLOOKUP(BX4,'Dynamic Population'!$A$14:$L$97,12)*'Underlying Assumptions'!$E$9/1000000</f>
        <v>99412.543806553076</v>
      </c>
      <c r="BY17" s="614">
        <f>VLOOKUP(BY4,'Dynamic Population'!$A$14:$L$97,12)*'Underlying Assumptions'!$E$9/1000000</f>
        <v>102245.80130503984</v>
      </c>
      <c r="BZ17" s="614">
        <f>VLOOKUP(BZ4,'Dynamic Population'!$A$14:$L$97,12)*'Underlying Assumptions'!$E$9/1000000</f>
        <v>105159.80664223345</v>
      </c>
      <c r="CA17" s="614">
        <f>VLOOKUP(CA4,'Dynamic Population'!$A$14:$L$97,12)*'Underlying Assumptions'!$E$9/1000000</f>
        <v>108156.86113153711</v>
      </c>
      <c r="CB17" s="614">
        <f>VLOOKUP(CB4,'Dynamic Population'!$A$14:$L$97,12)*'Underlying Assumptions'!$E$9/1000000</f>
        <v>111239.3316737859</v>
      </c>
      <c r="CC17" s="614">
        <f>VLOOKUP(CC4,'Dynamic Population'!$A$14:$L$97,12)*'Underlying Assumptions'!$E$9/1000000</f>
        <v>111239.3316737859</v>
      </c>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row>
    <row r="18" spans="1:104" x14ac:dyDescent="0.25">
      <c r="B18" s="609" t="s">
        <v>313</v>
      </c>
      <c r="E18" s="614">
        <f>E17-C18</f>
        <v>15869.206863725241</v>
      </c>
      <c r="F18" s="614">
        <f>F17-E17</f>
        <v>286.65885885346688</v>
      </c>
      <c r="G18" s="614">
        <f t="shared" ref="G18:BR18" si="12">G17-F17</f>
        <v>290.10865053305497</v>
      </c>
      <c r="H18" s="614">
        <f t="shared" si="12"/>
        <v>293.52224168027533</v>
      </c>
      <c r="I18" s="614">
        <f t="shared" si="12"/>
        <v>296.89476677149287</v>
      </c>
      <c r="J18" s="614">
        <f t="shared" si="12"/>
        <v>300.22111235209741</v>
      </c>
      <c r="K18" s="614">
        <f t="shared" si="12"/>
        <v>303.49590685649673</v>
      </c>
      <c r="L18" s="614">
        <f t="shared" si="12"/>
        <v>306.71351004913231</v>
      </c>
      <c r="M18" s="614">
        <f t="shared" si="12"/>
        <v>309.86800207340639</v>
      </c>
      <c r="N18" s="614">
        <f t="shared" si="12"/>
        <v>312.95317209452332</v>
      </c>
      <c r="O18" s="614">
        <f t="shared" si="12"/>
        <v>481.48763313991731</v>
      </c>
      <c r="P18" s="614">
        <f t="shared" si="12"/>
        <v>493.8492356331044</v>
      </c>
      <c r="Q18" s="614">
        <f t="shared" si="12"/>
        <v>506.52436113839576</v>
      </c>
      <c r="R18" s="614">
        <f t="shared" si="12"/>
        <v>519.52083975583446</v>
      </c>
      <c r="S18" s="614">
        <f t="shared" si="12"/>
        <v>532.84669324214701</v>
      </c>
      <c r="T18" s="614">
        <f t="shared" si="12"/>
        <v>546.51013957507166</v>
      </c>
      <c r="U18" s="614">
        <f t="shared" si="12"/>
        <v>560.51959762239858</v>
      </c>
      <c r="V18" s="614">
        <f t="shared" si="12"/>
        <v>574.88369191755191</v>
      </c>
      <c r="W18" s="614">
        <f t="shared" si="12"/>
        <v>589.61125754435125</v>
      </c>
      <c r="X18" s="614">
        <f t="shared" si="12"/>
        <v>604.71134513312427</v>
      </c>
      <c r="Y18" s="614">
        <f t="shared" si="12"/>
        <v>620.19322597052815</v>
      </c>
      <c r="Z18" s="614">
        <f t="shared" si="12"/>
        <v>636.06639722556793</v>
      </c>
      <c r="AA18" s="614">
        <f t="shared" si="12"/>
        <v>652.34058729434764</v>
      </c>
      <c r="AB18" s="614">
        <f t="shared" si="12"/>
        <v>669.02576126590429</v>
      </c>
      <c r="AC18" s="614">
        <f t="shared" si="12"/>
        <v>686.13212651181311</v>
      </c>
      <c r="AD18" s="614">
        <f t="shared" si="12"/>
        <v>703.67013840213986</v>
      </c>
      <c r="AE18" s="614">
        <f t="shared" si="12"/>
        <v>721.65050615047585</v>
      </c>
      <c r="AF18" s="614">
        <f t="shared" si="12"/>
        <v>740.08419879052963</v>
      </c>
      <c r="AG18" s="614">
        <f t="shared" si="12"/>
        <v>758.98245128746566</v>
      </c>
      <c r="AH18" s="614">
        <f t="shared" si="12"/>
        <v>778.35677078623849</v>
      </c>
      <c r="AI18" s="614">
        <f t="shared" si="12"/>
        <v>798.21894300039639</v>
      </c>
      <c r="AJ18" s="614">
        <f t="shared" si="12"/>
        <v>818.58103874367953</v>
      </c>
      <c r="AK18" s="614">
        <f t="shared" si="12"/>
        <v>839.45542060790103</v>
      </c>
      <c r="AL18" s="614">
        <f t="shared" si="12"/>
        <v>860.85474978963612</v>
      </c>
      <c r="AM18" s="614">
        <f t="shared" si="12"/>
        <v>882.79199306936061</v>
      </c>
      <c r="AN18" s="614">
        <f t="shared" si="12"/>
        <v>1001.6755973747204</v>
      </c>
      <c r="AO18" s="614">
        <f t="shared" si="12"/>
        <v>1030.2233518999128</v>
      </c>
      <c r="AP18" s="614">
        <f t="shared" si="12"/>
        <v>1059.5847174290611</v>
      </c>
      <c r="AQ18" s="614">
        <f t="shared" si="12"/>
        <v>1089.7828818757844</v>
      </c>
      <c r="AR18" s="614">
        <f t="shared" si="12"/>
        <v>1120.8416940092502</v>
      </c>
      <c r="AS18" s="614">
        <f t="shared" si="12"/>
        <v>1152.7856822885151</v>
      </c>
      <c r="AT18" s="614">
        <f t="shared" si="12"/>
        <v>1185.640074233721</v>
      </c>
      <c r="AU18" s="614">
        <f t="shared" si="12"/>
        <v>1219.4308163493988</v>
      </c>
      <c r="AV18" s="614">
        <f t="shared" si="12"/>
        <v>1254.184594615348</v>
      </c>
      <c r="AW18" s="614">
        <f t="shared" si="12"/>
        <v>1289.9288555618914</v>
      </c>
      <c r="AX18" s="614">
        <f t="shared" si="12"/>
        <v>1326.6918279453967</v>
      </c>
      <c r="AY18" s="614">
        <f t="shared" si="12"/>
        <v>1364.5025450418543</v>
      </c>
      <c r="AZ18" s="614">
        <f t="shared" si="12"/>
        <v>1403.3908675755229</v>
      </c>
      <c r="BA18" s="614">
        <f t="shared" si="12"/>
        <v>1443.3875073014497</v>
      </c>
      <c r="BB18" s="614">
        <f t="shared" si="12"/>
        <v>1484.524051259541</v>
      </c>
      <c r="BC18" s="614">
        <f t="shared" si="12"/>
        <v>1526.8329867204302</v>
      </c>
      <c r="BD18" s="614">
        <f t="shared" si="12"/>
        <v>1570.3477268419447</v>
      </c>
      <c r="BE18" s="614">
        <f t="shared" si="12"/>
        <v>1615.1026370569525</v>
      </c>
      <c r="BF18" s="614">
        <f t="shared" si="12"/>
        <v>1661.1330622130845</v>
      </c>
      <c r="BG18" s="614">
        <f t="shared" si="12"/>
        <v>1708.4753544861524</v>
      </c>
      <c r="BH18" s="614">
        <f t="shared" si="12"/>
        <v>1757.166902089004</v>
      </c>
      <c r="BI18" s="614">
        <f t="shared" si="12"/>
        <v>1807.2461587985454</v>
      </c>
      <c r="BJ18" s="614">
        <f t="shared" si="12"/>
        <v>1858.7526743242997</v>
      </c>
      <c r="BK18" s="614">
        <f t="shared" si="12"/>
        <v>1911.7271255425439</v>
      </c>
      <c r="BL18" s="614">
        <f t="shared" si="12"/>
        <v>1966.2113486205053</v>
      </c>
      <c r="BM18" s="614">
        <f t="shared" si="12"/>
        <v>2022.2483720561868</v>
      </c>
      <c r="BN18" s="614">
        <f t="shared" si="12"/>
        <v>2079.8824506597884</v>
      </c>
      <c r="BO18" s="614">
        <f t="shared" si="12"/>
        <v>2139.1591005036025</v>
      </c>
      <c r="BP18" s="614">
        <f t="shared" si="12"/>
        <v>2200.1251348679507</v>
      </c>
      <c r="BQ18" s="614">
        <f t="shared" si="12"/>
        <v>2262.828701211678</v>
      </c>
      <c r="BR18" s="614">
        <f t="shared" si="12"/>
        <v>2327.3193191962346</v>
      </c>
      <c r="BS18" s="614">
        <f t="shared" ref="BS18:CM18" si="13">BS17-BR17</f>
        <v>2393.6479197933222</v>
      </c>
      <c r="BT18" s="614">
        <f t="shared" si="13"/>
        <v>2461.8668855074066</v>
      </c>
      <c r="BU18" s="614">
        <f t="shared" si="13"/>
        <v>2532.0300917443965</v>
      </c>
      <c r="BV18" s="614">
        <f t="shared" si="13"/>
        <v>2604.1929493590724</v>
      </c>
      <c r="BW18" s="614">
        <f t="shared" si="13"/>
        <v>2678.4124484158529</v>
      </c>
      <c r="BX18" s="614">
        <f t="shared" si="13"/>
        <v>2754.7472031956859</v>
      </c>
      <c r="BY18" s="614">
        <f t="shared" si="13"/>
        <v>2833.2574984867679</v>
      </c>
      <c r="BZ18" s="614">
        <f t="shared" si="13"/>
        <v>2914.0053371936083</v>
      </c>
      <c r="CA18" s="614">
        <f t="shared" si="13"/>
        <v>2997.0544893036567</v>
      </c>
      <c r="CB18" s="614">
        <f t="shared" si="13"/>
        <v>3082.4705422487896</v>
      </c>
      <c r="CC18" s="614">
        <f t="shared" si="13"/>
        <v>0</v>
      </c>
      <c r="CD18" s="614">
        <f t="shared" si="13"/>
        <v>-111239.3316737859</v>
      </c>
      <c r="CE18" s="614">
        <f t="shared" si="13"/>
        <v>0</v>
      </c>
      <c r="CF18" s="614">
        <f t="shared" si="13"/>
        <v>0</v>
      </c>
      <c r="CG18" s="614">
        <f t="shared" si="13"/>
        <v>0</v>
      </c>
      <c r="CH18" s="614">
        <f t="shared" si="13"/>
        <v>0</v>
      </c>
      <c r="CI18" s="614">
        <f t="shared" si="13"/>
        <v>0</v>
      </c>
      <c r="CJ18" s="614">
        <f t="shared" si="13"/>
        <v>0</v>
      </c>
      <c r="CK18" s="614">
        <f t="shared" si="13"/>
        <v>0</v>
      </c>
      <c r="CL18" s="614">
        <f t="shared" si="13"/>
        <v>0</v>
      </c>
      <c r="CM18" s="614">
        <f t="shared" si="13"/>
        <v>0</v>
      </c>
      <c r="CN18" s="614"/>
      <c r="CO18" s="614"/>
      <c r="CP18" s="614"/>
      <c r="CQ18" s="614"/>
      <c r="CR18" s="614"/>
      <c r="CS18" s="614"/>
      <c r="CT18" s="614"/>
      <c r="CU18" s="614"/>
      <c r="CV18" s="614"/>
      <c r="CW18" s="614"/>
      <c r="CX18" s="614"/>
      <c r="CY18" s="614"/>
      <c r="CZ18" s="614"/>
    </row>
    <row r="19" spans="1:104" s="754" customFormat="1" x14ac:dyDescent="0.25">
      <c r="B19" s="759" t="s">
        <v>318</v>
      </c>
      <c r="C19" s="759"/>
      <c r="E19" s="758">
        <f>VLOOKUP(E$4,'Dynamic Population'!$A$14:$AA$97,19,FALSE)*'Underlying Assumptions'!$E$9/1000000</f>
        <v>20275.609848683933</v>
      </c>
      <c r="F19" s="758">
        <f>VLOOKUP(F$4,'Dynamic Population'!$A$14:$AA$97,19,FALSE)*'Underlying Assumptions'!$E$9/1000000</f>
        <v>21823.404134398086</v>
      </c>
      <c r="G19" s="758">
        <f>VLOOKUP(G$4,'Dynamic Population'!$A$14:$AA$97,19,FALSE)*'Underlying Assumptions'!$E$9/1000000</f>
        <v>21823.404134398086</v>
      </c>
      <c r="H19" s="758">
        <f>VLOOKUP(H$4,'Dynamic Population'!$A$14:$AA$97,19,FALSE)*'Underlying Assumptions'!$E$9/1000000</f>
        <v>21823.404134398086</v>
      </c>
      <c r="I19" s="758">
        <f>VLOOKUP(I$4,'Dynamic Population'!$A$14:$AA$97,19,FALSE)*'Underlying Assumptions'!$E$9/1000000</f>
        <v>21823.404134398086</v>
      </c>
      <c r="J19" s="758">
        <f>VLOOKUP(J$4,'Dynamic Population'!$A$14:$AA$97,19,FALSE)*'Underlying Assumptions'!$E$9/1000000</f>
        <v>23061.639562969405</v>
      </c>
      <c r="K19" s="758">
        <f>VLOOKUP(K$4,'Dynamic Population'!$A$14:$AA$97,19,FALSE)*'Underlying Assumptions'!$E$9/1000000</f>
        <v>23061.639562969405</v>
      </c>
      <c r="L19" s="758">
        <f>VLOOKUP(L$4,'Dynamic Population'!$A$14:$AA$97,19,FALSE)*'Underlying Assumptions'!$E$9/1000000</f>
        <v>23061.639562969405</v>
      </c>
      <c r="M19" s="758">
        <f>VLOOKUP(M$4,'Dynamic Population'!$A$14:$AA$97,19,FALSE)*'Underlying Assumptions'!$E$9/1000000</f>
        <v>23061.639562969405</v>
      </c>
      <c r="N19" s="758">
        <f>VLOOKUP(N$4,'Dynamic Population'!$A$14:$AA$97,19,FALSE)*'Underlying Assumptions'!$E$9/1000000</f>
        <v>23061.639562969405</v>
      </c>
      <c r="O19" s="758">
        <f>VLOOKUP(O$4,'Dynamic Population'!$A$14:$AA$97,19,FALSE)*'Underlying Assumptions'!$E$9/1000000</f>
        <v>23061.639562969405</v>
      </c>
      <c r="P19" s="758">
        <f>VLOOKUP(P$4,'Dynamic Population'!$A$14:$AA$97,19,FALSE)*'Underlying Assumptions'!$E$9/1000000</f>
        <v>23061.639562969405</v>
      </c>
      <c r="Q19" s="758">
        <f>VLOOKUP(Q$4,'Dynamic Population'!$A$14:$AA$97,19,FALSE)*'Underlying Assumptions'!$E$9/1000000</f>
        <v>23061.639562969405</v>
      </c>
      <c r="R19" s="758">
        <f>VLOOKUP(R$4,'Dynamic Population'!$A$14:$AA$97,19,FALSE)*'Underlying Assumptions'!$E$9/1000000</f>
        <v>23061.639562969405</v>
      </c>
      <c r="S19" s="758">
        <f>VLOOKUP(S$4,'Dynamic Population'!$A$14:$AA$97,19,FALSE)*'Underlying Assumptions'!$E$9/1000000</f>
        <v>23061.639562969405</v>
      </c>
      <c r="T19" s="758">
        <f>VLOOKUP(T$4,'Dynamic Population'!$A$14:$AA$97,19,FALSE)*'Underlying Assumptions'!$E$9/1000000</f>
        <v>23061.639562969405</v>
      </c>
      <c r="U19" s="758">
        <f>VLOOKUP(U$4,'Dynamic Population'!$A$14:$AA$97,19,FALSE)*'Underlying Assumptions'!$E$9/1000000</f>
        <v>23061.639562969405</v>
      </c>
      <c r="V19" s="758">
        <f>VLOOKUP(V$4,'Dynamic Population'!$A$14:$AA$97,19,FALSE)*'Underlying Assumptions'!$E$9/1000000</f>
        <v>23061.639562969405</v>
      </c>
      <c r="W19" s="758">
        <f>VLOOKUP(W$4,'Dynamic Population'!$A$14:$AA$97,19,FALSE)*'Underlying Assumptions'!$E$9/1000000</f>
        <v>23061.639562969405</v>
      </c>
      <c r="X19" s="758">
        <f>VLOOKUP(X$4,'Dynamic Population'!$A$14:$AA$97,19,FALSE)*'Underlying Assumptions'!$E$9/1000000</f>
        <v>23061.639562969405</v>
      </c>
      <c r="Y19" s="758">
        <f>VLOOKUP(Y$4,'Dynamic Population'!$A$14:$AA$97,19,FALSE)*'Underlying Assumptions'!$E$9/1000000</f>
        <v>23061.639562969405</v>
      </c>
      <c r="Z19" s="758">
        <f>VLOOKUP(Z$4,'Dynamic Population'!$A$14:$AA$97,19,FALSE)*'Underlying Assumptions'!$E$9/1000000</f>
        <v>23061.639562969405</v>
      </c>
      <c r="AA19" s="758">
        <f>VLOOKUP(AA$4,'Dynamic Population'!$A$14:$AA$97,19,FALSE)*'Underlying Assumptions'!$E$9/1000000</f>
        <v>23061.639562969405</v>
      </c>
      <c r="AB19" s="758">
        <f>VLOOKUP(AB$4,'Dynamic Population'!$A$14:$AA$97,19,FALSE)*'Underlying Assumptions'!$E$9/1000000</f>
        <v>23061.639562969405</v>
      </c>
      <c r="AC19" s="758">
        <f>VLOOKUP(AC$4,'Dynamic Population'!$A$14:$AA$97,19,FALSE)*'Underlying Assumptions'!$E$9/1000000</f>
        <v>23061.639562969405</v>
      </c>
      <c r="AD19" s="758">
        <f>VLOOKUP(AD$4,'Dynamic Population'!$A$14:$AA$97,19,FALSE)*'Underlying Assumptions'!$E$9/1000000</f>
        <v>23061.639562969405</v>
      </c>
      <c r="AE19" s="758">
        <f>VLOOKUP(AE$4,'Dynamic Population'!$A$14:$AA$97,19,FALSE)*'Underlying Assumptions'!$E$9/1000000</f>
        <v>23061.639562969405</v>
      </c>
      <c r="AF19" s="758">
        <f>VLOOKUP(AF$4,'Dynamic Population'!$A$14:$AA$97,19,FALSE)*'Underlying Assumptions'!$E$9/1000000</f>
        <v>23061.639562969405</v>
      </c>
      <c r="AG19" s="758">
        <f>VLOOKUP(AG$4,'Dynamic Population'!$A$14:$AA$97,19,FALSE)*'Underlying Assumptions'!$E$9/1000000</f>
        <v>23061.639562969405</v>
      </c>
      <c r="AH19" s="758">
        <f>VLOOKUP(AH$4,'Dynamic Population'!$A$14:$AA$97,19,FALSE)*'Underlying Assumptions'!$E$9/1000000</f>
        <v>23061.639562969405</v>
      </c>
      <c r="AI19" s="758">
        <f>VLOOKUP(AI$4,'Dynamic Population'!$A$14:$AA$97,19,FALSE)*'Underlying Assumptions'!$E$9/1000000</f>
        <v>23061.639562969405</v>
      </c>
      <c r="AJ19" s="758">
        <f>VLOOKUP(AJ$4,'Dynamic Population'!$A$14:$AA$97,19,FALSE)*'Underlying Assumptions'!$E$9/1000000</f>
        <v>23061.639562969405</v>
      </c>
      <c r="AK19" s="758">
        <f>VLOOKUP(AK$4,'Dynamic Population'!$A$14:$AA$97,19,FALSE)*'Underlying Assumptions'!$E$9/1000000</f>
        <v>23061.639562969405</v>
      </c>
      <c r="AL19" s="758">
        <f>VLOOKUP(AL$4,'Dynamic Population'!$A$14:$AA$97,19,FALSE)*'Underlying Assumptions'!$E$9/1000000</f>
        <v>23061.639562969405</v>
      </c>
      <c r="AM19" s="758">
        <f>VLOOKUP(AM$4,'Dynamic Population'!$A$14:$AA$97,19,FALSE)*'Underlying Assumptions'!$E$9/1000000</f>
        <v>23061.639562969405</v>
      </c>
      <c r="AN19" s="758">
        <f>VLOOKUP(AN$4,'Dynamic Population'!$A$14:$AA$97,19,FALSE)*'Underlying Assumptions'!$E$9/1000000</f>
        <v>23061.639562969405</v>
      </c>
      <c r="AO19" s="758">
        <f>VLOOKUP(AO$4,'Dynamic Population'!$A$14:$AA$97,19,FALSE)*'Underlying Assumptions'!$E$9/1000000</f>
        <v>23061.639562969405</v>
      </c>
      <c r="AP19" s="758">
        <f>VLOOKUP(AP$4,'Dynamic Population'!$A$14:$AA$97,19,FALSE)*'Underlying Assumptions'!$E$9/1000000</f>
        <v>23061.639562969405</v>
      </c>
      <c r="AQ19" s="758">
        <f>VLOOKUP(AQ$4,'Dynamic Population'!$A$14:$AA$97,19,FALSE)*'Underlying Assumptions'!$E$9/1000000</f>
        <v>23061.639562969405</v>
      </c>
      <c r="AR19" s="758">
        <f>VLOOKUP(AR$4,'Dynamic Population'!$A$14:$AA$97,19,FALSE)*'Underlying Assumptions'!$E$9/1000000</f>
        <v>23061.639562969405</v>
      </c>
      <c r="AS19" s="758">
        <f>VLOOKUP(AS$4,'Dynamic Population'!$A$14:$AA$97,19,FALSE)*'Underlying Assumptions'!$E$9/1000000</f>
        <v>23061.639562969405</v>
      </c>
      <c r="AT19" s="758">
        <f>VLOOKUP(AT$4,'Dynamic Population'!$A$14:$AA$97,19,FALSE)*'Underlying Assumptions'!$E$9/1000000</f>
        <v>23061.639562969405</v>
      </c>
      <c r="AU19" s="758">
        <f>VLOOKUP(AU$4,'Dynamic Population'!$A$14:$AA$97,19,FALSE)*'Underlying Assumptions'!$E$9/1000000</f>
        <v>23061.639562969405</v>
      </c>
      <c r="AV19" s="758">
        <f>VLOOKUP(AV$4,'Dynamic Population'!$A$14:$AA$97,19,FALSE)*'Underlying Assumptions'!$E$9/1000000</f>
        <v>23061.639562969405</v>
      </c>
      <c r="AW19" s="758">
        <f>VLOOKUP(AW$4,'Dynamic Population'!$A$14:$AA$97,19,FALSE)*'Underlying Assumptions'!$E$9/1000000</f>
        <v>23061.639562969405</v>
      </c>
      <c r="AX19" s="758">
        <f>VLOOKUP(AX$4,'Dynamic Population'!$A$14:$AA$97,19,FALSE)*'Underlying Assumptions'!$E$9/1000000</f>
        <v>23061.639562969405</v>
      </c>
      <c r="AY19" s="758">
        <f>VLOOKUP(AY$4,'Dynamic Population'!$A$14:$AA$97,19,FALSE)*'Underlying Assumptions'!$E$9/1000000</f>
        <v>23061.639562969405</v>
      </c>
      <c r="AZ19" s="758">
        <f>VLOOKUP(AZ$4,'Dynamic Population'!$A$14:$AA$97,19,FALSE)*'Underlying Assumptions'!$E$9/1000000</f>
        <v>23061.639562969405</v>
      </c>
      <c r="BA19" s="758">
        <f>VLOOKUP(BA$4,'Dynamic Population'!$A$14:$AA$97,19,FALSE)*'Underlying Assumptions'!$E$9/1000000</f>
        <v>23061.639562969405</v>
      </c>
      <c r="BB19" s="758">
        <f>VLOOKUP(BB$4,'Dynamic Population'!$A$14:$AA$97,19,FALSE)*'Underlying Assumptions'!$E$9/1000000</f>
        <v>23061.639562969405</v>
      </c>
      <c r="BC19" s="758">
        <f>VLOOKUP(BC$4,'Dynamic Population'!$A$14:$AA$97,19,FALSE)*'Underlying Assumptions'!$E$9/1000000</f>
        <v>23061.639562969405</v>
      </c>
      <c r="BD19" s="758">
        <f>VLOOKUP(BD$4,'Dynamic Population'!$A$14:$AA$97,19,FALSE)*'Underlying Assumptions'!$E$9/1000000</f>
        <v>23061.639562969405</v>
      </c>
      <c r="BE19" s="758">
        <f>VLOOKUP(BE$4,'Dynamic Population'!$A$14:$AA$97,19,FALSE)*'Underlying Assumptions'!$E$9/1000000</f>
        <v>23061.639562969405</v>
      </c>
      <c r="BF19" s="758">
        <f>VLOOKUP(BF$4,'Dynamic Population'!$A$14:$AA$97,19,FALSE)*'Underlying Assumptions'!$E$9/1000000</f>
        <v>23061.639562969405</v>
      </c>
      <c r="BG19" s="758">
        <f>VLOOKUP(BG$4,'Dynamic Population'!$A$14:$AA$97,19,FALSE)*'Underlying Assumptions'!$E$9/1000000</f>
        <v>23061.639562969405</v>
      </c>
      <c r="BH19" s="758">
        <f>VLOOKUP(BH$4,'Dynamic Population'!$A$14:$AA$97,19,FALSE)*'Underlying Assumptions'!$E$9/1000000</f>
        <v>23061.639562969405</v>
      </c>
      <c r="BI19" s="758">
        <f>VLOOKUP(BI$4,'Dynamic Population'!$A$14:$AA$97,19,FALSE)*'Underlying Assumptions'!$E$9/1000000</f>
        <v>23061.639562969405</v>
      </c>
      <c r="BJ19" s="758">
        <f>VLOOKUP(BJ$4,'Dynamic Population'!$A$14:$AA$97,19,FALSE)*'Underlying Assumptions'!$E$9/1000000</f>
        <v>23061.639562969405</v>
      </c>
      <c r="BK19" s="758">
        <f>VLOOKUP(BK$4,'Dynamic Population'!$A$14:$AA$97,19,FALSE)*'Underlying Assumptions'!$E$9/1000000</f>
        <v>23061.639562969405</v>
      </c>
      <c r="BL19" s="758">
        <f>VLOOKUP(BL$4,'Dynamic Population'!$A$14:$AA$97,19,FALSE)*'Underlying Assumptions'!$E$9/1000000</f>
        <v>23061.639562969405</v>
      </c>
      <c r="BM19" s="758">
        <f>VLOOKUP(BM$4,'Dynamic Population'!$A$14:$AA$97,19,FALSE)*'Underlying Assumptions'!$E$9/1000000</f>
        <v>23061.639562969405</v>
      </c>
      <c r="BN19" s="758">
        <f>VLOOKUP(BN$4,'Dynamic Population'!$A$14:$AA$97,19,FALSE)*'Underlying Assumptions'!$E$9/1000000</f>
        <v>23061.639562969405</v>
      </c>
      <c r="BO19" s="758">
        <f>VLOOKUP(BO$4,'Dynamic Population'!$A$14:$AA$97,19,FALSE)*'Underlying Assumptions'!$E$9/1000000</f>
        <v>23061.639562969405</v>
      </c>
      <c r="BP19" s="758">
        <f>VLOOKUP(BP$4,'Dynamic Population'!$A$14:$AA$97,19,FALSE)*'Underlying Assumptions'!$E$9/1000000</f>
        <v>23061.639562969405</v>
      </c>
      <c r="BQ19" s="758">
        <f>VLOOKUP(BQ$4,'Dynamic Population'!$A$14:$AA$97,19,FALSE)*'Underlying Assumptions'!$E$9/1000000</f>
        <v>23061.639562969405</v>
      </c>
      <c r="BR19" s="758">
        <f>VLOOKUP(BR$4,'Dynamic Population'!$A$14:$AA$97,19,FALSE)*'Underlying Assumptions'!$E$9/1000000</f>
        <v>23061.639562969405</v>
      </c>
      <c r="BS19" s="758">
        <f>VLOOKUP(BS$4,'Dynamic Population'!$A$14:$AA$97,19,FALSE)*'Underlying Assumptions'!$E$9/1000000</f>
        <v>23061.639562969405</v>
      </c>
      <c r="BT19" s="758">
        <f>VLOOKUP(BT$4,'Dynamic Population'!$A$14:$AA$97,19,FALSE)*'Underlying Assumptions'!$E$9/1000000</f>
        <v>23061.639562969405</v>
      </c>
      <c r="BU19" s="758">
        <f>VLOOKUP(BU$4,'Dynamic Population'!$A$14:$AA$97,19,FALSE)*'Underlying Assumptions'!$E$9/1000000</f>
        <v>23061.639562969405</v>
      </c>
      <c r="BV19" s="758">
        <f>VLOOKUP(BV$4,'Dynamic Population'!$A$14:$AA$97,19,FALSE)*'Underlying Assumptions'!$E$9/1000000</f>
        <v>23061.639562969405</v>
      </c>
      <c r="BW19" s="758">
        <f>VLOOKUP(BW$4,'Dynamic Population'!$A$14:$AA$97,19,FALSE)*'Underlying Assumptions'!$E$9/1000000</f>
        <v>23061.639562969405</v>
      </c>
      <c r="BX19" s="758">
        <f>VLOOKUP(BX$4,'Dynamic Population'!$A$14:$AA$97,19,FALSE)*'Underlying Assumptions'!$E$9/1000000</f>
        <v>23061.639562969405</v>
      </c>
      <c r="BY19" s="758">
        <f>VLOOKUP(BY$4,'Dynamic Population'!$A$14:$AA$97,19,FALSE)*'Underlying Assumptions'!$E$9/1000000</f>
        <v>23061.639562969405</v>
      </c>
      <c r="BZ19" s="758">
        <f>VLOOKUP(BZ$4,'Dynamic Population'!$A$14:$AA$97,19,FALSE)*'Underlying Assumptions'!$E$9/1000000</f>
        <v>23061.639562969405</v>
      </c>
      <c r="CA19" s="758">
        <f>VLOOKUP(CA$4,'Dynamic Population'!$A$14:$AA$97,19,FALSE)*'Underlying Assumptions'!$E$9/1000000</f>
        <v>23061.639562969405</v>
      </c>
      <c r="CB19" s="758">
        <f>VLOOKUP(CB$4,'Dynamic Population'!$A$14:$AA$97,19,FALSE)*'Underlying Assumptions'!$E$9/1000000</f>
        <v>23061.639562969405</v>
      </c>
      <c r="CC19" s="758">
        <f>VLOOKUP(CC$4,'Dynamic Population'!$A$14:$AA$97,19,FALSE)*'Underlying Assumptions'!$E$9/1000000</f>
        <v>23061.639562969405</v>
      </c>
      <c r="CD19" s="758">
        <f>VLOOKUP(CD$4,'Dynamic Population'!$A$14:$AA$97,19,FALSE)*'Underlying Assumptions'!$E$9/1000000</f>
        <v>23061.639562969405</v>
      </c>
      <c r="CE19" s="758" t="e">
        <f>VLOOKUP(CE$4,'Dynamic Population'!$A$14:$AA$97,19,FALSE)*'Underlying Assumptions'!$E$9/1000000</f>
        <v>#N/A</v>
      </c>
      <c r="CF19" s="758" t="e">
        <f>VLOOKUP(CF$4,'Dynamic Population'!$A$14:$AA$97,19,FALSE)*'Underlying Assumptions'!$E$9/1000000</f>
        <v>#N/A</v>
      </c>
      <c r="CG19" s="758" t="e">
        <f>VLOOKUP(CG$4,'Dynamic Population'!$A$14:$AA$97,19,FALSE)*'Underlying Assumptions'!$E$9/1000000</f>
        <v>#N/A</v>
      </c>
      <c r="CH19" s="758" t="e">
        <f>VLOOKUP(CH$4,'Dynamic Population'!$A$14:$AA$97,19,FALSE)*'Underlying Assumptions'!$E$9/1000000</f>
        <v>#N/A</v>
      </c>
      <c r="CI19" s="758" t="e">
        <f>VLOOKUP(CI$4,'Dynamic Population'!$A$14:$AA$97,19,FALSE)*'Underlying Assumptions'!$E$9/1000000</f>
        <v>#N/A</v>
      </c>
      <c r="CJ19" s="758" t="e">
        <f>VLOOKUP(CJ$4,'Dynamic Population'!$A$14:$AA$97,19,FALSE)*'Underlying Assumptions'!$E$9/1000000</f>
        <v>#N/A</v>
      </c>
      <c r="CK19" s="758" t="e">
        <f>VLOOKUP(CK$4,'Dynamic Population'!$A$14:$AA$97,19,FALSE)*'Underlying Assumptions'!$E$9/1000000</f>
        <v>#N/A</v>
      </c>
      <c r="CL19" s="758" t="e">
        <f>VLOOKUP(CL$4,'Dynamic Population'!$A$14:$AA$97,19,FALSE)*'Underlying Assumptions'!$E$9/1000000</f>
        <v>#N/A</v>
      </c>
      <c r="CM19" s="758" t="e">
        <f>VLOOKUP(CM$4,'Dynamic Population'!$A$14:$AA$97,19,FALSE)*'Underlying Assumptions'!$E$9/1000000</f>
        <v>#N/A</v>
      </c>
      <c r="CN19" s="755"/>
      <c r="CO19" s="755"/>
      <c r="CP19" s="755"/>
      <c r="CQ19" s="755"/>
      <c r="CR19" s="755"/>
      <c r="CS19" s="755"/>
      <c r="CT19" s="755"/>
      <c r="CU19" s="755"/>
      <c r="CV19" s="755"/>
      <c r="CW19" s="755"/>
      <c r="CX19" s="755"/>
      <c r="CY19" s="755"/>
      <c r="CZ19" s="755"/>
    </row>
    <row r="20" spans="1:104" x14ac:dyDescent="0.25">
      <c r="B20" s="609" t="s">
        <v>319</v>
      </c>
      <c r="E20" s="490">
        <f>E14/E19</f>
        <v>0.7826747003989768</v>
      </c>
      <c r="F20" s="490">
        <f t="shared" ref="F20:BQ20" si="14">F14/F19</f>
        <v>0.74029998359026883</v>
      </c>
      <c r="G20" s="490">
        <f t="shared" si="14"/>
        <v>0.75359344820039287</v>
      </c>
      <c r="H20" s="490">
        <f t="shared" si="14"/>
        <v>0.76704333163162275</v>
      </c>
      <c r="I20" s="490">
        <f t="shared" si="14"/>
        <v>0.78064775214013216</v>
      </c>
      <c r="J20" s="490">
        <f t="shared" si="14"/>
        <v>0.75175108198956586</v>
      </c>
      <c r="K20" s="490">
        <f t="shared" si="14"/>
        <v>0.76491128710108047</v>
      </c>
      <c r="L20" s="490">
        <f t="shared" si="14"/>
        <v>0.77821101408760518</v>
      </c>
      <c r="M20" s="490">
        <f t="shared" si="14"/>
        <v>0.79164752631941415</v>
      </c>
      <c r="N20" s="490">
        <f t="shared" si="14"/>
        <v>0.80521781785224333</v>
      </c>
      <c r="O20" s="490">
        <f t="shared" si="14"/>
        <v>0.82609610934687983</v>
      </c>
      <c r="P20" s="490">
        <f t="shared" si="14"/>
        <v>0.84751042528415999</v>
      </c>
      <c r="Q20" s="490">
        <f t="shared" si="14"/>
        <v>0.86947436066504824</v>
      </c>
      <c r="R20" s="490">
        <f t="shared" si="14"/>
        <v>0.89200185001970977</v>
      </c>
      <c r="S20" s="490">
        <f t="shared" si="14"/>
        <v>0.91510717571813716</v>
      </c>
      <c r="T20" s="490">
        <f t="shared" si="14"/>
        <v>0.93880497647869598</v>
      </c>
      <c r="U20" s="490">
        <f t="shared" si="14"/>
        <v>0.96311025607912992</v>
      </c>
      <c r="V20" s="490">
        <f t="shared" si="14"/>
        <v>0.98803839227464374</v>
      </c>
      <c r="W20" s="490">
        <f t="shared" si="14"/>
        <v>1.0136051459278013</v>
      </c>
      <c r="X20" s="490">
        <f t="shared" si="14"/>
        <v>1.0398266703550638</v>
      </c>
      <c r="Y20" s="490">
        <f t="shared" si="14"/>
        <v>1.0667195208949007</v>
      </c>
      <c r="Z20" s="490">
        <f t="shared" si="14"/>
        <v>1.0943006647025124</v>
      </c>
      <c r="AA20" s="490">
        <f t="shared" si="14"/>
        <v>1.1225874907763111</v>
      </c>
      <c r="AB20" s="490">
        <f t="shared" si="14"/>
        <v>1.1515978202214114</v>
      </c>
      <c r="AC20" s="490">
        <f t="shared" si="14"/>
        <v>1.1813499167554997</v>
      </c>
      <c r="AD20" s="490">
        <f t="shared" si="14"/>
        <v>1.2118624974625558</v>
      </c>
      <c r="AE20" s="490">
        <f t="shared" si="14"/>
        <v>1.2431547438000297</v>
      </c>
      <c r="AF20" s="490">
        <f t="shared" si="14"/>
        <v>1.2752463128651754</v>
      </c>
      <c r="AG20" s="490">
        <f t="shared" si="14"/>
        <v>1.3081573489263834</v>
      </c>
      <c r="AH20" s="490">
        <f t="shared" si="14"/>
        <v>1.341908495225455</v>
      </c>
      <c r="AI20" s="490">
        <f t="shared" si="14"/>
        <v>1.3765209060569084</v>
      </c>
      <c r="AJ20" s="490">
        <f t="shared" si="14"/>
        <v>1.4120162591305074</v>
      </c>
      <c r="AK20" s="490">
        <f t="shared" si="14"/>
        <v>1.4484167682233577</v>
      </c>
      <c r="AL20" s="490">
        <f t="shared" si="14"/>
        <v>1.485745196128021</v>
      </c>
      <c r="AM20" s="490">
        <f t="shared" si="14"/>
        <v>1.5240248679032611</v>
      </c>
      <c r="AN20" s="490">
        <f t="shared" si="14"/>
        <v>1.5674595766385035</v>
      </c>
      <c r="AO20" s="490">
        <f t="shared" si="14"/>
        <v>1.6121321745727011</v>
      </c>
      <c r="AP20" s="490">
        <f t="shared" si="14"/>
        <v>1.6580779415480231</v>
      </c>
      <c r="AQ20" s="490">
        <f t="shared" si="14"/>
        <v>1.7053331628821418</v>
      </c>
      <c r="AR20" s="490">
        <f t="shared" si="14"/>
        <v>1.7539351580242828</v>
      </c>
      <c r="AS20" s="490">
        <f t="shared" si="14"/>
        <v>1.8039223100279751</v>
      </c>
      <c r="AT20" s="490">
        <f t="shared" si="14"/>
        <v>1.8553340958637718</v>
      </c>
      <c r="AU20" s="490">
        <f t="shared" si="14"/>
        <v>1.9082111175958896</v>
      </c>
      <c r="AV20" s="490">
        <f t="shared" si="14"/>
        <v>1.9625951344473722</v>
      </c>
      <c r="AW20" s="490">
        <f t="shared" si="14"/>
        <v>2.0185290957791224</v>
      </c>
      <c r="AX20" s="490">
        <f t="shared" si="14"/>
        <v>2.076057175008827</v>
      </c>
      <c r="AY20" s="490">
        <f t="shared" si="14"/>
        <v>2.1352248044965791</v>
      </c>
      <c r="AZ20" s="490">
        <f t="shared" si="14"/>
        <v>2.1960787114247311</v>
      </c>
      <c r="BA20" s="490">
        <f t="shared" si="14"/>
        <v>2.258666954700336</v>
      </c>
      <c r="BB20" s="490">
        <f t="shared" si="14"/>
        <v>2.3230389629092958</v>
      </c>
      <c r="BC20" s="490">
        <f t="shared" si="14"/>
        <v>2.3892455733522109</v>
      </c>
      <c r="BD20" s="490">
        <f t="shared" si="14"/>
        <v>2.4573390721927479</v>
      </c>
      <c r="BE20" s="490">
        <f t="shared" si="14"/>
        <v>2.527373235750241</v>
      </c>
      <c r="BF20" s="490">
        <f t="shared" si="14"/>
        <v>2.5994033729691233</v>
      </c>
      <c r="BG20" s="490">
        <f t="shared" si="14"/>
        <v>2.6734863690987432</v>
      </c>
      <c r="BH20" s="490">
        <f t="shared" si="14"/>
        <v>2.7496807306180568</v>
      </c>
      <c r="BI20" s="490">
        <f t="shared" si="14"/>
        <v>2.8280466314406718</v>
      </c>
      <c r="BJ20" s="490">
        <f t="shared" si="14"/>
        <v>2.9086459604367305</v>
      </c>
      <c r="BK20" s="490">
        <f t="shared" si="14"/>
        <v>2.9915423703091775</v>
      </c>
      <c r="BL20" s="490">
        <f t="shared" si="14"/>
        <v>3.0768013278629884</v>
      </c>
      <c r="BM20" s="490">
        <f t="shared" si="14"/>
        <v>3.1644901657070834</v>
      </c>
      <c r="BN20" s="490">
        <f t="shared" si="14"/>
        <v>3.2546781354297352</v>
      </c>
      <c r="BO20" s="490">
        <f t="shared" si="14"/>
        <v>3.3474364622894828</v>
      </c>
      <c r="BP20" s="490">
        <f t="shared" si="14"/>
        <v>3.4428384014647326</v>
      </c>
      <c r="BQ20" s="490">
        <f t="shared" si="14"/>
        <v>3.5409592959064771</v>
      </c>
      <c r="BR20" s="490">
        <f t="shared" ref="BR20:CM20" si="15">BR14/BR19</f>
        <v>3.6418766358398122</v>
      </c>
      <c r="BS20" s="490">
        <f t="shared" si="15"/>
        <v>3.7456701199612477</v>
      </c>
      <c r="BT20" s="490">
        <f t="shared" si="15"/>
        <v>3.8524217183801421</v>
      </c>
      <c r="BU20" s="490">
        <f t="shared" si="15"/>
        <v>3.9622157373539766</v>
      </c>
      <c r="BV20" s="490">
        <f t="shared" si="15"/>
        <v>4.0751388858685642</v>
      </c>
      <c r="BW20" s="490">
        <f t="shared" si="15"/>
        <v>4.1912803441158184</v>
      </c>
      <c r="BX20" s="490">
        <f t="shared" si="15"/>
        <v>4.3107318339231195</v>
      </c>
      <c r="BY20" s="490">
        <f t="shared" si="15"/>
        <v>4.4335876911899286</v>
      </c>
      <c r="BZ20" s="490">
        <f t="shared" si="15"/>
        <v>4.5599449403888404</v>
      </c>
      <c r="CA20" s="490">
        <f t="shared" si="15"/>
        <v>4.6899033711899225</v>
      </c>
      <c r="CB20" s="490">
        <f t="shared" si="15"/>
        <v>4.8235656172688346</v>
      </c>
      <c r="CC20" s="490">
        <f t="shared" si="15"/>
        <v>4.8235656172688346</v>
      </c>
      <c r="CD20" s="490">
        <f t="shared" si="15"/>
        <v>4.8235656172688346</v>
      </c>
      <c r="CE20" s="490" t="e">
        <f t="shared" si="15"/>
        <v>#N/A</v>
      </c>
      <c r="CF20" s="490" t="e">
        <f t="shared" si="15"/>
        <v>#N/A</v>
      </c>
      <c r="CG20" s="490" t="e">
        <f t="shared" si="15"/>
        <v>#N/A</v>
      </c>
      <c r="CH20" s="490" t="e">
        <f t="shared" si="15"/>
        <v>#N/A</v>
      </c>
      <c r="CI20" s="490" t="e">
        <f t="shared" si="15"/>
        <v>#N/A</v>
      </c>
      <c r="CJ20" s="490" t="e">
        <f t="shared" si="15"/>
        <v>#N/A</v>
      </c>
      <c r="CK20" s="490" t="e">
        <f t="shared" si="15"/>
        <v>#N/A</v>
      </c>
      <c r="CL20" s="490" t="e">
        <f t="shared" si="15"/>
        <v>#N/A</v>
      </c>
      <c r="CM20" s="490" t="e">
        <f t="shared" si="15"/>
        <v>#N/A</v>
      </c>
      <c r="CN20" s="490"/>
      <c r="CO20" s="490"/>
      <c r="CP20" s="490"/>
      <c r="CQ20" s="490"/>
      <c r="CR20" s="490"/>
      <c r="CS20" s="490"/>
      <c r="CT20" s="490"/>
      <c r="CU20" s="490"/>
      <c r="CV20" s="490"/>
      <c r="CW20" s="490"/>
      <c r="CX20" s="490"/>
      <c r="CY20" s="490"/>
      <c r="CZ20" s="490"/>
    </row>
    <row r="21" spans="1:104" x14ac:dyDescent="0.25">
      <c r="B21" s="609" t="s">
        <v>315</v>
      </c>
      <c r="E21" s="614">
        <f t="shared" ref="E21:W21" si="16">IF(E19-E14&gt;0,0,E14-E19)</f>
        <v>0</v>
      </c>
      <c r="F21" s="614">
        <f t="shared" si="16"/>
        <v>0</v>
      </c>
      <c r="G21" s="614">
        <f t="shared" si="16"/>
        <v>0</v>
      </c>
      <c r="H21" s="614">
        <f t="shared" si="16"/>
        <v>0</v>
      </c>
      <c r="I21" s="614">
        <f t="shared" si="16"/>
        <v>0</v>
      </c>
      <c r="J21" s="614">
        <f t="shared" si="16"/>
        <v>0</v>
      </c>
      <c r="K21" s="614">
        <f t="shared" si="16"/>
        <v>0</v>
      </c>
      <c r="L21" s="614">
        <f t="shared" si="16"/>
        <v>0</v>
      </c>
      <c r="M21" s="614">
        <f t="shared" si="16"/>
        <v>0</v>
      </c>
      <c r="N21" s="614">
        <f t="shared" si="16"/>
        <v>0</v>
      </c>
      <c r="O21" s="614">
        <f t="shared" si="16"/>
        <v>0</v>
      </c>
      <c r="P21" s="614">
        <f t="shared" si="16"/>
        <v>0</v>
      </c>
      <c r="Q21" s="614">
        <f t="shared" si="16"/>
        <v>0</v>
      </c>
      <c r="R21" s="614">
        <f t="shared" si="16"/>
        <v>0</v>
      </c>
      <c r="S21" s="614">
        <f t="shared" si="16"/>
        <v>0</v>
      </c>
      <c r="T21" s="614">
        <f t="shared" si="16"/>
        <v>0</v>
      </c>
      <c r="U21" s="614">
        <f t="shared" si="16"/>
        <v>0</v>
      </c>
      <c r="V21" s="614">
        <f t="shared" si="16"/>
        <v>0</v>
      </c>
      <c r="W21" s="614">
        <f t="shared" si="16"/>
        <v>313.75697158855473</v>
      </c>
      <c r="X21" s="614">
        <f>IF(X19-X14&gt;0,0,X14-X19)</f>
        <v>918.468316721679</v>
      </c>
      <c r="Y21" s="614">
        <f t="shared" ref="Y21:CJ21" si="17">IF(Y19-Y14&gt;0,0,Y14-Y19)</f>
        <v>1538.6615426922071</v>
      </c>
      <c r="Z21" s="614">
        <f t="shared" si="17"/>
        <v>2174.7279399177751</v>
      </c>
      <c r="AA21" s="614">
        <f t="shared" si="17"/>
        <v>2827.0685272121227</v>
      </c>
      <c r="AB21" s="614">
        <f t="shared" si="17"/>
        <v>3496.094288478027</v>
      </c>
      <c r="AC21" s="614">
        <f t="shared" si="17"/>
        <v>4182.2264149898401</v>
      </c>
      <c r="AD21" s="614">
        <f t="shared" si="17"/>
        <v>4885.89655339198</v>
      </c>
      <c r="AE21" s="614">
        <f t="shared" si="17"/>
        <v>5607.5470595424558</v>
      </c>
      <c r="AF21" s="614">
        <f t="shared" si="17"/>
        <v>6347.6312583329855</v>
      </c>
      <c r="AG21" s="614">
        <f t="shared" si="17"/>
        <v>7106.6137096204511</v>
      </c>
      <c r="AH21" s="614">
        <f t="shared" si="17"/>
        <v>7884.9704804066896</v>
      </c>
      <c r="AI21" s="614">
        <f t="shared" si="17"/>
        <v>8683.189423407086</v>
      </c>
      <c r="AJ21" s="614">
        <f t="shared" si="17"/>
        <v>9501.7704621507655</v>
      </c>
      <c r="AK21" s="614">
        <f t="shared" si="17"/>
        <v>10341.225882758667</v>
      </c>
      <c r="AL21" s="614">
        <f t="shared" si="17"/>
        <v>11202.080632548303</v>
      </c>
      <c r="AM21" s="614">
        <f t="shared" si="17"/>
        <v>12084.872625617663</v>
      </c>
      <c r="AN21" s="614">
        <f t="shared" si="17"/>
        <v>13086.548222992384</v>
      </c>
      <c r="AO21" s="614">
        <f t="shared" si="17"/>
        <v>14116.771574892296</v>
      </c>
      <c r="AP21" s="614">
        <f t="shared" si="17"/>
        <v>15176.356292321358</v>
      </c>
      <c r="AQ21" s="614">
        <f t="shared" si="17"/>
        <v>16266.139174197142</v>
      </c>
      <c r="AR21" s="614">
        <f t="shared" si="17"/>
        <v>17386.980868206392</v>
      </c>
      <c r="AS21" s="614">
        <f t="shared" si="17"/>
        <v>18539.766550494907</v>
      </c>
      <c r="AT21" s="614">
        <f t="shared" si="17"/>
        <v>19725.406624728628</v>
      </c>
      <c r="AU21" s="614">
        <f t="shared" si="17"/>
        <v>20944.837441078027</v>
      </c>
      <c r="AV21" s="614">
        <f t="shared" si="17"/>
        <v>22199.022035693375</v>
      </c>
      <c r="AW21" s="614">
        <f t="shared" si="17"/>
        <v>23488.950891255266</v>
      </c>
      <c r="AX21" s="614">
        <f t="shared" si="17"/>
        <v>24815.642719200663</v>
      </c>
      <c r="AY21" s="614">
        <f t="shared" si="17"/>
        <v>26180.145264242517</v>
      </c>
      <c r="AZ21" s="614">
        <f t="shared" si="17"/>
        <v>27583.53613181804</v>
      </c>
      <c r="BA21" s="614">
        <f t="shared" si="17"/>
        <v>29026.92363911949</v>
      </c>
      <c r="BB21" s="614">
        <f t="shared" si="17"/>
        <v>30511.447690379031</v>
      </c>
      <c r="BC21" s="614">
        <f t="shared" si="17"/>
        <v>32038.280677099461</v>
      </c>
      <c r="BD21" s="614">
        <f t="shared" si="17"/>
        <v>33608.628403941402</v>
      </c>
      <c r="BE21" s="614">
        <f t="shared" si="17"/>
        <v>35223.731040998362</v>
      </c>
      <c r="BF21" s="614">
        <f t="shared" si="17"/>
        <v>36884.864103211439</v>
      </c>
      <c r="BG21" s="614">
        <f t="shared" si="17"/>
        <v>38593.339457697599</v>
      </c>
      <c r="BH21" s="614">
        <f t="shared" si="17"/>
        <v>40350.506359786596</v>
      </c>
      <c r="BI21" s="614">
        <f t="shared" si="17"/>
        <v>42157.752518585141</v>
      </c>
      <c r="BJ21" s="614">
        <f t="shared" si="17"/>
        <v>44016.505192909448</v>
      </c>
      <c r="BK21" s="614">
        <f t="shared" si="17"/>
        <v>45928.232318451992</v>
      </c>
      <c r="BL21" s="614">
        <f t="shared" si="17"/>
        <v>47894.443667072497</v>
      </c>
      <c r="BM21" s="614">
        <f t="shared" si="17"/>
        <v>49916.692039128684</v>
      </c>
      <c r="BN21" s="614">
        <f t="shared" si="17"/>
        <v>51996.574489788472</v>
      </c>
      <c r="BO21" s="614">
        <f t="shared" si="17"/>
        <v>54135.733590292075</v>
      </c>
      <c r="BP21" s="614">
        <f t="shared" si="17"/>
        <v>56335.858725160026</v>
      </c>
      <c r="BQ21" s="614">
        <f t="shared" si="17"/>
        <v>58598.687426371704</v>
      </c>
      <c r="BR21" s="614">
        <f t="shared" si="17"/>
        <v>60926.006745567938</v>
      </c>
      <c r="BS21" s="614">
        <f t="shared" si="17"/>
        <v>63319.65466536126</v>
      </c>
      <c r="BT21" s="614">
        <f t="shared" si="17"/>
        <v>65781.521550868667</v>
      </c>
      <c r="BU21" s="614">
        <f t="shared" si="17"/>
        <v>68313.551642613063</v>
      </c>
      <c r="BV21" s="614">
        <f t="shared" si="17"/>
        <v>70917.744591972136</v>
      </c>
      <c r="BW21" s="614">
        <f t="shared" si="17"/>
        <v>73596.157040387989</v>
      </c>
      <c r="BX21" s="614">
        <f t="shared" si="17"/>
        <v>76350.904243583675</v>
      </c>
      <c r="BY21" s="614">
        <f t="shared" si="17"/>
        <v>79184.161742070442</v>
      </c>
      <c r="BZ21" s="614">
        <f t="shared" si="17"/>
        <v>82098.167079264051</v>
      </c>
      <c r="CA21" s="614">
        <f t="shared" si="17"/>
        <v>85095.221568567707</v>
      </c>
      <c r="CB21" s="614">
        <f t="shared" si="17"/>
        <v>88177.692110816497</v>
      </c>
      <c r="CC21" s="614">
        <f t="shared" si="17"/>
        <v>88177.692110816497</v>
      </c>
      <c r="CD21" s="614">
        <f t="shared" si="17"/>
        <v>88177.692110816497</v>
      </c>
      <c r="CE21" s="614" t="e">
        <f t="shared" si="17"/>
        <v>#N/A</v>
      </c>
      <c r="CF21" s="614" t="e">
        <f t="shared" si="17"/>
        <v>#N/A</v>
      </c>
      <c r="CG21" s="614" t="e">
        <f t="shared" si="17"/>
        <v>#N/A</v>
      </c>
      <c r="CH21" s="614" t="e">
        <f t="shared" si="17"/>
        <v>#N/A</v>
      </c>
      <c r="CI21" s="614" t="e">
        <f t="shared" si="17"/>
        <v>#N/A</v>
      </c>
      <c r="CJ21" s="614" t="e">
        <f t="shared" si="17"/>
        <v>#N/A</v>
      </c>
      <c r="CK21" s="614" t="e">
        <f t="shared" ref="CK21:CM21" si="18">IF(CK19-CK14&gt;0,0,CK14-CK19)</f>
        <v>#N/A</v>
      </c>
      <c r="CL21" s="614" t="e">
        <f t="shared" si="18"/>
        <v>#N/A</v>
      </c>
      <c r="CM21" s="614" t="e">
        <f t="shared" si="18"/>
        <v>#N/A</v>
      </c>
      <c r="CN21" s="614">
        <f>IF(CN19-CN10&gt;0,0,CN10-CN19)</f>
        <v>0</v>
      </c>
      <c r="CO21" s="614">
        <f>IF(CO19-CO10&gt;0,0,CO10-CO19)</f>
        <v>0</v>
      </c>
      <c r="CP21" s="614">
        <f>IF(CP19-CP10&gt;0,0,CP10-CP19)</f>
        <v>0</v>
      </c>
      <c r="CQ21" s="614"/>
      <c r="CR21" s="614"/>
      <c r="CS21" s="614"/>
      <c r="CT21" s="614"/>
      <c r="CU21" s="614"/>
      <c r="CV21" s="614"/>
      <c r="CW21" s="614"/>
      <c r="CX21" s="614"/>
      <c r="CY21" s="614"/>
      <c r="CZ21" s="614"/>
    </row>
    <row r="22" spans="1:104" x14ac:dyDescent="0.25">
      <c r="B22" s="609" t="s">
        <v>530</v>
      </c>
      <c r="E22" s="614">
        <f>E21</f>
        <v>0</v>
      </c>
      <c r="F22" s="614">
        <f t="shared" ref="F22:V22" si="19">E21+F21</f>
        <v>0</v>
      </c>
      <c r="G22" s="614">
        <f t="shared" si="19"/>
        <v>0</v>
      </c>
      <c r="H22" s="614">
        <f t="shared" si="19"/>
        <v>0</v>
      </c>
      <c r="I22" s="614">
        <f t="shared" si="19"/>
        <v>0</v>
      </c>
      <c r="J22" s="614">
        <f t="shared" si="19"/>
        <v>0</v>
      </c>
      <c r="K22" s="614">
        <f t="shared" si="19"/>
        <v>0</v>
      </c>
      <c r="L22" s="614">
        <f t="shared" si="19"/>
        <v>0</v>
      </c>
      <c r="M22" s="614">
        <f t="shared" si="19"/>
        <v>0</v>
      </c>
      <c r="N22" s="614">
        <f t="shared" si="19"/>
        <v>0</v>
      </c>
      <c r="O22" s="614">
        <f t="shared" si="19"/>
        <v>0</v>
      </c>
      <c r="P22" s="614">
        <f t="shared" si="19"/>
        <v>0</v>
      </c>
      <c r="Q22" s="614">
        <f t="shared" si="19"/>
        <v>0</v>
      </c>
      <c r="R22" s="614">
        <f t="shared" si="19"/>
        <v>0</v>
      </c>
      <c r="S22" s="614">
        <f t="shared" si="19"/>
        <v>0</v>
      </c>
      <c r="T22" s="614">
        <f t="shared" si="19"/>
        <v>0</v>
      </c>
      <c r="U22" s="614">
        <f t="shared" si="19"/>
        <v>0</v>
      </c>
      <c r="V22" s="614">
        <f t="shared" si="19"/>
        <v>0</v>
      </c>
      <c r="W22" s="614">
        <f>V22+W21</f>
        <v>313.75697158855473</v>
      </c>
      <c r="X22" s="614">
        <f t="shared" ref="X22:AY22" si="20">W22+X21</f>
        <v>1232.2252883102337</v>
      </c>
      <c r="Y22" s="614">
        <f t="shared" si="20"/>
        <v>2770.8868310024409</v>
      </c>
      <c r="Z22" s="614">
        <f t="shared" si="20"/>
        <v>4945.614770920216</v>
      </c>
      <c r="AA22" s="614">
        <f t="shared" si="20"/>
        <v>7772.6832981323387</v>
      </c>
      <c r="AB22" s="614">
        <f t="shared" si="20"/>
        <v>11268.777586610366</v>
      </c>
      <c r="AC22" s="614">
        <f t="shared" si="20"/>
        <v>15451.004001600206</v>
      </c>
      <c r="AD22" s="614">
        <f t="shared" si="20"/>
        <v>20336.900554992186</v>
      </c>
      <c r="AE22" s="614">
        <f t="shared" si="20"/>
        <v>25944.447614534642</v>
      </c>
      <c r="AF22" s="614">
        <f t="shared" si="20"/>
        <v>32292.078872867627</v>
      </c>
      <c r="AG22" s="614">
        <f t="shared" si="20"/>
        <v>39398.692582488075</v>
      </c>
      <c r="AH22" s="614">
        <f t="shared" si="20"/>
        <v>47283.663062894761</v>
      </c>
      <c r="AI22" s="614">
        <f t="shared" si="20"/>
        <v>55966.852486301847</v>
      </c>
      <c r="AJ22" s="614">
        <f t="shared" si="20"/>
        <v>65468.622948452612</v>
      </c>
      <c r="AK22" s="614">
        <f t="shared" si="20"/>
        <v>75809.848831211275</v>
      </c>
      <c r="AL22" s="614">
        <f t="shared" si="20"/>
        <v>87011.929463759574</v>
      </c>
      <c r="AM22" s="614">
        <f t="shared" si="20"/>
        <v>99096.802089377234</v>
      </c>
      <c r="AN22" s="614">
        <f t="shared" si="20"/>
        <v>112183.35031236961</v>
      </c>
      <c r="AO22" s="614">
        <f t="shared" si="20"/>
        <v>126300.12188726191</v>
      </c>
      <c r="AP22" s="614">
        <f t="shared" si="20"/>
        <v>141476.47817958327</v>
      </c>
      <c r="AQ22" s="614">
        <f t="shared" si="20"/>
        <v>157742.6173537804</v>
      </c>
      <c r="AR22" s="614">
        <f t="shared" si="20"/>
        <v>175129.59822198679</v>
      </c>
      <c r="AS22" s="614">
        <f t="shared" si="20"/>
        <v>193669.3647724817</v>
      </c>
      <c r="AT22" s="614">
        <f t="shared" si="20"/>
        <v>213394.77139721034</v>
      </c>
      <c r="AU22" s="614">
        <f t="shared" si="20"/>
        <v>234339.60883828838</v>
      </c>
      <c r="AV22" s="614">
        <f t="shared" si="20"/>
        <v>256538.63087398175</v>
      </c>
      <c r="AW22" s="614">
        <f t="shared" si="20"/>
        <v>280027.58176523703</v>
      </c>
      <c r="AX22" s="614">
        <f t="shared" si="20"/>
        <v>304843.22448443767</v>
      </c>
      <c r="AY22" s="614">
        <f t="shared" si="20"/>
        <v>331023.36974868021</v>
      </c>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c r="CU22" s="614"/>
      <c r="CV22" s="614"/>
      <c r="CW22" s="614"/>
      <c r="CX22" s="614"/>
      <c r="CY22" s="614"/>
      <c r="CZ22" s="614"/>
    </row>
    <row r="23" spans="1:104" x14ac:dyDescent="0.25">
      <c r="B23" s="609" t="s">
        <v>373</v>
      </c>
      <c r="E23" s="490">
        <f>E21*1000000/('Construction Timing'!$I$23*325851)</f>
        <v>0</v>
      </c>
      <c r="F23" s="792">
        <f>IF(F24&lt;100%,(F21-E21)*1000000/('Construction Timing'!$I$23*325851), IF( AND(F24=100%, E24&lt;100%), F24-E24,0))</f>
        <v>0</v>
      </c>
      <c r="G23" s="792">
        <f>IF(G24&lt;100%,(G21-F21)*1000000/('Construction Timing'!$I$23*325851), IF( AND(G24=100%, F24&lt;100%), G24-F24,0))</f>
        <v>0</v>
      </c>
      <c r="H23" s="792">
        <f>IF(H24&lt;100%,(H21-G21)*1000000/('Construction Timing'!$I$23*325851), IF( AND(H24=100%, G24&lt;100%), H24-G24,0))</f>
        <v>0</v>
      </c>
      <c r="I23" s="792">
        <f>IF(I24&lt;100%,(I21-H21)*1000000/('Construction Timing'!$I$23*325851), IF( AND(I24=100%, H24&lt;100%), I24-H24,0))</f>
        <v>0</v>
      </c>
      <c r="J23" s="792">
        <f>IF(J24&lt;100%,(J21-I21)*1000000/('Construction Timing'!$I$23*325851), IF( AND(J24=100%, I24&lt;100%), J24-I24,0))</f>
        <v>0</v>
      </c>
      <c r="K23" s="792">
        <f>IF(K24&lt;100%,(K21-J21)*1000000/('Construction Timing'!$I$23*325851), IF( AND(K24=100%, J24&lt;100%), K24-J24,0))</f>
        <v>0</v>
      </c>
      <c r="L23" s="792">
        <f>IF(L24&lt;100%,(L21-K21)*1000000/('Construction Timing'!$I$23*325851), IF( AND(L24=100%, K24&lt;100%), L24-K24,0))</f>
        <v>0</v>
      </c>
      <c r="M23" s="792">
        <f>IF(M24&lt;100%,(M21-L21)*1000000/('Construction Timing'!$I$23*325851), IF( AND(M24=100%, L24&lt;100%), M24-L24,0))</f>
        <v>0</v>
      </c>
      <c r="N23" s="792">
        <f>IF(N24&lt;100%,(N21-M21)*1000000/('Construction Timing'!$I$23*325851), IF( AND(N24=100%, M24&lt;100%), N24-M24,0))</f>
        <v>0</v>
      </c>
      <c r="O23" s="792">
        <f>IF(O24&lt;100%,(O21-N21)*1000000/('Construction Timing'!$I$23*325851), IF( AND(O24=100%, N24&lt;100%), O24-N24,0))</f>
        <v>0</v>
      </c>
      <c r="P23" s="792">
        <f>IF(P24&lt;100%,(P21-O21)*1000000/('Construction Timing'!$I$23*325851), IF( AND(P24=100%, O24&lt;100%), P24-O24,0))</f>
        <v>0</v>
      </c>
      <c r="Q23" s="792">
        <f>IF(Q24&lt;100%,(Q21-P21)*1000000/('Construction Timing'!$I$23*325851), IF( AND(Q24=100%, P24&lt;100%), Q24-P24,0))</f>
        <v>0</v>
      </c>
      <c r="R23" s="792">
        <f>IF(R24&lt;100%,(R21-Q21)*1000000/('Construction Timing'!$I$23*325851), IF( AND(R24=100%, Q24&lt;100%), R24-Q24,0))</f>
        <v>0</v>
      </c>
      <c r="S23" s="792">
        <f>IF(S24&lt;100%,(S21-R21)*1000000/('Construction Timing'!$I$23*325851), IF( AND(S24=100%, R24&lt;100%), S24-R24,0))</f>
        <v>0</v>
      </c>
      <c r="T23" s="792">
        <f>IF(T24&lt;100%,(T21-S21)*1000000/('Construction Timing'!$I$23*325851), IF( AND(T24=100%, S24&lt;100%), T24-S24,0))</f>
        <v>0</v>
      </c>
      <c r="U23" s="792">
        <f>IF(U24&lt;100%,(U21-T21)*1000000/('Construction Timing'!$I$23*325851), IF( AND(U24=100%, T24&lt;100%), U24-T24,0))</f>
        <v>0</v>
      </c>
      <c r="V23" s="792">
        <f>IF(V24&lt;100%,(V21-U21)*1000000/('Construction Timing'!$I$23*325851), IF( AND(V24=100%, U24&lt;100%), V24-U24,0))</f>
        <v>0</v>
      </c>
      <c r="W23" s="792">
        <f>IF(W24&lt;100%,(W21-V21)*1000000/('Construction Timing'!$I$23*325851), IF( AND(W24=100%, V24&lt;100%), W24-V24,0))</f>
        <v>1.1706948286771678E-2</v>
      </c>
      <c r="X23" s="792">
        <f>IF(X24&lt;100%,(X21-W21)*1000000/('Construction Timing'!$I$23*325851), IF( AND(X24=100%, W24&lt;100%), X24-W24,0))</f>
        <v>2.2563082535042755E-2</v>
      </c>
      <c r="Y23" s="792">
        <f>IF(Y24&lt;100%,(Y21-X21)*1000000/('Construction Timing'!$I$23*325851), IF( AND(Y24=100%, X24&lt;100%), Y24-X24,0))</f>
        <v>2.3140744849374135E-2</v>
      </c>
      <c r="Z23" s="792">
        <f>IF(Z24&lt;100%,(Z21-Y21)*1000000/('Construction Timing'!$I$23*325851), IF( AND(Z24=100%, Y24&lt;100%), Z24-Y24,0))</f>
        <v>2.3733007051832875E-2</v>
      </c>
      <c r="AA23" s="792">
        <f>IF(AA24&lt;100%,(AA21-Z21)*1000000/('Construction Timing'!$I$23*325851), IF( AND(AA24=100%, Z24&lt;100%), AA24-Z24,0))</f>
        <v>2.4340232129827753E-2</v>
      </c>
      <c r="AB23" s="792">
        <f>IF(AB24&lt;100%,(AB21-AA21)*1000000/('Construction Timing'!$I$23*325851), IF( AND(AB24=100%, AA24&lt;100%), AB24-AA24,0))</f>
        <v>2.4962791902290601E-2</v>
      </c>
      <c r="AC23" s="792">
        <f>IF(AC24&lt;100%,(AC21-AB21)*1000000/('Construction Timing'!$I$23*325851), IF( AND(AC24=100%, AB24&lt;100%), AC24-AB24,0))</f>
        <v>2.5601067228236501E-2</v>
      </c>
      <c r="AD23" s="792">
        <f>IF(AD24&lt;100%,(AD21-AC21)*1000000/('Construction Timing'!$I$23*325851), IF( AND(AD24=100%, AC24&lt;100%), AD24-AC24,0))</f>
        <v>2.6255448220038283E-2</v>
      </c>
      <c r="AE23" s="792">
        <f>IF(AE24&lt;100%,(AE21-AD21)*1000000/('Construction Timing'!$I$23*325851), IF( AND(AE24=100%, AD24&lt;100%), AE24-AD24,0))</f>
        <v>2.6926334461517369E-2</v>
      </c>
      <c r="AF23" s="792">
        <f>IF(AF24&lt;100%,(AF21-AE21)*1000000/('Construction Timing'!$I$23*325851), IF( AND(AF24=100%, AE24&lt;100%), AF24-AE24,0))</f>
        <v>2.7614135230943283E-2</v>
      </c>
      <c r="AG23" s="792">
        <f>IF(AG24&lt;100%,(AG21-AF21)*1000000/('Construction Timing'!$I$23*325851), IF( AND(AG24=100%, AF24&lt;100%), AG24-AF24,0))</f>
        <v>2.8319269729060854E-2</v>
      </c>
      <c r="AH23" s="792">
        <f>IF(AH24&lt;100%,(AH21-AG21)*1000000/('Construction Timing'!$I$23*325851), IF( AND(AH24=100%, AG24&lt;100%), AH24-AG24,0))</f>
        <v>2.9042167312229007E-2</v>
      </c>
      <c r="AI23" s="792">
        <f>IF(AI24&lt;100%,(AI21-AH21)*1000000/('Construction Timing'!$I$23*325851), IF( AND(AI24=100%, AH24&lt;100%), AI24-AH24,0))</f>
        <v>2.9783267730800814E-2</v>
      </c>
      <c r="AJ23" s="792">
        <f>IF(AJ24&lt;100%,(AJ21-AI21)*1000000/('Construction Timing'!$I$23*325851), IF( AND(AJ24=100%, AI24&lt;100%), AJ24-AI24,0))</f>
        <v>3.0543021372831457E-2</v>
      </c>
      <c r="AK23" s="792">
        <f>IF(AK24&lt;100%,(AK21-AJ21)*1000000/('Construction Timing'!$I$23*325851), IF( AND(AK24=100%, AJ24&lt;100%), AK24-AJ24,0))</f>
        <v>3.1321889513244369E-2</v>
      </c>
      <c r="AL23" s="792">
        <f>IF(AL24&lt;100%,(AL21-AK21)*1000000/('Construction Timing'!$I$23*325851), IF( AND(AL24=100%, AK24&lt;100%), AL24-AK24,0))</f>
        <v>3.2120344568549716E-2</v>
      </c>
      <c r="AM23" s="792">
        <f>IF(AM24&lt;100%,(AM21-AL21)*1000000/('Construction Timing'!$I$23*325851), IF( AND(AM24=100%, AL24&lt;100%), AM24-AL24,0))</f>
        <v>3.293887035725105E-2</v>
      </c>
      <c r="AN23" s="792">
        <f>IF(AN24&lt;100%,(AN21-AM21)*1000000/('Construction Timing'!$I$23*325851), IF( AND(AN24=100%, AM24&lt;100%), AN24-AM24,0))</f>
        <v>3.7374673650167084E-2</v>
      </c>
      <c r="AO23" s="792">
        <f>IF(AO24&lt;100%,(AO21-AN21)*1000000/('Construction Timing'!$I$23*325851), IF( AND(AO24=100%, AN24&lt;100%), AO24-AN24,0))</f>
        <v>3.8439851849197328E-2</v>
      </c>
      <c r="AP23" s="792">
        <f>IF(AP24&lt;100%,(AP21-AO21)*1000000/('Construction Timing'!$I$23*325851), IF( AND(AP24=100%, AO24&lt;100%), AP24-AO24,0))</f>
        <v>3.9535387626899482E-2</v>
      </c>
      <c r="AQ23" s="792">
        <f>IF(AQ24&lt;100%,(AQ21-AP21)*1000000/('Construction Timing'!$I$23*325851), IF( AND(AQ24=100%, AP24&lt;100%), AQ24-AP24,0))</f>
        <v>4.0662146174265931E-2</v>
      </c>
      <c r="AR23" s="792">
        <f>IF(AR24&lt;100%,(AR21-AQ21)*1000000/('Construction Timing'!$I$23*325851), IF( AND(AR24=100%, AQ24&lt;100%), AR24-AQ24,0))</f>
        <v>4.1821017340232733E-2</v>
      </c>
      <c r="AS23" s="792">
        <f>IF(AS24&lt;100%,(AS21-AR21)*1000000/('Construction Timing'!$I$23*325851), IF( AND(AS24=100%, AR24&lt;100%), AS24-AR24,0))</f>
        <v>4.3012916334429413E-2</v>
      </c>
      <c r="AT23" s="792">
        <f>IF(AT24&lt;100%,(AT21-AS21)*1000000/('Construction Timing'!$I$23*325851), IF( AND(AT24=100%, AS24&lt;100%), AT24-AS24,0))</f>
        <v>4.4238784449960031E-2</v>
      </c>
      <c r="AU23" s="792">
        <f>IF(AU24&lt;100%,(AU21-AT21)*1000000/('Construction Timing'!$I$23*325851), IF( AND(AU24=100%, AT24&lt;100%), AU24-AT24,0))</f>
        <v>4.5499589806784514E-2</v>
      </c>
      <c r="AV23" s="792">
        <f>IF(AV24&lt;100%,(AV21-AU21)*1000000/('Construction Timing'!$I$23*325851), IF( AND(AV24=100%, AU24&lt;100%), AV24-AU24,0))</f>
        <v>4.6796328116277548E-2</v>
      </c>
      <c r="AW23" s="792">
        <f>IF(AW24&lt;100%,(AW21-AV21)*1000000/('Construction Timing'!$I$23*325851), IF( AND(AW24=100%, AV24&lt;100%), AW24-AV24,0))</f>
        <v>4.8130023467591675E-2</v>
      </c>
      <c r="AX23" s="792">
        <f>IF(AX24&lt;100%,(AX21-AW21)*1000000/('Construction Timing'!$I$23*325851), IF( AND(AX24=100%, AW24&lt;100%), AX24-AW24,0))</f>
        <v>4.9501729136417719E-2</v>
      </c>
      <c r="AY23" s="792">
        <f>IF(AY24&lt;100%,(AY21-AX21)*1000000/('Construction Timing'!$I$23*325851), IF( AND(AY24=100%, AX24&lt;100%), AY24-AX24,0))</f>
        <v>5.0912528416806144E-2</v>
      </c>
      <c r="AZ23" s="793">
        <f>IF(AZ24&lt;100%,(AZ21-AY21)*1000000/('Construction Timing'!$I$23*325851), IF( AND(AZ24=100%, AY24&lt;100%), AZ24-AY24,0))</f>
        <v>2.3163685922715893E-2</v>
      </c>
      <c r="BA23" s="792">
        <f>IF(BA24&lt;100%,(BA21-AZ21)*1000000/('Construction Timing'!$I$23*325851), IF( AND(BA24=100%, AZ24&lt;100%), BA24-AZ24,0))</f>
        <v>0</v>
      </c>
      <c r="BB23" s="792">
        <f>IF(BB24&lt;100%,(BB21-BA21)*1000000/('Construction Timing'!$I$23*325851), IF( AND(BB24=100%, BA24&lt;100%), BB24-BA24,0))</f>
        <v>0</v>
      </c>
      <c r="BC23" s="792">
        <f>IF(BC24&lt;100%,(BC21-BB21)*1000000/('Construction Timing'!$I$23*325851), IF( AND(BC24=100%, BB24&lt;100%), BC24-BB24,0))</f>
        <v>0</v>
      </c>
      <c r="BD23" s="792">
        <f>IF(BD24&lt;100%,(BD21-BC21)*1000000/('Construction Timing'!$I$23*325851), IF( AND(BD24=100%, BC24&lt;100%), BD24-BC24,0))</f>
        <v>0</v>
      </c>
      <c r="BE23" s="792">
        <f>IF(BE24&lt;100%,(BE21-BD21)*1000000/('Construction Timing'!$I$23*325851), IF( AND(BE24=100%, BD24&lt;100%), BE24-BD24,0))</f>
        <v>0</v>
      </c>
      <c r="BF23" s="792">
        <f>IF(BF24&lt;100%,(BF21-BE21)*1000000/('Construction Timing'!$I$23*325851), IF( AND(BF24=100%, BE24&lt;100%), BF24-BE24,0))</f>
        <v>0</v>
      </c>
      <c r="BG23" s="792">
        <f>IF(BG24&lt;100%,(BG21-BF21)*1000000/('Construction Timing'!$I$23*325851), IF( AND(BG24=100%, BF24&lt;100%), BG24-BF24,0))</f>
        <v>0</v>
      </c>
      <c r="BH23" s="792">
        <f>IF(BH24&lt;100%,(BH21-BG21)*1000000/('Construction Timing'!$I$23*325851), IF( AND(BH24=100%, BG24&lt;100%), BH24-BG24,0))</f>
        <v>0</v>
      </c>
      <c r="BI23" s="792">
        <f>IF(BI24&lt;100%,(BI21-BH21)*1000000/('Construction Timing'!$I$23*325851), IF( AND(BI24=100%, BH24&lt;100%), BI24-BH24,0))</f>
        <v>0</v>
      </c>
      <c r="BJ23" s="792">
        <f>IF(BJ24&lt;100%,(BJ21-BI21)*1000000/('Construction Timing'!$I$23*325851), IF( AND(BJ24=100%, BI24&lt;100%), BJ24-BI24,0))</f>
        <v>0</v>
      </c>
      <c r="BK23" s="792">
        <f>IF(BK24&lt;100%,(BK21-BJ21)*1000000/('Construction Timing'!$I$23*325851), IF( AND(BK24=100%, BJ24&lt;100%), BK24-BJ24,0))</f>
        <v>0</v>
      </c>
      <c r="BL23" s="792">
        <f>IF(BL24&lt;100%,(BL21-BK21)*1000000/('Construction Timing'!$I$23*325851), IF( AND(BL24=100%, BK24&lt;100%), BL24-BK24,0))</f>
        <v>0</v>
      </c>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row>
    <row r="24" spans="1:104" x14ac:dyDescent="0.25">
      <c r="B24" s="609" t="s">
        <v>322</v>
      </c>
      <c r="E24" s="490">
        <f>IF(('Construction Timing'!$I23*'Underlying Assumptions'!$E$9)&lt;('LPP Act Financing Plan (3)'!E21*1000000),100%,('LPP Act Financing Plan (3)'!E21*1000000)/('Construction Timing'!$I$23*'Underlying Assumptions'!$E$9))</f>
        <v>0</v>
      </c>
      <c r="F24" s="490">
        <f>IF(('Construction Timing'!$I23*'Underlying Assumptions'!$E$9)&lt;('LPP Act Financing Plan (3)'!F21*1000000),100%,('LPP Act Financing Plan (3)'!F21*1000000)/('Construction Timing'!$I$23*'Underlying Assumptions'!$E$9))</f>
        <v>0</v>
      </c>
      <c r="G24" s="490">
        <f>IF(('Construction Timing'!$I23*'Underlying Assumptions'!$E$9)&lt;('LPP Act Financing Plan (3)'!G21*1000000),100%,('LPP Act Financing Plan (3)'!G21*1000000)/('Construction Timing'!$I$23*'Underlying Assumptions'!$E$9))</f>
        <v>0</v>
      </c>
      <c r="H24" s="490">
        <f>IF(('Construction Timing'!$I23*'Underlying Assumptions'!$E$9)&lt;('LPP Act Financing Plan (3)'!H21*1000000),100%,('LPP Act Financing Plan (3)'!H21*1000000)/('Construction Timing'!$I$23*'Underlying Assumptions'!$E$9))</f>
        <v>0</v>
      </c>
      <c r="I24" s="490">
        <f>IF(('Construction Timing'!$I23*'Underlying Assumptions'!$E$9)&lt;('LPP Act Financing Plan (3)'!I21*1000000),100%,('LPP Act Financing Plan (3)'!I21*1000000)/('Construction Timing'!$I$23*'Underlying Assumptions'!$E$9))</f>
        <v>0</v>
      </c>
      <c r="J24" s="490">
        <f>IF(('Construction Timing'!$I23*'Underlying Assumptions'!$E$9)&lt;('LPP Act Financing Plan (3)'!J21*1000000),100%,('LPP Act Financing Plan (3)'!J21*1000000)/('Construction Timing'!$I$23*'Underlying Assumptions'!$E$9))</f>
        <v>0</v>
      </c>
      <c r="K24" s="490">
        <f>IF(('Construction Timing'!$I23*'Underlying Assumptions'!$E$9)&lt;('LPP Act Financing Plan (3)'!K21*1000000),100%,('LPP Act Financing Plan (3)'!K21*1000000)/('Construction Timing'!$I$23*'Underlying Assumptions'!$E$9))</f>
        <v>0</v>
      </c>
      <c r="L24" s="490">
        <f>IF(('Construction Timing'!$I23*'Underlying Assumptions'!$E$9)&lt;('LPP Act Financing Plan (3)'!L21*1000000),100%,('LPP Act Financing Plan (3)'!L21*1000000)/('Construction Timing'!$I$23*'Underlying Assumptions'!$E$9))</f>
        <v>0</v>
      </c>
      <c r="M24" s="490">
        <f>IF(('Construction Timing'!$I23*'Underlying Assumptions'!$E$9)&lt;('LPP Act Financing Plan (3)'!M21*1000000),100%,('LPP Act Financing Plan (3)'!M21*1000000)/('Construction Timing'!$I$23*'Underlying Assumptions'!$E$9))</f>
        <v>0</v>
      </c>
      <c r="N24" s="490">
        <f>IF(('Construction Timing'!$I23*'Underlying Assumptions'!$E$9)&lt;('LPP Act Financing Plan (3)'!N21*1000000),100%,('LPP Act Financing Plan (3)'!N21*1000000)/('Construction Timing'!$I$23*'Underlying Assumptions'!$E$9))</f>
        <v>0</v>
      </c>
      <c r="O24" s="490">
        <f>IF(('Construction Timing'!$I23*'Underlying Assumptions'!$E$9)&lt;('LPP Act Financing Plan (3)'!O21*1000000),100%,('LPP Act Financing Plan (3)'!O21*1000000)/('Construction Timing'!$I$23*'Underlying Assumptions'!$E$9))</f>
        <v>0</v>
      </c>
      <c r="P24" s="490">
        <f>IF(('Construction Timing'!$I23*'Underlying Assumptions'!$E$9)&lt;('LPP Act Financing Plan (3)'!P21*1000000),100%,('LPP Act Financing Plan (3)'!P21*1000000)/('Construction Timing'!$I$23*'Underlying Assumptions'!$E$9))</f>
        <v>0</v>
      </c>
      <c r="Q24" s="490">
        <f>IF(('Construction Timing'!$I23*'Underlying Assumptions'!$E$9)&lt;('LPP Act Financing Plan (3)'!Q21*1000000),100%,('LPP Act Financing Plan (3)'!Q21*1000000)/('Construction Timing'!$I$23*'Underlying Assumptions'!$E$9))</f>
        <v>0</v>
      </c>
      <c r="R24" s="490">
        <f>IF(('Construction Timing'!$I23*'Underlying Assumptions'!$E$9)&lt;('LPP Act Financing Plan (3)'!R21*1000000),100%,('LPP Act Financing Plan (3)'!R21*1000000)/('Construction Timing'!$I$23*'Underlying Assumptions'!$E$9))</f>
        <v>0</v>
      </c>
      <c r="S24" s="490">
        <f>IF(('Construction Timing'!$I23*'Underlying Assumptions'!$E$9)&lt;('LPP Act Financing Plan (3)'!S21*1000000),100%,('LPP Act Financing Plan (3)'!S21*1000000)/('Construction Timing'!$I$23*'Underlying Assumptions'!$E$9))</f>
        <v>0</v>
      </c>
      <c r="T24" s="490">
        <f>IF(('Construction Timing'!$I23*'Underlying Assumptions'!$E$9)&lt;('LPP Act Financing Plan (3)'!T21*1000000),100%,('LPP Act Financing Plan (3)'!T21*1000000)/('Construction Timing'!$I$23*'Underlying Assumptions'!$E$9))</f>
        <v>0</v>
      </c>
      <c r="U24" s="490">
        <f>IF(('Construction Timing'!$I23*'Underlying Assumptions'!$E$9)&lt;('LPP Act Financing Plan (3)'!U21*1000000),100%,('LPP Act Financing Plan (3)'!U21*1000000)/('Construction Timing'!$I$23*'Underlying Assumptions'!$E$9))</f>
        <v>0</v>
      </c>
      <c r="V24" s="490">
        <f>IF(('Construction Timing'!$I23*'Underlying Assumptions'!$E$9)&lt;('LPP Act Financing Plan (3)'!V21*1000000),100%,('LPP Act Financing Plan (3)'!V21*1000000)/('Construction Timing'!$I$23*'Underlying Assumptions'!$E$9))</f>
        <v>0</v>
      </c>
      <c r="W24" s="490">
        <f>IF(('Construction Timing'!$I23*'Underlying Assumptions'!$E$9)&lt;('LPP Act Financing Plan (3)'!W21*1000000),100%,('LPP Act Financing Plan (3)'!W21*1000000)/('Construction Timing'!$I$23*'Underlying Assumptions'!$E$9))</f>
        <v>1.1706932889376494E-2</v>
      </c>
      <c r="X24" s="490">
        <f>IF(('Construction Timing'!$I23*'Underlying Assumptions'!$E$9)&lt;('LPP Act Financing Plan (3)'!X21*1000000),100%,('LPP Act Financing Plan (3)'!X21*1000000)/('Construction Timing'!$I$23*'Underlying Assumptions'!$E$9))</f>
        <v>3.4269985748649798E-2</v>
      </c>
      <c r="Y24" s="490">
        <f>IF(('Construction Timing'!$I23*'Underlying Assumptions'!$E$9)&lt;('LPP Act Financing Plan (3)'!Y21*1000000),100%,('LPP Act Financing Plan (3)'!Y21*1000000)/('Construction Timing'!$I$23*'Underlying Assumptions'!$E$9))</f>
        <v>5.7410700162492431E-2</v>
      </c>
      <c r="Z24" s="490">
        <f>IF(('Construction Timing'!$I23*'Underlying Assumptions'!$E$9)&lt;('LPP Act Financing Plan (3)'!Z21*1000000),100%,('LPP Act Financing Plan (3)'!Z21*1000000)/('Construction Timing'!$I$23*'Underlying Assumptions'!$E$9))</f>
        <v>8.1143675999829482E-2</v>
      </c>
      <c r="AA24" s="490">
        <f>IF(('Construction Timing'!$I23*'Underlying Assumptions'!$E$9)&lt;('LPP Act Financing Plan (3)'!AA21*1000000),100%,('LPP Act Financing Plan (3)'!AA21*1000000)/('Construction Timing'!$I$23*'Underlying Assumptions'!$E$9))</f>
        <v>0.10548387611651736</v>
      </c>
      <c r="AB24" s="490">
        <f>IF(('Construction Timing'!$I23*'Underlying Assumptions'!$E$9)&lt;('LPP Act Financing Plan (3)'!AB21*1000000),100%,('LPP Act Financing Plan (3)'!AB21*1000000)/('Construction Timing'!$I$23*'Underlying Assumptions'!$E$9))</f>
        <v>0.13044663518685529</v>
      </c>
      <c r="AC24" s="490">
        <f>IF(('Construction Timing'!$I23*'Underlying Assumptions'!$E$9)&lt;('LPP Act Financing Plan (3)'!AC21*1000000),100%,('LPP Act Financing Plan (3)'!AC21*1000000)/('Construction Timing'!$I$23*'Underlying Assumptions'!$E$9))</f>
        <v>0.15604766874365672</v>
      </c>
      <c r="AD24" s="490">
        <f>IF(('Construction Timing'!$I23*'Underlying Assumptions'!$E$9)&lt;('LPP Act Financing Plan (3)'!AD21*1000000),100%,('LPP Act Financing Plan (3)'!AD21*1000000)/('Construction Timing'!$I$23*'Underlying Assumptions'!$E$9))</f>
        <v>0.18230308243159474</v>
      </c>
      <c r="AE24" s="490">
        <f>IF(('Construction Timing'!$I23*'Underlying Assumptions'!$E$9)&lt;('LPP Act Financing Plan (3)'!AE21*1000000),100%,('LPP Act Financing Plan (3)'!AE21*1000000)/('Construction Timing'!$I$23*'Underlying Assumptions'!$E$9))</f>
        <v>0.20922938147863837</v>
      </c>
      <c r="AF24" s="490">
        <f>IF(('Construction Timing'!$I23*'Underlying Assumptions'!$E$9)&lt;('LPP Act Financing Plan (3)'!AF21*1000000),100%,('LPP Act Financing Plan (3)'!AF21*1000000)/('Construction Timing'!$I$23*'Underlying Assumptions'!$E$9))</f>
        <v>0.23684348039048789</v>
      </c>
      <c r="AG24" s="490">
        <f>IF(('Construction Timing'!$I23*'Underlying Assumptions'!$E$9)&lt;('LPP Act Financing Plan (3)'!AG21*1000000),100%,('LPP Act Financing Plan (3)'!AG21*1000000)/('Construction Timing'!$I$23*'Underlying Assumptions'!$E$9))</f>
        <v>0.26516271287303694</v>
      </c>
      <c r="AH24" s="490">
        <f>IF(('Construction Timing'!$I23*'Underlying Assumptions'!$E$9)&lt;('LPP Act Financing Plan (3)'!AH21*1000000),100%,('LPP Act Financing Plan (3)'!AH21*1000000)/('Construction Timing'!$I$23*'Underlying Assumptions'!$E$9))</f>
        <v>0.29420484198797353</v>
      </c>
      <c r="AI24" s="490">
        <f>IF(('Construction Timing'!$I23*'Underlying Assumptions'!$E$9)&lt;('LPP Act Financing Plan (3)'!AI21*1000000),100%,('LPP Act Financing Plan (3)'!AI21*1000000)/('Construction Timing'!$I$23*'Underlying Assumptions'!$E$9))</f>
        <v>0.32398807054676021</v>
      </c>
      <c r="AJ24" s="490">
        <f>IF(('Construction Timing'!$I23*'Underlying Assumptions'!$E$9)&lt;('LPP Act Financing Plan (3)'!AJ21*1000000),100%,('LPP Act Financing Plan (3)'!AJ21*1000000)/('Construction Timing'!$I$23*'Underlying Assumptions'!$E$9))</f>
        <v>0.35453105174832261</v>
      </c>
      <c r="AK24" s="490">
        <f>IF(('Construction Timing'!$I23*'Underlying Assumptions'!$E$9)&lt;('LPP Act Financing Plan (3)'!AK21*1000000),100%,('LPP Act Financing Plan (3)'!AK21*1000000)/('Construction Timing'!$I$23*'Underlying Assumptions'!$E$9))</f>
        <v>0.38585290006590273</v>
      </c>
      <c r="AL24" s="490">
        <f>IF(('Construction Timing'!$I23*'Underlying Assumptions'!$E$9)&lt;('LPP Act Financing Plan (3)'!AL21*1000000),100%,('LPP Act Financing Plan (3)'!AL21*1000000)/('Construction Timing'!$I$23*'Underlying Assumptions'!$E$9))</f>
        <v>0.41797320238863173</v>
      </c>
      <c r="AM24" s="490">
        <f>IF(('Construction Timing'!$I23*'Underlying Assumptions'!$E$9)&lt;('LPP Act Financing Plan (3)'!AM21*1000000),100%,('LPP Act Financing Plan (3)'!AM21*1000000)/('Construction Timing'!$I$23*'Underlying Assumptions'!$E$9))</f>
        <v>0.45091202942350772</v>
      </c>
      <c r="AN24" s="490">
        <f>IF(('Construction Timing'!$I23*'Underlying Assumptions'!$E$9)&lt;('LPP Act Financing Plan (3)'!AN21*1000000),100%,('LPP Act Financing Plan (3)'!AN21*1000000)/('Construction Timing'!$I$23*'Underlying Assumptions'!$E$9))</f>
        <v>0.48828665391717341</v>
      </c>
      <c r="AO24" s="490">
        <f>IF(('Construction Timing'!$I23*'Underlying Assumptions'!$E$9)&lt;('LPP Act Financing Plan (3)'!AO21*1000000),100%,('LPP Act Financing Plan (3)'!AO21*1000000)/('Construction Timing'!$I$23*'Underlying Assumptions'!$E$9))</f>
        <v>0.52672645520890904</v>
      </c>
      <c r="AP24" s="490">
        <f>IF(('Construction Timing'!$I23*'Underlying Assumptions'!$E$9)&lt;('LPP Act Financing Plan (3)'!AP21*1000000),100%,('LPP Act Financing Plan (3)'!AP21*1000000)/('Construction Timing'!$I$23*'Underlying Assumptions'!$E$9))</f>
        <v>0.5662617908374592</v>
      </c>
      <c r="AQ24" s="490">
        <f>IF(('Construction Timing'!$I23*'Underlying Assumptions'!$E$9)&lt;('LPP Act Financing Plan (3)'!AQ21*1000000),100%,('LPP Act Financing Plan (3)'!AQ21*1000000)/('Construction Timing'!$I$23*'Underlying Assumptions'!$E$9))</f>
        <v>0.60692388353142279</v>
      </c>
      <c r="AR24" s="490">
        <f>IF(('Construction Timing'!$I23*'Underlying Assumptions'!$E$9)&lt;('LPP Act Financing Plan (3)'!AR21*1000000),100%,('LPP Act Financing Plan (3)'!AR21*1000000)/('Construction Timing'!$I$23*'Underlying Assumptions'!$E$9))</f>
        <v>0.64874484586716452</v>
      </c>
      <c r="AS24" s="490">
        <f>IF(('Construction Timing'!$I23*'Underlying Assumptions'!$E$9)&lt;('LPP Act Financing Plan (3)'!AS21*1000000),100%,('LPP Act Financing Plan (3)'!AS21*1000000)/('Construction Timing'!$I$23*'Underlying Assumptions'!$E$9))</f>
        <v>0.69175770562947503</v>
      </c>
      <c r="AT24" s="490">
        <f>IF(('Construction Timing'!$I23*'Underlying Assumptions'!$E$9)&lt;('LPP Act Financing Plan (3)'!AT21*1000000),100%,('LPP Act Financing Plan (3)'!AT21*1000000)/('Construction Timing'!$I$23*'Underlying Assumptions'!$E$9))</f>
        <v>0.73599643189501074</v>
      </c>
      <c r="AU24" s="490">
        <f>IF(('Construction Timing'!$I23*'Underlying Assumptions'!$E$9)&lt;('LPP Act Financing Plan (3)'!AU21*1000000),100%,('LPP Act Financing Plan (3)'!AU21*1000000)/('Construction Timing'!$I$23*'Underlying Assumptions'!$E$9))</f>
        <v>0.78149596185911474</v>
      </c>
      <c r="AV24" s="490">
        <f>IF(('Construction Timing'!$I23*'Underlying Assumptions'!$E$9)&lt;('LPP Act Financing Plan (3)'!AV21*1000000),100%,('LPP Act Financing Plan (3)'!AV21*1000000)/('Construction Timing'!$I$23*'Underlying Assumptions'!$E$9))</f>
        <v>0.82829222842719552</v>
      </c>
      <c r="AW24" s="490">
        <f>IF(('Construction Timing'!$I23*'Underlying Assumptions'!$E$9)&lt;('LPP Act Financing Plan (3)'!AW21*1000000),100%,('LPP Act Financing Plan (3)'!AW21*1000000)/('Construction Timing'!$I$23*'Underlying Assumptions'!$E$9))</f>
        <v>0.8764221885924669</v>
      </c>
      <c r="AX24" s="490">
        <f>IF(('Construction Timing'!$I23*'Underlying Assumptions'!$E$9)&lt;('LPP Act Financing Plan (3)'!AX21*1000000),100%,('LPP Act Financing Plan (3)'!AX21*1000000)/('Construction Timing'!$I$23*'Underlying Assumptions'!$E$9))</f>
        <v>0.92592385262244803</v>
      </c>
      <c r="AY24" s="490">
        <f>IF(('Construction Timing'!$I23*'Underlying Assumptions'!$E$9)&lt;('LPP Act Financing Plan (3)'!AY21*1000000),100%,('LPP Act Financing Plan (3)'!AY21*1000000)/('Construction Timing'!$I$23*'Underlying Assumptions'!$E$9))</f>
        <v>0.97683631407728411</v>
      </c>
      <c r="AZ24" s="490">
        <f>IF(('Construction Timing'!$I23*'Underlying Assumptions'!$E$9)&lt;('LPP Act Financing Plan (3)'!AZ21*1000000),100%,('LPP Act Financing Plan (3)'!AZ21*1000000)/('Construction Timing'!$I$23*'Underlying Assumptions'!$E$9))</f>
        <v>1</v>
      </c>
      <c r="BA24" s="490">
        <f>IF(('Construction Timing'!$I23*'Underlying Assumptions'!$E$9)&lt;('LPP Act Financing Plan (3)'!BA21*1000000),100%,('LPP Act Financing Plan (3)'!BA21*1000000)/('Construction Timing'!$I$23*'Underlying Assumptions'!$E$9))</f>
        <v>1</v>
      </c>
      <c r="BB24" s="490">
        <f>IF(('Construction Timing'!$I23*'Underlying Assumptions'!$E$9)&lt;('LPP Act Financing Plan (3)'!BB21*1000000),100%,('LPP Act Financing Plan (3)'!BB21*1000000)/('Construction Timing'!$I$23*'Underlying Assumptions'!$E$9))</f>
        <v>1</v>
      </c>
      <c r="BC24" s="490">
        <f>IF(('Construction Timing'!$I23*'Underlying Assumptions'!$E$9)&lt;('LPP Act Financing Plan (3)'!BC21*1000000),100%,('LPP Act Financing Plan (3)'!BC21*1000000)/('Construction Timing'!$I$23*'Underlying Assumptions'!$E$9))</f>
        <v>1</v>
      </c>
      <c r="BD24" s="490">
        <f>IF(('Construction Timing'!$I23*'Underlying Assumptions'!$E$9)&lt;('LPP Act Financing Plan (3)'!BD21*1000000),100%,('LPP Act Financing Plan (3)'!BD21*1000000)/('Construction Timing'!$I$23*'Underlying Assumptions'!$E$9))</f>
        <v>1</v>
      </c>
      <c r="BE24" s="490">
        <f>IF(('Construction Timing'!$I23*'Underlying Assumptions'!$E$9)&lt;('LPP Act Financing Plan (3)'!BE21*1000000),100%,('LPP Act Financing Plan (3)'!BE21*1000000)/('Construction Timing'!$I$23*'Underlying Assumptions'!$E$9))</f>
        <v>1</v>
      </c>
      <c r="BF24" s="490">
        <f>IF(('Construction Timing'!$I23*'Underlying Assumptions'!$E$9)&lt;('LPP Act Financing Plan (3)'!BF21*1000000),100%,('LPP Act Financing Plan (3)'!BF21*1000000)/('Construction Timing'!$I$23*'Underlying Assumptions'!$E$9))</f>
        <v>1</v>
      </c>
      <c r="BG24" s="490">
        <f>IF(('Construction Timing'!$I23*'Underlying Assumptions'!$E$9)&lt;('LPP Act Financing Plan (3)'!BG21*1000000),100%,('LPP Act Financing Plan (3)'!BG21*1000000)/('Construction Timing'!$I$23*'Underlying Assumptions'!$E$9))</f>
        <v>1</v>
      </c>
      <c r="BH24" s="490">
        <f>IF(('Construction Timing'!$I23*'Underlying Assumptions'!$E$9)&lt;('LPP Act Financing Plan (3)'!BH21*1000000),100%,('LPP Act Financing Plan (3)'!BH21*1000000)/('Construction Timing'!$I$23*'Underlying Assumptions'!$E$9))</f>
        <v>1</v>
      </c>
      <c r="BI24" s="490">
        <f>IF(('Construction Timing'!$I23*'Underlying Assumptions'!$E$9)&lt;('LPP Act Financing Plan (3)'!BI21*1000000),100%,('LPP Act Financing Plan (3)'!BI21*1000000)/('Construction Timing'!$I$23*'Underlying Assumptions'!$E$9))</f>
        <v>1</v>
      </c>
      <c r="BJ24" s="490">
        <f>IF(('Construction Timing'!$I23*'Underlying Assumptions'!$E$9)&lt;('LPP Act Financing Plan (3)'!BJ21*1000000),100%,('LPP Act Financing Plan (3)'!BJ21*1000000)/('Construction Timing'!$I$23*'Underlying Assumptions'!$E$9))</f>
        <v>1</v>
      </c>
      <c r="BK24" s="490">
        <f>IF(('Construction Timing'!$I23*'Underlying Assumptions'!$E$9)&lt;('LPP Act Financing Plan (3)'!BK21*1000000),100%,('LPP Act Financing Plan (3)'!BK21*1000000)/('Construction Timing'!$I$23*'Underlying Assumptions'!$E$9))</f>
        <v>1</v>
      </c>
      <c r="BL24" s="490">
        <f>IF(('Construction Timing'!$I23*'Underlying Assumptions'!$E$9)&lt;('LPP Act Financing Plan (3)'!BL21*1000000),100%,('LPP Act Financing Plan (3)'!BL21*1000000)/('Construction Timing'!$I$23*'Underlying Assumptions'!$E$9))</f>
        <v>1</v>
      </c>
      <c r="BM24" s="490">
        <f>IF(('Construction Timing'!$I23*'Underlying Assumptions'!$E$9)&lt;('LPP Act Financing Plan (3)'!BM21*1000000),100%,('LPP Act Financing Plan (3)'!BM21*1000000)/('Construction Timing'!$I$23*'Underlying Assumptions'!$E$9))</f>
        <v>1</v>
      </c>
      <c r="BN24" s="490">
        <f>IF(('Construction Timing'!$I23*'Underlying Assumptions'!$E$9)&lt;('LPP Act Financing Plan (3)'!BN21*1000000),100%,('LPP Act Financing Plan (3)'!BN21*1000000)/('Construction Timing'!$I$23*'Underlying Assumptions'!$E$9))</f>
        <v>1</v>
      </c>
      <c r="BO24" s="490">
        <f>IF(('Construction Timing'!$I23*'Underlying Assumptions'!$E$9)&lt;('LPP Act Financing Plan (3)'!BO21*1000000),100%,('LPP Act Financing Plan (3)'!BO21*1000000)/('Construction Timing'!$I$23*'Underlying Assumptions'!$E$9))</f>
        <v>1</v>
      </c>
      <c r="BP24" s="490">
        <f>IF(('Construction Timing'!$I23*'Underlying Assumptions'!$E$9)&lt;('LPP Act Financing Plan (3)'!BP21*1000000),100%,('LPP Act Financing Plan (3)'!BP21*1000000)/('Construction Timing'!$I$23*'Underlying Assumptions'!$E$9))</f>
        <v>1</v>
      </c>
      <c r="BQ24" s="490">
        <f>IF(('Construction Timing'!$I23*'Underlying Assumptions'!$E$9)&lt;('LPP Act Financing Plan (3)'!BQ21*1000000),100%,('LPP Act Financing Plan (3)'!BQ21*1000000)/('Construction Timing'!$I$23*'Underlying Assumptions'!$E$9))</f>
        <v>1</v>
      </c>
      <c r="BR24" s="490">
        <f>IF(('Construction Timing'!$I23*'Underlying Assumptions'!$E$9)&lt;('LPP Act Financing Plan (3)'!BR21*1000000),100%,('LPP Act Financing Plan (3)'!BR21*1000000)/('Construction Timing'!$I$23*'Underlying Assumptions'!$E$9))</f>
        <v>1</v>
      </c>
      <c r="BS24" s="490">
        <f>IF(('Construction Timing'!$I23*'Underlying Assumptions'!$E$9)&lt;('LPP Act Financing Plan (3)'!BS21*1000000),100%,('LPP Act Financing Plan (3)'!BS21*1000000)/('Construction Timing'!$I$23*'Underlying Assumptions'!$E$9))</f>
        <v>1</v>
      </c>
      <c r="BT24" s="490">
        <f>IF(('Construction Timing'!$I23*'Underlying Assumptions'!$E$9)&lt;('LPP Act Financing Plan (3)'!BT21*1000000),100%,('LPP Act Financing Plan (3)'!BT21*1000000)/('Construction Timing'!$I$23*'Underlying Assumptions'!$E$9))</f>
        <v>1</v>
      </c>
      <c r="BU24" s="490">
        <f>IF(('Construction Timing'!$I23*'Underlying Assumptions'!$E$9)&lt;('LPP Act Financing Plan (3)'!BU21*1000000),100%,('LPP Act Financing Plan (3)'!BU21*1000000)/('Construction Timing'!$I$23*'Underlying Assumptions'!$E$9))</f>
        <v>1</v>
      </c>
      <c r="BV24" s="490">
        <f>IF(('Construction Timing'!$I23*'Underlying Assumptions'!$E$9)&lt;('LPP Act Financing Plan (3)'!BV21*1000000),100%,('LPP Act Financing Plan (3)'!BV21*1000000)/('Construction Timing'!$I$23*'Underlying Assumptions'!$E$9))</f>
        <v>1</v>
      </c>
      <c r="BW24" s="490">
        <f>IF(('Construction Timing'!$I23*'Underlying Assumptions'!$E$9)&lt;('LPP Act Financing Plan (3)'!BW21*1000000),100%,('LPP Act Financing Plan (3)'!BW21*1000000)/('Construction Timing'!$I$23*'Underlying Assumptions'!$E$9))</f>
        <v>1</v>
      </c>
      <c r="BX24" s="490">
        <f>IF(('Construction Timing'!$I23*'Underlying Assumptions'!$E$9)&lt;('LPP Act Financing Plan (3)'!BX21*1000000),100%,('LPP Act Financing Plan (3)'!BX21*1000000)/('Construction Timing'!$I$23*'Underlying Assumptions'!$E$9))</f>
        <v>1</v>
      </c>
      <c r="BY24" s="490">
        <f>IF(('Construction Timing'!$I23*'Underlying Assumptions'!$E$9)&lt;('LPP Act Financing Plan (3)'!BY21*1000000),100%,('LPP Act Financing Plan (3)'!BY21*1000000)/('Construction Timing'!$I$23*'Underlying Assumptions'!$E$9))</f>
        <v>1</v>
      </c>
      <c r="BZ24" s="490">
        <f>IF(('Construction Timing'!$I23*'Underlying Assumptions'!$E$9)&lt;('LPP Act Financing Plan (3)'!BZ21*1000000),100%,('LPP Act Financing Plan (3)'!BZ21*1000000)/('Construction Timing'!$I$23*'Underlying Assumptions'!$E$9))</f>
        <v>1</v>
      </c>
      <c r="CA24" s="490">
        <f>IF(('Construction Timing'!$I23*'Underlying Assumptions'!$E$9)&lt;('LPP Act Financing Plan (3)'!CA21*1000000),100%,('LPP Act Financing Plan (3)'!CA21*1000000)/('Construction Timing'!$I$23*'Underlying Assumptions'!$E$9))</f>
        <v>1</v>
      </c>
      <c r="CB24" s="490">
        <f>IF(('Construction Timing'!$I23*'Underlying Assumptions'!$E$9)&lt;('LPP Act Financing Plan (3)'!CB21*1000000),100%,('LPP Act Financing Plan (3)'!CB21*1000000)/('Construction Timing'!$I$23*'Underlying Assumptions'!$E$9))</f>
        <v>1</v>
      </c>
      <c r="CC24" s="490">
        <f>IF(('Construction Timing'!$I23*'Underlying Assumptions'!$E$9)&lt;('LPP Act Financing Plan (3)'!CC21*1000000),100%,('LPP Act Financing Plan (3)'!CC21*1000000)/('Construction Timing'!$I$23*'Underlying Assumptions'!$E$9))</f>
        <v>1</v>
      </c>
    </row>
    <row r="25" spans="1:104" x14ac:dyDescent="0.25">
      <c r="AY25" s="792">
        <f>IF(('Construction Timing'!$I23*'Underlying Assumptions'!$E$9)&lt;('LPP Act Financing Plan (3)'!AY21*1000000),100%,('LPP Act Financing Plan (3)'!AY21*1000000)/('Construction Timing'!$I$23*'Underlying Assumptions'!$E$9))</f>
        <v>0.97683631407728411</v>
      </c>
      <c r="AZ25" s="792">
        <f>('LPP Act Financing Plan (3)'!AZ21*1000000)/('Construction Timing'!$I$23*'Underlying Assumptions'!$E$9)</f>
        <v>1.0291997806835822</v>
      </c>
      <c r="BA25" s="792">
        <f>('LPP Act Financing Plan (3)'!BA21*1000000)/('Construction Timing'!$I$23*'Underlying Assumptions'!$E$9)</f>
        <v>1.0830556060881606</v>
      </c>
      <c r="BB25" s="792">
        <f>('LPP Act Financing Plan (3)'!BB21*1000000)/('Construction Timing'!$I$23*'Underlying Assumptions'!$E$9)</f>
        <v>1.1384463225167698</v>
      </c>
      <c r="BC25" s="792">
        <f>('LPP Act Financing Plan (3)'!BC21*1000000)/('Construction Timing'!$I$23*'Underlying Assumptions'!$E$9)</f>
        <v>1.1954156743635937</v>
      </c>
      <c r="BD25" s="792">
        <f>('LPP Act Financing Plan (3)'!BD21*1000000)/('Construction Timing'!$I$23*'Underlying Assumptions'!$E$9)</f>
        <v>1.2540086527380514</v>
      </c>
      <c r="BE25" s="792">
        <f>('LPP Act Financing Plan (3)'!BE21*1000000)/('Construction Timing'!$I$23*'Underlying Assumptions'!$E$9)</f>
        <v>1.3142715309961819</v>
      </c>
      <c r="BF25" s="792">
        <f>('LPP Act Financing Plan (3)'!BF21*1000000)/('Construction Timing'!$I$23*'Underlying Assumptions'!$E$9)</f>
        <v>1.3762519012846692</v>
      </c>
      <c r="BG25" s="792">
        <f>('LPP Act Financing Plan (3)'!BG21*1000000)/('Construction Timing'!$I$23*'Underlying Assumptions'!$E$9)</f>
        <v>1.4399987121263786</v>
      </c>
      <c r="BH25" s="792">
        <f>('LPP Act Financing Plan (3)'!BH21*1000000)/('Construction Timing'!$I$23*'Underlying Assumptions'!$E$9)</f>
        <v>1.5055623070770761</v>
      </c>
      <c r="BI25" s="792">
        <f>('LPP Act Financing Plan (3)'!BI21*1000000)/('Construction Timing'!$I$23*'Underlying Assumptions'!$E$9)</f>
        <v>1.5729944644838689</v>
      </c>
      <c r="BJ25" s="792">
        <f>('LPP Act Financing Plan (3)'!BJ21*1000000)/('Construction Timing'!$I$23*'Underlying Assumptions'!$E$9)</f>
        <v>1.6423484383767553</v>
      </c>
      <c r="BK25" s="792">
        <f>('LPP Act Financing Plan (3)'!BK21*1000000)/('Construction Timing'!$I$23*'Underlying Assumptions'!$E$9)</f>
        <v>1.7136790005255886</v>
      </c>
      <c r="BL25" s="792">
        <f>('LPP Act Financing Plan (3)'!BL21*1000000)/('Construction Timing'!$I$23*'Underlying Assumptions'!$E$9)</f>
        <v>1.7870424836956638</v>
      </c>
      <c r="BM25" s="792">
        <f>('LPP Act Financing Plan (3)'!BM21*1000000)/('Construction Timing'!$I$23*'Underlying Assumptions'!$E$9)</f>
        <v>1.8624968261360861</v>
      </c>
      <c r="BN25" s="792">
        <f>('LPP Act Financing Plan (3)'!BN21*1000000)/('Construction Timing'!$I$23*'Underlying Assumptions'!$E$9)</f>
        <v>1.9401016173360606</v>
      </c>
      <c r="BO25" s="792">
        <f>('LPP Act Financing Plan (3)'!BO21*1000000)/('Construction Timing'!$I$23*'Underlying Assumptions'!$E$9)</f>
        <v>2.0199181450852346</v>
      </c>
      <c r="BP25" s="792">
        <f>('LPP Act Financing Plan (3)'!BP21*1000000)/('Construction Timing'!$I$23*'Underlying Assumptions'!$E$9)</f>
        <v>2.1020094438752599</v>
      </c>
      <c r="BQ25" s="792">
        <f>('LPP Act Financing Plan (3)'!BQ21*1000000)/('Construction Timing'!$I$23*'Underlying Assumptions'!$E$9)</f>
        <v>2.1864403446808001</v>
      </c>
      <c r="BR25" s="792">
        <f>('LPP Act Financing Plan (3)'!BR21*1000000)/('Construction Timing'!$I$23*'Underlying Assumptions'!$E$9)</f>
        <v>2.2732775261592999</v>
      </c>
      <c r="BS25" s="792">
        <f>('LPP Act Financing Plan (3)'!BS21*1000000)/('Construction Timing'!$I$23*'Underlying Assumptions'!$E$9)</f>
        <v>2.3625895673099362</v>
      </c>
      <c r="BT25" s="792">
        <f>('LPP Act Financing Plan (3)'!BT21*1000000)/('Construction Timing'!$I$23*'Underlying Assumptions'!$E$9)</f>
        <v>2.4544470016333646</v>
      </c>
      <c r="BU25" s="792">
        <f>('LPP Act Financing Plan (3)'!BU21*1000000)/('Construction Timing'!$I$23*'Underlying Assumptions'!$E$9)</f>
        <v>2.5489223728350119</v>
      </c>
      <c r="BV25" s="792">
        <f>('LPP Act Financing Plan (3)'!BV21*1000000)/('Construction Timing'!$I$23*'Underlying Assumptions'!$E$9)</f>
        <v>2.6460902921159053</v>
      </c>
      <c r="BW25" s="792">
        <f>('LPP Act Financing Plan (3)'!BW21*1000000)/('Construction Timing'!$I$23*'Underlying Assumptions'!$E$9)</f>
        <v>2.7460274970963052</v>
      </c>
      <c r="BX25" s="792">
        <f>('LPP Act Financing Plan (3)'!BX21*1000000)/('Construction Timing'!$I$23*'Underlying Assumptions'!$E$9)</f>
        <v>2.8488129124186461</v>
      </c>
      <c r="BY25" s="792">
        <f>('LPP Act Financing Plan (3)'!BY21*1000000)/('Construction Timing'!$I$23*'Underlying Assumptions'!$E$9)</f>
        <v>2.9545277120776738</v>
      </c>
      <c r="BZ25" s="792">
        <f>('LPP Act Financing Plan (3)'!BZ21*1000000)/('Construction Timing'!$I$23*'Underlying Assumptions'!$E$9)</f>
        <v>3.0632553835269825</v>
      </c>
      <c r="CA25" s="792">
        <f>('LPP Act Financing Plan (3)'!CA21*1000000)/('Construction Timing'!$I$23*'Underlying Assumptions'!$E$9)</f>
        <v>3.1750817936125975</v>
      </c>
      <c r="CB25" s="792">
        <f>('LPP Act Financing Plan (3)'!CB21*1000000)/('Construction Timing'!$I$23*'Underlying Assumptions'!$E$9)</f>
        <v>3.2900952563856523</v>
      </c>
      <c r="CC25" s="490"/>
    </row>
    <row r="26" spans="1:104" x14ac:dyDescent="0.25">
      <c r="A26" s="472" t="s">
        <v>275</v>
      </c>
    </row>
    <row r="27" spans="1:104" s="410" customFormat="1" x14ac:dyDescent="0.25">
      <c r="A27" s="762"/>
      <c r="B27" s="410" t="s">
        <v>518</v>
      </c>
      <c r="E27" s="763">
        <f>IF(E3='Construction Timing'!$I$20,'LPP Cost'!$I$20/'Construction Timing'!$I$17,0)</f>
        <v>0</v>
      </c>
      <c r="F27" s="783">
        <f>E32*(1+'Interest Rate'!$J$16)</f>
        <v>-52250000</v>
      </c>
      <c r="G27" s="783">
        <f>F32*(1+'Interest Rate'!$J$16)</f>
        <v>-54601250</v>
      </c>
      <c r="H27" s="783">
        <f>G32*(1+'Interest Rate'!$J$16)</f>
        <v>-57058306.249999993</v>
      </c>
      <c r="I27" s="783">
        <f>H32*(1+'Interest Rate'!$J$16)</f>
        <v>-59625930.031249985</v>
      </c>
      <c r="J27" s="783">
        <f>I32*(1+'Interest Rate'!$J$16)</f>
        <v>-62309096.882656232</v>
      </c>
      <c r="K27" s="783">
        <f>J32*(1+'Interest Rate'!$J$16)</f>
        <v>-65113006.242375754</v>
      </c>
      <c r="L27" s="783">
        <f>K32*(1+'Interest Rate'!$J$16)</f>
        <v>-68043091.523282662</v>
      </c>
      <c r="M27" s="783">
        <f>L32*(1+'Interest Rate'!$J$16)</f>
        <v>-71105030.64183037</v>
      </c>
      <c r="N27" s="783">
        <f>M32*(1+'Interest Rate'!$J$16)</f>
        <v>-74304757.020712733</v>
      </c>
      <c r="O27" s="783">
        <f>N32*(1+'Interest Rate'!$J$16)</f>
        <v>-77648471.086644799</v>
      </c>
      <c r="P27" s="783">
        <f>O32*(1+'Interest Rate'!$J$16)</f>
        <v>-81142652.285543814</v>
      </c>
      <c r="Q27" s="783">
        <f>P32*(1+'Interest Rate'!$J$16)</f>
        <v>-84794071.638393283</v>
      </c>
      <c r="R27" s="783">
        <f>Q32*(1+'Interest Rate'!$J$16)</f>
        <v>-88609804.862120971</v>
      </c>
      <c r="S27" s="783">
        <f>R32*(1+'Interest Rate'!$J$16)</f>
        <v>-92597246.080916405</v>
      </c>
      <c r="T27" s="783">
        <f>S32*(1+'Interest Rate'!$J$16)</f>
        <v>-96764122.15455763</v>
      </c>
      <c r="U27" s="783">
        <f>T32*(1+'Interest Rate'!$J$16)</f>
        <v>-101118507.65151271</v>
      </c>
      <c r="V27" s="783">
        <f>U32*(1+'Interest Rate'!$J$16)</f>
        <v>-105668840.49583077</v>
      </c>
      <c r="W27" s="783">
        <f>V32*(1+'Interest Rate'!$J$16)</f>
        <v>2029591986.2874701</v>
      </c>
      <c r="X27" s="783">
        <f>W32*(1+'Interest Rate'!$J$16)</f>
        <v>2096094115.1211896</v>
      </c>
      <c r="Y27" s="783">
        <f>X32*(1+'Interest Rate'!$J$16)</f>
        <v>2115352744.6532247</v>
      </c>
      <c r="Z27" s="783">
        <f>Y32*(1+'Interest Rate'!$J$16)</f>
        <v>2083634761.3041744</v>
      </c>
      <c r="AA27" s="783">
        <f>Z32*(1+'Interest Rate'!$J$16)</f>
        <v>2000716221.310818</v>
      </c>
      <c r="AB27" s="783">
        <f>AA32*(1+'Interest Rate'!$J$16)</f>
        <v>1870208200.6452601</v>
      </c>
      <c r="AC27" s="783">
        <f>AB32*(1+'Interest Rate'!$J$16)</f>
        <v>1699426896.2919726</v>
      </c>
      <c r="AD27" s="783">
        <f>AC32*(1+'Interest Rate'!$J$16)</f>
        <v>1498775879.0169826</v>
      </c>
      <c r="AE27" s="783">
        <f>AD32*(1+'Interest Rate'!$J$16)</f>
        <v>1280693915.1359766</v>
      </c>
      <c r="AF27" s="783">
        <f>AE32*(1+'Interest Rate'!$J$16)</f>
        <v>1058308199.7820082</v>
      </c>
      <c r="AG27" s="783">
        <f>AF32*(1+'Interest Rate'!$J$16)</f>
        <v>843999268.52873862</v>
      </c>
      <c r="AH27" s="783">
        <f>AG32*(1+'Interest Rate'!$J$16)</f>
        <v>648111228.79982543</v>
      </c>
      <c r="AI27" s="783">
        <f>AH32*(1+'Interest Rate'!$J$16)</f>
        <v>478018286.66144776</v>
      </c>
      <c r="AJ27" s="783">
        <f>AI32*(1+'Interest Rate'!$J$16)</f>
        <v>337687637.17253429</v>
      </c>
      <c r="AK27" s="783">
        <f>AJ32*(1+'Interest Rate'!$J$16)</f>
        <v>227775393.78350043</v>
      </c>
      <c r="AL27" s="783">
        <f>AK32*(1+'Interest Rate'!$J$16)</f>
        <v>146182539.41726556</v>
      </c>
      <c r="AM27" s="783">
        <f>AL32*(1+'Interest Rate'!$J$16)</f>
        <v>88910852.271496475</v>
      </c>
      <c r="AN27" s="783">
        <f>AM32*(1+'Interest Rate'!$J$16)</f>
        <v>51016774.010601513</v>
      </c>
      <c r="AO27" s="783">
        <f>AN32*(1+'Interest Rate'!$J$16)</f>
        <v>27280732.521405518</v>
      </c>
      <c r="AP27" s="783">
        <f>AO32*(1+'Interest Rate'!$J$16)</f>
        <v>13492255.18922383</v>
      </c>
      <c r="AQ27" s="783">
        <f>AP32*(1+'Interest Rate'!$J$16)</f>
        <v>6115451.4004881484</v>
      </c>
      <c r="AR27" s="783">
        <f>AQ32*(1+'Interest Rate'!$J$16)</f>
        <v>2512010.5918692322</v>
      </c>
      <c r="AS27" s="783">
        <f>AR32*(1+'Interest Rate'!$J$16)</f>
        <v>922062.71767370787</v>
      </c>
      <c r="AT27" s="783">
        <f>AS32*(1+'Interest Rate'!$J$16)</f>
        <v>297008.57039348222</v>
      </c>
      <c r="AU27" s="783">
        <f>AT32*(1+'Interest Rate'!$J$16)</f>
        <v>81939.831847015026</v>
      </c>
      <c r="AV27" s="783">
        <f>AU32*(1+'Interest Rate'!$J$16)</f>
        <v>18709.872429599996</v>
      </c>
      <c r="AW27" s="783">
        <f>AV32*(1+'Interest Rate'!$J$16)</f>
        <v>3357.198873856481</v>
      </c>
      <c r="AX27" s="783">
        <f>AW32*(1+'Interest Rate'!$J$16)</f>
        <v>433.54467730911466</v>
      </c>
      <c r="AY27" s="783">
        <f>AX32*(1+'Interest Rate'!$J$16)</f>
        <v>33.560508784602845</v>
      </c>
      <c r="AZ27" s="783">
        <f>AY32*(1+'Interest Rate'!$J$16)</f>
        <v>0.81236741371327958</v>
      </c>
      <c r="BA27" s="783">
        <f>AZ32*(1+'Interest Rate'!$J$16)</f>
        <v>0</v>
      </c>
      <c r="BB27" s="783">
        <f>BA32*(1+'Interest Rate'!$J$16)</f>
        <v>0</v>
      </c>
      <c r="BC27" s="783">
        <f>BB32*(1+'Interest Rate'!$J$16)</f>
        <v>0</v>
      </c>
      <c r="BD27" s="783">
        <f>BC32*(1+'Interest Rate'!$J$16)</f>
        <v>0</v>
      </c>
      <c r="BE27" s="783">
        <f>BD32*(1+'Interest Rate'!$J$16)</f>
        <v>0</v>
      </c>
      <c r="BF27" s="783">
        <f>BE32*(1+'Interest Rate'!$J$16)</f>
        <v>0</v>
      </c>
      <c r="BG27" s="783">
        <f>BF32*(1+'Interest Rate'!$J$16)</f>
        <v>0</v>
      </c>
      <c r="BH27" s="783">
        <f>BG32*(1+'Interest Rate'!$J$16)</f>
        <v>0</v>
      </c>
      <c r="BI27" s="783">
        <f>BH32*(1+'Interest Rate'!$J$16)</f>
        <v>0</v>
      </c>
      <c r="BJ27" s="783">
        <f>BI32*(1+'Interest Rate'!$J$16)</f>
        <v>0</v>
      </c>
      <c r="BK27" s="783">
        <f>BJ32*(1+'Interest Rate'!$J$16)</f>
        <v>0</v>
      </c>
      <c r="BL27" s="783">
        <f>BK32*(1+'Interest Rate'!$J$16)</f>
        <v>0</v>
      </c>
      <c r="BM27" s="783">
        <f>BL32*(1+'Interest Rate'!$J$16)</f>
        <v>0</v>
      </c>
      <c r="BN27" s="783">
        <f>BM32*(1+'Interest Rate'!$J$16)</f>
        <v>0</v>
      </c>
      <c r="BO27" s="783">
        <f>BN32*(1+'Interest Rate'!$J$16)</f>
        <v>0</v>
      </c>
      <c r="BP27" s="783">
        <f>BO32*(1+'Interest Rate'!$J$16)</f>
        <v>0</v>
      </c>
      <c r="BQ27" s="783">
        <f>BP32*(1+'Interest Rate'!$J$16)</f>
        <v>0</v>
      </c>
      <c r="BR27" s="783">
        <f>BQ32*(1+'Interest Rate'!$J$16)</f>
        <v>0</v>
      </c>
      <c r="BS27" s="783">
        <f>BR32*(1+'Interest Rate'!$J$16)</f>
        <v>0</v>
      </c>
      <c r="BT27" s="783">
        <f>BS32*(1+'Interest Rate'!$J$16)</f>
        <v>0</v>
      </c>
      <c r="BU27" s="783">
        <f>BT32*(1+'Interest Rate'!$J$16)</f>
        <v>0</v>
      </c>
      <c r="BV27" s="783">
        <f>BU32*(1+'Interest Rate'!$J$16)</f>
        <v>0</v>
      </c>
      <c r="BW27" s="783">
        <f>BV32*(1+'Interest Rate'!$J$16)</f>
        <v>0</v>
      </c>
      <c r="BX27" s="783">
        <f>BW32*(1+'Interest Rate'!$J$16)</f>
        <v>0</v>
      </c>
      <c r="BY27" s="783">
        <f>BX32*(1+'Interest Rate'!$J$16)</f>
        <v>0</v>
      </c>
      <c r="BZ27" s="783">
        <f>BY32*(1+'Interest Rate'!$J$16)</f>
        <v>0</v>
      </c>
      <c r="CA27" s="783">
        <f>BZ32*(1+'Interest Rate'!$J$16)</f>
        <v>0</v>
      </c>
      <c r="CB27" s="783">
        <f>CA32*(1+'Interest Rate'!$J$16)</f>
        <v>0</v>
      </c>
      <c r="CC27" s="783">
        <f>CB32*(1+'Interest Rate'!$J$16)</f>
        <v>0</v>
      </c>
      <c r="CD27" s="783">
        <f>CC32*(1+'Interest Rate'!$J$16)</f>
        <v>0</v>
      </c>
      <c r="CE27" s="783">
        <f>CD32*(1+'Interest Rate'!$J$16)</f>
        <v>0</v>
      </c>
      <c r="CF27" s="783">
        <f>CE32*(1+'Interest Rate'!$J$16)</f>
        <v>0</v>
      </c>
      <c r="CG27" s="783">
        <f>CF32*(1+'Interest Rate'!$J$16)</f>
        <v>0</v>
      </c>
      <c r="CH27" s="783">
        <f>CG32*(1+'Interest Rate'!$J$16)</f>
        <v>0</v>
      </c>
      <c r="CI27" s="783">
        <f>CH32*(1+'Interest Rate'!$J$16)</f>
        <v>0</v>
      </c>
      <c r="CJ27" s="783">
        <f>CI32*(1+'Interest Rate'!$J$16)</f>
        <v>0</v>
      </c>
      <c r="CK27" s="783">
        <f>CJ32*(1+'Interest Rate'!$J$16)</f>
        <v>0</v>
      </c>
      <c r="CL27" s="783">
        <f>CK32*(1+'Interest Rate'!$J$16)</f>
        <v>0</v>
      </c>
      <c r="CM27" s="783">
        <f>CL32*(1+'Interest Rate'!$J$16)</f>
        <v>0</v>
      </c>
      <c r="CN27" s="783">
        <f>CM32*(1+'Interest Rate'!$J$16)</f>
        <v>0</v>
      </c>
      <c r="CO27" s="783">
        <f>CN32*(1+'Interest Rate'!$J$16)</f>
        <v>0</v>
      </c>
      <c r="CP27" s="783">
        <f>CO32*(1+'Interest Rate'!$J$16)</f>
        <v>0</v>
      </c>
      <c r="CQ27" s="783">
        <f>CP32*(1+'Interest Rate'!$J$16)</f>
        <v>0</v>
      </c>
      <c r="CR27" s="783">
        <f>CQ32*(1+'Interest Rate'!$J$16)</f>
        <v>0</v>
      </c>
      <c r="CS27" s="783">
        <f>CR32*(1+'Interest Rate'!$J$16)</f>
        <v>0</v>
      </c>
      <c r="CT27" s="783">
        <f>CS32*(1+'Interest Rate'!$J$16)</f>
        <v>0</v>
      </c>
      <c r="CU27" s="783">
        <f>CT32*(1+'Interest Rate'!$J$16)</f>
        <v>0</v>
      </c>
      <c r="CV27" s="783">
        <f>CU32*(1+'Interest Rate'!$J$16)</f>
        <v>0</v>
      </c>
      <c r="CW27" s="783">
        <f>CV32*(1+'Interest Rate'!$J$16)</f>
        <v>0</v>
      </c>
      <c r="CX27" s="783">
        <f>CW32*(1+'Interest Rate'!$J$16)</f>
        <v>0</v>
      </c>
      <c r="CY27" s="783">
        <f>CX32*(1+'Interest Rate'!$J$16)</f>
        <v>0</v>
      </c>
      <c r="CZ27" s="783">
        <f>CY32*(1+'Interest Rate'!$J$16)</f>
        <v>0</v>
      </c>
    </row>
    <row r="28" spans="1:104" s="410" customFormat="1" x14ac:dyDescent="0.25">
      <c r="B28" s="410" t="s">
        <v>314</v>
      </c>
      <c r="E28" s="763">
        <f>IF(E4='Construction Timing'!$I$20,'LPP Cost'!$I$20/'Construction Timing'!$I$17,0)</f>
        <v>0</v>
      </c>
      <c r="F28" s="783">
        <f>IF(AND(F4&gt;='Construction Timing'!$I$20,F4&lt;('Construction Timing'!$I$20+'Construction Timing'!$I$17))=TRUE,'LPP Cost'!$I$17*(1+'Interest Rate'!$J$16)^(F4-$E$4)/'Construction Timing'!$I$17,0)</f>
        <v>0</v>
      </c>
      <c r="G28" s="783">
        <f>IF(AND(G4&gt;='Construction Timing'!$I$20,G4&lt;('Construction Timing'!$I$20+'Construction Timing'!$I$17))=TRUE,'LPP Cost'!$I$17*(1+'Interest Rate'!$J$16)^(G4-$E$4)/'Construction Timing'!$I$17,0)</f>
        <v>0</v>
      </c>
      <c r="H28" s="783">
        <f>IF(AND(H4&gt;='Construction Timing'!$I$20,H4&lt;('Construction Timing'!$I$20+'Construction Timing'!$I$17))=TRUE,'LPP Cost'!$I$17*(1+'Interest Rate'!$J$16)^(H4-$E$4)/'Construction Timing'!$I$17,0)</f>
        <v>0</v>
      </c>
      <c r="I28" s="783">
        <f>IF(AND(I4&gt;='Construction Timing'!$I$20,I4&lt;('Construction Timing'!$I$20+'Construction Timing'!$I$17))=TRUE,'LPP Cost'!$I$17*(1+'Interest Rate'!$J$16)^(I4-$E$4)/'Construction Timing'!$I$17,0)</f>
        <v>0</v>
      </c>
      <c r="J28" s="783">
        <f>IF(AND(J4&gt;='Construction Timing'!$I$20,J4&lt;('Construction Timing'!$I$20+'Construction Timing'!$I$17))=TRUE,'LPP Cost'!$I$17*(1+'Interest Rate'!$J$16)^(J4-$E$4)/'Construction Timing'!$I$17,0)</f>
        <v>0</v>
      </c>
      <c r="K28" s="783">
        <f>IF(AND(K4&gt;='Construction Timing'!$I$20,K4&lt;('Construction Timing'!$I$20+'Construction Timing'!$I$17))=TRUE,'LPP Cost'!$I$17*(1+'Interest Rate'!$J$16)^(K4-$E$4)/'Construction Timing'!$I$17,0)</f>
        <v>0</v>
      </c>
      <c r="L28" s="783">
        <f>IF(AND(L4&gt;='Construction Timing'!$I$20,L4&lt;('Construction Timing'!$I$20+'Construction Timing'!$I$17))=TRUE,'LPP Cost'!$I$17*(1+'Interest Rate'!$J$16)^(L4-$E$4)/'Construction Timing'!$I$17,0)</f>
        <v>0</v>
      </c>
      <c r="M28" s="783">
        <f>IF(AND(M4&gt;='Construction Timing'!$I$20,M4&lt;('Construction Timing'!$I$20+'Construction Timing'!$I$17))=TRUE,'LPP Cost'!$I$17*(1+'Interest Rate'!$J$16)^(M4-$E$4)/'Construction Timing'!$I$17,0)</f>
        <v>0</v>
      </c>
      <c r="N28" s="783">
        <f>IF(AND(N4&gt;='Construction Timing'!$I$20,N4&lt;('Construction Timing'!$I$20+'Construction Timing'!$I$17))=TRUE,'LPP Cost'!$I$17*(1+'Interest Rate'!$J$16)^(N4-$E$4)/'Construction Timing'!$I$17,0)</f>
        <v>0</v>
      </c>
      <c r="O28" s="783">
        <f>IF(AND(O4&gt;='Construction Timing'!$I$20,O4&lt;('Construction Timing'!$I$20+'Construction Timing'!$I$17))=TRUE,'LPP Cost'!$I$17*(1+'Interest Rate'!$J$16)^(O4-$E$4)/'Construction Timing'!$I$17,0)</f>
        <v>0</v>
      </c>
      <c r="P28" s="783">
        <f>IF(AND(P4&gt;='Construction Timing'!$I$20,P4&lt;('Construction Timing'!$I$20+'Construction Timing'!$I$17))=TRUE,'LPP Cost'!$I$17*(1+'Interest Rate'!$J$16)^(P4-$E$4)/'Construction Timing'!$I$17,0)</f>
        <v>0</v>
      </c>
      <c r="Q28" s="783">
        <f>IF(AND(Q4&gt;='Construction Timing'!$I$20,Q4&lt;('Construction Timing'!$I$20+'Construction Timing'!$I$17))=TRUE,'LPP Cost'!$I$17*(1+'Interest Rate'!$J$16)^(Q4-$E$4)/'Construction Timing'!$I$17,0)</f>
        <v>0</v>
      </c>
      <c r="R28" s="783">
        <f>IF(AND(R4&gt;='Construction Timing'!$I$20,R4&lt;('Construction Timing'!$I$20+'Construction Timing'!$I$17))=TRUE,'LPP Cost'!$I$17*(1+'Interest Rate'!$J$16)^(R4-$E$4)/'Construction Timing'!$I$17,0)</f>
        <v>0</v>
      </c>
      <c r="S28" s="783">
        <f>IF(AND(S4&gt;='Construction Timing'!$I$20,S4&lt;('Construction Timing'!$I$20+'Construction Timing'!$I$17))=TRUE,'LPP Cost'!$I$17*(1+'Interest Rate'!$J$16)^(S4-$E$4)/'Construction Timing'!$I$17,0)</f>
        <v>0</v>
      </c>
      <c r="T28" s="783">
        <f>IF(AND(T4&gt;='Construction Timing'!$I$20,T4&lt;('Construction Timing'!$I$20+'Construction Timing'!$I$17))=TRUE,'LPP Cost'!$I$17*(1+'Interest Rate'!$J$16)^(T4-$E$4)/'Construction Timing'!$I$17,0)</f>
        <v>0</v>
      </c>
      <c r="U28" s="783">
        <f>IF(AND(U4&gt;='Construction Timing'!$I$20,U4&lt;('Construction Timing'!$I$20+'Construction Timing'!$I$17))=TRUE,'LPP Cost'!$I$17*(1+'Interest Rate'!$J$16)^(U4-$E$4)/'Construction Timing'!$I$17,0)</f>
        <v>0</v>
      </c>
      <c r="V28" s="790">
        <f>IF(AND(V4&gt;='Construction Timing'!$I$20,V4&lt;('Construction Timing'!$I$20+'Construction Timing'!$I$17))=TRUE,'LPP Cost'!$I$17*(1+'Interest Rate'!$J$16)^(V4-$E$4)/'Construction Timing'!$I$17,0)</f>
        <v>2047862128.8091993</v>
      </c>
      <c r="W28" s="783">
        <f>IF(AND(W4&gt;='Construction Timing'!$I$20,W4&lt;('Construction Timing'!$I$20+'Construction Timing'!$I$17))=TRUE,'LPP Cost'!$I$17*(1+'Interest Rate'!$J$16)^(W4-$E$4)/'Construction Timing'!$I$17,0)</f>
        <v>0</v>
      </c>
      <c r="X28" s="783">
        <f>IF(AND(X4&gt;='Construction Timing'!$I$20,X4&lt;('Construction Timing'!$I$20+'Construction Timing'!$I$17))=TRUE,'LPP Cost'!$I$17*(1+'Interest Rate'!$J$16)^(X4-$E$4)/'Construction Timing'!$I$17,0)</f>
        <v>0</v>
      </c>
      <c r="Y28" s="783">
        <f>IF(AND(Y4&gt;='Construction Timing'!$I$20,Y4&lt;('Construction Timing'!$I$20+'Construction Timing'!$I$17))=TRUE,'LPP Cost'!$I$17*(1+'Interest Rate'!$J$16)^(Y4-$E$4)/'Construction Timing'!$I$17,0)</f>
        <v>0</v>
      </c>
      <c r="Z28" s="783">
        <f>IF(AND(Z4&gt;='Construction Timing'!$I$20,Z4&lt;('Construction Timing'!$I$20+'Construction Timing'!$I$17))=TRUE,'LPP Cost'!$I$17*(1+'Interest Rate'!$J$16)^(Z4-$E$4)/'Construction Timing'!$I$17,0)</f>
        <v>0</v>
      </c>
      <c r="AA28" s="783">
        <f>IF(AND(AA4&gt;='Construction Timing'!$I$20,AA4&lt;('Construction Timing'!$I$20+'Construction Timing'!$I$17))=TRUE,'LPP Cost'!$I$17*(1+'Interest Rate'!$J$16)^(AA4-$E$4)/'Construction Timing'!$I$17,0)</f>
        <v>0</v>
      </c>
      <c r="AB28" s="783">
        <f>IF(AND(AB4&gt;='Construction Timing'!$I$20,AB4&lt;('Construction Timing'!$I$20+'Construction Timing'!$I$17))=TRUE,'LPP Cost'!$I$17*(1+'Interest Rate'!$J$16)^(AB4-$E$4)/'Construction Timing'!$I$17,0)</f>
        <v>0</v>
      </c>
      <c r="AC28" s="783">
        <f>IF(AND(AC4&gt;='Construction Timing'!$I$20,AC4&lt;('Construction Timing'!$I$20+'Construction Timing'!$I$17))=TRUE,'LPP Cost'!$I$17*(1+'Interest Rate'!$J$16)^(AC4-$E$4)/'Construction Timing'!$I$17,0)</f>
        <v>0</v>
      </c>
      <c r="AD28" s="783">
        <f>IF(AND(AD4&gt;='Construction Timing'!$I$20,AD4&lt;('Construction Timing'!$I$20+'Construction Timing'!$I$17))=TRUE,'LPP Cost'!$I$17*(1+'Interest Rate'!$J$16)^(AD4-$E$4)/'Construction Timing'!$I$17,0)</f>
        <v>0</v>
      </c>
      <c r="AE28" s="783">
        <f>IF(AND(AE4&gt;='Construction Timing'!$I$20,AE4&lt;('Construction Timing'!$I$20+'Construction Timing'!$I$17))=TRUE,'LPP Cost'!$I$17*(1+'Interest Rate'!$J$16)^(AE4-$E$4)/'Construction Timing'!$I$17,0)</f>
        <v>0</v>
      </c>
      <c r="AF28" s="783">
        <f>IF(AND(AF4&gt;='Construction Timing'!$I$20,AF4&lt;('Construction Timing'!$I$20+'Construction Timing'!$I$17))=TRUE,'LPP Cost'!$I$17*(1+'Interest Rate'!$J$16)^(AF4-$E$4)/'Construction Timing'!$I$17,0)</f>
        <v>0</v>
      </c>
      <c r="AG28" s="783">
        <f>IF(AND(AG4&gt;='Construction Timing'!$I$20,AG4&lt;('Construction Timing'!$I$20+'Construction Timing'!$I$17))=TRUE,'LPP Cost'!$I$17*(1+'Interest Rate'!$J$16)^(AG4-$E$4)/'Construction Timing'!$I$17,0)</f>
        <v>0</v>
      </c>
      <c r="AH28" s="783">
        <f>IF(AND(AH4&gt;='Construction Timing'!$I$20,AH4&lt;('Construction Timing'!$I$20+'Construction Timing'!$I$17))=TRUE,'LPP Cost'!$I$17*(1+'Interest Rate'!$J$16)^(AH4-$E$4)/'Construction Timing'!$I$17,0)</f>
        <v>0</v>
      </c>
      <c r="AI28" s="783">
        <f>IF(AND(AI4&gt;='Construction Timing'!$I$20,AI4&lt;('Construction Timing'!$I$20+'Construction Timing'!$I$17))=TRUE,'LPP Cost'!$I$17*(1+'Interest Rate'!$J$16)^(AI4-$E$4)/'Construction Timing'!$I$17,0)</f>
        <v>0</v>
      </c>
      <c r="AJ28" s="783">
        <f>IF(AND(AJ4&gt;='Construction Timing'!$I$20,AJ4&lt;('Construction Timing'!$I$20+'Construction Timing'!$I$17))=TRUE,'LPP Cost'!$I$17*(1+'Interest Rate'!$J$16)^(AJ4-$E$4)/'Construction Timing'!$I$17,0)</f>
        <v>0</v>
      </c>
      <c r="AK28" s="783">
        <f>IF(AND(AK4&gt;='Construction Timing'!$I$20,AK4&lt;('Construction Timing'!$I$20+'Construction Timing'!$I$17))=TRUE,'LPP Cost'!$I$17*(1+'Interest Rate'!$J$16)^(AK4-$E$4)/'Construction Timing'!$I$17,0)</f>
        <v>0</v>
      </c>
      <c r="AL28" s="783">
        <f>IF(AND(AL4&gt;='Construction Timing'!$I$20,AL4&lt;('Construction Timing'!$I$20+'Construction Timing'!$I$17))=TRUE,'LPP Cost'!$I$17*(1+'Interest Rate'!$J$16)^(AL4-$E$4)/'Construction Timing'!$I$17,0)</f>
        <v>0</v>
      </c>
      <c r="AM28" s="783">
        <f>IF(AND(AM4&gt;='Construction Timing'!$I$20,AM4&lt;('Construction Timing'!$I$20+'Construction Timing'!$I$17))=TRUE,'LPP Cost'!$I$17*(1+'Interest Rate'!$J$16)^(AM4-$E$4)/'Construction Timing'!$I$17,0)</f>
        <v>0</v>
      </c>
      <c r="AN28" s="783">
        <f>IF(AND(AN4&gt;='Construction Timing'!$I$20,AN4&lt;('Construction Timing'!$I$20+'Construction Timing'!$I$17))=TRUE,'LPP Cost'!$I$17*(1+'Interest Rate'!$J$16)^(AN4-$E$4)/'Construction Timing'!$I$17,0)</f>
        <v>0</v>
      </c>
      <c r="AO28" s="783">
        <f>IF(AND(AO4&gt;='Construction Timing'!$I$20,AO4&lt;('Construction Timing'!$I$20+'Construction Timing'!$I$17))=TRUE,'LPP Cost'!$I$17*(1+'Interest Rate'!$J$16)^(AO4-$E$4)/'Construction Timing'!$I$17,0)</f>
        <v>0</v>
      </c>
      <c r="AP28" s="783">
        <f>IF(AND(AP4&gt;='Construction Timing'!$I$20,AP4&lt;('Construction Timing'!$I$20+'Construction Timing'!$I$17))=TRUE,'LPP Cost'!$I$17*(1+'Interest Rate'!$J$16)^(AP4-$E$4)/'Construction Timing'!$I$17,0)</f>
        <v>0</v>
      </c>
      <c r="AQ28" s="783">
        <f>IF(AND(AQ4&gt;='Construction Timing'!$I$20,AQ4&lt;('Construction Timing'!$I$20+'Construction Timing'!$I$17))=TRUE,'LPP Cost'!$I$17*(1+'Interest Rate'!$J$16)^(AQ4-$E$4)/'Construction Timing'!$I$17,0)</f>
        <v>0</v>
      </c>
      <c r="AR28" s="783">
        <f>IF(AND(AR4&gt;='Construction Timing'!$I$20,AR4&lt;('Construction Timing'!$I$20+'Construction Timing'!$I$17))=TRUE,'LPP Cost'!$I$17*(1+'Interest Rate'!$J$16)^(AR4-$E$4)/'Construction Timing'!$I$17,0)</f>
        <v>0</v>
      </c>
      <c r="AS28" s="783">
        <f>IF(AND(AS4&gt;='Construction Timing'!$I$20,AS4&lt;('Construction Timing'!$I$20+'Construction Timing'!$I$17))=TRUE,'LPP Cost'!$I$17*(1+'Interest Rate'!$J$16)^(AS4-$E$4)/'Construction Timing'!$I$17,0)</f>
        <v>0</v>
      </c>
      <c r="AT28" s="783">
        <f>IF(AND(AT4&gt;='Construction Timing'!$I$20,AT4&lt;('Construction Timing'!$I$20+'Construction Timing'!$I$17))=TRUE,'LPP Cost'!$I$17*(1+'Interest Rate'!$J$16)^(AT4-$E$4)/'Construction Timing'!$I$17,0)</f>
        <v>0</v>
      </c>
      <c r="AU28" s="783">
        <f>IF(AND(AU4&gt;='Construction Timing'!$I$20,AU4&lt;('Construction Timing'!$I$20+'Construction Timing'!$I$17))=TRUE,'LPP Cost'!$I$17*(1+'Interest Rate'!$J$16)^(AU4-$E$4)/'Construction Timing'!$I$17,0)</f>
        <v>0</v>
      </c>
      <c r="AV28" s="783">
        <f>IF(AND(AV4&gt;='Construction Timing'!$I$20,AV4&lt;('Construction Timing'!$I$20+'Construction Timing'!$I$17))=TRUE,'LPP Cost'!$I$17*(1+'Interest Rate'!$J$16)^(AV4-$E$4)/'Construction Timing'!$I$17,0)</f>
        <v>0</v>
      </c>
      <c r="AW28" s="783">
        <f>IF(AND(AW4&gt;='Construction Timing'!$I$20,AW4&lt;('Construction Timing'!$I$20+'Construction Timing'!$I$17))=TRUE,'LPP Cost'!$I$17*(1+'Interest Rate'!$J$16)^(AW4-$E$4)/'Construction Timing'!$I$17,0)</f>
        <v>0</v>
      </c>
      <c r="AX28" s="783">
        <f>IF(AND(AX4&gt;='Construction Timing'!$I$20,AX4&lt;('Construction Timing'!$I$20+'Construction Timing'!$I$17))=TRUE,'LPP Cost'!$I$17*(1+'Interest Rate'!$J$16)^(AX4-$E$4)/'Construction Timing'!$I$17,0)</f>
        <v>0</v>
      </c>
      <c r="AY28" s="783">
        <f>IF(AND(AY4&gt;='Construction Timing'!$I$20,AY4&lt;('Construction Timing'!$I$20+'Construction Timing'!$I$17))=TRUE,'LPP Cost'!$I$17*(1+'Interest Rate'!$J$16)^(AY4-$E$4)/'Construction Timing'!$I$17,0)</f>
        <v>0</v>
      </c>
      <c r="AZ28" s="783">
        <f>IF(AND(AZ4&gt;='Construction Timing'!$I$20,AZ4&lt;('Construction Timing'!$I$20+'Construction Timing'!$I$17))=TRUE,'LPP Cost'!$I$17*(1+'Interest Rate'!$J$16)^(AZ4-$E$4)/'Construction Timing'!$I$17,0)</f>
        <v>0</v>
      </c>
      <c r="BA28" s="783">
        <f>IF(AND(BA4&gt;='Construction Timing'!$I$20,BA4&lt;('Construction Timing'!$I$20+'Construction Timing'!$I$17))=TRUE,'LPP Cost'!$I$17*(1+'Interest Rate'!$J$16)^(BA4-$E$4)/'Construction Timing'!$I$17,0)</f>
        <v>0</v>
      </c>
      <c r="BB28" s="783">
        <f>IF(AND(BB4&gt;='Construction Timing'!$I$20,BB4&lt;('Construction Timing'!$I$20+'Construction Timing'!$I$17))=TRUE,'LPP Cost'!$I$17*(1+'Interest Rate'!$J$16)^(BB4-$E$4)/'Construction Timing'!$I$17,0)</f>
        <v>0</v>
      </c>
      <c r="BC28" s="783">
        <f>IF(AND(BC4&gt;='Construction Timing'!$I$20,BC4&lt;('Construction Timing'!$I$20+'Construction Timing'!$I$17))=TRUE,'LPP Cost'!$I$17*(1+'Interest Rate'!$J$16)^(BC4-$E$4)/'Construction Timing'!$I$17,0)</f>
        <v>0</v>
      </c>
      <c r="BD28" s="783">
        <f>IF(AND(BD4&gt;='Construction Timing'!$I$20,BD4&lt;('Construction Timing'!$I$20+'Construction Timing'!$I$17))=TRUE,'LPP Cost'!$I$17*(1+'Interest Rate'!$J$16)^(BD4-$E$4)/'Construction Timing'!$I$17,0)</f>
        <v>0</v>
      </c>
      <c r="BE28" s="783">
        <f>IF(AND(BE4&gt;='Construction Timing'!$I$20,BE4&lt;('Construction Timing'!$I$20+'Construction Timing'!$I$17))=TRUE,'LPP Cost'!$I$17*(1+'Interest Rate'!$J$16)^(BE4-$E$4)/'Construction Timing'!$I$17,0)</f>
        <v>0</v>
      </c>
      <c r="BF28" s="783">
        <f>IF(AND(BF4&gt;='Construction Timing'!$I$20,BF4&lt;('Construction Timing'!$I$20+'Construction Timing'!$I$17))=TRUE,'LPP Cost'!$I$17*(1+'Interest Rate'!$J$16)^(BF4-$E$4)/'Construction Timing'!$I$17,0)</f>
        <v>0</v>
      </c>
      <c r="BG28" s="783">
        <f>IF(AND(BG4&gt;='Construction Timing'!$I$20,BG4&lt;('Construction Timing'!$I$20+'Construction Timing'!$I$17))=TRUE,'LPP Cost'!$I$17*(1+'Interest Rate'!$J$16)^(BG4-$E$4)/'Construction Timing'!$I$17,0)</f>
        <v>0</v>
      </c>
      <c r="BH28" s="783">
        <f>IF(AND(BH4&gt;='Construction Timing'!$I$20,BH4&lt;('Construction Timing'!$I$20+'Construction Timing'!$I$17))=TRUE,'LPP Cost'!$I$17*(1+'Interest Rate'!$J$16)^(BH4-$E$4)/'Construction Timing'!$I$17,0)</f>
        <v>0</v>
      </c>
      <c r="BI28" s="783">
        <f>IF(AND(BI4&gt;='Construction Timing'!$I$20,BI4&lt;('Construction Timing'!$I$20+'Construction Timing'!$I$17))=TRUE,'LPP Cost'!$I$17*(1+'Interest Rate'!$J$16)^(BI4-$E$4)/'Construction Timing'!$I$17,0)</f>
        <v>0</v>
      </c>
      <c r="BJ28" s="783">
        <f>IF(AND(BJ4&gt;='Construction Timing'!$I$20,BJ4&lt;('Construction Timing'!$I$20+'Construction Timing'!$I$17))=TRUE,'LPP Cost'!$I$17*(1+'Interest Rate'!$J$16)^(BJ4-$E$4)/'Construction Timing'!$I$17,0)</f>
        <v>0</v>
      </c>
      <c r="BK28" s="783">
        <f>IF(AND(BK4&gt;='Construction Timing'!$I$20,BK4&lt;('Construction Timing'!$I$20+'Construction Timing'!$I$17))=TRUE,'LPP Cost'!$I$17*(1+'Interest Rate'!$J$16)^(BK4-$E$4)/'Construction Timing'!$I$17,0)</f>
        <v>0</v>
      </c>
      <c r="BL28" s="783">
        <f>IF(AND(BL4&gt;='Construction Timing'!$I$20,BL4&lt;('Construction Timing'!$I$20+'Construction Timing'!$I$17))=TRUE,'LPP Cost'!$I$17*(1+'Interest Rate'!$J$16)^(BL4-$E$4)/'Construction Timing'!$I$17,0)</f>
        <v>0</v>
      </c>
      <c r="BM28" s="783">
        <f>IF(AND(BM4&gt;='Construction Timing'!$I$20,BM4&lt;('Construction Timing'!$I$20+'Construction Timing'!$I$17))=TRUE,'LPP Cost'!$I$17*(1+'Interest Rate'!$J$16)^(BM4-$E$4)/'Construction Timing'!$I$17,0)</f>
        <v>0</v>
      </c>
      <c r="BN28" s="783">
        <f>IF(AND(BN4&gt;='Construction Timing'!$I$20,BN4&lt;('Construction Timing'!$I$20+'Construction Timing'!$I$17))=TRUE,'LPP Cost'!$I$17*(1+'Interest Rate'!$J$16)^(BN4-$E$4)/'Construction Timing'!$I$17,0)</f>
        <v>0</v>
      </c>
      <c r="BO28" s="783">
        <f>IF(AND(BO4&gt;='Construction Timing'!$I$20,BO4&lt;('Construction Timing'!$I$20+'Construction Timing'!$I$17))=TRUE,'LPP Cost'!$I$17*(1+'Interest Rate'!$J$16)^(BO4-$E$4)/'Construction Timing'!$I$17,0)</f>
        <v>0</v>
      </c>
      <c r="BP28" s="783">
        <f>IF(AND(BP4&gt;='Construction Timing'!$I$20,BP4&lt;('Construction Timing'!$I$20+'Construction Timing'!$I$17))=TRUE,'LPP Cost'!$I$17*(1+'Interest Rate'!$J$16)^(BP4-$E$4)/'Construction Timing'!$I$17,0)</f>
        <v>0</v>
      </c>
      <c r="BQ28" s="783">
        <f>IF(AND(BQ4&gt;='Construction Timing'!$I$20,BQ4&lt;('Construction Timing'!$I$20+'Construction Timing'!$I$17))=TRUE,'LPP Cost'!$I$17*(1+'Interest Rate'!$J$16)^(BQ4-$E$4)/'Construction Timing'!$I$17,0)</f>
        <v>0</v>
      </c>
      <c r="BR28" s="783">
        <f>IF(AND(BR4&gt;='Construction Timing'!$I$20,BR4&lt;('Construction Timing'!$I$20+'Construction Timing'!$I$17))=TRUE,'LPP Cost'!$I$17*(1+'Interest Rate'!$J$16)^(BR4-$E$4)/'Construction Timing'!$I$17,0)</f>
        <v>0</v>
      </c>
      <c r="BS28" s="783">
        <f>IF(AND(BS4&gt;='Construction Timing'!$I$20,BS4&lt;('Construction Timing'!$I$20+'Construction Timing'!$I$17))=TRUE,'LPP Cost'!$I$17*(1+'Interest Rate'!$J$16)^(BS4-$E$4)/'Construction Timing'!$I$17,0)</f>
        <v>0</v>
      </c>
      <c r="BT28" s="783">
        <f>IF(AND(BT4&gt;='Construction Timing'!$I$20,BT4&lt;('Construction Timing'!$I$20+'Construction Timing'!$I$17))=TRUE,'LPP Cost'!$I$17*(1+'Interest Rate'!$J$16)^(BT4-$E$4)/'Construction Timing'!$I$17,0)</f>
        <v>0</v>
      </c>
      <c r="BU28" s="783">
        <f>IF(AND(BU4&gt;='Construction Timing'!$I$20,BU4&lt;('Construction Timing'!$I$20+'Construction Timing'!$I$17))=TRUE,'LPP Cost'!$I$17*(1+'Interest Rate'!$J$16)^(BU4-$E$4)/'Construction Timing'!$I$17,0)</f>
        <v>0</v>
      </c>
      <c r="BV28" s="783">
        <f>IF(AND(BV4&gt;='Construction Timing'!$I$20,BV4&lt;('Construction Timing'!$I$20+'Construction Timing'!$I$17))=TRUE,'LPP Cost'!$I$17*(1+'Interest Rate'!$J$16)^(BV4-$E$4)/'Construction Timing'!$I$17,0)</f>
        <v>0</v>
      </c>
      <c r="BW28" s="783">
        <f>IF(AND(BW4&gt;='Construction Timing'!$I$20,BW4&lt;('Construction Timing'!$I$20+'Construction Timing'!$I$17))=TRUE,'LPP Cost'!$I$17*(1+'Interest Rate'!$J$16)^(BW4-$E$4)/'Construction Timing'!$I$17,0)</f>
        <v>0</v>
      </c>
      <c r="BX28" s="783">
        <f>IF(AND(BX4&gt;='Construction Timing'!$I$20,BX4&lt;('Construction Timing'!$I$20+'Construction Timing'!$I$17))=TRUE,'LPP Cost'!$I$17*(1+'Interest Rate'!$J$16)^(BX4-$E$4)/'Construction Timing'!$I$17,0)</f>
        <v>0</v>
      </c>
      <c r="BY28" s="783">
        <f>IF(AND(BY4&gt;='Construction Timing'!$I$20,BY4&lt;('Construction Timing'!$I$20+'Construction Timing'!$I$17))=TRUE,'LPP Cost'!$I$17*(1+'Interest Rate'!$J$16)^(BY4-$E$4)/'Construction Timing'!$I$17,0)</f>
        <v>0</v>
      </c>
      <c r="BZ28" s="783">
        <f>IF(AND(BZ4&gt;='Construction Timing'!$I$20,BZ4&lt;('Construction Timing'!$I$20+'Construction Timing'!$I$17))=TRUE,'LPP Cost'!$I$17*(1+'Interest Rate'!$J$16)^(BZ4-$E$4)/'Construction Timing'!$I$17,0)</f>
        <v>0</v>
      </c>
      <c r="CA28" s="783">
        <f>IF(AND(CA4&gt;='Construction Timing'!$I$20,CA4&lt;('Construction Timing'!$I$20+'Construction Timing'!$I$17))=TRUE,'LPP Cost'!$I$17*(1+'Interest Rate'!$J$16)^(CA4-$E$4)/'Construction Timing'!$I$17,0)</f>
        <v>0</v>
      </c>
      <c r="CB28" s="783">
        <f>IF(AND(CB4&gt;='Construction Timing'!$I$20,CB4&lt;('Construction Timing'!$I$20+'Construction Timing'!$I$17))=TRUE,'LPP Cost'!$I$17*(1+'Interest Rate'!$J$16)^(CB4-$E$4)/'Construction Timing'!$I$17,0)</f>
        <v>0</v>
      </c>
      <c r="CC28" s="783">
        <f>IF(AND(CC4&gt;='Construction Timing'!$I$20,CC4&lt;('Construction Timing'!$I$20+'Construction Timing'!$I$17))=TRUE,'LPP Cost'!$I$17*(1+'Interest Rate'!$J$16)^(CC4-$E$4)/'Construction Timing'!$I$17,0)</f>
        <v>0</v>
      </c>
      <c r="CD28" s="783">
        <f>IF(AND(CD4&gt;='Construction Timing'!$I$20,CD4&lt;('Construction Timing'!$I$20+'Construction Timing'!$I$17))=TRUE,'LPP Cost'!$I$17*(1+'Interest Rate'!$J$16)^(CD4-$E$4)/'Construction Timing'!$I$17,0)</f>
        <v>0</v>
      </c>
      <c r="CE28" s="783">
        <f>IF(AND(CE4&gt;='Construction Timing'!$I$20,CE4&lt;('Construction Timing'!$I$20+'Construction Timing'!$I$17))=TRUE,'LPP Cost'!$I$17*(1+'Interest Rate'!$J$16)^(CE4-$E$4)/'Construction Timing'!$I$17,0)</f>
        <v>0</v>
      </c>
      <c r="CF28" s="783">
        <f>IF(AND(CF4&gt;='Construction Timing'!$I$20,CF4&lt;('Construction Timing'!$I$20+'Construction Timing'!$I$17))=TRUE,'LPP Cost'!$I$17*(1+'Interest Rate'!$J$16)^(CF4-$E$4)/'Construction Timing'!$I$17,0)</f>
        <v>0</v>
      </c>
      <c r="CG28" s="783">
        <f>IF(AND(CG4&gt;='Construction Timing'!$I$20,CG4&lt;('Construction Timing'!$I$20+'Construction Timing'!$I$17))=TRUE,'LPP Cost'!$I$17*(1+'Interest Rate'!$J$16)^(CG4-$E$4)/'Construction Timing'!$I$17,0)</f>
        <v>0</v>
      </c>
      <c r="CH28" s="783">
        <f>IF(AND(CH4&gt;='Construction Timing'!$I$20,CH4&lt;('Construction Timing'!$I$20+'Construction Timing'!$I$17))=TRUE,'LPP Cost'!$I$17*(1+'Interest Rate'!$J$16)^(CH4-$E$4)/'Construction Timing'!$I$17,0)</f>
        <v>0</v>
      </c>
      <c r="CI28" s="783">
        <f>IF(AND(CI4&gt;='Construction Timing'!$I$20,CI4&lt;('Construction Timing'!$I$20+'Construction Timing'!$I$17))=TRUE,'LPP Cost'!$I$17*(1+'Interest Rate'!$J$16)^(CI4-$E$4)/'Construction Timing'!$I$17,0)</f>
        <v>0</v>
      </c>
      <c r="CJ28" s="783">
        <f>IF(AND(CJ4&gt;='Construction Timing'!$I$20,CJ4&lt;('Construction Timing'!$I$20+'Construction Timing'!$I$17))=TRUE,'LPP Cost'!$I$17*(1+'Interest Rate'!$J$16)^(CJ4-$E$4)/'Construction Timing'!$I$17,0)</f>
        <v>0</v>
      </c>
      <c r="CK28" s="783">
        <f>IF(AND(CK4&gt;='Construction Timing'!$I$20,CK4&lt;('Construction Timing'!$I$20+'Construction Timing'!$I$17))=TRUE,'LPP Cost'!$I$17*(1+'Interest Rate'!$J$16)^(CK4-$E$4)/'Construction Timing'!$I$17,0)</f>
        <v>0</v>
      </c>
      <c r="CL28" s="783">
        <f>IF(AND(CL4&gt;='Construction Timing'!$I$20,CL4&lt;('Construction Timing'!$I$20+'Construction Timing'!$I$17))=TRUE,'LPP Cost'!$I$17*(1+'Interest Rate'!$J$16)^(CL4-$E$4)/'Construction Timing'!$I$17,0)</f>
        <v>0</v>
      </c>
      <c r="CM28" s="783">
        <f>IF(AND(CM4&gt;='Construction Timing'!$I$20,CM4&lt;('Construction Timing'!$I$20+'Construction Timing'!$I$17))=TRUE,'LPP Cost'!$I$17*(1+'Interest Rate'!$J$16)^(CM4-$E$4)/'Construction Timing'!$I$17,0)</f>
        <v>0</v>
      </c>
      <c r="CN28" s="783">
        <f>IF(AND(CN4&gt;='Construction Timing'!$I$20,CN4&lt;('Construction Timing'!$I$20+'Construction Timing'!$I$17))=TRUE,'LPP Cost'!$I$17*(1+'Interest Rate'!$J$16)^(CN4-$E$4)/'Construction Timing'!$I$17,0)</f>
        <v>0</v>
      </c>
      <c r="CO28" s="783">
        <f>IF(AND(CO4&gt;='Construction Timing'!$I$20,CO4&lt;('Construction Timing'!$I$20+'Construction Timing'!$I$17))=TRUE,'LPP Cost'!$I$17*(1+'Interest Rate'!$J$16)^(CO4-$E$4)/'Construction Timing'!$I$17,0)</f>
        <v>0</v>
      </c>
      <c r="CP28" s="783">
        <f>IF(AND(CP4&gt;='Construction Timing'!$I$20,CP4&lt;('Construction Timing'!$I$20+'Construction Timing'!$I$17))=TRUE,'LPP Cost'!$I$17*(1+'Interest Rate'!$J$16)^(CP4-$E$4)/'Construction Timing'!$I$17,0)</f>
        <v>0</v>
      </c>
      <c r="CQ28" s="783">
        <f>IF(AND(CQ4&gt;='Construction Timing'!$I$20,CQ4&lt;('Construction Timing'!$I$20+'Construction Timing'!$I$17))=TRUE,'LPP Cost'!$I$17*(1+'Interest Rate'!$J$16)^(CQ4-$E$4)/'Construction Timing'!$I$17,0)</f>
        <v>0</v>
      </c>
      <c r="CR28" s="783">
        <f>IF(AND(CR4&gt;='Construction Timing'!$I$20,CR4&lt;('Construction Timing'!$I$20+'Construction Timing'!$I$17))=TRUE,'LPP Cost'!$I$17*(1+'Interest Rate'!$J$16)^(CR4-$E$4)/'Construction Timing'!$I$17,0)</f>
        <v>0</v>
      </c>
      <c r="CS28" s="783">
        <f>IF(AND(CS4&gt;='Construction Timing'!$I$20,CS4&lt;('Construction Timing'!$I$20+'Construction Timing'!$I$17))=TRUE,'LPP Cost'!$I$17*(1+'Interest Rate'!$J$16)^(CS4-$E$4)/'Construction Timing'!$I$17,0)</f>
        <v>0</v>
      </c>
      <c r="CT28" s="783">
        <f>IF(AND(CT4&gt;='Construction Timing'!$I$20,CT4&lt;('Construction Timing'!$I$20+'Construction Timing'!$I$17))=TRUE,'LPP Cost'!$I$17*(1+'Interest Rate'!$J$16)^(CT4-$E$4)/'Construction Timing'!$I$17,0)</f>
        <v>0</v>
      </c>
      <c r="CU28" s="783">
        <f>IF(AND(CU4&gt;='Construction Timing'!$I$20,CU4&lt;('Construction Timing'!$I$20+'Construction Timing'!$I$17))=TRUE,'LPP Cost'!$I$17*(1+'Interest Rate'!$J$16)^(CU4-$E$4)/'Construction Timing'!$I$17,0)</f>
        <v>0</v>
      </c>
      <c r="CV28" s="783">
        <f>IF(AND(CV4&gt;='Construction Timing'!$I$20,CV4&lt;('Construction Timing'!$I$20+'Construction Timing'!$I$17))=TRUE,'LPP Cost'!$I$17*(1+'Interest Rate'!$J$16)^(CV4-$E$4)/'Construction Timing'!$I$17,0)</f>
        <v>0</v>
      </c>
      <c r="CW28" s="783">
        <f>IF(AND(CW4&gt;='Construction Timing'!$I$20,CW4&lt;('Construction Timing'!$I$20+'Construction Timing'!$I$17))=TRUE,'LPP Cost'!$I$17*(1+'Interest Rate'!$J$16)^(CW4-$E$4)/'Construction Timing'!$I$17,0)</f>
        <v>0</v>
      </c>
      <c r="CX28" s="783">
        <f>IF(AND(CX4&gt;='Construction Timing'!$I$20,CX4&lt;('Construction Timing'!$I$20+'Construction Timing'!$I$17))=TRUE,'LPP Cost'!$I$17*(1+'Interest Rate'!$J$16)^(CX4-$E$4)/'Construction Timing'!$I$17,0)</f>
        <v>0</v>
      </c>
      <c r="CY28" s="783">
        <f>IF(AND(CY4&gt;='Construction Timing'!$I$20,CY4&lt;('Construction Timing'!$I$20+'Construction Timing'!$I$17))=TRUE,'LPP Cost'!$I$17*(1+'Interest Rate'!$J$16)^(CY4-$E$4)/'Construction Timing'!$I$17,0)</f>
        <v>0</v>
      </c>
      <c r="CZ28" s="783">
        <f>IF(AND(CZ4&gt;='Construction Timing'!$I$20,CZ4&lt;('Construction Timing'!$I$20+'Construction Timing'!$I$17))=TRUE,'LPP Cost'!$I$17*(1+'Interest Rate'!$J$16)^(CZ4-$E$4)/'Construction Timing'!$I$17,0)</f>
        <v>0</v>
      </c>
    </row>
    <row r="29" spans="1:104" s="410" customFormat="1" x14ac:dyDescent="0.25">
      <c r="B29" s="410" t="s">
        <v>296</v>
      </c>
      <c r="E29" s="763">
        <f>IF(E28=0,0,C29+E28)</f>
        <v>0</v>
      </c>
      <c r="F29" s="763">
        <f t="shared" ref="F29:BQ29" si="21">IF(F28=0,0,E29+F28)</f>
        <v>0</v>
      </c>
      <c r="G29" s="763">
        <f t="shared" si="21"/>
        <v>0</v>
      </c>
      <c r="H29" s="763">
        <f t="shared" si="21"/>
        <v>0</v>
      </c>
      <c r="I29" s="763">
        <f t="shared" si="21"/>
        <v>0</v>
      </c>
      <c r="J29" s="763">
        <f t="shared" si="21"/>
        <v>0</v>
      </c>
      <c r="K29" s="763">
        <f t="shared" si="21"/>
        <v>0</v>
      </c>
      <c r="L29" s="763">
        <f t="shared" si="21"/>
        <v>0</v>
      </c>
      <c r="M29" s="763">
        <f t="shared" si="21"/>
        <v>0</v>
      </c>
      <c r="N29" s="763">
        <f t="shared" si="21"/>
        <v>0</v>
      </c>
      <c r="O29" s="763">
        <f t="shared" si="21"/>
        <v>0</v>
      </c>
      <c r="P29" s="763">
        <f t="shared" si="21"/>
        <v>0</v>
      </c>
      <c r="Q29" s="763">
        <f t="shared" si="21"/>
        <v>0</v>
      </c>
      <c r="R29" s="763">
        <f t="shared" si="21"/>
        <v>0</v>
      </c>
      <c r="S29" s="763">
        <f t="shared" si="21"/>
        <v>0</v>
      </c>
      <c r="T29" s="763">
        <f t="shared" si="21"/>
        <v>0</v>
      </c>
      <c r="U29" s="763">
        <f t="shared" si="21"/>
        <v>0</v>
      </c>
      <c r="V29" s="763">
        <f t="shared" si="21"/>
        <v>2047862128.8091993</v>
      </c>
      <c r="W29" s="763">
        <f t="shared" si="21"/>
        <v>0</v>
      </c>
      <c r="X29" s="763">
        <f t="shared" si="21"/>
        <v>0</v>
      </c>
      <c r="Y29" s="763">
        <f t="shared" si="21"/>
        <v>0</v>
      </c>
      <c r="Z29" s="763">
        <f t="shared" si="21"/>
        <v>0</v>
      </c>
      <c r="AA29" s="763">
        <f t="shared" si="21"/>
        <v>0</v>
      </c>
      <c r="AB29" s="763">
        <f t="shared" si="21"/>
        <v>0</v>
      </c>
      <c r="AC29" s="763">
        <f t="shared" si="21"/>
        <v>0</v>
      </c>
      <c r="AD29" s="763">
        <f t="shared" si="21"/>
        <v>0</v>
      </c>
      <c r="AE29" s="763">
        <f t="shared" si="21"/>
        <v>0</v>
      </c>
      <c r="AF29" s="763">
        <f t="shared" si="21"/>
        <v>0</v>
      </c>
      <c r="AG29" s="763">
        <f t="shared" si="21"/>
        <v>0</v>
      </c>
      <c r="AH29" s="763">
        <f t="shared" si="21"/>
        <v>0</v>
      </c>
      <c r="AI29" s="763">
        <f t="shared" si="21"/>
        <v>0</v>
      </c>
      <c r="AJ29" s="763">
        <f t="shared" si="21"/>
        <v>0</v>
      </c>
      <c r="AK29" s="763">
        <f t="shared" si="21"/>
        <v>0</v>
      </c>
      <c r="AL29" s="763">
        <f t="shared" si="21"/>
        <v>0</v>
      </c>
      <c r="AM29" s="763">
        <f t="shared" si="21"/>
        <v>0</v>
      </c>
      <c r="AN29" s="763">
        <f t="shared" si="21"/>
        <v>0</v>
      </c>
      <c r="AO29" s="763">
        <f t="shared" si="21"/>
        <v>0</v>
      </c>
      <c r="AP29" s="763">
        <f t="shared" si="21"/>
        <v>0</v>
      </c>
      <c r="AQ29" s="763">
        <f t="shared" si="21"/>
        <v>0</v>
      </c>
      <c r="AR29" s="763">
        <f t="shared" si="21"/>
        <v>0</v>
      </c>
      <c r="AS29" s="763">
        <f t="shared" si="21"/>
        <v>0</v>
      </c>
      <c r="AT29" s="763">
        <f t="shared" si="21"/>
        <v>0</v>
      </c>
      <c r="AU29" s="763">
        <f t="shared" si="21"/>
        <v>0</v>
      </c>
      <c r="AV29" s="763">
        <f t="shared" si="21"/>
        <v>0</v>
      </c>
      <c r="AW29" s="763">
        <f t="shared" si="21"/>
        <v>0</v>
      </c>
      <c r="AX29" s="763">
        <f t="shared" si="21"/>
        <v>0</v>
      </c>
      <c r="AY29" s="763">
        <f t="shared" si="21"/>
        <v>0</v>
      </c>
      <c r="AZ29" s="763">
        <f t="shared" si="21"/>
        <v>0</v>
      </c>
      <c r="BA29" s="763">
        <f t="shared" si="21"/>
        <v>0</v>
      </c>
      <c r="BB29" s="763">
        <f t="shared" si="21"/>
        <v>0</v>
      </c>
      <c r="BC29" s="763">
        <f t="shared" si="21"/>
        <v>0</v>
      </c>
      <c r="BD29" s="763">
        <f t="shared" si="21"/>
        <v>0</v>
      </c>
      <c r="BE29" s="763">
        <f t="shared" si="21"/>
        <v>0</v>
      </c>
      <c r="BF29" s="763">
        <f t="shared" si="21"/>
        <v>0</v>
      </c>
      <c r="BG29" s="763">
        <f t="shared" si="21"/>
        <v>0</v>
      </c>
      <c r="BH29" s="763">
        <f t="shared" si="21"/>
        <v>0</v>
      </c>
      <c r="BI29" s="763">
        <f t="shared" si="21"/>
        <v>0</v>
      </c>
      <c r="BJ29" s="763">
        <f t="shared" si="21"/>
        <v>0</v>
      </c>
      <c r="BK29" s="763">
        <f t="shared" si="21"/>
        <v>0</v>
      </c>
      <c r="BL29" s="763">
        <f t="shared" si="21"/>
        <v>0</v>
      </c>
      <c r="BM29" s="763">
        <f t="shared" si="21"/>
        <v>0</v>
      </c>
      <c r="BN29" s="763">
        <f t="shared" si="21"/>
        <v>0</v>
      </c>
      <c r="BO29" s="763">
        <f t="shared" si="21"/>
        <v>0</v>
      </c>
      <c r="BP29" s="763">
        <f t="shared" si="21"/>
        <v>0</v>
      </c>
      <c r="BQ29" s="763">
        <f t="shared" si="21"/>
        <v>0</v>
      </c>
      <c r="BR29" s="763">
        <f t="shared" ref="BR29:CZ29" si="22">IF(BR28=0,0,BQ29+BR28)</f>
        <v>0</v>
      </c>
      <c r="BS29" s="763">
        <f t="shared" si="22"/>
        <v>0</v>
      </c>
      <c r="BT29" s="763">
        <f t="shared" si="22"/>
        <v>0</v>
      </c>
      <c r="BU29" s="763">
        <f t="shared" si="22"/>
        <v>0</v>
      </c>
      <c r="BV29" s="763">
        <f t="shared" si="22"/>
        <v>0</v>
      </c>
      <c r="BW29" s="763">
        <f t="shared" si="22"/>
        <v>0</v>
      </c>
      <c r="BX29" s="763">
        <f t="shared" si="22"/>
        <v>0</v>
      </c>
      <c r="BY29" s="763">
        <f t="shared" si="22"/>
        <v>0</v>
      </c>
      <c r="BZ29" s="763">
        <f t="shared" si="22"/>
        <v>0</v>
      </c>
      <c r="CA29" s="763">
        <f t="shared" si="22"/>
        <v>0</v>
      </c>
      <c r="CB29" s="763">
        <f t="shared" si="22"/>
        <v>0</v>
      </c>
      <c r="CC29" s="763">
        <f t="shared" si="22"/>
        <v>0</v>
      </c>
      <c r="CD29" s="763">
        <f t="shared" si="22"/>
        <v>0</v>
      </c>
      <c r="CE29" s="763">
        <f t="shared" si="22"/>
        <v>0</v>
      </c>
      <c r="CF29" s="763">
        <f t="shared" si="22"/>
        <v>0</v>
      </c>
      <c r="CG29" s="763">
        <f t="shared" si="22"/>
        <v>0</v>
      </c>
      <c r="CH29" s="763">
        <f t="shared" si="22"/>
        <v>0</v>
      </c>
      <c r="CI29" s="763">
        <f t="shared" si="22"/>
        <v>0</v>
      </c>
      <c r="CJ29" s="763">
        <f t="shared" si="22"/>
        <v>0</v>
      </c>
      <c r="CK29" s="763">
        <f t="shared" si="22"/>
        <v>0</v>
      </c>
      <c r="CL29" s="763">
        <f t="shared" si="22"/>
        <v>0</v>
      </c>
      <c r="CM29" s="763">
        <f t="shared" si="22"/>
        <v>0</v>
      </c>
      <c r="CN29" s="763">
        <f t="shared" si="22"/>
        <v>0</v>
      </c>
      <c r="CO29" s="763">
        <f t="shared" si="22"/>
        <v>0</v>
      </c>
      <c r="CP29" s="763">
        <f t="shared" si="22"/>
        <v>0</v>
      </c>
      <c r="CQ29" s="763">
        <f t="shared" si="22"/>
        <v>0</v>
      </c>
      <c r="CR29" s="763">
        <f t="shared" si="22"/>
        <v>0</v>
      </c>
      <c r="CS29" s="763">
        <f t="shared" si="22"/>
        <v>0</v>
      </c>
      <c r="CT29" s="763">
        <f t="shared" si="22"/>
        <v>0</v>
      </c>
      <c r="CU29" s="763">
        <f t="shared" si="22"/>
        <v>0</v>
      </c>
      <c r="CV29" s="763">
        <f t="shared" si="22"/>
        <v>0</v>
      </c>
      <c r="CW29" s="763">
        <f t="shared" si="22"/>
        <v>0</v>
      </c>
      <c r="CX29" s="763">
        <f t="shared" si="22"/>
        <v>0</v>
      </c>
      <c r="CY29" s="763">
        <f t="shared" si="22"/>
        <v>0</v>
      </c>
      <c r="CZ29" s="763">
        <f t="shared" si="22"/>
        <v>0</v>
      </c>
    </row>
    <row r="30" spans="1:104" s="410" customFormat="1" x14ac:dyDescent="0.25">
      <c r="B30" s="410" t="s">
        <v>304</v>
      </c>
      <c r="E30" s="763">
        <f>IF('Initial Capital Payment'!$C$7="Yes",IF('LPP Act Financing Plan (3)'!E$4='Initial Capital Payment'!$C$12,'Initial Capital Payment'!$C$10,0),0)</f>
        <v>50000000</v>
      </c>
      <c r="F30" s="763">
        <f>IF('Initial Capital Payment'!$C$7="Yes",IF('LPP Act Financing Plan (3)'!F$4='Initial Capital Payment'!$C$12,'Initial Capital Payment'!$C$10,0),0)</f>
        <v>0</v>
      </c>
      <c r="G30" s="763">
        <f>IF('Initial Capital Payment'!$C$7="Yes",IF('LPP Act Financing Plan (3)'!G$4='Initial Capital Payment'!$C$12,'Initial Capital Payment'!$C$10,0),0)</f>
        <v>0</v>
      </c>
      <c r="H30" s="763">
        <f>IF('Initial Capital Payment'!$C$7="Yes",IF('LPP Act Financing Plan (3)'!H$4='Initial Capital Payment'!$C$12,'Initial Capital Payment'!$C$10,0),0)</f>
        <v>0</v>
      </c>
      <c r="I30" s="763">
        <f>IF('Initial Capital Payment'!$C$7="Yes",IF('LPP Act Financing Plan (3)'!I$4='Initial Capital Payment'!$C$12,'Initial Capital Payment'!$C$10,0),0)</f>
        <v>0</v>
      </c>
      <c r="J30" s="763">
        <f>IF('Initial Capital Payment'!$C$7="Yes",IF('LPP Act Financing Plan (3)'!J$4='Initial Capital Payment'!$C$12,'Initial Capital Payment'!$C$10,0),0)</f>
        <v>0</v>
      </c>
      <c r="K30" s="763">
        <f>IF('Initial Capital Payment'!$C$7="Yes",IF('LPP Act Financing Plan (3)'!K$4='Initial Capital Payment'!$C$12,'Initial Capital Payment'!$C$10,0),0)</f>
        <v>0</v>
      </c>
      <c r="L30" s="763">
        <f>IF('Initial Capital Payment'!$C$7="Yes",IF('LPP Act Financing Plan (3)'!L$4='Initial Capital Payment'!$C$12,'Initial Capital Payment'!$C$10,0),0)</f>
        <v>0</v>
      </c>
      <c r="M30" s="763">
        <f>IF('Initial Capital Payment'!$C$7="Yes",IF('LPP Act Financing Plan (3)'!M$4='Initial Capital Payment'!$C$12,'Initial Capital Payment'!$C$10,0),0)</f>
        <v>0</v>
      </c>
      <c r="N30" s="763">
        <f>IF('Initial Capital Payment'!$C$7="Yes",IF('LPP Act Financing Plan (3)'!N$4='Initial Capital Payment'!$C$12,'Initial Capital Payment'!$C$10,0),0)</f>
        <v>0</v>
      </c>
      <c r="O30" s="763">
        <f>IF('Initial Capital Payment'!$C$7="Yes",IF('LPP Act Financing Plan (3)'!O$4='Initial Capital Payment'!$C$12,'Initial Capital Payment'!$C$10,0),0)</f>
        <v>0</v>
      </c>
      <c r="P30" s="763">
        <f>IF('Initial Capital Payment'!$C$7="Yes",IF('LPP Act Financing Plan (3)'!P$4='Initial Capital Payment'!$C$12,'Initial Capital Payment'!$C$10,0),0)</f>
        <v>0</v>
      </c>
      <c r="Q30" s="763">
        <f>IF('Initial Capital Payment'!$C$7="Yes",IF('LPP Act Financing Plan (3)'!Q$4='Initial Capital Payment'!$C$12,'Initial Capital Payment'!$C$10,0),0)</f>
        <v>0</v>
      </c>
      <c r="R30" s="763">
        <f>IF('Initial Capital Payment'!$C$7="Yes",IF('LPP Act Financing Plan (3)'!R$4='Initial Capital Payment'!$C$12,'Initial Capital Payment'!$C$10,0),0)</f>
        <v>0</v>
      </c>
      <c r="S30" s="763">
        <f>IF('Initial Capital Payment'!$C$7="Yes",IF('LPP Act Financing Plan (3)'!S$4='Initial Capital Payment'!$C$12,'Initial Capital Payment'!$C$10,0),0)</f>
        <v>0</v>
      </c>
      <c r="T30" s="763">
        <f>IF('Initial Capital Payment'!$C$7="Yes",IF('LPP Act Financing Plan (3)'!T$4='Initial Capital Payment'!$C$12,'Initial Capital Payment'!$C$10,0),0)</f>
        <v>0</v>
      </c>
      <c r="U30" s="763">
        <f>IF('Initial Capital Payment'!$C$7="Yes",IF('LPP Act Financing Plan (3)'!U$4='Initial Capital Payment'!$C$12,'Initial Capital Payment'!$C$10,0),0)</f>
        <v>0</v>
      </c>
      <c r="V30" s="763">
        <f>IF('Initial Capital Payment'!$C$7="Yes",IF('LPP Act Financing Plan (3)'!V$4='Initial Capital Payment'!$C$12,'Initial Capital Payment'!$C$10,0),0)</f>
        <v>0</v>
      </c>
      <c r="W30" s="763">
        <f>IF('Initial Capital Payment'!$C$7="Yes",IF('LPP Act Financing Plan (3)'!W$4='Initial Capital Payment'!$C$12,'Initial Capital Payment'!$C$10,0),0)</f>
        <v>0</v>
      </c>
      <c r="X30" s="763">
        <f>IF('Initial Capital Payment'!$C$7="Yes",IF('LPP Act Financing Plan (3)'!X$4='Initial Capital Payment'!$C$12,'Initial Capital Payment'!$C$10,0),0)</f>
        <v>0</v>
      </c>
      <c r="Y30" s="763">
        <f>IF('Initial Capital Payment'!$C$7="Yes",IF('LPP Act Financing Plan (3)'!Y$4='Initial Capital Payment'!$C$12,'Initial Capital Payment'!$C$10,0),0)</f>
        <v>0</v>
      </c>
      <c r="Z30" s="763">
        <f>IF('Initial Capital Payment'!$C$7="Yes",IF('LPP Act Financing Plan (3)'!Z$4='Initial Capital Payment'!$C$12,'Initial Capital Payment'!$C$10,0),0)</f>
        <v>0</v>
      </c>
      <c r="AA30" s="763">
        <f>IF('Initial Capital Payment'!$C$7="Yes",IF('LPP Act Financing Plan (3)'!AA$4='Initial Capital Payment'!$C$12,'Initial Capital Payment'!$C$10,0),0)</f>
        <v>0</v>
      </c>
      <c r="AB30" s="763">
        <f>IF('Initial Capital Payment'!$C$7="Yes",IF('LPP Act Financing Plan (3)'!AB$4='Initial Capital Payment'!$C$12,'Initial Capital Payment'!$C$10,0),0)</f>
        <v>0</v>
      </c>
      <c r="AC30" s="763">
        <f>IF('Initial Capital Payment'!$C$7="Yes",IF('LPP Act Financing Plan (3)'!AC$4='Initial Capital Payment'!$C$12,'Initial Capital Payment'!$C$10,0),0)</f>
        <v>0</v>
      </c>
      <c r="AD30" s="763">
        <f>IF('Initial Capital Payment'!$C$7="Yes",IF('LPP Act Financing Plan (3)'!AD$4='Initial Capital Payment'!$C$12,'Initial Capital Payment'!$C$10,0),0)</f>
        <v>0</v>
      </c>
      <c r="AE30" s="763">
        <f>IF('Initial Capital Payment'!$C$7="Yes",IF('LPP Act Financing Plan (3)'!AE$4='Initial Capital Payment'!$C$12,'Initial Capital Payment'!$C$10,0),0)</f>
        <v>0</v>
      </c>
      <c r="AF30" s="763">
        <f>IF('Initial Capital Payment'!$C$7="Yes",IF('LPP Act Financing Plan (3)'!AF$4='Initial Capital Payment'!$C$12,'Initial Capital Payment'!$C$10,0),0)</f>
        <v>0</v>
      </c>
      <c r="AG30" s="763">
        <f>IF('Initial Capital Payment'!$C$7="Yes",IF('LPP Act Financing Plan (3)'!AG$4='Initial Capital Payment'!$C$12,'Initial Capital Payment'!$C$10,0),0)</f>
        <v>0</v>
      </c>
      <c r="AH30" s="763">
        <f>IF('Initial Capital Payment'!$C$7="Yes",IF('LPP Act Financing Plan (3)'!AH$4='Initial Capital Payment'!$C$12,'Initial Capital Payment'!$C$10,0),0)</f>
        <v>0</v>
      </c>
      <c r="AI30" s="763">
        <f>IF('Initial Capital Payment'!$C$7="Yes",IF('LPP Act Financing Plan (3)'!AI$4='Initial Capital Payment'!$C$12,'Initial Capital Payment'!$C$10,0),0)</f>
        <v>0</v>
      </c>
      <c r="AJ30" s="763">
        <f>IF('Initial Capital Payment'!$C$7="Yes",IF('LPP Act Financing Plan (3)'!AJ$4='Initial Capital Payment'!$C$12,'Initial Capital Payment'!$C$10,0),0)</f>
        <v>0</v>
      </c>
      <c r="AK30" s="763">
        <f>IF('Initial Capital Payment'!$C$7="Yes",IF('LPP Act Financing Plan (3)'!AK$4='Initial Capital Payment'!$C$12,'Initial Capital Payment'!$C$10,0),0)</f>
        <v>0</v>
      </c>
      <c r="AL30" s="763">
        <f>IF('Initial Capital Payment'!$C$7="Yes",IF('LPP Act Financing Plan (3)'!AL$4='Initial Capital Payment'!$C$12,'Initial Capital Payment'!$C$10,0),0)</f>
        <v>0</v>
      </c>
      <c r="AM30" s="763">
        <f>IF('Initial Capital Payment'!$C$7="Yes",IF('LPP Act Financing Plan (3)'!AM$4='Initial Capital Payment'!$C$12,'Initial Capital Payment'!$C$10,0),0)</f>
        <v>0</v>
      </c>
      <c r="AN30" s="763">
        <f>IF('Initial Capital Payment'!$C$7="Yes",IF('LPP Act Financing Plan (3)'!AN$4='Initial Capital Payment'!$C$12,'Initial Capital Payment'!$C$10,0),0)</f>
        <v>0</v>
      </c>
      <c r="AO30" s="763">
        <f>IF('Initial Capital Payment'!$C$7="Yes",IF('LPP Act Financing Plan (3)'!AO$4='Initial Capital Payment'!$C$12,'Initial Capital Payment'!$C$10,0),0)</f>
        <v>0</v>
      </c>
      <c r="AP30" s="763">
        <f>IF('Initial Capital Payment'!$C$7="Yes",IF('LPP Act Financing Plan (3)'!AP$4='Initial Capital Payment'!$C$12,'Initial Capital Payment'!$C$10,0),0)</f>
        <v>0</v>
      </c>
      <c r="AQ30" s="763">
        <f>IF('Initial Capital Payment'!$C$7="Yes",IF('LPP Act Financing Plan (3)'!AQ$4='Initial Capital Payment'!$C$12,'Initial Capital Payment'!$C$10,0),0)</f>
        <v>0</v>
      </c>
      <c r="AR30" s="763">
        <f>IF('Initial Capital Payment'!$C$7="Yes",IF('LPP Act Financing Plan (3)'!AR$4='Initial Capital Payment'!$C$12,'Initial Capital Payment'!$C$10,0),0)</f>
        <v>0</v>
      </c>
      <c r="AS30" s="763">
        <f>IF('Initial Capital Payment'!$C$7="Yes",IF('LPP Act Financing Plan (3)'!AS$4='Initial Capital Payment'!$C$12,'Initial Capital Payment'!$C$10,0),0)</f>
        <v>0</v>
      </c>
      <c r="AT30" s="763">
        <f>IF('Initial Capital Payment'!$C$7="Yes",IF('LPP Act Financing Plan (3)'!AT$4='Initial Capital Payment'!$C$12,'Initial Capital Payment'!$C$10,0),0)</f>
        <v>0</v>
      </c>
      <c r="AU30" s="763">
        <f>IF('Initial Capital Payment'!$C$7="Yes",IF('LPP Act Financing Plan (3)'!AU$4='Initial Capital Payment'!$C$12,'Initial Capital Payment'!$C$10,0),0)</f>
        <v>0</v>
      </c>
      <c r="AV30" s="763">
        <f>IF('Initial Capital Payment'!$C$7="Yes",IF('LPP Act Financing Plan (3)'!AV$4='Initial Capital Payment'!$C$12,'Initial Capital Payment'!$C$10,0),0)</f>
        <v>0</v>
      </c>
      <c r="AW30" s="763">
        <f>IF('Initial Capital Payment'!$C$7="Yes",IF('LPP Act Financing Plan (3)'!AW$4='Initial Capital Payment'!$C$12,'Initial Capital Payment'!$C$10,0),0)</f>
        <v>0</v>
      </c>
      <c r="AX30" s="763">
        <f>IF('Initial Capital Payment'!$C$7="Yes",IF('LPP Act Financing Plan (3)'!AX$4='Initial Capital Payment'!$C$12,'Initial Capital Payment'!$C$10,0),0)</f>
        <v>0</v>
      </c>
      <c r="AY30" s="763">
        <f>IF('Initial Capital Payment'!$C$7="Yes",IF('LPP Act Financing Plan (3)'!AY$4='Initial Capital Payment'!$C$12,'Initial Capital Payment'!$C$10,0),0)</f>
        <v>0</v>
      </c>
      <c r="AZ30" s="763">
        <f>IF('Initial Capital Payment'!$C$7="Yes",IF('LPP Act Financing Plan (3)'!AZ$4='Initial Capital Payment'!$C$12,'Initial Capital Payment'!$C$10,0),0)</f>
        <v>0</v>
      </c>
      <c r="BA30" s="763">
        <f>IF('Initial Capital Payment'!$C$7="Yes",IF('LPP Act Financing Plan (3)'!BA$4='Initial Capital Payment'!$C$12,'Initial Capital Payment'!$C$10,0),0)</f>
        <v>0</v>
      </c>
      <c r="BB30" s="763">
        <f>IF('Initial Capital Payment'!$C$7="Yes",IF('LPP Act Financing Plan (3)'!BB$4='Initial Capital Payment'!$C$12,'Initial Capital Payment'!$C$10,0),0)</f>
        <v>0</v>
      </c>
      <c r="BC30" s="763">
        <f>IF('Initial Capital Payment'!$C$7="Yes",IF('LPP Act Financing Plan (3)'!BC$4='Initial Capital Payment'!$C$12,'Initial Capital Payment'!$C$10,0),0)</f>
        <v>0</v>
      </c>
      <c r="BD30" s="763">
        <f>IF('Initial Capital Payment'!$C$7="Yes",IF('LPP Act Financing Plan (3)'!BD$4='Initial Capital Payment'!$C$12,'Initial Capital Payment'!$C$10,0),0)</f>
        <v>0</v>
      </c>
      <c r="BE30" s="763">
        <f>IF('Initial Capital Payment'!$C$7="Yes",IF('LPP Act Financing Plan (3)'!BE$4='Initial Capital Payment'!$C$12,'Initial Capital Payment'!$C$10,0),0)</f>
        <v>0</v>
      </c>
      <c r="BF30" s="763">
        <f>IF('Initial Capital Payment'!$C$7="Yes",IF('LPP Act Financing Plan (3)'!BF$4='Initial Capital Payment'!$C$12,'Initial Capital Payment'!$C$10,0),0)</f>
        <v>0</v>
      </c>
      <c r="BG30" s="763">
        <f>IF('Initial Capital Payment'!$C$7="Yes",IF('LPP Act Financing Plan (3)'!BG$4='Initial Capital Payment'!$C$12,'Initial Capital Payment'!$C$10,0),0)</f>
        <v>0</v>
      </c>
      <c r="BH30" s="763">
        <f>IF('Initial Capital Payment'!$C$7="Yes",IF('LPP Act Financing Plan (3)'!BH$4='Initial Capital Payment'!$C$12,'Initial Capital Payment'!$C$10,0),0)</f>
        <v>0</v>
      </c>
      <c r="BI30" s="763">
        <f>IF('Initial Capital Payment'!$C$7="Yes",IF('LPP Act Financing Plan (3)'!BI$4='Initial Capital Payment'!$C$12,'Initial Capital Payment'!$C$10,0),0)</f>
        <v>0</v>
      </c>
      <c r="BJ30" s="763">
        <f>IF('Initial Capital Payment'!$C$7="Yes",IF('LPP Act Financing Plan (3)'!BJ$4='Initial Capital Payment'!$C$12,'Initial Capital Payment'!$C$10,0),0)</f>
        <v>0</v>
      </c>
      <c r="BK30" s="763">
        <f>IF('Initial Capital Payment'!$C$7="Yes",IF('LPP Act Financing Plan (3)'!BK$4='Initial Capital Payment'!$C$12,'Initial Capital Payment'!$C$10,0),0)</f>
        <v>0</v>
      </c>
      <c r="BL30" s="763">
        <f>IF('Initial Capital Payment'!$C$7="Yes",IF('LPP Act Financing Plan (3)'!BL$4='Initial Capital Payment'!$C$12,'Initial Capital Payment'!$C$10,0),0)</f>
        <v>0</v>
      </c>
      <c r="BM30" s="763">
        <f>IF('Initial Capital Payment'!$C$7="Yes",IF('LPP Act Financing Plan (3)'!BM$4='Initial Capital Payment'!$C$12,'Initial Capital Payment'!$C$10,0),0)</f>
        <v>0</v>
      </c>
      <c r="BN30" s="763">
        <f>IF('Initial Capital Payment'!$C$7="Yes",IF('LPP Act Financing Plan (3)'!BN$4='Initial Capital Payment'!$C$12,'Initial Capital Payment'!$C$10,0),0)</f>
        <v>0</v>
      </c>
      <c r="BO30" s="763">
        <f>IF('Initial Capital Payment'!$C$7="Yes",IF('LPP Act Financing Plan (3)'!BO$4='Initial Capital Payment'!$C$12,'Initial Capital Payment'!$C$10,0),0)</f>
        <v>0</v>
      </c>
      <c r="BP30" s="763">
        <f>IF('Initial Capital Payment'!$C$7="Yes",IF('LPP Act Financing Plan (3)'!BP$4='Initial Capital Payment'!$C$12,'Initial Capital Payment'!$C$10,0),0)</f>
        <v>0</v>
      </c>
      <c r="BQ30" s="763">
        <f>IF('Initial Capital Payment'!$C$7="Yes",IF('LPP Act Financing Plan (3)'!BQ$4='Initial Capital Payment'!$C$12,'Initial Capital Payment'!$C$10,0),0)</f>
        <v>0</v>
      </c>
      <c r="BR30" s="763">
        <f>IF('Initial Capital Payment'!$C$7="Yes",IF('LPP Act Financing Plan (3)'!BR$4='Initial Capital Payment'!$C$12,'Initial Capital Payment'!$C$10,0),0)</f>
        <v>0</v>
      </c>
      <c r="BS30" s="763">
        <f>IF('Initial Capital Payment'!$C$7="Yes",IF('LPP Act Financing Plan (3)'!BS$4='Initial Capital Payment'!$C$12,'Initial Capital Payment'!$C$10,0),0)</f>
        <v>0</v>
      </c>
      <c r="BT30" s="763">
        <f>IF('Initial Capital Payment'!$C$7="Yes",IF('LPP Act Financing Plan (3)'!BT$4='Initial Capital Payment'!$C$12,'Initial Capital Payment'!$C$10,0),0)</f>
        <v>0</v>
      </c>
      <c r="BU30" s="763">
        <f>IF('Initial Capital Payment'!$C$7="Yes",IF('LPP Act Financing Plan (3)'!BU$4='Initial Capital Payment'!$C$12,'Initial Capital Payment'!$C$10,0),0)</f>
        <v>0</v>
      </c>
      <c r="BV30" s="763">
        <f>IF('Initial Capital Payment'!$C$7="Yes",IF('LPP Act Financing Plan (3)'!BV$4='Initial Capital Payment'!$C$12,'Initial Capital Payment'!$C$10,0),0)</f>
        <v>0</v>
      </c>
      <c r="BW30" s="763">
        <f>IF('Initial Capital Payment'!$C$7="Yes",IF('LPP Act Financing Plan (3)'!BW$4='Initial Capital Payment'!$C$12,'Initial Capital Payment'!$C$10,0),0)</f>
        <v>0</v>
      </c>
      <c r="BX30" s="763">
        <f>IF('Initial Capital Payment'!$C$7="Yes",IF('LPP Act Financing Plan (3)'!BX$4='Initial Capital Payment'!$C$12,'Initial Capital Payment'!$C$10,0),0)</f>
        <v>0</v>
      </c>
      <c r="BY30" s="763">
        <f>IF('Initial Capital Payment'!$C$7="Yes",IF('LPP Act Financing Plan (3)'!BY$4='Initial Capital Payment'!$C$12,'Initial Capital Payment'!$C$10,0),0)</f>
        <v>0</v>
      </c>
      <c r="BZ30" s="763">
        <f>IF('Initial Capital Payment'!$C$7="Yes",IF('LPP Act Financing Plan (3)'!BZ$4='Initial Capital Payment'!$C$12,'Initial Capital Payment'!$C$10,0),0)</f>
        <v>0</v>
      </c>
      <c r="CA30" s="763">
        <f>IF('Initial Capital Payment'!$C$7="Yes",IF('LPP Act Financing Plan (3)'!CA$4='Initial Capital Payment'!$C$12,'Initial Capital Payment'!$C$10,0),0)</f>
        <v>0</v>
      </c>
      <c r="CB30" s="763">
        <f>IF('Initial Capital Payment'!$C$7="Yes",IF('LPP Act Financing Plan (3)'!CB$4='Initial Capital Payment'!$C$12,'Initial Capital Payment'!$C$10,0),0)</f>
        <v>0</v>
      </c>
      <c r="CC30" s="763">
        <f>IF('Initial Capital Payment'!$C$7="Yes",IF('LPP Act Financing Plan (3)'!CC$4='Initial Capital Payment'!$C$12,'Initial Capital Payment'!$C$10,0),0)</f>
        <v>0</v>
      </c>
      <c r="CD30" s="763">
        <f>IF('Initial Capital Payment'!$C$7="Yes",IF('LPP Act Financing Plan (3)'!CD$4='Initial Capital Payment'!$C$12,'Initial Capital Payment'!$C$10,0),0)</f>
        <v>0</v>
      </c>
      <c r="CE30" s="763">
        <f>IF('Initial Capital Payment'!$C$7="Yes",IF('LPP Act Financing Plan (3)'!CE$4='Initial Capital Payment'!$C$12,'Initial Capital Payment'!$C$10,0),0)</f>
        <v>0</v>
      </c>
      <c r="CF30" s="763">
        <f>IF('Initial Capital Payment'!$C$7="Yes",IF('LPP Act Financing Plan (3)'!CF$4='Initial Capital Payment'!$C$12,'Initial Capital Payment'!$C$10,0),0)</f>
        <v>0</v>
      </c>
      <c r="CG30" s="763">
        <f>IF('Initial Capital Payment'!$C$7="Yes",IF('LPP Act Financing Plan (3)'!CG$4='Initial Capital Payment'!$C$12,'Initial Capital Payment'!$C$10,0),0)</f>
        <v>0</v>
      </c>
      <c r="CH30" s="763">
        <f>IF('Initial Capital Payment'!$C$7="Yes",IF('LPP Act Financing Plan (3)'!CH$4='Initial Capital Payment'!$C$12,'Initial Capital Payment'!$C$10,0),0)</f>
        <v>0</v>
      </c>
      <c r="CI30" s="763">
        <f>IF('Initial Capital Payment'!$C$7="Yes",IF('LPP Act Financing Plan (3)'!CI$4='Initial Capital Payment'!$C$12,'Initial Capital Payment'!$C$10,0),0)</f>
        <v>0</v>
      </c>
      <c r="CJ30" s="763">
        <f>IF('Initial Capital Payment'!$C$7="Yes",IF('LPP Act Financing Plan (3)'!CJ$4='Initial Capital Payment'!$C$12,'Initial Capital Payment'!$C$10,0),0)</f>
        <v>0</v>
      </c>
      <c r="CK30" s="763">
        <f>IF('Initial Capital Payment'!$C$7="Yes",IF('LPP Act Financing Plan (3)'!CK$4='Initial Capital Payment'!$C$12,'Initial Capital Payment'!$C$10,0),0)</f>
        <v>0</v>
      </c>
      <c r="CL30" s="763">
        <f>IF('Initial Capital Payment'!$C$7="Yes",IF('LPP Act Financing Plan (3)'!CL$4='Initial Capital Payment'!$C$12,'Initial Capital Payment'!$C$10,0),0)</f>
        <v>0</v>
      </c>
      <c r="CM30" s="763">
        <f>IF('Initial Capital Payment'!$C$7="Yes",IF('LPP Act Financing Plan (3)'!CM$4='Initial Capital Payment'!$C$12,'Initial Capital Payment'!$C$10,0),0)</f>
        <v>0</v>
      </c>
      <c r="CN30" s="763">
        <f>IF('Initial Capital Payment'!$C$7="Yes",IF('LPP Act Financing Plan (3)'!CN$4='Initial Capital Payment'!$C$12,'Initial Capital Payment'!$C$10,0),0)</f>
        <v>0</v>
      </c>
      <c r="CO30" s="763">
        <f>IF('Initial Capital Payment'!$C$7="Yes",IF('LPP Act Financing Plan (3)'!CO$4='Initial Capital Payment'!$C$12,'Initial Capital Payment'!$C$10,0),0)</f>
        <v>0</v>
      </c>
      <c r="CP30" s="763">
        <f>IF('Initial Capital Payment'!$C$7="Yes",IF('LPP Act Financing Plan (3)'!CP$4='Initial Capital Payment'!$C$12,'Initial Capital Payment'!$C$10,0),0)</f>
        <v>0</v>
      </c>
      <c r="CQ30" s="763">
        <f>IF('Initial Capital Payment'!$C$7="Yes",IF('LPP Act Financing Plan (3)'!CQ$4='Initial Capital Payment'!$C$12,'Initial Capital Payment'!$C$10,0),0)</f>
        <v>0</v>
      </c>
      <c r="CR30" s="763">
        <f>IF('Initial Capital Payment'!$C$7="Yes",IF('LPP Act Financing Plan (3)'!CR$4='Initial Capital Payment'!$C$12,'Initial Capital Payment'!$C$10,0),0)</f>
        <v>0</v>
      </c>
      <c r="CS30" s="763">
        <f>IF('Initial Capital Payment'!$C$7="Yes",IF('LPP Act Financing Plan (3)'!CS$4='Initial Capital Payment'!$C$12,'Initial Capital Payment'!$C$10,0),0)</f>
        <v>0</v>
      </c>
      <c r="CT30" s="763">
        <f>IF('Initial Capital Payment'!$C$7="Yes",IF('LPP Act Financing Plan (3)'!CT$4='Initial Capital Payment'!$C$12,'Initial Capital Payment'!$C$10,0),0)</f>
        <v>0</v>
      </c>
      <c r="CU30" s="763">
        <f>IF('Initial Capital Payment'!$C$7="Yes",IF('LPP Act Financing Plan (3)'!CU$4='Initial Capital Payment'!$C$12,'Initial Capital Payment'!$C$10,0),0)</f>
        <v>0</v>
      </c>
      <c r="CV30" s="763">
        <f>IF('Initial Capital Payment'!$C$7="Yes",IF('LPP Act Financing Plan (3)'!CV$4='Initial Capital Payment'!$C$12,'Initial Capital Payment'!$C$10,0),0)</f>
        <v>0</v>
      </c>
      <c r="CW30" s="763">
        <f>IF('Initial Capital Payment'!$C$7="Yes",IF('LPP Act Financing Plan (3)'!CW$4='Initial Capital Payment'!$C$12,'Initial Capital Payment'!$C$10,0),0)</f>
        <v>0</v>
      </c>
      <c r="CX30" s="763">
        <f>IF('Initial Capital Payment'!$C$7="Yes",IF('LPP Act Financing Plan (3)'!CX$4='Initial Capital Payment'!$C$12,'Initial Capital Payment'!$C$10,0),0)</f>
        <v>0</v>
      </c>
      <c r="CY30" s="763">
        <f>IF('Initial Capital Payment'!$C$7="Yes",IF('LPP Act Financing Plan (3)'!CY$4='Initial Capital Payment'!$C$12,'Initial Capital Payment'!$C$10,0),0)</f>
        <v>0</v>
      </c>
      <c r="CZ30" s="763">
        <f>IF('Initial Capital Payment'!$C$7="Yes",IF('LPP Act Financing Plan (3)'!CZ$4='Initial Capital Payment'!$C$12,'Initial Capital Payment'!$C$10,0),0)</f>
        <v>0</v>
      </c>
    </row>
    <row r="31" spans="1:104" s="410" customFormat="1" ht="17.25" x14ac:dyDescent="0.4">
      <c r="B31" s="410" t="s">
        <v>293</v>
      </c>
      <c r="E31" s="795">
        <f>E24*E27</f>
        <v>0</v>
      </c>
      <c r="F31" s="795">
        <f t="shared" ref="F31:V31" si="23">F24*F27</f>
        <v>0</v>
      </c>
      <c r="G31" s="795">
        <f t="shared" si="23"/>
        <v>0</v>
      </c>
      <c r="H31" s="795">
        <f t="shared" si="23"/>
        <v>0</v>
      </c>
      <c r="I31" s="795">
        <f t="shared" si="23"/>
        <v>0</v>
      </c>
      <c r="J31" s="795">
        <f t="shared" si="23"/>
        <v>0</v>
      </c>
      <c r="K31" s="795">
        <f t="shared" si="23"/>
        <v>0</v>
      </c>
      <c r="L31" s="795">
        <f t="shared" si="23"/>
        <v>0</v>
      </c>
      <c r="M31" s="795">
        <f t="shared" si="23"/>
        <v>0</v>
      </c>
      <c r="N31" s="795">
        <f t="shared" si="23"/>
        <v>0</v>
      </c>
      <c r="O31" s="795">
        <f t="shared" si="23"/>
        <v>0</v>
      </c>
      <c r="P31" s="795">
        <f t="shared" si="23"/>
        <v>0</v>
      </c>
      <c r="Q31" s="795">
        <f t="shared" si="23"/>
        <v>0</v>
      </c>
      <c r="R31" s="795">
        <f t="shared" si="23"/>
        <v>0</v>
      </c>
      <c r="S31" s="795">
        <f t="shared" si="23"/>
        <v>0</v>
      </c>
      <c r="T31" s="795">
        <f t="shared" si="23"/>
        <v>0</v>
      </c>
      <c r="U31" s="795">
        <f t="shared" si="23"/>
        <v>0</v>
      </c>
      <c r="V31" s="795">
        <f t="shared" si="23"/>
        <v>0</v>
      </c>
      <c r="W31" s="795">
        <f>W24*W27</f>
        <v>23760297.176283751</v>
      </c>
      <c r="X31" s="795">
        <f>X24*X27</f>
        <v>71833115.453031883</v>
      </c>
      <c r="Y31" s="795">
        <f>Y24*Y27</f>
        <v>121443882.1611917</v>
      </c>
      <c r="Z31" s="795">
        <f t="shared" ref="Z31:CK31" si="24">Z24*Z27</f>
        <v>169073783.97324798</v>
      </c>
      <c r="AA31" s="795">
        <f t="shared" si="24"/>
        <v>211043302.03305703</v>
      </c>
      <c r="AB31" s="795">
        <f t="shared" si="24"/>
        <v>243962366.87303731</v>
      </c>
      <c r="AC31" s="795">
        <f t="shared" si="24"/>
        <v>265191605.36663041</v>
      </c>
      <c r="AD31" s="795">
        <f t="shared" si="24"/>
        <v>273231462.61891884</v>
      </c>
      <c r="AE31" s="795">
        <f t="shared" si="24"/>
        <v>267958795.72735617</v>
      </c>
      <c r="AF31" s="795">
        <f t="shared" si="24"/>
        <v>250653397.36216259</v>
      </c>
      <c r="AG31" s="795">
        <f t="shared" si="24"/>
        <v>223797135.70593911</v>
      </c>
      <c r="AH31" s="795">
        <f t="shared" si="24"/>
        <v>190677461.659684</v>
      </c>
      <c r="AI31" s="795">
        <f t="shared" si="24"/>
        <v>154872222.38151059</v>
      </c>
      <c r="AJ31" s="795">
        <f t="shared" si="24"/>
        <v>119720753.16918455</v>
      </c>
      <c r="AK31" s="795">
        <f t="shared" si="24"/>
        <v>87887796.25501664</v>
      </c>
      <c r="AL31" s="795">
        <f t="shared" si="24"/>
        <v>61100384.133536875</v>
      </c>
      <c r="AM31" s="795">
        <f t="shared" si="24"/>
        <v>40090972.835514165</v>
      </c>
      <c r="AN31" s="795">
        <f t="shared" si="24"/>
        <v>24910809.875285227</v>
      </c>
      <c r="AO31" s="795">
        <f t="shared" si="24"/>
        <v>14369483.536502331</v>
      </c>
      <c r="AP31" s="795">
        <f t="shared" si="24"/>
        <v>7640148.585885888</v>
      </c>
      <c r="AQ31" s="795">
        <f t="shared" si="24"/>
        <v>3711613.5135319452</v>
      </c>
      <c r="AR31" s="795">
        <f t="shared" si="24"/>
        <v>1629653.9242388897</v>
      </c>
      <c r="AS31" s="795">
        <f t="shared" si="24"/>
        <v>637843.99002444255</v>
      </c>
      <c r="AT31" s="795">
        <f t="shared" si="24"/>
        <v>218597.24805184104</v>
      </c>
      <c r="AU31" s="795">
        <f t="shared" si="24"/>
        <v>64035.647703857132</v>
      </c>
      <c r="AV31" s="795">
        <f t="shared" si="24"/>
        <v>15497.241928301928</v>
      </c>
      <c r="AW31" s="795">
        <f t="shared" si="24"/>
        <v>2942.3235845654622</v>
      </c>
      <c r="AX31" s="795">
        <f t="shared" si="24"/>
        <v>401.42935789801146</v>
      </c>
      <c r="AY31" s="795">
        <f t="shared" si="24"/>
        <v>32.783123699709755</v>
      </c>
      <c r="AZ31" s="795">
        <f t="shared" si="24"/>
        <v>0.81236741371327958</v>
      </c>
      <c r="BA31" s="795">
        <f t="shared" si="24"/>
        <v>0</v>
      </c>
      <c r="BB31" s="795">
        <f t="shared" si="24"/>
        <v>0</v>
      </c>
      <c r="BC31" s="795">
        <f t="shared" si="24"/>
        <v>0</v>
      </c>
      <c r="BD31" s="795">
        <f t="shared" si="24"/>
        <v>0</v>
      </c>
      <c r="BE31" s="795">
        <f t="shared" si="24"/>
        <v>0</v>
      </c>
      <c r="BF31" s="795">
        <f t="shared" si="24"/>
        <v>0</v>
      </c>
      <c r="BG31" s="795">
        <f t="shared" si="24"/>
        <v>0</v>
      </c>
      <c r="BH31" s="795">
        <f t="shared" si="24"/>
        <v>0</v>
      </c>
      <c r="BI31" s="795">
        <f t="shared" si="24"/>
        <v>0</v>
      </c>
      <c r="BJ31" s="795">
        <f t="shared" si="24"/>
        <v>0</v>
      </c>
      <c r="BK31" s="795">
        <f t="shared" si="24"/>
        <v>0</v>
      </c>
      <c r="BL31" s="795">
        <f t="shared" si="24"/>
        <v>0</v>
      </c>
      <c r="BM31" s="795">
        <f t="shared" si="24"/>
        <v>0</v>
      </c>
      <c r="BN31" s="795">
        <f t="shared" si="24"/>
        <v>0</v>
      </c>
      <c r="BO31" s="795">
        <f t="shared" si="24"/>
        <v>0</v>
      </c>
      <c r="BP31" s="795">
        <f t="shared" si="24"/>
        <v>0</v>
      </c>
      <c r="BQ31" s="795">
        <f t="shared" si="24"/>
        <v>0</v>
      </c>
      <c r="BR31" s="795">
        <f t="shared" si="24"/>
        <v>0</v>
      </c>
      <c r="BS31" s="795">
        <f t="shared" si="24"/>
        <v>0</v>
      </c>
      <c r="BT31" s="795">
        <f t="shared" si="24"/>
        <v>0</v>
      </c>
      <c r="BU31" s="795">
        <f t="shared" si="24"/>
        <v>0</v>
      </c>
      <c r="BV31" s="795">
        <f t="shared" si="24"/>
        <v>0</v>
      </c>
      <c r="BW31" s="795">
        <f t="shared" si="24"/>
        <v>0</v>
      </c>
      <c r="BX31" s="795">
        <f t="shared" si="24"/>
        <v>0</v>
      </c>
      <c r="BY31" s="795">
        <f t="shared" si="24"/>
        <v>0</v>
      </c>
      <c r="BZ31" s="795">
        <f t="shared" si="24"/>
        <v>0</v>
      </c>
      <c r="CA31" s="795">
        <f t="shared" si="24"/>
        <v>0</v>
      </c>
      <c r="CB31" s="795">
        <f t="shared" si="24"/>
        <v>0</v>
      </c>
      <c r="CC31" s="795">
        <f t="shared" si="24"/>
        <v>0</v>
      </c>
      <c r="CD31" s="795">
        <f t="shared" si="24"/>
        <v>0</v>
      </c>
      <c r="CE31" s="795">
        <f t="shared" si="24"/>
        <v>0</v>
      </c>
      <c r="CF31" s="795">
        <f t="shared" si="24"/>
        <v>0</v>
      </c>
      <c r="CG31" s="795">
        <f t="shared" si="24"/>
        <v>0</v>
      </c>
      <c r="CH31" s="795">
        <f t="shared" si="24"/>
        <v>0</v>
      </c>
      <c r="CI31" s="795">
        <f t="shared" si="24"/>
        <v>0</v>
      </c>
      <c r="CJ31" s="795">
        <f t="shared" si="24"/>
        <v>0</v>
      </c>
      <c r="CK31" s="795">
        <f t="shared" si="24"/>
        <v>0</v>
      </c>
      <c r="CL31" s="795">
        <f t="shared" ref="CL31:CZ31" si="25">CL24*CL27</f>
        <v>0</v>
      </c>
      <c r="CM31" s="795">
        <f t="shared" si="25"/>
        <v>0</v>
      </c>
      <c r="CN31" s="795">
        <f t="shared" si="25"/>
        <v>0</v>
      </c>
      <c r="CO31" s="795">
        <f t="shared" si="25"/>
        <v>0</v>
      </c>
      <c r="CP31" s="795">
        <f t="shared" si="25"/>
        <v>0</v>
      </c>
      <c r="CQ31" s="795">
        <f t="shared" si="25"/>
        <v>0</v>
      </c>
      <c r="CR31" s="795">
        <f t="shared" si="25"/>
        <v>0</v>
      </c>
      <c r="CS31" s="795">
        <f t="shared" si="25"/>
        <v>0</v>
      </c>
      <c r="CT31" s="795">
        <f t="shared" si="25"/>
        <v>0</v>
      </c>
      <c r="CU31" s="795">
        <f t="shared" si="25"/>
        <v>0</v>
      </c>
      <c r="CV31" s="795">
        <f t="shared" si="25"/>
        <v>0</v>
      </c>
      <c r="CW31" s="795">
        <f t="shared" si="25"/>
        <v>0</v>
      </c>
      <c r="CX31" s="795">
        <f t="shared" si="25"/>
        <v>0</v>
      </c>
      <c r="CY31" s="795">
        <f t="shared" si="25"/>
        <v>0</v>
      </c>
      <c r="CZ31" s="795">
        <f t="shared" si="25"/>
        <v>0</v>
      </c>
    </row>
    <row r="32" spans="1:104" s="410" customFormat="1" x14ac:dyDescent="0.25">
      <c r="B32" s="410" t="s">
        <v>285</v>
      </c>
      <c r="E32" s="763">
        <f t="shared" ref="E32:BP32" si="26">E27+E28-E30-E31</f>
        <v>-50000000</v>
      </c>
      <c r="F32" s="763">
        <f t="shared" si="26"/>
        <v>-52250000</v>
      </c>
      <c r="G32" s="763">
        <f t="shared" si="26"/>
        <v>-54601250</v>
      </c>
      <c r="H32" s="763">
        <f t="shared" si="26"/>
        <v>-57058306.249999993</v>
      </c>
      <c r="I32" s="763">
        <f t="shared" si="26"/>
        <v>-59625930.031249985</v>
      </c>
      <c r="J32" s="763">
        <f t="shared" si="26"/>
        <v>-62309096.882656232</v>
      </c>
      <c r="K32" s="763">
        <f t="shared" si="26"/>
        <v>-65113006.242375754</v>
      </c>
      <c r="L32" s="763">
        <f t="shared" si="26"/>
        <v>-68043091.523282662</v>
      </c>
      <c r="M32" s="763">
        <f t="shared" si="26"/>
        <v>-71105030.64183037</v>
      </c>
      <c r="N32" s="763">
        <f t="shared" si="26"/>
        <v>-74304757.020712733</v>
      </c>
      <c r="O32" s="763">
        <f t="shared" si="26"/>
        <v>-77648471.086644799</v>
      </c>
      <c r="P32" s="763">
        <f t="shared" si="26"/>
        <v>-81142652.285543814</v>
      </c>
      <c r="Q32" s="763">
        <f t="shared" si="26"/>
        <v>-84794071.638393283</v>
      </c>
      <c r="R32" s="763">
        <f t="shared" si="26"/>
        <v>-88609804.862120971</v>
      </c>
      <c r="S32" s="763">
        <f t="shared" si="26"/>
        <v>-92597246.080916405</v>
      </c>
      <c r="T32" s="763">
        <f t="shared" si="26"/>
        <v>-96764122.15455763</v>
      </c>
      <c r="U32" s="763">
        <f t="shared" si="26"/>
        <v>-101118507.65151271</v>
      </c>
      <c r="V32" s="763">
        <f t="shared" si="26"/>
        <v>1942193288.3133686</v>
      </c>
      <c r="W32" s="791">
        <f t="shared" si="26"/>
        <v>2005831689.1111863</v>
      </c>
      <c r="X32" s="763">
        <f t="shared" si="26"/>
        <v>2024260999.6681578</v>
      </c>
      <c r="Y32" s="763">
        <f t="shared" si="26"/>
        <v>1993908862.492033</v>
      </c>
      <c r="Z32" s="763">
        <f t="shared" si="26"/>
        <v>1914560977.3309264</v>
      </c>
      <c r="AA32" s="763">
        <f t="shared" si="26"/>
        <v>1789672919.277761</v>
      </c>
      <c r="AB32" s="763">
        <f t="shared" si="26"/>
        <v>1626245833.7722228</v>
      </c>
      <c r="AC32" s="763">
        <f t="shared" si="26"/>
        <v>1434235290.9253423</v>
      </c>
      <c r="AD32" s="763">
        <f t="shared" si="26"/>
        <v>1225544416.3980637</v>
      </c>
      <c r="AE32" s="763">
        <f t="shared" si="26"/>
        <v>1012735119.4086204</v>
      </c>
      <c r="AF32" s="763">
        <f t="shared" si="26"/>
        <v>807654802.41984558</v>
      </c>
      <c r="AG32" s="763">
        <f t="shared" si="26"/>
        <v>620202132.82279944</v>
      </c>
      <c r="AH32" s="763">
        <f t="shared" si="26"/>
        <v>457433767.14014143</v>
      </c>
      <c r="AI32" s="763">
        <f t="shared" si="26"/>
        <v>323146064.27993715</v>
      </c>
      <c r="AJ32" s="763">
        <f t="shared" si="26"/>
        <v>217966884.00334972</v>
      </c>
      <c r="AK32" s="763">
        <f t="shared" si="26"/>
        <v>139887597.52848381</v>
      </c>
      <c r="AL32" s="763">
        <f t="shared" si="26"/>
        <v>85082155.283728689</v>
      </c>
      <c r="AM32" s="763">
        <f t="shared" si="26"/>
        <v>48819879.435982309</v>
      </c>
      <c r="AN32" s="763">
        <f t="shared" si="26"/>
        <v>26105964.135316286</v>
      </c>
      <c r="AO32" s="763">
        <f t="shared" si="26"/>
        <v>12911248.984903187</v>
      </c>
      <c r="AP32" s="763">
        <f t="shared" si="26"/>
        <v>5852106.6033379417</v>
      </c>
      <c r="AQ32" s="763">
        <f t="shared" si="26"/>
        <v>2403837.8869562033</v>
      </c>
      <c r="AR32" s="763">
        <f t="shared" si="26"/>
        <v>882356.66763034253</v>
      </c>
      <c r="AS32" s="763">
        <f t="shared" si="26"/>
        <v>284218.72764926532</v>
      </c>
      <c r="AT32" s="763">
        <f t="shared" si="26"/>
        <v>78411.322341641178</v>
      </c>
      <c r="AU32" s="763">
        <f t="shared" si="26"/>
        <v>17904.184143157894</v>
      </c>
      <c r="AV32" s="763">
        <f t="shared" si="26"/>
        <v>3212.6305012980683</v>
      </c>
      <c r="AW32" s="763">
        <f t="shared" si="26"/>
        <v>414.87528929101882</v>
      </c>
      <c r="AX32" s="763">
        <f t="shared" si="26"/>
        <v>32.115319411103201</v>
      </c>
      <c r="AY32" s="763">
        <f t="shared" si="26"/>
        <v>0.77738508489309055</v>
      </c>
      <c r="AZ32" s="763">
        <f t="shared" si="26"/>
        <v>0</v>
      </c>
      <c r="BA32" s="763">
        <f t="shared" si="26"/>
        <v>0</v>
      </c>
      <c r="BB32" s="763">
        <f t="shared" si="26"/>
        <v>0</v>
      </c>
      <c r="BC32" s="763">
        <f t="shared" si="26"/>
        <v>0</v>
      </c>
      <c r="BD32" s="763">
        <f t="shared" si="26"/>
        <v>0</v>
      </c>
      <c r="BE32" s="763">
        <f t="shared" si="26"/>
        <v>0</v>
      </c>
      <c r="BF32" s="763">
        <f t="shared" si="26"/>
        <v>0</v>
      </c>
      <c r="BG32" s="763">
        <f t="shared" si="26"/>
        <v>0</v>
      </c>
      <c r="BH32" s="763">
        <f t="shared" si="26"/>
        <v>0</v>
      </c>
      <c r="BI32" s="763">
        <f t="shared" si="26"/>
        <v>0</v>
      </c>
      <c r="BJ32" s="763">
        <f t="shared" si="26"/>
        <v>0</v>
      </c>
      <c r="BK32" s="763">
        <f t="shared" si="26"/>
        <v>0</v>
      </c>
      <c r="BL32" s="763">
        <f t="shared" si="26"/>
        <v>0</v>
      </c>
      <c r="BM32" s="763">
        <f t="shared" si="26"/>
        <v>0</v>
      </c>
      <c r="BN32" s="763">
        <f t="shared" si="26"/>
        <v>0</v>
      </c>
      <c r="BO32" s="763">
        <f t="shared" si="26"/>
        <v>0</v>
      </c>
      <c r="BP32" s="763">
        <f t="shared" si="26"/>
        <v>0</v>
      </c>
      <c r="BQ32" s="763">
        <f t="shared" ref="BQ32:CZ32" si="27">BQ27+BQ28-BQ30-BQ31</f>
        <v>0</v>
      </c>
      <c r="BR32" s="763">
        <f t="shared" si="27"/>
        <v>0</v>
      </c>
      <c r="BS32" s="763">
        <f t="shared" si="27"/>
        <v>0</v>
      </c>
      <c r="BT32" s="763">
        <f t="shared" si="27"/>
        <v>0</v>
      </c>
      <c r="BU32" s="763">
        <f t="shared" si="27"/>
        <v>0</v>
      </c>
      <c r="BV32" s="763">
        <f t="shared" si="27"/>
        <v>0</v>
      </c>
      <c r="BW32" s="763">
        <f t="shared" si="27"/>
        <v>0</v>
      </c>
      <c r="BX32" s="763">
        <f t="shared" si="27"/>
        <v>0</v>
      </c>
      <c r="BY32" s="763">
        <f t="shared" si="27"/>
        <v>0</v>
      </c>
      <c r="BZ32" s="763">
        <f t="shared" si="27"/>
        <v>0</v>
      </c>
      <c r="CA32" s="763">
        <f t="shared" si="27"/>
        <v>0</v>
      </c>
      <c r="CB32" s="763">
        <f t="shared" si="27"/>
        <v>0</v>
      </c>
      <c r="CC32" s="763">
        <f t="shared" si="27"/>
        <v>0</v>
      </c>
      <c r="CD32" s="763">
        <f t="shared" si="27"/>
        <v>0</v>
      </c>
      <c r="CE32" s="763">
        <f t="shared" si="27"/>
        <v>0</v>
      </c>
      <c r="CF32" s="763">
        <f t="shared" si="27"/>
        <v>0</v>
      </c>
      <c r="CG32" s="763">
        <f t="shared" si="27"/>
        <v>0</v>
      </c>
      <c r="CH32" s="763">
        <f t="shared" si="27"/>
        <v>0</v>
      </c>
      <c r="CI32" s="763">
        <f t="shared" si="27"/>
        <v>0</v>
      </c>
      <c r="CJ32" s="763">
        <f t="shared" si="27"/>
        <v>0</v>
      </c>
      <c r="CK32" s="763">
        <f t="shared" si="27"/>
        <v>0</v>
      </c>
      <c r="CL32" s="763">
        <f t="shared" si="27"/>
        <v>0</v>
      </c>
      <c r="CM32" s="763">
        <f t="shared" si="27"/>
        <v>0</v>
      </c>
      <c r="CN32" s="763">
        <f t="shared" si="27"/>
        <v>0</v>
      </c>
      <c r="CO32" s="763">
        <f t="shared" si="27"/>
        <v>0</v>
      </c>
      <c r="CP32" s="763">
        <f t="shared" si="27"/>
        <v>0</v>
      </c>
      <c r="CQ32" s="763">
        <f t="shared" si="27"/>
        <v>0</v>
      </c>
      <c r="CR32" s="763">
        <f t="shared" si="27"/>
        <v>0</v>
      </c>
      <c r="CS32" s="763">
        <f t="shared" si="27"/>
        <v>0</v>
      </c>
      <c r="CT32" s="763">
        <f t="shared" si="27"/>
        <v>0</v>
      </c>
      <c r="CU32" s="763">
        <f t="shared" si="27"/>
        <v>0</v>
      </c>
      <c r="CV32" s="763">
        <f t="shared" si="27"/>
        <v>0</v>
      </c>
      <c r="CW32" s="763">
        <f t="shared" si="27"/>
        <v>0</v>
      </c>
      <c r="CX32" s="763">
        <f t="shared" si="27"/>
        <v>0</v>
      </c>
      <c r="CY32" s="763">
        <f t="shared" si="27"/>
        <v>0</v>
      </c>
      <c r="CZ32" s="763">
        <f t="shared" si="27"/>
        <v>0</v>
      </c>
    </row>
    <row r="33" spans="1:104" x14ac:dyDescent="0.25">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c r="CB33" s="477"/>
      <c r="CC33" s="477"/>
      <c r="CD33" s="477"/>
      <c r="CE33" s="477"/>
      <c r="CF33" s="477"/>
      <c r="CG33" s="477"/>
      <c r="CH33" s="477"/>
      <c r="CI33" s="477"/>
      <c r="CJ33" s="477"/>
      <c r="CK33" s="477"/>
      <c r="CL33" s="477"/>
      <c r="CM33" s="477"/>
      <c r="CN33" s="477"/>
      <c r="CO33" s="477"/>
      <c r="CP33" s="477"/>
      <c r="CQ33" s="477"/>
      <c r="CR33" s="477"/>
      <c r="CS33" s="477"/>
      <c r="CT33" s="477"/>
      <c r="CU33" s="477"/>
      <c r="CV33" s="477"/>
      <c r="CW33" s="477"/>
      <c r="CX33" s="477"/>
      <c r="CY33" s="477"/>
      <c r="CZ33" s="477"/>
    </row>
    <row r="34" spans="1:104" x14ac:dyDescent="0.25">
      <c r="A34" s="472" t="s">
        <v>309</v>
      </c>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row>
    <row r="35" spans="1:104" x14ac:dyDescent="0.25">
      <c r="A35" s="472"/>
      <c r="B35" s="609" t="s">
        <v>304</v>
      </c>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477"/>
      <c r="CI35" s="477"/>
      <c r="CJ35" s="477"/>
      <c r="CK35" s="477"/>
      <c r="CL35" s="477"/>
      <c r="CM35" s="477"/>
      <c r="CN35" s="477"/>
      <c r="CO35" s="477"/>
      <c r="CP35" s="477"/>
      <c r="CQ35" s="477"/>
      <c r="CR35" s="477"/>
      <c r="CS35" s="477"/>
      <c r="CT35" s="477"/>
      <c r="CU35" s="477"/>
      <c r="CV35" s="477"/>
      <c r="CW35" s="477"/>
      <c r="CX35" s="477"/>
      <c r="CY35" s="477"/>
      <c r="CZ35" s="477"/>
    </row>
    <row r="36" spans="1:104" x14ac:dyDescent="0.25">
      <c r="A36" s="472"/>
      <c r="C36" s="609" t="s">
        <v>306</v>
      </c>
      <c r="E36" s="479">
        <f>IF(AND('Initial Capital Payment'!$C$14="Pay-Go",E4&lt;='Initial Capital Payment'!$C$12),(HLOOKUP('Initial Capital Payment'!$C$12,'LPP Act Financing Plan (3)'!$E$4:$CZ$32,27,FALSE))*'Initial Capital Payment'!$F$10)/(((HLOOKUP('Initial Capital Payment'!$C$12,'LPP Act Financing Plan (3)'!$E$4:$CZ$32,8,FALSE)))*1000000)*1000</f>
        <v>0</v>
      </c>
      <c r="F36" s="479">
        <f>IF(AND('Initial Capital Payment'!$C$14="Pay-Go",F4&lt;='Initial Capital Payment'!$C$12),(HLOOKUP('Initial Capital Payment'!$C$12,'LPP Act Financing Plan (3)'!$E$4:$CZ$32,27,FALSE))*'Initial Capital Payment'!$F$10)/(((HLOOKUP('Initial Capital Payment'!$C$12,'LPP Act Financing Plan (3)'!$E$4:$CZ$32,8,FALSE)))*1000000)*1000</f>
        <v>0</v>
      </c>
      <c r="G36" s="479">
        <f>IF(AND('Initial Capital Payment'!$C$14="Pay-Go",G4&lt;='Initial Capital Payment'!$C$12),(HLOOKUP('Initial Capital Payment'!$C$12,'LPP Act Financing Plan (3)'!$E$4:$CZ$32,27,FALSE))*'Initial Capital Payment'!$F$10)/(((HLOOKUP('Initial Capital Payment'!$C$12,'LPP Act Financing Plan (3)'!$E$4:$CZ$32,8,FALSE)))*1000000)*1000</f>
        <v>0</v>
      </c>
      <c r="H36" s="479">
        <f>IF(AND('Initial Capital Payment'!$C$14="Pay-Go",H4&lt;='Initial Capital Payment'!$C$12),(HLOOKUP('Initial Capital Payment'!$C$12,'LPP Act Financing Plan (3)'!$E$4:$CZ$32,27,FALSE))*'Initial Capital Payment'!$F$10)/(((HLOOKUP('Initial Capital Payment'!$C$12,'LPP Act Financing Plan (3)'!$E$4:$CZ$32,8,FALSE)))*1000000)*1000</f>
        <v>0</v>
      </c>
      <c r="I36" s="479">
        <f>IF(AND('Initial Capital Payment'!$C$14="Pay-Go",I4&lt;='Initial Capital Payment'!$C$12),(HLOOKUP('Initial Capital Payment'!$C$12,'LPP Act Financing Plan (3)'!$E$4:$CZ$32,27,FALSE))*'Initial Capital Payment'!$F$10)/(((HLOOKUP('Initial Capital Payment'!$C$12,'LPP Act Financing Plan (3)'!$E$4:$CZ$32,8,FALSE)))*1000000)*1000</f>
        <v>0</v>
      </c>
      <c r="J36" s="479">
        <f>IF(AND('Initial Capital Payment'!$C$14="Pay-Go",J4&lt;='Initial Capital Payment'!$C$12),(HLOOKUP('Initial Capital Payment'!$C$12,'LPP Act Financing Plan (3)'!$E$4:$CZ$32,27,FALSE))*'Initial Capital Payment'!$F$10)/(((HLOOKUP('Initial Capital Payment'!$C$12,'LPP Act Financing Plan (3)'!$E$4:$CZ$32,8,FALSE)))*1000000)*1000</f>
        <v>0</v>
      </c>
      <c r="K36" s="479">
        <f>IF(AND('Initial Capital Payment'!$C$14="Pay-Go",K4&lt;='Initial Capital Payment'!$C$12),(HLOOKUP('Initial Capital Payment'!$C$12,'LPP Act Financing Plan (3)'!$E$4:$CZ$32,27,FALSE))*'Initial Capital Payment'!$F$10)/(((HLOOKUP('Initial Capital Payment'!$C$12,'LPP Act Financing Plan (3)'!$E$4:$CZ$32,8,FALSE)))*1000000)*1000</f>
        <v>0</v>
      </c>
      <c r="L36" s="479">
        <f>IF(AND('Initial Capital Payment'!$C$14="Pay-Go",L4&lt;='Initial Capital Payment'!$C$12),(HLOOKUP('Initial Capital Payment'!$C$12,'LPP Act Financing Plan (3)'!$E$4:$CZ$32,27,FALSE))*'Initial Capital Payment'!$F$10)/(((HLOOKUP('Initial Capital Payment'!$C$12,'LPP Act Financing Plan (3)'!$E$4:$CZ$32,8,FALSE)))*1000000)*1000</f>
        <v>0</v>
      </c>
      <c r="M36" s="479">
        <f>IF(AND('Initial Capital Payment'!$C$14="Pay-Go",M4&lt;='Initial Capital Payment'!$C$12),(HLOOKUP('Initial Capital Payment'!$C$12,'LPP Act Financing Plan (3)'!$E$4:$CZ$32,27,FALSE))*'Initial Capital Payment'!$F$10)/(((HLOOKUP('Initial Capital Payment'!$C$12,'LPP Act Financing Plan (3)'!$E$4:$CZ$32,8,FALSE)))*1000000)*1000</f>
        <v>0</v>
      </c>
      <c r="N36" s="479">
        <f>IF(AND('Initial Capital Payment'!$C$14="Pay-Go",N4&lt;='Initial Capital Payment'!$C$12),(HLOOKUP('Initial Capital Payment'!$C$12,'LPP Act Financing Plan (3)'!$E$4:$CZ$32,27,FALSE))*'Initial Capital Payment'!$F$10)/(((HLOOKUP('Initial Capital Payment'!$C$12,'LPP Act Financing Plan (3)'!$E$4:$CZ$32,8,FALSE)))*1000000)*1000</f>
        <v>0</v>
      </c>
      <c r="O36" s="479">
        <f>IF(AND('Initial Capital Payment'!$C$14="Pay-Go",O4&lt;='Initial Capital Payment'!$C$12),(HLOOKUP('Initial Capital Payment'!$C$12,'LPP Act Financing Plan (3)'!$E$4:$CZ$32,27,FALSE))*'Initial Capital Payment'!$F$10)/(((HLOOKUP('Initial Capital Payment'!$C$12,'LPP Act Financing Plan (3)'!$E$4:$CZ$32,8,FALSE)))*1000000)*1000</f>
        <v>0</v>
      </c>
      <c r="P36" s="479">
        <f>IF(AND('Initial Capital Payment'!$C$14="Pay-Go",P4&lt;='Initial Capital Payment'!$C$12),(HLOOKUP('Initial Capital Payment'!$C$12,'LPP Act Financing Plan (3)'!$E$4:$CZ$32,27,FALSE))*'Initial Capital Payment'!$F$10)/(((HLOOKUP('Initial Capital Payment'!$C$12,'LPP Act Financing Plan (3)'!$E$4:$CZ$32,8,FALSE)))*1000000)*1000</f>
        <v>0</v>
      </c>
      <c r="Q36" s="479">
        <f>IF(AND('Initial Capital Payment'!$C$14="Pay-Go",Q4&lt;='Initial Capital Payment'!$C$12),(HLOOKUP('Initial Capital Payment'!$C$12,'LPP Act Financing Plan (3)'!$E$4:$CZ$32,27,FALSE))*'Initial Capital Payment'!$F$10)/(((HLOOKUP('Initial Capital Payment'!$C$12,'LPP Act Financing Plan (3)'!$E$4:$CZ$32,8,FALSE)))*1000000)*1000</f>
        <v>0</v>
      </c>
      <c r="R36" s="479">
        <f>IF(AND('Initial Capital Payment'!$C$14="Pay-Go",R4&lt;='Initial Capital Payment'!$C$12),(HLOOKUP('Initial Capital Payment'!$C$12,'LPP Act Financing Plan (3)'!$E$4:$CZ$32,27,FALSE))*'Initial Capital Payment'!$F$10)/(((HLOOKUP('Initial Capital Payment'!$C$12,'LPP Act Financing Plan (3)'!$E$4:$CZ$32,8,FALSE)))*1000000)*1000</f>
        <v>0</v>
      </c>
      <c r="S36" s="479">
        <f>IF(AND('Initial Capital Payment'!$C$14="Pay-Go",S4&lt;='Initial Capital Payment'!$C$12),(HLOOKUP('Initial Capital Payment'!$C$12,'LPP Act Financing Plan (3)'!$E$4:$CZ$32,27,FALSE))*'Initial Capital Payment'!$F$10)/(((HLOOKUP('Initial Capital Payment'!$C$12,'LPP Act Financing Plan (3)'!$E$4:$CZ$32,8,FALSE)))*1000000)*1000</f>
        <v>0</v>
      </c>
      <c r="T36" s="479">
        <f>IF(AND('Initial Capital Payment'!$C$14="Pay-Go",T4&lt;='Initial Capital Payment'!$C$12),(HLOOKUP('Initial Capital Payment'!$C$12,'LPP Act Financing Plan (3)'!$E$4:$CZ$32,27,FALSE))*'Initial Capital Payment'!$F$10)/(((HLOOKUP('Initial Capital Payment'!$C$12,'LPP Act Financing Plan (3)'!$E$4:$CZ$32,8,FALSE)))*1000000)*1000</f>
        <v>0</v>
      </c>
      <c r="U36" s="479">
        <f>IF(AND('Initial Capital Payment'!$C$14="Pay-Go",U4&lt;='Initial Capital Payment'!$C$12),(HLOOKUP('Initial Capital Payment'!$C$12,'LPP Act Financing Plan (3)'!$E$4:$CZ$32,27,FALSE))*'Initial Capital Payment'!$F$10)/(((HLOOKUP('Initial Capital Payment'!$C$12,'LPP Act Financing Plan (3)'!$E$4:$CZ$32,8,FALSE)))*1000000)*1000</f>
        <v>0</v>
      </c>
      <c r="V36" s="479">
        <f>IF(AND('Initial Capital Payment'!$C$14="Pay-Go",V4&lt;='Initial Capital Payment'!$C$12),(HLOOKUP('Initial Capital Payment'!$C$12,'LPP Act Financing Plan (3)'!$E$4:$CZ$32,27,FALSE))*'Initial Capital Payment'!$F$10)/(((HLOOKUP('Initial Capital Payment'!$C$12,'LPP Act Financing Plan (3)'!$E$4:$CZ$32,8,FALSE)))*1000000)*1000</f>
        <v>0</v>
      </c>
      <c r="W36" s="479">
        <f>IF(AND('Initial Capital Payment'!$C$14="Pay-Go",W4&lt;='Initial Capital Payment'!$C$12),(HLOOKUP('Initial Capital Payment'!$C$12,'LPP Act Financing Plan (3)'!$E$4:$CZ$32,27,FALSE))*'Initial Capital Payment'!$F$10)/(((HLOOKUP('Initial Capital Payment'!$C$12,'LPP Act Financing Plan (3)'!$E$4:$CZ$32,8,FALSE)))*1000000)*1000</f>
        <v>0</v>
      </c>
      <c r="X36" s="479">
        <f>IF(AND('Initial Capital Payment'!$C$14="Pay-Go",X4&lt;='Initial Capital Payment'!$C$12),(HLOOKUP('Initial Capital Payment'!$C$12,'LPP Act Financing Plan (3)'!$E$4:$CZ$32,27,FALSE))*'Initial Capital Payment'!$F$10)/(((HLOOKUP('Initial Capital Payment'!$C$12,'LPP Act Financing Plan (3)'!$E$4:$CZ$32,8,FALSE)))*1000000)*1000</f>
        <v>0</v>
      </c>
      <c r="Y36" s="479">
        <f>IF(AND('Initial Capital Payment'!$C$14="Pay-Go",Y4&lt;='Initial Capital Payment'!$C$12),(HLOOKUP('Initial Capital Payment'!$C$12,'LPP Act Financing Plan (3)'!$E$4:$CZ$32,27,FALSE))*'Initial Capital Payment'!$F$10)/(((HLOOKUP('Initial Capital Payment'!$C$12,'LPP Act Financing Plan (3)'!$E$4:$CZ$32,8,FALSE)))*1000000)*1000</f>
        <v>0</v>
      </c>
      <c r="Z36" s="479">
        <f>IF(AND('Initial Capital Payment'!$C$14="Pay-Go",Z4&lt;='Initial Capital Payment'!$C$12),(HLOOKUP('Initial Capital Payment'!$C$12,'LPP Act Financing Plan (3)'!$E$4:$CZ$32,27,FALSE))*'Initial Capital Payment'!$F$10)/(((HLOOKUP('Initial Capital Payment'!$C$12,'LPP Act Financing Plan (3)'!$E$4:$CZ$32,8,FALSE)))*1000000)*1000</f>
        <v>0</v>
      </c>
      <c r="AA36" s="479">
        <f>IF(AND('Initial Capital Payment'!$C$14="Pay-Go",AA4&lt;='Initial Capital Payment'!$C$12),(HLOOKUP('Initial Capital Payment'!$C$12,'LPP Act Financing Plan (3)'!$E$4:$CZ$32,27,FALSE))*'Initial Capital Payment'!$F$10)/(((HLOOKUP('Initial Capital Payment'!$C$12,'LPP Act Financing Plan (3)'!$E$4:$CZ$32,8,FALSE)))*1000000)*1000</f>
        <v>0</v>
      </c>
      <c r="AB36" s="479">
        <f>IF(AND('Initial Capital Payment'!$C$14="Pay-Go",AB4&lt;='Initial Capital Payment'!$C$12),(HLOOKUP('Initial Capital Payment'!$C$12,'LPP Act Financing Plan (3)'!$E$4:$CZ$32,27,FALSE))*'Initial Capital Payment'!$F$10)/(((HLOOKUP('Initial Capital Payment'!$C$12,'LPP Act Financing Plan (3)'!$E$4:$CZ$32,8,FALSE)))*1000000)*1000</f>
        <v>0</v>
      </c>
      <c r="AC36" s="479">
        <f>IF(AND('Initial Capital Payment'!$C$14="Pay-Go",AC4&lt;='Initial Capital Payment'!$C$12),(HLOOKUP('Initial Capital Payment'!$C$12,'LPP Act Financing Plan (3)'!$E$4:$CZ$32,27,FALSE))*'Initial Capital Payment'!$F$10)/(((HLOOKUP('Initial Capital Payment'!$C$12,'LPP Act Financing Plan (3)'!$E$4:$CZ$32,8,FALSE)))*1000000)*1000</f>
        <v>0</v>
      </c>
      <c r="AD36" s="479">
        <f>IF(AND('Initial Capital Payment'!$C$14="Pay-Go",AD4&lt;='Initial Capital Payment'!$C$12),(HLOOKUP('Initial Capital Payment'!$C$12,'LPP Act Financing Plan (3)'!$E$4:$CZ$32,27,FALSE))*'Initial Capital Payment'!$F$10)/(((HLOOKUP('Initial Capital Payment'!$C$12,'LPP Act Financing Plan (3)'!$E$4:$CZ$32,8,FALSE)))*1000000)*1000</f>
        <v>0</v>
      </c>
      <c r="AE36" s="479">
        <f>IF(AND('Initial Capital Payment'!$C$14="Pay-Go",AE4&lt;='Initial Capital Payment'!$C$12),(HLOOKUP('Initial Capital Payment'!$C$12,'LPP Act Financing Plan (3)'!$E$4:$CZ$32,27,FALSE))*'Initial Capital Payment'!$F$10)/(((HLOOKUP('Initial Capital Payment'!$C$12,'LPP Act Financing Plan (3)'!$E$4:$CZ$32,8,FALSE)))*1000000)*1000</f>
        <v>0</v>
      </c>
      <c r="AF36" s="479">
        <f>IF(AND('Initial Capital Payment'!$C$14="Pay-Go",AF4&lt;='Initial Capital Payment'!$C$12),(HLOOKUP('Initial Capital Payment'!$C$12,'LPP Act Financing Plan (3)'!$E$4:$CZ$32,27,FALSE))*'Initial Capital Payment'!$F$10)/(((HLOOKUP('Initial Capital Payment'!$C$12,'LPP Act Financing Plan (3)'!$E$4:$CZ$32,8,FALSE)))*1000000)*1000</f>
        <v>0</v>
      </c>
      <c r="AG36" s="479">
        <f>IF(AND('Initial Capital Payment'!$C$14="Pay-Go",AG4&lt;='Initial Capital Payment'!$C$12),(HLOOKUP('Initial Capital Payment'!$C$12,'LPP Act Financing Plan (3)'!$E$4:$CZ$32,27,FALSE))*'Initial Capital Payment'!$F$10)/(((HLOOKUP('Initial Capital Payment'!$C$12,'LPP Act Financing Plan (3)'!$E$4:$CZ$32,8,FALSE)))*1000000)*1000</f>
        <v>0</v>
      </c>
      <c r="AH36" s="479">
        <f>IF(AND('Initial Capital Payment'!$C$14="Pay-Go",AH4&lt;='Initial Capital Payment'!$C$12),(HLOOKUP('Initial Capital Payment'!$C$12,'LPP Act Financing Plan (3)'!$E$4:$CZ$32,27,FALSE))*'Initial Capital Payment'!$F$10)/(((HLOOKUP('Initial Capital Payment'!$C$12,'LPP Act Financing Plan (3)'!$E$4:$CZ$32,8,FALSE)))*1000000)*1000</f>
        <v>0</v>
      </c>
      <c r="AI36" s="479">
        <f>IF(AND('Initial Capital Payment'!$C$14="Pay-Go",AI4&lt;='Initial Capital Payment'!$C$12),(HLOOKUP('Initial Capital Payment'!$C$12,'LPP Act Financing Plan (3)'!$E$4:$CZ$32,27,FALSE))*'Initial Capital Payment'!$F$10)/(((HLOOKUP('Initial Capital Payment'!$C$12,'LPP Act Financing Plan (3)'!$E$4:$CZ$32,8,FALSE)))*1000000)*1000</f>
        <v>0</v>
      </c>
      <c r="AJ36" s="479">
        <f>IF(AND('Initial Capital Payment'!$C$14="Pay-Go",AJ4&lt;='Initial Capital Payment'!$C$12),(HLOOKUP('Initial Capital Payment'!$C$12,'LPP Act Financing Plan (3)'!$E$4:$CZ$32,27,FALSE))*'Initial Capital Payment'!$F$10)/(((HLOOKUP('Initial Capital Payment'!$C$12,'LPP Act Financing Plan (3)'!$E$4:$CZ$32,8,FALSE)))*1000000)*1000</f>
        <v>0</v>
      </c>
      <c r="AK36" s="479">
        <f>IF(AND('Initial Capital Payment'!$C$14="Pay-Go",AK4&lt;='Initial Capital Payment'!$C$12),(HLOOKUP('Initial Capital Payment'!$C$12,'LPP Act Financing Plan (3)'!$E$4:$CZ$32,27,FALSE))*'Initial Capital Payment'!$F$10)/(((HLOOKUP('Initial Capital Payment'!$C$12,'LPP Act Financing Plan (3)'!$E$4:$CZ$32,8,FALSE)))*1000000)*1000</f>
        <v>0</v>
      </c>
      <c r="AL36" s="479">
        <f>IF(AND('Initial Capital Payment'!$C$14="Pay-Go",AL4&lt;='Initial Capital Payment'!$C$12),(HLOOKUP('Initial Capital Payment'!$C$12,'LPP Act Financing Plan (3)'!$E$4:$CZ$32,27,FALSE))*'Initial Capital Payment'!$F$10)/(((HLOOKUP('Initial Capital Payment'!$C$12,'LPP Act Financing Plan (3)'!$E$4:$CZ$32,8,FALSE)))*1000000)*1000</f>
        <v>0</v>
      </c>
      <c r="AM36" s="479">
        <f>IF(AND('Initial Capital Payment'!$C$14="Pay-Go",AM4&lt;='Initial Capital Payment'!$C$12),(HLOOKUP('Initial Capital Payment'!$C$12,'LPP Act Financing Plan (3)'!$E$4:$CZ$32,27,FALSE))*'Initial Capital Payment'!$F$10)/(((HLOOKUP('Initial Capital Payment'!$C$12,'LPP Act Financing Plan (3)'!$E$4:$CZ$32,8,FALSE)))*1000000)*1000</f>
        <v>0</v>
      </c>
      <c r="AN36" s="479">
        <f>IF(AND('Initial Capital Payment'!$C$14="Pay-Go",AN4&lt;='Initial Capital Payment'!$C$12),(HLOOKUP('Initial Capital Payment'!$C$12,'LPP Act Financing Plan (3)'!$E$4:$CZ$32,27,FALSE))*'Initial Capital Payment'!$F$10)/(((HLOOKUP('Initial Capital Payment'!$C$12,'LPP Act Financing Plan (3)'!$E$4:$CZ$32,8,FALSE)))*1000000)*1000</f>
        <v>0</v>
      </c>
      <c r="AO36" s="479">
        <f>IF(AND('Initial Capital Payment'!$C$14="Pay-Go",AO4&lt;='Initial Capital Payment'!$C$12),(HLOOKUP('Initial Capital Payment'!$C$12,'LPP Act Financing Plan (3)'!$E$4:$CZ$32,27,FALSE))*'Initial Capital Payment'!$F$10)/(((HLOOKUP('Initial Capital Payment'!$C$12,'LPP Act Financing Plan (3)'!$E$4:$CZ$32,8,FALSE)))*1000000)*1000</f>
        <v>0</v>
      </c>
      <c r="AP36" s="479">
        <f>IF(AND('Initial Capital Payment'!$C$14="Pay-Go",AP4&lt;='Initial Capital Payment'!$C$12),(HLOOKUP('Initial Capital Payment'!$C$12,'LPP Act Financing Plan (3)'!$E$4:$CZ$32,27,FALSE))*'Initial Capital Payment'!$F$10)/(((HLOOKUP('Initial Capital Payment'!$C$12,'LPP Act Financing Plan (3)'!$E$4:$CZ$32,8,FALSE)))*1000000)*1000</f>
        <v>0</v>
      </c>
      <c r="AQ36" s="479">
        <f>IF(AND('Initial Capital Payment'!$C$14="Pay-Go",AQ4&lt;='Initial Capital Payment'!$C$12),(HLOOKUP('Initial Capital Payment'!$C$12,'LPP Act Financing Plan (3)'!$E$4:$CZ$32,27,FALSE))*'Initial Capital Payment'!$F$10)/(((HLOOKUP('Initial Capital Payment'!$C$12,'LPP Act Financing Plan (3)'!$E$4:$CZ$32,8,FALSE)))*1000000)*1000</f>
        <v>0</v>
      </c>
      <c r="AR36" s="479">
        <f>IF(AND('Initial Capital Payment'!$C$14="Pay-Go",AR4&lt;='Initial Capital Payment'!$C$12),(HLOOKUP('Initial Capital Payment'!$C$12,'LPP Act Financing Plan (3)'!$E$4:$CZ$32,27,FALSE))*'Initial Capital Payment'!$F$10)/(((HLOOKUP('Initial Capital Payment'!$C$12,'LPP Act Financing Plan (3)'!$E$4:$CZ$32,8,FALSE)))*1000000)*1000</f>
        <v>0</v>
      </c>
      <c r="AS36" s="479">
        <f>IF(AND('Initial Capital Payment'!$C$14="Pay-Go",AS4&lt;='Initial Capital Payment'!$C$12),(HLOOKUP('Initial Capital Payment'!$C$12,'LPP Act Financing Plan (3)'!$E$4:$CZ$32,27,FALSE))*'Initial Capital Payment'!$F$10)/(((HLOOKUP('Initial Capital Payment'!$C$12,'LPP Act Financing Plan (3)'!$E$4:$CZ$32,8,FALSE)))*1000000)*1000</f>
        <v>0</v>
      </c>
      <c r="AT36" s="479">
        <f>IF(AND('Initial Capital Payment'!$C$14="Pay-Go",AT4&lt;='Initial Capital Payment'!$C$12),(HLOOKUP('Initial Capital Payment'!$C$12,'LPP Act Financing Plan (3)'!$E$4:$CZ$32,27,FALSE))*'Initial Capital Payment'!$F$10)/(((HLOOKUP('Initial Capital Payment'!$C$12,'LPP Act Financing Plan (3)'!$E$4:$CZ$32,8,FALSE)))*1000000)*1000</f>
        <v>0</v>
      </c>
      <c r="AU36" s="479">
        <f>IF(AND('Initial Capital Payment'!$C$14="Pay-Go",AU4&lt;='Initial Capital Payment'!$C$12),(HLOOKUP('Initial Capital Payment'!$C$12,'LPP Act Financing Plan (3)'!$E$4:$CZ$32,27,FALSE))*'Initial Capital Payment'!$F$10)/(((HLOOKUP('Initial Capital Payment'!$C$12,'LPP Act Financing Plan (3)'!$E$4:$CZ$32,8,FALSE)))*1000000)*1000</f>
        <v>0</v>
      </c>
      <c r="AV36" s="479">
        <f>IF(AND('Initial Capital Payment'!$C$14="Pay-Go",AV4&lt;='Initial Capital Payment'!$C$12),(HLOOKUP('Initial Capital Payment'!$C$12,'LPP Act Financing Plan (3)'!$E$4:$CZ$32,27,FALSE))*'Initial Capital Payment'!$F$10)/(((HLOOKUP('Initial Capital Payment'!$C$12,'LPP Act Financing Plan (3)'!$E$4:$CZ$32,8,FALSE)))*1000000)*1000</f>
        <v>0</v>
      </c>
      <c r="AW36" s="479">
        <f>IF(AND('Initial Capital Payment'!$C$14="Pay-Go",AW4&lt;='Initial Capital Payment'!$C$12),(HLOOKUP('Initial Capital Payment'!$C$12,'LPP Act Financing Plan (3)'!$E$4:$CZ$32,27,FALSE))*'Initial Capital Payment'!$F$10)/(((HLOOKUP('Initial Capital Payment'!$C$12,'LPP Act Financing Plan (3)'!$E$4:$CZ$32,8,FALSE)))*1000000)*1000</f>
        <v>0</v>
      </c>
      <c r="AX36" s="479">
        <f>IF(AND('Initial Capital Payment'!$C$14="Pay-Go",AX4&lt;='Initial Capital Payment'!$C$12),(HLOOKUP('Initial Capital Payment'!$C$12,'LPP Act Financing Plan (3)'!$E$4:$CZ$32,27,FALSE))*'Initial Capital Payment'!$F$10)/(((HLOOKUP('Initial Capital Payment'!$C$12,'LPP Act Financing Plan (3)'!$E$4:$CZ$32,8,FALSE)))*1000000)*1000</f>
        <v>0</v>
      </c>
      <c r="AY36" s="479">
        <f>IF(AND('Initial Capital Payment'!$C$14="Pay-Go",AY4&lt;='Initial Capital Payment'!$C$12),(HLOOKUP('Initial Capital Payment'!$C$12,'LPP Act Financing Plan (3)'!$E$4:$CZ$32,27,FALSE))*'Initial Capital Payment'!$F$10)/(((HLOOKUP('Initial Capital Payment'!$C$12,'LPP Act Financing Plan (3)'!$E$4:$CZ$32,8,FALSE)))*1000000)*1000</f>
        <v>0</v>
      </c>
      <c r="AZ36" s="479">
        <f>IF(AND('Initial Capital Payment'!$C$14="Pay-Go",AZ4&lt;='Initial Capital Payment'!$C$12),(HLOOKUP('Initial Capital Payment'!$C$12,'LPP Act Financing Plan (3)'!$E$4:$CZ$32,27,FALSE))*'Initial Capital Payment'!$F$10)/(((HLOOKUP('Initial Capital Payment'!$C$12,'LPP Act Financing Plan (3)'!$E$4:$CZ$32,8,FALSE)))*1000000)*1000</f>
        <v>0</v>
      </c>
      <c r="BA36" s="479">
        <f>IF(AND('Initial Capital Payment'!$C$14="Pay-Go",BA4&lt;='Initial Capital Payment'!$C$12),(HLOOKUP('Initial Capital Payment'!$C$12,'LPP Act Financing Plan (3)'!$E$4:$CZ$32,27,FALSE))*'Initial Capital Payment'!$F$10)/(((HLOOKUP('Initial Capital Payment'!$C$12,'LPP Act Financing Plan (3)'!$E$4:$CZ$32,8,FALSE)))*1000000)*1000</f>
        <v>0</v>
      </c>
      <c r="BB36" s="479">
        <f>IF(AND('Initial Capital Payment'!$C$14="Pay-Go",BB4&lt;='Initial Capital Payment'!$C$12),(HLOOKUP('Initial Capital Payment'!$C$12,'LPP Act Financing Plan (3)'!$E$4:$CZ$32,27,FALSE))*'Initial Capital Payment'!$F$10)/(((HLOOKUP('Initial Capital Payment'!$C$12,'LPP Act Financing Plan (3)'!$E$4:$CZ$32,8,FALSE)))*1000000)*1000</f>
        <v>0</v>
      </c>
      <c r="BC36" s="479">
        <f>IF(AND('Initial Capital Payment'!$C$14="Pay-Go",BC4&lt;='Initial Capital Payment'!$C$12),(HLOOKUP('Initial Capital Payment'!$C$12,'LPP Act Financing Plan (3)'!$E$4:$CZ$32,27,FALSE))*'Initial Capital Payment'!$F$10)/(((HLOOKUP('Initial Capital Payment'!$C$12,'LPP Act Financing Plan (3)'!$E$4:$CZ$32,8,FALSE)))*1000000)*1000</f>
        <v>0</v>
      </c>
      <c r="BD36" s="479">
        <f>IF(AND('Initial Capital Payment'!$C$14="Pay-Go",BD4&lt;='Initial Capital Payment'!$C$12),(HLOOKUP('Initial Capital Payment'!$C$12,'LPP Act Financing Plan (3)'!$E$4:$CZ$32,27,FALSE))*'Initial Capital Payment'!$F$10)/(((HLOOKUP('Initial Capital Payment'!$C$12,'LPP Act Financing Plan (3)'!$E$4:$CZ$32,8,FALSE)))*1000000)*1000</f>
        <v>0</v>
      </c>
      <c r="BE36" s="479">
        <f>IF(AND('Initial Capital Payment'!$C$14="Pay-Go",BE4&lt;='Initial Capital Payment'!$C$12),(HLOOKUP('Initial Capital Payment'!$C$12,'LPP Act Financing Plan (3)'!$E$4:$CZ$32,27,FALSE))*'Initial Capital Payment'!$F$10)/(((HLOOKUP('Initial Capital Payment'!$C$12,'LPP Act Financing Plan (3)'!$E$4:$CZ$32,8,FALSE)))*1000000)*1000</f>
        <v>0</v>
      </c>
      <c r="BF36" s="479">
        <f>IF(AND('Initial Capital Payment'!$C$14="Pay-Go",BF4&lt;='Initial Capital Payment'!$C$12),(HLOOKUP('Initial Capital Payment'!$C$12,'LPP Act Financing Plan (3)'!$E$4:$CZ$32,27,FALSE))*'Initial Capital Payment'!$F$10)/(((HLOOKUP('Initial Capital Payment'!$C$12,'LPP Act Financing Plan (3)'!$E$4:$CZ$32,8,FALSE)))*1000000)*1000</f>
        <v>0</v>
      </c>
      <c r="BG36" s="479">
        <f>IF(AND('Initial Capital Payment'!$C$14="Pay-Go",BG4&lt;='Initial Capital Payment'!$C$12),(HLOOKUP('Initial Capital Payment'!$C$12,'LPP Act Financing Plan (3)'!$E$4:$CZ$32,27,FALSE))*'Initial Capital Payment'!$F$10)/(((HLOOKUP('Initial Capital Payment'!$C$12,'LPP Act Financing Plan (3)'!$E$4:$CZ$32,8,FALSE)))*1000000)*1000</f>
        <v>0</v>
      </c>
      <c r="BH36" s="479">
        <f>IF(AND('Initial Capital Payment'!$C$14="Pay-Go",BH4&lt;='Initial Capital Payment'!$C$12),(HLOOKUP('Initial Capital Payment'!$C$12,'LPP Act Financing Plan (3)'!$E$4:$CZ$32,27,FALSE))*'Initial Capital Payment'!$F$10)/(((HLOOKUP('Initial Capital Payment'!$C$12,'LPP Act Financing Plan (3)'!$E$4:$CZ$32,8,FALSE)))*1000000)*1000</f>
        <v>0</v>
      </c>
      <c r="BI36" s="479">
        <f>IF(AND('Initial Capital Payment'!$C$14="Pay-Go",BI4&lt;='Initial Capital Payment'!$C$12),(HLOOKUP('Initial Capital Payment'!$C$12,'LPP Act Financing Plan (3)'!$E$4:$CZ$32,27,FALSE))*'Initial Capital Payment'!$F$10)/(((HLOOKUP('Initial Capital Payment'!$C$12,'LPP Act Financing Plan (3)'!$E$4:$CZ$32,8,FALSE)))*1000000)*1000</f>
        <v>0</v>
      </c>
      <c r="BJ36" s="479">
        <f>IF(AND('Initial Capital Payment'!$C$14="Pay-Go",BJ4&lt;='Initial Capital Payment'!$C$12),(HLOOKUP('Initial Capital Payment'!$C$12,'LPP Act Financing Plan (3)'!$E$4:$CZ$32,27,FALSE))*'Initial Capital Payment'!$F$10)/(((HLOOKUP('Initial Capital Payment'!$C$12,'LPP Act Financing Plan (3)'!$E$4:$CZ$32,8,FALSE)))*1000000)*1000</f>
        <v>0</v>
      </c>
      <c r="BK36" s="479">
        <f>IF(AND('Initial Capital Payment'!$C$14="Pay-Go",BK4&lt;='Initial Capital Payment'!$C$12),(HLOOKUP('Initial Capital Payment'!$C$12,'LPP Act Financing Plan (3)'!$E$4:$CZ$32,27,FALSE))*'Initial Capital Payment'!$F$10)/(((HLOOKUP('Initial Capital Payment'!$C$12,'LPP Act Financing Plan (3)'!$E$4:$CZ$32,8,FALSE)))*1000000)*1000</f>
        <v>0</v>
      </c>
      <c r="BL36" s="479">
        <f>IF(AND('Initial Capital Payment'!$C$14="Pay-Go",BL4&lt;='Initial Capital Payment'!$C$12),(HLOOKUP('Initial Capital Payment'!$C$12,'LPP Act Financing Plan (3)'!$E$4:$CZ$32,27,FALSE))*'Initial Capital Payment'!$F$10)/(((HLOOKUP('Initial Capital Payment'!$C$12,'LPP Act Financing Plan (3)'!$E$4:$CZ$32,8,FALSE)))*1000000)*1000</f>
        <v>0</v>
      </c>
      <c r="BM36" s="479">
        <f>IF(AND('Initial Capital Payment'!$C$14="Pay-Go",BM4&lt;='Initial Capital Payment'!$C$12),(HLOOKUP('Initial Capital Payment'!$C$12,'LPP Act Financing Plan (3)'!$E$4:$CZ$32,27,FALSE))*'Initial Capital Payment'!$F$10)/(((HLOOKUP('Initial Capital Payment'!$C$12,'LPP Act Financing Plan (3)'!$E$4:$CZ$32,8,FALSE)))*1000000)*1000</f>
        <v>0</v>
      </c>
      <c r="BN36" s="479">
        <f>IF(AND('Initial Capital Payment'!$C$14="Pay-Go",BN4&lt;='Initial Capital Payment'!$C$12),(HLOOKUP('Initial Capital Payment'!$C$12,'LPP Act Financing Plan (3)'!$E$4:$CZ$32,27,FALSE))*'Initial Capital Payment'!$F$10)/(((HLOOKUP('Initial Capital Payment'!$C$12,'LPP Act Financing Plan (3)'!$E$4:$CZ$32,8,FALSE)))*1000000)*1000</f>
        <v>0</v>
      </c>
      <c r="BO36" s="479">
        <f>IF(AND('Initial Capital Payment'!$C$14="Pay-Go",BO4&lt;='Initial Capital Payment'!$C$12),(HLOOKUP('Initial Capital Payment'!$C$12,'LPP Act Financing Plan (3)'!$E$4:$CZ$32,27,FALSE))*'Initial Capital Payment'!$F$10)/(((HLOOKUP('Initial Capital Payment'!$C$12,'LPP Act Financing Plan (3)'!$E$4:$CZ$32,8,FALSE)))*1000000)*1000</f>
        <v>0</v>
      </c>
      <c r="BP36" s="479">
        <f>IF(AND('Initial Capital Payment'!$C$14="Pay-Go",BP4&lt;='Initial Capital Payment'!$C$12),(HLOOKUP('Initial Capital Payment'!$C$12,'LPP Act Financing Plan (3)'!$E$4:$CZ$32,27,FALSE))*'Initial Capital Payment'!$F$10)/(((HLOOKUP('Initial Capital Payment'!$C$12,'LPP Act Financing Plan (3)'!$E$4:$CZ$32,8,FALSE)))*1000000)*1000</f>
        <v>0</v>
      </c>
      <c r="BQ36" s="479">
        <f>IF(AND('Initial Capital Payment'!$C$14="Pay-Go",BQ4&lt;='Initial Capital Payment'!$C$12),(HLOOKUP('Initial Capital Payment'!$C$12,'LPP Act Financing Plan (3)'!$E$4:$CZ$32,27,FALSE))*'Initial Capital Payment'!$F$10)/(((HLOOKUP('Initial Capital Payment'!$C$12,'LPP Act Financing Plan (3)'!$E$4:$CZ$32,8,FALSE)))*1000000)*1000</f>
        <v>0</v>
      </c>
      <c r="BR36" s="479">
        <f>IF(AND('Initial Capital Payment'!$C$14="Pay-Go",BR4&lt;='Initial Capital Payment'!$C$12),(HLOOKUP('Initial Capital Payment'!$C$12,'LPP Act Financing Plan (3)'!$E$4:$CZ$32,27,FALSE))*'Initial Capital Payment'!$F$10)/(((HLOOKUP('Initial Capital Payment'!$C$12,'LPP Act Financing Plan (3)'!$E$4:$CZ$32,8,FALSE)))*1000000)*1000</f>
        <v>0</v>
      </c>
      <c r="BS36" s="479">
        <f>IF(AND('Initial Capital Payment'!$C$14="Pay-Go",BS4&lt;='Initial Capital Payment'!$C$12),(HLOOKUP('Initial Capital Payment'!$C$12,'LPP Act Financing Plan (3)'!$E$4:$CZ$32,27,FALSE))*'Initial Capital Payment'!$F$10)/(((HLOOKUP('Initial Capital Payment'!$C$12,'LPP Act Financing Plan (3)'!$E$4:$CZ$32,8,FALSE)))*1000000)*1000</f>
        <v>0</v>
      </c>
      <c r="BT36" s="479">
        <f>IF(AND('Initial Capital Payment'!$C$14="Pay-Go",BT4&lt;='Initial Capital Payment'!$C$12),(HLOOKUP('Initial Capital Payment'!$C$12,'LPP Act Financing Plan (3)'!$E$4:$CZ$32,27,FALSE))*'Initial Capital Payment'!$F$10)/(((HLOOKUP('Initial Capital Payment'!$C$12,'LPP Act Financing Plan (3)'!$E$4:$CZ$32,8,FALSE)))*1000000)*1000</f>
        <v>0</v>
      </c>
      <c r="BU36" s="479">
        <f>IF(AND('Initial Capital Payment'!$C$14="Pay-Go",BU4&lt;='Initial Capital Payment'!$C$12),(HLOOKUP('Initial Capital Payment'!$C$12,'LPP Act Financing Plan (3)'!$E$4:$CZ$32,27,FALSE))*'Initial Capital Payment'!$F$10)/(((HLOOKUP('Initial Capital Payment'!$C$12,'LPP Act Financing Plan (3)'!$E$4:$CZ$32,8,FALSE)))*1000000)*1000</f>
        <v>0</v>
      </c>
      <c r="BV36" s="479">
        <f>IF(AND('Initial Capital Payment'!$C$14="Pay-Go",BV4&lt;='Initial Capital Payment'!$C$12),(HLOOKUP('Initial Capital Payment'!$C$12,'LPP Act Financing Plan (3)'!$E$4:$CZ$32,27,FALSE))*'Initial Capital Payment'!$F$10)/(((HLOOKUP('Initial Capital Payment'!$C$12,'LPP Act Financing Plan (3)'!$E$4:$CZ$32,8,FALSE)))*1000000)*1000</f>
        <v>0</v>
      </c>
      <c r="BW36" s="479">
        <f>IF(AND('Initial Capital Payment'!$C$14="Pay-Go",BW4&lt;='Initial Capital Payment'!$C$12),(HLOOKUP('Initial Capital Payment'!$C$12,'LPP Act Financing Plan (3)'!$E$4:$CZ$32,27,FALSE))*'Initial Capital Payment'!$F$10)/(((HLOOKUP('Initial Capital Payment'!$C$12,'LPP Act Financing Plan (3)'!$E$4:$CZ$32,8,FALSE)))*1000000)*1000</f>
        <v>0</v>
      </c>
      <c r="BX36" s="479">
        <f>IF(AND('Initial Capital Payment'!$C$14="Pay-Go",BX4&lt;='Initial Capital Payment'!$C$12),(HLOOKUP('Initial Capital Payment'!$C$12,'LPP Act Financing Plan (3)'!$E$4:$CZ$32,27,FALSE))*'Initial Capital Payment'!$F$10)/(((HLOOKUP('Initial Capital Payment'!$C$12,'LPP Act Financing Plan (3)'!$E$4:$CZ$32,8,FALSE)))*1000000)*1000</f>
        <v>0</v>
      </c>
      <c r="BY36" s="479">
        <f>IF(AND('Initial Capital Payment'!$C$14="Pay-Go",BY4&lt;='Initial Capital Payment'!$C$12),(HLOOKUP('Initial Capital Payment'!$C$12,'LPP Act Financing Plan (3)'!$E$4:$CZ$32,27,FALSE))*'Initial Capital Payment'!$F$10)/(((HLOOKUP('Initial Capital Payment'!$C$12,'LPP Act Financing Plan (3)'!$E$4:$CZ$32,8,FALSE)))*1000000)*1000</f>
        <v>0</v>
      </c>
      <c r="BZ36" s="479">
        <f>IF(AND('Initial Capital Payment'!$C$14="Pay-Go",BZ4&lt;='Initial Capital Payment'!$C$12),(HLOOKUP('Initial Capital Payment'!$C$12,'LPP Act Financing Plan (3)'!$E$4:$CZ$32,27,FALSE))*'Initial Capital Payment'!$F$10)/(((HLOOKUP('Initial Capital Payment'!$C$12,'LPP Act Financing Plan (3)'!$E$4:$CZ$32,8,FALSE)))*1000000)*1000</f>
        <v>0</v>
      </c>
      <c r="CA36" s="479">
        <f>IF(AND('Initial Capital Payment'!$C$14="Pay-Go",CA4&lt;='Initial Capital Payment'!$C$12),(HLOOKUP('Initial Capital Payment'!$C$12,'LPP Act Financing Plan (3)'!$E$4:$CZ$32,27,FALSE))*'Initial Capital Payment'!$F$10)/(((HLOOKUP('Initial Capital Payment'!$C$12,'LPP Act Financing Plan (3)'!$E$4:$CZ$32,8,FALSE)))*1000000)*1000</f>
        <v>0</v>
      </c>
      <c r="CB36" s="479">
        <f>IF(AND('Initial Capital Payment'!$C$14="Pay-Go",CB4&lt;='Initial Capital Payment'!$C$12),(HLOOKUP('Initial Capital Payment'!$C$12,'LPP Act Financing Plan (3)'!$E$4:$CZ$32,27,FALSE))*'Initial Capital Payment'!$F$10)/(((HLOOKUP('Initial Capital Payment'!$C$12,'LPP Act Financing Plan (3)'!$E$4:$CZ$32,8,FALSE)))*1000000)*1000</f>
        <v>0</v>
      </c>
      <c r="CC36" s="479">
        <f>IF(AND('Initial Capital Payment'!$C$14="Pay-Go",CC4&lt;='Initial Capital Payment'!$C$12),(HLOOKUP('Initial Capital Payment'!$C$12,'LPP Act Financing Plan (3)'!$E$4:$CZ$32,27,FALSE))*'Initial Capital Payment'!$F$10)/(((HLOOKUP('Initial Capital Payment'!$C$12,'LPP Act Financing Plan (3)'!$E$4:$CZ$32,8,FALSE)))*1000000)*1000</f>
        <v>0</v>
      </c>
      <c r="CD36" s="479">
        <f>IF(AND('Initial Capital Payment'!$C$14="Pay-Go",CD4&lt;='Initial Capital Payment'!$C$12),(HLOOKUP('Initial Capital Payment'!$C$12,'LPP Act Financing Plan (3)'!$E$4:$CZ$32,27,FALSE))*'Initial Capital Payment'!$F$10)/(((HLOOKUP('Initial Capital Payment'!$C$12,'LPP Act Financing Plan (3)'!$E$4:$CZ$32,8,FALSE)))*1000000)*1000</f>
        <v>0</v>
      </c>
      <c r="CE36" s="479">
        <f>IF(AND('Initial Capital Payment'!$C$14="Pay-Go",CE4&lt;='Initial Capital Payment'!$C$12),(HLOOKUP('Initial Capital Payment'!$C$12,'LPP Act Financing Plan (3)'!$E$4:$CZ$32,27,FALSE))*'Initial Capital Payment'!$F$10)/(((HLOOKUP('Initial Capital Payment'!$C$12,'LPP Act Financing Plan (3)'!$E$4:$CZ$32,8,FALSE)))*1000000)*1000</f>
        <v>0</v>
      </c>
      <c r="CF36" s="479">
        <f>IF(AND('Initial Capital Payment'!$C$14="Pay-Go",CF4&lt;='Initial Capital Payment'!$C$12),(HLOOKUP('Initial Capital Payment'!$C$12,'LPP Act Financing Plan (3)'!$E$4:$CZ$32,27,FALSE))*'Initial Capital Payment'!$F$10)/(((HLOOKUP('Initial Capital Payment'!$C$12,'LPP Act Financing Plan (3)'!$E$4:$CZ$32,8,FALSE)))*1000000)*1000</f>
        <v>0</v>
      </c>
      <c r="CG36" s="479">
        <f>IF(AND('Initial Capital Payment'!$C$14="Pay-Go",CG4&lt;='Initial Capital Payment'!$C$12),(HLOOKUP('Initial Capital Payment'!$C$12,'LPP Act Financing Plan (3)'!$E$4:$CZ$32,27,FALSE))*'Initial Capital Payment'!$F$10)/(((HLOOKUP('Initial Capital Payment'!$C$12,'LPP Act Financing Plan (3)'!$E$4:$CZ$32,8,FALSE)))*1000000)*1000</f>
        <v>0</v>
      </c>
      <c r="CH36" s="479">
        <f>IF(AND('Initial Capital Payment'!$C$14="Pay-Go",CH4&lt;='Initial Capital Payment'!$C$12),(HLOOKUP('Initial Capital Payment'!$C$12,'LPP Act Financing Plan (3)'!$E$4:$CZ$32,27,FALSE))*'Initial Capital Payment'!$F$10)/(((HLOOKUP('Initial Capital Payment'!$C$12,'LPP Act Financing Plan (3)'!$E$4:$CZ$32,8,FALSE)))*1000000)*1000</f>
        <v>0</v>
      </c>
      <c r="CI36" s="479">
        <f>IF(AND('Initial Capital Payment'!$C$14="Pay-Go",CI4&lt;='Initial Capital Payment'!$C$12),(HLOOKUP('Initial Capital Payment'!$C$12,'LPP Act Financing Plan (3)'!$E$4:$CZ$32,27,FALSE))*'Initial Capital Payment'!$F$10)/(((HLOOKUP('Initial Capital Payment'!$C$12,'LPP Act Financing Plan (3)'!$E$4:$CZ$32,8,FALSE)))*1000000)*1000</f>
        <v>0</v>
      </c>
      <c r="CJ36" s="479">
        <f>IF(AND('Initial Capital Payment'!$C$14="Pay-Go",CJ4&lt;='Initial Capital Payment'!$C$12),(HLOOKUP('Initial Capital Payment'!$C$12,'LPP Act Financing Plan (3)'!$E$4:$CZ$32,27,FALSE))*'Initial Capital Payment'!$F$10)/(((HLOOKUP('Initial Capital Payment'!$C$12,'LPP Act Financing Plan (3)'!$E$4:$CZ$32,8,FALSE)))*1000000)*1000</f>
        <v>0</v>
      </c>
      <c r="CK36" s="479">
        <f>IF(AND('Initial Capital Payment'!$C$14="Pay-Go",CK4&lt;='Initial Capital Payment'!$C$12),(HLOOKUP('Initial Capital Payment'!$C$12,'LPP Act Financing Plan (3)'!$E$4:$CZ$32,27,FALSE))*'Initial Capital Payment'!$F$10)/(((HLOOKUP('Initial Capital Payment'!$C$12,'LPP Act Financing Plan (3)'!$E$4:$CZ$32,8,FALSE)))*1000000)*1000</f>
        <v>0</v>
      </c>
      <c r="CL36" s="479">
        <f>IF(AND('Initial Capital Payment'!$C$14="Pay-Go",CL4&lt;='Initial Capital Payment'!$C$12),(HLOOKUP('Initial Capital Payment'!$C$12,'LPP Act Financing Plan (3)'!$E$4:$CZ$32,27,FALSE))*'Initial Capital Payment'!$F$10)/(((HLOOKUP('Initial Capital Payment'!$C$12,'LPP Act Financing Plan (3)'!$E$4:$CZ$32,8,FALSE)))*1000000)*1000</f>
        <v>0</v>
      </c>
      <c r="CM36" s="479">
        <f>IF(AND('Initial Capital Payment'!$C$14="Pay-Go",CM4&lt;='Initial Capital Payment'!$C$12),(HLOOKUP('Initial Capital Payment'!$C$12,'LPP Act Financing Plan (3)'!$E$4:$CZ$32,27,FALSE))*'Initial Capital Payment'!$F$10)/(((HLOOKUP('Initial Capital Payment'!$C$12,'LPP Act Financing Plan (3)'!$E$4:$CZ$32,8,FALSE)))*1000000)*1000</f>
        <v>0</v>
      </c>
      <c r="CN36" s="479">
        <f>IF(AND('Initial Capital Payment'!$C$14="Pay-Go",CN4&lt;='Initial Capital Payment'!$C$12),(HLOOKUP('Initial Capital Payment'!$C$12,'LPP Act Financing Plan (3)'!$E$4:$CZ$32,26,FALSE))*'Initial Capital Payment'!$F$12)/(((HLOOKUP('Initial Capital Payment'!$C$12,'LPP Act Financing Plan (3)'!$E$4:$CZ$32,8,FALSE)))*1000000)*1000</f>
        <v>0</v>
      </c>
      <c r="CO36" s="479">
        <f>IF(AND('Initial Capital Payment'!$C$14="Pay-Go",CO4&lt;='Initial Capital Payment'!$C$12),(HLOOKUP('Initial Capital Payment'!$C$12,'LPP Act Financing Plan (3)'!$E$4:$CZ$32,26,FALSE))*'Initial Capital Payment'!$F$12)/(((HLOOKUP('Initial Capital Payment'!$C$12,'LPP Act Financing Plan (3)'!$E$4:$CZ$32,8,FALSE)))*1000000)*1000</f>
        <v>0</v>
      </c>
      <c r="CP36" s="479">
        <f>IF(AND('Initial Capital Payment'!$C$14="Pay-Go",CP4&lt;='Initial Capital Payment'!$C$12),(HLOOKUP('Initial Capital Payment'!$C$12,'LPP Act Financing Plan (3)'!$E$4:$CZ$32,26,FALSE))*'Initial Capital Payment'!$F$12)/(((HLOOKUP('Initial Capital Payment'!$C$12,'LPP Act Financing Plan (3)'!$E$4:$CZ$32,8,FALSE)))*1000000)*1000</f>
        <v>0</v>
      </c>
      <c r="CQ36" s="479">
        <f>IF(AND('Initial Capital Payment'!$C$14="Pay-Go",CQ4&lt;='Initial Capital Payment'!$C$12),(HLOOKUP('Initial Capital Payment'!$C$12,'LPP Act Financing Plan (3)'!$E$4:$CZ$32,26,FALSE))*'Initial Capital Payment'!$F$12)/(((HLOOKUP('Initial Capital Payment'!$C$12,'LPP Act Financing Plan (3)'!$E$4:$CZ$32,8,FALSE)))*1000000)*1000</f>
        <v>0</v>
      </c>
      <c r="CR36" s="479">
        <f>IF(AND('Initial Capital Payment'!$C$14="Pay-Go",CR4&lt;='Initial Capital Payment'!$C$12),(HLOOKUP('Initial Capital Payment'!$C$12,'LPP Act Financing Plan (3)'!$E$4:$CZ$32,26,FALSE))*'Initial Capital Payment'!$F$12)/(((HLOOKUP('Initial Capital Payment'!$C$12,'LPP Act Financing Plan (3)'!$E$4:$CZ$32,8,FALSE)))*1000000)*1000</f>
        <v>0</v>
      </c>
      <c r="CS36" s="479">
        <f>IF(AND('Initial Capital Payment'!$C$14="Pay-Go",CS4&lt;='Initial Capital Payment'!$C$12),(HLOOKUP('Initial Capital Payment'!$C$12,'LPP Act Financing Plan (3)'!$E$4:$CZ$32,26,FALSE))*'Initial Capital Payment'!$F$12)/(((HLOOKUP('Initial Capital Payment'!$C$12,'LPP Act Financing Plan (3)'!$E$4:$CZ$32,8,FALSE)))*1000000)*1000</f>
        <v>0</v>
      </c>
      <c r="CT36" s="479">
        <f>IF(AND('Initial Capital Payment'!$C$14="Pay-Go",CT4&lt;='Initial Capital Payment'!$C$12),(HLOOKUP('Initial Capital Payment'!$C$12,'LPP Act Financing Plan (3)'!$E$4:$CZ$32,26,FALSE))*'Initial Capital Payment'!$F$12)/(((HLOOKUP('Initial Capital Payment'!$C$12,'LPP Act Financing Plan (3)'!$E$4:$CZ$32,8,FALSE)))*1000000)*1000</f>
        <v>0</v>
      </c>
      <c r="CU36" s="479">
        <f>IF(AND('Initial Capital Payment'!$C$14="Pay-Go",CU4&lt;='Initial Capital Payment'!$C$12),(HLOOKUP('Initial Capital Payment'!$C$12,'LPP Act Financing Plan (3)'!$E$4:$CZ$32,26,FALSE))*'Initial Capital Payment'!$F$12)/(((HLOOKUP('Initial Capital Payment'!$C$12,'LPP Act Financing Plan (3)'!$E$4:$CZ$32,8,FALSE)))*1000000)*1000</f>
        <v>0</v>
      </c>
      <c r="CV36" s="479">
        <f>IF(AND('Initial Capital Payment'!$C$14="Pay-Go",CV4&lt;='Initial Capital Payment'!$C$12),(HLOOKUP('Initial Capital Payment'!$C$12,'LPP Act Financing Plan (3)'!$E$4:$CZ$32,26,FALSE))*'Initial Capital Payment'!$F$12)/(((HLOOKUP('Initial Capital Payment'!$C$12,'LPP Act Financing Plan (3)'!$E$4:$CZ$32,8,FALSE)))*1000000)*1000</f>
        <v>0</v>
      </c>
      <c r="CW36" s="479">
        <f>IF(AND('Initial Capital Payment'!$C$14="Pay-Go",CW4&lt;='Initial Capital Payment'!$C$12),(HLOOKUP('Initial Capital Payment'!$C$12,'LPP Act Financing Plan (3)'!$E$4:$CZ$32,26,FALSE))*'Initial Capital Payment'!$F$12)/(((HLOOKUP('Initial Capital Payment'!$C$12,'LPP Act Financing Plan (3)'!$E$4:$CZ$32,8,FALSE)))*1000000)*1000</f>
        <v>0</v>
      </c>
      <c r="CX36" s="479">
        <f>IF(AND('Initial Capital Payment'!$C$14="Pay-Go",CX4&lt;='Initial Capital Payment'!$C$12),(HLOOKUP('Initial Capital Payment'!$C$12,'LPP Act Financing Plan (3)'!$E$4:$CZ$32,26,FALSE))*'Initial Capital Payment'!$F$12)/(((HLOOKUP('Initial Capital Payment'!$C$12,'LPP Act Financing Plan (3)'!$E$4:$CZ$32,8,FALSE)))*1000000)*1000</f>
        <v>0</v>
      </c>
      <c r="CY36" s="479">
        <f>IF(AND('Initial Capital Payment'!$C$14="Pay-Go",CY4&lt;='Initial Capital Payment'!$C$12),(HLOOKUP('Initial Capital Payment'!$C$12,'LPP Act Financing Plan (3)'!$E$4:$CZ$32,26,FALSE))*'Initial Capital Payment'!$F$12)/(((HLOOKUP('Initial Capital Payment'!$C$12,'LPP Act Financing Plan (3)'!$E$4:$CZ$32,8,FALSE)))*1000000)*1000</f>
        <v>0</v>
      </c>
      <c r="CZ36" s="479">
        <f>IF(AND('Initial Capital Payment'!$C$14="Pay-Go",CZ4&lt;='Initial Capital Payment'!$C$12),(HLOOKUP('Initial Capital Payment'!$C$12,'LPP Act Financing Plan (3)'!$E$4:$CZ$32,26,FALSE))*'Initial Capital Payment'!$F$12)/(((HLOOKUP('Initial Capital Payment'!$C$12,'LPP Act Financing Plan (3)'!$E$4:$CZ$32,8,FALSE)))*1000000)*1000</f>
        <v>0</v>
      </c>
    </row>
    <row r="37" spans="1:104" x14ac:dyDescent="0.25">
      <c r="A37" s="472"/>
      <c r="C37" s="609" t="s">
        <v>370</v>
      </c>
      <c r="E37" s="477">
        <f t="shared" ref="E37:BP37" si="28">E36*E10*1000</f>
        <v>0</v>
      </c>
      <c r="F37" s="477">
        <f t="shared" si="28"/>
        <v>0</v>
      </c>
      <c r="G37" s="477">
        <f t="shared" si="28"/>
        <v>0</v>
      </c>
      <c r="H37" s="477">
        <f t="shared" si="28"/>
        <v>0</v>
      </c>
      <c r="I37" s="477">
        <f t="shared" si="28"/>
        <v>0</v>
      </c>
      <c r="J37" s="477">
        <f t="shared" si="28"/>
        <v>0</v>
      </c>
      <c r="K37" s="477">
        <f t="shared" si="28"/>
        <v>0</v>
      </c>
      <c r="L37" s="477">
        <f t="shared" si="28"/>
        <v>0</v>
      </c>
      <c r="M37" s="477">
        <f t="shared" si="28"/>
        <v>0</v>
      </c>
      <c r="N37" s="477">
        <f t="shared" si="28"/>
        <v>0</v>
      </c>
      <c r="O37" s="477">
        <f t="shared" si="28"/>
        <v>0</v>
      </c>
      <c r="P37" s="477">
        <f t="shared" si="28"/>
        <v>0</v>
      </c>
      <c r="Q37" s="477">
        <f t="shared" si="28"/>
        <v>0</v>
      </c>
      <c r="R37" s="477">
        <f t="shared" si="28"/>
        <v>0</v>
      </c>
      <c r="S37" s="477">
        <f t="shared" si="28"/>
        <v>0</v>
      </c>
      <c r="T37" s="477">
        <f t="shared" si="28"/>
        <v>0</v>
      </c>
      <c r="U37" s="477">
        <f t="shared" si="28"/>
        <v>0</v>
      </c>
      <c r="V37" s="477">
        <f t="shared" si="28"/>
        <v>0</v>
      </c>
      <c r="W37" s="477">
        <f t="shared" si="28"/>
        <v>0</v>
      </c>
      <c r="X37" s="477">
        <f t="shared" si="28"/>
        <v>0</v>
      </c>
      <c r="Y37" s="477">
        <f t="shared" si="28"/>
        <v>0</v>
      </c>
      <c r="Z37" s="477">
        <f t="shared" si="28"/>
        <v>0</v>
      </c>
      <c r="AA37" s="477">
        <f t="shared" si="28"/>
        <v>0</v>
      </c>
      <c r="AB37" s="477">
        <f t="shared" si="28"/>
        <v>0</v>
      </c>
      <c r="AC37" s="477">
        <f t="shared" si="28"/>
        <v>0</v>
      </c>
      <c r="AD37" s="477">
        <f t="shared" si="28"/>
        <v>0</v>
      </c>
      <c r="AE37" s="477">
        <f t="shared" si="28"/>
        <v>0</v>
      </c>
      <c r="AF37" s="477">
        <f t="shared" si="28"/>
        <v>0</v>
      </c>
      <c r="AG37" s="477">
        <f t="shared" si="28"/>
        <v>0</v>
      </c>
      <c r="AH37" s="477">
        <f t="shared" si="28"/>
        <v>0</v>
      </c>
      <c r="AI37" s="477">
        <f t="shared" si="28"/>
        <v>0</v>
      </c>
      <c r="AJ37" s="477">
        <f t="shared" si="28"/>
        <v>0</v>
      </c>
      <c r="AK37" s="477">
        <f t="shared" si="28"/>
        <v>0</v>
      </c>
      <c r="AL37" s="477">
        <f t="shared" si="28"/>
        <v>0</v>
      </c>
      <c r="AM37" s="477">
        <f t="shared" si="28"/>
        <v>0</v>
      </c>
      <c r="AN37" s="477">
        <f t="shared" si="28"/>
        <v>0</v>
      </c>
      <c r="AO37" s="477">
        <f t="shared" si="28"/>
        <v>0</v>
      </c>
      <c r="AP37" s="477">
        <f t="shared" si="28"/>
        <v>0</v>
      </c>
      <c r="AQ37" s="477">
        <f t="shared" si="28"/>
        <v>0</v>
      </c>
      <c r="AR37" s="477">
        <f t="shared" si="28"/>
        <v>0</v>
      </c>
      <c r="AS37" s="477">
        <f t="shared" si="28"/>
        <v>0</v>
      </c>
      <c r="AT37" s="477">
        <f t="shared" si="28"/>
        <v>0</v>
      </c>
      <c r="AU37" s="477">
        <f t="shared" si="28"/>
        <v>0</v>
      </c>
      <c r="AV37" s="477">
        <f t="shared" si="28"/>
        <v>0</v>
      </c>
      <c r="AW37" s="477">
        <f t="shared" si="28"/>
        <v>0</v>
      </c>
      <c r="AX37" s="477">
        <f t="shared" si="28"/>
        <v>0</v>
      </c>
      <c r="AY37" s="477">
        <f t="shared" si="28"/>
        <v>0</v>
      </c>
      <c r="AZ37" s="477">
        <f t="shared" si="28"/>
        <v>0</v>
      </c>
      <c r="BA37" s="477">
        <f t="shared" si="28"/>
        <v>0</v>
      </c>
      <c r="BB37" s="477">
        <f t="shared" si="28"/>
        <v>0</v>
      </c>
      <c r="BC37" s="477">
        <f t="shared" si="28"/>
        <v>0</v>
      </c>
      <c r="BD37" s="477">
        <f t="shared" si="28"/>
        <v>0</v>
      </c>
      <c r="BE37" s="477">
        <f t="shared" si="28"/>
        <v>0</v>
      </c>
      <c r="BF37" s="477">
        <f t="shared" si="28"/>
        <v>0</v>
      </c>
      <c r="BG37" s="477">
        <f t="shared" si="28"/>
        <v>0</v>
      </c>
      <c r="BH37" s="477">
        <f t="shared" si="28"/>
        <v>0</v>
      </c>
      <c r="BI37" s="477">
        <f t="shared" si="28"/>
        <v>0</v>
      </c>
      <c r="BJ37" s="477">
        <f t="shared" si="28"/>
        <v>0</v>
      </c>
      <c r="BK37" s="477">
        <f t="shared" si="28"/>
        <v>0</v>
      </c>
      <c r="BL37" s="477">
        <f t="shared" si="28"/>
        <v>0</v>
      </c>
      <c r="BM37" s="477">
        <f t="shared" si="28"/>
        <v>0</v>
      </c>
      <c r="BN37" s="477">
        <f t="shared" si="28"/>
        <v>0</v>
      </c>
      <c r="BO37" s="477">
        <f t="shared" si="28"/>
        <v>0</v>
      </c>
      <c r="BP37" s="477">
        <f t="shared" si="28"/>
        <v>0</v>
      </c>
      <c r="BQ37" s="477">
        <f t="shared" ref="BQ37:CZ37" si="29">BQ36*BQ10*1000</f>
        <v>0</v>
      </c>
      <c r="BR37" s="477">
        <f t="shared" si="29"/>
        <v>0</v>
      </c>
      <c r="BS37" s="477">
        <f t="shared" si="29"/>
        <v>0</v>
      </c>
      <c r="BT37" s="477">
        <f t="shared" si="29"/>
        <v>0</v>
      </c>
      <c r="BU37" s="477">
        <f t="shared" si="29"/>
        <v>0</v>
      </c>
      <c r="BV37" s="477">
        <f t="shared" si="29"/>
        <v>0</v>
      </c>
      <c r="BW37" s="477">
        <f t="shared" si="29"/>
        <v>0</v>
      </c>
      <c r="BX37" s="477">
        <f t="shared" si="29"/>
        <v>0</v>
      </c>
      <c r="BY37" s="477">
        <f t="shared" si="29"/>
        <v>0</v>
      </c>
      <c r="BZ37" s="477">
        <f t="shared" si="29"/>
        <v>0</v>
      </c>
      <c r="CA37" s="477">
        <f t="shared" si="29"/>
        <v>0</v>
      </c>
      <c r="CB37" s="477">
        <f t="shared" si="29"/>
        <v>0</v>
      </c>
      <c r="CC37" s="477">
        <f t="shared" si="29"/>
        <v>0</v>
      </c>
      <c r="CD37" s="477">
        <f t="shared" si="29"/>
        <v>0</v>
      </c>
      <c r="CE37" s="477">
        <f t="shared" si="29"/>
        <v>0</v>
      </c>
      <c r="CF37" s="477">
        <f t="shared" si="29"/>
        <v>0</v>
      </c>
      <c r="CG37" s="477">
        <f t="shared" si="29"/>
        <v>0</v>
      </c>
      <c r="CH37" s="477">
        <f t="shared" si="29"/>
        <v>0</v>
      </c>
      <c r="CI37" s="477">
        <f t="shared" si="29"/>
        <v>0</v>
      </c>
      <c r="CJ37" s="477">
        <f t="shared" si="29"/>
        <v>0</v>
      </c>
      <c r="CK37" s="477">
        <f t="shared" si="29"/>
        <v>0</v>
      </c>
      <c r="CL37" s="477">
        <f t="shared" si="29"/>
        <v>0</v>
      </c>
      <c r="CM37" s="477">
        <f t="shared" si="29"/>
        <v>0</v>
      </c>
      <c r="CN37" s="477">
        <f t="shared" si="29"/>
        <v>0</v>
      </c>
      <c r="CO37" s="477">
        <f t="shared" si="29"/>
        <v>0</v>
      </c>
      <c r="CP37" s="477">
        <f t="shared" si="29"/>
        <v>0</v>
      </c>
      <c r="CQ37" s="477">
        <f t="shared" si="29"/>
        <v>0</v>
      </c>
      <c r="CR37" s="477">
        <f t="shared" si="29"/>
        <v>0</v>
      </c>
      <c r="CS37" s="477">
        <f t="shared" si="29"/>
        <v>0</v>
      </c>
      <c r="CT37" s="477">
        <f t="shared" si="29"/>
        <v>0</v>
      </c>
      <c r="CU37" s="477">
        <f t="shared" si="29"/>
        <v>0</v>
      </c>
      <c r="CV37" s="477">
        <f t="shared" si="29"/>
        <v>0</v>
      </c>
      <c r="CW37" s="477">
        <f t="shared" si="29"/>
        <v>0</v>
      </c>
      <c r="CX37" s="477">
        <f t="shared" si="29"/>
        <v>0</v>
      </c>
      <c r="CY37" s="477">
        <f t="shared" si="29"/>
        <v>0</v>
      </c>
      <c r="CZ37" s="477">
        <f t="shared" si="29"/>
        <v>0</v>
      </c>
    </row>
    <row r="38" spans="1:104" x14ac:dyDescent="0.25">
      <c r="A38" s="472"/>
      <c r="C38" s="609" t="s">
        <v>517</v>
      </c>
      <c r="E38" s="477">
        <f>IF(E36=0,0,E37)</f>
        <v>0</v>
      </c>
      <c r="F38" s="477">
        <f>IF(F36=0,0,E38+F37)</f>
        <v>0</v>
      </c>
      <c r="G38" s="477">
        <f t="shared" ref="G38:BR38" si="30">IF(G36=0,0,F38+G37)</f>
        <v>0</v>
      </c>
      <c r="H38" s="477">
        <f t="shared" si="30"/>
        <v>0</v>
      </c>
      <c r="I38" s="477">
        <f t="shared" si="30"/>
        <v>0</v>
      </c>
      <c r="J38" s="477">
        <f t="shared" si="30"/>
        <v>0</v>
      </c>
      <c r="K38" s="477">
        <f t="shared" si="30"/>
        <v>0</v>
      </c>
      <c r="L38" s="477">
        <f t="shared" si="30"/>
        <v>0</v>
      </c>
      <c r="M38" s="477">
        <f t="shared" si="30"/>
        <v>0</v>
      </c>
      <c r="N38" s="477">
        <f t="shared" si="30"/>
        <v>0</v>
      </c>
      <c r="O38" s="477">
        <f t="shared" si="30"/>
        <v>0</v>
      </c>
      <c r="P38" s="477">
        <f t="shared" si="30"/>
        <v>0</v>
      </c>
      <c r="Q38" s="477">
        <f t="shared" si="30"/>
        <v>0</v>
      </c>
      <c r="R38" s="477">
        <f t="shared" si="30"/>
        <v>0</v>
      </c>
      <c r="S38" s="477">
        <f t="shared" si="30"/>
        <v>0</v>
      </c>
      <c r="T38" s="477">
        <f t="shared" si="30"/>
        <v>0</v>
      </c>
      <c r="U38" s="477">
        <f t="shared" si="30"/>
        <v>0</v>
      </c>
      <c r="V38" s="477">
        <f t="shared" si="30"/>
        <v>0</v>
      </c>
      <c r="W38" s="477">
        <f t="shared" si="30"/>
        <v>0</v>
      </c>
      <c r="X38" s="477">
        <f t="shared" si="30"/>
        <v>0</v>
      </c>
      <c r="Y38" s="477">
        <f t="shared" si="30"/>
        <v>0</v>
      </c>
      <c r="Z38" s="477">
        <f t="shared" si="30"/>
        <v>0</v>
      </c>
      <c r="AA38" s="477">
        <f t="shared" si="30"/>
        <v>0</v>
      </c>
      <c r="AB38" s="477">
        <f t="shared" si="30"/>
        <v>0</v>
      </c>
      <c r="AC38" s="477">
        <f t="shared" si="30"/>
        <v>0</v>
      </c>
      <c r="AD38" s="477">
        <f t="shared" si="30"/>
        <v>0</v>
      </c>
      <c r="AE38" s="477">
        <f t="shared" si="30"/>
        <v>0</v>
      </c>
      <c r="AF38" s="477">
        <f t="shared" si="30"/>
        <v>0</v>
      </c>
      <c r="AG38" s="477">
        <f t="shared" si="30"/>
        <v>0</v>
      </c>
      <c r="AH38" s="477">
        <f t="shared" si="30"/>
        <v>0</v>
      </c>
      <c r="AI38" s="477">
        <f t="shared" si="30"/>
        <v>0</v>
      </c>
      <c r="AJ38" s="477">
        <f t="shared" si="30"/>
        <v>0</v>
      </c>
      <c r="AK38" s="477">
        <f t="shared" si="30"/>
        <v>0</v>
      </c>
      <c r="AL38" s="477">
        <f t="shared" si="30"/>
        <v>0</v>
      </c>
      <c r="AM38" s="477">
        <f t="shared" si="30"/>
        <v>0</v>
      </c>
      <c r="AN38" s="477">
        <f t="shared" si="30"/>
        <v>0</v>
      </c>
      <c r="AO38" s="477">
        <f t="shared" si="30"/>
        <v>0</v>
      </c>
      <c r="AP38" s="477">
        <f t="shared" si="30"/>
        <v>0</v>
      </c>
      <c r="AQ38" s="477">
        <f t="shared" si="30"/>
        <v>0</v>
      </c>
      <c r="AR38" s="477">
        <f t="shared" si="30"/>
        <v>0</v>
      </c>
      <c r="AS38" s="477">
        <f t="shared" si="30"/>
        <v>0</v>
      </c>
      <c r="AT38" s="477">
        <f t="shared" si="30"/>
        <v>0</v>
      </c>
      <c r="AU38" s="477">
        <f t="shared" si="30"/>
        <v>0</v>
      </c>
      <c r="AV38" s="477">
        <f t="shared" si="30"/>
        <v>0</v>
      </c>
      <c r="AW38" s="477">
        <f t="shared" si="30"/>
        <v>0</v>
      </c>
      <c r="AX38" s="477">
        <f t="shared" si="30"/>
        <v>0</v>
      </c>
      <c r="AY38" s="477">
        <f t="shared" si="30"/>
        <v>0</v>
      </c>
      <c r="AZ38" s="477">
        <f t="shared" si="30"/>
        <v>0</v>
      </c>
      <c r="BA38" s="477">
        <f t="shared" si="30"/>
        <v>0</v>
      </c>
      <c r="BB38" s="477">
        <f t="shared" si="30"/>
        <v>0</v>
      </c>
      <c r="BC38" s="477">
        <f t="shared" si="30"/>
        <v>0</v>
      </c>
      <c r="BD38" s="477">
        <f t="shared" si="30"/>
        <v>0</v>
      </c>
      <c r="BE38" s="477">
        <f t="shared" si="30"/>
        <v>0</v>
      </c>
      <c r="BF38" s="477">
        <f t="shared" si="30"/>
        <v>0</v>
      </c>
      <c r="BG38" s="477">
        <f t="shared" si="30"/>
        <v>0</v>
      </c>
      <c r="BH38" s="477">
        <f t="shared" si="30"/>
        <v>0</v>
      </c>
      <c r="BI38" s="477">
        <f t="shared" si="30"/>
        <v>0</v>
      </c>
      <c r="BJ38" s="477">
        <f t="shared" si="30"/>
        <v>0</v>
      </c>
      <c r="BK38" s="477">
        <f t="shared" si="30"/>
        <v>0</v>
      </c>
      <c r="BL38" s="477">
        <f t="shared" si="30"/>
        <v>0</v>
      </c>
      <c r="BM38" s="477">
        <f t="shared" si="30"/>
        <v>0</v>
      </c>
      <c r="BN38" s="477">
        <f t="shared" si="30"/>
        <v>0</v>
      </c>
      <c r="BO38" s="477">
        <f t="shared" si="30"/>
        <v>0</v>
      </c>
      <c r="BP38" s="477">
        <f t="shared" si="30"/>
        <v>0</v>
      </c>
      <c r="BQ38" s="477">
        <f t="shared" si="30"/>
        <v>0</v>
      </c>
      <c r="BR38" s="477">
        <f t="shared" si="30"/>
        <v>0</v>
      </c>
      <c r="BS38" s="477">
        <f t="shared" ref="BS38:CZ38" si="31">IF(BS36=0,0,BR38+BS37)</f>
        <v>0</v>
      </c>
      <c r="BT38" s="477">
        <f t="shared" si="31"/>
        <v>0</v>
      </c>
      <c r="BU38" s="477">
        <f t="shared" si="31"/>
        <v>0</v>
      </c>
      <c r="BV38" s="477">
        <f t="shared" si="31"/>
        <v>0</v>
      </c>
      <c r="BW38" s="477">
        <f t="shared" si="31"/>
        <v>0</v>
      </c>
      <c r="BX38" s="477">
        <f t="shared" si="31"/>
        <v>0</v>
      </c>
      <c r="BY38" s="477">
        <f t="shared" si="31"/>
        <v>0</v>
      </c>
      <c r="BZ38" s="477">
        <f t="shared" si="31"/>
        <v>0</v>
      </c>
      <c r="CA38" s="477">
        <f t="shared" si="31"/>
        <v>0</v>
      </c>
      <c r="CB38" s="477">
        <f t="shared" si="31"/>
        <v>0</v>
      </c>
      <c r="CC38" s="477">
        <f t="shared" si="31"/>
        <v>0</v>
      </c>
      <c r="CD38" s="477">
        <f t="shared" si="31"/>
        <v>0</v>
      </c>
      <c r="CE38" s="477">
        <f t="shared" si="31"/>
        <v>0</v>
      </c>
      <c r="CF38" s="477">
        <f t="shared" si="31"/>
        <v>0</v>
      </c>
      <c r="CG38" s="477">
        <f t="shared" si="31"/>
        <v>0</v>
      </c>
      <c r="CH38" s="477">
        <f t="shared" si="31"/>
        <v>0</v>
      </c>
      <c r="CI38" s="477">
        <f t="shared" si="31"/>
        <v>0</v>
      </c>
      <c r="CJ38" s="477">
        <f t="shared" si="31"/>
        <v>0</v>
      </c>
      <c r="CK38" s="477">
        <f t="shared" si="31"/>
        <v>0</v>
      </c>
      <c r="CL38" s="477">
        <f t="shared" si="31"/>
        <v>0</v>
      </c>
      <c r="CM38" s="477">
        <f t="shared" si="31"/>
        <v>0</v>
      </c>
      <c r="CN38" s="477">
        <f t="shared" si="31"/>
        <v>0</v>
      </c>
      <c r="CO38" s="477">
        <f t="shared" si="31"/>
        <v>0</v>
      </c>
      <c r="CP38" s="477">
        <f t="shared" si="31"/>
        <v>0</v>
      </c>
      <c r="CQ38" s="477">
        <f t="shared" si="31"/>
        <v>0</v>
      </c>
      <c r="CR38" s="477">
        <f t="shared" si="31"/>
        <v>0</v>
      </c>
      <c r="CS38" s="477">
        <f t="shared" si="31"/>
        <v>0</v>
      </c>
      <c r="CT38" s="477">
        <f t="shared" si="31"/>
        <v>0</v>
      </c>
      <c r="CU38" s="477">
        <f t="shared" si="31"/>
        <v>0</v>
      </c>
      <c r="CV38" s="477">
        <f t="shared" si="31"/>
        <v>0</v>
      </c>
      <c r="CW38" s="477">
        <f t="shared" si="31"/>
        <v>0</v>
      </c>
      <c r="CX38" s="477">
        <f t="shared" si="31"/>
        <v>0</v>
      </c>
      <c r="CY38" s="477">
        <f t="shared" si="31"/>
        <v>0</v>
      </c>
      <c r="CZ38" s="477">
        <f t="shared" si="31"/>
        <v>0</v>
      </c>
    </row>
    <row r="39" spans="1:104" x14ac:dyDescent="0.25">
      <c r="C39" s="609" t="s">
        <v>307</v>
      </c>
      <c r="E39" s="477">
        <f>IF(AND('Initial Capital Payment'!$C$14="Pay-Go",E4&lt;='Initial Capital Payment'!$C$12),(HLOOKUP('Initial Capital Payment'!$C$12,'LPP Act Financing Plan (3)'!$E$4:$CZ$32,27,FALSE))*'Initial Capital Payment'!$F$12)/((HLOOKUP('Initial Capital Payment'!$C$12,'LPP Act Financing Plan (3)'!$E$4:$CZ$32,5,FALSE)))</f>
        <v>0</v>
      </c>
      <c r="F39" s="477">
        <f>IF(AND('Initial Capital Payment'!$C$14="Pay-Go",F4&lt;='Initial Capital Payment'!$C$12),(HLOOKUP('Initial Capital Payment'!$C$12,'LPP Act Financing Plan (3)'!$E$4:$CZ$32,27,FALSE))*'Initial Capital Payment'!$F$12)/((HLOOKUP('Initial Capital Payment'!$C$12,'LPP Act Financing Plan (3)'!$E$4:$CZ$32,5,FALSE)))</f>
        <v>0</v>
      </c>
      <c r="G39" s="477">
        <f>IF(AND('Initial Capital Payment'!$C$14="Pay-Go",G4&lt;='Initial Capital Payment'!$C$12),(HLOOKUP('Initial Capital Payment'!$C$12,'LPP Act Financing Plan (3)'!$E$4:$CZ$32,27,FALSE))*'Initial Capital Payment'!$F$12)/((HLOOKUP('Initial Capital Payment'!$C$12,'LPP Act Financing Plan (3)'!$E$4:$CZ$32,5,FALSE)))</f>
        <v>0</v>
      </c>
      <c r="H39" s="477">
        <f>IF(AND('Initial Capital Payment'!$C$14="Pay-Go",H4&lt;='Initial Capital Payment'!$C$12),(HLOOKUP('Initial Capital Payment'!$C$12,'LPP Act Financing Plan (3)'!$E$4:$CZ$32,27,FALSE))*'Initial Capital Payment'!$F$12)/((HLOOKUP('Initial Capital Payment'!$C$12,'LPP Act Financing Plan (3)'!$E$4:$CZ$32,5,FALSE)))</f>
        <v>0</v>
      </c>
      <c r="I39" s="477">
        <f>IF(AND('Initial Capital Payment'!$C$14="Pay-Go",I4&lt;='Initial Capital Payment'!$C$12),(HLOOKUP('Initial Capital Payment'!$C$12,'LPP Act Financing Plan (3)'!$E$4:$CZ$32,27,FALSE))*'Initial Capital Payment'!$F$12)/((HLOOKUP('Initial Capital Payment'!$C$12,'LPP Act Financing Plan (3)'!$E$4:$CZ$32,5,FALSE)))</f>
        <v>0</v>
      </c>
      <c r="J39" s="477">
        <f>IF(AND('Initial Capital Payment'!$C$14="Pay-Go",J4&lt;='Initial Capital Payment'!$C$12),(HLOOKUP('Initial Capital Payment'!$C$12,'LPP Act Financing Plan (3)'!$E$4:$CZ$32,27,FALSE))*'Initial Capital Payment'!$F$12)/((HLOOKUP('Initial Capital Payment'!$C$12,'LPP Act Financing Plan (3)'!$E$4:$CZ$32,5,FALSE)))</f>
        <v>0</v>
      </c>
      <c r="K39" s="477">
        <f>IF(AND('Initial Capital Payment'!$C$14="Pay-Go",K4&lt;='Initial Capital Payment'!$C$12),(HLOOKUP('Initial Capital Payment'!$C$12,'LPP Act Financing Plan (3)'!$E$4:$CZ$32,27,FALSE))*'Initial Capital Payment'!$F$12)/((HLOOKUP('Initial Capital Payment'!$C$12,'LPP Act Financing Plan (3)'!$E$4:$CZ$32,5,FALSE)))</f>
        <v>0</v>
      </c>
      <c r="L39" s="477">
        <f>IF(AND('Initial Capital Payment'!$C$14="Pay-Go",L4&lt;='Initial Capital Payment'!$C$12),(HLOOKUP('Initial Capital Payment'!$C$12,'LPP Act Financing Plan (3)'!$E$4:$CZ$32,27,FALSE))*'Initial Capital Payment'!$F$12)/((HLOOKUP('Initial Capital Payment'!$C$12,'LPP Act Financing Plan (3)'!$E$4:$CZ$32,5,FALSE)))</f>
        <v>0</v>
      </c>
      <c r="M39" s="477">
        <f>IF(AND('Initial Capital Payment'!$C$14="Pay-Go",M4&lt;='Initial Capital Payment'!$C$12),(HLOOKUP('Initial Capital Payment'!$C$12,'LPP Act Financing Plan (3)'!$E$4:$CZ$32,27,FALSE))*'Initial Capital Payment'!$F$12)/((HLOOKUP('Initial Capital Payment'!$C$12,'LPP Act Financing Plan (3)'!$E$4:$CZ$32,5,FALSE)))</f>
        <v>0</v>
      </c>
      <c r="N39" s="477">
        <f>IF(AND('Initial Capital Payment'!$C$14="Pay-Go",N4&lt;='Initial Capital Payment'!$C$12),(HLOOKUP('Initial Capital Payment'!$C$12,'LPP Act Financing Plan (3)'!$E$4:$CZ$32,27,FALSE))*'Initial Capital Payment'!$F$12)/((HLOOKUP('Initial Capital Payment'!$C$12,'LPP Act Financing Plan (3)'!$E$4:$CZ$32,5,FALSE)))</f>
        <v>0</v>
      </c>
      <c r="O39" s="477">
        <f>IF(AND('Initial Capital Payment'!$C$14="Pay-Go",O4&lt;='Initial Capital Payment'!$C$12),(HLOOKUP('Initial Capital Payment'!$C$12,'LPP Act Financing Plan (3)'!$E$4:$CZ$32,27,FALSE))*'Initial Capital Payment'!$F$12)/((HLOOKUP('Initial Capital Payment'!$C$12,'LPP Act Financing Plan (3)'!$E$4:$CZ$32,5,FALSE)))</f>
        <v>0</v>
      </c>
      <c r="P39" s="477">
        <f>IF(AND('Initial Capital Payment'!$C$14="Pay-Go",P4&lt;='Initial Capital Payment'!$C$12),(HLOOKUP('Initial Capital Payment'!$C$12,'LPP Act Financing Plan (3)'!$E$4:$CZ$32,27,FALSE))*'Initial Capital Payment'!$F$12)/((HLOOKUP('Initial Capital Payment'!$C$12,'LPP Act Financing Plan (3)'!$E$4:$CZ$32,5,FALSE)))</f>
        <v>0</v>
      </c>
      <c r="Q39" s="477">
        <f>IF(AND('Initial Capital Payment'!$C$14="Pay-Go",Q4&lt;='Initial Capital Payment'!$C$12),(HLOOKUP('Initial Capital Payment'!$C$12,'LPP Act Financing Plan (3)'!$E$4:$CZ$32,27,FALSE))*'Initial Capital Payment'!$F$12)/((HLOOKUP('Initial Capital Payment'!$C$12,'LPP Act Financing Plan (3)'!$E$4:$CZ$32,5,FALSE)))</f>
        <v>0</v>
      </c>
      <c r="R39" s="477">
        <f>IF(AND('Initial Capital Payment'!$C$14="Pay-Go",R4&lt;='Initial Capital Payment'!$C$12),(HLOOKUP('Initial Capital Payment'!$C$12,'LPP Act Financing Plan (3)'!$E$4:$CZ$32,27,FALSE))*'Initial Capital Payment'!$F$12)/((HLOOKUP('Initial Capital Payment'!$C$12,'LPP Act Financing Plan (3)'!$E$4:$CZ$32,5,FALSE)))</f>
        <v>0</v>
      </c>
      <c r="S39" s="477">
        <f>IF(AND('Initial Capital Payment'!$C$14="Pay-Go",S4&lt;='Initial Capital Payment'!$C$12),(HLOOKUP('Initial Capital Payment'!$C$12,'LPP Act Financing Plan (3)'!$E$4:$CZ$32,27,FALSE))*'Initial Capital Payment'!$F$12)/((HLOOKUP('Initial Capital Payment'!$C$12,'LPP Act Financing Plan (3)'!$E$4:$CZ$32,5,FALSE)))</f>
        <v>0</v>
      </c>
      <c r="T39" s="477">
        <f>IF(AND('Initial Capital Payment'!$C$14="Pay-Go",T4&lt;='Initial Capital Payment'!$C$12),(HLOOKUP('Initial Capital Payment'!$C$12,'LPP Act Financing Plan (3)'!$E$4:$CZ$32,27,FALSE))*'Initial Capital Payment'!$F$12)/((HLOOKUP('Initial Capital Payment'!$C$12,'LPP Act Financing Plan (3)'!$E$4:$CZ$32,5,FALSE)))</f>
        <v>0</v>
      </c>
      <c r="U39" s="477">
        <f>IF(AND('Initial Capital Payment'!$C$14="Pay-Go",U4&lt;='Initial Capital Payment'!$C$12),(HLOOKUP('Initial Capital Payment'!$C$12,'LPP Act Financing Plan (3)'!$E$4:$CZ$32,27,FALSE))*'Initial Capital Payment'!$F$12)/((HLOOKUP('Initial Capital Payment'!$C$12,'LPP Act Financing Plan (3)'!$E$4:$CZ$32,5,FALSE)))</f>
        <v>0</v>
      </c>
      <c r="V39" s="477">
        <f>IF(AND('Initial Capital Payment'!$C$14="Pay-Go",V4&lt;='Initial Capital Payment'!$C$12),(HLOOKUP('Initial Capital Payment'!$C$12,'LPP Act Financing Plan (3)'!$E$4:$CZ$32,27,FALSE))*'Initial Capital Payment'!$F$12)/((HLOOKUP('Initial Capital Payment'!$C$12,'LPP Act Financing Plan (3)'!$E$4:$CZ$32,5,FALSE)))</f>
        <v>0</v>
      </c>
      <c r="W39" s="477">
        <f>IF(AND('Initial Capital Payment'!$C$14="Pay-Go",W4&lt;='Initial Capital Payment'!$C$12),(HLOOKUP('Initial Capital Payment'!$C$12,'LPP Act Financing Plan (3)'!$E$4:$CZ$32,27,FALSE))*'Initial Capital Payment'!$F$12)/((HLOOKUP('Initial Capital Payment'!$C$12,'LPP Act Financing Plan (3)'!$E$4:$CZ$32,5,FALSE)))</f>
        <v>0</v>
      </c>
      <c r="X39" s="477">
        <f>IF(AND('Initial Capital Payment'!$C$14="Pay-Go",X4&lt;='Initial Capital Payment'!$C$12),(HLOOKUP('Initial Capital Payment'!$C$12,'LPP Act Financing Plan (3)'!$E$4:$CZ$32,27,FALSE))*'Initial Capital Payment'!$F$12)/((HLOOKUP('Initial Capital Payment'!$C$12,'LPP Act Financing Plan (3)'!$E$4:$CZ$32,5,FALSE)))</f>
        <v>0</v>
      </c>
      <c r="Y39" s="477">
        <f>IF(AND('Initial Capital Payment'!$C$14="Pay-Go",Y4&lt;='Initial Capital Payment'!$C$12),(HLOOKUP('Initial Capital Payment'!$C$12,'LPP Act Financing Plan (3)'!$E$4:$CZ$32,27,FALSE))*'Initial Capital Payment'!$F$12)/((HLOOKUP('Initial Capital Payment'!$C$12,'LPP Act Financing Plan (3)'!$E$4:$CZ$32,5,FALSE)))</f>
        <v>0</v>
      </c>
      <c r="Z39" s="477">
        <f>IF(AND('Initial Capital Payment'!$C$14="Pay-Go",Z4&lt;='Initial Capital Payment'!$C$12),(HLOOKUP('Initial Capital Payment'!$C$12,'LPP Act Financing Plan (3)'!$E$4:$CZ$32,27,FALSE))*'Initial Capital Payment'!$F$12)/((HLOOKUP('Initial Capital Payment'!$C$12,'LPP Act Financing Plan (3)'!$E$4:$CZ$32,5,FALSE)))</f>
        <v>0</v>
      </c>
      <c r="AA39" s="477">
        <f>IF(AND('Initial Capital Payment'!$C$14="Pay-Go",AA4&lt;='Initial Capital Payment'!$C$12),(HLOOKUP('Initial Capital Payment'!$C$12,'LPP Act Financing Plan (3)'!$E$4:$CZ$32,27,FALSE))*'Initial Capital Payment'!$F$12)/((HLOOKUP('Initial Capital Payment'!$C$12,'LPP Act Financing Plan (3)'!$E$4:$CZ$32,5,FALSE)))</f>
        <v>0</v>
      </c>
      <c r="AB39" s="477">
        <f>IF(AND('Initial Capital Payment'!$C$14="Pay-Go",AB4&lt;='Initial Capital Payment'!$C$12),(HLOOKUP('Initial Capital Payment'!$C$12,'LPP Act Financing Plan (3)'!$E$4:$CZ$32,27,FALSE))*'Initial Capital Payment'!$F$12)/((HLOOKUP('Initial Capital Payment'!$C$12,'LPP Act Financing Plan (3)'!$E$4:$CZ$32,5,FALSE)))</f>
        <v>0</v>
      </c>
      <c r="AC39" s="477">
        <f>IF(AND('Initial Capital Payment'!$C$14="Pay-Go",AC4&lt;='Initial Capital Payment'!$C$12),(HLOOKUP('Initial Capital Payment'!$C$12,'LPP Act Financing Plan (3)'!$E$4:$CZ$32,27,FALSE))*'Initial Capital Payment'!$F$12)/((HLOOKUP('Initial Capital Payment'!$C$12,'LPP Act Financing Plan (3)'!$E$4:$CZ$32,5,FALSE)))</f>
        <v>0</v>
      </c>
      <c r="AD39" s="477">
        <f>IF(AND('Initial Capital Payment'!$C$14="Pay-Go",AD4&lt;='Initial Capital Payment'!$C$12),(HLOOKUP('Initial Capital Payment'!$C$12,'LPP Act Financing Plan (3)'!$E$4:$CZ$32,27,FALSE))*'Initial Capital Payment'!$F$12)/((HLOOKUP('Initial Capital Payment'!$C$12,'LPP Act Financing Plan (3)'!$E$4:$CZ$32,5,FALSE)))</f>
        <v>0</v>
      </c>
      <c r="AE39" s="477">
        <f>IF(AND('Initial Capital Payment'!$C$14="Pay-Go",AE4&lt;='Initial Capital Payment'!$C$12),(HLOOKUP('Initial Capital Payment'!$C$12,'LPP Act Financing Plan (3)'!$E$4:$CZ$32,27,FALSE))*'Initial Capital Payment'!$F$12)/((HLOOKUP('Initial Capital Payment'!$C$12,'LPP Act Financing Plan (3)'!$E$4:$CZ$32,5,FALSE)))</f>
        <v>0</v>
      </c>
      <c r="AF39" s="477">
        <f>IF(AND('Initial Capital Payment'!$C$14="Pay-Go",AF4&lt;='Initial Capital Payment'!$C$12),(HLOOKUP('Initial Capital Payment'!$C$12,'LPP Act Financing Plan (3)'!$E$4:$CZ$32,27,FALSE))*'Initial Capital Payment'!$F$12)/((HLOOKUP('Initial Capital Payment'!$C$12,'LPP Act Financing Plan (3)'!$E$4:$CZ$32,5,FALSE)))</f>
        <v>0</v>
      </c>
      <c r="AG39" s="477">
        <f>IF(AND('Initial Capital Payment'!$C$14="Pay-Go",AG4&lt;='Initial Capital Payment'!$C$12),(HLOOKUP('Initial Capital Payment'!$C$12,'LPP Act Financing Plan (3)'!$E$4:$CZ$32,27,FALSE))*'Initial Capital Payment'!$F$12)/((HLOOKUP('Initial Capital Payment'!$C$12,'LPP Act Financing Plan (3)'!$E$4:$CZ$32,5,FALSE)))</f>
        <v>0</v>
      </c>
      <c r="AH39" s="477">
        <f>IF(AND('Initial Capital Payment'!$C$14="Pay-Go",AH4&lt;='Initial Capital Payment'!$C$12),(HLOOKUP('Initial Capital Payment'!$C$12,'LPP Act Financing Plan (3)'!$E$4:$CZ$32,27,FALSE))*'Initial Capital Payment'!$F$12)/((HLOOKUP('Initial Capital Payment'!$C$12,'LPP Act Financing Plan (3)'!$E$4:$CZ$32,5,FALSE)))</f>
        <v>0</v>
      </c>
      <c r="AI39" s="477">
        <f>IF(AND('Initial Capital Payment'!$C$14="Pay-Go",AI4&lt;='Initial Capital Payment'!$C$12),(HLOOKUP('Initial Capital Payment'!$C$12,'LPP Act Financing Plan (3)'!$E$4:$CZ$32,27,FALSE))*'Initial Capital Payment'!$F$12)/((HLOOKUP('Initial Capital Payment'!$C$12,'LPP Act Financing Plan (3)'!$E$4:$CZ$32,5,FALSE)))</f>
        <v>0</v>
      </c>
      <c r="AJ39" s="477">
        <f>IF(AND('Initial Capital Payment'!$C$14="Pay-Go",AJ4&lt;='Initial Capital Payment'!$C$12),(HLOOKUP('Initial Capital Payment'!$C$12,'LPP Act Financing Plan (3)'!$E$4:$CZ$32,27,FALSE))*'Initial Capital Payment'!$F$12)/((HLOOKUP('Initial Capital Payment'!$C$12,'LPP Act Financing Plan (3)'!$E$4:$CZ$32,5,FALSE)))</f>
        <v>0</v>
      </c>
      <c r="AK39" s="477">
        <f>IF(AND('Initial Capital Payment'!$C$14="Pay-Go",AK4&lt;='Initial Capital Payment'!$C$12),(HLOOKUP('Initial Capital Payment'!$C$12,'LPP Act Financing Plan (3)'!$E$4:$CZ$32,27,FALSE))*'Initial Capital Payment'!$F$12)/((HLOOKUP('Initial Capital Payment'!$C$12,'LPP Act Financing Plan (3)'!$E$4:$CZ$32,5,FALSE)))</f>
        <v>0</v>
      </c>
      <c r="AL39" s="477">
        <f>IF(AND('Initial Capital Payment'!$C$14="Pay-Go",AL4&lt;='Initial Capital Payment'!$C$12),(HLOOKUP('Initial Capital Payment'!$C$12,'LPP Act Financing Plan (3)'!$E$4:$CZ$32,27,FALSE))*'Initial Capital Payment'!$F$12)/((HLOOKUP('Initial Capital Payment'!$C$12,'LPP Act Financing Plan (3)'!$E$4:$CZ$32,5,FALSE)))</f>
        <v>0</v>
      </c>
      <c r="AM39" s="477">
        <f>IF(AND('Initial Capital Payment'!$C$14="Pay-Go",AM4&lt;='Initial Capital Payment'!$C$12),(HLOOKUP('Initial Capital Payment'!$C$12,'LPP Act Financing Plan (3)'!$E$4:$CZ$32,27,FALSE))*'Initial Capital Payment'!$F$12)/((HLOOKUP('Initial Capital Payment'!$C$12,'LPP Act Financing Plan (3)'!$E$4:$CZ$32,5,FALSE)))</f>
        <v>0</v>
      </c>
      <c r="AN39" s="477">
        <f>IF(AND('Initial Capital Payment'!$C$14="Pay-Go",AN4&lt;='Initial Capital Payment'!$C$12),(HLOOKUP('Initial Capital Payment'!$C$12,'LPP Act Financing Plan (3)'!$E$4:$CZ$32,27,FALSE))*'Initial Capital Payment'!$F$12)/((HLOOKUP('Initial Capital Payment'!$C$12,'LPP Act Financing Plan (3)'!$E$4:$CZ$32,5,FALSE)))</f>
        <v>0</v>
      </c>
      <c r="AO39" s="477">
        <f>IF(AND('Initial Capital Payment'!$C$14="Pay-Go",AO4&lt;='Initial Capital Payment'!$C$12),(HLOOKUP('Initial Capital Payment'!$C$12,'LPP Act Financing Plan (3)'!$E$4:$CZ$32,27,FALSE))*'Initial Capital Payment'!$F$12)/((HLOOKUP('Initial Capital Payment'!$C$12,'LPP Act Financing Plan (3)'!$E$4:$CZ$32,5,FALSE)))</f>
        <v>0</v>
      </c>
      <c r="AP39" s="477">
        <f>IF(AND('Initial Capital Payment'!$C$14="Pay-Go",AP4&lt;='Initial Capital Payment'!$C$12),(HLOOKUP('Initial Capital Payment'!$C$12,'LPP Act Financing Plan (3)'!$E$4:$CZ$32,27,FALSE))*'Initial Capital Payment'!$F$12)/((HLOOKUP('Initial Capital Payment'!$C$12,'LPP Act Financing Plan (3)'!$E$4:$CZ$32,5,FALSE)))</f>
        <v>0</v>
      </c>
      <c r="AQ39" s="477">
        <f>IF(AND('Initial Capital Payment'!$C$14="Pay-Go",AQ4&lt;='Initial Capital Payment'!$C$12),(HLOOKUP('Initial Capital Payment'!$C$12,'LPP Act Financing Plan (3)'!$E$4:$CZ$32,27,FALSE))*'Initial Capital Payment'!$F$12)/((HLOOKUP('Initial Capital Payment'!$C$12,'LPP Act Financing Plan (3)'!$E$4:$CZ$32,5,FALSE)))</f>
        <v>0</v>
      </c>
      <c r="AR39" s="477">
        <f>IF(AND('Initial Capital Payment'!$C$14="Pay-Go",AR4&lt;='Initial Capital Payment'!$C$12),(HLOOKUP('Initial Capital Payment'!$C$12,'LPP Act Financing Plan (3)'!$E$4:$CZ$32,27,FALSE))*'Initial Capital Payment'!$F$12)/((HLOOKUP('Initial Capital Payment'!$C$12,'LPP Act Financing Plan (3)'!$E$4:$CZ$32,5,FALSE)))</f>
        <v>0</v>
      </c>
      <c r="AS39" s="477">
        <f>IF(AND('Initial Capital Payment'!$C$14="Pay-Go",AS4&lt;='Initial Capital Payment'!$C$12),(HLOOKUP('Initial Capital Payment'!$C$12,'LPP Act Financing Plan (3)'!$E$4:$CZ$32,27,FALSE))*'Initial Capital Payment'!$F$12)/((HLOOKUP('Initial Capital Payment'!$C$12,'LPP Act Financing Plan (3)'!$E$4:$CZ$32,5,FALSE)))</f>
        <v>0</v>
      </c>
      <c r="AT39" s="477">
        <f>IF(AND('Initial Capital Payment'!$C$14="Pay-Go",AT4&lt;='Initial Capital Payment'!$C$12),(HLOOKUP('Initial Capital Payment'!$C$12,'LPP Act Financing Plan (3)'!$E$4:$CZ$32,27,FALSE))*'Initial Capital Payment'!$F$12)/((HLOOKUP('Initial Capital Payment'!$C$12,'LPP Act Financing Plan (3)'!$E$4:$CZ$32,5,FALSE)))</f>
        <v>0</v>
      </c>
      <c r="AU39" s="477">
        <f>IF(AND('Initial Capital Payment'!$C$14="Pay-Go",AU4&lt;='Initial Capital Payment'!$C$12),(HLOOKUP('Initial Capital Payment'!$C$12,'LPP Act Financing Plan (3)'!$E$4:$CZ$32,27,FALSE))*'Initial Capital Payment'!$F$12)/((HLOOKUP('Initial Capital Payment'!$C$12,'LPP Act Financing Plan (3)'!$E$4:$CZ$32,5,FALSE)))</f>
        <v>0</v>
      </c>
      <c r="AV39" s="477">
        <f>IF(AND('Initial Capital Payment'!$C$14="Pay-Go",AV4&lt;='Initial Capital Payment'!$C$12),(HLOOKUP('Initial Capital Payment'!$C$12,'LPP Act Financing Plan (3)'!$E$4:$CZ$32,27,FALSE))*'Initial Capital Payment'!$F$12)/((HLOOKUP('Initial Capital Payment'!$C$12,'LPP Act Financing Plan (3)'!$E$4:$CZ$32,5,FALSE)))</f>
        <v>0</v>
      </c>
      <c r="AW39" s="477">
        <f>IF(AND('Initial Capital Payment'!$C$14="Pay-Go",AW4&lt;='Initial Capital Payment'!$C$12),(HLOOKUP('Initial Capital Payment'!$C$12,'LPP Act Financing Plan (3)'!$E$4:$CZ$32,27,FALSE))*'Initial Capital Payment'!$F$12)/((HLOOKUP('Initial Capital Payment'!$C$12,'LPP Act Financing Plan (3)'!$E$4:$CZ$32,5,FALSE)))</f>
        <v>0</v>
      </c>
      <c r="AX39" s="477">
        <f>IF(AND('Initial Capital Payment'!$C$14="Pay-Go",AX4&lt;='Initial Capital Payment'!$C$12),(HLOOKUP('Initial Capital Payment'!$C$12,'LPP Act Financing Plan (3)'!$E$4:$CZ$32,27,FALSE))*'Initial Capital Payment'!$F$12)/((HLOOKUP('Initial Capital Payment'!$C$12,'LPP Act Financing Plan (3)'!$E$4:$CZ$32,5,FALSE)))</f>
        <v>0</v>
      </c>
      <c r="AY39" s="477">
        <f>IF(AND('Initial Capital Payment'!$C$14="Pay-Go",AY4&lt;='Initial Capital Payment'!$C$12),(HLOOKUP('Initial Capital Payment'!$C$12,'LPP Act Financing Plan (3)'!$E$4:$CZ$32,27,FALSE))*'Initial Capital Payment'!$F$12)/((HLOOKUP('Initial Capital Payment'!$C$12,'LPP Act Financing Plan (3)'!$E$4:$CZ$32,5,FALSE)))</f>
        <v>0</v>
      </c>
      <c r="AZ39" s="477">
        <f>IF(AND('Initial Capital Payment'!$C$14="Pay-Go",AZ4&lt;='Initial Capital Payment'!$C$12),(HLOOKUP('Initial Capital Payment'!$C$12,'LPP Act Financing Plan (3)'!$E$4:$CZ$32,27,FALSE))*'Initial Capital Payment'!$F$12)/((HLOOKUP('Initial Capital Payment'!$C$12,'LPP Act Financing Plan (3)'!$E$4:$CZ$32,5,FALSE)))</f>
        <v>0</v>
      </c>
      <c r="BA39" s="477">
        <f>IF(AND('Initial Capital Payment'!$C$14="Pay-Go",BA4&lt;='Initial Capital Payment'!$C$12),(HLOOKUP('Initial Capital Payment'!$C$12,'LPP Act Financing Plan (3)'!$E$4:$CZ$32,27,FALSE))*'Initial Capital Payment'!$F$12)/((HLOOKUP('Initial Capital Payment'!$C$12,'LPP Act Financing Plan (3)'!$E$4:$CZ$32,5,FALSE)))</f>
        <v>0</v>
      </c>
      <c r="BB39" s="477">
        <f>IF(AND('Initial Capital Payment'!$C$14="Pay-Go",BB4&lt;='Initial Capital Payment'!$C$12),(HLOOKUP('Initial Capital Payment'!$C$12,'LPP Act Financing Plan (3)'!$E$4:$CZ$32,27,FALSE))*'Initial Capital Payment'!$F$12)/((HLOOKUP('Initial Capital Payment'!$C$12,'LPP Act Financing Plan (3)'!$E$4:$CZ$32,5,FALSE)))</f>
        <v>0</v>
      </c>
      <c r="BC39" s="477">
        <f>IF(AND('Initial Capital Payment'!$C$14="Pay-Go",BC4&lt;='Initial Capital Payment'!$C$12),(HLOOKUP('Initial Capital Payment'!$C$12,'LPP Act Financing Plan (3)'!$E$4:$CZ$32,27,FALSE))*'Initial Capital Payment'!$F$12)/((HLOOKUP('Initial Capital Payment'!$C$12,'LPP Act Financing Plan (3)'!$E$4:$CZ$32,5,FALSE)))</f>
        <v>0</v>
      </c>
      <c r="BD39" s="477">
        <f>IF(AND('Initial Capital Payment'!$C$14="Pay-Go",BD4&lt;='Initial Capital Payment'!$C$12),(HLOOKUP('Initial Capital Payment'!$C$12,'LPP Act Financing Plan (3)'!$E$4:$CZ$32,27,FALSE))*'Initial Capital Payment'!$F$12)/((HLOOKUP('Initial Capital Payment'!$C$12,'LPP Act Financing Plan (3)'!$E$4:$CZ$32,5,FALSE)))</f>
        <v>0</v>
      </c>
      <c r="BE39" s="477">
        <f>IF(AND('Initial Capital Payment'!$C$14="Pay-Go",BE4&lt;='Initial Capital Payment'!$C$12),(HLOOKUP('Initial Capital Payment'!$C$12,'LPP Act Financing Plan (3)'!$E$4:$CZ$32,27,FALSE))*'Initial Capital Payment'!$F$12)/((HLOOKUP('Initial Capital Payment'!$C$12,'LPP Act Financing Plan (3)'!$E$4:$CZ$32,5,FALSE)))</f>
        <v>0</v>
      </c>
      <c r="BF39" s="477">
        <f>IF(AND('Initial Capital Payment'!$C$14="Pay-Go",BF4&lt;='Initial Capital Payment'!$C$12),(HLOOKUP('Initial Capital Payment'!$C$12,'LPP Act Financing Plan (3)'!$E$4:$CZ$32,27,FALSE))*'Initial Capital Payment'!$F$12)/((HLOOKUP('Initial Capital Payment'!$C$12,'LPP Act Financing Plan (3)'!$E$4:$CZ$32,5,FALSE)))</f>
        <v>0</v>
      </c>
      <c r="BG39" s="477">
        <f>IF(AND('Initial Capital Payment'!$C$14="Pay-Go",BG4&lt;='Initial Capital Payment'!$C$12),(HLOOKUP('Initial Capital Payment'!$C$12,'LPP Act Financing Plan (3)'!$E$4:$CZ$32,27,FALSE))*'Initial Capital Payment'!$F$12)/((HLOOKUP('Initial Capital Payment'!$C$12,'LPP Act Financing Plan (3)'!$E$4:$CZ$32,5,FALSE)))</f>
        <v>0</v>
      </c>
      <c r="BH39" s="477">
        <f>IF(AND('Initial Capital Payment'!$C$14="Pay-Go",BH4&lt;='Initial Capital Payment'!$C$12),(HLOOKUP('Initial Capital Payment'!$C$12,'LPP Act Financing Plan (3)'!$E$4:$CZ$32,27,FALSE))*'Initial Capital Payment'!$F$12)/((HLOOKUP('Initial Capital Payment'!$C$12,'LPP Act Financing Plan (3)'!$E$4:$CZ$32,5,FALSE)))</f>
        <v>0</v>
      </c>
      <c r="BI39" s="477">
        <f>IF(AND('Initial Capital Payment'!$C$14="Pay-Go",BI4&lt;='Initial Capital Payment'!$C$12),(HLOOKUP('Initial Capital Payment'!$C$12,'LPP Act Financing Plan (3)'!$E$4:$CZ$32,27,FALSE))*'Initial Capital Payment'!$F$12)/((HLOOKUP('Initial Capital Payment'!$C$12,'LPP Act Financing Plan (3)'!$E$4:$CZ$32,5,FALSE)))</f>
        <v>0</v>
      </c>
      <c r="BJ39" s="477">
        <f>IF(AND('Initial Capital Payment'!$C$14="Pay-Go",BJ4&lt;='Initial Capital Payment'!$C$12),(HLOOKUP('Initial Capital Payment'!$C$12,'LPP Act Financing Plan (3)'!$E$4:$CZ$32,27,FALSE))*'Initial Capital Payment'!$F$12)/((HLOOKUP('Initial Capital Payment'!$C$12,'LPP Act Financing Plan (3)'!$E$4:$CZ$32,5,FALSE)))</f>
        <v>0</v>
      </c>
      <c r="BK39" s="477">
        <f>IF(AND('Initial Capital Payment'!$C$14="Pay-Go",BK4&lt;='Initial Capital Payment'!$C$12),(HLOOKUP('Initial Capital Payment'!$C$12,'LPP Act Financing Plan (3)'!$E$4:$CZ$32,27,FALSE))*'Initial Capital Payment'!$F$12)/((HLOOKUP('Initial Capital Payment'!$C$12,'LPP Act Financing Plan (3)'!$E$4:$CZ$32,5,FALSE)))</f>
        <v>0</v>
      </c>
      <c r="BL39" s="477">
        <f>IF(AND('Initial Capital Payment'!$C$14="Pay-Go",BL4&lt;='Initial Capital Payment'!$C$12),(HLOOKUP('Initial Capital Payment'!$C$12,'LPP Act Financing Plan (3)'!$E$4:$CZ$32,27,FALSE))*'Initial Capital Payment'!$F$12)/((HLOOKUP('Initial Capital Payment'!$C$12,'LPP Act Financing Plan (3)'!$E$4:$CZ$32,5,FALSE)))</f>
        <v>0</v>
      </c>
      <c r="BM39" s="477">
        <f>IF(AND('Initial Capital Payment'!$C$14="Pay-Go",BM4&lt;='Initial Capital Payment'!$C$12),(HLOOKUP('Initial Capital Payment'!$C$12,'LPP Act Financing Plan (3)'!$E$4:$CZ$32,27,FALSE))*'Initial Capital Payment'!$F$12)/((HLOOKUP('Initial Capital Payment'!$C$12,'LPP Act Financing Plan (3)'!$E$4:$CZ$32,5,FALSE)))</f>
        <v>0</v>
      </c>
      <c r="BN39" s="477">
        <f>IF(AND('Initial Capital Payment'!$C$14="Pay-Go",BN4&lt;='Initial Capital Payment'!$C$12),(HLOOKUP('Initial Capital Payment'!$C$12,'LPP Act Financing Plan (3)'!$E$4:$CZ$32,27,FALSE))*'Initial Capital Payment'!$F$12)/((HLOOKUP('Initial Capital Payment'!$C$12,'LPP Act Financing Plan (3)'!$E$4:$CZ$32,5,FALSE)))</f>
        <v>0</v>
      </c>
      <c r="BO39" s="477">
        <f>IF(AND('Initial Capital Payment'!$C$14="Pay-Go",BO4&lt;='Initial Capital Payment'!$C$12),(HLOOKUP('Initial Capital Payment'!$C$12,'LPP Act Financing Plan (3)'!$E$4:$CZ$32,27,FALSE))*'Initial Capital Payment'!$F$12)/((HLOOKUP('Initial Capital Payment'!$C$12,'LPP Act Financing Plan (3)'!$E$4:$CZ$32,5,FALSE)))</f>
        <v>0</v>
      </c>
      <c r="BP39" s="477">
        <f>IF(AND('Initial Capital Payment'!$C$14="Pay-Go",BP4&lt;='Initial Capital Payment'!$C$12),(HLOOKUP('Initial Capital Payment'!$C$12,'LPP Act Financing Plan (3)'!$E$4:$CZ$32,27,FALSE))*'Initial Capital Payment'!$F$12)/((HLOOKUP('Initial Capital Payment'!$C$12,'LPP Act Financing Plan (3)'!$E$4:$CZ$32,5,FALSE)))</f>
        <v>0</v>
      </c>
      <c r="BQ39" s="477">
        <f>IF(AND('Initial Capital Payment'!$C$14="Pay-Go",BQ4&lt;='Initial Capital Payment'!$C$12),(HLOOKUP('Initial Capital Payment'!$C$12,'LPP Act Financing Plan (3)'!$E$4:$CZ$32,27,FALSE))*'Initial Capital Payment'!$F$12)/((HLOOKUP('Initial Capital Payment'!$C$12,'LPP Act Financing Plan (3)'!$E$4:$CZ$32,5,FALSE)))</f>
        <v>0</v>
      </c>
      <c r="BR39" s="477">
        <f>IF(AND('Initial Capital Payment'!$C$14="Pay-Go",BR4&lt;='Initial Capital Payment'!$C$12),(HLOOKUP('Initial Capital Payment'!$C$12,'LPP Act Financing Plan (3)'!$E$4:$CZ$32,27,FALSE))*'Initial Capital Payment'!$F$12)/((HLOOKUP('Initial Capital Payment'!$C$12,'LPP Act Financing Plan (3)'!$E$4:$CZ$32,5,FALSE)))</f>
        <v>0</v>
      </c>
      <c r="BS39" s="477">
        <f>IF(AND('Initial Capital Payment'!$C$14="Pay-Go",BS4&lt;='Initial Capital Payment'!$C$12),(HLOOKUP('Initial Capital Payment'!$C$12,'LPP Act Financing Plan (3)'!$E$4:$CZ$32,27,FALSE))*'Initial Capital Payment'!$F$12)/((HLOOKUP('Initial Capital Payment'!$C$12,'LPP Act Financing Plan (3)'!$E$4:$CZ$32,5,FALSE)))</f>
        <v>0</v>
      </c>
      <c r="BT39" s="477">
        <f>IF(AND('Initial Capital Payment'!$C$14="Pay-Go",BT4&lt;='Initial Capital Payment'!$C$12),(HLOOKUP('Initial Capital Payment'!$C$12,'LPP Act Financing Plan (3)'!$E$4:$CZ$32,27,FALSE))*'Initial Capital Payment'!$F$12)/((HLOOKUP('Initial Capital Payment'!$C$12,'LPP Act Financing Plan (3)'!$E$4:$CZ$32,5,FALSE)))</f>
        <v>0</v>
      </c>
      <c r="BU39" s="477">
        <f>IF(AND('Initial Capital Payment'!$C$14="Pay-Go",BU4&lt;='Initial Capital Payment'!$C$12),(HLOOKUP('Initial Capital Payment'!$C$12,'LPP Act Financing Plan (3)'!$E$4:$CZ$32,27,FALSE))*'Initial Capital Payment'!$F$12)/((HLOOKUP('Initial Capital Payment'!$C$12,'LPP Act Financing Plan (3)'!$E$4:$CZ$32,5,FALSE)))</f>
        <v>0</v>
      </c>
      <c r="BV39" s="477">
        <f>IF(AND('Initial Capital Payment'!$C$14="Pay-Go",BV4&lt;='Initial Capital Payment'!$C$12),(HLOOKUP('Initial Capital Payment'!$C$12,'LPP Act Financing Plan (3)'!$E$4:$CZ$32,27,FALSE))*'Initial Capital Payment'!$F$12)/((HLOOKUP('Initial Capital Payment'!$C$12,'LPP Act Financing Plan (3)'!$E$4:$CZ$32,5,FALSE)))</f>
        <v>0</v>
      </c>
      <c r="BW39" s="477">
        <f>IF(AND('Initial Capital Payment'!$C$14="Pay-Go",BW4&lt;='Initial Capital Payment'!$C$12),(HLOOKUP('Initial Capital Payment'!$C$12,'LPP Act Financing Plan (3)'!$E$4:$CZ$32,27,FALSE))*'Initial Capital Payment'!$F$12)/((HLOOKUP('Initial Capital Payment'!$C$12,'LPP Act Financing Plan (3)'!$E$4:$CZ$32,5,FALSE)))</f>
        <v>0</v>
      </c>
      <c r="BX39" s="477">
        <f>IF(AND('Initial Capital Payment'!$C$14="Pay-Go",BX4&lt;='Initial Capital Payment'!$C$12),(HLOOKUP('Initial Capital Payment'!$C$12,'LPP Act Financing Plan (3)'!$E$4:$CZ$32,27,FALSE))*'Initial Capital Payment'!$F$12)/((HLOOKUP('Initial Capital Payment'!$C$12,'LPP Act Financing Plan (3)'!$E$4:$CZ$32,5,FALSE)))</f>
        <v>0</v>
      </c>
      <c r="BY39" s="477">
        <f>IF(AND('Initial Capital Payment'!$C$14="Pay-Go",BY4&lt;='Initial Capital Payment'!$C$12),(HLOOKUP('Initial Capital Payment'!$C$12,'LPP Act Financing Plan (3)'!$E$4:$CZ$32,27,FALSE))*'Initial Capital Payment'!$F$12)/((HLOOKUP('Initial Capital Payment'!$C$12,'LPP Act Financing Plan (3)'!$E$4:$CZ$32,5,FALSE)))</f>
        <v>0</v>
      </c>
      <c r="BZ39" s="477">
        <f>IF(AND('Initial Capital Payment'!$C$14="Pay-Go",BZ4&lt;='Initial Capital Payment'!$C$12),(HLOOKUP('Initial Capital Payment'!$C$12,'LPP Act Financing Plan (3)'!$E$4:$CZ$32,27,FALSE))*'Initial Capital Payment'!$F$12)/((HLOOKUP('Initial Capital Payment'!$C$12,'LPP Act Financing Plan (3)'!$E$4:$CZ$32,5,FALSE)))</f>
        <v>0</v>
      </c>
      <c r="CA39" s="477">
        <f>IF(AND('Initial Capital Payment'!$C$14="Pay-Go",CA4&lt;='Initial Capital Payment'!$C$12),(HLOOKUP('Initial Capital Payment'!$C$12,'LPP Act Financing Plan (3)'!$E$4:$CZ$32,27,FALSE))*'Initial Capital Payment'!$F$12)/((HLOOKUP('Initial Capital Payment'!$C$12,'LPP Act Financing Plan (3)'!$E$4:$CZ$32,5,FALSE)))</f>
        <v>0</v>
      </c>
      <c r="CB39" s="477">
        <f>IF(AND('Initial Capital Payment'!$C$14="Pay-Go",CB4&lt;='Initial Capital Payment'!$C$12),(HLOOKUP('Initial Capital Payment'!$C$12,'LPP Act Financing Plan (3)'!$E$4:$CZ$32,27,FALSE))*'Initial Capital Payment'!$F$12)/((HLOOKUP('Initial Capital Payment'!$C$12,'LPP Act Financing Plan (3)'!$E$4:$CZ$32,5,FALSE)))</f>
        <v>0</v>
      </c>
      <c r="CC39" s="477">
        <f>IF(AND('Initial Capital Payment'!$C$14="Pay-Go",CC4&lt;='Initial Capital Payment'!$C$12),(HLOOKUP('Initial Capital Payment'!$C$12,'LPP Act Financing Plan (3)'!$E$4:$CZ$32,27,FALSE))*'Initial Capital Payment'!$F$12)/((HLOOKUP('Initial Capital Payment'!$C$12,'LPP Act Financing Plan (3)'!$E$4:$CZ$32,5,FALSE)))</f>
        <v>0</v>
      </c>
      <c r="CD39" s="477">
        <f>IF(AND('Initial Capital Payment'!$C$14="Pay-Go",CD4&lt;='Initial Capital Payment'!$C$12),(HLOOKUP('Initial Capital Payment'!$C$12,'LPP Act Financing Plan (3)'!$E$4:$CZ$32,27,FALSE))*'Initial Capital Payment'!$F$12)/((HLOOKUP('Initial Capital Payment'!$C$12,'LPP Act Financing Plan (3)'!$E$4:$CZ$32,5,FALSE)))</f>
        <v>0</v>
      </c>
      <c r="CE39" s="477">
        <f>IF(AND('Initial Capital Payment'!$C$14="Pay-Go",CE4&lt;='Initial Capital Payment'!$C$12),(HLOOKUP('Initial Capital Payment'!$C$12,'LPP Act Financing Plan (3)'!$E$4:$CZ$32,27,FALSE))*'Initial Capital Payment'!$F$12)/((HLOOKUP('Initial Capital Payment'!$C$12,'LPP Act Financing Plan (3)'!$E$4:$CZ$32,5,FALSE)))</f>
        <v>0</v>
      </c>
      <c r="CF39" s="477">
        <f>IF(AND('Initial Capital Payment'!$C$14="Pay-Go",CF4&lt;='Initial Capital Payment'!$C$12),(HLOOKUP('Initial Capital Payment'!$C$12,'LPP Act Financing Plan (3)'!$E$4:$CZ$32,27,FALSE))*'Initial Capital Payment'!$F$12)/((HLOOKUP('Initial Capital Payment'!$C$12,'LPP Act Financing Plan (3)'!$E$4:$CZ$32,5,FALSE)))</f>
        <v>0</v>
      </c>
      <c r="CG39" s="477">
        <f>IF(AND('Initial Capital Payment'!$C$14="Pay-Go",CG4&lt;='Initial Capital Payment'!$C$12),(HLOOKUP('Initial Capital Payment'!$C$12,'LPP Act Financing Plan (3)'!$E$4:$CZ$32,27,FALSE))*'Initial Capital Payment'!$F$12)/((HLOOKUP('Initial Capital Payment'!$C$12,'LPP Act Financing Plan (3)'!$E$4:$CZ$32,5,FALSE)))</f>
        <v>0</v>
      </c>
      <c r="CH39" s="477">
        <f>IF(AND('Initial Capital Payment'!$C$14="Pay-Go",CH4&lt;='Initial Capital Payment'!$C$12),(HLOOKUP('Initial Capital Payment'!$C$12,'LPP Act Financing Plan (3)'!$E$4:$CZ$32,27,FALSE))*'Initial Capital Payment'!$F$12)/((HLOOKUP('Initial Capital Payment'!$C$12,'LPP Act Financing Plan (3)'!$E$4:$CZ$32,5,FALSE)))</f>
        <v>0</v>
      </c>
      <c r="CI39" s="477">
        <f>IF(AND('Initial Capital Payment'!$C$14="Pay-Go",CI4&lt;='Initial Capital Payment'!$C$12),(HLOOKUP('Initial Capital Payment'!$C$12,'LPP Act Financing Plan (3)'!$E$4:$CZ$32,27,FALSE))*'Initial Capital Payment'!$F$12)/((HLOOKUP('Initial Capital Payment'!$C$12,'LPP Act Financing Plan (3)'!$E$4:$CZ$32,5,FALSE)))</f>
        <v>0</v>
      </c>
      <c r="CJ39" s="477">
        <f>IF(AND('Initial Capital Payment'!$C$14="Pay-Go",CJ4&lt;='Initial Capital Payment'!$C$12),(HLOOKUP('Initial Capital Payment'!$C$12,'LPP Act Financing Plan (3)'!$E$4:$CZ$32,27,FALSE))*'Initial Capital Payment'!$F$12)/((HLOOKUP('Initial Capital Payment'!$C$12,'LPP Act Financing Plan (3)'!$E$4:$CZ$32,5,FALSE)))</f>
        <v>0</v>
      </c>
      <c r="CK39" s="477">
        <f>IF(AND('Initial Capital Payment'!$C$14="Pay-Go",CK4&lt;='Initial Capital Payment'!$C$12),(HLOOKUP('Initial Capital Payment'!$C$12,'LPP Act Financing Plan (3)'!$E$4:$CZ$32,27,FALSE))*'Initial Capital Payment'!$F$12)/((HLOOKUP('Initial Capital Payment'!$C$12,'LPP Act Financing Plan (3)'!$E$4:$CZ$32,5,FALSE)))</f>
        <v>0</v>
      </c>
      <c r="CL39" s="477">
        <f>IF(AND('Initial Capital Payment'!$C$14="Pay-Go",CL4&lt;='Initial Capital Payment'!$C$12),(HLOOKUP('Initial Capital Payment'!$C$12,'LPP Act Financing Plan (3)'!$E$4:$CZ$32,27,FALSE))*'Initial Capital Payment'!$F$12)/((HLOOKUP('Initial Capital Payment'!$C$12,'LPP Act Financing Plan (3)'!$E$4:$CZ$32,5,FALSE)))</f>
        <v>0</v>
      </c>
      <c r="CM39" s="477">
        <f>IF(AND('Initial Capital Payment'!$C$14="Pay-Go",CM4&lt;='Initial Capital Payment'!$C$12),(HLOOKUP('Initial Capital Payment'!$C$12,'LPP Act Financing Plan (3)'!$E$4:$CZ$32,27,FALSE))*'Initial Capital Payment'!$F$12)/((HLOOKUP('Initial Capital Payment'!$C$12,'LPP Act Financing Plan (3)'!$E$4:$CZ$32,5,FALSE)))</f>
        <v>0</v>
      </c>
      <c r="CN39" s="477">
        <f>IF(AND('Initial Capital Payment'!$C$14="Pay-Go",CN4&lt;='Initial Capital Payment'!$C$12),(HLOOKUP('Initial Capital Payment'!$C$12,'LPP Act Financing Plan (3)'!$E$4:$CZ$32,26,FALSE))*'Initial Capital Payment'!$F$12)/((HLOOKUP('Initial Capital Payment'!$C$12,'LPP Act Financing Plan (3)'!$E$4:$CZ$32,5,FALSE)))</f>
        <v>0</v>
      </c>
      <c r="CO39" s="477">
        <f>IF(AND('Initial Capital Payment'!$C$14="Pay-Go",CO4&lt;='Initial Capital Payment'!$C$12),(HLOOKUP('Initial Capital Payment'!$C$12,'LPP Act Financing Plan (3)'!$E$4:$CZ$32,26,FALSE))*'Initial Capital Payment'!$F$12)/((HLOOKUP('Initial Capital Payment'!$C$12,'LPP Act Financing Plan (3)'!$E$4:$CZ$32,5,FALSE)))</f>
        <v>0</v>
      </c>
      <c r="CP39" s="477">
        <f>IF(AND('Initial Capital Payment'!$C$14="Pay-Go",CP4&lt;='Initial Capital Payment'!$C$12),(HLOOKUP('Initial Capital Payment'!$C$12,'LPP Act Financing Plan (3)'!$E$4:$CZ$32,26,FALSE))*'Initial Capital Payment'!$F$12)/((HLOOKUP('Initial Capital Payment'!$C$12,'LPP Act Financing Plan (3)'!$E$4:$CZ$32,5,FALSE)))</f>
        <v>0</v>
      </c>
      <c r="CQ39" s="477">
        <f>IF(AND('Initial Capital Payment'!$C$14="Pay-Go",CQ4&lt;='Initial Capital Payment'!$C$12),(HLOOKUP('Initial Capital Payment'!$C$12,'LPP Act Financing Plan (3)'!$E$4:$CZ$32,26,FALSE))*'Initial Capital Payment'!$F$12)/((HLOOKUP('Initial Capital Payment'!$C$12,'LPP Act Financing Plan (3)'!$E$4:$CZ$32,5,FALSE)))</f>
        <v>0</v>
      </c>
      <c r="CR39" s="477">
        <f>IF(AND('Initial Capital Payment'!$C$14="Pay-Go",CR4&lt;='Initial Capital Payment'!$C$12),(HLOOKUP('Initial Capital Payment'!$C$12,'LPP Act Financing Plan (3)'!$E$4:$CZ$32,26,FALSE))*'Initial Capital Payment'!$F$12)/((HLOOKUP('Initial Capital Payment'!$C$12,'LPP Act Financing Plan (3)'!$E$4:$CZ$32,5,FALSE)))</f>
        <v>0</v>
      </c>
      <c r="CS39" s="477">
        <f>IF(AND('Initial Capital Payment'!$C$14="Pay-Go",CS4&lt;='Initial Capital Payment'!$C$12),(HLOOKUP('Initial Capital Payment'!$C$12,'LPP Act Financing Plan (3)'!$E$4:$CZ$32,26,FALSE))*'Initial Capital Payment'!$F$12)/((HLOOKUP('Initial Capital Payment'!$C$12,'LPP Act Financing Plan (3)'!$E$4:$CZ$32,5,FALSE)))</f>
        <v>0</v>
      </c>
      <c r="CT39" s="477">
        <f>IF(AND('Initial Capital Payment'!$C$14="Pay-Go",CT4&lt;='Initial Capital Payment'!$C$12),(HLOOKUP('Initial Capital Payment'!$C$12,'LPP Act Financing Plan (3)'!$E$4:$CZ$32,26,FALSE))*'Initial Capital Payment'!$F$12)/((HLOOKUP('Initial Capital Payment'!$C$12,'LPP Act Financing Plan (3)'!$E$4:$CZ$32,5,FALSE)))</f>
        <v>0</v>
      </c>
      <c r="CU39" s="477">
        <f>IF(AND('Initial Capital Payment'!$C$14="Pay-Go",CU4&lt;='Initial Capital Payment'!$C$12),(HLOOKUP('Initial Capital Payment'!$C$12,'LPP Act Financing Plan (3)'!$E$4:$CZ$32,26,FALSE))*'Initial Capital Payment'!$F$12)/((HLOOKUP('Initial Capital Payment'!$C$12,'LPP Act Financing Plan (3)'!$E$4:$CZ$32,5,FALSE)))</f>
        <v>0</v>
      </c>
      <c r="CV39" s="477">
        <f>IF(AND('Initial Capital Payment'!$C$14="Pay-Go",CV4&lt;='Initial Capital Payment'!$C$12),(HLOOKUP('Initial Capital Payment'!$C$12,'LPP Act Financing Plan (3)'!$E$4:$CZ$32,26,FALSE))*'Initial Capital Payment'!$F$12)/((HLOOKUP('Initial Capital Payment'!$C$12,'LPP Act Financing Plan (3)'!$E$4:$CZ$32,5,FALSE)))</f>
        <v>0</v>
      </c>
      <c r="CW39" s="477">
        <f>IF(AND('Initial Capital Payment'!$C$14="Pay-Go",CW4&lt;='Initial Capital Payment'!$C$12),(HLOOKUP('Initial Capital Payment'!$C$12,'LPP Act Financing Plan (3)'!$E$4:$CZ$32,26,FALSE))*'Initial Capital Payment'!$F$12)/((HLOOKUP('Initial Capital Payment'!$C$12,'LPP Act Financing Plan (3)'!$E$4:$CZ$32,5,FALSE)))</f>
        <v>0</v>
      </c>
      <c r="CX39" s="477">
        <f>IF(AND('Initial Capital Payment'!$C$14="Pay-Go",CX4&lt;='Initial Capital Payment'!$C$12),(HLOOKUP('Initial Capital Payment'!$C$12,'LPP Act Financing Plan (3)'!$E$4:$CZ$32,26,FALSE))*'Initial Capital Payment'!$F$12)/((HLOOKUP('Initial Capital Payment'!$C$12,'LPP Act Financing Plan (3)'!$E$4:$CZ$32,5,FALSE)))</f>
        <v>0</v>
      </c>
      <c r="CY39" s="477">
        <f>IF(AND('Initial Capital Payment'!$C$14="Pay-Go",CY4&lt;='Initial Capital Payment'!$C$12),(HLOOKUP('Initial Capital Payment'!$C$12,'LPP Act Financing Plan (3)'!$E$4:$CZ$32,26,FALSE))*'Initial Capital Payment'!$F$12)/((HLOOKUP('Initial Capital Payment'!$C$12,'LPP Act Financing Plan (3)'!$E$4:$CZ$32,5,FALSE)))</f>
        <v>0</v>
      </c>
      <c r="CZ39" s="477">
        <f>IF(AND('Initial Capital Payment'!$C$14="Pay-Go",CZ4&lt;='Initial Capital Payment'!$C$12),(HLOOKUP('Initial Capital Payment'!$C$12,'LPP Act Financing Plan (3)'!$E$4:$CZ$32,26,FALSE))*'Initial Capital Payment'!$F$12)/((HLOOKUP('Initial Capital Payment'!$C$12,'LPP Act Financing Plan (3)'!$E$4:$CZ$32,5,FALSE)))</f>
        <v>0</v>
      </c>
    </row>
    <row r="40" spans="1:104" x14ac:dyDescent="0.25">
      <c r="C40" s="609" t="s">
        <v>519</v>
      </c>
      <c r="E40" s="477">
        <f t="shared" ref="E40:BP40" si="32">E39*E7</f>
        <v>0</v>
      </c>
      <c r="F40" s="477">
        <f t="shared" si="32"/>
        <v>0</v>
      </c>
      <c r="G40" s="477">
        <f t="shared" si="32"/>
        <v>0</v>
      </c>
      <c r="H40" s="477">
        <f t="shared" si="32"/>
        <v>0</v>
      </c>
      <c r="I40" s="477">
        <f t="shared" si="32"/>
        <v>0</v>
      </c>
      <c r="J40" s="477">
        <f t="shared" si="32"/>
        <v>0</v>
      </c>
      <c r="K40" s="477">
        <f t="shared" si="32"/>
        <v>0</v>
      </c>
      <c r="L40" s="477">
        <f t="shared" si="32"/>
        <v>0</v>
      </c>
      <c r="M40" s="477">
        <f t="shared" si="32"/>
        <v>0</v>
      </c>
      <c r="N40" s="477">
        <f t="shared" si="32"/>
        <v>0</v>
      </c>
      <c r="O40" s="477">
        <f t="shared" si="32"/>
        <v>0</v>
      </c>
      <c r="P40" s="477">
        <f t="shared" si="32"/>
        <v>0</v>
      </c>
      <c r="Q40" s="477">
        <f t="shared" si="32"/>
        <v>0</v>
      </c>
      <c r="R40" s="477">
        <f t="shared" si="32"/>
        <v>0</v>
      </c>
      <c r="S40" s="477">
        <f t="shared" si="32"/>
        <v>0</v>
      </c>
      <c r="T40" s="477">
        <f t="shared" si="32"/>
        <v>0</v>
      </c>
      <c r="U40" s="477">
        <f t="shared" si="32"/>
        <v>0</v>
      </c>
      <c r="V40" s="477">
        <f t="shared" si="32"/>
        <v>0</v>
      </c>
      <c r="W40" s="477">
        <f t="shared" si="32"/>
        <v>0</v>
      </c>
      <c r="X40" s="477">
        <f t="shared" si="32"/>
        <v>0</v>
      </c>
      <c r="Y40" s="477">
        <f t="shared" si="32"/>
        <v>0</v>
      </c>
      <c r="Z40" s="477">
        <f t="shared" si="32"/>
        <v>0</v>
      </c>
      <c r="AA40" s="477">
        <f t="shared" si="32"/>
        <v>0</v>
      </c>
      <c r="AB40" s="477">
        <f t="shared" si="32"/>
        <v>0</v>
      </c>
      <c r="AC40" s="477">
        <f t="shared" si="32"/>
        <v>0</v>
      </c>
      <c r="AD40" s="477">
        <f t="shared" si="32"/>
        <v>0</v>
      </c>
      <c r="AE40" s="477">
        <f t="shared" si="32"/>
        <v>0</v>
      </c>
      <c r="AF40" s="477">
        <f t="shared" si="32"/>
        <v>0</v>
      </c>
      <c r="AG40" s="477">
        <f t="shared" si="32"/>
        <v>0</v>
      </c>
      <c r="AH40" s="477">
        <f t="shared" si="32"/>
        <v>0</v>
      </c>
      <c r="AI40" s="477">
        <f t="shared" si="32"/>
        <v>0</v>
      </c>
      <c r="AJ40" s="477">
        <f t="shared" si="32"/>
        <v>0</v>
      </c>
      <c r="AK40" s="477">
        <f t="shared" si="32"/>
        <v>0</v>
      </c>
      <c r="AL40" s="477">
        <f t="shared" si="32"/>
        <v>0</v>
      </c>
      <c r="AM40" s="477">
        <f t="shared" si="32"/>
        <v>0</v>
      </c>
      <c r="AN40" s="477">
        <f t="shared" si="32"/>
        <v>0</v>
      </c>
      <c r="AO40" s="477">
        <f t="shared" si="32"/>
        <v>0</v>
      </c>
      <c r="AP40" s="477">
        <f t="shared" si="32"/>
        <v>0</v>
      </c>
      <c r="AQ40" s="477">
        <f t="shared" si="32"/>
        <v>0</v>
      </c>
      <c r="AR40" s="477">
        <f t="shared" si="32"/>
        <v>0</v>
      </c>
      <c r="AS40" s="477">
        <f t="shared" si="32"/>
        <v>0</v>
      </c>
      <c r="AT40" s="477">
        <f t="shared" si="32"/>
        <v>0</v>
      </c>
      <c r="AU40" s="477">
        <f t="shared" si="32"/>
        <v>0</v>
      </c>
      <c r="AV40" s="477">
        <f t="shared" si="32"/>
        <v>0</v>
      </c>
      <c r="AW40" s="477">
        <f t="shared" si="32"/>
        <v>0</v>
      </c>
      <c r="AX40" s="477">
        <f t="shared" si="32"/>
        <v>0</v>
      </c>
      <c r="AY40" s="477">
        <f t="shared" si="32"/>
        <v>0</v>
      </c>
      <c r="AZ40" s="477">
        <f t="shared" si="32"/>
        <v>0</v>
      </c>
      <c r="BA40" s="477">
        <f t="shared" si="32"/>
        <v>0</v>
      </c>
      <c r="BB40" s="477">
        <f t="shared" si="32"/>
        <v>0</v>
      </c>
      <c r="BC40" s="477">
        <f t="shared" si="32"/>
        <v>0</v>
      </c>
      <c r="BD40" s="477">
        <f t="shared" si="32"/>
        <v>0</v>
      </c>
      <c r="BE40" s="477">
        <f t="shared" si="32"/>
        <v>0</v>
      </c>
      <c r="BF40" s="477">
        <f t="shared" si="32"/>
        <v>0</v>
      </c>
      <c r="BG40" s="477">
        <f t="shared" si="32"/>
        <v>0</v>
      </c>
      <c r="BH40" s="477">
        <f t="shared" si="32"/>
        <v>0</v>
      </c>
      <c r="BI40" s="477">
        <f t="shared" si="32"/>
        <v>0</v>
      </c>
      <c r="BJ40" s="477">
        <f t="shared" si="32"/>
        <v>0</v>
      </c>
      <c r="BK40" s="477">
        <f t="shared" si="32"/>
        <v>0</v>
      </c>
      <c r="BL40" s="477">
        <f t="shared" si="32"/>
        <v>0</v>
      </c>
      <c r="BM40" s="477">
        <f t="shared" si="32"/>
        <v>0</v>
      </c>
      <c r="BN40" s="477">
        <f t="shared" si="32"/>
        <v>0</v>
      </c>
      <c r="BO40" s="477">
        <f t="shared" si="32"/>
        <v>0</v>
      </c>
      <c r="BP40" s="477">
        <f t="shared" si="32"/>
        <v>0</v>
      </c>
      <c r="BQ40" s="477">
        <f t="shared" ref="BQ40:CZ40" si="33">BQ39*BQ7</f>
        <v>0</v>
      </c>
      <c r="BR40" s="477">
        <f t="shared" si="33"/>
        <v>0</v>
      </c>
      <c r="BS40" s="477">
        <f t="shared" si="33"/>
        <v>0</v>
      </c>
      <c r="BT40" s="477">
        <f t="shared" si="33"/>
        <v>0</v>
      </c>
      <c r="BU40" s="477">
        <f t="shared" si="33"/>
        <v>0</v>
      </c>
      <c r="BV40" s="477">
        <f t="shared" si="33"/>
        <v>0</v>
      </c>
      <c r="BW40" s="477">
        <f t="shared" si="33"/>
        <v>0</v>
      </c>
      <c r="BX40" s="477">
        <f t="shared" si="33"/>
        <v>0</v>
      </c>
      <c r="BY40" s="477">
        <f t="shared" si="33"/>
        <v>0</v>
      </c>
      <c r="BZ40" s="477">
        <f t="shared" si="33"/>
        <v>0</v>
      </c>
      <c r="CA40" s="477">
        <f t="shared" si="33"/>
        <v>0</v>
      </c>
      <c r="CB40" s="477">
        <f t="shared" si="33"/>
        <v>0</v>
      </c>
      <c r="CC40" s="477">
        <f t="shared" si="33"/>
        <v>0</v>
      </c>
      <c r="CD40" s="477">
        <f t="shared" si="33"/>
        <v>0</v>
      </c>
      <c r="CE40" s="477">
        <f t="shared" si="33"/>
        <v>0</v>
      </c>
      <c r="CF40" s="477">
        <f t="shared" si="33"/>
        <v>0</v>
      </c>
      <c r="CG40" s="477">
        <f t="shared" si="33"/>
        <v>0</v>
      </c>
      <c r="CH40" s="477">
        <f t="shared" si="33"/>
        <v>0</v>
      </c>
      <c r="CI40" s="477">
        <f t="shared" si="33"/>
        <v>0</v>
      </c>
      <c r="CJ40" s="477">
        <f t="shared" si="33"/>
        <v>0</v>
      </c>
      <c r="CK40" s="477">
        <f t="shared" si="33"/>
        <v>0</v>
      </c>
      <c r="CL40" s="477">
        <f t="shared" si="33"/>
        <v>0</v>
      </c>
      <c r="CM40" s="477">
        <f t="shared" si="33"/>
        <v>0</v>
      </c>
      <c r="CN40" s="477">
        <f t="shared" si="33"/>
        <v>0</v>
      </c>
      <c r="CO40" s="477">
        <f t="shared" si="33"/>
        <v>0</v>
      </c>
      <c r="CP40" s="477">
        <f t="shared" si="33"/>
        <v>0</v>
      </c>
      <c r="CQ40" s="477">
        <f t="shared" si="33"/>
        <v>0</v>
      </c>
      <c r="CR40" s="477">
        <f t="shared" si="33"/>
        <v>0</v>
      </c>
      <c r="CS40" s="477">
        <f t="shared" si="33"/>
        <v>0</v>
      </c>
      <c r="CT40" s="477">
        <f t="shared" si="33"/>
        <v>0</v>
      </c>
      <c r="CU40" s="477">
        <f t="shared" si="33"/>
        <v>0</v>
      </c>
      <c r="CV40" s="477">
        <f t="shared" si="33"/>
        <v>0</v>
      </c>
      <c r="CW40" s="477">
        <f t="shared" si="33"/>
        <v>0</v>
      </c>
      <c r="CX40" s="477">
        <f t="shared" si="33"/>
        <v>0</v>
      </c>
      <c r="CY40" s="477">
        <f t="shared" si="33"/>
        <v>0</v>
      </c>
      <c r="CZ40" s="477">
        <f t="shared" si="33"/>
        <v>0</v>
      </c>
    </row>
    <row r="41" spans="1:104" x14ac:dyDescent="0.25">
      <c r="C41" s="609" t="s">
        <v>515</v>
      </c>
      <c r="E41" s="477">
        <f>IF(E40=0,0,E40)</f>
        <v>0</v>
      </c>
      <c r="F41" s="477">
        <f t="shared" ref="F41:BQ41" si="34">IF(F39=0,0,E41+F40)</f>
        <v>0</v>
      </c>
      <c r="G41" s="477">
        <f t="shared" si="34"/>
        <v>0</v>
      </c>
      <c r="H41" s="477">
        <f t="shared" si="34"/>
        <v>0</v>
      </c>
      <c r="I41" s="477">
        <f t="shared" si="34"/>
        <v>0</v>
      </c>
      <c r="J41" s="477">
        <f t="shared" si="34"/>
        <v>0</v>
      </c>
      <c r="K41" s="477">
        <f t="shared" si="34"/>
        <v>0</v>
      </c>
      <c r="L41" s="477">
        <f t="shared" si="34"/>
        <v>0</v>
      </c>
      <c r="M41" s="477">
        <f t="shared" si="34"/>
        <v>0</v>
      </c>
      <c r="N41" s="477">
        <f t="shared" si="34"/>
        <v>0</v>
      </c>
      <c r="O41" s="477">
        <f t="shared" si="34"/>
        <v>0</v>
      </c>
      <c r="P41" s="477">
        <f t="shared" si="34"/>
        <v>0</v>
      </c>
      <c r="Q41" s="477">
        <f t="shared" si="34"/>
        <v>0</v>
      </c>
      <c r="R41" s="477">
        <f t="shared" si="34"/>
        <v>0</v>
      </c>
      <c r="S41" s="477">
        <f t="shared" si="34"/>
        <v>0</v>
      </c>
      <c r="T41" s="477">
        <f t="shared" si="34"/>
        <v>0</v>
      </c>
      <c r="U41" s="477">
        <f t="shared" si="34"/>
        <v>0</v>
      </c>
      <c r="V41" s="477">
        <f t="shared" si="34"/>
        <v>0</v>
      </c>
      <c r="W41" s="477">
        <f t="shared" si="34"/>
        <v>0</v>
      </c>
      <c r="X41" s="477">
        <f t="shared" si="34"/>
        <v>0</v>
      </c>
      <c r="Y41" s="477">
        <f t="shared" si="34"/>
        <v>0</v>
      </c>
      <c r="Z41" s="477">
        <f t="shared" si="34"/>
        <v>0</v>
      </c>
      <c r="AA41" s="477">
        <f t="shared" si="34"/>
        <v>0</v>
      </c>
      <c r="AB41" s="477">
        <f t="shared" si="34"/>
        <v>0</v>
      </c>
      <c r="AC41" s="477">
        <f t="shared" si="34"/>
        <v>0</v>
      </c>
      <c r="AD41" s="477">
        <f t="shared" si="34"/>
        <v>0</v>
      </c>
      <c r="AE41" s="477">
        <f t="shared" si="34"/>
        <v>0</v>
      </c>
      <c r="AF41" s="477">
        <f t="shared" si="34"/>
        <v>0</v>
      </c>
      <c r="AG41" s="477">
        <f t="shared" si="34"/>
        <v>0</v>
      </c>
      <c r="AH41" s="477">
        <f t="shared" si="34"/>
        <v>0</v>
      </c>
      <c r="AI41" s="477">
        <f t="shared" si="34"/>
        <v>0</v>
      </c>
      <c r="AJ41" s="477">
        <f t="shared" si="34"/>
        <v>0</v>
      </c>
      <c r="AK41" s="477">
        <f t="shared" si="34"/>
        <v>0</v>
      </c>
      <c r="AL41" s="477">
        <f t="shared" si="34"/>
        <v>0</v>
      </c>
      <c r="AM41" s="477">
        <f t="shared" si="34"/>
        <v>0</v>
      </c>
      <c r="AN41" s="477">
        <f t="shared" si="34"/>
        <v>0</v>
      </c>
      <c r="AO41" s="477">
        <f t="shared" si="34"/>
        <v>0</v>
      </c>
      <c r="AP41" s="477">
        <f t="shared" si="34"/>
        <v>0</v>
      </c>
      <c r="AQ41" s="477">
        <f t="shared" si="34"/>
        <v>0</v>
      </c>
      <c r="AR41" s="477">
        <f t="shared" si="34"/>
        <v>0</v>
      </c>
      <c r="AS41" s="477">
        <f t="shared" si="34"/>
        <v>0</v>
      </c>
      <c r="AT41" s="477">
        <f t="shared" si="34"/>
        <v>0</v>
      </c>
      <c r="AU41" s="477">
        <f t="shared" si="34"/>
        <v>0</v>
      </c>
      <c r="AV41" s="477">
        <f t="shared" si="34"/>
        <v>0</v>
      </c>
      <c r="AW41" s="477">
        <f t="shared" si="34"/>
        <v>0</v>
      </c>
      <c r="AX41" s="477">
        <f t="shared" si="34"/>
        <v>0</v>
      </c>
      <c r="AY41" s="477">
        <f t="shared" si="34"/>
        <v>0</v>
      </c>
      <c r="AZ41" s="477">
        <f t="shared" si="34"/>
        <v>0</v>
      </c>
      <c r="BA41" s="477">
        <f t="shared" si="34"/>
        <v>0</v>
      </c>
      <c r="BB41" s="477">
        <f t="shared" si="34"/>
        <v>0</v>
      </c>
      <c r="BC41" s="477">
        <f t="shared" si="34"/>
        <v>0</v>
      </c>
      <c r="BD41" s="477">
        <f t="shared" si="34"/>
        <v>0</v>
      </c>
      <c r="BE41" s="477">
        <f t="shared" si="34"/>
        <v>0</v>
      </c>
      <c r="BF41" s="477">
        <f t="shared" si="34"/>
        <v>0</v>
      </c>
      <c r="BG41" s="477">
        <f t="shared" si="34"/>
        <v>0</v>
      </c>
      <c r="BH41" s="477">
        <f t="shared" si="34"/>
        <v>0</v>
      </c>
      <c r="BI41" s="477">
        <f t="shared" si="34"/>
        <v>0</v>
      </c>
      <c r="BJ41" s="477">
        <f t="shared" si="34"/>
        <v>0</v>
      </c>
      <c r="BK41" s="477">
        <f t="shared" si="34"/>
        <v>0</v>
      </c>
      <c r="BL41" s="477">
        <f t="shared" si="34"/>
        <v>0</v>
      </c>
      <c r="BM41" s="477">
        <f t="shared" si="34"/>
        <v>0</v>
      </c>
      <c r="BN41" s="477">
        <f t="shared" si="34"/>
        <v>0</v>
      </c>
      <c r="BO41" s="477">
        <f t="shared" si="34"/>
        <v>0</v>
      </c>
      <c r="BP41" s="477">
        <f t="shared" si="34"/>
        <v>0</v>
      </c>
      <c r="BQ41" s="477">
        <f t="shared" si="34"/>
        <v>0</v>
      </c>
      <c r="BR41" s="477">
        <f t="shared" ref="BR41:CZ41" si="35">IF(BR39=0,0,BQ41+BR40)</f>
        <v>0</v>
      </c>
      <c r="BS41" s="477">
        <f t="shared" si="35"/>
        <v>0</v>
      </c>
      <c r="BT41" s="477">
        <f t="shared" si="35"/>
        <v>0</v>
      </c>
      <c r="BU41" s="477">
        <f t="shared" si="35"/>
        <v>0</v>
      </c>
      <c r="BV41" s="477">
        <f t="shared" si="35"/>
        <v>0</v>
      </c>
      <c r="BW41" s="477">
        <f t="shared" si="35"/>
        <v>0</v>
      </c>
      <c r="BX41" s="477">
        <f t="shared" si="35"/>
        <v>0</v>
      </c>
      <c r="BY41" s="477">
        <f t="shared" si="35"/>
        <v>0</v>
      </c>
      <c r="BZ41" s="477">
        <f t="shared" si="35"/>
        <v>0</v>
      </c>
      <c r="CA41" s="477">
        <f t="shared" si="35"/>
        <v>0</v>
      </c>
      <c r="CB41" s="477">
        <f t="shared" si="35"/>
        <v>0</v>
      </c>
      <c r="CC41" s="477">
        <f t="shared" si="35"/>
        <v>0</v>
      </c>
      <c r="CD41" s="477">
        <f t="shared" si="35"/>
        <v>0</v>
      </c>
      <c r="CE41" s="477">
        <f t="shared" si="35"/>
        <v>0</v>
      </c>
      <c r="CF41" s="477">
        <f t="shared" si="35"/>
        <v>0</v>
      </c>
      <c r="CG41" s="477">
        <f t="shared" si="35"/>
        <v>0</v>
      </c>
      <c r="CH41" s="477">
        <f t="shared" si="35"/>
        <v>0</v>
      </c>
      <c r="CI41" s="477">
        <f t="shared" si="35"/>
        <v>0</v>
      </c>
      <c r="CJ41" s="477">
        <f t="shared" si="35"/>
        <v>0</v>
      </c>
      <c r="CK41" s="477">
        <f t="shared" si="35"/>
        <v>0</v>
      </c>
      <c r="CL41" s="477">
        <f t="shared" si="35"/>
        <v>0</v>
      </c>
      <c r="CM41" s="477">
        <f t="shared" si="35"/>
        <v>0</v>
      </c>
      <c r="CN41" s="477">
        <f t="shared" si="35"/>
        <v>0</v>
      </c>
      <c r="CO41" s="477">
        <f t="shared" si="35"/>
        <v>0</v>
      </c>
      <c r="CP41" s="477">
        <f t="shared" si="35"/>
        <v>0</v>
      </c>
      <c r="CQ41" s="477">
        <f t="shared" si="35"/>
        <v>0</v>
      </c>
      <c r="CR41" s="477">
        <f t="shared" si="35"/>
        <v>0</v>
      </c>
      <c r="CS41" s="477">
        <f t="shared" si="35"/>
        <v>0</v>
      </c>
      <c r="CT41" s="477">
        <f t="shared" si="35"/>
        <v>0</v>
      </c>
      <c r="CU41" s="477">
        <f t="shared" si="35"/>
        <v>0</v>
      </c>
      <c r="CV41" s="477">
        <f t="shared" si="35"/>
        <v>0</v>
      </c>
      <c r="CW41" s="477">
        <f t="shared" si="35"/>
        <v>0</v>
      </c>
      <c r="CX41" s="477">
        <f t="shared" si="35"/>
        <v>0</v>
      </c>
      <c r="CY41" s="477">
        <f t="shared" si="35"/>
        <v>0</v>
      </c>
      <c r="CZ41" s="477">
        <f t="shared" si="35"/>
        <v>0</v>
      </c>
    </row>
    <row r="42" spans="1:104" x14ac:dyDescent="0.25">
      <c r="E42" s="477"/>
      <c r="F42" s="477"/>
      <c r="G42" s="477"/>
      <c r="H42" s="477"/>
      <c r="I42" s="477"/>
      <c r="J42" s="477"/>
      <c r="K42" s="477"/>
      <c r="L42" s="477"/>
      <c r="M42" s="477"/>
      <c r="N42" s="477"/>
      <c r="O42" s="477"/>
      <c r="P42" s="477"/>
      <c r="Q42" s="477"/>
      <c r="R42" s="477"/>
      <c r="S42" s="477"/>
      <c r="T42" s="477"/>
      <c r="U42" s="477"/>
      <c r="V42" s="732"/>
      <c r="W42" s="477"/>
      <c r="X42" s="477"/>
      <c r="Y42" s="477"/>
      <c r="Z42" s="477"/>
      <c r="AA42" s="477"/>
      <c r="AB42" s="477"/>
      <c r="AC42" s="477"/>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477"/>
      <c r="CH42" s="477"/>
      <c r="CI42" s="477"/>
      <c r="CJ42" s="477"/>
      <c r="CK42" s="477"/>
      <c r="CL42" s="477"/>
      <c r="CM42" s="477"/>
      <c r="CN42" s="477"/>
      <c r="CO42" s="477"/>
      <c r="CP42" s="477"/>
      <c r="CQ42" s="477"/>
      <c r="CR42" s="477"/>
      <c r="CS42" s="477"/>
      <c r="CT42" s="477"/>
      <c r="CU42" s="477"/>
      <c r="CV42" s="477"/>
      <c r="CW42" s="477"/>
      <c r="CX42" s="477"/>
      <c r="CY42" s="477"/>
      <c r="CZ42" s="477"/>
    </row>
    <row r="43" spans="1:104" x14ac:dyDescent="0.25">
      <c r="B43" s="609" t="s">
        <v>308</v>
      </c>
      <c r="E43" s="477"/>
      <c r="F43" s="477"/>
      <c r="G43" s="477"/>
      <c r="H43" s="477"/>
      <c r="I43" s="477"/>
      <c r="J43" s="477"/>
      <c r="K43" s="477"/>
      <c r="L43" s="477"/>
      <c r="M43" s="477"/>
      <c r="N43" s="477"/>
      <c r="O43" s="477"/>
      <c r="P43" s="477"/>
      <c r="Q43" s="477"/>
      <c r="R43" s="477"/>
      <c r="S43" s="477"/>
      <c r="T43" s="477"/>
      <c r="U43" s="477"/>
      <c r="V43" s="477"/>
      <c r="W43" s="479"/>
      <c r="X43" s="477"/>
      <c r="Y43" s="477"/>
      <c r="Z43" s="477"/>
      <c r="AA43" s="791"/>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c r="CE43" s="477"/>
      <c r="CF43" s="477"/>
      <c r="CG43" s="477"/>
      <c r="CH43" s="477"/>
      <c r="CI43" s="477"/>
      <c r="CJ43" s="477"/>
      <c r="CK43" s="477"/>
      <c r="CL43" s="477"/>
      <c r="CM43" s="477"/>
      <c r="CN43" s="477"/>
      <c r="CO43" s="477"/>
      <c r="CP43" s="477"/>
      <c r="CQ43" s="477"/>
      <c r="CR43" s="477"/>
      <c r="CS43" s="477"/>
      <c r="CT43" s="477"/>
      <c r="CU43" s="477"/>
      <c r="CV43" s="477"/>
      <c r="CW43" s="477"/>
      <c r="CX43" s="477"/>
      <c r="CY43" s="477"/>
      <c r="CZ43" s="477"/>
    </row>
    <row r="44" spans="1:104" x14ac:dyDescent="0.25">
      <c r="A44" s="472"/>
      <c r="C44" s="609" t="s">
        <v>306</v>
      </c>
      <c r="E44" s="573">
        <f>IF(AND('Incremental Repayments'!$R$22="Pay-Go",E$31&gt;0),(E$31*'Incremental Repayments'!$I$22)/(E10*1000000/1000),0)</f>
        <v>0</v>
      </c>
      <c r="F44" s="573">
        <f>IF(AND('Incremental Repayments'!$R$22="Pay-Go",F$31&gt;0),(F$31*'Incremental Repayments'!$I$22)/(F10*1000000/1000),0)</f>
        <v>0</v>
      </c>
      <c r="G44" s="573">
        <f>IF(AND('Incremental Repayments'!$R$22="Pay-Go",G$31&gt;0),(G$31*'Incremental Repayments'!$I$22)/(G10*1000000/1000),0)</f>
        <v>0</v>
      </c>
      <c r="H44" s="573">
        <f>IF(AND('Incremental Repayments'!$R$22="Pay-Go",H$31&gt;0),(H$31*'Incremental Repayments'!$I$22)/(H10*1000000/1000),0)</f>
        <v>0</v>
      </c>
      <c r="I44" s="573">
        <f>IF(AND('Incremental Repayments'!$R$22="Pay-Go",I$31&gt;0),(I$31*'Incremental Repayments'!$I$22)/(I10*1000000/1000),0)</f>
        <v>0</v>
      </c>
      <c r="J44" s="573">
        <f>IF(AND('Incremental Repayments'!$R$22="Pay-Go",J$31&gt;0),(J$31*'Incremental Repayments'!$I$22)/(J10*1000000/1000),0)</f>
        <v>0</v>
      </c>
      <c r="K44" s="573">
        <f>IF(AND('Incremental Repayments'!$R$22="Pay-Go",K$31&gt;0),(K$31*'Incremental Repayments'!$I$22)/(K10*1000000/1000),0)</f>
        <v>0</v>
      </c>
      <c r="L44" s="573">
        <f>IF(AND('Incremental Repayments'!$R$22="Pay-Go",L$31&gt;0),(L$31*'Incremental Repayments'!$I$22)/(L10*1000000/1000),0)</f>
        <v>0</v>
      </c>
      <c r="M44" s="573">
        <f>IF(AND('Incremental Repayments'!$R$22="Pay-Go",M$31&gt;0),(M$31*'Incremental Repayments'!$I$22)/(M10*1000000/1000),0)</f>
        <v>0</v>
      </c>
      <c r="N44" s="573">
        <f>IF(AND('Incremental Repayments'!$R$22="Pay-Go",N$31&gt;0),(N$31*'Incremental Repayments'!$I$22)/(N10*1000000/1000),0)</f>
        <v>0</v>
      </c>
      <c r="O44" s="573">
        <f>IF(AND('Incremental Repayments'!$R$22="Pay-Go",O$31&gt;0),(O$31*'Incremental Repayments'!$I$22)/(O10*1000000/1000),0)</f>
        <v>0</v>
      </c>
      <c r="P44" s="573">
        <f>IF(AND('Incremental Repayments'!$R$22="Pay-Go",P$31&gt;0),(P$31*'Incremental Repayments'!$I$22)/(P10*1000000/1000),0)</f>
        <v>0</v>
      </c>
      <c r="Q44" s="573">
        <f>IF(AND('Incremental Repayments'!$R$22="Pay-Go",Q$31&gt;0),(Q$31*'Incremental Repayments'!$I$22)/(Q10*1000000/1000),0)</f>
        <v>0</v>
      </c>
      <c r="R44" s="573">
        <f>IF(AND('Incremental Repayments'!$R$22="Pay-Go",R$31&gt;0),(R$31*'Incremental Repayments'!$I$22)/(R10*1000000/1000),0)</f>
        <v>0</v>
      </c>
      <c r="S44" s="573">
        <f>IF(AND('Incremental Repayments'!$R$22="Pay-Go",S$31&gt;0),(S$31*'Incremental Repayments'!$I$22)/(S10*1000000/1000),0)</f>
        <v>0</v>
      </c>
      <c r="T44" s="573">
        <f>IF(AND('Incremental Repayments'!$R$22="Pay-Go",T$31&gt;0),(T$31*'Incremental Repayments'!$I$22)/(T10*1000000/1000),0)</f>
        <v>0</v>
      </c>
      <c r="U44" s="573">
        <f>IF(AND('Incremental Repayments'!$R$22="Pay-Go",U$31&gt;0),(U$31*'Incremental Repayments'!$I$22)/(U10*1000000/1000),0)</f>
        <v>0</v>
      </c>
      <c r="V44" s="573">
        <f>IF(AND('Incremental Repayments'!$R$22="Pay-Go",V$31&gt;0),(V$31*'Incremental Repayments'!$I$22)/(V10*1000000/1000),0)</f>
        <v>0</v>
      </c>
      <c r="W44" s="573">
        <f>IF(AND('Incremental Repayments'!$R$22="Pay-Go",W$31&gt;0),(W$31*'Incremental Repayments'!$I$22)/(W10*1000000/1000),0)</f>
        <v>0</v>
      </c>
      <c r="X44" s="573">
        <f>IF(AND('Incremental Repayments'!$R$22="Pay-Go",X$31&gt;0),(X$31*'Incremental Repayments'!$I$22)/(X10*1000000/1000),0)</f>
        <v>0</v>
      </c>
      <c r="Y44" s="573">
        <f>IF(AND('Incremental Repayments'!$R$22="Pay-Go",Y$31&gt;0),(Y$31*'Incremental Repayments'!$I$22)/(Y10*1000000/1000),0)</f>
        <v>0</v>
      </c>
      <c r="Z44" s="573">
        <f>IF(AND('Incremental Repayments'!$R$22="Pay-Go",Z$31&gt;0),(Z$31*'Incremental Repayments'!$I$22)/(Z10*1000000/1000),0)</f>
        <v>0</v>
      </c>
      <c r="AA44" s="573">
        <f>IF(AND('Incremental Repayments'!$R$22="Pay-Go",AA$31&gt;0),(AA$31*'Incremental Repayments'!$I$22)/(AA10*1000000/1000),0)</f>
        <v>0</v>
      </c>
      <c r="AB44" s="573">
        <f>IF(AND('Incremental Repayments'!$R$22="Pay-Go",AB$31&gt;0),(AB$31*'Incremental Repayments'!$I$22)/(AB10*1000000/1000),0)</f>
        <v>0</v>
      </c>
      <c r="AC44" s="573">
        <f>IF(AND('Incremental Repayments'!$R$22="Pay-Go",AC$31&gt;0),(AC$31*'Incremental Repayments'!$I$22)/(AC10*1000000/1000),0)</f>
        <v>0</v>
      </c>
      <c r="AD44" s="573">
        <f>IF(AND('Incremental Repayments'!$R$22="Pay-Go",AD$31&gt;0),(AD$31*'Incremental Repayments'!$I$22)/(AD10*1000000/1000),0)</f>
        <v>0</v>
      </c>
      <c r="AE44" s="573">
        <f>IF(AND('Incremental Repayments'!$R$22="Pay-Go",AE$31&gt;0),(AE$31*'Incremental Repayments'!$I$22)/(AE10*1000000/1000),0)</f>
        <v>0</v>
      </c>
      <c r="AF44" s="573">
        <f>IF(AND('Incremental Repayments'!$R$22="Pay-Go",AF$31&gt;0),(AF$31*'Incremental Repayments'!$I$22)/(AF10*1000000/1000),0)</f>
        <v>0</v>
      </c>
      <c r="AG44" s="573">
        <f>IF(AND('Incremental Repayments'!$R$22="Pay-Go",AG$31&gt;0),(AG$31*'Incremental Repayments'!$I$22)/(AG10*1000000/1000),0)</f>
        <v>0</v>
      </c>
      <c r="AH44" s="573">
        <f>IF(AND('Incremental Repayments'!$R$22="Pay-Go",AH$31&gt;0),(AH$31*'Incremental Repayments'!$I$22)/(AH10*1000000/1000),0)</f>
        <v>0</v>
      </c>
      <c r="AI44" s="573">
        <f>IF(AND('Incremental Repayments'!$R$22="Pay-Go",AI$31&gt;0),(AI$31*'Incremental Repayments'!$I$22)/(AI10*1000000/1000),0)</f>
        <v>0</v>
      </c>
      <c r="AJ44" s="573">
        <f>IF(AND('Incremental Repayments'!$R$22="Pay-Go",AJ$31&gt;0),(AJ$31*'Incremental Repayments'!$I$22)/(AJ10*1000000/1000),0)</f>
        <v>0</v>
      </c>
      <c r="AK44" s="573">
        <f>IF(AND('Incremental Repayments'!$R$22="Pay-Go",AK$31&gt;0),(AK$31*'Incremental Repayments'!$I$22)/(AK10*1000000/1000),0)</f>
        <v>0</v>
      </c>
      <c r="AL44" s="573">
        <f>IF(AND('Incremental Repayments'!$R$22="Pay-Go",AL$31&gt;0),(AL$31*'Incremental Repayments'!$I$22)/(AL10*1000000/1000),0)</f>
        <v>0</v>
      </c>
      <c r="AM44" s="573">
        <f>IF(AND('Incremental Repayments'!$R$22="Pay-Go",AM$31&gt;0),(AM$31*'Incremental Repayments'!$I$22)/(AM10*1000000/1000),0)</f>
        <v>0</v>
      </c>
      <c r="AN44" s="573">
        <f>IF(AND('Incremental Repayments'!$R$22="Pay-Go",AN$31&gt;0),(AN$31*'Incremental Repayments'!$I$22)/(AN10*1000000/1000),0)</f>
        <v>0</v>
      </c>
      <c r="AO44" s="573">
        <f>IF(AND('Incremental Repayments'!$R$22="Pay-Go",AO$31&gt;0),(AO$31*'Incremental Repayments'!$I$22)/(AO10*1000000/1000),0)</f>
        <v>0</v>
      </c>
      <c r="AP44" s="573">
        <f>IF(AND('Incremental Repayments'!$R$22="Pay-Go",AP$31&gt;0),(AP$31*'Incremental Repayments'!$I$22)/(AP10*1000000/1000),0)</f>
        <v>0</v>
      </c>
      <c r="AQ44" s="573">
        <f>IF(AND('Incremental Repayments'!$R$22="Pay-Go",AQ$31&gt;0),(AQ$31*'Incremental Repayments'!$I$22)/(AQ10*1000000/1000),0)</f>
        <v>0</v>
      </c>
      <c r="AR44" s="573">
        <f>IF(AND('Incremental Repayments'!$R$22="Pay-Go",AR$31&gt;0),(AR$31*'Incremental Repayments'!$I$22)/(AR10*1000000/1000),0)</f>
        <v>0</v>
      </c>
      <c r="AS44" s="573">
        <f>IF(AND('Incremental Repayments'!$R$22="Pay-Go",AS$31&gt;0),(AS$31*'Incremental Repayments'!$I$22)/(AS10*1000000/1000),0)</f>
        <v>0</v>
      </c>
      <c r="AT44" s="573">
        <f>IF(AND('Incremental Repayments'!$R$22="Pay-Go",AT$31&gt;0),(AT$31*'Incremental Repayments'!$I$22)/(AT10*1000000/1000),0)</f>
        <v>0</v>
      </c>
      <c r="AU44" s="573">
        <f>IF(AND('Incremental Repayments'!$R$22="Pay-Go",AU$31&gt;0),(AU$31*'Incremental Repayments'!$I$22)/(AU10*1000000/1000),0)</f>
        <v>0</v>
      </c>
      <c r="AV44" s="573">
        <f>IF(AND('Incremental Repayments'!$R$22="Pay-Go",AV$31&gt;0),(AV$31*'Incremental Repayments'!$I$22)/(AV10*1000000/1000),0)</f>
        <v>0</v>
      </c>
      <c r="AW44" s="573">
        <f>IF(AND('Incremental Repayments'!$R$22="Pay-Go",AW$31&gt;0),(AW$31*'Incremental Repayments'!$I$22)/(AW10*1000000/1000),0)</f>
        <v>0</v>
      </c>
      <c r="AX44" s="573">
        <f>IF(AND('Incremental Repayments'!$R$22="Pay-Go",AX$31&gt;0),(AX$31*'Incremental Repayments'!$I$22)/(AX10*1000000/1000),0)</f>
        <v>0</v>
      </c>
      <c r="AY44" s="573">
        <f>IF(AND('Incremental Repayments'!$R$22="Pay-Go",AY$31&gt;0),(AY$31*'Incremental Repayments'!$I$22)/(AY10*1000000/1000),0)</f>
        <v>0</v>
      </c>
      <c r="AZ44" s="573">
        <f>IF(AND('Incremental Repayments'!$R$22="Pay-Go",AZ$31&gt;0),(AZ$31*'Incremental Repayments'!$I$22)/(AZ10*1000000/1000),0)</f>
        <v>0</v>
      </c>
      <c r="BA44" s="573">
        <f>IF(AND('Incremental Repayments'!$R$22="Pay-Go",BA$31&gt;0),(BA$31*'Incremental Repayments'!$I$22)/(BA10*1000000/1000),0)</f>
        <v>0</v>
      </c>
      <c r="BB44" s="573">
        <f>IF(AND('Incremental Repayments'!$R$22="Pay-Go",BB$31&gt;0),(BB$31*'Incremental Repayments'!$I$22)/(BB10*1000000/1000),0)</f>
        <v>0</v>
      </c>
      <c r="BC44" s="573">
        <f>IF(AND('Incremental Repayments'!$R$22="Pay-Go",BC$31&gt;0),(BC$31*'Incremental Repayments'!$I$22)/(BC10*1000000/1000),0)</f>
        <v>0</v>
      </c>
      <c r="BD44" s="573">
        <f>IF(AND('Incremental Repayments'!$R$22="Pay-Go",BD$31&gt;0),(BD$31*'Incremental Repayments'!$I$22)/(BD10*1000000/1000),0)</f>
        <v>0</v>
      </c>
      <c r="BE44" s="573">
        <f>IF(AND('Incremental Repayments'!$R$22="Pay-Go",BE$31&gt;0),(BE$31*'Incremental Repayments'!$I$22)/(BE10*1000000/1000),0)</f>
        <v>0</v>
      </c>
      <c r="BF44" s="573">
        <f>IF(AND('Incremental Repayments'!$R$22="Pay-Go",BF$31&gt;0),(BF$31*'Incremental Repayments'!$I$22)/(BF10*1000000/1000),0)</f>
        <v>0</v>
      </c>
      <c r="BG44" s="573">
        <f>IF(AND('Incremental Repayments'!$R$22="Pay-Go",BG$31&gt;0),(BG$31*'Incremental Repayments'!$I$22)/(BG10*1000000/1000),0)</f>
        <v>0</v>
      </c>
      <c r="BH44" s="573">
        <f>IF(AND('Incremental Repayments'!$R$22="Pay-Go",BH$31&gt;0),(BH$31*'Incremental Repayments'!$I$22)/(BH10*1000000/1000),0)</f>
        <v>0</v>
      </c>
      <c r="BI44" s="573">
        <f>IF(AND('Incremental Repayments'!$R$22="Pay-Go",BI$31&gt;0),(BI$31*'Incremental Repayments'!$I$22)/(BI10*1000000/1000),0)</f>
        <v>0</v>
      </c>
      <c r="BJ44" s="573">
        <f>IF(AND('Incremental Repayments'!$R$22="Pay-Go",BJ$31&gt;0),(BJ$31*'Incremental Repayments'!$I$22)/(BJ10*1000000/1000),0)</f>
        <v>0</v>
      </c>
      <c r="BK44" s="573">
        <f>IF(AND('Incremental Repayments'!$R$22="Pay-Go",BK$31&gt;0),(BK$31*'Incremental Repayments'!$I$22)/(BK10*1000000/1000),0)</f>
        <v>0</v>
      </c>
      <c r="BL44" s="573">
        <f>IF(AND('Incremental Repayments'!$R$22="Pay-Go",BL$31&gt;0),(BL$31*'Incremental Repayments'!$I$22)/(BL10*1000000/1000),0)</f>
        <v>0</v>
      </c>
      <c r="BM44" s="573">
        <f>IF(AND('Incremental Repayments'!$R$22="Pay-Go",BM$31&gt;0),(BM$31*'Incremental Repayments'!$I$22)/(BM10*1000000/1000),0)</f>
        <v>0</v>
      </c>
      <c r="BN44" s="573">
        <f>IF(AND('Incremental Repayments'!$R$22="Pay-Go",BN$31&gt;0),(BN$31*'Incremental Repayments'!$I$22)/(BN10*1000000/1000),0)</f>
        <v>0</v>
      </c>
      <c r="BO44" s="573">
        <f>IF(AND('Incremental Repayments'!$R$22="Pay-Go",BO$31&gt;0),(BO$31*'Incremental Repayments'!$I$22)/(BO10*1000000/1000),0)</f>
        <v>0</v>
      </c>
      <c r="BP44" s="573">
        <f>IF(AND('Incremental Repayments'!$R$22="Pay-Go",BP$31&gt;0),(BP$31*'Incremental Repayments'!$I$22)/(BP10*1000000/1000),0)</f>
        <v>0</v>
      </c>
      <c r="BQ44" s="573">
        <f>IF(AND('Incremental Repayments'!$R$22="Pay-Go",BQ$31&gt;0),(BQ$31*'Incremental Repayments'!$I$22)/(BQ10*1000000/1000),0)</f>
        <v>0</v>
      </c>
      <c r="BR44" s="573">
        <f>IF(AND('Incremental Repayments'!$R$22="Pay-Go",BR$31&gt;0),(BR$31*'Incremental Repayments'!$I$22)/(BR10*1000000/1000),0)</f>
        <v>0</v>
      </c>
      <c r="BS44" s="573">
        <f>IF(AND('Incremental Repayments'!$R$22="Pay-Go",BS$31&gt;0),(BS$31*'Incremental Repayments'!$I$22)/(BS10*1000000/1000),0)</f>
        <v>0</v>
      </c>
      <c r="BT44" s="573">
        <f>IF(AND('Incremental Repayments'!$R$22="Pay-Go",BT$31&gt;0),(BT$31*'Incremental Repayments'!$I$22)/(BT10*1000000/1000),0)</f>
        <v>0</v>
      </c>
      <c r="BU44" s="573">
        <f>IF(AND('Incremental Repayments'!$R$22="Pay-Go",BU$31&gt;0),(BU$31*'Incremental Repayments'!$I$22)/(BU10*1000000/1000),0)</f>
        <v>0</v>
      </c>
      <c r="BV44" s="573">
        <f>IF(AND('Incremental Repayments'!$R$22="Pay-Go",BV$31&gt;0),(BV$31*'Incremental Repayments'!$I$22)/(BV10*1000000/1000),0)</f>
        <v>0</v>
      </c>
      <c r="BW44" s="573">
        <f>IF(AND('Incremental Repayments'!$R$22="Pay-Go",BW$31&gt;0),(BW$31*'Incremental Repayments'!$I$22)/(BW10*1000000/1000),0)</f>
        <v>0</v>
      </c>
      <c r="BX44" s="573">
        <f>IF(AND('Incremental Repayments'!$R$22="Pay-Go",BX$31&gt;0),(BX$31*'Incremental Repayments'!$I$22)/(BX10*1000000/1000),0)</f>
        <v>0</v>
      </c>
      <c r="BY44" s="573">
        <f>IF(AND('Incremental Repayments'!$R$22="Pay-Go",BY$31&gt;0),(BY$31*'Incremental Repayments'!$I$22)/(BY10*1000000/1000),0)</f>
        <v>0</v>
      </c>
      <c r="BZ44" s="573">
        <f>IF(AND('Incremental Repayments'!$R$22="Pay-Go",BZ$31&gt;0),(BZ$31*'Incremental Repayments'!$I$22)/(BZ10*1000000/1000),0)</f>
        <v>0</v>
      </c>
      <c r="CA44" s="573">
        <f>IF(AND('Incremental Repayments'!$R$22="Pay-Go",CA$31&gt;0),(CA$31*'Incremental Repayments'!$I$22)/(CA10*1000000/1000),0)</f>
        <v>0</v>
      </c>
      <c r="CB44" s="573">
        <f>IF(AND('Incremental Repayments'!$R$22="Pay-Go",CB$31&gt;0),(CB$31*'Incremental Repayments'!$I$22)/(CB10*1000000/1000),0)</f>
        <v>0</v>
      </c>
      <c r="CC44" s="573">
        <f>IF(AND('Incremental Repayments'!$R$22="Pay-Go",CC$31&gt;0),(CC$31*'Incremental Repayments'!$I$22)/(CC10*1000000/1000),0)</f>
        <v>0</v>
      </c>
      <c r="CD44" s="573">
        <f>IF(AND('Incremental Repayments'!$R$22="Pay-Go",CD$31&gt;0),(CD$31*'Incremental Repayments'!$I$22)/(CD10*1000000/1000),0)</f>
        <v>0</v>
      </c>
      <c r="CE44" s="573">
        <f>IF(AND('Incremental Repayments'!$R$22="Pay-Go",CE$31&gt;0),(CE$31*'Incremental Repayments'!$I$22)/(CE10*1000000/1000),0)</f>
        <v>0</v>
      </c>
      <c r="CF44" s="573">
        <f>IF(AND('Incremental Repayments'!$R$22="Pay-Go",CF$31&gt;0),(CF$31*'Incremental Repayments'!$I$22)/(CF10*1000000/1000),0)</f>
        <v>0</v>
      </c>
      <c r="CG44" s="573">
        <f>IF(AND('Incremental Repayments'!$R$22="Pay-Go",CG$31&gt;0),(CG$31*'Incremental Repayments'!$I$22)/(CG10*1000000/1000),0)</f>
        <v>0</v>
      </c>
      <c r="CH44" s="573">
        <f>IF(AND('Incremental Repayments'!$R$22="Pay-Go",CH$31&gt;0),(CH$31*'Incremental Repayments'!$I$22)/(CH10*1000000/1000),0)</f>
        <v>0</v>
      </c>
      <c r="CI44" s="573">
        <f>IF(AND('Incremental Repayments'!$R$22="Pay-Go",CI$31&gt;0),(CI$31*'Incremental Repayments'!$I$22)/(CI10*1000000/1000),0)</f>
        <v>0</v>
      </c>
      <c r="CJ44" s="573">
        <f>IF(AND('Incremental Repayments'!$R$22="Pay-Go",CJ$31&gt;0),(CJ$31*'Incremental Repayments'!$I$22)/(CJ10*1000000/1000),0)</f>
        <v>0</v>
      </c>
      <c r="CK44" s="573">
        <f>IF(AND('Incremental Repayments'!$R$22="Pay-Go",CK$31&gt;0),(CK$31*'Incremental Repayments'!$I$22)/(CK10*1000000/1000),0)</f>
        <v>0</v>
      </c>
      <c r="CL44" s="573">
        <f>IF(AND('Incremental Repayments'!$R$22="Pay-Go",CL$31&gt;0),(CL$31*'Incremental Repayments'!$I$22)/(CL10*1000000/1000),0)</f>
        <v>0</v>
      </c>
      <c r="CM44" s="573">
        <f>IF(AND('Incremental Repayments'!$R$22="Pay-Go",CM$31&gt;0),(CM$31*'Incremental Repayments'!$I$22)/(CM10*1000000/1000),0)</f>
        <v>0</v>
      </c>
      <c r="CN44" s="573">
        <f>IF(AND('Incremental Repayments'!$R$22="Pay-Go",CN$31&gt;0),(CN$31*'Incremental Repayments'!$I$22)/(CN10*1000000/1000),0)</f>
        <v>0</v>
      </c>
      <c r="CO44" s="573">
        <f>IF(AND('Incremental Repayments'!$R$22="Pay-Go",CO$31&gt;0),(CO$31*'Incremental Repayments'!$I$22)/(CO10*1000000/1000),0)</f>
        <v>0</v>
      </c>
      <c r="CP44" s="573">
        <f>IF(AND('Incremental Repayments'!$R$22="Pay-Go",CP$31&gt;0),(CP$31*'Incremental Repayments'!$I$22)/(CP10*1000000/1000),0)</f>
        <v>0</v>
      </c>
      <c r="CQ44" s="573">
        <f>IF(AND('Incremental Repayments'!$R$22="Pay-Go",CQ$31&gt;0),(CQ$31*'Incremental Repayments'!$I$22)/(CQ10*1000000/1000),0)</f>
        <v>0</v>
      </c>
      <c r="CR44" s="573">
        <f>IF(AND('Incremental Repayments'!$R$22="Pay-Go",CR$31&gt;0),(CR$31*'Incremental Repayments'!$I$22)/(CR10*1000000/1000),0)</f>
        <v>0</v>
      </c>
      <c r="CS44" s="573">
        <f>IF(AND('Incremental Repayments'!$R$22="Pay-Go",CS$31&gt;0),(CS$31*'Incremental Repayments'!$I$22)/(CS10*1000000/1000),0)</f>
        <v>0</v>
      </c>
      <c r="CT44" s="573">
        <f>IF(AND('Incremental Repayments'!$R$22="Pay-Go",CT$31&gt;0),(CT$31*'Incremental Repayments'!$I$22)/(CT10*1000000/1000),0)</f>
        <v>0</v>
      </c>
      <c r="CU44" s="573">
        <f>IF(AND('Incremental Repayments'!$R$22="Pay-Go",CU$31&gt;0),(CU$31*'Incremental Repayments'!$I$22)/(CU10*1000000/1000),0)</f>
        <v>0</v>
      </c>
      <c r="CV44" s="573">
        <f>IF(AND('Incremental Repayments'!$R$22="Pay-Go",CV$31&gt;0),(CV$31*'Incremental Repayments'!$I$22)/(CV10*1000000/1000),0)</f>
        <v>0</v>
      </c>
      <c r="CW44" s="573">
        <f>IF(AND('Incremental Repayments'!$R$22="Pay-Go",CW$31&gt;0),(CW$31*'Incremental Repayments'!$I$22)/(CW10*1000000/1000),0)</f>
        <v>0</v>
      </c>
      <c r="CX44" s="573">
        <f>IF(AND('Incremental Repayments'!$R$22="Pay-Go",CX$31&gt;0),(CX$31*'Incremental Repayments'!$I$22)/(CX10*1000000/1000),0)</f>
        <v>0</v>
      </c>
      <c r="CY44" s="573">
        <f>IF(AND('Incremental Repayments'!$R$22="Pay-Go",CY$31&gt;0),(CY$31*'Incremental Repayments'!$I$22)/(CY10*1000000/1000),0)</f>
        <v>0</v>
      </c>
      <c r="CZ44" s="573">
        <f>IF(AND('Incremental Repayments'!$R$22="Pay-Go",CZ$31&gt;0),(CZ$31*'Incremental Repayments'!$I$22)/(CZ10*1000000/1000),0)</f>
        <v>0</v>
      </c>
    </row>
    <row r="45" spans="1:104" x14ac:dyDescent="0.25">
      <c r="A45" s="472"/>
      <c r="C45" s="609" t="s">
        <v>371</v>
      </c>
      <c r="E45" s="477">
        <f t="shared" ref="E45:BP45" si="36">E44*E10*1000</f>
        <v>0</v>
      </c>
      <c r="F45" s="477">
        <f t="shared" si="36"/>
        <v>0</v>
      </c>
      <c r="G45" s="477">
        <f t="shared" si="36"/>
        <v>0</v>
      </c>
      <c r="H45" s="477">
        <f t="shared" si="36"/>
        <v>0</v>
      </c>
      <c r="I45" s="477">
        <f t="shared" si="36"/>
        <v>0</v>
      </c>
      <c r="J45" s="477">
        <f t="shared" si="36"/>
        <v>0</v>
      </c>
      <c r="K45" s="477">
        <f t="shared" si="36"/>
        <v>0</v>
      </c>
      <c r="L45" s="477">
        <f t="shared" si="36"/>
        <v>0</v>
      </c>
      <c r="M45" s="477">
        <f t="shared" si="36"/>
        <v>0</v>
      </c>
      <c r="N45" s="477">
        <f t="shared" si="36"/>
        <v>0</v>
      </c>
      <c r="O45" s="477">
        <f t="shared" si="36"/>
        <v>0</v>
      </c>
      <c r="P45" s="477">
        <f t="shared" si="36"/>
        <v>0</v>
      </c>
      <c r="Q45" s="477">
        <f t="shared" si="36"/>
        <v>0</v>
      </c>
      <c r="R45" s="477">
        <f t="shared" si="36"/>
        <v>0</v>
      </c>
      <c r="S45" s="477">
        <f t="shared" si="36"/>
        <v>0</v>
      </c>
      <c r="T45" s="477">
        <f t="shared" si="36"/>
        <v>0</v>
      </c>
      <c r="U45" s="477">
        <f t="shared" si="36"/>
        <v>0</v>
      </c>
      <c r="V45" s="477">
        <f t="shared" si="36"/>
        <v>0</v>
      </c>
      <c r="W45" s="477">
        <f t="shared" si="36"/>
        <v>0</v>
      </c>
      <c r="X45" s="477">
        <f t="shared" si="36"/>
        <v>0</v>
      </c>
      <c r="Y45" s="477">
        <f t="shared" si="36"/>
        <v>0</v>
      </c>
      <c r="Z45" s="477">
        <f t="shared" si="36"/>
        <v>0</v>
      </c>
      <c r="AA45" s="477">
        <f t="shared" si="36"/>
        <v>0</v>
      </c>
      <c r="AB45" s="477">
        <f t="shared" si="36"/>
        <v>0</v>
      </c>
      <c r="AC45" s="477">
        <f t="shared" si="36"/>
        <v>0</v>
      </c>
      <c r="AD45" s="477">
        <f t="shared" si="36"/>
        <v>0</v>
      </c>
      <c r="AE45" s="477">
        <f t="shared" si="36"/>
        <v>0</v>
      </c>
      <c r="AF45" s="477">
        <f t="shared" si="36"/>
        <v>0</v>
      </c>
      <c r="AG45" s="477">
        <f t="shared" si="36"/>
        <v>0</v>
      </c>
      <c r="AH45" s="477">
        <f t="shared" si="36"/>
        <v>0</v>
      </c>
      <c r="AI45" s="477">
        <f t="shared" si="36"/>
        <v>0</v>
      </c>
      <c r="AJ45" s="477">
        <f t="shared" si="36"/>
        <v>0</v>
      </c>
      <c r="AK45" s="477">
        <f t="shared" si="36"/>
        <v>0</v>
      </c>
      <c r="AL45" s="477">
        <f t="shared" si="36"/>
        <v>0</v>
      </c>
      <c r="AM45" s="477">
        <f t="shared" si="36"/>
        <v>0</v>
      </c>
      <c r="AN45" s="477">
        <f t="shared" si="36"/>
        <v>0</v>
      </c>
      <c r="AO45" s="477">
        <f t="shared" si="36"/>
        <v>0</v>
      </c>
      <c r="AP45" s="477">
        <f t="shared" si="36"/>
        <v>0</v>
      </c>
      <c r="AQ45" s="477">
        <f t="shared" si="36"/>
        <v>0</v>
      </c>
      <c r="AR45" s="477">
        <f t="shared" si="36"/>
        <v>0</v>
      </c>
      <c r="AS45" s="477">
        <f t="shared" si="36"/>
        <v>0</v>
      </c>
      <c r="AT45" s="477">
        <f t="shared" si="36"/>
        <v>0</v>
      </c>
      <c r="AU45" s="477">
        <f t="shared" si="36"/>
        <v>0</v>
      </c>
      <c r="AV45" s="477">
        <f t="shared" si="36"/>
        <v>0</v>
      </c>
      <c r="AW45" s="477">
        <f t="shared" si="36"/>
        <v>0</v>
      </c>
      <c r="AX45" s="477">
        <f t="shared" si="36"/>
        <v>0</v>
      </c>
      <c r="AY45" s="477">
        <f t="shared" si="36"/>
        <v>0</v>
      </c>
      <c r="AZ45" s="477">
        <f t="shared" si="36"/>
        <v>0</v>
      </c>
      <c r="BA45" s="477">
        <f t="shared" si="36"/>
        <v>0</v>
      </c>
      <c r="BB45" s="477">
        <f t="shared" si="36"/>
        <v>0</v>
      </c>
      <c r="BC45" s="477">
        <f t="shared" si="36"/>
        <v>0</v>
      </c>
      <c r="BD45" s="477">
        <f t="shared" si="36"/>
        <v>0</v>
      </c>
      <c r="BE45" s="477">
        <f t="shared" si="36"/>
        <v>0</v>
      </c>
      <c r="BF45" s="477">
        <f t="shared" si="36"/>
        <v>0</v>
      </c>
      <c r="BG45" s="477">
        <f t="shared" si="36"/>
        <v>0</v>
      </c>
      <c r="BH45" s="477">
        <f t="shared" si="36"/>
        <v>0</v>
      </c>
      <c r="BI45" s="477">
        <f t="shared" si="36"/>
        <v>0</v>
      </c>
      <c r="BJ45" s="477">
        <f t="shared" si="36"/>
        <v>0</v>
      </c>
      <c r="BK45" s="477">
        <f t="shared" si="36"/>
        <v>0</v>
      </c>
      <c r="BL45" s="477">
        <f t="shared" si="36"/>
        <v>0</v>
      </c>
      <c r="BM45" s="477">
        <f t="shared" si="36"/>
        <v>0</v>
      </c>
      <c r="BN45" s="477">
        <f t="shared" si="36"/>
        <v>0</v>
      </c>
      <c r="BO45" s="477">
        <f t="shared" si="36"/>
        <v>0</v>
      </c>
      <c r="BP45" s="477">
        <f t="shared" si="36"/>
        <v>0</v>
      </c>
      <c r="BQ45" s="477">
        <f t="shared" ref="BQ45:CZ45" si="37">BQ44*BQ10*1000</f>
        <v>0</v>
      </c>
      <c r="BR45" s="477">
        <f t="shared" si="37"/>
        <v>0</v>
      </c>
      <c r="BS45" s="477">
        <f t="shared" si="37"/>
        <v>0</v>
      </c>
      <c r="BT45" s="477">
        <f t="shared" si="37"/>
        <v>0</v>
      </c>
      <c r="BU45" s="477">
        <f t="shared" si="37"/>
        <v>0</v>
      </c>
      <c r="BV45" s="477">
        <f t="shared" si="37"/>
        <v>0</v>
      </c>
      <c r="BW45" s="477">
        <f t="shared" si="37"/>
        <v>0</v>
      </c>
      <c r="BX45" s="477">
        <f t="shared" si="37"/>
        <v>0</v>
      </c>
      <c r="BY45" s="477">
        <f t="shared" si="37"/>
        <v>0</v>
      </c>
      <c r="BZ45" s="477">
        <f t="shared" si="37"/>
        <v>0</v>
      </c>
      <c r="CA45" s="477">
        <f t="shared" si="37"/>
        <v>0</v>
      </c>
      <c r="CB45" s="477">
        <f t="shared" si="37"/>
        <v>0</v>
      </c>
      <c r="CC45" s="477">
        <f t="shared" si="37"/>
        <v>0</v>
      </c>
      <c r="CD45" s="477">
        <f t="shared" si="37"/>
        <v>0</v>
      </c>
      <c r="CE45" s="477">
        <f t="shared" si="37"/>
        <v>0</v>
      </c>
      <c r="CF45" s="477">
        <f t="shared" si="37"/>
        <v>0</v>
      </c>
      <c r="CG45" s="477">
        <f t="shared" si="37"/>
        <v>0</v>
      </c>
      <c r="CH45" s="477">
        <f t="shared" si="37"/>
        <v>0</v>
      </c>
      <c r="CI45" s="477">
        <f t="shared" si="37"/>
        <v>0</v>
      </c>
      <c r="CJ45" s="477">
        <f t="shared" si="37"/>
        <v>0</v>
      </c>
      <c r="CK45" s="477">
        <f t="shared" si="37"/>
        <v>0</v>
      </c>
      <c r="CL45" s="477">
        <f t="shared" si="37"/>
        <v>0</v>
      </c>
      <c r="CM45" s="477">
        <f t="shared" si="37"/>
        <v>0</v>
      </c>
      <c r="CN45" s="477">
        <f t="shared" si="37"/>
        <v>0</v>
      </c>
      <c r="CO45" s="477">
        <f t="shared" si="37"/>
        <v>0</v>
      </c>
      <c r="CP45" s="477">
        <f t="shared" si="37"/>
        <v>0</v>
      </c>
      <c r="CQ45" s="477">
        <f t="shared" si="37"/>
        <v>0</v>
      </c>
      <c r="CR45" s="477">
        <f t="shared" si="37"/>
        <v>0</v>
      </c>
      <c r="CS45" s="477">
        <f t="shared" si="37"/>
        <v>0</v>
      </c>
      <c r="CT45" s="477">
        <f t="shared" si="37"/>
        <v>0</v>
      </c>
      <c r="CU45" s="477">
        <f t="shared" si="37"/>
        <v>0</v>
      </c>
      <c r="CV45" s="477">
        <f t="shared" si="37"/>
        <v>0</v>
      </c>
      <c r="CW45" s="477">
        <f t="shared" si="37"/>
        <v>0</v>
      </c>
      <c r="CX45" s="477">
        <f t="shared" si="37"/>
        <v>0</v>
      </c>
      <c r="CY45" s="477">
        <f t="shared" si="37"/>
        <v>0</v>
      </c>
      <c r="CZ45" s="477">
        <f t="shared" si="37"/>
        <v>0</v>
      </c>
    </row>
    <row r="46" spans="1:104" s="410" customFormat="1" x14ac:dyDescent="0.25">
      <c r="A46" s="762"/>
      <c r="C46" s="410" t="s">
        <v>517</v>
      </c>
      <c r="E46" s="763">
        <f t="shared" ref="E46:BP46" si="38">IF(E44=0,0,D46+E45)</f>
        <v>0</v>
      </c>
      <c r="F46" s="763">
        <f t="shared" si="38"/>
        <v>0</v>
      </c>
      <c r="G46" s="763">
        <f t="shared" si="38"/>
        <v>0</v>
      </c>
      <c r="H46" s="763">
        <f t="shared" si="38"/>
        <v>0</v>
      </c>
      <c r="I46" s="763">
        <f t="shared" si="38"/>
        <v>0</v>
      </c>
      <c r="J46" s="763">
        <f t="shared" si="38"/>
        <v>0</v>
      </c>
      <c r="K46" s="763">
        <f t="shared" si="38"/>
        <v>0</v>
      </c>
      <c r="L46" s="763">
        <f t="shared" si="38"/>
        <v>0</v>
      </c>
      <c r="M46" s="763">
        <f t="shared" si="38"/>
        <v>0</v>
      </c>
      <c r="N46" s="763">
        <f t="shared" si="38"/>
        <v>0</v>
      </c>
      <c r="O46" s="763">
        <f t="shared" si="38"/>
        <v>0</v>
      </c>
      <c r="P46" s="763">
        <f t="shared" si="38"/>
        <v>0</v>
      </c>
      <c r="Q46" s="763">
        <f t="shared" si="38"/>
        <v>0</v>
      </c>
      <c r="R46" s="763">
        <f t="shared" si="38"/>
        <v>0</v>
      </c>
      <c r="S46" s="763">
        <f t="shared" si="38"/>
        <v>0</v>
      </c>
      <c r="T46" s="763">
        <f t="shared" si="38"/>
        <v>0</v>
      </c>
      <c r="U46" s="763">
        <f t="shared" si="38"/>
        <v>0</v>
      </c>
      <c r="V46" s="763">
        <f t="shared" si="38"/>
        <v>0</v>
      </c>
      <c r="W46" s="763">
        <f t="shared" si="38"/>
        <v>0</v>
      </c>
      <c r="X46" s="763">
        <f t="shared" si="38"/>
        <v>0</v>
      </c>
      <c r="Y46" s="763">
        <f t="shared" si="38"/>
        <v>0</v>
      </c>
      <c r="Z46" s="763">
        <f t="shared" si="38"/>
        <v>0</v>
      </c>
      <c r="AA46" s="763">
        <f t="shared" si="38"/>
        <v>0</v>
      </c>
      <c r="AB46" s="763">
        <f t="shared" si="38"/>
        <v>0</v>
      </c>
      <c r="AC46" s="763">
        <f t="shared" si="38"/>
        <v>0</v>
      </c>
      <c r="AD46" s="763">
        <f t="shared" si="38"/>
        <v>0</v>
      </c>
      <c r="AE46" s="763">
        <f t="shared" si="38"/>
        <v>0</v>
      </c>
      <c r="AF46" s="763">
        <f t="shared" si="38"/>
        <v>0</v>
      </c>
      <c r="AG46" s="763">
        <f t="shared" si="38"/>
        <v>0</v>
      </c>
      <c r="AH46" s="763">
        <f t="shared" si="38"/>
        <v>0</v>
      </c>
      <c r="AI46" s="763">
        <f t="shared" si="38"/>
        <v>0</v>
      </c>
      <c r="AJ46" s="763">
        <f t="shared" si="38"/>
        <v>0</v>
      </c>
      <c r="AK46" s="763">
        <f t="shared" si="38"/>
        <v>0</v>
      </c>
      <c r="AL46" s="763">
        <f t="shared" si="38"/>
        <v>0</v>
      </c>
      <c r="AM46" s="763">
        <f t="shared" si="38"/>
        <v>0</v>
      </c>
      <c r="AN46" s="763">
        <f t="shared" si="38"/>
        <v>0</v>
      </c>
      <c r="AO46" s="763">
        <f t="shared" si="38"/>
        <v>0</v>
      </c>
      <c r="AP46" s="763">
        <f t="shared" si="38"/>
        <v>0</v>
      </c>
      <c r="AQ46" s="763">
        <f t="shared" si="38"/>
        <v>0</v>
      </c>
      <c r="AR46" s="763">
        <f t="shared" si="38"/>
        <v>0</v>
      </c>
      <c r="AS46" s="763">
        <f t="shared" si="38"/>
        <v>0</v>
      </c>
      <c r="AT46" s="763">
        <f t="shared" si="38"/>
        <v>0</v>
      </c>
      <c r="AU46" s="763">
        <f t="shared" si="38"/>
        <v>0</v>
      </c>
      <c r="AV46" s="763">
        <f t="shared" si="38"/>
        <v>0</v>
      </c>
      <c r="AW46" s="763">
        <f t="shared" si="38"/>
        <v>0</v>
      </c>
      <c r="AX46" s="763">
        <f t="shared" si="38"/>
        <v>0</v>
      </c>
      <c r="AY46" s="763">
        <f t="shared" si="38"/>
        <v>0</v>
      </c>
      <c r="AZ46" s="763">
        <f t="shared" si="38"/>
        <v>0</v>
      </c>
      <c r="BA46" s="763">
        <f t="shared" si="38"/>
        <v>0</v>
      </c>
      <c r="BB46" s="763">
        <f t="shared" si="38"/>
        <v>0</v>
      </c>
      <c r="BC46" s="763">
        <f t="shared" si="38"/>
        <v>0</v>
      </c>
      <c r="BD46" s="763">
        <f t="shared" si="38"/>
        <v>0</v>
      </c>
      <c r="BE46" s="763">
        <f t="shared" si="38"/>
        <v>0</v>
      </c>
      <c r="BF46" s="763">
        <f t="shared" si="38"/>
        <v>0</v>
      </c>
      <c r="BG46" s="763">
        <f t="shared" si="38"/>
        <v>0</v>
      </c>
      <c r="BH46" s="763">
        <f t="shared" si="38"/>
        <v>0</v>
      </c>
      <c r="BI46" s="763">
        <f t="shared" si="38"/>
        <v>0</v>
      </c>
      <c r="BJ46" s="763">
        <f t="shared" si="38"/>
        <v>0</v>
      </c>
      <c r="BK46" s="763">
        <f t="shared" si="38"/>
        <v>0</v>
      </c>
      <c r="BL46" s="763">
        <f t="shared" si="38"/>
        <v>0</v>
      </c>
      <c r="BM46" s="763">
        <f t="shared" si="38"/>
        <v>0</v>
      </c>
      <c r="BN46" s="763">
        <f t="shared" si="38"/>
        <v>0</v>
      </c>
      <c r="BO46" s="763">
        <f t="shared" si="38"/>
        <v>0</v>
      </c>
      <c r="BP46" s="763">
        <f t="shared" si="38"/>
        <v>0</v>
      </c>
      <c r="BQ46" s="763">
        <f t="shared" ref="BQ46:CZ46" si="39">IF(BQ44=0,0,BP46+BQ45)</f>
        <v>0</v>
      </c>
      <c r="BR46" s="763">
        <f t="shared" si="39"/>
        <v>0</v>
      </c>
      <c r="BS46" s="763">
        <f t="shared" si="39"/>
        <v>0</v>
      </c>
      <c r="BT46" s="763">
        <f t="shared" si="39"/>
        <v>0</v>
      </c>
      <c r="BU46" s="763">
        <f t="shared" si="39"/>
        <v>0</v>
      </c>
      <c r="BV46" s="763">
        <f t="shared" si="39"/>
        <v>0</v>
      </c>
      <c r="BW46" s="763">
        <f t="shared" si="39"/>
        <v>0</v>
      </c>
      <c r="BX46" s="763">
        <f t="shared" si="39"/>
        <v>0</v>
      </c>
      <c r="BY46" s="763">
        <f t="shared" si="39"/>
        <v>0</v>
      </c>
      <c r="BZ46" s="763">
        <f t="shared" si="39"/>
        <v>0</v>
      </c>
      <c r="CA46" s="763">
        <f t="shared" si="39"/>
        <v>0</v>
      </c>
      <c r="CB46" s="763">
        <f t="shared" si="39"/>
        <v>0</v>
      </c>
      <c r="CC46" s="763">
        <f t="shared" si="39"/>
        <v>0</v>
      </c>
      <c r="CD46" s="763">
        <f t="shared" si="39"/>
        <v>0</v>
      </c>
      <c r="CE46" s="763">
        <f t="shared" si="39"/>
        <v>0</v>
      </c>
      <c r="CF46" s="763">
        <f t="shared" si="39"/>
        <v>0</v>
      </c>
      <c r="CG46" s="763">
        <f t="shared" si="39"/>
        <v>0</v>
      </c>
      <c r="CH46" s="763">
        <f t="shared" si="39"/>
        <v>0</v>
      </c>
      <c r="CI46" s="763">
        <f t="shared" si="39"/>
        <v>0</v>
      </c>
      <c r="CJ46" s="763">
        <f t="shared" si="39"/>
        <v>0</v>
      </c>
      <c r="CK46" s="763">
        <f t="shared" si="39"/>
        <v>0</v>
      </c>
      <c r="CL46" s="763">
        <f t="shared" si="39"/>
        <v>0</v>
      </c>
      <c r="CM46" s="763">
        <f t="shared" si="39"/>
        <v>0</v>
      </c>
      <c r="CN46" s="763">
        <f t="shared" si="39"/>
        <v>0</v>
      </c>
      <c r="CO46" s="763">
        <f t="shared" si="39"/>
        <v>0</v>
      </c>
      <c r="CP46" s="763">
        <f t="shared" si="39"/>
        <v>0</v>
      </c>
      <c r="CQ46" s="763">
        <f t="shared" si="39"/>
        <v>0</v>
      </c>
      <c r="CR46" s="763">
        <f t="shared" si="39"/>
        <v>0</v>
      </c>
      <c r="CS46" s="763">
        <f t="shared" si="39"/>
        <v>0</v>
      </c>
      <c r="CT46" s="763">
        <f t="shared" si="39"/>
        <v>0</v>
      </c>
      <c r="CU46" s="763">
        <f t="shared" si="39"/>
        <v>0</v>
      </c>
      <c r="CV46" s="763">
        <f t="shared" si="39"/>
        <v>0</v>
      </c>
      <c r="CW46" s="763">
        <f t="shared" si="39"/>
        <v>0</v>
      </c>
      <c r="CX46" s="763">
        <f t="shared" si="39"/>
        <v>0</v>
      </c>
      <c r="CY46" s="763">
        <f t="shared" si="39"/>
        <v>0</v>
      </c>
      <c r="CZ46" s="763">
        <f t="shared" si="39"/>
        <v>0</v>
      </c>
    </row>
    <row r="47" spans="1:104" s="410" customFormat="1" x14ac:dyDescent="0.25">
      <c r="C47" s="759" t="s">
        <v>372</v>
      </c>
      <c r="E47" s="763">
        <f>IF(AND('Incremental Repayments'!$R$25="Pay-Go",E$31&gt;0),(E$31*'Incremental Repayments'!$I$25)/'LPP Act Financing Plan (3)'!E$7,0)</f>
        <v>0</v>
      </c>
      <c r="F47" s="763">
        <f>IF(AND('Incremental Repayments'!$R$25="Pay-Go",F$31&gt;0),(F$31*'Incremental Repayments'!$I$25)/'LPP Act Financing Plan (3)'!F$7,0)</f>
        <v>0</v>
      </c>
      <c r="G47" s="763">
        <f>IF(AND('Incremental Repayments'!$R$25="Pay-Go",G$31&gt;0),(G$31*'Incremental Repayments'!$I$25)/'LPP Act Financing Plan (3)'!G$7,0)</f>
        <v>0</v>
      </c>
      <c r="H47" s="763">
        <f>IF(AND('Incremental Repayments'!$R$25="Pay-Go",H$31&gt;0),(H$31*'Incremental Repayments'!$I$25)/'LPP Act Financing Plan (3)'!H$7,0)</f>
        <v>0</v>
      </c>
      <c r="I47" s="763">
        <f>IF(AND('Incremental Repayments'!$R$25="Pay-Go",I$31&gt;0),(I$31*'Incremental Repayments'!$I$25)/'LPP Act Financing Plan (3)'!I$7,0)</f>
        <v>0</v>
      </c>
      <c r="J47" s="763">
        <f>IF(AND('Incremental Repayments'!$R$25="Pay-Go",J$31&gt;0),(J$31*'Incremental Repayments'!$I$25)/'LPP Act Financing Plan (3)'!J$7,0)</f>
        <v>0</v>
      </c>
      <c r="K47" s="763">
        <f>IF(AND('Incremental Repayments'!$R$25="Pay-Go",K$31&gt;0),(K$31*'Incremental Repayments'!$I$25)/'LPP Act Financing Plan (3)'!K$7,0)</f>
        <v>0</v>
      </c>
      <c r="L47" s="763">
        <f>IF(AND('Incremental Repayments'!$R$25="Pay-Go",L$31&gt;0),(L$31*'Incremental Repayments'!$I$25)/'LPP Act Financing Plan (3)'!L$7,0)</f>
        <v>0</v>
      </c>
      <c r="M47" s="763">
        <f>IF(AND('Incremental Repayments'!$R$25="Pay-Go",M$31&gt;0),(M$31*'Incremental Repayments'!$I$25)/'LPP Act Financing Plan (3)'!M$7,0)</f>
        <v>0</v>
      </c>
      <c r="N47" s="763">
        <f>IF(AND('Incremental Repayments'!$R$25="Pay-Go",N$31&gt;0),(N$31*'Incremental Repayments'!$I$25)/'LPP Act Financing Plan (3)'!N$7,0)</f>
        <v>0</v>
      </c>
      <c r="O47" s="763">
        <f>IF(AND('Incremental Repayments'!$R$25="Pay-Go",O$31&gt;0),(O$31*'Incremental Repayments'!$I$25)/'LPP Act Financing Plan (3)'!O$7,0)</f>
        <v>0</v>
      </c>
      <c r="P47" s="763">
        <f>IF(AND('Incremental Repayments'!$R$25="Pay-Go",P$31&gt;0),(P$31*'Incremental Repayments'!$I$25)/'LPP Act Financing Plan (3)'!P$7,0)</f>
        <v>0</v>
      </c>
      <c r="Q47" s="763">
        <f>IF(AND('Incremental Repayments'!$R$25="Pay-Go",Q$31&gt;0),(Q$31*'Incremental Repayments'!$I$25)/'LPP Act Financing Plan (3)'!Q$7,0)</f>
        <v>0</v>
      </c>
      <c r="R47" s="763">
        <f>IF(AND('Incremental Repayments'!$R$25="Pay-Go",R$31&gt;0),(R$31*'Incremental Repayments'!$I$25)/'LPP Act Financing Plan (3)'!R$7,0)</f>
        <v>0</v>
      </c>
      <c r="S47" s="763">
        <f>IF(AND('Incremental Repayments'!$R$25="Pay-Go",S$31&gt;0),(S$31*'Incremental Repayments'!$I$25)/'LPP Act Financing Plan (3)'!S$7,0)</f>
        <v>0</v>
      </c>
      <c r="T47" s="763">
        <f>IF(AND('Incremental Repayments'!$R$25="Pay-Go",T$31&gt;0),(T$31*'Incremental Repayments'!$I$25)/'LPP Act Financing Plan (3)'!T$7,0)</f>
        <v>0</v>
      </c>
      <c r="U47" s="763">
        <f>IF(AND('Incremental Repayments'!$R$25="Pay-Go",U$31&gt;0),(U$31*'Incremental Repayments'!$I$25)/'LPP Act Financing Plan (3)'!U$7,0)</f>
        <v>0</v>
      </c>
      <c r="V47" s="763">
        <f>IF(AND('Incremental Repayments'!$R$25="Pay-Go",V$31&gt;0),(V$31*'Incremental Repayments'!$I$25)/'LPP Act Financing Plan (3)'!V$7,0)</f>
        <v>0</v>
      </c>
      <c r="W47" s="763">
        <f>IF(AND('Incremental Repayments'!$R$25="Pay-Go",W$31&gt;0),(W$31*'Incremental Repayments'!$I$25)/'LPP Act Financing Plan (3)'!W$7,0)</f>
        <v>4884.2638465667296</v>
      </c>
      <c r="X47" s="763">
        <f>IF(AND('Incremental Repayments'!$R$25="Pay-Go",X$31&gt;0),(X$31*'Incremental Repayments'!$I$25)/'LPP Act Financing Plan (3)'!X$7,0)</f>
        <v>14357.130722092135</v>
      </c>
      <c r="Y47" s="763">
        <f>IF(AND('Incremental Repayments'!$R$25="Pay-Go",Y$31&gt;0),(Y$31*'Incremental Repayments'!$I$25)/'LPP Act Financing Plan (3)'!Y$7,0)</f>
        <v>23600.1247075869</v>
      </c>
      <c r="Z47" s="763">
        <f>IF(AND('Incremental Repayments'!$R$25="Pay-Go",Z$31&gt;0),(Z$31*'Incremental Repayments'!$I$25)/'LPP Act Financing Plan (3)'!Z$7,0)</f>
        <v>31945.5693418886</v>
      </c>
      <c r="AA47" s="763">
        <f>IF(AND('Incremental Repayments'!$R$25="Pay-Go",AA$31&gt;0),(AA$31*'Incremental Repayments'!$I$25)/'LPP Act Financing Plan (3)'!AA$7,0)</f>
        <v>38770.521025472379</v>
      </c>
      <c r="AB47" s="763">
        <f>IF(AND('Incremental Repayments'!$R$25="Pay-Go",AB$31&gt;0),(AB$31*'Incremental Repayments'!$I$25)/'LPP Act Financing Plan (3)'!AB$7,0)</f>
        <v>43576.12481175729</v>
      </c>
      <c r="AC47" s="763">
        <f>IF(AND('Incremental Repayments'!$R$25="Pay-Go",AC$31&gt;0),(AC$31*'Incremental Repayments'!$I$25)/'LPP Act Financing Plan (3)'!AC$7,0)</f>
        <v>46055.47272593934</v>
      </c>
      <c r="AD47" s="763">
        <f>IF(AND('Incremental Repayments'!$R$25="Pay-Go",AD$31&gt;0),(AD$31*'Incremental Repayments'!$I$25)/'LPP Act Financing Plan (3)'!AD$7,0)</f>
        <v>46136.843968423265</v>
      </c>
      <c r="AE47" s="763">
        <f>IF(AND('Incremental Repayments'!$R$25="Pay-Go",AE$31&gt;0),(AE$31*'Incremental Repayments'!$I$25)/'LPP Act Financing Plan (3)'!AE$7,0)</f>
        <v>43992.728377364161</v>
      </c>
      <c r="AF47" s="763">
        <f>IF(AND('Incremental Repayments'!$R$25="Pay-Go",AF$31&gt;0),(AF$31*'Incremental Repayments'!$I$25)/'LPP Act Financing Plan (3)'!AF$7,0)</f>
        <v>40011.255515519013</v>
      </c>
      <c r="AG47" s="763">
        <f>IF(AND('Incremental Repayments'!$R$25="Pay-Go",AG$31&gt;0),(AG$31*'Incremental Repayments'!$I$25)/'LPP Act Financing Plan (3)'!AG$7,0)</f>
        <v>34734.320856816623</v>
      </c>
      <c r="AH47" s="763">
        <f>IF(AND('Incremental Repayments'!$R$25="Pay-Go",AH$31&gt;0),(AH$31*'Incremental Repayments'!$I$25)/'LPP Act Financing Plan (3)'!AH$7,0)</f>
        <v>28773.94132881079</v>
      </c>
      <c r="AI47" s="763">
        <f>IF(AND('Incremental Repayments'!$R$25="Pay-Go",AI$31&gt;0),(AI$31*'Incremental Repayments'!$I$25)/'LPP Act Financing Plan (3)'!AI$7,0)</f>
        <v>22723.186149349378</v>
      </c>
      <c r="AJ47" s="763">
        <f>IF(AND('Incremental Repayments'!$R$25="Pay-Go",AJ$31&gt;0),(AJ$31*'Incremental Repayments'!$I$25)/'LPP Act Financing Plan (3)'!AJ$7,0)</f>
        <v>17078.937142011284</v>
      </c>
      <c r="AK47" s="763">
        <f>IF(AND('Incremental Repayments'!$R$25="Pay-Go",AK$31&gt;0),(AK$31*'Incremental Repayments'!$I$25)/'LPP Act Financing Plan (3)'!AK$7,0)</f>
        <v>12190.336069645939</v>
      </c>
      <c r="AL47" s="763">
        <f>IF(AND('Incremental Repayments'!$R$25="Pay-Go",AL$31&gt;0),(AL$31*'Incremental Repayments'!$I$25)/'LPP Act Financing Plan (3)'!AL$7,0)</f>
        <v>8239.991208997164</v>
      </c>
      <c r="AM47" s="763">
        <f>IF(AND('Incremental Repayments'!$R$25="Pay-Go",AM$31&gt;0),(AM$31*'Incremental Repayments'!$I$25)/'LPP Act Financing Plan (3)'!AM$7,0)</f>
        <v>5256.8442091666238</v>
      </c>
      <c r="AN47" s="763">
        <f>IF(AND('Incremental Repayments'!$R$25="Pay-Go",AN$31&gt;0),(AN$31*'Incremental Repayments'!$I$25)/'LPP Act Financing Plan (3)'!AN$7,0)</f>
        <v>3175.8652169863835</v>
      </c>
      <c r="AO47" s="763">
        <f>IF(AND('Incremental Repayments'!$R$25="Pay-Go",AO$31&gt;0),(AO$31*'Incremental Repayments'!$I$25)/'LPP Act Financing Plan (3)'!AO$7,0)</f>
        <v>1781.1934063298488</v>
      </c>
      <c r="AP47" s="763">
        <f>IF(AND('Incremental Repayments'!$R$25="Pay-Go",AP$31&gt;0),(AP$31*'Incremental Repayments'!$I$25)/'LPP Act Financing Plan (3)'!AP$7,0)</f>
        <v>920.80449025882638</v>
      </c>
      <c r="AQ47" s="763">
        <f>IF(AND('Incremental Repayments'!$R$25="Pay-Go",AQ$31&gt;0),(AQ$31*'Incremental Repayments'!$I$25)/'LPP Act Financing Plan (3)'!AQ$7,0)</f>
        <v>434.9347169018402</v>
      </c>
      <c r="AR47" s="763">
        <f>IF(AND('Incremental Repayments'!$R$25="Pay-Go",AR$31&gt;0),(AR$31*'Incremental Repayments'!$I$25)/'LPP Act Financing Plan (3)'!AR$7,0)</f>
        <v>185.67456636567312</v>
      </c>
      <c r="AS47" s="763">
        <f>IF(AND('Incremental Repayments'!$R$25="Pay-Go",AS$31&gt;0),(AS$31*'Incremental Repayments'!$I$25)/'LPP Act Financing Plan (3)'!AS$7,0)</f>
        <v>70.658953880953121</v>
      </c>
      <c r="AT47" s="763">
        <f>IF(AND('Incremental Repayments'!$R$25="Pay-Go",AT$31&gt;0),(AT$31*'Incremental Repayments'!$I$25)/'LPP Act Financing Plan (3)'!AT$7,0)</f>
        <v>23.544698297314362</v>
      </c>
      <c r="AU47" s="763">
        <f>IF(AND('Incremental Repayments'!$R$25="Pay-Go",AU$31&gt;0),(AU$31*'Incremental Repayments'!$I$25)/'LPP Act Financing Plan (3)'!AU$7,0)</f>
        <v>6.7060370745945601</v>
      </c>
      <c r="AV47" s="763">
        <f>IF(AND('Incremental Repayments'!$R$25="Pay-Go",AV$31&gt;0),(AV$31*'Incremental Repayments'!$I$25)/'LPP Act Financing Plan (3)'!AV$7,0)</f>
        <v>1.5779537153811032</v>
      </c>
      <c r="AW47" s="763">
        <f>IF(AND('Incremental Repayments'!$R$25="Pay-Go",AW$31&gt;0),(AW$31*'Incremental Repayments'!$I$25)/'LPP Act Financing Plan (3)'!AW$7,0)</f>
        <v>0.29129027418346853</v>
      </c>
      <c r="AX47" s="763">
        <f>IF(AND('Incremental Repayments'!$R$25="Pay-Go",AX$31&gt;0),(AX$31*'Incremental Repayments'!$I$25)/'LPP Act Financing Plan (3)'!AX$7,0)</f>
        <v>3.8640290794197646E-2</v>
      </c>
      <c r="AY47" s="763">
        <f>IF(AND('Incremental Repayments'!$R$25="Pay-Go",AY$31&gt;0),(AY$31*'Incremental Repayments'!$I$25)/'LPP Act Financing Plan (3)'!AY$7,0)</f>
        <v>3.0681549704684231E-3</v>
      </c>
      <c r="AZ47" s="763">
        <f>IF(AND('Incremental Repayments'!$R$25="Pay-Go",AZ$31&gt;0),(AZ$31*'Incremental Repayments'!$I$25)/'LPP Act Financing Plan (3)'!AZ$7,0)</f>
        <v>7.392224667061483E-5</v>
      </c>
      <c r="BA47" s="763">
        <f>IF(AND('Incremental Repayments'!$R$25="Pay-Go",BA$31&gt;0),(BA$31*'Incremental Repayments'!$I$25)/'LPP Act Financing Plan (3)'!BA$7,0)</f>
        <v>0</v>
      </c>
      <c r="BB47" s="763">
        <f>IF(AND('Incremental Repayments'!$R$25="Pay-Go",BB$31&gt;0),(BB$31*'Incremental Repayments'!$I$25)/'LPP Act Financing Plan (3)'!BB$7,0)</f>
        <v>0</v>
      </c>
      <c r="BC47" s="763">
        <f>IF(AND('Incremental Repayments'!$R$25="Pay-Go",BC$31&gt;0),(BC$31*'Incremental Repayments'!$I$25)/'LPP Act Financing Plan (3)'!BC$7,0)</f>
        <v>0</v>
      </c>
      <c r="BD47" s="763">
        <f>IF(AND('Incremental Repayments'!$R$25="Pay-Go",BD$31&gt;0),(BD$31*'Incremental Repayments'!$I$25)/'LPP Act Financing Plan (3)'!BD$7,0)</f>
        <v>0</v>
      </c>
      <c r="BE47" s="763">
        <f>IF(AND('Incremental Repayments'!$R$25="Pay-Go",BE$31&gt;0),(BE$31*'Incremental Repayments'!$I$25)/'LPP Act Financing Plan (3)'!BE$7,0)</f>
        <v>0</v>
      </c>
      <c r="BF47" s="763">
        <f>IF(AND('Incremental Repayments'!$R$25="Pay-Go",BF$31&gt;0),(BF$31*'Incremental Repayments'!$I$25)/'LPP Act Financing Plan (3)'!BF$7,0)</f>
        <v>0</v>
      </c>
      <c r="BG47" s="763">
        <f>IF(AND('Incremental Repayments'!$R$25="Pay-Go",BG$31&gt;0),(BG$31*'Incremental Repayments'!$I$25)/'LPP Act Financing Plan (3)'!BG$7,0)</f>
        <v>0</v>
      </c>
      <c r="BH47" s="763">
        <f>IF(AND('Incremental Repayments'!$R$25="Pay-Go",BH$31&gt;0),(BH$31*'Incremental Repayments'!$I$25)/'LPP Act Financing Plan (3)'!BH$7,0)</f>
        <v>0</v>
      </c>
      <c r="BI47" s="763">
        <f>IF(AND('Incremental Repayments'!$R$25="Pay-Go",BI$31&gt;0),(BI$31*'Incremental Repayments'!$I$25)/'LPP Act Financing Plan (3)'!BI$7,0)</f>
        <v>0</v>
      </c>
      <c r="BJ47" s="763">
        <f>IF(AND('Incremental Repayments'!$R$25="Pay-Go",BJ$31&gt;0),(BJ$31*'Incremental Repayments'!$I$25)/'LPP Act Financing Plan (3)'!BJ$7,0)</f>
        <v>0</v>
      </c>
      <c r="BK47" s="763">
        <f>IF(AND('Incremental Repayments'!$R$25="Pay-Go",BK$31&gt;0),(BK$31*'Incremental Repayments'!$I$25)/'LPP Act Financing Plan (3)'!BK$7,0)</f>
        <v>0</v>
      </c>
      <c r="BL47" s="763">
        <f>IF(AND('Incremental Repayments'!$R$25="Pay-Go",BL$31&gt;0),(BL$31*'Incremental Repayments'!$I$25)/'LPP Act Financing Plan (3)'!BL$7,0)</f>
        <v>0</v>
      </c>
      <c r="BM47" s="763">
        <f>IF(AND('Incremental Repayments'!$R$25="Pay-Go",BM$31&gt;0),(BM$31*'Incremental Repayments'!$I$25)/'LPP Act Financing Plan (3)'!BM$7,0)</f>
        <v>0</v>
      </c>
      <c r="BN47" s="763">
        <f>IF(AND('Incremental Repayments'!$R$25="Pay-Go",BN$31&gt;0),(BN$31*'Incremental Repayments'!$I$25)/'LPP Act Financing Plan (3)'!BN$7,0)</f>
        <v>0</v>
      </c>
      <c r="BO47" s="763">
        <f>IF(AND('Incremental Repayments'!$R$25="Pay-Go",BO$31&gt;0),(BO$31*'Incremental Repayments'!$I$25)/'LPP Act Financing Plan (3)'!BO$7,0)</f>
        <v>0</v>
      </c>
      <c r="BP47" s="763">
        <f>IF(AND('Incremental Repayments'!$R$25="Pay-Go",BP$31&gt;0),(BP$31*'Incremental Repayments'!$I$25)/'LPP Act Financing Plan (3)'!BP$7,0)</f>
        <v>0</v>
      </c>
      <c r="BQ47" s="763">
        <f>IF(AND('Incremental Repayments'!$R$25="Pay-Go",BQ$31&gt;0),(BQ$31*'Incremental Repayments'!$I$25)/'LPP Act Financing Plan (3)'!BQ$7,0)</f>
        <v>0</v>
      </c>
      <c r="BR47" s="763">
        <f>IF(AND('Incremental Repayments'!$R$25="Pay-Go",BR$31&gt;0),(BR$31*'Incremental Repayments'!$I$25)/'LPP Act Financing Plan (3)'!BR$7,0)</f>
        <v>0</v>
      </c>
      <c r="BS47" s="763">
        <f>IF(AND('Incremental Repayments'!$R$25="Pay-Go",BS$31&gt;0),(BS$31*'Incremental Repayments'!$I$25)/'LPP Act Financing Plan (3)'!BS$7,0)</f>
        <v>0</v>
      </c>
      <c r="BT47" s="763">
        <f>IF(AND('Incremental Repayments'!$R$25="Pay-Go",BT$31&gt;0),(BT$31*'Incremental Repayments'!$I$25)/'LPP Act Financing Plan (3)'!BT$7,0)</f>
        <v>0</v>
      </c>
      <c r="BU47" s="763">
        <f>IF(AND('Incremental Repayments'!$R$25="Pay-Go",BU$31&gt;0),(BU$31*'Incremental Repayments'!$I$25)/'LPP Act Financing Plan (3)'!BU$7,0)</f>
        <v>0</v>
      </c>
      <c r="BV47" s="763">
        <f>IF(AND('Incremental Repayments'!$R$25="Pay-Go",BV$31&gt;0),(BV$31*'Incremental Repayments'!$I$25)/'LPP Act Financing Plan (3)'!BV$7,0)</f>
        <v>0</v>
      </c>
      <c r="BW47" s="763">
        <f>IF(AND('Incremental Repayments'!$R$25="Pay-Go",BW$31&gt;0),(BW$31*'Incremental Repayments'!$I$25)/'LPP Act Financing Plan (3)'!BW$7,0)</f>
        <v>0</v>
      </c>
      <c r="BX47" s="763">
        <f>IF(AND('Incremental Repayments'!$R$25="Pay-Go",BX$31&gt;0),(BX$31*'Incremental Repayments'!$I$25)/'LPP Act Financing Plan (3)'!BX$7,0)</f>
        <v>0</v>
      </c>
      <c r="BY47" s="763">
        <f>IF(AND('Incremental Repayments'!$R$25="Pay-Go",BY$31&gt;0),(BY$31*'Incremental Repayments'!$I$25)/'LPP Act Financing Plan (3)'!BY$7,0)</f>
        <v>0</v>
      </c>
      <c r="BZ47" s="763">
        <f>IF(AND('Incremental Repayments'!$R$25="Pay-Go",BZ$31&gt;0),(BZ$31*'Incremental Repayments'!$I$25)/'LPP Act Financing Plan (3)'!BZ$7,0)</f>
        <v>0</v>
      </c>
      <c r="CA47" s="763">
        <f>IF(AND('Incremental Repayments'!$R$25="Pay-Go",CA$31&gt;0),(CA$31*'Incremental Repayments'!$I$25)/'LPP Act Financing Plan (3)'!CA$7,0)</f>
        <v>0</v>
      </c>
      <c r="CB47" s="763">
        <f>IF(AND('Incremental Repayments'!$R$25="Pay-Go",CB$31&gt;0),(CB$31*'Incremental Repayments'!$I$25)/'LPP Act Financing Plan (3)'!CB$7,0)</f>
        <v>0</v>
      </c>
      <c r="CC47" s="763">
        <f>IF(AND('Incremental Repayments'!$R$25="Pay-Go",CC$31&gt;0),(CC$31*'Incremental Repayments'!$I$25)/'LPP Act Financing Plan (3)'!CC$7,0)</f>
        <v>0</v>
      </c>
      <c r="CD47" s="763">
        <f>IF(AND('Incremental Repayments'!$R$25="Pay-Go",CD$31&gt;0),(CD$31*'Incremental Repayments'!$I$25)/'LPP Act Financing Plan (3)'!CD$7,0)</f>
        <v>0</v>
      </c>
      <c r="CE47" s="763">
        <f>IF(AND('Incremental Repayments'!$R$25="Pay-Go",CE$31&gt;0),(CE$31*'Incremental Repayments'!$I$25)/'LPP Act Financing Plan (3)'!CE$7,0)</f>
        <v>0</v>
      </c>
      <c r="CF47" s="763">
        <f>IF(AND('Incremental Repayments'!$R$25="Pay-Go",CF$31&gt;0),(CF$31*'Incremental Repayments'!$I$25)/'LPP Act Financing Plan (3)'!CF$7,0)</f>
        <v>0</v>
      </c>
      <c r="CG47" s="763">
        <f>IF(AND('Incremental Repayments'!$R$25="Pay-Go",CG$31&gt;0),(CG$31*'Incremental Repayments'!$I$25)/'LPP Act Financing Plan (3)'!CG$7,0)</f>
        <v>0</v>
      </c>
      <c r="CH47" s="763">
        <f>IF(AND('Incremental Repayments'!$R$25="Pay-Go",CH$31&gt;0),(CH$31*'Incremental Repayments'!$I$25)/'LPP Act Financing Plan (3)'!CH$7,0)</f>
        <v>0</v>
      </c>
      <c r="CI47" s="763">
        <f>IF(AND('Incremental Repayments'!$R$25="Pay-Go",CI$31&gt;0),(CI$31*'Incremental Repayments'!$I$25)/'LPP Act Financing Plan (3)'!CI$7,0)</f>
        <v>0</v>
      </c>
      <c r="CJ47" s="763">
        <f>IF(AND('Incremental Repayments'!$R$25="Pay-Go",CJ$31&gt;0),(CJ$31*'Incremental Repayments'!$I$25)/'LPP Act Financing Plan (3)'!CJ$7,0)</f>
        <v>0</v>
      </c>
      <c r="CK47" s="763">
        <f>IF(AND('Incremental Repayments'!$R$25="Pay-Go",CK$31&gt;0),(CK$31*'Incremental Repayments'!$I$25)/'LPP Act Financing Plan (3)'!CK$7,0)</f>
        <v>0</v>
      </c>
      <c r="CL47" s="763">
        <f>IF(AND('Incremental Repayments'!$R$25="Pay-Go",CL$31&gt;0),(CL$31*'Incremental Repayments'!$I$25)/'LPP Act Financing Plan (3)'!CL$7,0)</f>
        <v>0</v>
      </c>
      <c r="CM47" s="763">
        <f>IF(AND('Incremental Repayments'!$R$25="Pay-Go",CM$31&gt;0),(CM$31*'Incremental Repayments'!$I$25)/'LPP Act Financing Plan (3)'!CM$7,0)</f>
        <v>0</v>
      </c>
      <c r="CN47" s="763">
        <f>IF(AND('Incremental Repayments'!$R$25="Pay-Go",CN$31&gt;0),(CN$31*'Incremental Repayments'!$I$25)/'LPP Act Financing Plan (3)'!CN$7,0)</f>
        <v>0</v>
      </c>
      <c r="CO47" s="763">
        <f>IF(AND('Incremental Repayments'!$R$25="Pay-Go",CO$31&gt;0),(CO$31*'Incremental Repayments'!$I$25)/'LPP Act Financing Plan (3)'!CO$7,0)</f>
        <v>0</v>
      </c>
      <c r="CP47" s="763">
        <f>IF(AND('Incremental Repayments'!$R$25="Pay-Go",CP$31&gt;0),(CP$31*'Incremental Repayments'!$I$25)/'LPP Act Financing Plan (3)'!CP$7,0)</f>
        <v>0</v>
      </c>
      <c r="CQ47" s="763">
        <f>IF(AND('Incremental Repayments'!$R$25="Pay-Go",CQ$31&gt;0),(CQ$31*'Incremental Repayments'!$I$25)/'LPP Act Financing Plan (3)'!CQ$7,0)</f>
        <v>0</v>
      </c>
      <c r="CR47" s="763">
        <f>IF(AND('Incremental Repayments'!$R$25="Pay-Go",CR$31&gt;0),(CR$31*'Incremental Repayments'!$I$25)/'LPP Act Financing Plan (3)'!CR$7,0)</f>
        <v>0</v>
      </c>
      <c r="CS47" s="763">
        <f>IF(AND('Incremental Repayments'!$R$25="Pay-Go",CS$31&gt;0),(CS$31*'Incremental Repayments'!$I$25)/'LPP Act Financing Plan (3)'!CS$7,0)</f>
        <v>0</v>
      </c>
      <c r="CT47" s="763">
        <f>IF(AND('Incremental Repayments'!$R$25="Pay-Go",CT$31&gt;0),(CT$31*'Incremental Repayments'!$I$25)/'LPP Act Financing Plan (3)'!CT$7,0)</f>
        <v>0</v>
      </c>
      <c r="CU47" s="763">
        <f>IF(AND('Incremental Repayments'!$R$25="Pay-Go",CU$31&gt;0),(CU$31*'Incremental Repayments'!$I$25)/'LPP Act Financing Plan (3)'!CU$7,0)</f>
        <v>0</v>
      </c>
      <c r="CV47" s="763">
        <f>IF(AND('Incremental Repayments'!$R$25="Pay-Go",CV$31&gt;0),(CV$31*'Incremental Repayments'!$I$25)/'LPP Act Financing Plan (3)'!CV$7,0)</f>
        <v>0</v>
      </c>
      <c r="CW47" s="763">
        <f>IF(AND('Incremental Repayments'!$R$25="Pay-Go",CW$31&gt;0),(CW$31*'Incremental Repayments'!$I$25)/'LPP Act Financing Plan (3)'!CW$7,0)</f>
        <v>0</v>
      </c>
      <c r="CX47" s="763">
        <f>IF(AND('Incremental Repayments'!$R$25="Pay-Go",CX$31&gt;0),(CX$31*'Incremental Repayments'!$I$25)/'LPP Act Financing Plan (3)'!CX$7,0)</f>
        <v>0</v>
      </c>
      <c r="CY47" s="763">
        <f>IF(AND('Incremental Repayments'!$R$25="Pay-Go",CY$31&gt;0),(CY$31*'Incremental Repayments'!$I$25)/'LPP Act Financing Plan (3)'!CY$7,0)</f>
        <v>0</v>
      </c>
      <c r="CZ47" s="763">
        <f>IF(AND('Incremental Repayments'!$R$25="Pay-Go",CZ$31&gt;0),(CZ$31*'Incremental Repayments'!$I$25)/'LPP Act Financing Plan (3)'!CZ$7,0)</f>
        <v>0</v>
      </c>
    </row>
    <row r="48" spans="1:104" s="410" customFormat="1" x14ac:dyDescent="0.25">
      <c r="C48" s="410" t="s">
        <v>519</v>
      </c>
      <c r="E48" s="763">
        <f t="shared" ref="E48:BP48" si="40">E47*E7</f>
        <v>0</v>
      </c>
      <c r="F48" s="763">
        <f t="shared" si="40"/>
        <v>0</v>
      </c>
      <c r="G48" s="763">
        <f t="shared" si="40"/>
        <v>0</v>
      </c>
      <c r="H48" s="763">
        <f t="shared" si="40"/>
        <v>0</v>
      </c>
      <c r="I48" s="763">
        <f t="shared" si="40"/>
        <v>0</v>
      </c>
      <c r="J48" s="763">
        <f t="shared" si="40"/>
        <v>0</v>
      </c>
      <c r="K48" s="763">
        <f t="shared" si="40"/>
        <v>0</v>
      </c>
      <c r="L48" s="763">
        <f t="shared" si="40"/>
        <v>0</v>
      </c>
      <c r="M48" s="763">
        <f t="shared" si="40"/>
        <v>0</v>
      </c>
      <c r="N48" s="763">
        <f t="shared" si="40"/>
        <v>0</v>
      </c>
      <c r="O48" s="763">
        <f t="shared" si="40"/>
        <v>0</v>
      </c>
      <c r="P48" s="763">
        <f t="shared" si="40"/>
        <v>0</v>
      </c>
      <c r="Q48" s="763">
        <f t="shared" si="40"/>
        <v>0</v>
      </c>
      <c r="R48" s="763">
        <f t="shared" si="40"/>
        <v>0</v>
      </c>
      <c r="S48" s="763">
        <f t="shared" si="40"/>
        <v>0</v>
      </c>
      <c r="T48" s="763">
        <f t="shared" si="40"/>
        <v>0</v>
      </c>
      <c r="U48" s="763">
        <f t="shared" si="40"/>
        <v>0</v>
      </c>
      <c r="V48" s="763">
        <f t="shared" si="40"/>
        <v>0</v>
      </c>
      <c r="W48" s="763">
        <f t="shared" si="40"/>
        <v>11880148.588141875</v>
      </c>
      <c r="X48" s="763">
        <f t="shared" si="40"/>
        <v>35916557.726515941</v>
      </c>
      <c r="Y48" s="763">
        <f t="shared" si="40"/>
        <v>60721941.080595851</v>
      </c>
      <c r="Z48" s="763">
        <f t="shared" si="40"/>
        <v>84536891.986623988</v>
      </c>
      <c r="AA48" s="763">
        <f t="shared" si="40"/>
        <v>105521651.01652852</v>
      </c>
      <c r="AB48" s="763">
        <f t="shared" si="40"/>
        <v>121981183.43651867</v>
      </c>
      <c r="AC48" s="763">
        <f t="shared" si="40"/>
        <v>132595802.6833152</v>
      </c>
      <c r="AD48" s="763">
        <f t="shared" si="40"/>
        <v>136615731.30945942</v>
      </c>
      <c r="AE48" s="763">
        <f t="shared" si="40"/>
        <v>133979397.86367808</v>
      </c>
      <c r="AF48" s="763">
        <f t="shared" si="40"/>
        <v>125326698.68108128</v>
      </c>
      <c r="AG48" s="763">
        <f t="shared" si="40"/>
        <v>111898567.85296954</v>
      </c>
      <c r="AH48" s="763">
        <f t="shared" si="40"/>
        <v>95338730.829842001</v>
      </c>
      <c r="AI48" s="763">
        <f t="shared" si="40"/>
        <v>77436111.190755293</v>
      </c>
      <c r="AJ48" s="763">
        <f t="shared" si="40"/>
        <v>59860376.584592275</v>
      </c>
      <c r="AK48" s="763">
        <f t="shared" si="40"/>
        <v>43943898.12750832</v>
      </c>
      <c r="AL48" s="763">
        <f t="shared" si="40"/>
        <v>30550192.066768438</v>
      </c>
      <c r="AM48" s="763">
        <f t="shared" si="40"/>
        <v>20045486.417757083</v>
      </c>
      <c r="AN48" s="763">
        <f t="shared" si="40"/>
        <v>12455404.937642613</v>
      </c>
      <c r="AO48" s="763">
        <f t="shared" si="40"/>
        <v>7184741.7682511657</v>
      </c>
      <c r="AP48" s="763">
        <f t="shared" si="40"/>
        <v>3820074.292942944</v>
      </c>
      <c r="AQ48" s="763">
        <f t="shared" si="40"/>
        <v>1855806.7567659724</v>
      </c>
      <c r="AR48" s="763">
        <f t="shared" si="40"/>
        <v>814826.96211944486</v>
      </c>
      <c r="AS48" s="763">
        <f t="shared" si="40"/>
        <v>318921.99501222133</v>
      </c>
      <c r="AT48" s="763">
        <f t="shared" si="40"/>
        <v>109298.62402592052</v>
      </c>
      <c r="AU48" s="763">
        <f t="shared" si="40"/>
        <v>32017.823851928562</v>
      </c>
      <c r="AV48" s="763">
        <f t="shared" si="40"/>
        <v>7748.620964150964</v>
      </c>
      <c r="AW48" s="763">
        <f t="shared" si="40"/>
        <v>1471.1617922827311</v>
      </c>
      <c r="AX48" s="763">
        <f t="shared" si="40"/>
        <v>200.7146789490057</v>
      </c>
      <c r="AY48" s="763">
        <f t="shared" si="40"/>
        <v>16.391561849854877</v>
      </c>
      <c r="AZ48" s="763">
        <f t="shared" si="40"/>
        <v>0.40618370685663974</v>
      </c>
      <c r="BA48" s="763">
        <f t="shared" si="40"/>
        <v>0</v>
      </c>
      <c r="BB48" s="763">
        <f t="shared" si="40"/>
        <v>0</v>
      </c>
      <c r="BC48" s="763">
        <f t="shared" si="40"/>
        <v>0</v>
      </c>
      <c r="BD48" s="763">
        <f t="shared" si="40"/>
        <v>0</v>
      </c>
      <c r="BE48" s="763">
        <f t="shared" si="40"/>
        <v>0</v>
      </c>
      <c r="BF48" s="763">
        <f t="shared" si="40"/>
        <v>0</v>
      </c>
      <c r="BG48" s="763">
        <f t="shared" si="40"/>
        <v>0</v>
      </c>
      <c r="BH48" s="763">
        <f t="shared" si="40"/>
        <v>0</v>
      </c>
      <c r="BI48" s="763">
        <f t="shared" si="40"/>
        <v>0</v>
      </c>
      <c r="BJ48" s="763">
        <f t="shared" si="40"/>
        <v>0</v>
      </c>
      <c r="BK48" s="763">
        <f t="shared" si="40"/>
        <v>0</v>
      </c>
      <c r="BL48" s="763">
        <f t="shared" si="40"/>
        <v>0</v>
      </c>
      <c r="BM48" s="763">
        <f t="shared" si="40"/>
        <v>0</v>
      </c>
      <c r="BN48" s="763">
        <f t="shared" si="40"/>
        <v>0</v>
      </c>
      <c r="BO48" s="763">
        <f t="shared" si="40"/>
        <v>0</v>
      </c>
      <c r="BP48" s="763">
        <f t="shared" si="40"/>
        <v>0</v>
      </c>
      <c r="BQ48" s="763">
        <f t="shared" ref="BQ48:CZ48" si="41">BQ47*BQ7</f>
        <v>0</v>
      </c>
      <c r="BR48" s="763">
        <f t="shared" si="41"/>
        <v>0</v>
      </c>
      <c r="BS48" s="763">
        <f t="shared" si="41"/>
        <v>0</v>
      </c>
      <c r="BT48" s="763">
        <f t="shared" si="41"/>
        <v>0</v>
      </c>
      <c r="BU48" s="763">
        <f t="shared" si="41"/>
        <v>0</v>
      </c>
      <c r="BV48" s="763">
        <f t="shared" si="41"/>
        <v>0</v>
      </c>
      <c r="BW48" s="763">
        <f t="shared" si="41"/>
        <v>0</v>
      </c>
      <c r="BX48" s="763">
        <f t="shared" si="41"/>
        <v>0</v>
      </c>
      <c r="BY48" s="763">
        <f t="shared" si="41"/>
        <v>0</v>
      </c>
      <c r="BZ48" s="763">
        <f t="shared" si="41"/>
        <v>0</v>
      </c>
      <c r="CA48" s="763">
        <f t="shared" si="41"/>
        <v>0</v>
      </c>
      <c r="CB48" s="763">
        <f t="shared" si="41"/>
        <v>0</v>
      </c>
      <c r="CC48" s="763">
        <f t="shared" si="41"/>
        <v>0</v>
      </c>
      <c r="CD48" s="763">
        <f t="shared" si="41"/>
        <v>0</v>
      </c>
      <c r="CE48" s="763">
        <f t="shared" si="41"/>
        <v>0</v>
      </c>
      <c r="CF48" s="763">
        <f t="shared" si="41"/>
        <v>0</v>
      </c>
      <c r="CG48" s="763">
        <f t="shared" si="41"/>
        <v>0</v>
      </c>
      <c r="CH48" s="763">
        <f t="shared" si="41"/>
        <v>0</v>
      </c>
      <c r="CI48" s="763">
        <f t="shared" si="41"/>
        <v>0</v>
      </c>
      <c r="CJ48" s="763">
        <f t="shared" si="41"/>
        <v>0</v>
      </c>
      <c r="CK48" s="763">
        <f t="shared" si="41"/>
        <v>0</v>
      </c>
      <c r="CL48" s="763">
        <f t="shared" si="41"/>
        <v>0</v>
      </c>
      <c r="CM48" s="763">
        <f t="shared" si="41"/>
        <v>0</v>
      </c>
      <c r="CN48" s="763">
        <f t="shared" si="41"/>
        <v>0</v>
      </c>
      <c r="CO48" s="763">
        <f t="shared" si="41"/>
        <v>0</v>
      </c>
      <c r="CP48" s="763">
        <f t="shared" si="41"/>
        <v>0</v>
      </c>
      <c r="CQ48" s="763">
        <f t="shared" si="41"/>
        <v>0</v>
      </c>
      <c r="CR48" s="763">
        <f t="shared" si="41"/>
        <v>0</v>
      </c>
      <c r="CS48" s="763">
        <f t="shared" si="41"/>
        <v>0</v>
      </c>
      <c r="CT48" s="763">
        <f t="shared" si="41"/>
        <v>0</v>
      </c>
      <c r="CU48" s="763">
        <f t="shared" si="41"/>
        <v>0</v>
      </c>
      <c r="CV48" s="763">
        <f t="shared" si="41"/>
        <v>0</v>
      </c>
      <c r="CW48" s="763">
        <f t="shared" si="41"/>
        <v>0</v>
      </c>
      <c r="CX48" s="763">
        <f t="shared" si="41"/>
        <v>0</v>
      </c>
      <c r="CY48" s="763">
        <f t="shared" si="41"/>
        <v>0</v>
      </c>
      <c r="CZ48" s="763">
        <f t="shared" si="41"/>
        <v>0</v>
      </c>
    </row>
    <row r="49" spans="1:104" s="410" customFormat="1" ht="17.25" x14ac:dyDescent="0.4">
      <c r="C49" s="410" t="s">
        <v>516</v>
      </c>
      <c r="E49" s="764">
        <f t="shared" ref="E49:BP49" si="42">IF(E47=0,0,D49+E48)</f>
        <v>0</v>
      </c>
      <c r="F49" s="764">
        <f t="shared" si="42"/>
        <v>0</v>
      </c>
      <c r="G49" s="764">
        <f t="shared" si="42"/>
        <v>0</v>
      </c>
      <c r="H49" s="764">
        <f t="shared" si="42"/>
        <v>0</v>
      </c>
      <c r="I49" s="764">
        <f t="shared" si="42"/>
        <v>0</v>
      </c>
      <c r="J49" s="764">
        <f t="shared" si="42"/>
        <v>0</v>
      </c>
      <c r="K49" s="764">
        <f t="shared" si="42"/>
        <v>0</v>
      </c>
      <c r="L49" s="764">
        <f t="shared" si="42"/>
        <v>0</v>
      </c>
      <c r="M49" s="764">
        <f t="shared" si="42"/>
        <v>0</v>
      </c>
      <c r="N49" s="764">
        <f t="shared" si="42"/>
        <v>0</v>
      </c>
      <c r="O49" s="764">
        <f t="shared" si="42"/>
        <v>0</v>
      </c>
      <c r="P49" s="764">
        <f t="shared" si="42"/>
        <v>0</v>
      </c>
      <c r="Q49" s="764">
        <f t="shared" si="42"/>
        <v>0</v>
      </c>
      <c r="R49" s="764">
        <f t="shared" si="42"/>
        <v>0</v>
      </c>
      <c r="S49" s="764">
        <f t="shared" si="42"/>
        <v>0</v>
      </c>
      <c r="T49" s="764">
        <f t="shared" si="42"/>
        <v>0</v>
      </c>
      <c r="U49" s="764">
        <f t="shared" si="42"/>
        <v>0</v>
      </c>
      <c r="V49" s="764">
        <f t="shared" si="42"/>
        <v>0</v>
      </c>
      <c r="W49" s="764">
        <f t="shared" si="42"/>
        <v>11880148.588141875</v>
      </c>
      <c r="X49" s="764">
        <f t="shared" si="42"/>
        <v>47796706.314657815</v>
      </c>
      <c r="Y49" s="764">
        <f t="shared" si="42"/>
        <v>108518647.39525366</v>
      </c>
      <c r="Z49" s="764">
        <f t="shared" si="42"/>
        <v>193055539.38187766</v>
      </c>
      <c r="AA49" s="764">
        <f t="shared" si="42"/>
        <v>298577190.39840615</v>
      </c>
      <c r="AB49" s="764">
        <f t="shared" si="42"/>
        <v>420558373.83492482</v>
      </c>
      <c r="AC49" s="764">
        <f t="shared" si="42"/>
        <v>553154176.51823997</v>
      </c>
      <c r="AD49" s="764">
        <f t="shared" si="42"/>
        <v>689769907.82769942</v>
      </c>
      <c r="AE49" s="764">
        <f t="shared" si="42"/>
        <v>823749305.69137752</v>
      </c>
      <c r="AF49" s="764">
        <f t="shared" si="42"/>
        <v>949076004.37245882</v>
      </c>
      <c r="AG49" s="764">
        <f t="shared" si="42"/>
        <v>1060974572.2254283</v>
      </c>
      <c r="AH49" s="764">
        <f t="shared" si="42"/>
        <v>1156313303.0552704</v>
      </c>
      <c r="AI49" s="764">
        <f t="shared" si="42"/>
        <v>1233749414.2460258</v>
      </c>
      <c r="AJ49" s="764">
        <f t="shared" si="42"/>
        <v>1293609790.8306181</v>
      </c>
      <c r="AK49" s="764">
        <f t="shared" si="42"/>
        <v>1337553688.9581265</v>
      </c>
      <c r="AL49" s="764">
        <f t="shared" si="42"/>
        <v>1368103881.024895</v>
      </c>
      <c r="AM49" s="764">
        <f t="shared" si="42"/>
        <v>1388149367.442652</v>
      </c>
      <c r="AN49" s="764">
        <f t="shared" si="42"/>
        <v>1400604772.3802946</v>
      </c>
      <c r="AO49" s="764">
        <f t="shared" si="42"/>
        <v>1407789514.1485457</v>
      </c>
      <c r="AP49" s="764">
        <f t="shared" si="42"/>
        <v>1411609588.4414887</v>
      </c>
      <c r="AQ49" s="764">
        <f t="shared" si="42"/>
        <v>1413465395.1982548</v>
      </c>
      <c r="AR49" s="764">
        <f t="shared" si="42"/>
        <v>1414280222.1603742</v>
      </c>
      <c r="AS49" s="764">
        <f t="shared" si="42"/>
        <v>1414599144.1553864</v>
      </c>
      <c r="AT49" s="764">
        <f t="shared" si="42"/>
        <v>1414708442.7794123</v>
      </c>
      <c r="AU49" s="764">
        <f t="shared" si="42"/>
        <v>1414740460.6032641</v>
      </c>
      <c r="AV49" s="764">
        <f t="shared" si="42"/>
        <v>1414748209.2242281</v>
      </c>
      <c r="AW49" s="764">
        <f t="shared" si="42"/>
        <v>1414749680.3860204</v>
      </c>
      <c r="AX49" s="764">
        <f t="shared" si="42"/>
        <v>1414749881.1006994</v>
      </c>
      <c r="AY49" s="764">
        <f t="shared" si="42"/>
        <v>1414749897.4922612</v>
      </c>
      <c r="AZ49" s="764">
        <f t="shared" si="42"/>
        <v>1414749897.8984449</v>
      </c>
      <c r="BA49" s="764">
        <f t="shared" si="42"/>
        <v>0</v>
      </c>
      <c r="BB49" s="764">
        <f t="shared" si="42"/>
        <v>0</v>
      </c>
      <c r="BC49" s="764">
        <f t="shared" si="42"/>
        <v>0</v>
      </c>
      <c r="BD49" s="764">
        <f t="shared" si="42"/>
        <v>0</v>
      </c>
      <c r="BE49" s="764">
        <f t="shared" si="42"/>
        <v>0</v>
      </c>
      <c r="BF49" s="764">
        <f t="shared" si="42"/>
        <v>0</v>
      </c>
      <c r="BG49" s="764">
        <f t="shared" si="42"/>
        <v>0</v>
      </c>
      <c r="BH49" s="764">
        <f t="shared" si="42"/>
        <v>0</v>
      </c>
      <c r="BI49" s="764">
        <f t="shared" si="42"/>
        <v>0</v>
      </c>
      <c r="BJ49" s="764">
        <f t="shared" si="42"/>
        <v>0</v>
      </c>
      <c r="BK49" s="764">
        <f t="shared" si="42"/>
        <v>0</v>
      </c>
      <c r="BL49" s="764">
        <f t="shared" si="42"/>
        <v>0</v>
      </c>
      <c r="BM49" s="764">
        <f t="shared" si="42"/>
        <v>0</v>
      </c>
      <c r="BN49" s="764">
        <f t="shared" si="42"/>
        <v>0</v>
      </c>
      <c r="BO49" s="764">
        <f t="shared" si="42"/>
        <v>0</v>
      </c>
      <c r="BP49" s="764">
        <f t="shared" si="42"/>
        <v>0</v>
      </c>
      <c r="BQ49" s="764">
        <f t="shared" ref="BQ49:CZ49" si="43">IF(BQ47=0,0,BP49+BQ48)</f>
        <v>0</v>
      </c>
      <c r="BR49" s="764">
        <f t="shared" si="43"/>
        <v>0</v>
      </c>
      <c r="BS49" s="764">
        <f t="shared" si="43"/>
        <v>0</v>
      </c>
      <c r="BT49" s="764">
        <f t="shared" si="43"/>
        <v>0</v>
      </c>
      <c r="BU49" s="764">
        <f t="shared" si="43"/>
        <v>0</v>
      </c>
      <c r="BV49" s="764">
        <f t="shared" si="43"/>
        <v>0</v>
      </c>
      <c r="BW49" s="764">
        <f t="shared" si="43"/>
        <v>0</v>
      </c>
      <c r="BX49" s="764">
        <f t="shared" si="43"/>
        <v>0</v>
      </c>
      <c r="BY49" s="764">
        <f t="shared" si="43"/>
        <v>0</v>
      </c>
      <c r="BZ49" s="764">
        <f t="shared" si="43"/>
        <v>0</v>
      </c>
      <c r="CA49" s="764">
        <f t="shared" si="43"/>
        <v>0</v>
      </c>
      <c r="CB49" s="764">
        <f t="shared" si="43"/>
        <v>0</v>
      </c>
      <c r="CC49" s="764">
        <f t="shared" si="43"/>
        <v>0</v>
      </c>
      <c r="CD49" s="764">
        <f t="shared" si="43"/>
        <v>0</v>
      </c>
      <c r="CE49" s="764">
        <f t="shared" si="43"/>
        <v>0</v>
      </c>
      <c r="CF49" s="764">
        <f t="shared" si="43"/>
        <v>0</v>
      </c>
      <c r="CG49" s="764">
        <f t="shared" si="43"/>
        <v>0</v>
      </c>
      <c r="CH49" s="764">
        <f t="shared" si="43"/>
        <v>0</v>
      </c>
      <c r="CI49" s="764">
        <f t="shared" si="43"/>
        <v>0</v>
      </c>
      <c r="CJ49" s="764">
        <f t="shared" si="43"/>
        <v>0</v>
      </c>
      <c r="CK49" s="764">
        <f t="shared" si="43"/>
        <v>0</v>
      </c>
      <c r="CL49" s="764">
        <f t="shared" si="43"/>
        <v>0</v>
      </c>
      <c r="CM49" s="764">
        <f t="shared" si="43"/>
        <v>0</v>
      </c>
      <c r="CN49" s="764">
        <f t="shared" si="43"/>
        <v>0</v>
      </c>
      <c r="CO49" s="764">
        <f t="shared" si="43"/>
        <v>0</v>
      </c>
      <c r="CP49" s="764">
        <f t="shared" si="43"/>
        <v>0</v>
      </c>
      <c r="CQ49" s="764">
        <f t="shared" si="43"/>
        <v>0</v>
      </c>
      <c r="CR49" s="764">
        <f t="shared" si="43"/>
        <v>0</v>
      </c>
      <c r="CS49" s="764">
        <f t="shared" si="43"/>
        <v>0</v>
      </c>
      <c r="CT49" s="764">
        <f t="shared" si="43"/>
        <v>0</v>
      </c>
      <c r="CU49" s="764">
        <f t="shared" si="43"/>
        <v>0</v>
      </c>
      <c r="CV49" s="764">
        <f t="shared" si="43"/>
        <v>0</v>
      </c>
      <c r="CW49" s="764">
        <f t="shared" si="43"/>
        <v>0</v>
      </c>
      <c r="CX49" s="764">
        <f t="shared" si="43"/>
        <v>0</v>
      </c>
      <c r="CY49" s="764">
        <f t="shared" si="43"/>
        <v>0</v>
      </c>
      <c r="CZ49" s="764">
        <f t="shared" si="43"/>
        <v>0</v>
      </c>
    </row>
    <row r="50" spans="1:104" s="410" customFormat="1" x14ac:dyDescent="0.25">
      <c r="C50" s="410" t="s">
        <v>377</v>
      </c>
      <c r="E50" s="763">
        <f t="shared" ref="E50:R50" si="44">E48+E45</f>
        <v>0</v>
      </c>
      <c r="F50" s="763">
        <f t="shared" si="44"/>
        <v>0</v>
      </c>
      <c r="G50" s="763">
        <f t="shared" si="44"/>
        <v>0</v>
      </c>
      <c r="H50" s="763">
        <f t="shared" si="44"/>
        <v>0</v>
      </c>
      <c r="I50" s="763">
        <f t="shared" si="44"/>
        <v>0</v>
      </c>
      <c r="J50" s="763">
        <f t="shared" si="44"/>
        <v>0</v>
      </c>
      <c r="K50" s="763">
        <f t="shared" si="44"/>
        <v>0</v>
      </c>
      <c r="L50" s="763">
        <f t="shared" si="44"/>
        <v>0</v>
      </c>
      <c r="M50" s="763">
        <f t="shared" si="44"/>
        <v>0</v>
      </c>
      <c r="N50" s="763">
        <f t="shared" si="44"/>
        <v>0</v>
      </c>
      <c r="O50" s="763">
        <f t="shared" si="44"/>
        <v>0</v>
      </c>
      <c r="P50" s="763">
        <f t="shared" si="44"/>
        <v>0</v>
      </c>
      <c r="Q50" s="763">
        <f t="shared" si="44"/>
        <v>0</v>
      </c>
      <c r="R50" s="763">
        <f t="shared" si="44"/>
        <v>0</v>
      </c>
      <c r="S50" s="763">
        <f>S48+S45</f>
        <v>0</v>
      </c>
      <c r="T50" s="763">
        <f t="shared" ref="T50:CE50" si="45">T48+T45</f>
        <v>0</v>
      </c>
      <c r="U50" s="763">
        <f t="shared" si="45"/>
        <v>0</v>
      </c>
      <c r="V50" s="763">
        <f t="shared" si="45"/>
        <v>0</v>
      </c>
      <c r="W50" s="763">
        <f t="shared" si="45"/>
        <v>11880148.588141875</v>
      </c>
      <c r="X50" s="763">
        <f t="shared" si="45"/>
        <v>35916557.726515941</v>
      </c>
      <c r="Y50" s="763">
        <f t="shared" si="45"/>
        <v>60721941.080595851</v>
      </c>
      <c r="Z50" s="763">
        <f t="shared" si="45"/>
        <v>84536891.986623988</v>
      </c>
      <c r="AA50" s="763">
        <f t="shared" si="45"/>
        <v>105521651.01652852</v>
      </c>
      <c r="AB50" s="763">
        <f t="shared" si="45"/>
        <v>121981183.43651867</v>
      </c>
      <c r="AC50" s="763">
        <f t="shared" si="45"/>
        <v>132595802.6833152</v>
      </c>
      <c r="AD50" s="763">
        <f t="shared" si="45"/>
        <v>136615731.30945942</v>
      </c>
      <c r="AE50" s="763">
        <f t="shared" si="45"/>
        <v>133979397.86367808</v>
      </c>
      <c r="AF50" s="763">
        <f t="shared" si="45"/>
        <v>125326698.68108128</v>
      </c>
      <c r="AG50" s="763">
        <f t="shared" si="45"/>
        <v>111898567.85296954</v>
      </c>
      <c r="AH50" s="763">
        <f t="shared" si="45"/>
        <v>95338730.829842001</v>
      </c>
      <c r="AI50" s="763">
        <f t="shared" si="45"/>
        <v>77436111.190755293</v>
      </c>
      <c r="AJ50" s="763">
        <f t="shared" si="45"/>
        <v>59860376.584592275</v>
      </c>
      <c r="AK50" s="763">
        <f t="shared" si="45"/>
        <v>43943898.12750832</v>
      </c>
      <c r="AL50" s="763">
        <f t="shared" si="45"/>
        <v>30550192.066768438</v>
      </c>
      <c r="AM50" s="763">
        <f t="shared" si="45"/>
        <v>20045486.417757083</v>
      </c>
      <c r="AN50" s="763">
        <f t="shared" si="45"/>
        <v>12455404.937642613</v>
      </c>
      <c r="AO50" s="763">
        <f t="shared" si="45"/>
        <v>7184741.7682511657</v>
      </c>
      <c r="AP50" s="763">
        <f t="shared" si="45"/>
        <v>3820074.292942944</v>
      </c>
      <c r="AQ50" s="763">
        <f t="shared" si="45"/>
        <v>1855806.7567659724</v>
      </c>
      <c r="AR50" s="763">
        <f t="shared" si="45"/>
        <v>814826.96211944486</v>
      </c>
      <c r="AS50" s="763">
        <f t="shared" si="45"/>
        <v>318921.99501222133</v>
      </c>
      <c r="AT50" s="763">
        <f t="shared" si="45"/>
        <v>109298.62402592052</v>
      </c>
      <c r="AU50" s="763">
        <f t="shared" si="45"/>
        <v>32017.823851928562</v>
      </c>
      <c r="AV50" s="763">
        <f t="shared" si="45"/>
        <v>7748.620964150964</v>
      </c>
      <c r="AW50" s="763">
        <f t="shared" si="45"/>
        <v>1471.1617922827311</v>
      </c>
      <c r="AX50" s="763">
        <f t="shared" si="45"/>
        <v>200.7146789490057</v>
      </c>
      <c r="AY50" s="763">
        <f t="shared" si="45"/>
        <v>16.391561849854877</v>
      </c>
      <c r="AZ50" s="763">
        <f t="shared" si="45"/>
        <v>0.40618370685663974</v>
      </c>
      <c r="BA50" s="763">
        <f t="shared" si="45"/>
        <v>0</v>
      </c>
      <c r="BB50" s="763">
        <f t="shared" si="45"/>
        <v>0</v>
      </c>
      <c r="BC50" s="763">
        <f t="shared" si="45"/>
        <v>0</v>
      </c>
      <c r="BD50" s="763">
        <f t="shared" si="45"/>
        <v>0</v>
      </c>
      <c r="BE50" s="763">
        <f t="shared" si="45"/>
        <v>0</v>
      </c>
      <c r="BF50" s="763">
        <f t="shared" si="45"/>
        <v>0</v>
      </c>
      <c r="BG50" s="763">
        <f t="shared" si="45"/>
        <v>0</v>
      </c>
      <c r="BH50" s="763">
        <f t="shared" si="45"/>
        <v>0</v>
      </c>
      <c r="BI50" s="763">
        <f t="shared" si="45"/>
        <v>0</v>
      </c>
      <c r="BJ50" s="763">
        <f t="shared" si="45"/>
        <v>0</v>
      </c>
      <c r="BK50" s="763">
        <f t="shared" si="45"/>
        <v>0</v>
      </c>
      <c r="BL50" s="763">
        <f t="shared" si="45"/>
        <v>0</v>
      </c>
      <c r="BM50" s="763">
        <f t="shared" si="45"/>
        <v>0</v>
      </c>
      <c r="BN50" s="763">
        <f t="shared" si="45"/>
        <v>0</v>
      </c>
      <c r="BO50" s="763">
        <f t="shared" si="45"/>
        <v>0</v>
      </c>
      <c r="BP50" s="763">
        <f t="shared" si="45"/>
        <v>0</v>
      </c>
      <c r="BQ50" s="763">
        <f t="shared" si="45"/>
        <v>0</v>
      </c>
      <c r="BR50" s="763">
        <f t="shared" si="45"/>
        <v>0</v>
      </c>
      <c r="BS50" s="763">
        <f t="shared" si="45"/>
        <v>0</v>
      </c>
      <c r="BT50" s="763">
        <f t="shared" si="45"/>
        <v>0</v>
      </c>
      <c r="BU50" s="763">
        <f t="shared" si="45"/>
        <v>0</v>
      </c>
      <c r="BV50" s="763">
        <f t="shared" si="45"/>
        <v>0</v>
      </c>
      <c r="BW50" s="763">
        <f t="shared" si="45"/>
        <v>0</v>
      </c>
      <c r="BX50" s="763">
        <f t="shared" si="45"/>
        <v>0</v>
      </c>
      <c r="BY50" s="763">
        <f t="shared" si="45"/>
        <v>0</v>
      </c>
      <c r="BZ50" s="763">
        <f t="shared" si="45"/>
        <v>0</v>
      </c>
      <c r="CA50" s="763">
        <f t="shared" si="45"/>
        <v>0</v>
      </c>
      <c r="CB50" s="763">
        <f t="shared" si="45"/>
        <v>0</v>
      </c>
      <c r="CC50" s="763">
        <f t="shared" si="45"/>
        <v>0</v>
      </c>
      <c r="CD50" s="763">
        <f t="shared" si="45"/>
        <v>0</v>
      </c>
      <c r="CE50" s="763">
        <f t="shared" si="45"/>
        <v>0</v>
      </c>
      <c r="CF50" s="763">
        <f t="shared" ref="CF50:CZ50" si="46">CF48+CF45</f>
        <v>0</v>
      </c>
      <c r="CG50" s="763">
        <f t="shared" si="46"/>
        <v>0</v>
      </c>
      <c r="CH50" s="763">
        <f t="shared" si="46"/>
        <v>0</v>
      </c>
      <c r="CI50" s="763">
        <f t="shared" si="46"/>
        <v>0</v>
      </c>
      <c r="CJ50" s="763">
        <f t="shared" si="46"/>
        <v>0</v>
      </c>
      <c r="CK50" s="763">
        <f t="shared" si="46"/>
        <v>0</v>
      </c>
      <c r="CL50" s="763">
        <f t="shared" si="46"/>
        <v>0</v>
      </c>
      <c r="CM50" s="763">
        <f t="shared" si="46"/>
        <v>0</v>
      </c>
      <c r="CN50" s="763">
        <f t="shared" si="46"/>
        <v>0</v>
      </c>
      <c r="CO50" s="763">
        <f t="shared" si="46"/>
        <v>0</v>
      </c>
      <c r="CP50" s="763">
        <f t="shared" si="46"/>
        <v>0</v>
      </c>
      <c r="CQ50" s="763">
        <f t="shared" si="46"/>
        <v>0</v>
      </c>
      <c r="CR50" s="763">
        <f t="shared" si="46"/>
        <v>0</v>
      </c>
      <c r="CS50" s="763">
        <f t="shared" si="46"/>
        <v>0</v>
      </c>
      <c r="CT50" s="763">
        <f t="shared" si="46"/>
        <v>0</v>
      </c>
      <c r="CU50" s="763">
        <f t="shared" si="46"/>
        <v>0</v>
      </c>
      <c r="CV50" s="763">
        <f t="shared" si="46"/>
        <v>0</v>
      </c>
      <c r="CW50" s="763">
        <f t="shared" si="46"/>
        <v>0</v>
      </c>
      <c r="CX50" s="763">
        <f t="shared" si="46"/>
        <v>0</v>
      </c>
      <c r="CY50" s="763">
        <f t="shared" si="46"/>
        <v>0</v>
      </c>
      <c r="CZ50" s="763">
        <f t="shared" si="46"/>
        <v>0</v>
      </c>
    </row>
    <row r="51" spans="1:104" x14ac:dyDescent="0.25">
      <c r="E51" s="477"/>
      <c r="F51" s="477"/>
      <c r="G51" s="477"/>
      <c r="H51" s="477"/>
      <c r="I51" s="477"/>
      <c r="J51" s="477"/>
      <c r="K51" s="477"/>
      <c r="L51" s="477"/>
      <c r="M51" s="477"/>
      <c r="N51" s="477"/>
      <c r="O51" s="477"/>
      <c r="P51" s="477"/>
      <c r="Q51" s="477"/>
      <c r="R51" s="582">
        <f>R31-R50</f>
        <v>0</v>
      </c>
      <c r="S51" s="581"/>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477"/>
      <c r="CB51" s="477"/>
      <c r="CC51" s="477"/>
      <c r="CD51" s="477"/>
      <c r="CE51" s="477"/>
      <c r="CF51" s="477"/>
      <c r="CG51" s="477"/>
      <c r="CH51" s="477"/>
      <c r="CI51" s="477"/>
      <c r="CJ51" s="477"/>
      <c r="CK51" s="477"/>
      <c r="CL51" s="477"/>
      <c r="CM51" s="477"/>
      <c r="CN51" s="477"/>
      <c r="CO51" s="477"/>
      <c r="CP51" s="477"/>
      <c r="CQ51" s="477"/>
      <c r="CR51" s="477"/>
      <c r="CS51" s="477"/>
      <c r="CT51" s="477"/>
      <c r="CU51" s="477"/>
      <c r="CV51" s="477"/>
      <c r="CW51" s="477"/>
      <c r="CX51" s="477"/>
      <c r="CY51" s="477"/>
      <c r="CZ51" s="477"/>
    </row>
    <row r="52" spans="1:104" x14ac:dyDescent="0.25">
      <c r="A52" s="472" t="s">
        <v>277</v>
      </c>
      <c r="D52" s="781" t="s">
        <v>588</v>
      </c>
      <c r="E52" s="780">
        <f>1/(1+'Interest Rate'!$J$16)^(E4-$E$4)</f>
        <v>1</v>
      </c>
      <c r="F52" s="780">
        <f>1/(1+'Interest Rate'!$J$16)^(F4-$E$4)</f>
        <v>0.95693779904306231</v>
      </c>
      <c r="G52" s="780">
        <f>1/(1+'Interest Rate'!$J$16)^(G4-$E$4)</f>
        <v>0.91572995123738021</v>
      </c>
      <c r="H52" s="780">
        <f>1/(1+'Interest Rate'!$J$16)^(H4-$E$4)</f>
        <v>0.87629660405490928</v>
      </c>
      <c r="I52" s="780">
        <f>1/(1+'Interest Rate'!$J$16)^(I4-$E$4)</f>
        <v>0.83856134359321488</v>
      </c>
      <c r="J52" s="780">
        <f>1/(1+'Interest Rate'!$J$16)^(J4-$E$4)</f>
        <v>0.80245104650068411</v>
      </c>
      <c r="K52" s="780">
        <f>1/(1+'Interest Rate'!$J$16)^(K4-$E$4)</f>
        <v>0.76789573827816682</v>
      </c>
      <c r="L52" s="780">
        <f>1/(1+'Interest Rate'!$J$16)^(L4-$E$4)</f>
        <v>0.73482845768245619</v>
      </c>
      <c r="M52" s="780">
        <f>1/(1+'Interest Rate'!$J$16)^(M4-$E$4)</f>
        <v>0.70318512696885782</v>
      </c>
      <c r="N52" s="780">
        <f>1/(1+'Interest Rate'!$J$16)^(N4-$E$4)</f>
        <v>0.67290442772139514</v>
      </c>
      <c r="O52" s="780">
        <f>1/(1+'Interest Rate'!$J$16)^(O4-$E$4)</f>
        <v>0.64392768203004325</v>
      </c>
      <c r="P52" s="780">
        <f>1/(1+'Interest Rate'!$J$16)^(P4-$E$4)</f>
        <v>0.61619873878473042</v>
      </c>
      <c r="Q52" s="780">
        <f>1/(1+'Interest Rate'!$J$16)^(Q4-$E$4)</f>
        <v>0.58966386486577083</v>
      </c>
      <c r="R52" s="780">
        <f>1/(1+'Interest Rate'!$J$16)^(R4-$E$4)</f>
        <v>0.56427164101987637</v>
      </c>
      <c r="S52" s="780">
        <f>1/(1+'Interest Rate'!$J$16)^(S4-$E$4)</f>
        <v>0.53997286221997753</v>
      </c>
      <c r="T52" s="780">
        <f>1/(1+'Interest Rate'!$J$16)^(T4-$E$4)</f>
        <v>0.51672044231576797</v>
      </c>
      <c r="U52" s="780">
        <f>1/(1+'Interest Rate'!$J$16)^(U4-$E$4)</f>
        <v>0.49446932279020878</v>
      </c>
      <c r="V52" s="780">
        <f>1/(1+'Interest Rate'!$J$16)^(V4-$E$4)</f>
        <v>0.47317638544517582</v>
      </c>
      <c r="W52" s="780">
        <f>1/(1+'Interest Rate'!$J$16)^(W4-$E$4)</f>
        <v>0.45280036884705832</v>
      </c>
      <c r="X52" s="780">
        <f>1/(1+'Interest Rate'!$J$16)^(X4-$E$4)</f>
        <v>0.43330178837039074</v>
      </c>
      <c r="Y52" s="780">
        <f>1/(1+'Interest Rate'!$J$16)^(Y4-$E$4)</f>
        <v>0.41464285968458453</v>
      </c>
      <c r="Z52" s="780">
        <f>1/(1+'Interest Rate'!$J$16)^(Z4-$E$4)</f>
        <v>0.39678742553548757</v>
      </c>
      <c r="AA52" s="780">
        <f>1/(1+'Interest Rate'!$J$16)^(AA4-$E$4)</f>
        <v>0.37970088567989252</v>
      </c>
      <c r="AB52" s="780">
        <f>1/(1+'Interest Rate'!$J$16)^(AB4-$E$4)</f>
        <v>0.36335012983721771</v>
      </c>
      <c r="AC52" s="780">
        <f>1/(1+'Interest Rate'!$J$16)^(AC4-$E$4)</f>
        <v>0.34770347352843806</v>
      </c>
      <c r="AD52" s="780">
        <f>1/(1+'Interest Rate'!$J$16)^(AD4-$E$4)</f>
        <v>0.3327305966779312</v>
      </c>
      <c r="AE52" s="780">
        <f>1/(1+'Interest Rate'!$J$16)^(AE4-$E$4)</f>
        <v>0.31840248485926437</v>
      </c>
      <c r="AF52" s="780">
        <f>1/(1+'Interest Rate'!$J$16)^(AF4-$E$4)</f>
        <v>0.30469137307106642</v>
      </c>
      <c r="AG52" s="780">
        <f>1/(1+'Interest Rate'!$J$16)^(AG4-$E$4)</f>
        <v>0.2915706919340349</v>
      </c>
      <c r="AH52" s="780">
        <f>1/(1+'Interest Rate'!$J$16)^(AH4-$E$4)</f>
        <v>0.27901501620481806</v>
      </c>
      <c r="AI52" s="780">
        <f>1/(1+'Interest Rate'!$J$16)^(AI4-$E$4)</f>
        <v>0.26700001550700303</v>
      </c>
      <c r="AJ52" s="780">
        <f>1/(1+'Interest Rate'!$J$16)^(AJ4-$E$4)</f>
        <v>0.2555024071837349</v>
      </c>
      <c r="AK52" s="780">
        <f>1/(1+'Interest Rate'!$J$16)^(AK4-$E$4)</f>
        <v>0.24449991118060768</v>
      </c>
      <c r="AL52" s="780">
        <f>1/(1+'Interest Rate'!$J$16)^(AL4-$E$4)</f>
        <v>0.23397120687139494</v>
      </c>
      <c r="AM52" s="780">
        <f>1/(1+'Interest Rate'!$J$16)^(AM4-$E$4)</f>
        <v>0.22389589174296168</v>
      </c>
      <c r="AN52" s="780">
        <f>1/(1+'Interest Rate'!$J$16)^(AN4-$E$4)</f>
        <v>0.21425444185929349</v>
      </c>
      <c r="AO52" s="780">
        <f>1/(1+'Interest Rate'!$J$16)^(AO4-$E$4)</f>
        <v>0.20502817402803208</v>
      </c>
      <c r="AP52" s="780">
        <f>1/(1+'Interest Rate'!$J$16)^(AP4-$E$4)</f>
        <v>0.19619920959620296</v>
      </c>
      <c r="AQ52" s="780">
        <f>1/(1+'Interest Rate'!$J$16)^(AQ4-$E$4)</f>
        <v>0.18775043980497894</v>
      </c>
      <c r="AR52" s="780">
        <f>1/(1+'Interest Rate'!$J$16)^(AR4-$E$4)</f>
        <v>0.17966549263634349</v>
      </c>
      <c r="AS52" s="780">
        <f>1/(1+'Interest Rate'!$J$16)^(AS4-$E$4)</f>
        <v>0.17192870108741007</v>
      </c>
      <c r="AT52" s="780">
        <f>1/(1+'Interest Rate'!$J$16)^(AT4-$E$4)</f>
        <v>0.16452507281091874</v>
      </c>
      <c r="AU52" s="780">
        <f>1/(1+'Interest Rate'!$J$16)^(AU4-$E$4)</f>
        <v>0.15744026106308018</v>
      </c>
      <c r="AV52" s="780">
        <f>1/(1+'Interest Rate'!$J$16)^(AV4-$E$4)</f>
        <v>0.15066053690246906</v>
      </c>
      <c r="AW52" s="780">
        <f>1/(1+'Interest Rate'!$J$16)^(AW4-$E$4)</f>
        <v>0.14417276258609482</v>
      </c>
      <c r="AX52" s="780">
        <f>1/(1+'Interest Rate'!$J$16)^(AX4-$E$4)</f>
        <v>0.13796436611109553</v>
      </c>
      <c r="AY52" s="780">
        <f>1/(1+'Interest Rate'!$J$16)^(AY4-$E$4)</f>
        <v>0.132023316852723</v>
      </c>
      <c r="AZ52" s="780">
        <f>1/(1+'Interest Rate'!$J$16)^(AZ4-$E$4)</f>
        <v>0.12633810225140957</v>
      </c>
      <c r="BA52" s="780">
        <f>1/(1+'Interest Rate'!$J$16)^(BA4-$E$4)</f>
        <v>0.12089770550374127</v>
      </c>
      <c r="BB52" s="780">
        <f>1/(1+'Interest Rate'!$J$16)^(BB4-$E$4)</f>
        <v>0.11569158421410647</v>
      </c>
      <c r="BC52" s="780">
        <f>1/(1+'Interest Rate'!$J$16)^(BC4-$E$4)</f>
        <v>0.11070964996565215</v>
      </c>
      <c r="BD52" s="780">
        <f>1/(1+'Interest Rate'!$J$16)^(BD4-$E$4)</f>
        <v>0.10594224877095899</v>
      </c>
      <c r="BE52" s="780">
        <f>1/(1+'Interest Rate'!$J$16)^(BE4-$E$4)</f>
        <v>0.10138014236455409</v>
      </c>
      <c r="BF52" s="780">
        <f>1/(1+'Interest Rate'!$J$16)^(BF4-$E$4)</f>
        <v>9.7014490301008685E-2</v>
      </c>
      <c r="BG52" s="780">
        <f>1/(1+'Interest Rate'!$J$16)^(BG4-$E$4)</f>
        <v>9.2836832823931792E-2</v>
      </c>
      <c r="BH52" s="780">
        <f>1/(1+'Interest Rate'!$J$16)^(BH4-$E$4)</f>
        <v>8.8839074472661997E-2</v>
      </c>
      <c r="BI52" s="780">
        <f>1/(1+'Interest Rate'!$J$16)^(BI4-$E$4)</f>
        <v>8.5013468394891878E-2</v>
      </c>
      <c r="BJ52" s="780">
        <f>1/(1+'Interest Rate'!$J$16)^(BJ4-$E$4)</f>
        <v>8.1352601334824776E-2</v>
      </c>
      <c r="BK52" s="780">
        <f>1/(1+'Interest Rate'!$J$16)^(BK4-$E$4)</f>
        <v>7.7849379267774924E-2</v>
      </c>
      <c r="BL52" s="780">
        <f>1/(1+'Interest Rate'!$J$16)^(BL4-$E$4)</f>
        <v>7.4497013653373134E-2</v>
      </c>
      <c r="BM52" s="780">
        <f>1/(1+'Interest Rate'!$J$16)^(BM4-$E$4)</f>
        <v>7.1289008280739849E-2</v>
      </c>
      <c r="BN52" s="780">
        <f>1/(1+'Interest Rate'!$J$16)^(BN4-$E$4)</f>
        <v>6.8219146680133819E-2</v>
      </c>
      <c r="BO52" s="780">
        <f>1/(1+'Interest Rate'!$J$16)^(BO4-$E$4)</f>
        <v>6.5281480076683107E-2</v>
      </c>
      <c r="BP52" s="780">
        <f>1/(1+'Interest Rate'!$J$16)^(BP4-$E$4)</f>
        <v>6.2470315862854633E-2</v>
      </c>
      <c r="BQ52" s="780">
        <f>1/(1+'Interest Rate'!$J$16)^(BQ4-$E$4)</f>
        <v>5.9780206567325044E-2</v>
      </c>
      <c r="BR52" s="780">
        <f>1/(1+'Interest Rate'!$J$16)^(BR4-$E$4)</f>
        <v>5.7205939298875637E-2</v>
      </c>
      <c r="BS52" s="780">
        <f>1/(1+'Interest Rate'!$J$16)^(BS4-$E$4)</f>
        <v>5.4742525644857085E-2</v>
      </c>
      <c r="BT52" s="780">
        <f>1/(1+'Interest Rate'!$J$16)^(BT4-$E$4)</f>
        <v>5.2385192004647925E-2</v>
      </c>
      <c r="BU52" s="780">
        <f>1/(1+'Interest Rate'!$J$16)^(BU4-$E$4)</f>
        <v>5.0129370339376013E-2</v>
      </c>
      <c r="BV52" s="780">
        <f>1/(1+'Interest Rate'!$J$16)^(BV4-$E$4)</f>
        <v>4.7970689319977049E-2</v>
      </c>
      <c r="BW52" s="780">
        <f>1/(1+'Interest Rate'!$J$16)^(BW4-$E$4)</f>
        <v>4.5904965856437378E-2</v>
      </c>
      <c r="BX52" s="780">
        <f>1/(1+'Interest Rate'!$J$16)^(BX4-$E$4)</f>
        <v>4.3928196991806105E-2</v>
      </c>
      <c r="BY52" s="780">
        <f>1/(1+'Interest Rate'!$J$16)^(BY4-$E$4)</f>
        <v>4.203655214526901E-2</v>
      </c>
      <c r="BZ52" s="780">
        <f>1/(1+'Interest Rate'!$J$16)^(BZ4-$E$4)</f>
        <v>4.0226365689252648E-2</v>
      </c>
      <c r="CA52" s="780">
        <f>1/(1+'Interest Rate'!$J$16)^(CA4-$E$4)</f>
        <v>3.8494129846174785E-2</v>
      </c>
      <c r="CB52" s="780">
        <f>1/(1+'Interest Rate'!$J$16)^(CB4-$E$4)</f>
        <v>3.6836487891076353E-2</v>
      </c>
      <c r="CC52" s="780">
        <f>1/(1+'Interest Rate'!$J$16)^(CC4-$E$4)</f>
        <v>3.525022764696302E-2</v>
      </c>
      <c r="CD52" s="780">
        <f>1/(1+'Interest Rate'!$J$16)^(CD4-$E$4)</f>
        <v>3.3732275260251694E-2</v>
      </c>
      <c r="CE52" s="780">
        <f>1/(1+'Interest Rate'!$J$16)^(CE4-$E$4)</f>
        <v>3.2279689244260001E-2</v>
      </c>
      <c r="CF52" s="780">
        <f>1/(1+'Interest Rate'!$J$16)^(CF4-$E$4)</f>
        <v>3.0889654779196175E-2</v>
      </c>
      <c r="CG52" s="780">
        <f>1/(1+'Interest Rate'!$J$16)^(CG4-$E$4)</f>
        <v>2.9559478257604004E-2</v>
      </c>
      <c r="CH52" s="780">
        <f>1/(1+'Interest Rate'!$J$16)^(CH4-$E$4)</f>
        <v>2.8286582064692829E-2</v>
      </c>
      <c r="CI52" s="780">
        <f>1/(1+'Interest Rate'!$J$16)^(CI4-$E$4)</f>
        <v>2.7068499583438117E-2</v>
      </c>
      <c r="CJ52" s="780">
        <f>1/(1+'Interest Rate'!$J$16)^(CJ4-$E$4)</f>
        <v>2.5902870414773321E-2</v>
      </c>
      <c r="CK52" s="780">
        <f>1/(1+'Interest Rate'!$J$16)^(CK4-$E$4)</f>
        <v>2.4787435803610838E-2</v>
      </c>
      <c r="CL52" s="780">
        <f>1/(1+'Interest Rate'!$J$16)^(CL4-$E$4)</f>
        <v>2.3720034261828553E-2</v>
      </c>
      <c r="CM52" s="780">
        <f>1/(1+'Interest Rate'!$J$16)^(CM4-$E$4)</f>
        <v>2.2698597379740247E-2</v>
      </c>
      <c r="CN52" s="780">
        <f>1/(1+'Interest Rate'!$J$16)^(CN4-$E$4)</f>
        <v>2.172114581793325E-2</v>
      </c>
      <c r="CO52" s="780">
        <f>1/(1+'Interest Rate'!$J$16)^(CO4-$E$4)</f>
        <v>2.0785785471706463E-2</v>
      </c>
      <c r="CP52" s="780">
        <f>1/(1+'Interest Rate'!$J$16)^(CP4-$E$4)</f>
        <v>1.9890703800676042E-2</v>
      </c>
      <c r="CQ52" s="780">
        <f>1/(1+'Interest Rate'!$J$16)^(CQ4-$E$4)</f>
        <v>1.903416631643641E-2</v>
      </c>
      <c r="CR52" s="780">
        <f>1/(1+'Interest Rate'!$J$16)^(CR4-$E$4)</f>
        <v>1.8214513221470247E-2</v>
      </c>
      <c r="CS52" s="780">
        <f>1/(1+'Interest Rate'!$J$16)^(CS4-$E$4)</f>
        <v>1.7430156192794501E-2</v>
      </c>
      <c r="CT52" s="780">
        <f>1/(1+'Interest Rate'!$J$16)^(CT4-$E$4)</f>
        <v>1.6679575304109566E-2</v>
      </c>
      <c r="CU52" s="780">
        <f>1/(1+'Interest Rate'!$J$16)^(CU4-$E$4)</f>
        <v>1.596131608048763E-2</v>
      </c>
      <c r="CV52" s="780">
        <f>1/(1+'Interest Rate'!$J$16)^(CV4-$E$4)</f>
        <v>1.5273986679892465E-2</v>
      </c>
      <c r="CW52" s="780">
        <f>1/(1+'Interest Rate'!$J$16)^(CW4-$E$4)</f>
        <v>1.4616255196069352E-2</v>
      </c>
      <c r="CX52" s="780">
        <f>1/(1+'Interest Rate'!$J$16)^(CX4-$E$4)</f>
        <v>1.3986847077578331E-2</v>
      </c>
      <c r="CY52" s="780">
        <f>1/(1+'Interest Rate'!$J$16)^(CY4-$E$4)</f>
        <v>1.3384542657969695E-2</v>
      </c>
      <c r="CZ52" s="780">
        <f>1/(1+'Interest Rate'!$J$16)^(CZ4-$E$4)</f>
        <v>1.2808174792315498E-2</v>
      </c>
    </row>
    <row r="53" spans="1:104" x14ac:dyDescent="0.25">
      <c r="B53" s="480" t="str">
        <f>CONCATENATE("Series ",'Economist Prepay (Plan 2)'!I16,"A Bonds, Initial Capital Payment (at ",'Interest Rate'!$J$16*100,"% Interest)")</f>
        <v>Series 2025A Bonds, Initial Capital Payment (at 4.5% Interest)</v>
      </c>
      <c r="C53" s="480"/>
      <c r="D53" s="480"/>
      <c r="E53" s="783">
        <f>IF(AND('Initial Capital Payment'!$C$14="Debt",
E4&lt;('Initial Capital Payment'!$C$12+'Initial Capital Payment'!$F$7),
E4&gt;='Initial Capital Payment'!$C$12),
-PMT('Interest Rate'!$J$16,'Initial Capital Payment'!$F$7,'Initial Capital Payment'!$C$10),0)</f>
        <v>3069577.1454296578</v>
      </c>
      <c r="F53" s="783">
        <f>IF(AND('Initial Capital Payment'!$C$14="Debt",
F4&lt;('Initial Capital Payment'!$C$12+'Initial Capital Payment'!$F$7),
F4&gt;='Initial Capital Payment'!$C$12),
-PMT('Interest Rate'!$J$16,'Initial Capital Payment'!$F$7,'Initial Capital Payment'!$C$10),0)</f>
        <v>3069577.1454296578</v>
      </c>
      <c r="G53" s="783">
        <f>IF(AND('Initial Capital Payment'!$C$14="Debt",
G4&lt;('Initial Capital Payment'!$C$12+'Initial Capital Payment'!$F$7),
G4&gt;='Initial Capital Payment'!$C$12),
-PMT('Interest Rate'!$J$16,'Initial Capital Payment'!$F$7,'Initial Capital Payment'!$C$10),0)</f>
        <v>3069577.1454296578</v>
      </c>
      <c r="H53" s="783">
        <f>IF(AND('Initial Capital Payment'!$C$14="Debt",
H4&lt;('Initial Capital Payment'!$C$12+'Initial Capital Payment'!$F$7),
H4&gt;='Initial Capital Payment'!$C$12),
-PMT('Interest Rate'!$J$16,'Initial Capital Payment'!$F$7,'Initial Capital Payment'!$C$10),0)</f>
        <v>3069577.1454296578</v>
      </c>
      <c r="I53" s="783">
        <f>IF(AND('Initial Capital Payment'!$C$14="Debt",
I4&lt;('Initial Capital Payment'!$C$12+'Initial Capital Payment'!$F$7),
I4&gt;='Initial Capital Payment'!$C$12),
-PMT('Interest Rate'!$J$16,'Initial Capital Payment'!$F$7,'Initial Capital Payment'!$C$10),0)</f>
        <v>3069577.1454296578</v>
      </c>
      <c r="J53" s="783">
        <f>IF(AND('Initial Capital Payment'!$C$14="Debt",
J4&lt;('Initial Capital Payment'!$C$12+'Initial Capital Payment'!$F$7),
J4&gt;='Initial Capital Payment'!$C$12),
-PMT('Interest Rate'!$J$16,'Initial Capital Payment'!$F$7,'Initial Capital Payment'!$C$10),0)</f>
        <v>3069577.1454296578</v>
      </c>
      <c r="K53" s="783">
        <f>IF(AND('Initial Capital Payment'!$C$14="Debt",
K4&lt;('Initial Capital Payment'!$C$12+'Initial Capital Payment'!$F$7),
K4&gt;='Initial Capital Payment'!$C$12),
-PMT('Interest Rate'!$J$16,'Initial Capital Payment'!$F$7,'Initial Capital Payment'!$C$10),0)</f>
        <v>3069577.1454296578</v>
      </c>
      <c r="L53" s="783">
        <f>IF(AND('Initial Capital Payment'!$C$14="Debt",
L4&lt;('Initial Capital Payment'!$C$12+'Initial Capital Payment'!$F$7),
L4&gt;='Initial Capital Payment'!$C$12),
-PMT('Interest Rate'!$J$16,'Initial Capital Payment'!$F$7,'Initial Capital Payment'!$C$10),0)</f>
        <v>3069577.1454296578</v>
      </c>
      <c r="M53" s="783">
        <f>IF(AND('Initial Capital Payment'!$C$14="Debt",
M4&lt;('Initial Capital Payment'!$C$12+'Initial Capital Payment'!$F$7),
M4&gt;='Initial Capital Payment'!$C$12),
-PMT('Interest Rate'!$J$16,'Initial Capital Payment'!$F$7,'Initial Capital Payment'!$C$10),0)</f>
        <v>3069577.1454296578</v>
      </c>
      <c r="N53" s="783">
        <f>IF(AND('Initial Capital Payment'!$C$14="Debt",
N4&lt;('Initial Capital Payment'!$C$12+'Initial Capital Payment'!$F$7),
N4&gt;='Initial Capital Payment'!$C$12),
-PMT('Interest Rate'!$J$16,'Initial Capital Payment'!$F$7,'Initial Capital Payment'!$C$10),0)</f>
        <v>3069577.1454296578</v>
      </c>
      <c r="O53" s="783">
        <f>IF(AND('Initial Capital Payment'!$C$14="Debt",
O4&lt;('Initial Capital Payment'!$C$12+'Initial Capital Payment'!$F$7),
O4&gt;='Initial Capital Payment'!$C$12),
-PMT('Interest Rate'!$J$16,'Initial Capital Payment'!$F$7,'Initial Capital Payment'!$C$10),0)</f>
        <v>3069577.1454296578</v>
      </c>
      <c r="P53" s="783">
        <f>IF(AND('Initial Capital Payment'!$C$14="Debt",
P4&lt;('Initial Capital Payment'!$C$12+'Initial Capital Payment'!$F$7),
P4&gt;='Initial Capital Payment'!$C$12),
-PMT('Interest Rate'!$J$16,'Initial Capital Payment'!$F$7,'Initial Capital Payment'!$C$10),0)</f>
        <v>3069577.1454296578</v>
      </c>
      <c r="Q53" s="783">
        <f>IF(AND('Initial Capital Payment'!$C$14="Debt",
Q4&lt;('Initial Capital Payment'!$C$12+'Initial Capital Payment'!$F$7),
Q4&gt;='Initial Capital Payment'!$C$12),
-PMT('Interest Rate'!$J$16,'Initial Capital Payment'!$F$7,'Initial Capital Payment'!$C$10),0)</f>
        <v>3069577.1454296578</v>
      </c>
      <c r="R53" s="783">
        <f>IF(AND('Initial Capital Payment'!$C$14="Debt",
R4&lt;('Initial Capital Payment'!$C$12+'Initial Capital Payment'!$F$7),
R4&gt;='Initial Capital Payment'!$C$12),
-PMT('Interest Rate'!$J$16,'Initial Capital Payment'!$F$7,'Initial Capital Payment'!$C$10),0)</f>
        <v>3069577.1454296578</v>
      </c>
      <c r="S53" s="783">
        <f>IF(AND('Initial Capital Payment'!$C$14="Debt",
S4&lt;('Initial Capital Payment'!$C$12+'Initial Capital Payment'!$F$7),
S4&gt;='Initial Capital Payment'!$C$12),
-PMT('Interest Rate'!$J$16,'Initial Capital Payment'!$F$7,'Initial Capital Payment'!$C$10),0)</f>
        <v>3069577.1454296578</v>
      </c>
      <c r="T53" s="783">
        <f>IF(AND('Initial Capital Payment'!$C$14="Debt",
T4&lt;('Initial Capital Payment'!$C$12+'Initial Capital Payment'!$F$7),
T4&gt;='Initial Capital Payment'!$C$12),
-PMT('Interest Rate'!$J$16,'Initial Capital Payment'!$F$7,'Initial Capital Payment'!$C$10),0)</f>
        <v>3069577.1454296578</v>
      </c>
      <c r="U53" s="783">
        <f>IF(AND('Initial Capital Payment'!$C$14="Debt",
U4&lt;('Initial Capital Payment'!$C$12+'Initial Capital Payment'!$F$7),
U4&gt;='Initial Capital Payment'!$C$12),
-PMT('Interest Rate'!$J$16,'Initial Capital Payment'!$F$7,'Initial Capital Payment'!$C$10),0)</f>
        <v>3069577.1454296578</v>
      </c>
      <c r="V53" s="783">
        <f>IF(AND('Initial Capital Payment'!$C$14="Debt",
V4&lt;('Initial Capital Payment'!$C$12+'Initial Capital Payment'!$F$7),
V4&gt;='Initial Capital Payment'!$C$12),
-PMT('Interest Rate'!$J$16,'Initial Capital Payment'!$F$7,'Initial Capital Payment'!$C$10),0)</f>
        <v>3069577.1454296578</v>
      </c>
      <c r="W53" s="783">
        <f>IF(AND('Initial Capital Payment'!$C$14="Debt",
W4&lt;('Initial Capital Payment'!$C$12+'Initial Capital Payment'!$F$7),
W4&gt;='Initial Capital Payment'!$C$12),
-PMT('Interest Rate'!$J$16,'Initial Capital Payment'!$F$7,'Initial Capital Payment'!$C$10),0)</f>
        <v>3069577.1454296578</v>
      </c>
      <c r="X53" s="783">
        <f>IF(AND('Initial Capital Payment'!$C$14="Debt",
X4&lt;('Initial Capital Payment'!$C$12+'Initial Capital Payment'!$F$7),
X4&gt;='Initial Capital Payment'!$C$12),
-PMT('Interest Rate'!$J$16,'Initial Capital Payment'!$F$7,'Initial Capital Payment'!$C$10),0)</f>
        <v>3069577.1454296578</v>
      </c>
      <c r="Y53" s="783">
        <f>IF(AND('Initial Capital Payment'!$C$14="Debt",
Y4&lt;('Initial Capital Payment'!$C$12+'Initial Capital Payment'!$F$7),
Y4&gt;='Initial Capital Payment'!$C$12),
-PMT('Interest Rate'!$J$16,'Initial Capital Payment'!$F$7,'Initial Capital Payment'!$C$10),0)</f>
        <v>3069577.1454296578</v>
      </c>
      <c r="Z53" s="783">
        <f>IF(AND('Initial Capital Payment'!$C$14="Debt",
Z4&lt;('Initial Capital Payment'!$C$12+'Initial Capital Payment'!$F$7),
Z4&gt;='Initial Capital Payment'!$C$12),
-PMT('Interest Rate'!$J$16,'Initial Capital Payment'!$F$7,'Initial Capital Payment'!$C$10),0)</f>
        <v>3069577.1454296578</v>
      </c>
      <c r="AA53" s="783">
        <f>IF(AND('Initial Capital Payment'!$C$14="Debt",
AA4&lt;('Initial Capital Payment'!$C$12+'Initial Capital Payment'!$F$7),
AA4&gt;='Initial Capital Payment'!$C$12),
-PMT('Interest Rate'!$J$16,'Initial Capital Payment'!$F$7,'Initial Capital Payment'!$C$10),0)</f>
        <v>3069577.1454296578</v>
      </c>
      <c r="AB53" s="783">
        <f>IF(AND('Initial Capital Payment'!$C$14="Debt",
AB4&lt;('Initial Capital Payment'!$C$12+'Initial Capital Payment'!$F$7),
AB4&gt;='Initial Capital Payment'!$C$12),
-PMT('Interest Rate'!$J$16,'Initial Capital Payment'!$F$7,'Initial Capital Payment'!$C$10),0)</f>
        <v>3069577.1454296578</v>
      </c>
      <c r="AC53" s="783">
        <f>IF(AND('Initial Capital Payment'!$C$14="Debt",
AC4&lt;('Initial Capital Payment'!$C$12+'Initial Capital Payment'!$F$7),
AC4&gt;='Initial Capital Payment'!$C$12),
-PMT('Interest Rate'!$J$16,'Initial Capital Payment'!$F$7,'Initial Capital Payment'!$C$10),0)</f>
        <v>3069577.1454296578</v>
      </c>
      <c r="AD53" s="783">
        <f>IF(AND('Initial Capital Payment'!$C$14="Debt",
AD4&lt;('Initial Capital Payment'!$C$12+'Initial Capital Payment'!$F$7),
AD4&gt;='Initial Capital Payment'!$C$12),
-PMT('Interest Rate'!$J$16,'Initial Capital Payment'!$F$7,'Initial Capital Payment'!$C$10),0)</f>
        <v>3069577.1454296578</v>
      </c>
      <c r="AE53" s="783">
        <f>IF(AND('Initial Capital Payment'!$C$14="Debt",
AE4&lt;('Initial Capital Payment'!$C$12+'Initial Capital Payment'!$F$7),
AE4&gt;='Initial Capital Payment'!$C$12),
-PMT('Interest Rate'!$J$16,'Initial Capital Payment'!$F$7,'Initial Capital Payment'!$C$10),0)</f>
        <v>3069577.1454296578</v>
      </c>
      <c r="AF53" s="783">
        <f>IF(AND('Initial Capital Payment'!$C$14="Debt",
AF4&lt;('Initial Capital Payment'!$C$12+'Initial Capital Payment'!$F$7),
AF4&gt;='Initial Capital Payment'!$C$12),
-PMT('Interest Rate'!$J$16,'Initial Capital Payment'!$F$7,'Initial Capital Payment'!$C$10),0)</f>
        <v>3069577.1454296578</v>
      </c>
      <c r="AG53" s="783">
        <f>IF(AND('Initial Capital Payment'!$C$14="Debt",
AG4&lt;('Initial Capital Payment'!$C$12+'Initial Capital Payment'!$F$7),
AG4&gt;='Initial Capital Payment'!$C$12),
-PMT('Interest Rate'!$J$16,'Initial Capital Payment'!$F$7,'Initial Capital Payment'!$C$10),0)</f>
        <v>3069577.1454296578</v>
      </c>
      <c r="AH53" s="783">
        <f>IF(AND('Initial Capital Payment'!$C$14="Debt",
AH4&lt;('Initial Capital Payment'!$C$12+'Initial Capital Payment'!$F$7),
AH4&gt;='Initial Capital Payment'!$C$12),
-PMT('Interest Rate'!$J$16,'Initial Capital Payment'!$F$7,'Initial Capital Payment'!$C$10),0)</f>
        <v>3069577.1454296578</v>
      </c>
      <c r="AI53" s="783">
        <f>IF(AND('Initial Capital Payment'!$C$14="Debt",
AI4&lt;('Initial Capital Payment'!$C$12+'Initial Capital Payment'!$F$7),
AI4&gt;='Initial Capital Payment'!$C$12),
-PMT('Interest Rate'!$J$16,'Initial Capital Payment'!$F$7,'Initial Capital Payment'!$C$10),0)</f>
        <v>0</v>
      </c>
      <c r="AJ53" s="783">
        <f>IF(AND('Initial Capital Payment'!$C$14="Debt",
AJ4&lt;('Initial Capital Payment'!$C$12+'Initial Capital Payment'!$F$7),
AJ4&gt;='Initial Capital Payment'!$C$12),
-PMT('Interest Rate'!$J$16,'Initial Capital Payment'!$F$7,'Initial Capital Payment'!$C$10),0)</f>
        <v>0</v>
      </c>
      <c r="AK53" s="783">
        <f>IF(AND('Initial Capital Payment'!$C$14="Debt",
AK4&lt;('Initial Capital Payment'!$C$12+'Initial Capital Payment'!$F$7),
AK4&gt;='Initial Capital Payment'!$C$12),
-PMT('Interest Rate'!$J$16,'Initial Capital Payment'!$F$7,'Initial Capital Payment'!$C$10),0)</f>
        <v>0</v>
      </c>
      <c r="AL53" s="783">
        <f>IF(AND('Initial Capital Payment'!$C$14="Debt",
AL4&lt;('Initial Capital Payment'!$C$12+'Initial Capital Payment'!$F$7),
AL4&gt;='Initial Capital Payment'!$C$12),
-PMT('Interest Rate'!$J$16,'Initial Capital Payment'!$F$7,'Initial Capital Payment'!$C$10),0)</f>
        <v>0</v>
      </c>
      <c r="AM53" s="783">
        <f>IF(AND('Initial Capital Payment'!$C$14="Debt",
AM4&lt;('Initial Capital Payment'!$C$12+'Initial Capital Payment'!$F$7),
AM4&gt;='Initial Capital Payment'!$C$12),
-PMT('Interest Rate'!$J$16,'Initial Capital Payment'!$F$7,'Initial Capital Payment'!$C$10),0)</f>
        <v>0</v>
      </c>
      <c r="AN53" s="783">
        <f>IF(AND('Initial Capital Payment'!$C$14="Debt",
AN4&lt;('Initial Capital Payment'!$C$12+'Initial Capital Payment'!$F$7),
AN4&gt;='Initial Capital Payment'!$C$12),
-PMT('Interest Rate'!$J$16,'Initial Capital Payment'!$F$7,'Initial Capital Payment'!$C$10),0)</f>
        <v>0</v>
      </c>
      <c r="AO53" s="783">
        <f>IF(AND('Initial Capital Payment'!$C$14="Debt",
AO4&lt;('Initial Capital Payment'!$C$12+'Initial Capital Payment'!$F$7),
AO4&gt;='Initial Capital Payment'!$C$12),
-PMT('Interest Rate'!$J$16,'Initial Capital Payment'!$F$7,'Initial Capital Payment'!$C$10),0)</f>
        <v>0</v>
      </c>
      <c r="AP53" s="783">
        <f>IF(AND('Initial Capital Payment'!$C$14="Debt",
AP4&lt;('Initial Capital Payment'!$C$12+'Initial Capital Payment'!$F$7),
AP4&gt;='Initial Capital Payment'!$C$12),
-PMT('Interest Rate'!$J$16,'Initial Capital Payment'!$F$7,'Initial Capital Payment'!$C$10),0)</f>
        <v>0</v>
      </c>
      <c r="AQ53" s="783">
        <f>IF(AND('Initial Capital Payment'!$C$14="Debt",
AQ4&lt;('Initial Capital Payment'!$C$12+'Initial Capital Payment'!$F$7),
AQ4&gt;='Initial Capital Payment'!$C$12),
-PMT('Interest Rate'!$J$16,'Initial Capital Payment'!$F$7,'Initial Capital Payment'!$C$10),0)</f>
        <v>0</v>
      </c>
      <c r="AR53" s="783">
        <f>IF(AND('Initial Capital Payment'!$C$14="Debt",
AR4&lt;('Initial Capital Payment'!$C$12+'Initial Capital Payment'!$F$7),
AR4&gt;='Initial Capital Payment'!$C$12),
-PMT('Interest Rate'!$J$16,'Initial Capital Payment'!$F$7,'Initial Capital Payment'!$C$10),0)</f>
        <v>0</v>
      </c>
      <c r="AS53" s="783">
        <f>IF(AND('Initial Capital Payment'!$C$14="Debt",
AS4&lt;('Initial Capital Payment'!$C$12+'Initial Capital Payment'!$F$7),
AS4&gt;='Initial Capital Payment'!$C$12),
-PMT('Interest Rate'!$J$16,'Initial Capital Payment'!$F$7,'Initial Capital Payment'!$C$10),0)</f>
        <v>0</v>
      </c>
      <c r="AT53" s="783">
        <f>IF(AND('Initial Capital Payment'!$C$14="Debt",
AT4&lt;('Initial Capital Payment'!$C$12+'Initial Capital Payment'!$F$7),
AT4&gt;='Initial Capital Payment'!$C$12),
-PMT('Interest Rate'!$J$16,'Initial Capital Payment'!$F$7,'Initial Capital Payment'!$C$10),0)</f>
        <v>0</v>
      </c>
      <c r="AU53" s="783">
        <f>IF(AND('Initial Capital Payment'!$C$14="Debt",
AU4&lt;('Initial Capital Payment'!$C$12+'Initial Capital Payment'!$F$7),
AU4&gt;='Initial Capital Payment'!$C$12),
-PMT('Interest Rate'!$J$16,'Initial Capital Payment'!$F$7,'Initial Capital Payment'!$C$10),0)</f>
        <v>0</v>
      </c>
      <c r="AV53" s="783">
        <f>IF(AND('Initial Capital Payment'!$C$14="Debt",
AV4&lt;('Initial Capital Payment'!$C$12+'Initial Capital Payment'!$F$7),
AV4&gt;='Initial Capital Payment'!$C$12),
-PMT('Interest Rate'!$J$16,'Initial Capital Payment'!$F$7,'Initial Capital Payment'!$C$10),0)</f>
        <v>0</v>
      </c>
      <c r="AW53" s="783">
        <f>IF(AND('Initial Capital Payment'!$C$14="Debt",
AW4&lt;('Initial Capital Payment'!$C$12+'Initial Capital Payment'!$F$7),
AW4&gt;='Initial Capital Payment'!$C$12),
-PMT('Interest Rate'!$J$16,'Initial Capital Payment'!$F$7,'Initial Capital Payment'!$C$10),0)</f>
        <v>0</v>
      </c>
      <c r="AX53" s="783">
        <f>IF(AND('Initial Capital Payment'!$C$14="Debt",
AX4&lt;('Initial Capital Payment'!$C$12+'Initial Capital Payment'!$F$7),
AX4&gt;='Initial Capital Payment'!$C$12),
-PMT('Interest Rate'!$J$16,'Initial Capital Payment'!$F$7,'Initial Capital Payment'!$C$10),0)</f>
        <v>0</v>
      </c>
      <c r="AY53" s="783">
        <f>IF(AND('Initial Capital Payment'!$C$14="Debt",
AY4&lt;('Initial Capital Payment'!$C$12+'Initial Capital Payment'!$F$7),
AY4&gt;='Initial Capital Payment'!$C$12),
-PMT('Interest Rate'!$J$16,'Initial Capital Payment'!$F$7,'Initial Capital Payment'!$C$10),0)</f>
        <v>0</v>
      </c>
      <c r="AZ53" s="783">
        <f>IF(AND('Initial Capital Payment'!$C$14="Debt",
AZ4&lt;('Initial Capital Payment'!$C$12+'Initial Capital Payment'!$F$7),
AZ4&gt;='Initial Capital Payment'!$C$12),
-PMT('Interest Rate'!$J$16,'Initial Capital Payment'!$F$7,'Initial Capital Payment'!$C$10),0)</f>
        <v>0</v>
      </c>
      <c r="BA53" s="783">
        <f>IF(AND('Initial Capital Payment'!$C$14="Debt",
BA4&lt;('Initial Capital Payment'!$C$12+'Initial Capital Payment'!$F$7),
BA4&gt;='Initial Capital Payment'!$C$12),
-PMT('Interest Rate'!$J$16,'Initial Capital Payment'!$F$7,'Initial Capital Payment'!$C$10),0)</f>
        <v>0</v>
      </c>
      <c r="BB53" s="783">
        <f>IF(AND('Initial Capital Payment'!$C$14="Debt",
BB4&lt;('Initial Capital Payment'!$C$12+'Initial Capital Payment'!$F$7),
BB4&gt;='Initial Capital Payment'!$C$12),
-PMT('Interest Rate'!$J$16,'Initial Capital Payment'!$F$7,'Initial Capital Payment'!$C$10),0)</f>
        <v>0</v>
      </c>
      <c r="BC53" s="783">
        <f>IF(AND('Initial Capital Payment'!$C$14="Debt",
BC4&lt;('Initial Capital Payment'!$C$12+'Initial Capital Payment'!$F$7),
BC4&gt;='Initial Capital Payment'!$C$12),
-PMT('Interest Rate'!$J$16,'Initial Capital Payment'!$F$7,'Initial Capital Payment'!$C$10),0)</f>
        <v>0</v>
      </c>
      <c r="BD53" s="783">
        <f>IF(AND('Initial Capital Payment'!$C$14="Debt",
BD4&lt;('Initial Capital Payment'!$C$12+'Initial Capital Payment'!$F$7),
BD4&gt;='Initial Capital Payment'!$C$12),
-PMT('Interest Rate'!$J$16,'Initial Capital Payment'!$F$7,'Initial Capital Payment'!$C$10),0)</f>
        <v>0</v>
      </c>
      <c r="BE53" s="783">
        <f>IF(AND('Initial Capital Payment'!$C$14="Debt",
BE4&lt;('Initial Capital Payment'!$C$12+'Initial Capital Payment'!$F$7),
BE4&gt;='Initial Capital Payment'!$C$12),
-PMT('Interest Rate'!$J$16,'Initial Capital Payment'!$F$7,'Initial Capital Payment'!$C$10),0)</f>
        <v>0</v>
      </c>
      <c r="BF53" s="783">
        <f>IF(AND('Initial Capital Payment'!$C$14="Debt",
BF4&lt;('Initial Capital Payment'!$C$12+'Initial Capital Payment'!$F$7),
BF4&gt;='Initial Capital Payment'!$C$12),
-PMT('Interest Rate'!$J$16,'Initial Capital Payment'!$F$7,'Initial Capital Payment'!$C$10),0)</f>
        <v>0</v>
      </c>
      <c r="BG53" s="783">
        <f>IF(AND('Initial Capital Payment'!$C$14="Debt",
BG4&lt;('Initial Capital Payment'!$C$12+'Initial Capital Payment'!$F$7),
BG4&gt;='Initial Capital Payment'!$C$12),
-PMT('Interest Rate'!$J$16,'Initial Capital Payment'!$F$7,'Initial Capital Payment'!$C$10),0)</f>
        <v>0</v>
      </c>
      <c r="BH53" s="783">
        <f>IF(AND('Initial Capital Payment'!$C$14="Debt",
BH4&lt;('Initial Capital Payment'!$C$12+'Initial Capital Payment'!$F$7),
BH4&gt;='Initial Capital Payment'!$C$12),
-PMT('Interest Rate'!$J$16,'Initial Capital Payment'!$F$7,'Initial Capital Payment'!$C$10),0)</f>
        <v>0</v>
      </c>
      <c r="BI53" s="783">
        <f>IF(AND('Initial Capital Payment'!$C$14="Debt",
BI4&lt;('Initial Capital Payment'!$C$12+'Initial Capital Payment'!$F$7),
BI4&gt;='Initial Capital Payment'!$C$12),
-PMT('Interest Rate'!$J$16,'Initial Capital Payment'!$F$7,'Initial Capital Payment'!$C$10),0)</f>
        <v>0</v>
      </c>
      <c r="BJ53" s="783">
        <f>IF(AND('Initial Capital Payment'!$C$14="Debt",
BJ4&lt;('Initial Capital Payment'!$C$12+'Initial Capital Payment'!$F$7),
BJ4&gt;='Initial Capital Payment'!$C$12),
-PMT('Interest Rate'!$J$16,'Initial Capital Payment'!$F$7,'Initial Capital Payment'!$C$10),0)</f>
        <v>0</v>
      </c>
      <c r="BK53" s="783">
        <f>IF(AND('Initial Capital Payment'!$C$14="Debt",
BK4&lt;('Initial Capital Payment'!$C$12+'Initial Capital Payment'!$F$7),
BK4&gt;='Initial Capital Payment'!$C$12),
-PMT('Interest Rate'!$J$16,'Initial Capital Payment'!$F$7,'Initial Capital Payment'!$C$10),0)</f>
        <v>0</v>
      </c>
      <c r="BL53" s="783">
        <f>IF(AND('Initial Capital Payment'!$C$14="Debt",
BL4&lt;('Initial Capital Payment'!$C$12+'Initial Capital Payment'!$F$7),
BL4&gt;='Initial Capital Payment'!$C$12),
-PMT('Interest Rate'!$J$16,'Initial Capital Payment'!$F$7,'Initial Capital Payment'!$C$10),0)</f>
        <v>0</v>
      </c>
      <c r="BM53" s="783">
        <f>IF(AND('Initial Capital Payment'!$C$14="Debt",
BM4&lt;('Initial Capital Payment'!$C$12+'Initial Capital Payment'!$F$7),
BM4&gt;='Initial Capital Payment'!$C$12),
-PMT('Interest Rate'!$J$16,'Initial Capital Payment'!$F$7,'Initial Capital Payment'!$C$10),0)</f>
        <v>0</v>
      </c>
      <c r="BN53" s="783">
        <f>IF(AND('Initial Capital Payment'!$C$14="Debt",
BN4&lt;('Initial Capital Payment'!$C$12+'Initial Capital Payment'!$F$7),
BN4&gt;='Initial Capital Payment'!$C$12),
-PMT('Interest Rate'!$J$16,'Initial Capital Payment'!$F$7,'Initial Capital Payment'!$C$10),0)</f>
        <v>0</v>
      </c>
      <c r="BO53" s="783">
        <f>IF(AND('Initial Capital Payment'!$C$14="Debt",
BO4&lt;('Initial Capital Payment'!$C$12+'Initial Capital Payment'!$F$7),
BO4&gt;='Initial Capital Payment'!$C$12),
-PMT('Interest Rate'!$J$16,'Initial Capital Payment'!$F$7,'Initial Capital Payment'!$C$10),0)</f>
        <v>0</v>
      </c>
      <c r="BP53" s="783">
        <f>IF(AND('Initial Capital Payment'!$C$14="Debt",
BP4&lt;('Initial Capital Payment'!$C$12+'Initial Capital Payment'!$F$7),
BP4&gt;='Initial Capital Payment'!$C$12),
-PMT('Interest Rate'!$J$16,'Initial Capital Payment'!$F$7,'Initial Capital Payment'!$C$10),0)</f>
        <v>0</v>
      </c>
      <c r="BQ53" s="783">
        <f>IF(AND('Initial Capital Payment'!$C$14="Debt",
BQ4&lt;('Initial Capital Payment'!$C$12+'Initial Capital Payment'!$F$7),
BQ4&gt;='Initial Capital Payment'!$C$12),
-PMT('Interest Rate'!$J$16,'Initial Capital Payment'!$F$7,'Initial Capital Payment'!$C$10),0)</f>
        <v>0</v>
      </c>
      <c r="BR53" s="783">
        <f>IF(AND('Initial Capital Payment'!$C$14="Debt",
BR4&lt;('Initial Capital Payment'!$C$12+'Initial Capital Payment'!$F$7),
BR4&gt;='Initial Capital Payment'!$C$12),
-PMT('Interest Rate'!$J$16,'Initial Capital Payment'!$F$7,'Initial Capital Payment'!$C$10),0)</f>
        <v>0</v>
      </c>
      <c r="BS53" s="783">
        <f>IF(AND('Initial Capital Payment'!$C$14="Debt",
BS4&lt;('Initial Capital Payment'!$C$12+'Initial Capital Payment'!$F$7),
BS4&gt;='Initial Capital Payment'!$C$12),
-PMT('Interest Rate'!$J$16,'Initial Capital Payment'!$F$7,'Initial Capital Payment'!$C$10),0)</f>
        <v>0</v>
      </c>
      <c r="BT53" s="783">
        <f>IF(AND('Initial Capital Payment'!$C$14="Debt",
BT4&lt;('Initial Capital Payment'!$C$12+'Initial Capital Payment'!$F$7),
BT4&gt;='Initial Capital Payment'!$C$12),
-PMT('Interest Rate'!$J$16,'Initial Capital Payment'!$F$7,'Initial Capital Payment'!$C$10),0)</f>
        <v>0</v>
      </c>
      <c r="BU53" s="783">
        <f>IF(AND('Initial Capital Payment'!$C$14="Debt",
BU4&lt;('Initial Capital Payment'!$C$12+'Initial Capital Payment'!$F$7),
BU4&gt;='Initial Capital Payment'!$C$12),
-PMT('Interest Rate'!$J$16,'Initial Capital Payment'!$F$7,'Initial Capital Payment'!$C$10),0)</f>
        <v>0</v>
      </c>
      <c r="BV53" s="783">
        <f>IF(AND('Initial Capital Payment'!$C$14="Debt",
BV4&lt;('Initial Capital Payment'!$C$12+'Initial Capital Payment'!$F$7),
BV4&gt;='Initial Capital Payment'!$C$12),
-PMT('Interest Rate'!$J$16,'Initial Capital Payment'!$F$7,'Initial Capital Payment'!$C$10),0)</f>
        <v>0</v>
      </c>
      <c r="BW53" s="783">
        <f>IF(AND('Initial Capital Payment'!$C$14="Debt",
BW4&lt;('Initial Capital Payment'!$C$12+'Initial Capital Payment'!$F$7),
BW4&gt;='Initial Capital Payment'!$C$12),
-PMT('Interest Rate'!$J$16,'Initial Capital Payment'!$F$7,'Initial Capital Payment'!$C$10),0)</f>
        <v>0</v>
      </c>
      <c r="BX53" s="783">
        <f>IF(AND('Initial Capital Payment'!$C$14="Debt",
BX4&lt;('Initial Capital Payment'!$C$12+'Initial Capital Payment'!$F$7),
BX4&gt;='Initial Capital Payment'!$C$12),
-PMT('Interest Rate'!$J$16,'Initial Capital Payment'!$F$7,'Initial Capital Payment'!$C$10),0)</f>
        <v>0</v>
      </c>
      <c r="BY53" s="783">
        <f>IF(AND('Initial Capital Payment'!$C$14="Debt",
BY4&lt;('Initial Capital Payment'!$C$12+'Initial Capital Payment'!$F$7),
BY4&gt;='Initial Capital Payment'!$C$12),
-PMT('Interest Rate'!$J$16,'Initial Capital Payment'!$F$7,'Initial Capital Payment'!$C$10),0)</f>
        <v>0</v>
      </c>
      <c r="BZ53" s="783">
        <f>IF(AND('Initial Capital Payment'!$C$14="Debt",
BZ4&lt;('Initial Capital Payment'!$C$12+'Initial Capital Payment'!$F$7),
BZ4&gt;='Initial Capital Payment'!$C$12),
-PMT('Interest Rate'!$J$16,'Initial Capital Payment'!$F$7,'Initial Capital Payment'!$C$10),0)</f>
        <v>0</v>
      </c>
      <c r="CA53" s="783">
        <f>IF(AND('Initial Capital Payment'!$C$14="Debt",
CA4&lt;('Initial Capital Payment'!$C$12+'Initial Capital Payment'!$F$7),
CA4&gt;='Initial Capital Payment'!$C$12),
-PMT('Interest Rate'!$J$16,'Initial Capital Payment'!$F$7,'Initial Capital Payment'!$C$10),0)</f>
        <v>0</v>
      </c>
      <c r="CB53" s="783">
        <f>IF(AND('Initial Capital Payment'!$C$14="Debt",
CB4&lt;('Initial Capital Payment'!$C$12+'Initial Capital Payment'!$F$7),
CB4&gt;='Initial Capital Payment'!$C$12),
-PMT('Interest Rate'!$J$16,'Initial Capital Payment'!$F$7,'Initial Capital Payment'!$C$10),0)</f>
        <v>0</v>
      </c>
      <c r="CC53" s="783">
        <f>IF(AND('Initial Capital Payment'!$C$14="Debt",
CC4&lt;('Initial Capital Payment'!$C$12+'Initial Capital Payment'!$F$7),
CC4&gt;='Initial Capital Payment'!$C$12),
-PMT('Interest Rate'!$J$16,'Initial Capital Payment'!$F$7,'Initial Capital Payment'!$C$10),0)</f>
        <v>0</v>
      </c>
      <c r="CD53" s="783">
        <f>IF(AND('Initial Capital Payment'!$C$14="Debt",
CD4&lt;('Initial Capital Payment'!$C$12+'Initial Capital Payment'!$F$7),
CD4&gt;='Initial Capital Payment'!$C$12),
-PMT('Interest Rate'!$J$16,'Initial Capital Payment'!$F$7,'Initial Capital Payment'!$C$10),0)</f>
        <v>0</v>
      </c>
      <c r="CE53" s="783">
        <f>IF(AND('Initial Capital Payment'!$C$14="Debt",
CE4&lt;('Initial Capital Payment'!$C$12+'Initial Capital Payment'!$F$7),
CE4&gt;='Initial Capital Payment'!$C$12),
-PMT('Interest Rate'!$J$16,'Initial Capital Payment'!$F$7,'Initial Capital Payment'!$C$10),0)</f>
        <v>0</v>
      </c>
      <c r="CF53" s="783">
        <f>IF(AND('Initial Capital Payment'!$C$14="Debt",
CF4&lt;('Initial Capital Payment'!$C$12+'Initial Capital Payment'!$F$7),
CF4&gt;='Initial Capital Payment'!$C$12),
-PMT('Interest Rate'!$J$16,'Initial Capital Payment'!$F$7,'Initial Capital Payment'!$C$10),0)</f>
        <v>0</v>
      </c>
      <c r="CG53" s="783">
        <f>IF(AND('Initial Capital Payment'!$C$14="Debt",
CG4&lt;('Initial Capital Payment'!$C$12+'Initial Capital Payment'!$F$7),
CG4&gt;='Initial Capital Payment'!$C$12),
-PMT('Interest Rate'!$J$16,'Initial Capital Payment'!$F$7,'Initial Capital Payment'!$C$10),0)</f>
        <v>0</v>
      </c>
      <c r="CH53" s="783">
        <f>IF(AND('Initial Capital Payment'!$C$14="Debt",
CH4&lt;('Initial Capital Payment'!$C$12+'Initial Capital Payment'!$F$7),
CH4&gt;='Initial Capital Payment'!$C$12),
-PMT('Interest Rate'!$J$16,'Initial Capital Payment'!$F$7,'Initial Capital Payment'!$C$10),0)</f>
        <v>0</v>
      </c>
      <c r="CI53" s="783">
        <f>IF(AND('Initial Capital Payment'!$C$14="Debt",
CI4&lt;('Initial Capital Payment'!$C$12+'Initial Capital Payment'!$F$7),
CI4&gt;='Initial Capital Payment'!$C$12),
-PMT('Interest Rate'!$J$16,'Initial Capital Payment'!$F$7,'Initial Capital Payment'!$C$10),0)</f>
        <v>0</v>
      </c>
      <c r="CJ53" s="783">
        <f>IF(AND('Initial Capital Payment'!$C$14="Debt",
CJ4&lt;('Initial Capital Payment'!$C$12+'Initial Capital Payment'!$F$7),
CJ4&gt;='Initial Capital Payment'!$C$12),
-PMT('Interest Rate'!$J$16,'Initial Capital Payment'!$F$7,'Initial Capital Payment'!$C$10),0)</f>
        <v>0</v>
      </c>
      <c r="CK53" s="783">
        <f>IF(AND('Initial Capital Payment'!$C$14="Debt",
CK4&lt;('Initial Capital Payment'!$C$12+'Initial Capital Payment'!$F$7),
CK4&gt;='Initial Capital Payment'!$C$12),
-PMT('Interest Rate'!$J$16,'Initial Capital Payment'!$F$7,'Initial Capital Payment'!$C$10),0)</f>
        <v>0</v>
      </c>
      <c r="CL53" s="783">
        <f>IF(AND('Initial Capital Payment'!$C$14="Debt",
CL4&lt;('Initial Capital Payment'!$C$12+'Initial Capital Payment'!$F$7),
CL4&gt;='Initial Capital Payment'!$C$12),
-PMT('Interest Rate'!$J$16,'Initial Capital Payment'!$F$7,'Initial Capital Payment'!$C$10),0)</f>
        <v>0</v>
      </c>
      <c r="CM53" s="783">
        <f>IF(AND('Initial Capital Payment'!$C$14="Debt",
CM4&lt;('Initial Capital Payment'!$C$12+'Initial Capital Payment'!$F$7),
CM4&gt;='Initial Capital Payment'!$C$12),
-PMT('Interest Rate'!$J$16,'Initial Capital Payment'!$F$7,'Initial Capital Payment'!$C$10),0)</f>
        <v>0</v>
      </c>
      <c r="CN53" s="783">
        <f>IF(AND('Initial Capital Payment'!$C$14="Debt",
CN4&lt;('Initial Capital Payment'!$C$12+'Initial Capital Payment'!$F$7),
CN4&gt;='Initial Capital Payment'!$C$12),
-PMT('Interest Rate'!$J$16,'Initial Capital Payment'!$F$7,'Initial Capital Payment'!$C$10),0)</f>
        <v>0</v>
      </c>
      <c r="CO53" s="783">
        <f>IF(AND('Initial Capital Payment'!$C$14="Debt",
CO4&lt;('Initial Capital Payment'!$C$12+'Initial Capital Payment'!$F$7),
CO4&gt;='Initial Capital Payment'!$C$12),
-PMT('Interest Rate'!$J$16,'Initial Capital Payment'!$F$7,'Initial Capital Payment'!$C$10),0)</f>
        <v>0</v>
      </c>
      <c r="CP53" s="783">
        <f>IF(AND('Initial Capital Payment'!$C$14="Debt",
CP4&lt;('Initial Capital Payment'!$C$12+'Initial Capital Payment'!$F$7),
CP4&gt;='Initial Capital Payment'!$C$12),
-PMT('Interest Rate'!$J$16,'Initial Capital Payment'!$F$7,'Initial Capital Payment'!$C$10),0)</f>
        <v>0</v>
      </c>
      <c r="CQ53" s="783">
        <f>IF(AND('Initial Capital Payment'!$C$14="Debt",
CQ4&lt;('Initial Capital Payment'!$C$12+'Initial Capital Payment'!$F$7),
CQ4&gt;='Initial Capital Payment'!$C$12),
-PMT('Interest Rate'!$J$16,'Initial Capital Payment'!$F$7,'Initial Capital Payment'!$C$10),0)</f>
        <v>0</v>
      </c>
      <c r="CR53" s="783">
        <f>IF(AND('Initial Capital Payment'!$C$14="Debt",
CR4&lt;('Initial Capital Payment'!$C$12+'Initial Capital Payment'!$F$7),
CR4&gt;='Initial Capital Payment'!$C$12),
-PMT('Interest Rate'!$J$16,'Initial Capital Payment'!$F$7,'Initial Capital Payment'!$C$10),0)</f>
        <v>0</v>
      </c>
      <c r="CS53" s="783">
        <f>IF(AND('Initial Capital Payment'!$C$14="Debt",
CS4&lt;('Initial Capital Payment'!$C$12+'Initial Capital Payment'!$F$7),
CS4&gt;='Initial Capital Payment'!$C$12),
-PMT('Interest Rate'!$J$16,'Initial Capital Payment'!$F$7,'Initial Capital Payment'!$C$10),0)</f>
        <v>0</v>
      </c>
      <c r="CT53" s="783">
        <f>IF(AND('Initial Capital Payment'!$C$14="Debt",
CT4&lt;('Initial Capital Payment'!$C$12+'Initial Capital Payment'!$F$7),
CT4&gt;='Initial Capital Payment'!$C$12),
-PMT('Interest Rate'!$J$16,'Initial Capital Payment'!$F$7,'Initial Capital Payment'!$C$10),0)</f>
        <v>0</v>
      </c>
      <c r="CU53" s="783">
        <f>IF(AND('Initial Capital Payment'!$C$14="Debt",
CU4&lt;('Initial Capital Payment'!$C$12+'Initial Capital Payment'!$F$7),
CU4&gt;='Initial Capital Payment'!$C$12),
-PMT('Interest Rate'!$J$16,'Initial Capital Payment'!$F$7,'Initial Capital Payment'!$C$10),0)</f>
        <v>0</v>
      </c>
      <c r="CV53" s="783">
        <f>IF(AND('Initial Capital Payment'!$C$14="Debt",
CV4&lt;('Initial Capital Payment'!$C$12+'Initial Capital Payment'!$F$7),
CV4&gt;='Initial Capital Payment'!$C$12),
-PMT('Interest Rate'!$J$16,'Initial Capital Payment'!$F$7,'Initial Capital Payment'!$C$10),0)</f>
        <v>0</v>
      </c>
      <c r="CW53" s="783">
        <f>IF(AND('Initial Capital Payment'!$C$14="Debt",
CW4&lt;('Initial Capital Payment'!$C$12+'Initial Capital Payment'!$F$7),
CW4&gt;='Initial Capital Payment'!$C$12),
-PMT('Interest Rate'!$J$16,'Initial Capital Payment'!$F$7,'Initial Capital Payment'!$C$10),0)</f>
        <v>0</v>
      </c>
      <c r="CX53" s="783">
        <f>IF(AND('Initial Capital Payment'!$C$14="Debt",
CX4&lt;('Initial Capital Payment'!$C$12+'Initial Capital Payment'!$F$7),
CX4&gt;='Initial Capital Payment'!$C$12),
-PMT('Interest Rate'!$J$16,'Initial Capital Payment'!$F$7,'Initial Capital Payment'!$C$10),0)</f>
        <v>0</v>
      </c>
      <c r="CY53" s="783">
        <f>IF(AND('Initial Capital Payment'!$C$14="Debt",
CY4&lt;('Initial Capital Payment'!$C$12+'Initial Capital Payment'!$F$7),
CY4&gt;='Initial Capital Payment'!$C$12),
-PMT('Interest Rate'!$J$16,'Initial Capital Payment'!$F$7,'Initial Capital Payment'!$C$10),0)</f>
        <v>0</v>
      </c>
      <c r="CZ53" s="783">
        <f>IF(AND('Initial Capital Payment'!$C$14="Debt",
CZ4&lt;('Initial Capital Payment'!$C$12+'Initial Capital Payment'!$F$7),
CZ4&gt;='Initial Capital Payment'!$C$12),
-PMT('Interest Rate'!$J$16,'Initial Capital Payment'!$F$7,'Initial Capital Payment'!$C$10),0)</f>
        <v>0</v>
      </c>
    </row>
    <row r="54" spans="1:104" x14ac:dyDescent="0.25">
      <c r="B54" s="480" t="str">
        <f>CONCATENATE("Series ",D54,"A Bonds (at ",'Interest Rate'!$J$16*100,"% Interest)")</f>
        <v>Series 2032A Bonds (at 4.5% Interest)</v>
      </c>
      <c r="C54" s="480"/>
      <c r="D54" s="492">
        <f>'Construction Timing'!I20+'Construction Timing'!I17</f>
        <v>2032</v>
      </c>
      <c r="E54" s="783">
        <f>IF('Incremental Repayments'!$R$22="Debt",IF(AND(E$4&gt;=$D54,E$4&lt;$D54+'Incremental Repayments'!$I$31),-PMT('Interest Rate'!$J$16,'Incremental Repayments'!$I$31,(HLOOKUP($D54,$E$4:$CZ$32,28,FALSE)*'Incremental Repayments'!$I$22)),0),0)</f>
        <v>0</v>
      </c>
      <c r="F54" s="783">
        <f>IF('Incremental Repayments'!$R$22="Debt",IF(AND(F$4&gt;=$D54,F$4&lt;$D54+'Incremental Repayments'!$I$31),-PMT('Interest Rate'!$J$16,'Incremental Repayments'!$I$31,(HLOOKUP($D54,$E$4:$CZ$32,28,FALSE)*'Incremental Repayments'!$I$22)),0),0)</f>
        <v>0</v>
      </c>
      <c r="G54" s="783">
        <f>IF('Incremental Repayments'!$R$22="Debt",IF(AND(G$4&gt;=$D54,G$4&lt;$D54+'Incremental Repayments'!$I$31),-PMT('Interest Rate'!$J$16,'Incremental Repayments'!$I$31,(HLOOKUP($D54,$E$4:$CZ$32,28,FALSE)*'Incremental Repayments'!$I$22)),0),0)</f>
        <v>0</v>
      </c>
      <c r="H54" s="783">
        <f>IF('Incremental Repayments'!$R$22="Debt",IF(AND(H$4&gt;=$D54,H$4&lt;$D54+'Incremental Repayments'!$I$31),-PMT('Interest Rate'!$J$16,'Incremental Repayments'!$I$31,(HLOOKUP($D54,$E$4:$CZ$32,28,FALSE)*'Incremental Repayments'!$I$22)),0),0)</f>
        <v>0</v>
      </c>
      <c r="I54" s="783">
        <f>IF('Incremental Repayments'!$R$22="Debt",IF(AND(I$4&gt;=$D54,I$4&lt;$D54+'Incremental Repayments'!$I$31),-PMT('Interest Rate'!$J$16,'Incremental Repayments'!$I$31,(HLOOKUP($D54,$E$4:$CZ$32,28,FALSE)*'Incremental Repayments'!$I$22)),0),0)</f>
        <v>0</v>
      </c>
      <c r="J54" s="783">
        <f>IF('Incremental Repayments'!$R$22="Debt",IF(AND(J$4&gt;=$D54,J$4&lt;$D54+'Incremental Repayments'!$I$31),-PMT('Interest Rate'!$J$16,'Incremental Repayments'!$I$31,(HLOOKUP($D54,$E$4:$CZ$32,28,FALSE)*'Incremental Repayments'!$I$22)),0),0)</f>
        <v>0</v>
      </c>
      <c r="K54" s="783">
        <f>IF('Incremental Repayments'!$R$22="Debt",IF(AND(K$4&gt;=$D54,K$4&lt;$D54+'Incremental Repayments'!$I$31),-PMT('Interest Rate'!$J$16,'Incremental Repayments'!$I$31,(HLOOKUP($D54,$E$4:$CZ$32,28,FALSE)*'Incremental Repayments'!$I$22)),0),0)</f>
        <v>0</v>
      </c>
      <c r="L54" s="783">
        <f>IF('Incremental Repayments'!$R$22="Debt",IF(AND(L$4&gt;=$D54,L$4&lt;$D54+'Incremental Repayments'!$I$31),-PMT('Interest Rate'!$J$16,'Incremental Repayments'!$I$31,(HLOOKUP($D54,$E$4:$CZ$32,28,FALSE)*'Incremental Repayments'!$I$22)),0),0)</f>
        <v>0</v>
      </c>
      <c r="M54" s="783">
        <f>IF('Incremental Repayments'!$R$22="Debt",IF(AND(M$4&gt;=$D54,M$4&lt;$D54+'Incremental Repayments'!$I$31),-PMT('Interest Rate'!$J$16,'Incremental Repayments'!$I$31,(HLOOKUP($D54,$E$4:$CZ$32,28,FALSE)*'Incremental Repayments'!$I$22)),0),0)</f>
        <v>0</v>
      </c>
      <c r="N54" s="783">
        <f>IF('Incremental Repayments'!$R$22="Debt",IF(AND(N$4&gt;=$D54,N$4&lt;$D54+'Incremental Repayments'!$I$31),-PMT('Interest Rate'!$J$16,'Incremental Repayments'!$I$31,(HLOOKUP($D54,$E$4:$CZ$32,28,FALSE)*'Incremental Repayments'!$I$22)),0),0)</f>
        <v>0</v>
      </c>
      <c r="O54" s="783">
        <f>IF('Incremental Repayments'!$R$22="Debt",IF(AND(O$4&gt;=$D54,O$4&lt;$D54+'Incremental Repayments'!$I$31),-PMT('Interest Rate'!$J$16,'Incremental Repayments'!$I$31,(HLOOKUP($D54,$E$4:$CZ$32,28,FALSE)*'Incremental Repayments'!$I$22)),0),0)</f>
        <v>0</v>
      </c>
      <c r="P54" s="783">
        <f>IF('Incremental Repayments'!$R$22="Debt",IF(AND(P$4&gt;=$D54,P$4&lt;$D54+'Incremental Repayments'!$I$31),-PMT('Interest Rate'!$J$16,'Incremental Repayments'!$I$31,(HLOOKUP($D54,$E$4:$CZ$32,28,FALSE)*'Incremental Repayments'!$I$22)),0),0)</f>
        <v>0</v>
      </c>
      <c r="Q54" s="783">
        <f>IF('Incremental Repayments'!$R$22="Debt",IF(AND(Q$4&gt;=$D54,Q$4&lt;$D54+'Incremental Repayments'!$I$31),-PMT('Interest Rate'!$J$16,'Incremental Repayments'!$I$31,(HLOOKUP($D54,$E$4:$CZ$32,28,FALSE)*'Incremental Repayments'!$I$22)),0),0)</f>
        <v>0</v>
      </c>
      <c r="R54" s="783">
        <f>IF('Incremental Repayments'!$R$22="Debt",IF(AND(R$4&gt;=$D54,R$4&lt;$D54+'Incremental Repayments'!$I$31),-PMT('Interest Rate'!$J$16,'Incremental Repayments'!$I$31,(HLOOKUP($D54,$E$4:$CZ$32,28,FALSE)*'Incremental Repayments'!$I$22)),0),0)</f>
        <v>0</v>
      </c>
      <c r="S54" s="783">
        <f>IF('Incremental Repayments'!$R$22="Debt",IF(AND(S$4&gt;=$D54,S$4&lt;$D54+'Incremental Repayments'!$I$31),-PMT('Interest Rate'!$J$16,'Incremental Repayments'!$I$31,(HLOOKUP($D54,$E$4:$CZ$32,28,FALSE)*'Incremental Repayments'!$I$22)),0),0)</f>
        <v>0</v>
      </c>
      <c r="T54" s="783">
        <f>IF('Incremental Repayments'!$R$22="Debt",IF(AND(T$4&gt;=$D54,T$4&lt;$D54+'Incremental Repayments'!$I$31),-PMT('Interest Rate'!$J$16,'Incremental Repayments'!$I$31,(HLOOKUP($D54,$E$4:$CZ$32,28,FALSE)*'Incremental Repayments'!$I$22)),0),0)</f>
        <v>0</v>
      </c>
      <c r="U54" s="783">
        <f>IF('Incremental Repayments'!$R$22="Debt",IF(AND(U$4&gt;=$D54,U$4&lt;$D54+'Incremental Repayments'!$I$31),-PMT('Interest Rate'!$J$16,'Incremental Repayments'!$I$31,(HLOOKUP($D54,$E$4:$CZ$32,28,FALSE)*'Incremental Repayments'!$I$22)),0),0)</f>
        <v>0</v>
      </c>
      <c r="V54" s="783">
        <f>IF('Incremental Repayments'!$R$22="Debt",IF(AND(V$4&gt;=$D54,V$4&lt;$D54+'Incremental Repayments'!$I$31),-PMT('Interest Rate'!$J$16,'Incremental Repayments'!$I$31,(HLOOKUP($D54,$E$4:$CZ$32,28,FALSE)*'Incremental Repayments'!$I$22)),0),0)</f>
        <v>0</v>
      </c>
      <c r="W54" s="783">
        <f>IF('Incremental Repayments'!$R$22="Debt",IF(AND(W$4&gt;=$D54,W$4&lt;$D54+'Incremental Repayments'!$I$31),-PMT('Interest Rate'!$J$16,'Incremental Repayments'!$I$31,(HLOOKUP($D54,$E$4:$CZ$32,28,FALSE)*'Incremental Repayments'!$I$22)),0),0)</f>
        <v>729340.65180937422</v>
      </c>
      <c r="X54" s="783">
        <f>IF('Incremental Repayments'!$R$22="Debt",IF(AND(X$4&gt;=$D54,X$4&lt;$D54+'Incremental Repayments'!$I$31),-PMT('Interest Rate'!$J$16,'Incremental Repayments'!$I$31,(HLOOKUP($D54,$E$4:$CZ$32,28,FALSE)*'Incremental Repayments'!$I$22)),0),0)</f>
        <v>729340.65180937422</v>
      </c>
      <c r="Y54" s="783">
        <f>IF('Incremental Repayments'!$R$22="Debt",IF(AND(Y$4&gt;=$D54,Y$4&lt;$D54+'Incremental Repayments'!$I$31),-PMT('Interest Rate'!$J$16,'Incremental Repayments'!$I$31,(HLOOKUP($D54,$E$4:$CZ$32,28,FALSE)*'Incremental Repayments'!$I$22)),0),0)</f>
        <v>729340.65180937422</v>
      </c>
      <c r="Z54" s="783">
        <f>IF('Incremental Repayments'!$R$22="Debt",IF(AND(Z$4&gt;=$D54,Z$4&lt;$D54+'Incremental Repayments'!$I$31),-PMT('Interest Rate'!$J$16,'Incremental Repayments'!$I$31,(HLOOKUP($D54,$E$4:$CZ$32,28,FALSE)*'Incremental Repayments'!$I$22)),0),0)</f>
        <v>729340.65180937422</v>
      </c>
      <c r="AA54" s="783">
        <f>IF('Incremental Repayments'!$R$22="Debt",IF(AND(AA$4&gt;=$D54,AA$4&lt;$D54+'Incremental Repayments'!$I$31),-PMT('Interest Rate'!$J$16,'Incremental Repayments'!$I$31,(HLOOKUP($D54,$E$4:$CZ$32,28,FALSE)*'Incremental Repayments'!$I$22)),0),0)</f>
        <v>729340.65180937422</v>
      </c>
      <c r="AB54" s="783">
        <f>IF('Incremental Repayments'!$R$22="Debt",IF(AND(AB$4&gt;=$D54,AB$4&lt;$D54+'Incremental Repayments'!$I$31),-PMT('Interest Rate'!$J$16,'Incremental Repayments'!$I$31,(HLOOKUP($D54,$E$4:$CZ$32,28,FALSE)*'Incremental Repayments'!$I$22)),0),0)</f>
        <v>729340.65180937422</v>
      </c>
      <c r="AC54" s="783">
        <f>IF('Incremental Repayments'!$R$22="Debt",IF(AND(AC$4&gt;=$D54,AC$4&lt;$D54+'Incremental Repayments'!$I$31),-PMT('Interest Rate'!$J$16,'Incremental Repayments'!$I$31,(HLOOKUP($D54,$E$4:$CZ$32,28,FALSE)*'Incremental Repayments'!$I$22)),0),0)</f>
        <v>729340.65180937422</v>
      </c>
      <c r="AD54" s="783">
        <f>IF('Incremental Repayments'!$R$22="Debt",IF(AND(AD$4&gt;=$D54,AD$4&lt;$D54+'Incremental Repayments'!$I$31),-PMT('Interest Rate'!$J$16,'Incremental Repayments'!$I$31,(HLOOKUP($D54,$E$4:$CZ$32,28,FALSE)*'Incremental Repayments'!$I$22)),0),0)</f>
        <v>729340.65180937422</v>
      </c>
      <c r="AE54" s="783">
        <f>IF('Incremental Repayments'!$R$22="Debt",IF(AND(AE$4&gt;=$D54,AE$4&lt;$D54+'Incremental Repayments'!$I$31),-PMT('Interest Rate'!$J$16,'Incremental Repayments'!$I$31,(HLOOKUP($D54,$E$4:$CZ$32,28,FALSE)*'Incremental Repayments'!$I$22)),0),0)</f>
        <v>729340.65180937422</v>
      </c>
      <c r="AF54" s="783">
        <f>IF('Incremental Repayments'!$R$22="Debt",IF(AND(AF$4&gt;=$D54,AF$4&lt;$D54+'Incremental Repayments'!$I$31),-PMT('Interest Rate'!$J$16,'Incremental Repayments'!$I$31,(HLOOKUP($D54,$E$4:$CZ$32,28,FALSE)*'Incremental Repayments'!$I$22)),0),0)</f>
        <v>729340.65180937422</v>
      </c>
      <c r="AG54" s="783">
        <f>IF('Incremental Repayments'!$R$22="Debt",IF(AND(AG$4&gt;=$D54,AG$4&lt;$D54+'Incremental Repayments'!$I$31),-PMT('Interest Rate'!$J$16,'Incremental Repayments'!$I$31,(HLOOKUP($D54,$E$4:$CZ$32,28,FALSE)*'Incremental Repayments'!$I$22)),0),0)</f>
        <v>729340.65180937422</v>
      </c>
      <c r="AH54" s="783">
        <f>IF('Incremental Repayments'!$R$22="Debt",IF(AND(AH$4&gt;=$D54,AH$4&lt;$D54+'Incremental Repayments'!$I$31),-PMT('Interest Rate'!$J$16,'Incremental Repayments'!$I$31,(HLOOKUP($D54,$E$4:$CZ$32,28,FALSE)*'Incremental Repayments'!$I$22)),0),0)</f>
        <v>729340.65180937422</v>
      </c>
      <c r="AI54" s="783">
        <f>IF('Incremental Repayments'!$R$22="Debt",IF(AND(AI$4&gt;=$D54,AI$4&lt;$D54+'Incremental Repayments'!$I$31),-PMT('Interest Rate'!$J$16,'Incremental Repayments'!$I$31,(HLOOKUP($D54,$E$4:$CZ$32,28,FALSE)*'Incremental Repayments'!$I$22)),0),0)</f>
        <v>729340.65180937422</v>
      </c>
      <c r="AJ54" s="783">
        <f>IF('Incremental Repayments'!$R$22="Debt",IF(AND(AJ$4&gt;=$D54,AJ$4&lt;$D54+'Incremental Repayments'!$I$31),-PMT('Interest Rate'!$J$16,'Incremental Repayments'!$I$31,(HLOOKUP($D54,$E$4:$CZ$32,28,FALSE)*'Incremental Repayments'!$I$22)),0),0)</f>
        <v>729340.65180937422</v>
      </c>
      <c r="AK54" s="783">
        <f>IF('Incremental Repayments'!$R$22="Debt",IF(AND(AK$4&gt;=$D54,AK$4&lt;$D54+'Incremental Repayments'!$I$31),-PMT('Interest Rate'!$J$16,'Incremental Repayments'!$I$31,(HLOOKUP($D54,$E$4:$CZ$32,28,FALSE)*'Incremental Repayments'!$I$22)),0),0)</f>
        <v>729340.65180937422</v>
      </c>
      <c r="AL54" s="783">
        <f>IF('Incremental Repayments'!$R$22="Debt",IF(AND(AL$4&gt;=$D54,AL$4&lt;$D54+'Incremental Repayments'!$I$31),-PMT('Interest Rate'!$J$16,'Incremental Repayments'!$I$31,(HLOOKUP($D54,$E$4:$CZ$32,28,FALSE)*'Incremental Repayments'!$I$22)),0),0)</f>
        <v>729340.65180937422</v>
      </c>
      <c r="AM54" s="783">
        <f>IF('Incremental Repayments'!$R$22="Debt",IF(AND(AM$4&gt;=$D54,AM$4&lt;$D54+'Incremental Repayments'!$I$31),-PMT('Interest Rate'!$J$16,'Incremental Repayments'!$I$31,(HLOOKUP($D54,$E$4:$CZ$32,28,FALSE)*'Incremental Repayments'!$I$22)),0),0)</f>
        <v>729340.65180937422</v>
      </c>
      <c r="AN54" s="783">
        <f>IF('Incremental Repayments'!$R$22="Debt",IF(AND(AN$4&gt;=$D54,AN$4&lt;$D54+'Incremental Repayments'!$I$31),-PMT('Interest Rate'!$J$16,'Incremental Repayments'!$I$31,(HLOOKUP($D54,$E$4:$CZ$32,28,FALSE)*'Incremental Repayments'!$I$22)),0),0)</f>
        <v>729340.65180937422</v>
      </c>
      <c r="AO54" s="783">
        <f>IF('Incremental Repayments'!$R$22="Debt",IF(AND(AO$4&gt;=$D54,AO$4&lt;$D54+'Incremental Repayments'!$I$31),-PMT('Interest Rate'!$J$16,'Incremental Repayments'!$I$31,(HLOOKUP($D54,$E$4:$CZ$32,28,FALSE)*'Incremental Repayments'!$I$22)),0),0)</f>
        <v>729340.65180937422</v>
      </c>
      <c r="AP54" s="783">
        <f>IF('Incremental Repayments'!$R$22="Debt",IF(AND(AP$4&gt;=$D54,AP$4&lt;$D54+'Incremental Repayments'!$I$31),-PMT('Interest Rate'!$J$16,'Incremental Repayments'!$I$31,(HLOOKUP($D54,$E$4:$CZ$32,28,FALSE)*'Incremental Repayments'!$I$22)),0),0)</f>
        <v>729340.65180937422</v>
      </c>
      <c r="AQ54" s="783">
        <f>IF('Incremental Repayments'!$R$22="Debt",IF(AND(AQ$4&gt;=$D54,AQ$4&lt;$D54+'Incremental Repayments'!$I$31),-PMT('Interest Rate'!$J$16,'Incremental Repayments'!$I$31,(HLOOKUP($D54,$E$4:$CZ$32,28,FALSE)*'Incremental Repayments'!$I$22)),0),0)</f>
        <v>729340.65180937422</v>
      </c>
      <c r="AR54" s="783">
        <f>IF('Incremental Repayments'!$R$22="Debt",IF(AND(AR$4&gt;=$D54,AR$4&lt;$D54+'Incremental Repayments'!$I$31),-PMT('Interest Rate'!$J$16,'Incremental Repayments'!$I$31,(HLOOKUP($D54,$E$4:$CZ$32,28,FALSE)*'Incremental Repayments'!$I$22)),0),0)</f>
        <v>729340.65180937422</v>
      </c>
      <c r="AS54" s="783">
        <f>IF('Incremental Repayments'!$R$22="Debt",IF(AND(AS$4&gt;=$D54,AS$4&lt;$D54+'Incremental Repayments'!$I$31),-PMT('Interest Rate'!$J$16,'Incremental Repayments'!$I$31,(HLOOKUP($D54,$E$4:$CZ$32,28,FALSE)*'Incremental Repayments'!$I$22)),0),0)</f>
        <v>729340.65180937422</v>
      </c>
      <c r="AT54" s="783">
        <f>IF('Incremental Repayments'!$R$22="Debt",IF(AND(AT$4&gt;=$D54,AT$4&lt;$D54+'Incremental Repayments'!$I$31),-PMT('Interest Rate'!$J$16,'Incremental Repayments'!$I$31,(HLOOKUP($D54,$E$4:$CZ$32,28,FALSE)*'Incremental Repayments'!$I$22)),0),0)</f>
        <v>729340.65180937422</v>
      </c>
      <c r="AU54" s="783">
        <f>IF('Incremental Repayments'!$R$22="Debt",IF(AND(AU$4&gt;=$D54,AU$4&lt;$D54+'Incremental Repayments'!$I$31),-PMT('Interest Rate'!$J$16,'Incremental Repayments'!$I$31,(HLOOKUP($D54,$E$4:$CZ$32,28,FALSE)*'Incremental Repayments'!$I$22)),0),0)</f>
        <v>729340.65180937422</v>
      </c>
      <c r="AV54" s="783">
        <f>IF('Incremental Repayments'!$R$22="Debt",IF(AND(AV$4&gt;=$D54,AV$4&lt;$D54+'Incremental Repayments'!$I$31),-PMT('Interest Rate'!$J$16,'Incremental Repayments'!$I$31,(HLOOKUP($D54,$E$4:$CZ$32,28,FALSE)*'Incremental Repayments'!$I$22)),0),0)</f>
        <v>729340.65180937422</v>
      </c>
      <c r="AW54" s="783">
        <f>IF('Incremental Repayments'!$R$22="Debt",IF(AND(AW$4&gt;=$D54,AW$4&lt;$D54+'Incremental Repayments'!$I$31),-PMT('Interest Rate'!$J$16,'Incremental Repayments'!$I$31,(HLOOKUP($D54,$E$4:$CZ$32,28,FALSE)*'Incremental Repayments'!$I$22)),0),0)</f>
        <v>729340.65180937422</v>
      </c>
      <c r="AX54" s="783">
        <f>IF('Incremental Repayments'!$R$22="Debt",IF(AND(AX$4&gt;=$D54,AX$4&lt;$D54+'Incremental Repayments'!$I$31),-PMT('Interest Rate'!$J$16,'Incremental Repayments'!$I$31,(HLOOKUP($D54,$E$4:$CZ$32,28,FALSE)*'Incremental Repayments'!$I$22)),0),0)</f>
        <v>729340.65180937422</v>
      </c>
      <c r="AY54" s="783">
        <f>IF('Incremental Repayments'!$R$22="Debt",IF(AND(AY$4&gt;=$D54,AY$4&lt;$D54+'Incremental Repayments'!$I$31),-PMT('Interest Rate'!$J$16,'Incremental Repayments'!$I$31,(HLOOKUP($D54,$E$4:$CZ$32,28,FALSE)*'Incremental Repayments'!$I$22)),0),0)</f>
        <v>729340.65180937422</v>
      </c>
      <c r="AZ54" s="783">
        <f>IF('Incremental Repayments'!$R$22="Debt",IF(AND(AZ$4&gt;=$D54,AZ$4&lt;$D54+'Incremental Repayments'!$I$31),-PMT('Interest Rate'!$J$16,'Incremental Repayments'!$I$31,(HLOOKUP($D54,$E$4:$CZ$32,28,FALSE)*'Incremental Repayments'!$I$22)),0),0)</f>
        <v>729340.65180937422</v>
      </c>
      <c r="BA54" s="783">
        <f>IF('Incremental Repayments'!$R$22="Debt",IF(AND(BA$4&gt;=$D54,BA$4&lt;$D54+'Incremental Repayments'!$I$31),-PMT('Interest Rate'!$J$16,'Incremental Repayments'!$I$31,(HLOOKUP($D54,$E$4:$CZ$32,28,FALSE)*'Incremental Repayments'!$I$22)),0),0)</f>
        <v>0</v>
      </c>
      <c r="BB54" s="783">
        <f>IF('Incremental Repayments'!$R$22="Debt",IF(AND(BB$4&gt;=$D54,BB$4&lt;$D54+'Incremental Repayments'!$I$31),-PMT('Interest Rate'!$J$16,'Incremental Repayments'!$I$31,(HLOOKUP($D54,$E$4:$CZ$32,28,FALSE)*'Incremental Repayments'!$I$22)),0),0)</f>
        <v>0</v>
      </c>
      <c r="BC54" s="783">
        <f>IF('Incremental Repayments'!$R$22="Debt",IF(AND(BC$4&gt;=$D54,BC$4&lt;$D54+'Incremental Repayments'!$I$31),-PMT('Interest Rate'!$J$16,'Incremental Repayments'!$I$31,(HLOOKUP($D54,$E$4:$CZ$32,28,FALSE)*'Incremental Repayments'!$I$22)),0),0)</f>
        <v>0</v>
      </c>
      <c r="BD54" s="783">
        <f>IF('Incremental Repayments'!$R$22="Debt",IF(AND(BD$4&gt;=$D54,BD$4&lt;$D54+'Incremental Repayments'!$I$31),-PMT('Interest Rate'!$J$16,'Incremental Repayments'!$I$31,(HLOOKUP($D54,$E$4:$CZ$32,28,FALSE)*'Incremental Repayments'!$I$22)),0),0)</f>
        <v>0</v>
      </c>
      <c r="BE54" s="783">
        <f>IF('Incremental Repayments'!$R$22="Debt",IF(AND(BE$4&gt;=$D54,BE$4&lt;$D54+'Incremental Repayments'!$I$31),-PMT('Interest Rate'!$J$16,'Incremental Repayments'!$I$31,(HLOOKUP($D54,$E$4:$CZ$32,28,FALSE)*'Incremental Repayments'!$I$22)),0),0)</f>
        <v>0</v>
      </c>
      <c r="BF54" s="783">
        <f>IF('Incremental Repayments'!$R$22="Debt",IF(AND(BF$4&gt;=$D54,BF$4&lt;$D54+'Incremental Repayments'!$I$31),-PMT('Interest Rate'!$J$16,'Incremental Repayments'!$I$31,(HLOOKUP($D54,$E$4:$CZ$32,28,FALSE)*'Incremental Repayments'!$I$22)),0),0)</f>
        <v>0</v>
      </c>
      <c r="BG54" s="783">
        <f>IF('Incremental Repayments'!$R$22="Debt",IF(AND(BG$4&gt;=$D54,BG$4&lt;$D54+'Incremental Repayments'!$I$31),-PMT('Interest Rate'!$J$16,'Incremental Repayments'!$I$31,(HLOOKUP($D54,$E$4:$CZ$32,28,FALSE)*'Incremental Repayments'!$I$22)),0),0)</f>
        <v>0</v>
      </c>
      <c r="BH54" s="783">
        <f>IF('Incremental Repayments'!$R$22="Debt",IF(AND(BH$4&gt;=$D54,BH$4&lt;$D54+'Incremental Repayments'!$I$31),-PMT('Interest Rate'!$J$16,'Incremental Repayments'!$I$31,(HLOOKUP($D54,$E$4:$CZ$32,28,FALSE)*'Incremental Repayments'!$I$22)),0),0)</f>
        <v>0</v>
      </c>
      <c r="BI54" s="783">
        <f>IF('Incremental Repayments'!$R$22="Debt",IF(AND(BI$4&gt;=$D54,BI$4&lt;$D54+'Incremental Repayments'!$I$31),-PMT('Interest Rate'!$J$16,'Incremental Repayments'!$I$31,(HLOOKUP($D54,$E$4:$CZ$32,28,FALSE)*'Incremental Repayments'!$I$22)),0),0)</f>
        <v>0</v>
      </c>
      <c r="BJ54" s="783">
        <f>IF('Incremental Repayments'!$R$22="Debt",IF(AND(BJ$4&gt;=$D54,BJ$4&lt;$D54+'Incremental Repayments'!$I$31),-PMT('Interest Rate'!$J$16,'Incremental Repayments'!$I$31,(HLOOKUP($D54,$E$4:$CZ$32,28,FALSE)*'Incremental Repayments'!$I$22)),0),0)</f>
        <v>0</v>
      </c>
      <c r="BK54" s="783">
        <f>IF('Incremental Repayments'!$R$22="Debt",IF(AND(BK$4&gt;=$D54,BK$4&lt;$D54+'Incremental Repayments'!$I$31),-PMT('Interest Rate'!$J$16,'Incremental Repayments'!$I$31,(HLOOKUP($D54,$E$4:$CZ$32,28,FALSE)*'Incremental Repayments'!$I$22)),0),0)</f>
        <v>0</v>
      </c>
      <c r="BL54" s="783">
        <f>IF('Incremental Repayments'!$R$22="Debt",IF(AND(BL$4&gt;=$D54,BL$4&lt;$D54+'Incremental Repayments'!$I$31),-PMT('Interest Rate'!$J$16,'Incremental Repayments'!$I$31,(HLOOKUP($D54,$E$4:$CZ$32,28,FALSE)*'Incremental Repayments'!$I$22)),0),0)</f>
        <v>0</v>
      </c>
      <c r="BM54" s="783">
        <f>IF('Incremental Repayments'!$R$22="Debt",IF(AND(BM$4&gt;=$D54,BM$4&lt;$D54+'Incremental Repayments'!$I$31),-PMT('Interest Rate'!$J$16,'Incremental Repayments'!$I$31,(HLOOKUP($D54,$E$4:$CZ$32,28,FALSE)*'Incremental Repayments'!$I$22)),0),0)</f>
        <v>0</v>
      </c>
      <c r="BN54" s="783">
        <f>IF('Incremental Repayments'!$R$22="Debt",IF(AND(BN$4&gt;=$D54,BN$4&lt;$D54+'Incremental Repayments'!$I$31),-PMT('Interest Rate'!$J$16,'Incremental Repayments'!$I$31,(HLOOKUP($D54,$E$4:$CZ$32,28,FALSE)*'Incremental Repayments'!$I$22)),0),0)</f>
        <v>0</v>
      </c>
      <c r="BO54" s="783">
        <f>IF('Incremental Repayments'!$R$22="Debt",IF(AND(BO$4&gt;=$D54,BO$4&lt;$D54+'Incremental Repayments'!$I$31),-PMT('Interest Rate'!$J$16,'Incremental Repayments'!$I$31,(HLOOKUP($D54,$E$4:$CZ$32,28,FALSE)*'Incremental Repayments'!$I$22)),0),0)</f>
        <v>0</v>
      </c>
      <c r="BP54" s="783">
        <f>IF('Incremental Repayments'!$R$22="Debt",IF(AND(BP$4&gt;=$D54,BP$4&lt;$D54+'Incremental Repayments'!$I$31),-PMT('Interest Rate'!$J$16,'Incremental Repayments'!$I$31,(HLOOKUP($D54,$E$4:$CZ$32,28,FALSE)*'Incremental Repayments'!$I$22)),0),0)</f>
        <v>0</v>
      </c>
      <c r="BQ54" s="783">
        <f>IF('Incremental Repayments'!$R$22="Debt",IF(AND(BQ$4&gt;=$D54,BQ$4&lt;$D54+'Incremental Repayments'!$I$31),-PMT('Interest Rate'!$J$16,'Incremental Repayments'!$I$31,(HLOOKUP($D54,$E$4:$CZ$32,28,FALSE)*'Incremental Repayments'!$I$22)),0),0)</f>
        <v>0</v>
      </c>
      <c r="BR54" s="783">
        <f>IF('Incremental Repayments'!$R$22="Debt",IF(AND(BR$4&gt;=$D54,BR$4&lt;$D54+'Incremental Repayments'!$I$31),-PMT('Interest Rate'!$J$16,'Incremental Repayments'!$I$31,(HLOOKUP($D54,$E$4:$CZ$32,28,FALSE)*'Incremental Repayments'!$I$22)),0),0)</f>
        <v>0</v>
      </c>
      <c r="BS54" s="783">
        <f>IF('Incremental Repayments'!$R$22="Debt",IF(AND(BS$4&gt;=$D54,BS$4&lt;$D54+'Incremental Repayments'!$I$31),-PMT('Interest Rate'!$J$16,'Incremental Repayments'!$I$31,(HLOOKUP($D54,$E$4:$CZ$32,28,FALSE)*'Incremental Repayments'!$I$22)),0),0)</f>
        <v>0</v>
      </c>
      <c r="BT54" s="783">
        <f>IF('Incremental Repayments'!$R$22="Debt",IF(AND(BT$4&gt;=$D54,BT$4&lt;$D54+'Incremental Repayments'!$I$31),-PMT('Interest Rate'!$J$16,'Incremental Repayments'!$I$31,(HLOOKUP($D54,$E$4:$CZ$32,28,FALSE)*'Incremental Repayments'!$I$22)),0),0)</f>
        <v>0</v>
      </c>
      <c r="BU54" s="783">
        <f>IF('Incremental Repayments'!$R$22="Debt",IF(AND(BU$4&gt;=$D54,BU$4&lt;$D54+'Incremental Repayments'!$I$31),-PMT('Interest Rate'!$J$16,'Incremental Repayments'!$I$31,(HLOOKUP($D54,$E$4:$CZ$32,28,FALSE)*'Incremental Repayments'!$I$22)),0),0)</f>
        <v>0</v>
      </c>
      <c r="BV54" s="783">
        <f>IF('Incremental Repayments'!$R$22="Debt",IF(AND(BV$4&gt;=$D54,BV$4&lt;$D54+'Incremental Repayments'!$I$31),-PMT('Interest Rate'!$J$16,'Incremental Repayments'!$I$31,(HLOOKUP($D54,$E$4:$CZ$32,28,FALSE)*'Incremental Repayments'!$I$22)),0),0)</f>
        <v>0</v>
      </c>
      <c r="BW54" s="783">
        <f>IF('Incremental Repayments'!$R$22="Debt",IF(AND(BW$4&gt;=$D54,BW$4&lt;$D54+'Incremental Repayments'!$I$31),-PMT('Interest Rate'!$J$16,'Incremental Repayments'!$I$31,(HLOOKUP($D54,$E$4:$CZ$32,28,FALSE)*'Incremental Repayments'!$I$22)),0),0)</f>
        <v>0</v>
      </c>
      <c r="BX54" s="783">
        <f>IF('Incremental Repayments'!$R$22="Debt",IF(AND(BX$4&gt;=$D54,BX$4&lt;$D54+'Incremental Repayments'!$I$31),-PMT('Interest Rate'!$J$16,'Incremental Repayments'!$I$31,(HLOOKUP($D54,$E$4:$CZ$32,28,FALSE)*'Incremental Repayments'!$I$22)),0),0)</f>
        <v>0</v>
      </c>
      <c r="BY54" s="783">
        <f>IF('Incremental Repayments'!$R$22="Debt",IF(AND(BY$4&gt;=$D54,BY$4&lt;$D54+'Incremental Repayments'!$I$31),-PMT('Interest Rate'!$J$16,'Incremental Repayments'!$I$31,(HLOOKUP($D54,$E$4:$CZ$32,28,FALSE)*'Incremental Repayments'!$I$22)),0),0)</f>
        <v>0</v>
      </c>
      <c r="BZ54" s="783">
        <f>IF('Incremental Repayments'!$R$22="Debt",IF(AND(BZ$4&gt;=$D54,BZ$4&lt;$D54+'Incremental Repayments'!$I$31),-PMT('Interest Rate'!$J$16,'Incremental Repayments'!$I$31,(HLOOKUP($D54,$E$4:$CZ$32,28,FALSE)*'Incremental Repayments'!$I$22)),0),0)</f>
        <v>0</v>
      </c>
      <c r="CA54" s="783">
        <f>IF('Incremental Repayments'!$R$22="Debt",IF(AND(CA$4&gt;=$D54,CA$4&lt;$D54+'Incremental Repayments'!$I$31),-PMT('Interest Rate'!$J$16,'Incremental Repayments'!$I$31,(HLOOKUP($D54,$E$4:$CZ$32,28,FALSE)*'Incremental Repayments'!$I$22)),0),0)</f>
        <v>0</v>
      </c>
      <c r="CB54" s="783">
        <f>IF('Incremental Repayments'!$R$22="Debt",IF(AND(CB$4&gt;=$D54,CB$4&lt;$D54+'Incremental Repayments'!$I$31),-PMT('Interest Rate'!$J$16,'Incremental Repayments'!$I$31,(HLOOKUP($D54,$E$4:$CZ$32,28,FALSE)*'Incremental Repayments'!$I$22)),0),0)</f>
        <v>0</v>
      </c>
      <c r="CC54" s="783">
        <f>IF('Incremental Repayments'!$R$22="Debt",IF(AND(CC$4&gt;=$D54,CC$4&lt;$D54+'Incremental Repayments'!$I$31),-PMT('Interest Rate'!$J$16,'Incremental Repayments'!$I$31,(HLOOKUP($D54,$E$4:$CZ$32,28,FALSE)*'Incremental Repayments'!$I$22)),0),0)</f>
        <v>0</v>
      </c>
      <c r="CD54" s="783">
        <f>IF('Incremental Repayments'!$R$22="Debt",IF(AND(CD$4&gt;=$D54,CD$4&lt;$D54+'Incremental Repayments'!$I$31),-PMT('Interest Rate'!$J$16,'Incremental Repayments'!$I$31,(HLOOKUP($D54,$E$4:$CZ$32,28,FALSE)*'Incremental Repayments'!$I$22)),0),0)</f>
        <v>0</v>
      </c>
      <c r="CE54" s="783">
        <f>IF('Incremental Repayments'!$R$22="Debt",IF(AND(CE$4&gt;=$D54,CE$4&lt;$D54+'Incremental Repayments'!$I$31),-PMT('Interest Rate'!$J$16,'Incremental Repayments'!$I$31,(HLOOKUP($D54,$E$4:$CZ$32,28,FALSE)*'Incremental Repayments'!$I$22)),0),0)</f>
        <v>0</v>
      </c>
      <c r="CF54" s="783">
        <f>IF('Incremental Repayments'!$R$22="Debt",IF(AND(CF$4&gt;=$D54,CF$4&lt;$D54+'Incremental Repayments'!$I$31),-PMT('Interest Rate'!$J$16,'Incremental Repayments'!$I$31,(HLOOKUP($D54,$E$4:$CZ$32,28,FALSE)*'Incremental Repayments'!$I$22)),0),0)</f>
        <v>0</v>
      </c>
      <c r="CG54" s="783">
        <f>IF('Incremental Repayments'!$R$22="Debt",IF(AND(CG$4&gt;=$D54,CG$4&lt;$D54+'Incremental Repayments'!$I$31),-PMT('Interest Rate'!$J$16,'Incremental Repayments'!$I$31,(HLOOKUP($D54,$E$4:$CZ$32,28,FALSE)*'Incremental Repayments'!$I$22)),0),0)</f>
        <v>0</v>
      </c>
      <c r="CH54" s="783">
        <f>IF('Incremental Repayments'!$R$22="Debt",IF(AND(CH$4&gt;=$D54,CH$4&lt;$D54+'Incremental Repayments'!$I$31),-PMT('Interest Rate'!$J$16,'Incremental Repayments'!$I$31,(HLOOKUP($D54,$E$4:$CZ$32,28,FALSE)*'Incremental Repayments'!$I$22)),0),0)</f>
        <v>0</v>
      </c>
      <c r="CI54" s="783">
        <f>IF('Incremental Repayments'!$R$22="Debt",IF(AND(CI$4&gt;=$D54,CI$4&lt;$D54+'Incremental Repayments'!$I$31),-PMT('Interest Rate'!$J$16,'Incremental Repayments'!$I$31,(HLOOKUP($D54,$E$4:$CZ$32,28,FALSE)*'Incremental Repayments'!$I$22)),0),0)</f>
        <v>0</v>
      </c>
      <c r="CJ54" s="783">
        <f>IF('Incremental Repayments'!$R$22="Debt",IF(AND(CJ$4&gt;=$D54,CJ$4&lt;$D54+'Incremental Repayments'!$I$31),-PMT('Interest Rate'!$J$16,'Incremental Repayments'!$I$31,(HLOOKUP($D54,$E$4:$CZ$32,28,FALSE)*'Incremental Repayments'!$I$22)),0),0)</f>
        <v>0</v>
      </c>
      <c r="CK54" s="783">
        <f>IF('Incremental Repayments'!$R$22="Debt",IF(AND(CK$4&gt;=$D54,CK$4&lt;$D54+'Incremental Repayments'!$I$31),-PMT('Interest Rate'!$J$16,'Incremental Repayments'!$I$31,(HLOOKUP($D54,$E$4:$CZ$32,28,FALSE)*'Incremental Repayments'!$I$22)),0),0)</f>
        <v>0</v>
      </c>
      <c r="CL54" s="783">
        <f>IF('Incremental Repayments'!$R$22="Debt",IF(AND(CL$4&gt;=$D54,CL$4&lt;$D54+'Incremental Repayments'!$I$31),-PMT('Interest Rate'!$J$16,'Incremental Repayments'!$I$31,(HLOOKUP($D54,$E$4:$CZ$32,28,FALSE)*'Incremental Repayments'!$I$22)),0),0)</f>
        <v>0</v>
      </c>
      <c r="CM54" s="783">
        <f>IF('Incremental Repayments'!$R$22="Debt",IF(AND(CM$4&gt;=$D54,CM$4&lt;$D54+'Incremental Repayments'!$I$31),-PMT('Interest Rate'!$J$16,'Incremental Repayments'!$I$31,(HLOOKUP($D54,$E$4:$CZ$32,28,FALSE)*'Incremental Repayments'!$I$22)),0),0)</f>
        <v>0</v>
      </c>
      <c r="CN54" s="783">
        <f>IF('Incremental Repayments'!$R$22="Debt",IF(AND(CN$4&gt;=$D54,CN$4&lt;$D54+'Incremental Repayments'!$I$31),-PMT('Interest Rate'!$J$16,'Incremental Repayments'!$I$31,(HLOOKUP($D54,$E$4:$CZ$32,28,FALSE)*'Incremental Repayments'!$I$22)),0),0)</f>
        <v>0</v>
      </c>
      <c r="CO54" s="783">
        <f>IF('Incremental Repayments'!$R$22="Debt",IF(AND(CO$4&gt;=$D54,CO$4&lt;$D54+'Incremental Repayments'!$I$31),-PMT('Interest Rate'!$J$16,'Incremental Repayments'!$I$31,(HLOOKUP($D54,$E$4:$CZ$32,28,FALSE)*'Incremental Repayments'!$I$22)),0),0)</f>
        <v>0</v>
      </c>
      <c r="CP54" s="783">
        <f>IF('Incremental Repayments'!$R$22="Debt",IF(AND(CP$4&gt;=$D54,CP$4&lt;$D54+'Incremental Repayments'!$I$31),-PMT('Interest Rate'!$J$16,'Incremental Repayments'!$I$31,(HLOOKUP($D54,$E$4:$CZ$32,28,FALSE)*'Incremental Repayments'!$I$22)),0),0)</f>
        <v>0</v>
      </c>
      <c r="CQ54" s="783">
        <f>IF('Incremental Repayments'!$R$22="Debt",IF(AND(CQ$4&gt;=$D54,CQ$4&lt;$D54+'Incremental Repayments'!$I$31),-PMT('Interest Rate'!$J$16,'Incremental Repayments'!$I$31,(HLOOKUP($D54,$E$4:$CZ$32,28,FALSE)*'Incremental Repayments'!$I$22)),0),0)</f>
        <v>0</v>
      </c>
      <c r="CR54" s="783">
        <f>IF('Incremental Repayments'!$R$22="Debt",IF(AND(CR$4&gt;=$D54,CR$4&lt;$D54+'Incremental Repayments'!$I$31),-PMT('Interest Rate'!$J$16,'Incremental Repayments'!$I$31,(HLOOKUP($D54,$E$4:$CZ$32,28,FALSE)*'Incremental Repayments'!$I$22)),0),0)</f>
        <v>0</v>
      </c>
      <c r="CS54" s="783">
        <f>IF('Incremental Repayments'!$R$22="Debt",IF(AND(CS$4&gt;=$D54,CS$4&lt;$D54+'Incremental Repayments'!$I$31),-PMT('Interest Rate'!$J$16,'Incremental Repayments'!$I$31,(HLOOKUP($D54,$E$4:$CZ$32,28,FALSE)*'Incremental Repayments'!$I$22)),0),0)</f>
        <v>0</v>
      </c>
      <c r="CT54" s="783">
        <f>IF('Incremental Repayments'!$R$22="Debt",IF(AND(CT$4&gt;=$D54,CT$4&lt;$D54+'Incremental Repayments'!$I$31),-PMT('Interest Rate'!$J$16,'Incremental Repayments'!$I$31,(HLOOKUP($D54,$E$4:$CZ$32,28,FALSE)*'Incremental Repayments'!$I$22)),0),0)</f>
        <v>0</v>
      </c>
      <c r="CU54" s="783">
        <f>IF('Incremental Repayments'!$R$22="Debt",IF(AND(CU$4&gt;=$D54,CU$4&lt;$D54+'Incremental Repayments'!$I$31),-PMT('Interest Rate'!$J$16,'Incremental Repayments'!$I$31,(HLOOKUP($D54,$E$4:$CZ$32,28,FALSE)*'Incremental Repayments'!$I$22)),0),0)</f>
        <v>0</v>
      </c>
      <c r="CV54" s="783">
        <f>IF('Incremental Repayments'!$R$22="Debt",IF(AND(CV$4&gt;=$D54,CV$4&lt;$D54+'Incremental Repayments'!$I$31),-PMT('Interest Rate'!$J$16,'Incremental Repayments'!$I$31,(HLOOKUP($D54,$E$4:$CZ$32,28,FALSE)*'Incremental Repayments'!$I$22)),0),0)</f>
        <v>0</v>
      </c>
      <c r="CW54" s="783">
        <f>IF('Incremental Repayments'!$R$22="Debt",IF(AND(CW$4&gt;=$D54,CW$4&lt;$D54+'Incremental Repayments'!$I$31),-PMT('Interest Rate'!$J$16,'Incremental Repayments'!$I$31,(HLOOKUP($D54,$E$4:$CZ$32,28,FALSE)*'Incremental Repayments'!$I$22)),0),0)</f>
        <v>0</v>
      </c>
      <c r="CX54" s="783">
        <f>IF('Incremental Repayments'!$R$22="Debt",IF(AND(CX$4&gt;=$D54,CX$4&lt;$D54+'Incremental Repayments'!$I$31),-PMT('Interest Rate'!$J$16,'Incremental Repayments'!$I$31,(HLOOKUP($D54,$E$4:$CZ$32,28,FALSE)*'Incremental Repayments'!$I$22)),0),0)</f>
        <v>0</v>
      </c>
      <c r="CY54" s="783">
        <f>IF('Incremental Repayments'!$R$22="Debt",IF(AND(CY$4&gt;=$D54,CY$4&lt;$D54+'Incremental Repayments'!$I$31),-PMT('Interest Rate'!$J$16,'Incremental Repayments'!$I$31,(HLOOKUP($D54,$E$4:$CZ$32,28,FALSE)*'Incremental Repayments'!$I$22)),0),0)</f>
        <v>0</v>
      </c>
      <c r="CZ54" s="783">
        <f>IF('Incremental Repayments'!$R$22="Debt",IF(AND(CZ$4&gt;=$D54,CZ$4&lt;$D54+'Incremental Repayments'!$I$31),-PMT('Interest Rate'!$J$16,'Incremental Repayments'!$I$31,(HLOOKUP($D54,$E$4:$CZ$32,28,FALSE)*'Incremental Repayments'!$I$22)),0),0)</f>
        <v>0</v>
      </c>
    </row>
    <row r="55" spans="1:104" x14ac:dyDescent="0.25">
      <c r="B55" s="480" t="str">
        <f>CONCATENATE("Series ",D55,"A Bonds (at ",'Interest Rate'!$J$16*100,"% Interest)")</f>
        <v>Series 2033A Bonds (at 4.5% Interest)</v>
      </c>
      <c r="C55" s="480"/>
      <c r="D55" s="492">
        <f>D54+1</f>
        <v>2033</v>
      </c>
      <c r="E55" s="783">
        <f>IF('Incremental Repayments'!$R$22="Debt",IF(AND(E$4&gt;=$D55,E$4&lt;$D55+'Incremental Repayments'!$I$31),-PMT('Interest Rate'!$J$16,'Incremental Repayments'!$I$31,(HLOOKUP($D55,$E$4:$CZ$32,28,FALSE)*'Incremental Repayments'!$I$22)),0),0)</f>
        <v>0</v>
      </c>
      <c r="F55" s="783">
        <f>IF('Incremental Repayments'!$R$22="Debt",IF(AND(F$4&gt;=$D55,F$4&lt;$D55+'Incremental Repayments'!$I$31),-PMT('Interest Rate'!$J$16,'Incremental Repayments'!$I$31,(HLOOKUP($D55,$E$4:$CZ$32,28,FALSE)*'Incremental Repayments'!$I$22)),0),0)</f>
        <v>0</v>
      </c>
      <c r="G55" s="783">
        <f>IF('Incremental Repayments'!$R$22="Debt",IF(AND(G$4&gt;=$D55,G$4&lt;$D55+'Incremental Repayments'!$I$31),-PMT('Interest Rate'!$J$16,'Incremental Repayments'!$I$31,(HLOOKUP($D55,$E$4:$CZ$32,28,FALSE)*'Incremental Repayments'!$I$22)),0),0)</f>
        <v>0</v>
      </c>
      <c r="H55" s="783">
        <f>IF('Incremental Repayments'!$R$22="Debt",IF(AND(H$4&gt;=$D55,H$4&lt;$D55+'Incremental Repayments'!$I$31),-PMT('Interest Rate'!$J$16,'Incremental Repayments'!$I$31,(HLOOKUP($D55,$E$4:$CZ$32,28,FALSE)*'Incremental Repayments'!$I$22)),0),0)</f>
        <v>0</v>
      </c>
      <c r="I55" s="783">
        <f>IF('Incremental Repayments'!$R$22="Debt",IF(AND(I$4&gt;=$D55,I$4&lt;$D55+'Incremental Repayments'!$I$31),-PMT('Interest Rate'!$J$16,'Incremental Repayments'!$I$31,(HLOOKUP($D55,$E$4:$CZ$32,28,FALSE)*'Incremental Repayments'!$I$22)),0),0)</f>
        <v>0</v>
      </c>
      <c r="J55" s="783">
        <f>IF('Incremental Repayments'!$R$22="Debt",IF(AND(J$4&gt;=$D55,J$4&lt;$D55+'Incremental Repayments'!$I$31),-PMT('Interest Rate'!$J$16,'Incremental Repayments'!$I$31,(HLOOKUP($D55,$E$4:$CZ$32,28,FALSE)*'Incremental Repayments'!$I$22)),0),0)</f>
        <v>0</v>
      </c>
      <c r="K55" s="783">
        <f>IF('Incremental Repayments'!$R$22="Debt",IF(AND(K$4&gt;=$D55,K$4&lt;$D55+'Incremental Repayments'!$I$31),-PMT('Interest Rate'!$J$16,'Incremental Repayments'!$I$31,(HLOOKUP($D55,$E$4:$CZ$32,28,FALSE)*'Incremental Repayments'!$I$22)),0),0)</f>
        <v>0</v>
      </c>
      <c r="L55" s="783">
        <f>IF('Incremental Repayments'!$R$22="Debt",IF(AND(L$4&gt;=$D55,L$4&lt;$D55+'Incremental Repayments'!$I$31),-PMT('Interest Rate'!$J$16,'Incremental Repayments'!$I$31,(HLOOKUP($D55,$E$4:$CZ$32,28,FALSE)*'Incremental Repayments'!$I$22)),0),0)</f>
        <v>0</v>
      </c>
      <c r="M55" s="783">
        <f>IF('Incremental Repayments'!$R$22="Debt",IF(AND(M$4&gt;=$D55,M$4&lt;$D55+'Incremental Repayments'!$I$31),-PMT('Interest Rate'!$J$16,'Incremental Repayments'!$I$31,(HLOOKUP($D55,$E$4:$CZ$32,28,FALSE)*'Incremental Repayments'!$I$22)),0),0)</f>
        <v>0</v>
      </c>
      <c r="N55" s="783">
        <f>IF('Incremental Repayments'!$R$22="Debt",IF(AND(N$4&gt;=$D55,N$4&lt;$D55+'Incremental Repayments'!$I$31),-PMT('Interest Rate'!$J$16,'Incremental Repayments'!$I$31,(HLOOKUP($D55,$E$4:$CZ$32,28,FALSE)*'Incremental Repayments'!$I$22)),0),0)</f>
        <v>0</v>
      </c>
      <c r="O55" s="783">
        <f>IF('Incremental Repayments'!$R$22="Debt",IF(AND(O$4&gt;=$D55,O$4&lt;$D55+'Incremental Repayments'!$I$31),-PMT('Interest Rate'!$J$16,'Incremental Repayments'!$I$31,(HLOOKUP($D55,$E$4:$CZ$32,28,FALSE)*'Incremental Repayments'!$I$22)),0),0)</f>
        <v>0</v>
      </c>
      <c r="P55" s="783">
        <f>IF('Incremental Repayments'!$R$22="Debt",IF(AND(P$4&gt;=$D55,P$4&lt;$D55+'Incremental Repayments'!$I$31),-PMT('Interest Rate'!$J$16,'Incremental Repayments'!$I$31,(HLOOKUP($D55,$E$4:$CZ$32,28,FALSE)*'Incremental Repayments'!$I$22)),0),0)</f>
        <v>0</v>
      </c>
      <c r="Q55" s="783">
        <f>IF('Incremental Repayments'!$R$22="Debt",IF(AND(Q$4&gt;=$D55,Q$4&lt;$D55+'Incremental Repayments'!$I$31),-PMT('Interest Rate'!$J$16,'Incremental Repayments'!$I$31,(HLOOKUP($D55,$E$4:$CZ$32,28,FALSE)*'Incremental Repayments'!$I$22)),0),0)</f>
        <v>0</v>
      </c>
      <c r="R55" s="783">
        <f>IF('Incremental Repayments'!$R$22="Debt",IF(AND(R$4&gt;=$D55,R$4&lt;$D55+'Incremental Repayments'!$I$31),-PMT('Interest Rate'!$J$16,'Incremental Repayments'!$I$31,(HLOOKUP($D55,$E$4:$CZ$32,28,FALSE)*'Incremental Repayments'!$I$22)),0),0)</f>
        <v>0</v>
      </c>
      <c r="S55" s="783">
        <f>IF('Incremental Repayments'!$R$22="Debt",IF(AND(S$4&gt;=$D55,S$4&lt;$D55+'Incremental Repayments'!$I$31),-PMT('Interest Rate'!$J$16,'Incremental Repayments'!$I$31,(HLOOKUP($D55,$E$4:$CZ$32,28,FALSE)*'Incremental Repayments'!$I$22)),0),0)</f>
        <v>0</v>
      </c>
      <c r="T55" s="783">
        <f>IF('Incremental Repayments'!$R$22="Debt",IF(AND(T$4&gt;=$D55,T$4&lt;$D55+'Incremental Repayments'!$I$31),-PMT('Interest Rate'!$J$16,'Incremental Repayments'!$I$31,(HLOOKUP($D55,$E$4:$CZ$32,28,FALSE)*'Incremental Repayments'!$I$22)),0),0)</f>
        <v>0</v>
      </c>
      <c r="U55" s="783">
        <f>IF('Incremental Repayments'!$R$22="Debt",IF(AND(U$4&gt;=$D55,U$4&lt;$D55+'Incremental Repayments'!$I$31),-PMT('Interest Rate'!$J$16,'Incremental Repayments'!$I$31,(HLOOKUP($D55,$E$4:$CZ$32,28,FALSE)*'Incremental Repayments'!$I$22)),0),0)</f>
        <v>0</v>
      </c>
      <c r="V55" s="783">
        <f>IF('Incremental Repayments'!$R$22="Debt",IF(AND(V$4&gt;=$D55,V$4&lt;$D55+'Incremental Repayments'!$I$31),-PMT('Interest Rate'!$J$16,'Incremental Repayments'!$I$31,(HLOOKUP($D55,$E$4:$CZ$32,28,FALSE)*'Incremental Repayments'!$I$22)),0),0)</f>
        <v>0</v>
      </c>
      <c r="W55" s="783">
        <f>IF('Incremental Repayments'!$R$22="Debt",IF(AND(W$4&gt;=$D55,W$4&lt;$D55+'Incremental Repayments'!$I$31),-PMT('Interest Rate'!$J$16,'Incremental Repayments'!$I$31,(HLOOKUP($D55,$E$4:$CZ$32,28,FALSE)*'Incremental Repayments'!$I$22)),0),0)</f>
        <v>0</v>
      </c>
      <c r="X55" s="783">
        <f>IF('Incremental Repayments'!$R$22="Debt",IF(AND(X$4&gt;=$D55,X$4&lt;$D55+'Incremental Repayments'!$I$31),-PMT('Interest Rate'!$J$16,'Incremental Repayments'!$I$31,(HLOOKUP($D55,$E$4:$CZ$32,28,FALSE)*'Incremental Repayments'!$I$22)),0),0)</f>
        <v>2204972.8947963663</v>
      </c>
      <c r="Y55" s="783">
        <f>IF('Incremental Repayments'!$R$22="Debt",IF(AND(Y$4&gt;=$D55,Y$4&lt;$D55+'Incremental Repayments'!$I$31),-PMT('Interest Rate'!$J$16,'Incremental Repayments'!$I$31,(HLOOKUP($D55,$E$4:$CZ$32,28,FALSE)*'Incremental Repayments'!$I$22)),0),0)</f>
        <v>2204972.8947963663</v>
      </c>
      <c r="Z55" s="783">
        <f>IF('Incremental Repayments'!$R$22="Debt",IF(AND(Z$4&gt;=$D55,Z$4&lt;$D55+'Incremental Repayments'!$I$31),-PMT('Interest Rate'!$J$16,'Incremental Repayments'!$I$31,(HLOOKUP($D55,$E$4:$CZ$32,28,FALSE)*'Incremental Repayments'!$I$22)),0),0)</f>
        <v>2204972.8947963663</v>
      </c>
      <c r="AA55" s="783">
        <f>IF('Incremental Repayments'!$R$22="Debt",IF(AND(AA$4&gt;=$D55,AA$4&lt;$D55+'Incremental Repayments'!$I$31),-PMT('Interest Rate'!$J$16,'Incremental Repayments'!$I$31,(HLOOKUP($D55,$E$4:$CZ$32,28,FALSE)*'Incremental Repayments'!$I$22)),0),0)</f>
        <v>2204972.8947963663</v>
      </c>
      <c r="AB55" s="783">
        <f>IF('Incremental Repayments'!$R$22="Debt",IF(AND(AB$4&gt;=$D55,AB$4&lt;$D55+'Incremental Repayments'!$I$31),-PMT('Interest Rate'!$J$16,'Incremental Repayments'!$I$31,(HLOOKUP($D55,$E$4:$CZ$32,28,FALSE)*'Incremental Repayments'!$I$22)),0),0)</f>
        <v>2204972.8947963663</v>
      </c>
      <c r="AC55" s="783">
        <f>IF('Incremental Repayments'!$R$22="Debt",IF(AND(AC$4&gt;=$D55,AC$4&lt;$D55+'Incremental Repayments'!$I$31),-PMT('Interest Rate'!$J$16,'Incremental Repayments'!$I$31,(HLOOKUP($D55,$E$4:$CZ$32,28,FALSE)*'Incremental Repayments'!$I$22)),0),0)</f>
        <v>2204972.8947963663</v>
      </c>
      <c r="AD55" s="783">
        <f>IF('Incremental Repayments'!$R$22="Debt",IF(AND(AD$4&gt;=$D55,AD$4&lt;$D55+'Incremental Repayments'!$I$31),-PMT('Interest Rate'!$J$16,'Incremental Repayments'!$I$31,(HLOOKUP($D55,$E$4:$CZ$32,28,FALSE)*'Incremental Repayments'!$I$22)),0),0)</f>
        <v>2204972.8947963663</v>
      </c>
      <c r="AE55" s="783">
        <f>IF('Incremental Repayments'!$R$22="Debt",IF(AND(AE$4&gt;=$D55,AE$4&lt;$D55+'Incremental Repayments'!$I$31),-PMT('Interest Rate'!$J$16,'Incremental Repayments'!$I$31,(HLOOKUP($D55,$E$4:$CZ$32,28,FALSE)*'Incremental Repayments'!$I$22)),0),0)</f>
        <v>2204972.8947963663</v>
      </c>
      <c r="AF55" s="783">
        <f>IF('Incremental Repayments'!$R$22="Debt",IF(AND(AF$4&gt;=$D55,AF$4&lt;$D55+'Incremental Repayments'!$I$31),-PMT('Interest Rate'!$J$16,'Incremental Repayments'!$I$31,(HLOOKUP($D55,$E$4:$CZ$32,28,FALSE)*'Incremental Repayments'!$I$22)),0),0)</f>
        <v>2204972.8947963663</v>
      </c>
      <c r="AG55" s="783">
        <f>IF('Incremental Repayments'!$R$22="Debt",IF(AND(AG$4&gt;=$D55,AG$4&lt;$D55+'Incremental Repayments'!$I$31),-PMT('Interest Rate'!$J$16,'Incremental Repayments'!$I$31,(HLOOKUP($D55,$E$4:$CZ$32,28,FALSE)*'Incremental Repayments'!$I$22)),0),0)</f>
        <v>2204972.8947963663</v>
      </c>
      <c r="AH55" s="783">
        <f>IF('Incremental Repayments'!$R$22="Debt",IF(AND(AH$4&gt;=$D55,AH$4&lt;$D55+'Incremental Repayments'!$I$31),-PMT('Interest Rate'!$J$16,'Incremental Repayments'!$I$31,(HLOOKUP($D55,$E$4:$CZ$32,28,FALSE)*'Incremental Repayments'!$I$22)),0),0)</f>
        <v>2204972.8947963663</v>
      </c>
      <c r="AI55" s="783">
        <f>IF('Incremental Repayments'!$R$22="Debt",IF(AND(AI$4&gt;=$D55,AI$4&lt;$D55+'Incremental Repayments'!$I$31),-PMT('Interest Rate'!$J$16,'Incremental Repayments'!$I$31,(HLOOKUP($D55,$E$4:$CZ$32,28,FALSE)*'Incremental Repayments'!$I$22)),0),0)</f>
        <v>2204972.8947963663</v>
      </c>
      <c r="AJ55" s="783">
        <f>IF('Incremental Repayments'!$R$22="Debt",IF(AND(AJ$4&gt;=$D55,AJ$4&lt;$D55+'Incremental Repayments'!$I$31),-PMT('Interest Rate'!$J$16,'Incremental Repayments'!$I$31,(HLOOKUP($D55,$E$4:$CZ$32,28,FALSE)*'Incremental Repayments'!$I$22)),0),0)</f>
        <v>2204972.8947963663</v>
      </c>
      <c r="AK55" s="783">
        <f>IF('Incremental Repayments'!$R$22="Debt",IF(AND(AK$4&gt;=$D55,AK$4&lt;$D55+'Incremental Repayments'!$I$31),-PMT('Interest Rate'!$J$16,'Incremental Repayments'!$I$31,(HLOOKUP($D55,$E$4:$CZ$32,28,FALSE)*'Incremental Repayments'!$I$22)),0),0)</f>
        <v>2204972.8947963663</v>
      </c>
      <c r="AL55" s="783">
        <f>IF('Incremental Repayments'!$R$22="Debt",IF(AND(AL$4&gt;=$D55,AL$4&lt;$D55+'Incremental Repayments'!$I$31),-PMT('Interest Rate'!$J$16,'Incremental Repayments'!$I$31,(HLOOKUP($D55,$E$4:$CZ$32,28,FALSE)*'Incremental Repayments'!$I$22)),0),0)</f>
        <v>2204972.8947963663</v>
      </c>
      <c r="AM55" s="783">
        <f>IF('Incremental Repayments'!$R$22="Debt",IF(AND(AM$4&gt;=$D55,AM$4&lt;$D55+'Incremental Repayments'!$I$31),-PMT('Interest Rate'!$J$16,'Incremental Repayments'!$I$31,(HLOOKUP($D55,$E$4:$CZ$32,28,FALSE)*'Incremental Repayments'!$I$22)),0),0)</f>
        <v>2204972.8947963663</v>
      </c>
      <c r="AN55" s="783">
        <f>IF('Incremental Repayments'!$R$22="Debt",IF(AND(AN$4&gt;=$D55,AN$4&lt;$D55+'Incremental Repayments'!$I$31),-PMT('Interest Rate'!$J$16,'Incremental Repayments'!$I$31,(HLOOKUP($D55,$E$4:$CZ$32,28,FALSE)*'Incremental Repayments'!$I$22)),0),0)</f>
        <v>2204972.8947963663</v>
      </c>
      <c r="AO55" s="783">
        <f>IF('Incremental Repayments'!$R$22="Debt",IF(AND(AO$4&gt;=$D55,AO$4&lt;$D55+'Incremental Repayments'!$I$31),-PMT('Interest Rate'!$J$16,'Incremental Repayments'!$I$31,(HLOOKUP($D55,$E$4:$CZ$32,28,FALSE)*'Incremental Repayments'!$I$22)),0),0)</f>
        <v>2204972.8947963663</v>
      </c>
      <c r="AP55" s="783">
        <f>IF('Incremental Repayments'!$R$22="Debt",IF(AND(AP$4&gt;=$D55,AP$4&lt;$D55+'Incremental Repayments'!$I$31),-PMT('Interest Rate'!$J$16,'Incremental Repayments'!$I$31,(HLOOKUP($D55,$E$4:$CZ$32,28,FALSE)*'Incremental Repayments'!$I$22)),0),0)</f>
        <v>2204972.8947963663</v>
      </c>
      <c r="AQ55" s="783">
        <f>IF('Incremental Repayments'!$R$22="Debt",IF(AND(AQ$4&gt;=$D55,AQ$4&lt;$D55+'Incremental Repayments'!$I$31),-PMT('Interest Rate'!$J$16,'Incremental Repayments'!$I$31,(HLOOKUP($D55,$E$4:$CZ$32,28,FALSE)*'Incremental Repayments'!$I$22)),0),0)</f>
        <v>2204972.8947963663</v>
      </c>
      <c r="AR55" s="783">
        <f>IF('Incremental Repayments'!$R$22="Debt",IF(AND(AR$4&gt;=$D55,AR$4&lt;$D55+'Incremental Repayments'!$I$31),-PMT('Interest Rate'!$J$16,'Incremental Repayments'!$I$31,(HLOOKUP($D55,$E$4:$CZ$32,28,FALSE)*'Incremental Repayments'!$I$22)),0),0)</f>
        <v>2204972.8947963663</v>
      </c>
      <c r="AS55" s="783">
        <f>IF('Incremental Repayments'!$R$22="Debt",IF(AND(AS$4&gt;=$D55,AS$4&lt;$D55+'Incremental Repayments'!$I$31),-PMT('Interest Rate'!$J$16,'Incremental Repayments'!$I$31,(HLOOKUP($D55,$E$4:$CZ$32,28,FALSE)*'Incremental Repayments'!$I$22)),0),0)</f>
        <v>2204972.8947963663</v>
      </c>
      <c r="AT55" s="783">
        <f>IF('Incremental Repayments'!$R$22="Debt",IF(AND(AT$4&gt;=$D55,AT$4&lt;$D55+'Incremental Repayments'!$I$31),-PMT('Interest Rate'!$J$16,'Incremental Repayments'!$I$31,(HLOOKUP($D55,$E$4:$CZ$32,28,FALSE)*'Incremental Repayments'!$I$22)),0),0)</f>
        <v>2204972.8947963663</v>
      </c>
      <c r="AU55" s="783">
        <f>IF('Incremental Repayments'!$R$22="Debt",IF(AND(AU$4&gt;=$D55,AU$4&lt;$D55+'Incremental Repayments'!$I$31),-PMT('Interest Rate'!$J$16,'Incremental Repayments'!$I$31,(HLOOKUP($D55,$E$4:$CZ$32,28,FALSE)*'Incremental Repayments'!$I$22)),0),0)</f>
        <v>2204972.8947963663</v>
      </c>
      <c r="AV55" s="783">
        <f>IF('Incremental Repayments'!$R$22="Debt",IF(AND(AV$4&gt;=$D55,AV$4&lt;$D55+'Incremental Repayments'!$I$31),-PMT('Interest Rate'!$J$16,'Incremental Repayments'!$I$31,(HLOOKUP($D55,$E$4:$CZ$32,28,FALSE)*'Incremental Repayments'!$I$22)),0),0)</f>
        <v>2204972.8947963663</v>
      </c>
      <c r="AW55" s="783">
        <f>IF('Incremental Repayments'!$R$22="Debt",IF(AND(AW$4&gt;=$D55,AW$4&lt;$D55+'Incremental Repayments'!$I$31),-PMT('Interest Rate'!$J$16,'Incremental Repayments'!$I$31,(HLOOKUP($D55,$E$4:$CZ$32,28,FALSE)*'Incremental Repayments'!$I$22)),0),0)</f>
        <v>2204972.8947963663</v>
      </c>
      <c r="AX55" s="783">
        <f>IF('Incremental Repayments'!$R$22="Debt",IF(AND(AX$4&gt;=$D55,AX$4&lt;$D55+'Incremental Repayments'!$I$31),-PMT('Interest Rate'!$J$16,'Incremental Repayments'!$I$31,(HLOOKUP($D55,$E$4:$CZ$32,28,FALSE)*'Incremental Repayments'!$I$22)),0),0)</f>
        <v>2204972.8947963663</v>
      </c>
      <c r="AY55" s="783">
        <f>IF('Incremental Repayments'!$R$22="Debt",IF(AND(AY$4&gt;=$D55,AY$4&lt;$D55+'Incremental Repayments'!$I$31),-PMT('Interest Rate'!$J$16,'Incremental Repayments'!$I$31,(HLOOKUP($D55,$E$4:$CZ$32,28,FALSE)*'Incremental Repayments'!$I$22)),0),0)</f>
        <v>2204972.8947963663</v>
      </c>
      <c r="AZ55" s="783">
        <f>IF('Incremental Repayments'!$R$22="Debt",IF(AND(AZ$4&gt;=$D55,AZ$4&lt;$D55+'Incremental Repayments'!$I$31),-PMT('Interest Rate'!$J$16,'Incremental Repayments'!$I$31,(HLOOKUP($D55,$E$4:$CZ$32,28,FALSE)*'Incremental Repayments'!$I$22)),0),0)</f>
        <v>2204972.8947963663</v>
      </c>
      <c r="BA55" s="783">
        <f>IF('Incremental Repayments'!$R$22="Debt",IF(AND(BA$4&gt;=$D55,BA$4&lt;$D55+'Incremental Repayments'!$I$31),-PMT('Interest Rate'!$J$16,'Incremental Repayments'!$I$31,(HLOOKUP($D55,$E$4:$CZ$32,28,FALSE)*'Incremental Repayments'!$I$22)),0),0)</f>
        <v>2204972.8947963663</v>
      </c>
      <c r="BB55" s="783">
        <f>IF('Incremental Repayments'!$R$22="Debt",IF(AND(BB$4&gt;=$D55,BB$4&lt;$D55+'Incremental Repayments'!$I$31),-PMT('Interest Rate'!$J$16,'Incremental Repayments'!$I$31,(HLOOKUP($D55,$E$4:$CZ$32,28,FALSE)*'Incremental Repayments'!$I$22)),0),0)</f>
        <v>0</v>
      </c>
      <c r="BC55" s="783">
        <f>IF('Incremental Repayments'!$R$22="Debt",IF(AND(BC$4&gt;=$D55,BC$4&lt;$D55+'Incremental Repayments'!$I$31),-PMT('Interest Rate'!$J$16,'Incremental Repayments'!$I$31,(HLOOKUP($D55,$E$4:$CZ$32,28,FALSE)*'Incremental Repayments'!$I$22)),0),0)</f>
        <v>0</v>
      </c>
      <c r="BD55" s="783">
        <f>IF('Incremental Repayments'!$R$22="Debt",IF(AND(BD$4&gt;=$D55,BD$4&lt;$D55+'Incremental Repayments'!$I$31),-PMT('Interest Rate'!$J$16,'Incremental Repayments'!$I$31,(HLOOKUP($D55,$E$4:$CZ$32,28,FALSE)*'Incremental Repayments'!$I$22)),0),0)</f>
        <v>0</v>
      </c>
      <c r="BE55" s="783">
        <f>IF('Incremental Repayments'!$R$22="Debt",IF(AND(BE$4&gt;=$D55,BE$4&lt;$D55+'Incremental Repayments'!$I$31),-PMT('Interest Rate'!$J$16,'Incremental Repayments'!$I$31,(HLOOKUP($D55,$E$4:$CZ$32,28,FALSE)*'Incremental Repayments'!$I$22)),0),0)</f>
        <v>0</v>
      </c>
      <c r="BF55" s="783">
        <f>IF('Incremental Repayments'!$R$22="Debt",IF(AND(BF$4&gt;=$D55,BF$4&lt;$D55+'Incremental Repayments'!$I$31),-PMT('Interest Rate'!$J$16,'Incremental Repayments'!$I$31,(HLOOKUP($D55,$E$4:$CZ$32,28,FALSE)*'Incremental Repayments'!$I$22)),0),0)</f>
        <v>0</v>
      </c>
      <c r="BG55" s="783">
        <f>IF('Incremental Repayments'!$R$22="Debt",IF(AND(BG$4&gt;=$D55,BG$4&lt;$D55+'Incremental Repayments'!$I$31),-PMT('Interest Rate'!$J$16,'Incremental Repayments'!$I$31,(HLOOKUP($D55,$E$4:$CZ$32,28,FALSE)*'Incremental Repayments'!$I$22)),0),0)</f>
        <v>0</v>
      </c>
      <c r="BH55" s="783">
        <f>IF('Incremental Repayments'!$R$22="Debt",IF(AND(BH$4&gt;=$D55,BH$4&lt;$D55+'Incremental Repayments'!$I$31),-PMT('Interest Rate'!$J$16,'Incremental Repayments'!$I$31,(HLOOKUP($D55,$E$4:$CZ$32,28,FALSE)*'Incremental Repayments'!$I$22)),0),0)</f>
        <v>0</v>
      </c>
      <c r="BI55" s="783">
        <f>IF('Incremental Repayments'!$R$22="Debt",IF(AND(BI$4&gt;=$D55,BI$4&lt;$D55+'Incremental Repayments'!$I$31),-PMT('Interest Rate'!$J$16,'Incremental Repayments'!$I$31,(HLOOKUP($D55,$E$4:$CZ$32,28,FALSE)*'Incremental Repayments'!$I$22)),0),0)</f>
        <v>0</v>
      </c>
      <c r="BJ55" s="783">
        <f>IF('Incremental Repayments'!$R$22="Debt",IF(AND(BJ$4&gt;=$D55,BJ$4&lt;$D55+'Incremental Repayments'!$I$31),-PMT('Interest Rate'!$J$16,'Incremental Repayments'!$I$31,(HLOOKUP($D55,$E$4:$CZ$32,28,FALSE)*'Incremental Repayments'!$I$22)),0),0)</f>
        <v>0</v>
      </c>
      <c r="BK55" s="783">
        <f>IF('Incremental Repayments'!$R$22="Debt",IF(AND(BK$4&gt;=$D55,BK$4&lt;$D55+'Incremental Repayments'!$I$31),-PMT('Interest Rate'!$J$16,'Incremental Repayments'!$I$31,(HLOOKUP($D55,$E$4:$CZ$32,28,FALSE)*'Incremental Repayments'!$I$22)),0),0)</f>
        <v>0</v>
      </c>
      <c r="BL55" s="783">
        <f>IF('Incremental Repayments'!$R$22="Debt",IF(AND(BL$4&gt;=$D55,BL$4&lt;$D55+'Incremental Repayments'!$I$31),-PMT('Interest Rate'!$J$16,'Incremental Repayments'!$I$31,(HLOOKUP($D55,$E$4:$CZ$32,28,FALSE)*'Incremental Repayments'!$I$22)),0),0)</f>
        <v>0</v>
      </c>
      <c r="BM55" s="783">
        <f>IF('Incremental Repayments'!$R$22="Debt",IF(AND(BM$4&gt;=$D55,BM$4&lt;$D55+'Incremental Repayments'!$I$31),-PMT('Interest Rate'!$J$16,'Incremental Repayments'!$I$31,(HLOOKUP($D55,$E$4:$CZ$32,28,FALSE)*'Incremental Repayments'!$I$22)),0),0)</f>
        <v>0</v>
      </c>
      <c r="BN55" s="783">
        <f>IF('Incremental Repayments'!$R$22="Debt",IF(AND(BN$4&gt;=$D55,BN$4&lt;$D55+'Incremental Repayments'!$I$31),-PMT('Interest Rate'!$J$16,'Incremental Repayments'!$I$31,(HLOOKUP($D55,$E$4:$CZ$32,28,FALSE)*'Incremental Repayments'!$I$22)),0),0)</f>
        <v>0</v>
      </c>
      <c r="BO55" s="783">
        <f>IF('Incremental Repayments'!$R$22="Debt",IF(AND(BO$4&gt;=$D55,BO$4&lt;$D55+'Incremental Repayments'!$I$31),-PMT('Interest Rate'!$J$16,'Incremental Repayments'!$I$31,(HLOOKUP($D55,$E$4:$CZ$32,28,FALSE)*'Incremental Repayments'!$I$22)),0),0)</f>
        <v>0</v>
      </c>
      <c r="BP55" s="783">
        <f>IF('Incremental Repayments'!$R$22="Debt",IF(AND(BP$4&gt;=$D55,BP$4&lt;$D55+'Incremental Repayments'!$I$31),-PMT('Interest Rate'!$J$16,'Incremental Repayments'!$I$31,(HLOOKUP($D55,$E$4:$CZ$32,28,FALSE)*'Incremental Repayments'!$I$22)),0),0)</f>
        <v>0</v>
      </c>
      <c r="BQ55" s="783">
        <f>IF('Incremental Repayments'!$R$22="Debt",IF(AND(BQ$4&gt;=$D55,BQ$4&lt;$D55+'Incremental Repayments'!$I$31),-PMT('Interest Rate'!$J$16,'Incremental Repayments'!$I$31,(HLOOKUP($D55,$E$4:$CZ$32,28,FALSE)*'Incremental Repayments'!$I$22)),0),0)</f>
        <v>0</v>
      </c>
      <c r="BR55" s="783">
        <f>IF('Incremental Repayments'!$R$22="Debt",IF(AND(BR$4&gt;=$D55,BR$4&lt;$D55+'Incremental Repayments'!$I$31),-PMT('Interest Rate'!$J$16,'Incremental Repayments'!$I$31,(HLOOKUP($D55,$E$4:$CZ$32,28,FALSE)*'Incremental Repayments'!$I$22)),0),0)</f>
        <v>0</v>
      </c>
      <c r="BS55" s="783">
        <f>IF('Incremental Repayments'!$R$22="Debt",IF(AND(BS$4&gt;=$D55,BS$4&lt;$D55+'Incremental Repayments'!$I$31),-PMT('Interest Rate'!$J$16,'Incremental Repayments'!$I$31,(HLOOKUP($D55,$E$4:$CZ$32,28,FALSE)*'Incremental Repayments'!$I$22)),0),0)</f>
        <v>0</v>
      </c>
      <c r="BT55" s="783">
        <f>IF('Incremental Repayments'!$R$22="Debt",IF(AND(BT$4&gt;=$D55,BT$4&lt;$D55+'Incremental Repayments'!$I$31),-PMT('Interest Rate'!$J$16,'Incremental Repayments'!$I$31,(HLOOKUP($D55,$E$4:$CZ$32,28,FALSE)*'Incremental Repayments'!$I$22)),0),0)</f>
        <v>0</v>
      </c>
      <c r="BU55" s="783">
        <f>IF('Incremental Repayments'!$R$22="Debt",IF(AND(BU$4&gt;=$D55,BU$4&lt;$D55+'Incremental Repayments'!$I$31),-PMT('Interest Rate'!$J$16,'Incremental Repayments'!$I$31,(HLOOKUP($D55,$E$4:$CZ$32,28,FALSE)*'Incremental Repayments'!$I$22)),0),0)</f>
        <v>0</v>
      </c>
      <c r="BV55" s="783">
        <f>IF('Incremental Repayments'!$R$22="Debt",IF(AND(BV$4&gt;=$D55,BV$4&lt;$D55+'Incremental Repayments'!$I$31),-PMT('Interest Rate'!$J$16,'Incremental Repayments'!$I$31,(HLOOKUP($D55,$E$4:$CZ$32,28,FALSE)*'Incremental Repayments'!$I$22)),0),0)</f>
        <v>0</v>
      </c>
      <c r="BW55" s="783">
        <f>IF('Incremental Repayments'!$R$22="Debt",IF(AND(BW$4&gt;=$D55,BW$4&lt;$D55+'Incremental Repayments'!$I$31),-PMT('Interest Rate'!$J$16,'Incremental Repayments'!$I$31,(HLOOKUP($D55,$E$4:$CZ$32,28,FALSE)*'Incremental Repayments'!$I$22)),0),0)</f>
        <v>0</v>
      </c>
      <c r="BX55" s="783">
        <f>IF('Incremental Repayments'!$R$22="Debt",IF(AND(BX$4&gt;=$D55,BX$4&lt;$D55+'Incremental Repayments'!$I$31),-PMT('Interest Rate'!$J$16,'Incremental Repayments'!$I$31,(HLOOKUP($D55,$E$4:$CZ$32,28,FALSE)*'Incremental Repayments'!$I$22)),0),0)</f>
        <v>0</v>
      </c>
      <c r="BY55" s="783">
        <f>IF('Incremental Repayments'!$R$22="Debt",IF(AND(BY$4&gt;=$D55,BY$4&lt;$D55+'Incremental Repayments'!$I$31),-PMT('Interest Rate'!$J$16,'Incremental Repayments'!$I$31,(HLOOKUP($D55,$E$4:$CZ$32,28,FALSE)*'Incremental Repayments'!$I$22)),0),0)</f>
        <v>0</v>
      </c>
      <c r="BZ55" s="783">
        <f>IF('Incremental Repayments'!$R$22="Debt",IF(AND(BZ$4&gt;=$D55,BZ$4&lt;$D55+'Incremental Repayments'!$I$31),-PMT('Interest Rate'!$J$16,'Incremental Repayments'!$I$31,(HLOOKUP($D55,$E$4:$CZ$32,28,FALSE)*'Incremental Repayments'!$I$22)),0),0)</f>
        <v>0</v>
      </c>
      <c r="CA55" s="783">
        <f>IF('Incremental Repayments'!$R$22="Debt",IF(AND(CA$4&gt;=$D55,CA$4&lt;$D55+'Incremental Repayments'!$I$31),-PMT('Interest Rate'!$J$16,'Incremental Repayments'!$I$31,(HLOOKUP($D55,$E$4:$CZ$32,28,FALSE)*'Incremental Repayments'!$I$22)),0),0)</f>
        <v>0</v>
      </c>
      <c r="CB55" s="783">
        <f>IF('Incremental Repayments'!$R$22="Debt",IF(AND(CB$4&gt;=$D55,CB$4&lt;$D55+'Incremental Repayments'!$I$31),-PMT('Interest Rate'!$J$16,'Incremental Repayments'!$I$31,(HLOOKUP($D55,$E$4:$CZ$32,28,FALSE)*'Incremental Repayments'!$I$22)),0),0)</f>
        <v>0</v>
      </c>
      <c r="CC55" s="783">
        <f>IF('Incremental Repayments'!$R$22="Debt",IF(AND(CC$4&gt;=$D55,CC$4&lt;$D55+'Incremental Repayments'!$I$31),-PMT('Interest Rate'!$J$16,'Incremental Repayments'!$I$31,(HLOOKUP($D55,$E$4:$CZ$32,28,FALSE)*'Incremental Repayments'!$I$22)),0),0)</f>
        <v>0</v>
      </c>
      <c r="CD55" s="783">
        <f>IF('Incremental Repayments'!$R$22="Debt",IF(AND(CD$4&gt;=$D55,CD$4&lt;$D55+'Incremental Repayments'!$I$31),-PMT('Interest Rate'!$J$16,'Incremental Repayments'!$I$31,(HLOOKUP($D55,$E$4:$CZ$32,28,FALSE)*'Incremental Repayments'!$I$22)),0),0)</f>
        <v>0</v>
      </c>
      <c r="CE55" s="783">
        <f>IF('Incremental Repayments'!$R$22="Debt",IF(AND(CE$4&gt;=$D55,CE$4&lt;$D55+'Incremental Repayments'!$I$31),-PMT('Interest Rate'!$J$16,'Incremental Repayments'!$I$31,(HLOOKUP($D55,$E$4:$CZ$32,28,FALSE)*'Incremental Repayments'!$I$22)),0),0)</f>
        <v>0</v>
      </c>
      <c r="CF55" s="783">
        <f>IF('Incremental Repayments'!$R$22="Debt",IF(AND(CF$4&gt;=$D55,CF$4&lt;$D55+'Incremental Repayments'!$I$31),-PMT('Interest Rate'!$J$16,'Incremental Repayments'!$I$31,(HLOOKUP($D55,$E$4:$CZ$32,28,FALSE)*'Incremental Repayments'!$I$22)),0),0)</f>
        <v>0</v>
      </c>
      <c r="CG55" s="783">
        <f>IF('Incremental Repayments'!$R$22="Debt",IF(AND(CG$4&gt;=$D55,CG$4&lt;$D55+'Incremental Repayments'!$I$31),-PMT('Interest Rate'!$J$16,'Incremental Repayments'!$I$31,(HLOOKUP($D55,$E$4:$CZ$32,28,FALSE)*'Incremental Repayments'!$I$22)),0),0)</f>
        <v>0</v>
      </c>
      <c r="CH55" s="783">
        <f>IF('Incremental Repayments'!$R$22="Debt",IF(AND(CH$4&gt;=$D55,CH$4&lt;$D55+'Incremental Repayments'!$I$31),-PMT('Interest Rate'!$J$16,'Incremental Repayments'!$I$31,(HLOOKUP($D55,$E$4:$CZ$32,28,FALSE)*'Incremental Repayments'!$I$22)),0),0)</f>
        <v>0</v>
      </c>
      <c r="CI55" s="783">
        <f>IF('Incremental Repayments'!$R$22="Debt",IF(AND(CI$4&gt;=$D55,CI$4&lt;$D55+'Incremental Repayments'!$I$31),-PMT('Interest Rate'!$J$16,'Incremental Repayments'!$I$31,(HLOOKUP($D55,$E$4:$CZ$32,28,FALSE)*'Incremental Repayments'!$I$22)),0),0)</f>
        <v>0</v>
      </c>
      <c r="CJ55" s="783">
        <f>IF('Incremental Repayments'!$R$22="Debt",IF(AND(CJ$4&gt;=$D55,CJ$4&lt;$D55+'Incremental Repayments'!$I$31),-PMT('Interest Rate'!$J$16,'Incremental Repayments'!$I$31,(HLOOKUP($D55,$E$4:$CZ$32,28,FALSE)*'Incremental Repayments'!$I$22)),0),0)</f>
        <v>0</v>
      </c>
      <c r="CK55" s="783">
        <f>IF('Incremental Repayments'!$R$22="Debt",IF(AND(CK$4&gt;=$D55,CK$4&lt;$D55+'Incremental Repayments'!$I$31),-PMT('Interest Rate'!$J$16,'Incremental Repayments'!$I$31,(HLOOKUP($D55,$E$4:$CZ$32,28,FALSE)*'Incremental Repayments'!$I$22)),0),0)</f>
        <v>0</v>
      </c>
      <c r="CL55" s="783">
        <f>IF('Incremental Repayments'!$R$22="Debt",IF(AND(CL$4&gt;=$D55,CL$4&lt;$D55+'Incremental Repayments'!$I$31),-PMT('Interest Rate'!$J$16,'Incremental Repayments'!$I$31,(HLOOKUP($D55,$E$4:$CZ$32,28,FALSE)*'Incremental Repayments'!$I$22)),0),0)</f>
        <v>0</v>
      </c>
      <c r="CM55" s="783">
        <f>IF('Incremental Repayments'!$R$22="Debt",IF(AND(CM$4&gt;=$D55,CM$4&lt;$D55+'Incremental Repayments'!$I$31),-PMT('Interest Rate'!$J$16,'Incremental Repayments'!$I$31,(HLOOKUP($D55,$E$4:$CZ$32,28,FALSE)*'Incremental Repayments'!$I$22)),0),0)</f>
        <v>0</v>
      </c>
      <c r="CN55" s="783">
        <f>IF('Incremental Repayments'!$R$22="Debt",IF(AND(CN$4&gt;=$D55,CN$4&lt;$D55+'Incremental Repayments'!$I$31),-PMT('Interest Rate'!$J$16,'Incremental Repayments'!$I$31,(HLOOKUP($D55,$E$4:$CZ$32,28,FALSE)*'Incremental Repayments'!$I$22)),0),0)</f>
        <v>0</v>
      </c>
      <c r="CO55" s="783">
        <f>IF('Incremental Repayments'!$R$22="Debt",IF(AND(CO$4&gt;=$D55,CO$4&lt;$D55+'Incremental Repayments'!$I$31),-PMT('Interest Rate'!$J$16,'Incremental Repayments'!$I$31,(HLOOKUP($D55,$E$4:$CZ$32,28,FALSE)*'Incremental Repayments'!$I$22)),0),0)</f>
        <v>0</v>
      </c>
      <c r="CP55" s="783">
        <f>IF('Incremental Repayments'!$R$22="Debt",IF(AND(CP$4&gt;=$D55,CP$4&lt;$D55+'Incremental Repayments'!$I$31),-PMT('Interest Rate'!$J$16,'Incremental Repayments'!$I$31,(HLOOKUP($D55,$E$4:$CZ$32,28,FALSE)*'Incremental Repayments'!$I$22)),0),0)</f>
        <v>0</v>
      </c>
      <c r="CQ55" s="783">
        <f>IF('Incremental Repayments'!$R$22="Debt",IF(AND(CQ$4&gt;=$D55,CQ$4&lt;$D55+'Incremental Repayments'!$I$31),-PMT('Interest Rate'!$J$16,'Incremental Repayments'!$I$31,(HLOOKUP($D55,$E$4:$CZ$32,28,FALSE)*'Incremental Repayments'!$I$22)),0),0)</f>
        <v>0</v>
      </c>
      <c r="CR55" s="783">
        <f>IF('Incremental Repayments'!$R$22="Debt",IF(AND(CR$4&gt;=$D55,CR$4&lt;$D55+'Incremental Repayments'!$I$31),-PMT('Interest Rate'!$J$16,'Incremental Repayments'!$I$31,(HLOOKUP($D55,$E$4:$CZ$32,28,FALSE)*'Incremental Repayments'!$I$22)),0),0)</f>
        <v>0</v>
      </c>
      <c r="CS55" s="783">
        <f>IF('Incremental Repayments'!$R$22="Debt",IF(AND(CS$4&gt;=$D55,CS$4&lt;$D55+'Incremental Repayments'!$I$31),-PMT('Interest Rate'!$J$16,'Incremental Repayments'!$I$31,(HLOOKUP($D55,$E$4:$CZ$32,28,FALSE)*'Incremental Repayments'!$I$22)),0),0)</f>
        <v>0</v>
      </c>
      <c r="CT55" s="783">
        <f>IF('Incremental Repayments'!$R$22="Debt",IF(AND(CT$4&gt;=$D55,CT$4&lt;$D55+'Incremental Repayments'!$I$31),-PMT('Interest Rate'!$J$16,'Incremental Repayments'!$I$31,(HLOOKUP($D55,$E$4:$CZ$32,28,FALSE)*'Incremental Repayments'!$I$22)),0),0)</f>
        <v>0</v>
      </c>
      <c r="CU55" s="783">
        <f>IF('Incremental Repayments'!$R$22="Debt",IF(AND(CU$4&gt;=$D55,CU$4&lt;$D55+'Incremental Repayments'!$I$31),-PMT('Interest Rate'!$J$16,'Incremental Repayments'!$I$31,(HLOOKUP($D55,$E$4:$CZ$32,28,FALSE)*'Incremental Repayments'!$I$22)),0),0)</f>
        <v>0</v>
      </c>
      <c r="CV55" s="783">
        <f>IF('Incremental Repayments'!$R$22="Debt",IF(AND(CV$4&gt;=$D55,CV$4&lt;$D55+'Incremental Repayments'!$I$31),-PMT('Interest Rate'!$J$16,'Incremental Repayments'!$I$31,(HLOOKUP($D55,$E$4:$CZ$32,28,FALSE)*'Incremental Repayments'!$I$22)),0),0)</f>
        <v>0</v>
      </c>
      <c r="CW55" s="783">
        <f>IF('Incremental Repayments'!$R$22="Debt",IF(AND(CW$4&gt;=$D55,CW$4&lt;$D55+'Incremental Repayments'!$I$31),-PMT('Interest Rate'!$J$16,'Incremental Repayments'!$I$31,(HLOOKUP($D55,$E$4:$CZ$32,28,FALSE)*'Incremental Repayments'!$I$22)),0),0)</f>
        <v>0</v>
      </c>
      <c r="CX55" s="783">
        <f>IF('Incremental Repayments'!$R$22="Debt",IF(AND(CX$4&gt;=$D55,CX$4&lt;$D55+'Incremental Repayments'!$I$31),-PMT('Interest Rate'!$J$16,'Incremental Repayments'!$I$31,(HLOOKUP($D55,$E$4:$CZ$32,28,FALSE)*'Incremental Repayments'!$I$22)),0),0)</f>
        <v>0</v>
      </c>
      <c r="CY55" s="783">
        <f>IF('Incremental Repayments'!$R$22="Debt",IF(AND(CY$4&gt;=$D55,CY$4&lt;$D55+'Incremental Repayments'!$I$31),-PMT('Interest Rate'!$J$16,'Incremental Repayments'!$I$31,(HLOOKUP($D55,$E$4:$CZ$32,28,FALSE)*'Incremental Repayments'!$I$22)),0),0)</f>
        <v>0</v>
      </c>
      <c r="CZ55" s="783">
        <f>IF('Incremental Repayments'!$R$22="Debt",IF(AND(CZ$4&gt;=$D55,CZ$4&lt;$D55+'Incremental Repayments'!$I$31),-PMT('Interest Rate'!$J$16,'Incremental Repayments'!$I$31,(HLOOKUP($D55,$E$4:$CZ$32,28,FALSE)*'Incremental Repayments'!$I$22)),0),0)</f>
        <v>0</v>
      </c>
    </row>
    <row r="56" spans="1:104" x14ac:dyDescent="0.25">
      <c r="B56" s="480" t="str">
        <f>CONCATENATE("Series ",D56,"A Bonds (at ",'Interest Rate'!$J$16*100,"% Interest)")</f>
        <v>Series 2034A Bonds (at 4.5% Interest)</v>
      </c>
      <c r="C56" s="480"/>
      <c r="D56" s="492">
        <f t="shared" ref="D56:D119" si="47">D55+1</f>
        <v>2034</v>
      </c>
      <c r="E56" s="783">
        <f>IF('Incremental Repayments'!$R$22="Debt",IF(AND(E$4&gt;=$D56,E$4&lt;$D56+'Incremental Repayments'!$I$31),-PMT('Interest Rate'!$J$16,'Incremental Repayments'!$I$31,(HLOOKUP($D56,$E$4:$CZ$32,28,FALSE)*'Incremental Repayments'!$I$22)),0),0)</f>
        <v>0</v>
      </c>
      <c r="F56" s="783">
        <f>IF('Incremental Repayments'!$R$22="Debt",IF(AND(F$4&gt;=$D56,F$4&lt;$D56+'Incremental Repayments'!$I$31),-PMT('Interest Rate'!$J$16,'Incremental Repayments'!$I$31,(HLOOKUP($D56,$E$4:$CZ$32,28,FALSE)*'Incremental Repayments'!$I$22)),0),0)</f>
        <v>0</v>
      </c>
      <c r="G56" s="783">
        <f>IF('Incremental Repayments'!$R$22="Debt",IF(AND(G$4&gt;=$D56,G$4&lt;$D56+'Incremental Repayments'!$I$31),-PMT('Interest Rate'!$J$16,'Incremental Repayments'!$I$31,(HLOOKUP($D56,$E$4:$CZ$32,28,FALSE)*'Incremental Repayments'!$I$22)),0),0)</f>
        <v>0</v>
      </c>
      <c r="H56" s="783">
        <f>IF('Incremental Repayments'!$R$22="Debt",IF(AND(H$4&gt;=$D56,H$4&lt;$D56+'Incremental Repayments'!$I$31),-PMT('Interest Rate'!$J$16,'Incremental Repayments'!$I$31,(HLOOKUP($D56,$E$4:$CZ$32,28,FALSE)*'Incremental Repayments'!$I$22)),0),0)</f>
        <v>0</v>
      </c>
      <c r="I56" s="783">
        <f>IF('Incremental Repayments'!$R$22="Debt",IF(AND(I$4&gt;=$D56,I$4&lt;$D56+'Incremental Repayments'!$I$31),-PMT('Interest Rate'!$J$16,'Incremental Repayments'!$I$31,(HLOOKUP($D56,$E$4:$CZ$32,28,FALSE)*'Incremental Repayments'!$I$22)),0),0)</f>
        <v>0</v>
      </c>
      <c r="J56" s="783">
        <f>IF('Incremental Repayments'!$R$22="Debt",IF(AND(J$4&gt;=$D56,J$4&lt;$D56+'Incremental Repayments'!$I$31),-PMT('Interest Rate'!$J$16,'Incremental Repayments'!$I$31,(HLOOKUP($D56,$E$4:$CZ$32,28,FALSE)*'Incremental Repayments'!$I$22)),0),0)</f>
        <v>0</v>
      </c>
      <c r="K56" s="783">
        <f>IF('Incremental Repayments'!$R$22="Debt",IF(AND(K$4&gt;=$D56,K$4&lt;$D56+'Incremental Repayments'!$I$31),-PMT('Interest Rate'!$J$16,'Incremental Repayments'!$I$31,(HLOOKUP($D56,$E$4:$CZ$32,28,FALSE)*'Incremental Repayments'!$I$22)),0),0)</f>
        <v>0</v>
      </c>
      <c r="L56" s="783">
        <f>IF('Incremental Repayments'!$R$22="Debt",IF(AND(L$4&gt;=$D56,L$4&lt;$D56+'Incremental Repayments'!$I$31),-PMT('Interest Rate'!$J$16,'Incremental Repayments'!$I$31,(HLOOKUP($D56,$E$4:$CZ$32,28,FALSE)*'Incremental Repayments'!$I$22)),0),0)</f>
        <v>0</v>
      </c>
      <c r="M56" s="783">
        <f>IF('Incremental Repayments'!$R$22="Debt",IF(AND(M$4&gt;=$D56,M$4&lt;$D56+'Incremental Repayments'!$I$31),-PMT('Interest Rate'!$J$16,'Incremental Repayments'!$I$31,(HLOOKUP($D56,$E$4:$CZ$32,28,FALSE)*'Incremental Repayments'!$I$22)),0),0)</f>
        <v>0</v>
      </c>
      <c r="N56" s="783">
        <f>IF('Incremental Repayments'!$R$22="Debt",IF(AND(N$4&gt;=$D56,N$4&lt;$D56+'Incremental Repayments'!$I$31),-PMT('Interest Rate'!$J$16,'Incremental Repayments'!$I$31,(HLOOKUP($D56,$E$4:$CZ$32,28,FALSE)*'Incremental Repayments'!$I$22)),0),0)</f>
        <v>0</v>
      </c>
      <c r="O56" s="783">
        <f>IF('Incremental Repayments'!$R$22="Debt",IF(AND(O$4&gt;=$D56,O$4&lt;$D56+'Incremental Repayments'!$I$31),-PMT('Interest Rate'!$J$16,'Incremental Repayments'!$I$31,(HLOOKUP($D56,$E$4:$CZ$32,28,FALSE)*'Incremental Repayments'!$I$22)),0),0)</f>
        <v>0</v>
      </c>
      <c r="P56" s="783">
        <f>IF('Incremental Repayments'!$R$22="Debt",IF(AND(P$4&gt;=$D56,P$4&lt;$D56+'Incremental Repayments'!$I$31),-PMT('Interest Rate'!$J$16,'Incremental Repayments'!$I$31,(HLOOKUP($D56,$E$4:$CZ$32,28,FALSE)*'Incremental Repayments'!$I$22)),0),0)</f>
        <v>0</v>
      </c>
      <c r="Q56" s="783">
        <f>IF('Incremental Repayments'!$R$22="Debt",IF(AND(Q$4&gt;=$D56,Q$4&lt;$D56+'Incremental Repayments'!$I$31),-PMT('Interest Rate'!$J$16,'Incremental Repayments'!$I$31,(HLOOKUP($D56,$E$4:$CZ$32,28,FALSE)*'Incremental Repayments'!$I$22)),0),0)</f>
        <v>0</v>
      </c>
      <c r="R56" s="783">
        <f>IF('Incremental Repayments'!$R$22="Debt",IF(AND(R$4&gt;=$D56,R$4&lt;$D56+'Incremental Repayments'!$I$31),-PMT('Interest Rate'!$J$16,'Incremental Repayments'!$I$31,(HLOOKUP($D56,$E$4:$CZ$32,28,FALSE)*'Incremental Repayments'!$I$22)),0),0)</f>
        <v>0</v>
      </c>
      <c r="S56" s="783">
        <f>IF('Incremental Repayments'!$R$22="Debt",IF(AND(S$4&gt;=$D56,S$4&lt;$D56+'Incremental Repayments'!$I$31),-PMT('Interest Rate'!$J$16,'Incremental Repayments'!$I$31,(HLOOKUP($D56,$E$4:$CZ$32,28,FALSE)*'Incremental Repayments'!$I$22)),0),0)</f>
        <v>0</v>
      </c>
      <c r="T56" s="783">
        <f>IF('Incremental Repayments'!$R$22="Debt",IF(AND(T$4&gt;=$D56,T$4&lt;$D56+'Incremental Repayments'!$I$31),-PMT('Interest Rate'!$J$16,'Incremental Repayments'!$I$31,(HLOOKUP($D56,$E$4:$CZ$32,28,FALSE)*'Incremental Repayments'!$I$22)),0),0)</f>
        <v>0</v>
      </c>
      <c r="U56" s="783">
        <f>IF('Incremental Repayments'!$R$22="Debt",IF(AND(U$4&gt;=$D56,U$4&lt;$D56+'Incremental Repayments'!$I$31),-PMT('Interest Rate'!$J$16,'Incremental Repayments'!$I$31,(HLOOKUP($D56,$E$4:$CZ$32,28,FALSE)*'Incremental Repayments'!$I$22)),0),0)</f>
        <v>0</v>
      </c>
      <c r="V56" s="783">
        <f>IF('Incremental Repayments'!$R$22="Debt",IF(AND(V$4&gt;=$D56,V$4&lt;$D56+'Incremental Repayments'!$I$31),-PMT('Interest Rate'!$J$16,'Incremental Repayments'!$I$31,(HLOOKUP($D56,$E$4:$CZ$32,28,FALSE)*'Incremental Repayments'!$I$22)),0),0)</f>
        <v>0</v>
      </c>
      <c r="W56" s="783">
        <f>IF('Incremental Repayments'!$R$22="Debt",IF(AND(W$4&gt;=$D56,W$4&lt;$D56+'Incremental Repayments'!$I$31),-PMT('Interest Rate'!$J$16,'Incremental Repayments'!$I$31,(HLOOKUP($D56,$E$4:$CZ$32,28,FALSE)*'Incremental Repayments'!$I$22)),0),0)</f>
        <v>0</v>
      </c>
      <c r="X56" s="783">
        <f>IF('Incremental Repayments'!$R$22="Debt",IF(AND(X$4&gt;=$D56,X$4&lt;$D56+'Incremental Repayments'!$I$31),-PMT('Interest Rate'!$J$16,'Incremental Repayments'!$I$31,(HLOOKUP($D56,$E$4:$CZ$32,28,FALSE)*'Incremental Repayments'!$I$22)),0),0)</f>
        <v>0</v>
      </c>
      <c r="Y56" s="783">
        <f>IF('Incremental Repayments'!$R$22="Debt",IF(AND(Y$4&gt;=$D56,Y$4&lt;$D56+'Incremental Repayments'!$I$31),-PMT('Interest Rate'!$J$16,'Incremental Repayments'!$I$31,(HLOOKUP($D56,$E$4:$CZ$32,28,FALSE)*'Incremental Repayments'!$I$22)),0),0)</f>
        <v>3727813.6513424655</v>
      </c>
      <c r="Z56" s="783">
        <f>IF('Incremental Repayments'!$R$22="Debt",IF(AND(Z$4&gt;=$D56,Z$4&lt;$D56+'Incremental Repayments'!$I$31),-PMT('Interest Rate'!$J$16,'Incremental Repayments'!$I$31,(HLOOKUP($D56,$E$4:$CZ$32,28,FALSE)*'Incremental Repayments'!$I$22)),0),0)</f>
        <v>3727813.6513424655</v>
      </c>
      <c r="AA56" s="783">
        <f>IF('Incremental Repayments'!$R$22="Debt",IF(AND(AA$4&gt;=$D56,AA$4&lt;$D56+'Incremental Repayments'!$I$31),-PMT('Interest Rate'!$J$16,'Incremental Repayments'!$I$31,(HLOOKUP($D56,$E$4:$CZ$32,28,FALSE)*'Incremental Repayments'!$I$22)),0),0)</f>
        <v>3727813.6513424655</v>
      </c>
      <c r="AB56" s="783">
        <f>IF('Incremental Repayments'!$R$22="Debt",IF(AND(AB$4&gt;=$D56,AB$4&lt;$D56+'Incremental Repayments'!$I$31),-PMT('Interest Rate'!$J$16,'Incremental Repayments'!$I$31,(HLOOKUP($D56,$E$4:$CZ$32,28,FALSE)*'Incremental Repayments'!$I$22)),0),0)</f>
        <v>3727813.6513424655</v>
      </c>
      <c r="AC56" s="783">
        <f>IF('Incremental Repayments'!$R$22="Debt",IF(AND(AC$4&gt;=$D56,AC$4&lt;$D56+'Incremental Repayments'!$I$31),-PMT('Interest Rate'!$J$16,'Incremental Repayments'!$I$31,(HLOOKUP($D56,$E$4:$CZ$32,28,FALSE)*'Incremental Repayments'!$I$22)),0),0)</f>
        <v>3727813.6513424655</v>
      </c>
      <c r="AD56" s="783">
        <f>IF('Incremental Repayments'!$R$22="Debt",IF(AND(AD$4&gt;=$D56,AD$4&lt;$D56+'Incremental Repayments'!$I$31),-PMT('Interest Rate'!$J$16,'Incremental Repayments'!$I$31,(HLOOKUP($D56,$E$4:$CZ$32,28,FALSE)*'Incremental Repayments'!$I$22)),0),0)</f>
        <v>3727813.6513424655</v>
      </c>
      <c r="AE56" s="783">
        <f>IF('Incremental Repayments'!$R$22="Debt",IF(AND(AE$4&gt;=$D56,AE$4&lt;$D56+'Incremental Repayments'!$I$31),-PMT('Interest Rate'!$J$16,'Incremental Repayments'!$I$31,(HLOOKUP($D56,$E$4:$CZ$32,28,FALSE)*'Incremental Repayments'!$I$22)),0),0)</f>
        <v>3727813.6513424655</v>
      </c>
      <c r="AF56" s="783">
        <f>IF('Incremental Repayments'!$R$22="Debt",IF(AND(AF$4&gt;=$D56,AF$4&lt;$D56+'Incremental Repayments'!$I$31),-PMT('Interest Rate'!$J$16,'Incremental Repayments'!$I$31,(HLOOKUP($D56,$E$4:$CZ$32,28,FALSE)*'Incremental Repayments'!$I$22)),0),0)</f>
        <v>3727813.6513424655</v>
      </c>
      <c r="AG56" s="783">
        <f>IF('Incremental Repayments'!$R$22="Debt",IF(AND(AG$4&gt;=$D56,AG$4&lt;$D56+'Incremental Repayments'!$I$31),-PMT('Interest Rate'!$J$16,'Incremental Repayments'!$I$31,(HLOOKUP($D56,$E$4:$CZ$32,28,FALSE)*'Incremental Repayments'!$I$22)),0),0)</f>
        <v>3727813.6513424655</v>
      </c>
      <c r="AH56" s="783">
        <f>IF('Incremental Repayments'!$R$22="Debt",IF(AND(AH$4&gt;=$D56,AH$4&lt;$D56+'Incremental Repayments'!$I$31),-PMT('Interest Rate'!$J$16,'Incremental Repayments'!$I$31,(HLOOKUP($D56,$E$4:$CZ$32,28,FALSE)*'Incremental Repayments'!$I$22)),0),0)</f>
        <v>3727813.6513424655</v>
      </c>
      <c r="AI56" s="783">
        <f>IF('Incremental Repayments'!$R$22="Debt",IF(AND(AI$4&gt;=$D56,AI$4&lt;$D56+'Incremental Repayments'!$I$31),-PMT('Interest Rate'!$J$16,'Incremental Repayments'!$I$31,(HLOOKUP($D56,$E$4:$CZ$32,28,FALSE)*'Incremental Repayments'!$I$22)),0),0)</f>
        <v>3727813.6513424655</v>
      </c>
      <c r="AJ56" s="783">
        <f>IF('Incremental Repayments'!$R$22="Debt",IF(AND(AJ$4&gt;=$D56,AJ$4&lt;$D56+'Incremental Repayments'!$I$31),-PMT('Interest Rate'!$J$16,'Incremental Repayments'!$I$31,(HLOOKUP($D56,$E$4:$CZ$32,28,FALSE)*'Incremental Repayments'!$I$22)),0),0)</f>
        <v>3727813.6513424655</v>
      </c>
      <c r="AK56" s="783">
        <f>IF('Incremental Repayments'!$R$22="Debt",IF(AND(AK$4&gt;=$D56,AK$4&lt;$D56+'Incremental Repayments'!$I$31),-PMT('Interest Rate'!$J$16,'Incremental Repayments'!$I$31,(HLOOKUP($D56,$E$4:$CZ$32,28,FALSE)*'Incremental Repayments'!$I$22)),0),0)</f>
        <v>3727813.6513424655</v>
      </c>
      <c r="AL56" s="783">
        <f>IF('Incremental Repayments'!$R$22="Debt",IF(AND(AL$4&gt;=$D56,AL$4&lt;$D56+'Incremental Repayments'!$I$31),-PMT('Interest Rate'!$J$16,'Incremental Repayments'!$I$31,(HLOOKUP($D56,$E$4:$CZ$32,28,FALSE)*'Incremental Repayments'!$I$22)),0),0)</f>
        <v>3727813.6513424655</v>
      </c>
      <c r="AM56" s="783">
        <f>IF('Incremental Repayments'!$R$22="Debt",IF(AND(AM$4&gt;=$D56,AM$4&lt;$D56+'Incremental Repayments'!$I$31),-PMT('Interest Rate'!$J$16,'Incremental Repayments'!$I$31,(HLOOKUP($D56,$E$4:$CZ$32,28,FALSE)*'Incremental Repayments'!$I$22)),0),0)</f>
        <v>3727813.6513424655</v>
      </c>
      <c r="AN56" s="783">
        <f>IF('Incremental Repayments'!$R$22="Debt",IF(AND(AN$4&gt;=$D56,AN$4&lt;$D56+'Incremental Repayments'!$I$31),-PMT('Interest Rate'!$J$16,'Incremental Repayments'!$I$31,(HLOOKUP($D56,$E$4:$CZ$32,28,FALSE)*'Incremental Repayments'!$I$22)),0),0)</f>
        <v>3727813.6513424655</v>
      </c>
      <c r="AO56" s="783">
        <f>IF('Incremental Repayments'!$R$22="Debt",IF(AND(AO$4&gt;=$D56,AO$4&lt;$D56+'Incremental Repayments'!$I$31),-PMT('Interest Rate'!$J$16,'Incremental Repayments'!$I$31,(HLOOKUP($D56,$E$4:$CZ$32,28,FALSE)*'Incremental Repayments'!$I$22)),0),0)</f>
        <v>3727813.6513424655</v>
      </c>
      <c r="AP56" s="783">
        <f>IF('Incremental Repayments'!$R$22="Debt",IF(AND(AP$4&gt;=$D56,AP$4&lt;$D56+'Incremental Repayments'!$I$31),-PMT('Interest Rate'!$J$16,'Incremental Repayments'!$I$31,(HLOOKUP($D56,$E$4:$CZ$32,28,FALSE)*'Incremental Repayments'!$I$22)),0),0)</f>
        <v>3727813.6513424655</v>
      </c>
      <c r="AQ56" s="783">
        <f>IF('Incremental Repayments'!$R$22="Debt",IF(AND(AQ$4&gt;=$D56,AQ$4&lt;$D56+'Incremental Repayments'!$I$31),-PMT('Interest Rate'!$J$16,'Incremental Repayments'!$I$31,(HLOOKUP($D56,$E$4:$CZ$32,28,FALSE)*'Incremental Repayments'!$I$22)),0),0)</f>
        <v>3727813.6513424655</v>
      </c>
      <c r="AR56" s="783">
        <f>IF('Incremental Repayments'!$R$22="Debt",IF(AND(AR$4&gt;=$D56,AR$4&lt;$D56+'Incremental Repayments'!$I$31),-PMT('Interest Rate'!$J$16,'Incremental Repayments'!$I$31,(HLOOKUP($D56,$E$4:$CZ$32,28,FALSE)*'Incremental Repayments'!$I$22)),0),0)</f>
        <v>3727813.6513424655</v>
      </c>
      <c r="AS56" s="783">
        <f>IF('Incremental Repayments'!$R$22="Debt",IF(AND(AS$4&gt;=$D56,AS$4&lt;$D56+'Incremental Repayments'!$I$31),-PMT('Interest Rate'!$J$16,'Incremental Repayments'!$I$31,(HLOOKUP($D56,$E$4:$CZ$32,28,FALSE)*'Incremental Repayments'!$I$22)),0),0)</f>
        <v>3727813.6513424655</v>
      </c>
      <c r="AT56" s="783">
        <f>IF('Incremental Repayments'!$R$22="Debt",IF(AND(AT$4&gt;=$D56,AT$4&lt;$D56+'Incremental Repayments'!$I$31),-PMT('Interest Rate'!$J$16,'Incremental Repayments'!$I$31,(HLOOKUP($D56,$E$4:$CZ$32,28,FALSE)*'Incremental Repayments'!$I$22)),0),0)</f>
        <v>3727813.6513424655</v>
      </c>
      <c r="AU56" s="783">
        <f>IF('Incremental Repayments'!$R$22="Debt",IF(AND(AU$4&gt;=$D56,AU$4&lt;$D56+'Incremental Repayments'!$I$31),-PMT('Interest Rate'!$J$16,'Incremental Repayments'!$I$31,(HLOOKUP($D56,$E$4:$CZ$32,28,FALSE)*'Incremental Repayments'!$I$22)),0),0)</f>
        <v>3727813.6513424655</v>
      </c>
      <c r="AV56" s="783">
        <f>IF('Incremental Repayments'!$R$22="Debt",IF(AND(AV$4&gt;=$D56,AV$4&lt;$D56+'Incremental Repayments'!$I$31),-PMT('Interest Rate'!$J$16,'Incremental Repayments'!$I$31,(HLOOKUP($D56,$E$4:$CZ$32,28,FALSE)*'Incremental Repayments'!$I$22)),0),0)</f>
        <v>3727813.6513424655</v>
      </c>
      <c r="AW56" s="783">
        <f>IF('Incremental Repayments'!$R$22="Debt",IF(AND(AW$4&gt;=$D56,AW$4&lt;$D56+'Incremental Repayments'!$I$31),-PMT('Interest Rate'!$J$16,'Incremental Repayments'!$I$31,(HLOOKUP($D56,$E$4:$CZ$32,28,FALSE)*'Incremental Repayments'!$I$22)),0),0)</f>
        <v>3727813.6513424655</v>
      </c>
      <c r="AX56" s="783">
        <f>IF('Incremental Repayments'!$R$22="Debt",IF(AND(AX$4&gt;=$D56,AX$4&lt;$D56+'Incremental Repayments'!$I$31),-PMT('Interest Rate'!$J$16,'Incremental Repayments'!$I$31,(HLOOKUP($D56,$E$4:$CZ$32,28,FALSE)*'Incremental Repayments'!$I$22)),0),0)</f>
        <v>3727813.6513424655</v>
      </c>
      <c r="AY56" s="783">
        <f>IF('Incremental Repayments'!$R$22="Debt",IF(AND(AY$4&gt;=$D56,AY$4&lt;$D56+'Incremental Repayments'!$I$31),-PMT('Interest Rate'!$J$16,'Incremental Repayments'!$I$31,(HLOOKUP($D56,$E$4:$CZ$32,28,FALSE)*'Incremental Repayments'!$I$22)),0),0)</f>
        <v>3727813.6513424655</v>
      </c>
      <c r="AZ56" s="783">
        <f>IF('Incremental Repayments'!$R$22="Debt",IF(AND(AZ$4&gt;=$D56,AZ$4&lt;$D56+'Incremental Repayments'!$I$31),-PMT('Interest Rate'!$J$16,'Incremental Repayments'!$I$31,(HLOOKUP($D56,$E$4:$CZ$32,28,FALSE)*'Incremental Repayments'!$I$22)),0),0)</f>
        <v>3727813.6513424655</v>
      </c>
      <c r="BA56" s="783">
        <f>IF('Incremental Repayments'!$R$22="Debt",IF(AND(BA$4&gt;=$D56,BA$4&lt;$D56+'Incremental Repayments'!$I$31),-PMT('Interest Rate'!$J$16,'Incremental Repayments'!$I$31,(HLOOKUP($D56,$E$4:$CZ$32,28,FALSE)*'Incremental Repayments'!$I$22)),0),0)</f>
        <v>3727813.6513424655</v>
      </c>
      <c r="BB56" s="783">
        <f>IF('Incremental Repayments'!$R$22="Debt",IF(AND(BB$4&gt;=$D56,BB$4&lt;$D56+'Incremental Repayments'!$I$31),-PMT('Interest Rate'!$J$16,'Incremental Repayments'!$I$31,(HLOOKUP($D56,$E$4:$CZ$32,28,FALSE)*'Incremental Repayments'!$I$22)),0),0)</f>
        <v>3727813.6513424655</v>
      </c>
      <c r="BC56" s="783">
        <f>IF('Incremental Repayments'!$R$22="Debt",IF(AND(BC$4&gt;=$D56,BC$4&lt;$D56+'Incremental Repayments'!$I$31),-PMT('Interest Rate'!$J$16,'Incremental Repayments'!$I$31,(HLOOKUP($D56,$E$4:$CZ$32,28,FALSE)*'Incremental Repayments'!$I$22)),0),0)</f>
        <v>0</v>
      </c>
      <c r="BD56" s="783">
        <f>IF('Incremental Repayments'!$R$22="Debt",IF(AND(BD$4&gt;=$D56,BD$4&lt;$D56+'Incremental Repayments'!$I$31),-PMT('Interest Rate'!$J$16,'Incremental Repayments'!$I$31,(HLOOKUP($D56,$E$4:$CZ$32,28,FALSE)*'Incremental Repayments'!$I$22)),0),0)</f>
        <v>0</v>
      </c>
      <c r="BE56" s="783">
        <f>IF('Incremental Repayments'!$R$22="Debt",IF(AND(BE$4&gt;=$D56,BE$4&lt;$D56+'Incremental Repayments'!$I$31),-PMT('Interest Rate'!$J$16,'Incremental Repayments'!$I$31,(HLOOKUP($D56,$E$4:$CZ$32,28,FALSE)*'Incremental Repayments'!$I$22)),0),0)</f>
        <v>0</v>
      </c>
      <c r="BF56" s="783">
        <f>IF('Incremental Repayments'!$R$22="Debt",IF(AND(BF$4&gt;=$D56,BF$4&lt;$D56+'Incremental Repayments'!$I$31),-PMT('Interest Rate'!$J$16,'Incremental Repayments'!$I$31,(HLOOKUP($D56,$E$4:$CZ$32,28,FALSE)*'Incremental Repayments'!$I$22)),0),0)</f>
        <v>0</v>
      </c>
      <c r="BG56" s="783">
        <f>IF('Incremental Repayments'!$R$22="Debt",IF(AND(BG$4&gt;=$D56,BG$4&lt;$D56+'Incremental Repayments'!$I$31),-PMT('Interest Rate'!$J$16,'Incremental Repayments'!$I$31,(HLOOKUP($D56,$E$4:$CZ$32,28,FALSE)*'Incremental Repayments'!$I$22)),0),0)</f>
        <v>0</v>
      </c>
      <c r="BH56" s="783">
        <f>IF('Incremental Repayments'!$R$22="Debt",IF(AND(BH$4&gt;=$D56,BH$4&lt;$D56+'Incremental Repayments'!$I$31),-PMT('Interest Rate'!$J$16,'Incremental Repayments'!$I$31,(HLOOKUP($D56,$E$4:$CZ$32,28,FALSE)*'Incremental Repayments'!$I$22)),0),0)</f>
        <v>0</v>
      </c>
      <c r="BI56" s="783">
        <f>IF('Incremental Repayments'!$R$22="Debt",IF(AND(BI$4&gt;=$D56,BI$4&lt;$D56+'Incremental Repayments'!$I$31),-PMT('Interest Rate'!$J$16,'Incremental Repayments'!$I$31,(HLOOKUP($D56,$E$4:$CZ$32,28,FALSE)*'Incremental Repayments'!$I$22)),0),0)</f>
        <v>0</v>
      </c>
      <c r="BJ56" s="783">
        <f>IF('Incremental Repayments'!$R$22="Debt",IF(AND(BJ$4&gt;=$D56,BJ$4&lt;$D56+'Incremental Repayments'!$I$31),-PMT('Interest Rate'!$J$16,'Incremental Repayments'!$I$31,(HLOOKUP($D56,$E$4:$CZ$32,28,FALSE)*'Incremental Repayments'!$I$22)),0),0)</f>
        <v>0</v>
      </c>
      <c r="BK56" s="783">
        <f>IF('Incremental Repayments'!$R$22="Debt",IF(AND(BK$4&gt;=$D56,BK$4&lt;$D56+'Incremental Repayments'!$I$31),-PMT('Interest Rate'!$J$16,'Incremental Repayments'!$I$31,(HLOOKUP($D56,$E$4:$CZ$32,28,FALSE)*'Incremental Repayments'!$I$22)),0),0)</f>
        <v>0</v>
      </c>
      <c r="BL56" s="783">
        <f>IF('Incremental Repayments'!$R$22="Debt",IF(AND(BL$4&gt;=$D56,BL$4&lt;$D56+'Incremental Repayments'!$I$31),-PMT('Interest Rate'!$J$16,'Incremental Repayments'!$I$31,(HLOOKUP($D56,$E$4:$CZ$32,28,FALSE)*'Incremental Repayments'!$I$22)),0),0)</f>
        <v>0</v>
      </c>
      <c r="BM56" s="783">
        <f>IF('Incremental Repayments'!$R$22="Debt",IF(AND(BM$4&gt;=$D56,BM$4&lt;$D56+'Incremental Repayments'!$I$31),-PMT('Interest Rate'!$J$16,'Incremental Repayments'!$I$31,(HLOOKUP($D56,$E$4:$CZ$32,28,FALSE)*'Incremental Repayments'!$I$22)),0),0)</f>
        <v>0</v>
      </c>
      <c r="BN56" s="783">
        <f>IF('Incremental Repayments'!$R$22="Debt",IF(AND(BN$4&gt;=$D56,BN$4&lt;$D56+'Incremental Repayments'!$I$31),-PMT('Interest Rate'!$J$16,'Incremental Repayments'!$I$31,(HLOOKUP($D56,$E$4:$CZ$32,28,FALSE)*'Incremental Repayments'!$I$22)),0),0)</f>
        <v>0</v>
      </c>
      <c r="BO56" s="783">
        <f>IF('Incremental Repayments'!$R$22="Debt",IF(AND(BO$4&gt;=$D56,BO$4&lt;$D56+'Incremental Repayments'!$I$31),-PMT('Interest Rate'!$J$16,'Incremental Repayments'!$I$31,(HLOOKUP($D56,$E$4:$CZ$32,28,FALSE)*'Incremental Repayments'!$I$22)),0),0)</f>
        <v>0</v>
      </c>
      <c r="BP56" s="783">
        <f>IF('Incremental Repayments'!$R$22="Debt",IF(AND(BP$4&gt;=$D56,BP$4&lt;$D56+'Incremental Repayments'!$I$31),-PMT('Interest Rate'!$J$16,'Incremental Repayments'!$I$31,(HLOOKUP($D56,$E$4:$CZ$32,28,FALSE)*'Incremental Repayments'!$I$22)),0),0)</f>
        <v>0</v>
      </c>
      <c r="BQ56" s="783">
        <f>IF('Incremental Repayments'!$R$22="Debt",IF(AND(BQ$4&gt;=$D56,BQ$4&lt;$D56+'Incremental Repayments'!$I$31),-PMT('Interest Rate'!$J$16,'Incremental Repayments'!$I$31,(HLOOKUP($D56,$E$4:$CZ$32,28,FALSE)*'Incremental Repayments'!$I$22)),0),0)</f>
        <v>0</v>
      </c>
      <c r="BR56" s="783">
        <f>IF('Incremental Repayments'!$R$22="Debt",IF(AND(BR$4&gt;=$D56,BR$4&lt;$D56+'Incremental Repayments'!$I$31),-PMT('Interest Rate'!$J$16,'Incremental Repayments'!$I$31,(HLOOKUP($D56,$E$4:$CZ$32,28,FALSE)*'Incremental Repayments'!$I$22)),0),0)</f>
        <v>0</v>
      </c>
      <c r="BS56" s="783">
        <f>IF('Incremental Repayments'!$R$22="Debt",IF(AND(BS$4&gt;=$D56,BS$4&lt;$D56+'Incremental Repayments'!$I$31),-PMT('Interest Rate'!$J$16,'Incremental Repayments'!$I$31,(HLOOKUP($D56,$E$4:$CZ$32,28,FALSE)*'Incremental Repayments'!$I$22)),0),0)</f>
        <v>0</v>
      </c>
      <c r="BT56" s="783">
        <f>IF('Incremental Repayments'!$R$22="Debt",IF(AND(BT$4&gt;=$D56,BT$4&lt;$D56+'Incremental Repayments'!$I$31),-PMT('Interest Rate'!$J$16,'Incremental Repayments'!$I$31,(HLOOKUP($D56,$E$4:$CZ$32,28,FALSE)*'Incremental Repayments'!$I$22)),0),0)</f>
        <v>0</v>
      </c>
      <c r="BU56" s="783">
        <f>IF('Incremental Repayments'!$R$22="Debt",IF(AND(BU$4&gt;=$D56,BU$4&lt;$D56+'Incremental Repayments'!$I$31),-PMT('Interest Rate'!$J$16,'Incremental Repayments'!$I$31,(HLOOKUP($D56,$E$4:$CZ$32,28,FALSE)*'Incremental Repayments'!$I$22)),0),0)</f>
        <v>0</v>
      </c>
      <c r="BV56" s="783">
        <f>IF('Incremental Repayments'!$R$22="Debt",IF(AND(BV$4&gt;=$D56,BV$4&lt;$D56+'Incremental Repayments'!$I$31),-PMT('Interest Rate'!$J$16,'Incremental Repayments'!$I$31,(HLOOKUP($D56,$E$4:$CZ$32,28,FALSE)*'Incremental Repayments'!$I$22)),0),0)</f>
        <v>0</v>
      </c>
      <c r="BW56" s="783">
        <f>IF('Incremental Repayments'!$R$22="Debt",IF(AND(BW$4&gt;=$D56,BW$4&lt;$D56+'Incremental Repayments'!$I$31),-PMT('Interest Rate'!$J$16,'Incremental Repayments'!$I$31,(HLOOKUP($D56,$E$4:$CZ$32,28,FALSE)*'Incremental Repayments'!$I$22)),0),0)</f>
        <v>0</v>
      </c>
      <c r="BX56" s="783">
        <f>IF('Incremental Repayments'!$R$22="Debt",IF(AND(BX$4&gt;=$D56,BX$4&lt;$D56+'Incremental Repayments'!$I$31),-PMT('Interest Rate'!$J$16,'Incremental Repayments'!$I$31,(HLOOKUP($D56,$E$4:$CZ$32,28,FALSE)*'Incremental Repayments'!$I$22)),0),0)</f>
        <v>0</v>
      </c>
      <c r="BY56" s="783">
        <f>IF('Incremental Repayments'!$R$22="Debt",IF(AND(BY$4&gt;=$D56,BY$4&lt;$D56+'Incremental Repayments'!$I$31),-PMT('Interest Rate'!$J$16,'Incremental Repayments'!$I$31,(HLOOKUP($D56,$E$4:$CZ$32,28,FALSE)*'Incremental Repayments'!$I$22)),0),0)</f>
        <v>0</v>
      </c>
      <c r="BZ56" s="783">
        <f>IF('Incremental Repayments'!$R$22="Debt",IF(AND(BZ$4&gt;=$D56,BZ$4&lt;$D56+'Incremental Repayments'!$I$31),-PMT('Interest Rate'!$J$16,'Incremental Repayments'!$I$31,(HLOOKUP($D56,$E$4:$CZ$32,28,FALSE)*'Incremental Repayments'!$I$22)),0),0)</f>
        <v>0</v>
      </c>
      <c r="CA56" s="783">
        <f>IF('Incremental Repayments'!$R$22="Debt",IF(AND(CA$4&gt;=$D56,CA$4&lt;$D56+'Incremental Repayments'!$I$31),-PMT('Interest Rate'!$J$16,'Incremental Repayments'!$I$31,(HLOOKUP($D56,$E$4:$CZ$32,28,FALSE)*'Incremental Repayments'!$I$22)),0),0)</f>
        <v>0</v>
      </c>
      <c r="CB56" s="783">
        <f>IF('Incremental Repayments'!$R$22="Debt",IF(AND(CB$4&gt;=$D56,CB$4&lt;$D56+'Incremental Repayments'!$I$31),-PMT('Interest Rate'!$J$16,'Incremental Repayments'!$I$31,(HLOOKUP($D56,$E$4:$CZ$32,28,FALSE)*'Incremental Repayments'!$I$22)),0),0)</f>
        <v>0</v>
      </c>
      <c r="CC56" s="783">
        <f>IF('Incremental Repayments'!$R$22="Debt",IF(AND(CC$4&gt;=$D56,CC$4&lt;$D56+'Incremental Repayments'!$I$31),-PMT('Interest Rate'!$J$16,'Incremental Repayments'!$I$31,(HLOOKUP($D56,$E$4:$CZ$32,28,FALSE)*'Incremental Repayments'!$I$22)),0),0)</f>
        <v>0</v>
      </c>
      <c r="CD56" s="783">
        <f>IF('Incremental Repayments'!$R$22="Debt",IF(AND(CD$4&gt;=$D56,CD$4&lt;$D56+'Incremental Repayments'!$I$31),-PMT('Interest Rate'!$J$16,'Incremental Repayments'!$I$31,(HLOOKUP($D56,$E$4:$CZ$32,28,FALSE)*'Incremental Repayments'!$I$22)),0),0)</f>
        <v>0</v>
      </c>
      <c r="CE56" s="783">
        <f>IF('Incremental Repayments'!$R$22="Debt",IF(AND(CE$4&gt;=$D56,CE$4&lt;$D56+'Incremental Repayments'!$I$31),-PMT('Interest Rate'!$J$16,'Incremental Repayments'!$I$31,(HLOOKUP($D56,$E$4:$CZ$32,28,FALSE)*'Incremental Repayments'!$I$22)),0),0)</f>
        <v>0</v>
      </c>
      <c r="CF56" s="783">
        <f>IF('Incremental Repayments'!$R$22="Debt",IF(AND(CF$4&gt;=$D56,CF$4&lt;$D56+'Incremental Repayments'!$I$31),-PMT('Interest Rate'!$J$16,'Incremental Repayments'!$I$31,(HLOOKUP($D56,$E$4:$CZ$32,28,FALSE)*'Incremental Repayments'!$I$22)),0),0)</f>
        <v>0</v>
      </c>
      <c r="CG56" s="783">
        <f>IF('Incremental Repayments'!$R$22="Debt",IF(AND(CG$4&gt;=$D56,CG$4&lt;$D56+'Incremental Repayments'!$I$31),-PMT('Interest Rate'!$J$16,'Incremental Repayments'!$I$31,(HLOOKUP($D56,$E$4:$CZ$32,28,FALSE)*'Incremental Repayments'!$I$22)),0),0)</f>
        <v>0</v>
      </c>
      <c r="CH56" s="783">
        <f>IF('Incremental Repayments'!$R$22="Debt",IF(AND(CH$4&gt;=$D56,CH$4&lt;$D56+'Incremental Repayments'!$I$31),-PMT('Interest Rate'!$J$16,'Incremental Repayments'!$I$31,(HLOOKUP($D56,$E$4:$CZ$32,28,FALSE)*'Incremental Repayments'!$I$22)),0),0)</f>
        <v>0</v>
      </c>
      <c r="CI56" s="783">
        <f>IF('Incremental Repayments'!$R$22="Debt",IF(AND(CI$4&gt;=$D56,CI$4&lt;$D56+'Incremental Repayments'!$I$31),-PMT('Interest Rate'!$J$16,'Incremental Repayments'!$I$31,(HLOOKUP($D56,$E$4:$CZ$32,28,FALSE)*'Incremental Repayments'!$I$22)),0),0)</f>
        <v>0</v>
      </c>
      <c r="CJ56" s="783">
        <f>IF('Incremental Repayments'!$R$22="Debt",IF(AND(CJ$4&gt;=$D56,CJ$4&lt;$D56+'Incremental Repayments'!$I$31),-PMT('Interest Rate'!$J$16,'Incremental Repayments'!$I$31,(HLOOKUP($D56,$E$4:$CZ$32,28,FALSE)*'Incremental Repayments'!$I$22)),0),0)</f>
        <v>0</v>
      </c>
      <c r="CK56" s="783">
        <f>IF('Incremental Repayments'!$R$22="Debt",IF(AND(CK$4&gt;=$D56,CK$4&lt;$D56+'Incremental Repayments'!$I$31),-PMT('Interest Rate'!$J$16,'Incremental Repayments'!$I$31,(HLOOKUP($D56,$E$4:$CZ$32,28,FALSE)*'Incremental Repayments'!$I$22)),0),0)</f>
        <v>0</v>
      </c>
      <c r="CL56" s="783">
        <f>IF('Incremental Repayments'!$R$22="Debt",IF(AND(CL$4&gt;=$D56,CL$4&lt;$D56+'Incremental Repayments'!$I$31),-PMT('Interest Rate'!$J$16,'Incremental Repayments'!$I$31,(HLOOKUP($D56,$E$4:$CZ$32,28,FALSE)*'Incremental Repayments'!$I$22)),0),0)</f>
        <v>0</v>
      </c>
      <c r="CM56" s="783">
        <f>IF('Incremental Repayments'!$R$22="Debt",IF(AND(CM$4&gt;=$D56,CM$4&lt;$D56+'Incremental Repayments'!$I$31),-PMT('Interest Rate'!$J$16,'Incremental Repayments'!$I$31,(HLOOKUP($D56,$E$4:$CZ$32,28,FALSE)*'Incremental Repayments'!$I$22)),0),0)</f>
        <v>0</v>
      </c>
      <c r="CN56" s="783">
        <f>IF('Incremental Repayments'!$R$22="Debt",IF(AND(CN$4&gt;=$D56,CN$4&lt;$D56+'Incremental Repayments'!$I$31),-PMT('Interest Rate'!$J$16,'Incremental Repayments'!$I$31,(HLOOKUP($D56,$E$4:$CZ$32,28,FALSE)*'Incremental Repayments'!$I$22)),0),0)</f>
        <v>0</v>
      </c>
      <c r="CO56" s="783">
        <f>IF('Incremental Repayments'!$R$22="Debt",IF(AND(CO$4&gt;=$D56,CO$4&lt;$D56+'Incremental Repayments'!$I$31),-PMT('Interest Rate'!$J$16,'Incremental Repayments'!$I$31,(HLOOKUP($D56,$E$4:$CZ$32,28,FALSE)*'Incremental Repayments'!$I$22)),0),0)</f>
        <v>0</v>
      </c>
      <c r="CP56" s="783">
        <f>IF('Incremental Repayments'!$R$22="Debt",IF(AND(CP$4&gt;=$D56,CP$4&lt;$D56+'Incremental Repayments'!$I$31),-PMT('Interest Rate'!$J$16,'Incremental Repayments'!$I$31,(HLOOKUP($D56,$E$4:$CZ$32,28,FALSE)*'Incremental Repayments'!$I$22)),0),0)</f>
        <v>0</v>
      </c>
      <c r="CQ56" s="783">
        <f>IF('Incremental Repayments'!$R$22="Debt",IF(AND(CQ$4&gt;=$D56,CQ$4&lt;$D56+'Incremental Repayments'!$I$31),-PMT('Interest Rate'!$J$16,'Incremental Repayments'!$I$31,(HLOOKUP($D56,$E$4:$CZ$32,28,FALSE)*'Incremental Repayments'!$I$22)),0),0)</f>
        <v>0</v>
      </c>
      <c r="CR56" s="783">
        <f>IF('Incremental Repayments'!$R$22="Debt",IF(AND(CR$4&gt;=$D56,CR$4&lt;$D56+'Incremental Repayments'!$I$31),-PMT('Interest Rate'!$J$16,'Incremental Repayments'!$I$31,(HLOOKUP($D56,$E$4:$CZ$32,28,FALSE)*'Incremental Repayments'!$I$22)),0),0)</f>
        <v>0</v>
      </c>
      <c r="CS56" s="783">
        <f>IF('Incremental Repayments'!$R$22="Debt",IF(AND(CS$4&gt;=$D56,CS$4&lt;$D56+'Incremental Repayments'!$I$31),-PMT('Interest Rate'!$J$16,'Incremental Repayments'!$I$31,(HLOOKUP($D56,$E$4:$CZ$32,28,FALSE)*'Incremental Repayments'!$I$22)),0),0)</f>
        <v>0</v>
      </c>
      <c r="CT56" s="783">
        <f>IF('Incremental Repayments'!$R$22="Debt",IF(AND(CT$4&gt;=$D56,CT$4&lt;$D56+'Incremental Repayments'!$I$31),-PMT('Interest Rate'!$J$16,'Incremental Repayments'!$I$31,(HLOOKUP($D56,$E$4:$CZ$32,28,FALSE)*'Incremental Repayments'!$I$22)),0),0)</f>
        <v>0</v>
      </c>
      <c r="CU56" s="783">
        <f>IF('Incremental Repayments'!$R$22="Debt",IF(AND(CU$4&gt;=$D56,CU$4&lt;$D56+'Incremental Repayments'!$I$31),-PMT('Interest Rate'!$J$16,'Incremental Repayments'!$I$31,(HLOOKUP($D56,$E$4:$CZ$32,28,FALSE)*'Incremental Repayments'!$I$22)),0),0)</f>
        <v>0</v>
      </c>
      <c r="CV56" s="783">
        <f>IF('Incremental Repayments'!$R$22="Debt",IF(AND(CV$4&gt;=$D56,CV$4&lt;$D56+'Incremental Repayments'!$I$31),-PMT('Interest Rate'!$J$16,'Incremental Repayments'!$I$31,(HLOOKUP($D56,$E$4:$CZ$32,28,FALSE)*'Incremental Repayments'!$I$22)),0),0)</f>
        <v>0</v>
      </c>
      <c r="CW56" s="783">
        <f>IF('Incremental Repayments'!$R$22="Debt",IF(AND(CW$4&gt;=$D56,CW$4&lt;$D56+'Incremental Repayments'!$I$31),-PMT('Interest Rate'!$J$16,'Incremental Repayments'!$I$31,(HLOOKUP($D56,$E$4:$CZ$32,28,FALSE)*'Incremental Repayments'!$I$22)),0),0)</f>
        <v>0</v>
      </c>
      <c r="CX56" s="783">
        <f>IF('Incremental Repayments'!$R$22="Debt",IF(AND(CX$4&gt;=$D56,CX$4&lt;$D56+'Incremental Repayments'!$I$31),-PMT('Interest Rate'!$J$16,'Incremental Repayments'!$I$31,(HLOOKUP($D56,$E$4:$CZ$32,28,FALSE)*'Incremental Repayments'!$I$22)),0),0)</f>
        <v>0</v>
      </c>
      <c r="CY56" s="783">
        <f>IF('Incremental Repayments'!$R$22="Debt",IF(AND(CY$4&gt;=$D56,CY$4&lt;$D56+'Incremental Repayments'!$I$31),-PMT('Interest Rate'!$J$16,'Incremental Repayments'!$I$31,(HLOOKUP($D56,$E$4:$CZ$32,28,FALSE)*'Incremental Repayments'!$I$22)),0),0)</f>
        <v>0</v>
      </c>
      <c r="CZ56" s="783">
        <f>IF('Incremental Repayments'!$R$22="Debt",IF(AND(CZ$4&gt;=$D56,CZ$4&lt;$D56+'Incremental Repayments'!$I$31),-PMT('Interest Rate'!$J$16,'Incremental Repayments'!$I$31,(HLOOKUP($D56,$E$4:$CZ$32,28,FALSE)*'Incremental Repayments'!$I$22)),0),0)</f>
        <v>0</v>
      </c>
    </row>
    <row r="57" spans="1:104" x14ac:dyDescent="0.25">
      <c r="B57" s="480" t="str">
        <f>CONCATENATE("Series ",D57,"A Bonds (at ",'Interest Rate'!$J$16*100,"% Interest)")</f>
        <v>Series 2035A Bonds (at 4.5% Interest)</v>
      </c>
      <c r="C57" s="480"/>
      <c r="D57" s="492">
        <f t="shared" si="47"/>
        <v>2035</v>
      </c>
      <c r="E57" s="783">
        <f>IF('Incremental Repayments'!$R$22="Debt",IF(AND(E$4&gt;=$D57,E$4&lt;$D57+'Incremental Repayments'!$I$31),-PMT('Interest Rate'!$J$16,'Incremental Repayments'!$I$31,(HLOOKUP($D57,$E$4:$CZ$32,28,FALSE)*'Incremental Repayments'!$I$22)),0),0)</f>
        <v>0</v>
      </c>
      <c r="F57" s="783">
        <f>IF('Incremental Repayments'!$R$22="Debt",IF(AND(F$4&gt;=$D57,F$4&lt;$D57+'Incremental Repayments'!$I$31),-PMT('Interest Rate'!$J$16,'Incremental Repayments'!$I$31,(HLOOKUP($D57,$E$4:$CZ$32,28,FALSE)*'Incremental Repayments'!$I$22)),0),0)</f>
        <v>0</v>
      </c>
      <c r="G57" s="783">
        <f>IF('Incremental Repayments'!$R$22="Debt",IF(AND(G$4&gt;=$D57,G$4&lt;$D57+'Incremental Repayments'!$I$31),-PMT('Interest Rate'!$J$16,'Incremental Repayments'!$I$31,(HLOOKUP($D57,$E$4:$CZ$32,28,FALSE)*'Incremental Repayments'!$I$22)),0),0)</f>
        <v>0</v>
      </c>
      <c r="H57" s="783">
        <f>IF('Incremental Repayments'!$R$22="Debt",IF(AND(H$4&gt;=$D57,H$4&lt;$D57+'Incremental Repayments'!$I$31),-PMT('Interest Rate'!$J$16,'Incremental Repayments'!$I$31,(HLOOKUP($D57,$E$4:$CZ$32,28,FALSE)*'Incremental Repayments'!$I$22)),0),0)</f>
        <v>0</v>
      </c>
      <c r="I57" s="783">
        <f>IF('Incremental Repayments'!$R$22="Debt",IF(AND(I$4&gt;=$D57,I$4&lt;$D57+'Incremental Repayments'!$I$31),-PMT('Interest Rate'!$J$16,'Incremental Repayments'!$I$31,(HLOOKUP($D57,$E$4:$CZ$32,28,FALSE)*'Incremental Repayments'!$I$22)),0),0)</f>
        <v>0</v>
      </c>
      <c r="J57" s="783">
        <f>IF('Incremental Repayments'!$R$22="Debt",IF(AND(J$4&gt;=$D57,J$4&lt;$D57+'Incremental Repayments'!$I$31),-PMT('Interest Rate'!$J$16,'Incremental Repayments'!$I$31,(HLOOKUP($D57,$E$4:$CZ$32,28,FALSE)*'Incremental Repayments'!$I$22)),0),0)</f>
        <v>0</v>
      </c>
      <c r="K57" s="783">
        <f>IF('Incremental Repayments'!$R$22="Debt",IF(AND(K$4&gt;=$D57,K$4&lt;$D57+'Incremental Repayments'!$I$31),-PMT('Interest Rate'!$J$16,'Incremental Repayments'!$I$31,(HLOOKUP($D57,$E$4:$CZ$32,28,FALSE)*'Incremental Repayments'!$I$22)),0),0)</f>
        <v>0</v>
      </c>
      <c r="L57" s="783">
        <f>IF('Incremental Repayments'!$R$22="Debt",IF(AND(L$4&gt;=$D57,L$4&lt;$D57+'Incremental Repayments'!$I$31),-PMT('Interest Rate'!$J$16,'Incremental Repayments'!$I$31,(HLOOKUP($D57,$E$4:$CZ$32,28,FALSE)*'Incremental Repayments'!$I$22)),0),0)</f>
        <v>0</v>
      </c>
      <c r="M57" s="783">
        <f>IF('Incremental Repayments'!$R$22="Debt",IF(AND(M$4&gt;=$D57,M$4&lt;$D57+'Incremental Repayments'!$I$31),-PMT('Interest Rate'!$J$16,'Incremental Repayments'!$I$31,(HLOOKUP($D57,$E$4:$CZ$32,28,FALSE)*'Incremental Repayments'!$I$22)),0),0)</f>
        <v>0</v>
      </c>
      <c r="N57" s="783">
        <f>IF('Incremental Repayments'!$R$22="Debt",IF(AND(N$4&gt;=$D57,N$4&lt;$D57+'Incremental Repayments'!$I$31),-PMT('Interest Rate'!$J$16,'Incremental Repayments'!$I$31,(HLOOKUP($D57,$E$4:$CZ$32,28,FALSE)*'Incremental Repayments'!$I$22)),0),0)</f>
        <v>0</v>
      </c>
      <c r="O57" s="783">
        <f>IF('Incremental Repayments'!$R$22="Debt",IF(AND(O$4&gt;=$D57,O$4&lt;$D57+'Incremental Repayments'!$I$31),-PMT('Interest Rate'!$J$16,'Incremental Repayments'!$I$31,(HLOOKUP($D57,$E$4:$CZ$32,28,FALSE)*'Incremental Repayments'!$I$22)),0),0)</f>
        <v>0</v>
      </c>
      <c r="P57" s="783">
        <f>IF('Incremental Repayments'!$R$22="Debt",IF(AND(P$4&gt;=$D57,P$4&lt;$D57+'Incremental Repayments'!$I$31),-PMT('Interest Rate'!$J$16,'Incremental Repayments'!$I$31,(HLOOKUP($D57,$E$4:$CZ$32,28,FALSE)*'Incremental Repayments'!$I$22)),0),0)</f>
        <v>0</v>
      </c>
      <c r="Q57" s="783">
        <f>IF('Incremental Repayments'!$R$22="Debt",IF(AND(Q$4&gt;=$D57,Q$4&lt;$D57+'Incremental Repayments'!$I$31),-PMT('Interest Rate'!$J$16,'Incremental Repayments'!$I$31,(HLOOKUP($D57,$E$4:$CZ$32,28,FALSE)*'Incremental Repayments'!$I$22)),0),0)</f>
        <v>0</v>
      </c>
      <c r="R57" s="783">
        <f>IF('Incremental Repayments'!$R$22="Debt",IF(AND(R$4&gt;=$D57,R$4&lt;$D57+'Incremental Repayments'!$I$31),-PMT('Interest Rate'!$J$16,'Incremental Repayments'!$I$31,(HLOOKUP($D57,$E$4:$CZ$32,28,FALSE)*'Incremental Repayments'!$I$22)),0),0)</f>
        <v>0</v>
      </c>
      <c r="S57" s="783">
        <f>IF('Incremental Repayments'!$R$22="Debt",IF(AND(S$4&gt;=$D57,S$4&lt;$D57+'Incremental Repayments'!$I$31),-PMT('Interest Rate'!$J$16,'Incremental Repayments'!$I$31,(HLOOKUP($D57,$E$4:$CZ$32,28,FALSE)*'Incremental Repayments'!$I$22)),0),0)</f>
        <v>0</v>
      </c>
      <c r="T57" s="783">
        <f>IF('Incremental Repayments'!$R$22="Debt",IF(AND(T$4&gt;=$D57,T$4&lt;$D57+'Incremental Repayments'!$I$31),-PMT('Interest Rate'!$J$16,'Incremental Repayments'!$I$31,(HLOOKUP($D57,$E$4:$CZ$32,28,FALSE)*'Incremental Repayments'!$I$22)),0),0)</f>
        <v>0</v>
      </c>
      <c r="U57" s="783">
        <f>IF('Incremental Repayments'!$R$22="Debt",IF(AND(U$4&gt;=$D57,U$4&lt;$D57+'Incremental Repayments'!$I$31),-PMT('Interest Rate'!$J$16,'Incremental Repayments'!$I$31,(HLOOKUP($D57,$E$4:$CZ$32,28,FALSE)*'Incremental Repayments'!$I$22)),0),0)</f>
        <v>0</v>
      </c>
      <c r="V57" s="783">
        <f>IF('Incremental Repayments'!$R$22="Debt",IF(AND(V$4&gt;=$D57,V$4&lt;$D57+'Incremental Repayments'!$I$31),-PMT('Interest Rate'!$J$16,'Incremental Repayments'!$I$31,(HLOOKUP($D57,$E$4:$CZ$32,28,FALSE)*'Incremental Repayments'!$I$22)),0),0)</f>
        <v>0</v>
      </c>
      <c r="W57" s="783">
        <f>IF('Incremental Repayments'!$R$22="Debt",IF(AND(W$4&gt;=$D57,W$4&lt;$D57+'Incremental Repayments'!$I$31),-PMT('Interest Rate'!$J$16,'Incremental Repayments'!$I$31,(HLOOKUP($D57,$E$4:$CZ$32,28,FALSE)*'Incremental Repayments'!$I$22)),0),0)</f>
        <v>0</v>
      </c>
      <c r="X57" s="783">
        <f>IF('Incremental Repayments'!$R$22="Debt",IF(AND(X$4&gt;=$D57,X$4&lt;$D57+'Incremental Repayments'!$I$31),-PMT('Interest Rate'!$J$16,'Incremental Repayments'!$I$31,(HLOOKUP($D57,$E$4:$CZ$32,28,FALSE)*'Incremental Repayments'!$I$22)),0),0)</f>
        <v>0</v>
      </c>
      <c r="Y57" s="783">
        <f>IF('Incremental Repayments'!$R$22="Debt",IF(AND(Y$4&gt;=$D57,Y$4&lt;$D57+'Incremental Repayments'!$I$31),-PMT('Interest Rate'!$J$16,'Incremental Repayments'!$I$31,(HLOOKUP($D57,$E$4:$CZ$32,28,FALSE)*'Incremental Repayments'!$I$22)),0),0)</f>
        <v>0</v>
      </c>
      <c r="Z57" s="783">
        <f>IF('Incremental Repayments'!$R$22="Debt",IF(AND(Z$4&gt;=$D57,Z$4&lt;$D57+'Incremental Repayments'!$I$31),-PMT('Interest Rate'!$J$16,'Incremental Repayments'!$I$31,(HLOOKUP($D57,$E$4:$CZ$32,28,FALSE)*'Incremental Repayments'!$I$22)),0),0)</f>
        <v>5189850.2317559309</v>
      </c>
      <c r="AA57" s="783">
        <f>IF('Incremental Repayments'!$R$22="Debt",IF(AND(AA$4&gt;=$D57,AA$4&lt;$D57+'Incremental Repayments'!$I$31),-PMT('Interest Rate'!$J$16,'Incremental Repayments'!$I$31,(HLOOKUP($D57,$E$4:$CZ$32,28,FALSE)*'Incremental Repayments'!$I$22)),0),0)</f>
        <v>5189850.2317559309</v>
      </c>
      <c r="AB57" s="783">
        <f>IF('Incremental Repayments'!$R$22="Debt",IF(AND(AB$4&gt;=$D57,AB$4&lt;$D57+'Incremental Repayments'!$I$31),-PMT('Interest Rate'!$J$16,'Incremental Repayments'!$I$31,(HLOOKUP($D57,$E$4:$CZ$32,28,FALSE)*'Incremental Repayments'!$I$22)),0),0)</f>
        <v>5189850.2317559309</v>
      </c>
      <c r="AC57" s="783">
        <f>IF('Incremental Repayments'!$R$22="Debt",IF(AND(AC$4&gt;=$D57,AC$4&lt;$D57+'Incremental Repayments'!$I$31),-PMT('Interest Rate'!$J$16,'Incremental Repayments'!$I$31,(HLOOKUP($D57,$E$4:$CZ$32,28,FALSE)*'Incremental Repayments'!$I$22)),0),0)</f>
        <v>5189850.2317559309</v>
      </c>
      <c r="AD57" s="783">
        <f>IF('Incremental Repayments'!$R$22="Debt",IF(AND(AD$4&gt;=$D57,AD$4&lt;$D57+'Incremental Repayments'!$I$31),-PMT('Interest Rate'!$J$16,'Incremental Repayments'!$I$31,(HLOOKUP($D57,$E$4:$CZ$32,28,FALSE)*'Incremental Repayments'!$I$22)),0),0)</f>
        <v>5189850.2317559309</v>
      </c>
      <c r="AE57" s="783">
        <f>IF('Incremental Repayments'!$R$22="Debt",IF(AND(AE$4&gt;=$D57,AE$4&lt;$D57+'Incremental Repayments'!$I$31),-PMT('Interest Rate'!$J$16,'Incremental Repayments'!$I$31,(HLOOKUP($D57,$E$4:$CZ$32,28,FALSE)*'Incremental Repayments'!$I$22)),0),0)</f>
        <v>5189850.2317559309</v>
      </c>
      <c r="AF57" s="783">
        <f>IF('Incremental Repayments'!$R$22="Debt",IF(AND(AF$4&gt;=$D57,AF$4&lt;$D57+'Incremental Repayments'!$I$31),-PMT('Interest Rate'!$J$16,'Incremental Repayments'!$I$31,(HLOOKUP($D57,$E$4:$CZ$32,28,FALSE)*'Incremental Repayments'!$I$22)),0),0)</f>
        <v>5189850.2317559309</v>
      </c>
      <c r="AG57" s="783">
        <f>IF('Incremental Repayments'!$R$22="Debt",IF(AND(AG$4&gt;=$D57,AG$4&lt;$D57+'Incremental Repayments'!$I$31),-PMT('Interest Rate'!$J$16,'Incremental Repayments'!$I$31,(HLOOKUP($D57,$E$4:$CZ$32,28,FALSE)*'Incremental Repayments'!$I$22)),0),0)</f>
        <v>5189850.2317559309</v>
      </c>
      <c r="AH57" s="783">
        <f>IF('Incremental Repayments'!$R$22="Debt",IF(AND(AH$4&gt;=$D57,AH$4&lt;$D57+'Incremental Repayments'!$I$31),-PMT('Interest Rate'!$J$16,'Incremental Repayments'!$I$31,(HLOOKUP($D57,$E$4:$CZ$32,28,FALSE)*'Incremental Repayments'!$I$22)),0),0)</f>
        <v>5189850.2317559309</v>
      </c>
      <c r="AI57" s="783">
        <f>IF('Incremental Repayments'!$R$22="Debt",IF(AND(AI$4&gt;=$D57,AI$4&lt;$D57+'Incremental Repayments'!$I$31),-PMT('Interest Rate'!$J$16,'Incremental Repayments'!$I$31,(HLOOKUP($D57,$E$4:$CZ$32,28,FALSE)*'Incremental Repayments'!$I$22)),0),0)</f>
        <v>5189850.2317559309</v>
      </c>
      <c r="AJ57" s="783">
        <f>IF('Incremental Repayments'!$R$22="Debt",IF(AND(AJ$4&gt;=$D57,AJ$4&lt;$D57+'Incremental Repayments'!$I$31),-PMT('Interest Rate'!$J$16,'Incremental Repayments'!$I$31,(HLOOKUP($D57,$E$4:$CZ$32,28,FALSE)*'Incremental Repayments'!$I$22)),0),0)</f>
        <v>5189850.2317559309</v>
      </c>
      <c r="AK57" s="783">
        <f>IF('Incremental Repayments'!$R$22="Debt",IF(AND(AK$4&gt;=$D57,AK$4&lt;$D57+'Incremental Repayments'!$I$31),-PMT('Interest Rate'!$J$16,'Incremental Repayments'!$I$31,(HLOOKUP($D57,$E$4:$CZ$32,28,FALSE)*'Incremental Repayments'!$I$22)),0),0)</f>
        <v>5189850.2317559309</v>
      </c>
      <c r="AL57" s="783">
        <f>IF('Incremental Repayments'!$R$22="Debt",IF(AND(AL$4&gt;=$D57,AL$4&lt;$D57+'Incremental Repayments'!$I$31),-PMT('Interest Rate'!$J$16,'Incremental Repayments'!$I$31,(HLOOKUP($D57,$E$4:$CZ$32,28,FALSE)*'Incremental Repayments'!$I$22)),0),0)</f>
        <v>5189850.2317559309</v>
      </c>
      <c r="AM57" s="783">
        <f>IF('Incremental Repayments'!$R$22="Debt",IF(AND(AM$4&gt;=$D57,AM$4&lt;$D57+'Incremental Repayments'!$I$31),-PMT('Interest Rate'!$J$16,'Incremental Repayments'!$I$31,(HLOOKUP($D57,$E$4:$CZ$32,28,FALSE)*'Incremental Repayments'!$I$22)),0),0)</f>
        <v>5189850.2317559309</v>
      </c>
      <c r="AN57" s="783">
        <f>IF('Incremental Repayments'!$R$22="Debt",IF(AND(AN$4&gt;=$D57,AN$4&lt;$D57+'Incremental Repayments'!$I$31),-PMT('Interest Rate'!$J$16,'Incremental Repayments'!$I$31,(HLOOKUP($D57,$E$4:$CZ$32,28,FALSE)*'Incremental Repayments'!$I$22)),0),0)</f>
        <v>5189850.2317559309</v>
      </c>
      <c r="AO57" s="783">
        <f>IF('Incremental Repayments'!$R$22="Debt",IF(AND(AO$4&gt;=$D57,AO$4&lt;$D57+'Incremental Repayments'!$I$31),-PMT('Interest Rate'!$J$16,'Incremental Repayments'!$I$31,(HLOOKUP($D57,$E$4:$CZ$32,28,FALSE)*'Incremental Repayments'!$I$22)),0),0)</f>
        <v>5189850.2317559309</v>
      </c>
      <c r="AP57" s="783">
        <f>IF('Incremental Repayments'!$R$22="Debt",IF(AND(AP$4&gt;=$D57,AP$4&lt;$D57+'Incremental Repayments'!$I$31),-PMT('Interest Rate'!$J$16,'Incremental Repayments'!$I$31,(HLOOKUP($D57,$E$4:$CZ$32,28,FALSE)*'Incremental Repayments'!$I$22)),0),0)</f>
        <v>5189850.2317559309</v>
      </c>
      <c r="AQ57" s="783">
        <f>IF('Incremental Repayments'!$R$22="Debt",IF(AND(AQ$4&gt;=$D57,AQ$4&lt;$D57+'Incremental Repayments'!$I$31),-PMT('Interest Rate'!$J$16,'Incremental Repayments'!$I$31,(HLOOKUP($D57,$E$4:$CZ$32,28,FALSE)*'Incremental Repayments'!$I$22)),0),0)</f>
        <v>5189850.2317559309</v>
      </c>
      <c r="AR57" s="783">
        <f>IF('Incremental Repayments'!$R$22="Debt",IF(AND(AR$4&gt;=$D57,AR$4&lt;$D57+'Incremental Repayments'!$I$31),-PMT('Interest Rate'!$J$16,'Incremental Repayments'!$I$31,(HLOOKUP($D57,$E$4:$CZ$32,28,FALSE)*'Incremental Repayments'!$I$22)),0),0)</f>
        <v>5189850.2317559309</v>
      </c>
      <c r="AS57" s="783">
        <f>IF('Incremental Repayments'!$R$22="Debt",IF(AND(AS$4&gt;=$D57,AS$4&lt;$D57+'Incremental Repayments'!$I$31),-PMT('Interest Rate'!$J$16,'Incremental Repayments'!$I$31,(HLOOKUP($D57,$E$4:$CZ$32,28,FALSE)*'Incremental Repayments'!$I$22)),0),0)</f>
        <v>5189850.2317559309</v>
      </c>
      <c r="AT57" s="783">
        <f>IF('Incremental Repayments'!$R$22="Debt",IF(AND(AT$4&gt;=$D57,AT$4&lt;$D57+'Incremental Repayments'!$I$31),-PMT('Interest Rate'!$J$16,'Incremental Repayments'!$I$31,(HLOOKUP($D57,$E$4:$CZ$32,28,FALSE)*'Incremental Repayments'!$I$22)),0),0)</f>
        <v>5189850.2317559309</v>
      </c>
      <c r="AU57" s="783">
        <f>IF('Incremental Repayments'!$R$22="Debt",IF(AND(AU$4&gt;=$D57,AU$4&lt;$D57+'Incremental Repayments'!$I$31),-PMT('Interest Rate'!$J$16,'Incremental Repayments'!$I$31,(HLOOKUP($D57,$E$4:$CZ$32,28,FALSE)*'Incremental Repayments'!$I$22)),0),0)</f>
        <v>5189850.2317559309</v>
      </c>
      <c r="AV57" s="783">
        <f>IF('Incremental Repayments'!$R$22="Debt",IF(AND(AV$4&gt;=$D57,AV$4&lt;$D57+'Incremental Repayments'!$I$31),-PMT('Interest Rate'!$J$16,'Incremental Repayments'!$I$31,(HLOOKUP($D57,$E$4:$CZ$32,28,FALSE)*'Incremental Repayments'!$I$22)),0),0)</f>
        <v>5189850.2317559309</v>
      </c>
      <c r="AW57" s="783">
        <f>IF('Incremental Repayments'!$R$22="Debt",IF(AND(AW$4&gt;=$D57,AW$4&lt;$D57+'Incremental Repayments'!$I$31),-PMT('Interest Rate'!$J$16,'Incremental Repayments'!$I$31,(HLOOKUP($D57,$E$4:$CZ$32,28,FALSE)*'Incremental Repayments'!$I$22)),0),0)</f>
        <v>5189850.2317559309</v>
      </c>
      <c r="AX57" s="783">
        <f>IF('Incremental Repayments'!$R$22="Debt",IF(AND(AX$4&gt;=$D57,AX$4&lt;$D57+'Incremental Repayments'!$I$31),-PMT('Interest Rate'!$J$16,'Incremental Repayments'!$I$31,(HLOOKUP($D57,$E$4:$CZ$32,28,FALSE)*'Incremental Repayments'!$I$22)),0),0)</f>
        <v>5189850.2317559309</v>
      </c>
      <c r="AY57" s="783">
        <f>IF('Incremental Repayments'!$R$22="Debt",IF(AND(AY$4&gt;=$D57,AY$4&lt;$D57+'Incremental Repayments'!$I$31),-PMT('Interest Rate'!$J$16,'Incremental Repayments'!$I$31,(HLOOKUP($D57,$E$4:$CZ$32,28,FALSE)*'Incremental Repayments'!$I$22)),0),0)</f>
        <v>5189850.2317559309</v>
      </c>
      <c r="AZ57" s="783">
        <f>IF('Incremental Repayments'!$R$22="Debt",IF(AND(AZ$4&gt;=$D57,AZ$4&lt;$D57+'Incremental Repayments'!$I$31),-PMT('Interest Rate'!$J$16,'Incremental Repayments'!$I$31,(HLOOKUP($D57,$E$4:$CZ$32,28,FALSE)*'Incremental Repayments'!$I$22)),0),0)</f>
        <v>5189850.2317559309</v>
      </c>
      <c r="BA57" s="783">
        <f>IF('Incremental Repayments'!$R$22="Debt",IF(AND(BA$4&gt;=$D57,BA$4&lt;$D57+'Incremental Repayments'!$I$31),-PMT('Interest Rate'!$J$16,'Incremental Repayments'!$I$31,(HLOOKUP($D57,$E$4:$CZ$32,28,FALSE)*'Incremental Repayments'!$I$22)),0),0)</f>
        <v>5189850.2317559309</v>
      </c>
      <c r="BB57" s="783">
        <f>IF('Incremental Repayments'!$R$22="Debt",IF(AND(BB$4&gt;=$D57,BB$4&lt;$D57+'Incremental Repayments'!$I$31),-PMT('Interest Rate'!$J$16,'Incremental Repayments'!$I$31,(HLOOKUP($D57,$E$4:$CZ$32,28,FALSE)*'Incremental Repayments'!$I$22)),0),0)</f>
        <v>5189850.2317559309</v>
      </c>
      <c r="BC57" s="783">
        <f>IF('Incremental Repayments'!$R$22="Debt",IF(AND(BC$4&gt;=$D57,BC$4&lt;$D57+'Incremental Repayments'!$I$31),-PMT('Interest Rate'!$J$16,'Incremental Repayments'!$I$31,(HLOOKUP($D57,$E$4:$CZ$32,28,FALSE)*'Incremental Repayments'!$I$22)),0),0)</f>
        <v>5189850.2317559309</v>
      </c>
      <c r="BD57" s="783">
        <f>IF('Incremental Repayments'!$R$22="Debt",IF(AND(BD$4&gt;=$D57,BD$4&lt;$D57+'Incremental Repayments'!$I$31),-PMT('Interest Rate'!$J$16,'Incremental Repayments'!$I$31,(HLOOKUP($D57,$E$4:$CZ$32,28,FALSE)*'Incremental Repayments'!$I$22)),0),0)</f>
        <v>0</v>
      </c>
      <c r="BE57" s="783">
        <f>IF('Incremental Repayments'!$R$22="Debt",IF(AND(BE$4&gt;=$D57,BE$4&lt;$D57+'Incremental Repayments'!$I$31),-PMT('Interest Rate'!$J$16,'Incremental Repayments'!$I$31,(HLOOKUP($D57,$E$4:$CZ$32,28,FALSE)*'Incremental Repayments'!$I$22)),0),0)</f>
        <v>0</v>
      </c>
      <c r="BF57" s="783">
        <f>IF('Incremental Repayments'!$R$22="Debt",IF(AND(BF$4&gt;=$D57,BF$4&lt;$D57+'Incremental Repayments'!$I$31),-PMT('Interest Rate'!$J$16,'Incremental Repayments'!$I$31,(HLOOKUP($D57,$E$4:$CZ$32,28,FALSE)*'Incremental Repayments'!$I$22)),0),0)</f>
        <v>0</v>
      </c>
      <c r="BG57" s="783">
        <f>IF('Incremental Repayments'!$R$22="Debt",IF(AND(BG$4&gt;=$D57,BG$4&lt;$D57+'Incremental Repayments'!$I$31),-PMT('Interest Rate'!$J$16,'Incremental Repayments'!$I$31,(HLOOKUP($D57,$E$4:$CZ$32,28,FALSE)*'Incremental Repayments'!$I$22)),0),0)</f>
        <v>0</v>
      </c>
      <c r="BH57" s="783">
        <f>IF('Incremental Repayments'!$R$22="Debt",IF(AND(BH$4&gt;=$D57,BH$4&lt;$D57+'Incremental Repayments'!$I$31),-PMT('Interest Rate'!$J$16,'Incremental Repayments'!$I$31,(HLOOKUP($D57,$E$4:$CZ$32,28,FALSE)*'Incremental Repayments'!$I$22)),0),0)</f>
        <v>0</v>
      </c>
      <c r="BI57" s="783">
        <f>IF('Incremental Repayments'!$R$22="Debt",IF(AND(BI$4&gt;=$D57,BI$4&lt;$D57+'Incremental Repayments'!$I$31),-PMT('Interest Rate'!$J$16,'Incremental Repayments'!$I$31,(HLOOKUP($D57,$E$4:$CZ$32,28,FALSE)*'Incremental Repayments'!$I$22)),0),0)</f>
        <v>0</v>
      </c>
      <c r="BJ57" s="783">
        <f>IF('Incremental Repayments'!$R$22="Debt",IF(AND(BJ$4&gt;=$D57,BJ$4&lt;$D57+'Incremental Repayments'!$I$31),-PMT('Interest Rate'!$J$16,'Incremental Repayments'!$I$31,(HLOOKUP($D57,$E$4:$CZ$32,28,FALSE)*'Incremental Repayments'!$I$22)),0),0)</f>
        <v>0</v>
      </c>
      <c r="BK57" s="783">
        <f>IF('Incremental Repayments'!$R$22="Debt",IF(AND(BK$4&gt;=$D57,BK$4&lt;$D57+'Incremental Repayments'!$I$31),-PMT('Interest Rate'!$J$16,'Incremental Repayments'!$I$31,(HLOOKUP($D57,$E$4:$CZ$32,28,FALSE)*'Incremental Repayments'!$I$22)),0),0)</f>
        <v>0</v>
      </c>
      <c r="BL57" s="783">
        <f>IF('Incremental Repayments'!$R$22="Debt",IF(AND(BL$4&gt;=$D57,BL$4&lt;$D57+'Incremental Repayments'!$I$31),-PMT('Interest Rate'!$J$16,'Incremental Repayments'!$I$31,(HLOOKUP($D57,$E$4:$CZ$32,28,FALSE)*'Incremental Repayments'!$I$22)),0),0)</f>
        <v>0</v>
      </c>
      <c r="BM57" s="783">
        <f>IF('Incremental Repayments'!$R$22="Debt",IF(AND(BM$4&gt;=$D57,BM$4&lt;$D57+'Incremental Repayments'!$I$31),-PMT('Interest Rate'!$J$16,'Incremental Repayments'!$I$31,(HLOOKUP($D57,$E$4:$CZ$32,28,FALSE)*'Incremental Repayments'!$I$22)),0),0)</f>
        <v>0</v>
      </c>
      <c r="BN57" s="783">
        <f>IF('Incremental Repayments'!$R$22="Debt",IF(AND(BN$4&gt;=$D57,BN$4&lt;$D57+'Incremental Repayments'!$I$31),-PMT('Interest Rate'!$J$16,'Incremental Repayments'!$I$31,(HLOOKUP($D57,$E$4:$CZ$32,28,FALSE)*'Incremental Repayments'!$I$22)),0),0)</f>
        <v>0</v>
      </c>
      <c r="BO57" s="783">
        <f>IF('Incremental Repayments'!$R$22="Debt",IF(AND(BO$4&gt;=$D57,BO$4&lt;$D57+'Incremental Repayments'!$I$31),-PMT('Interest Rate'!$J$16,'Incremental Repayments'!$I$31,(HLOOKUP($D57,$E$4:$CZ$32,28,FALSE)*'Incremental Repayments'!$I$22)),0),0)</f>
        <v>0</v>
      </c>
      <c r="BP57" s="783">
        <f>IF('Incremental Repayments'!$R$22="Debt",IF(AND(BP$4&gt;=$D57,BP$4&lt;$D57+'Incremental Repayments'!$I$31),-PMT('Interest Rate'!$J$16,'Incremental Repayments'!$I$31,(HLOOKUP($D57,$E$4:$CZ$32,28,FALSE)*'Incremental Repayments'!$I$22)),0),0)</f>
        <v>0</v>
      </c>
      <c r="BQ57" s="783">
        <f>IF('Incremental Repayments'!$R$22="Debt",IF(AND(BQ$4&gt;=$D57,BQ$4&lt;$D57+'Incremental Repayments'!$I$31),-PMT('Interest Rate'!$J$16,'Incremental Repayments'!$I$31,(HLOOKUP($D57,$E$4:$CZ$32,28,FALSE)*'Incremental Repayments'!$I$22)),0),0)</f>
        <v>0</v>
      </c>
      <c r="BR57" s="783">
        <f>IF('Incremental Repayments'!$R$22="Debt",IF(AND(BR$4&gt;=$D57,BR$4&lt;$D57+'Incremental Repayments'!$I$31),-PMT('Interest Rate'!$J$16,'Incremental Repayments'!$I$31,(HLOOKUP($D57,$E$4:$CZ$32,28,FALSE)*'Incremental Repayments'!$I$22)),0),0)</f>
        <v>0</v>
      </c>
      <c r="BS57" s="783">
        <f>IF('Incremental Repayments'!$R$22="Debt",IF(AND(BS$4&gt;=$D57,BS$4&lt;$D57+'Incremental Repayments'!$I$31),-PMT('Interest Rate'!$J$16,'Incremental Repayments'!$I$31,(HLOOKUP($D57,$E$4:$CZ$32,28,FALSE)*'Incremental Repayments'!$I$22)),0),0)</f>
        <v>0</v>
      </c>
      <c r="BT57" s="783">
        <f>IF('Incremental Repayments'!$R$22="Debt",IF(AND(BT$4&gt;=$D57,BT$4&lt;$D57+'Incremental Repayments'!$I$31),-PMT('Interest Rate'!$J$16,'Incremental Repayments'!$I$31,(HLOOKUP($D57,$E$4:$CZ$32,28,FALSE)*'Incremental Repayments'!$I$22)),0),0)</f>
        <v>0</v>
      </c>
      <c r="BU57" s="783">
        <f>IF('Incremental Repayments'!$R$22="Debt",IF(AND(BU$4&gt;=$D57,BU$4&lt;$D57+'Incremental Repayments'!$I$31),-PMT('Interest Rate'!$J$16,'Incremental Repayments'!$I$31,(HLOOKUP($D57,$E$4:$CZ$32,28,FALSE)*'Incremental Repayments'!$I$22)),0),0)</f>
        <v>0</v>
      </c>
      <c r="BV57" s="783">
        <f>IF('Incremental Repayments'!$R$22="Debt",IF(AND(BV$4&gt;=$D57,BV$4&lt;$D57+'Incremental Repayments'!$I$31),-PMT('Interest Rate'!$J$16,'Incremental Repayments'!$I$31,(HLOOKUP($D57,$E$4:$CZ$32,28,FALSE)*'Incremental Repayments'!$I$22)),0),0)</f>
        <v>0</v>
      </c>
      <c r="BW57" s="783">
        <f>IF('Incremental Repayments'!$R$22="Debt",IF(AND(BW$4&gt;=$D57,BW$4&lt;$D57+'Incremental Repayments'!$I$31),-PMT('Interest Rate'!$J$16,'Incremental Repayments'!$I$31,(HLOOKUP($D57,$E$4:$CZ$32,28,FALSE)*'Incremental Repayments'!$I$22)),0),0)</f>
        <v>0</v>
      </c>
      <c r="BX57" s="783">
        <f>IF('Incremental Repayments'!$R$22="Debt",IF(AND(BX$4&gt;=$D57,BX$4&lt;$D57+'Incremental Repayments'!$I$31),-PMT('Interest Rate'!$J$16,'Incremental Repayments'!$I$31,(HLOOKUP($D57,$E$4:$CZ$32,28,FALSE)*'Incremental Repayments'!$I$22)),0),0)</f>
        <v>0</v>
      </c>
      <c r="BY57" s="783">
        <f>IF('Incremental Repayments'!$R$22="Debt",IF(AND(BY$4&gt;=$D57,BY$4&lt;$D57+'Incremental Repayments'!$I$31),-PMT('Interest Rate'!$J$16,'Incremental Repayments'!$I$31,(HLOOKUP($D57,$E$4:$CZ$32,28,FALSE)*'Incremental Repayments'!$I$22)),0),0)</f>
        <v>0</v>
      </c>
      <c r="BZ57" s="783">
        <f>IF('Incremental Repayments'!$R$22="Debt",IF(AND(BZ$4&gt;=$D57,BZ$4&lt;$D57+'Incremental Repayments'!$I$31),-PMT('Interest Rate'!$J$16,'Incremental Repayments'!$I$31,(HLOOKUP($D57,$E$4:$CZ$32,28,FALSE)*'Incremental Repayments'!$I$22)),0),0)</f>
        <v>0</v>
      </c>
      <c r="CA57" s="783">
        <f>IF('Incremental Repayments'!$R$22="Debt",IF(AND(CA$4&gt;=$D57,CA$4&lt;$D57+'Incremental Repayments'!$I$31),-PMT('Interest Rate'!$J$16,'Incremental Repayments'!$I$31,(HLOOKUP($D57,$E$4:$CZ$32,28,FALSE)*'Incremental Repayments'!$I$22)),0),0)</f>
        <v>0</v>
      </c>
      <c r="CB57" s="783">
        <f>IF('Incremental Repayments'!$R$22="Debt",IF(AND(CB$4&gt;=$D57,CB$4&lt;$D57+'Incremental Repayments'!$I$31),-PMT('Interest Rate'!$J$16,'Incremental Repayments'!$I$31,(HLOOKUP($D57,$E$4:$CZ$32,28,FALSE)*'Incremental Repayments'!$I$22)),0),0)</f>
        <v>0</v>
      </c>
      <c r="CC57" s="783">
        <f>IF('Incremental Repayments'!$R$22="Debt",IF(AND(CC$4&gt;=$D57,CC$4&lt;$D57+'Incremental Repayments'!$I$31),-PMT('Interest Rate'!$J$16,'Incremental Repayments'!$I$31,(HLOOKUP($D57,$E$4:$CZ$32,28,FALSE)*'Incremental Repayments'!$I$22)),0),0)</f>
        <v>0</v>
      </c>
      <c r="CD57" s="783">
        <f>IF('Incremental Repayments'!$R$22="Debt",IF(AND(CD$4&gt;=$D57,CD$4&lt;$D57+'Incremental Repayments'!$I$31),-PMT('Interest Rate'!$J$16,'Incremental Repayments'!$I$31,(HLOOKUP($D57,$E$4:$CZ$32,28,FALSE)*'Incremental Repayments'!$I$22)),0),0)</f>
        <v>0</v>
      </c>
      <c r="CE57" s="783">
        <f>IF('Incremental Repayments'!$R$22="Debt",IF(AND(CE$4&gt;=$D57,CE$4&lt;$D57+'Incremental Repayments'!$I$31),-PMT('Interest Rate'!$J$16,'Incremental Repayments'!$I$31,(HLOOKUP($D57,$E$4:$CZ$32,28,FALSE)*'Incremental Repayments'!$I$22)),0),0)</f>
        <v>0</v>
      </c>
      <c r="CF57" s="783">
        <f>IF('Incremental Repayments'!$R$22="Debt",IF(AND(CF$4&gt;=$D57,CF$4&lt;$D57+'Incremental Repayments'!$I$31),-PMT('Interest Rate'!$J$16,'Incremental Repayments'!$I$31,(HLOOKUP($D57,$E$4:$CZ$32,28,FALSE)*'Incremental Repayments'!$I$22)),0),0)</f>
        <v>0</v>
      </c>
      <c r="CG57" s="783">
        <f>IF('Incremental Repayments'!$R$22="Debt",IF(AND(CG$4&gt;=$D57,CG$4&lt;$D57+'Incremental Repayments'!$I$31),-PMT('Interest Rate'!$J$16,'Incremental Repayments'!$I$31,(HLOOKUP($D57,$E$4:$CZ$32,28,FALSE)*'Incremental Repayments'!$I$22)),0),0)</f>
        <v>0</v>
      </c>
      <c r="CH57" s="783">
        <f>IF('Incremental Repayments'!$R$22="Debt",IF(AND(CH$4&gt;=$D57,CH$4&lt;$D57+'Incremental Repayments'!$I$31),-PMT('Interest Rate'!$J$16,'Incremental Repayments'!$I$31,(HLOOKUP($D57,$E$4:$CZ$32,28,FALSE)*'Incremental Repayments'!$I$22)),0),0)</f>
        <v>0</v>
      </c>
      <c r="CI57" s="783">
        <f>IF('Incremental Repayments'!$R$22="Debt",IF(AND(CI$4&gt;=$D57,CI$4&lt;$D57+'Incremental Repayments'!$I$31),-PMT('Interest Rate'!$J$16,'Incremental Repayments'!$I$31,(HLOOKUP($D57,$E$4:$CZ$32,28,FALSE)*'Incremental Repayments'!$I$22)),0),0)</f>
        <v>0</v>
      </c>
      <c r="CJ57" s="783">
        <f>IF('Incremental Repayments'!$R$22="Debt",IF(AND(CJ$4&gt;=$D57,CJ$4&lt;$D57+'Incremental Repayments'!$I$31),-PMT('Interest Rate'!$J$16,'Incremental Repayments'!$I$31,(HLOOKUP($D57,$E$4:$CZ$32,28,FALSE)*'Incremental Repayments'!$I$22)),0),0)</f>
        <v>0</v>
      </c>
      <c r="CK57" s="783">
        <f>IF('Incremental Repayments'!$R$22="Debt",IF(AND(CK$4&gt;=$D57,CK$4&lt;$D57+'Incremental Repayments'!$I$31),-PMT('Interest Rate'!$J$16,'Incremental Repayments'!$I$31,(HLOOKUP($D57,$E$4:$CZ$32,28,FALSE)*'Incremental Repayments'!$I$22)),0),0)</f>
        <v>0</v>
      </c>
      <c r="CL57" s="783">
        <f>IF('Incremental Repayments'!$R$22="Debt",IF(AND(CL$4&gt;=$D57,CL$4&lt;$D57+'Incremental Repayments'!$I$31),-PMT('Interest Rate'!$J$16,'Incremental Repayments'!$I$31,(HLOOKUP($D57,$E$4:$CZ$32,28,FALSE)*'Incremental Repayments'!$I$22)),0),0)</f>
        <v>0</v>
      </c>
      <c r="CM57" s="783">
        <f>IF('Incremental Repayments'!$R$22="Debt",IF(AND(CM$4&gt;=$D57,CM$4&lt;$D57+'Incremental Repayments'!$I$31),-PMT('Interest Rate'!$J$16,'Incremental Repayments'!$I$31,(HLOOKUP($D57,$E$4:$CZ$32,28,FALSE)*'Incremental Repayments'!$I$22)),0),0)</f>
        <v>0</v>
      </c>
      <c r="CN57" s="783">
        <f>IF('Incremental Repayments'!$R$22="Debt",IF(AND(CN$4&gt;=$D57,CN$4&lt;$D57+'Incremental Repayments'!$I$31),-PMT('Interest Rate'!$J$16,'Incremental Repayments'!$I$31,(HLOOKUP($D57,$E$4:$CZ$32,28,FALSE)*'Incremental Repayments'!$I$22)),0),0)</f>
        <v>0</v>
      </c>
      <c r="CO57" s="783">
        <f>IF('Incremental Repayments'!$R$22="Debt",IF(AND(CO$4&gt;=$D57,CO$4&lt;$D57+'Incremental Repayments'!$I$31),-PMT('Interest Rate'!$J$16,'Incremental Repayments'!$I$31,(HLOOKUP($D57,$E$4:$CZ$32,28,FALSE)*'Incremental Repayments'!$I$22)),0),0)</f>
        <v>0</v>
      </c>
      <c r="CP57" s="783">
        <f>IF('Incremental Repayments'!$R$22="Debt",IF(AND(CP$4&gt;=$D57,CP$4&lt;$D57+'Incremental Repayments'!$I$31),-PMT('Interest Rate'!$J$16,'Incremental Repayments'!$I$31,(HLOOKUP($D57,$E$4:$CZ$32,28,FALSE)*'Incremental Repayments'!$I$22)),0),0)</f>
        <v>0</v>
      </c>
      <c r="CQ57" s="783">
        <f>IF('Incremental Repayments'!$R$22="Debt",IF(AND(CQ$4&gt;=$D57,CQ$4&lt;$D57+'Incremental Repayments'!$I$31),-PMT('Interest Rate'!$J$16,'Incremental Repayments'!$I$31,(HLOOKUP($D57,$E$4:$CZ$32,28,FALSE)*'Incremental Repayments'!$I$22)),0),0)</f>
        <v>0</v>
      </c>
      <c r="CR57" s="783">
        <f>IF('Incremental Repayments'!$R$22="Debt",IF(AND(CR$4&gt;=$D57,CR$4&lt;$D57+'Incremental Repayments'!$I$31),-PMT('Interest Rate'!$J$16,'Incremental Repayments'!$I$31,(HLOOKUP($D57,$E$4:$CZ$32,28,FALSE)*'Incremental Repayments'!$I$22)),0),0)</f>
        <v>0</v>
      </c>
      <c r="CS57" s="783">
        <f>IF('Incremental Repayments'!$R$22="Debt",IF(AND(CS$4&gt;=$D57,CS$4&lt;$D57+'Incremental Repayments'!$I$31),-PMT('Interest Rate'!$J$16,'Incremental Repayments'!$I$31,(HLOOKUP($D57,$E$4:$CZ$32,28,FALSE)*'Incremental Repayments'!$I$22)),0),0)</f>
        <v>0</v>
      </c>
      <c r="CT57" s="783">
        <f>IF('Incremental Repayments'!$R$22="Debt",IF(AND(CT$4&gt;=$D57,CT$4&lt;$D57+'Incremental Repayments'!$I$31),-PMT('Interest Rate'!$J$16,'Incremental Repayments'!$I$31,(HLOOKUP($D57,$E$4:$CZ$32,28,FALSE)*'Incremental Repayments'!$I$22)),0),0)</f>
        <v>0</v>
      </c>
      <c r="CU57" s="783">
        <f>IF('Incremental Repayments'!$R$22="Debt",IF(AND(CU$4&gt;=$D57,CU$4&lt;$D57+'Incremental Repayments'!$I$31),-PMT('Interest Rate'!$J$16,'Incremental Repayments'!$I$31,(HLOOKUP($D57,$E$4:$CZ$32,28,FALSE)*'Incremental Repayments'!$I$22)),0),0)</f>
        <v>0</v>
      </c>
      <c r="CV57" s="783">
        <f>IF('Incremental Repayments'!$R$22="Debt",IF(AND(CV$4&gt;=$D57,CV$4&lt;$D57+'Incremental Repayments'!$I$31),-PMT('Interest Rate'!$J$16,'Incremental Repayments'!$I$31,(HLOOKUP($D57,$E$4:$CZ$32,28,FALSE)*'Incremental Repayments'!$I$22)),0),0)</f>
        <v>0</v>
      </c>
      <c r="CW57" s="783">
        <f>IF('Incremental Repayments'!$R$22="Debt",IF(AND(CW$4&gt;=$D57,CW$4&lt;$D57+'Incremental Repayments'!$I$31),-PMT('Interest Rate'!$J$16,'Incremental Repayments'!$I$31,(HLOOKUP($D57,$E$4:$CZ$32,28,FALSE)*'Incremental Repayments'!$I$22)),0),0)</f>
        <v>0</v>
      </c>
      <c r="CX57" s="783">
        <f>IF('Incremental Repayments'!$R$22="Debt",IF(AND(CX$4&gt;=$D57,CX$4&lt;$D57+'Incremental Repayments'!$I$31),-PMT('Interest Rate'!$J$16,'Incremental Repayments'!$I$31,(HLOOKUP($D57,$E$4:$CZ$32,28,FALSE)*'Incremental Repayments'!$I$22)),0),0)</f>
        <v>0</v>
      </c>
      <c r="CY57" s="783">
        <f>IF('Incremental Repayments'!$R$22="Debt",IF(AND(CY$4&gt;=$D57,CY$4&lt;$D57+'Incremental Repayments'!$I$31),-PMT('Interest Rate'!$J$16,'Incremental Repayments'!$I$31,(HLOOKUP($D57,$E$4:$CZ$32,28,FALSE)*'Incremental Repayments'!$I$22)),0),0)</f>
        <v>0</v>
      </c>
      <c r="CZ57" s="783">
        <f>IF('Incremental Repayments'!$R$22="Debt",IF(AND(CZ$4&gt;=$D57,CZ$4&lt;$D57+'Incremental Repayments'!$I$31),-PMT('Interest Rate'!$J$16,'Incremental Repayments'!$I$31,(HLOOKUP($D57,$E$4:$CZ$32,28,FALSE)*'Incremental Repayments'!$I$22)),0),0)</f>
        <v>0</v>
      </c>
    </row>
    <row r="58" spans="1:104" x14ac:dyDescent="0.25">
      <c r="B58" s="480" t="str">
        <f>CONCATENATE("Series ",D58,"A Bonds (at ",'Interest Rate'!$J$16*100,"% Interest)")</f>
        <v>Series 2036A Bonds (at 4.5% Interest)</v>
      </c>
      <c r="C58" s="480"/>
      <c r="D58" s="492">
        <f t="shared" si="47"/>
        <v>2036</v>
      </c>
      <c r="E58" s="783">
        <f>IF('Incremental Repayments'!$R$22="Debt",IF(AND(E$4&gt;=$D58,E$4&lt;$D58+'Incremental Repayments'!$I$31),-PMT('Interest Rate'!$J$16,'Incremental Repayments'!$I$31,(HLOOKUP($D58,$E$4:$CZ$32,28,FALSE)*'Incremental Repayments'!$I$22)),0),0)</f>
        <v>0</v>
      </c>
      <c r="F58" s="783">
        <f>IF('Incremental Repayments'!$R$22="Debt",IF(AND(F$4&gt;=$D58,F$4&lt;$D58+'Incremental Repayments'!$I$31),-PMT('Interest Rate'!$J$16,'Incremental Repayments'!$I$31,(HLOOKUP($D58,$E$4:$CZ$32,28,FALSE)*'Incremental Repayments'!$I$22)),0),0)</f>
        <v>0</v>
      </c>
      <c r="G58" s="783">
        <f>IF('Incremental Repayments'!$R$22="Debt",IF(AND(G$4&gt;=$D58,G$4&lt;$D58+'Incremental Repayments'!$I$31),-PMT('Interest Rate'!$J$16,'Incremental Repayments'!$I$31,(HLOOKUP($D58,$E$4:$CZ$32,28,FALSE)*'Incremental Repayments'!$I$22)),0),0)</f>
        <v>0</v>
      </c>
      <c r="H58" s="783">
        <f>IF('Incremental Repayments'!$R$22="Debt",IF(AND(H$4&gt;=$D58,H$4&lt;$D58+'Incremental Repayments'!$I$31),-PMT('Interest Rate'!$J$16,'Incremental Repayments'!$I$31,(HLOOKUP($D58,$E$4:$CZ$32,28,FALSE)*'Incremental Repayments'!$I$22)),0),0)</f>
        <v>0</v>
      </c>
      <c r="I58" s="783">
        <f>IF('Incremental Repayments'!$R$22="Debt",IF(AND(I$4&gt;=$D58,I$4&lt;$D58+'Incremental Repayments'!$I$31),-PMT('Interest Rate'!$J$16,'Incremental Repayments'!$I$31,(HLOOKUP($D58,$E$4:$CZ$32,28,FALSE)*'Incremental Repayments'!$I$22)),0),0)</f>
        <v>0</v>
      </c>
      <c r="J58" s="783">
        <f>IF('Incremental Repayments'!$R$22="Debt",IF(AND(J$4&gt;=$D58,J$4&lt;$D58+'Incremental Repayments'!$I$31),-PMT('Interest Rate'!$J$16,'Incremental Repayments'!$I$31,(HLOOKUP($D58,$E$4:$CZ$32,28,FALSE)*'Incremental Repayments'!$I$22)),0),0)</f>
        <v>0</v>
      </c>
      <c r="K58" s="783">
        <f>IF('Incremental Repayments'!$R$22="Debt",IF(AND(K$4&gt;=$D58,K$4&lt;$D58+'Incremental Repayments'!$I$31),-PMT('Interest Rate'!$J$16,'Incremental Repayments'!$I$31,(HLOOKUP($D58,$E$4:$CZ$32,28,FALSE)*'Incremental Repayments'!$I$22)),0),0)</f>
        <v>0</v>
      </c>
      <c r="L58" s="783">
        <f>IF('Incremental Repayments'!$R$22="Debt",IF(AND(L$4&gt;=$D58,L$4&lt;$D58+'Incremental Repayments'!$I$31),-PMT('Interest Rate'!$J$16,'Incremental Repayments'!$I$31,(HLOOKUP($D58,$E$4:$CZ$32,28,FALSE)*'Incremental Repayments'!$I$22)),0),0)</f>
        <v>0</v>
      </c>
      <c r="M58" s="783">
        <f>IF('Incremental Repayments'!$R$22="Debt",IF(AND(M$4&gt;=$D58,M$4&lt;$D58+'Incremental Repayments'!$I$31),-PMT('Interest Rate'!$J$16,'Incremental Repayments'!$I$31,(HLOOKUP($D58,$E$4:$CZ$32,28,FALSE)*'Incremental Repayments'!$I$22)),0),0)</f>
        <v>0</v>
      </c>
      <c r="N58" s="783">
        <f>IF('Incremental Repayments'!$R$22="Debt",IF(AND(N$4&gt;=$D58,N$4&lt;$D58+'Incremental Repayments'!$I$31),-PMT('Interest Rate'!$J$16,'Incremental Repayments'!$I$31,(HLOOKUP($D58,$E$4:$CZ$32,28,FALSE)*'Incremental Repayments'!$I$22)),0),0)</f>
        <v>0</v>
      </c>
      <c r="O58" s="783">
        <f>IF('Incremental Repayments'!$R$22="Debt",IF(AND(O$4&gt;=$D58,O$4&lt;$D58+'Incremental Repayments'!$I$31),-PMT('Interest Rate'!$J$16,'Incremental Repayments'!$I$31,(HLOOKUP($D58,$E$4:$CZ$32,28,FALSE)*'Incremental Repayments'!$I$22)),0),0)</f>
        <v>0</v>
      </c>
      <c r="P58" s="783">
        <f>IF('Incremental Repayments'!$R$22="Debt",IF(AND(P$4&gt;=$D58,P$4&lt;$D58+'Incremental Repayments'!$I$31),-PMT('Interest Rate'!$J$16,'Incremental Repayments'!$I$31,(HLOOKUP($D58,$E$4:$CZ$32,28,FALSE)*'Incremental Repayments'!$I$22)),0),0)</f>
        <v>0</v>
      </c>
      <c r="Q58" s="783">
        <f>IF('Incremental Repayments'!$R$22="Debt",IF(AND(Q$4&gt;=$D58,Q$4&lt;$D58+'Incremental Repayments'!$I$31),-PMT('Interest Rate'!$J$16,'Incremental Repayments'!$I$31,(HLOOKUP($D58,$E$4:$CZ$32,28,FALSE)*'Incremental Repayments'!$I$22)),0),0)</f>
        <v>0</v>
      </c>
      <c r="R58" s="783">
        <f>IF('Incremental Repayments'!$R$22="Debt",IF(AND(R$4&gt;=$D58,R$4&lt;$D58+'Incremental Repayments'!$I$31),-PMT('Interest Rate'!$J$16,'Incremental Repayments'!$I$31,(HLOOKUP($D58,$E$4:$CZ$32,28,FALSE)*'Incremental Repayments'!$I$22)),0),0)</f>
        <v>0</v>
      </c>
      <c r="S58" s="783">
        <f>IF('Incremental Repayments'!$R$22="Debt",IF(AND(S$4&gt;=$D58,S$4&lt;$D58+'Incremental Repayments'!$I$31),-PMT('Interest Rate'!$J$16,'Incremental Repayments'!$I$31,(HLOOKUP($D58,$E$4:$CZ$32,28,FALSE)*'Incremental Repayments'!$I$22)),0),0)</f>
        <v>0</v>
      </c>
      <c r="T58" s="783">
        <f>IF('Incremental Repayments'!$R$22="Debt",IF(AND(T$4&gt;=$D58,T$4&lt;$D58+'Incremental Repayments'!$I$31),-PMT('Interest Rate'!$J$16,'Incremental Repayments'!$I$31,(HLOOKUP($D58,$E$4:$CZ$32,28,FALSE)*'Incremental Repayments'!$I$22)),0),0)</f>
        <v>0</v>
      </c>
      <c r="U58" s="783">
        <f>IF('Incremental Repayments'!$R$22="Debt",IF(AND(U$4&gt;=$D58,U$4&lt;$D58+'Incremental Repayments'!$I$31),-PMT('Interest Rate'!$J$16,'Incremental Repayments'!$I$31,(HLOOKUP($D58,$E$4:$CZ$32,28,FALSE)*'Incremental Repayments'!$I$22)),0),0)</f>
        <v>0</v>
      </c>
      <c r="V58" s="783">
        <f>IF('Incremental Repayments'!$R$22="Debt",IF(AND(V$4&gt;=$D58,V$4&lt;$D58+'Incremental Repayments'!$I$31),-PMT('Interest Rate'!$J$16,'Incremental Repayments'!$I$31,(HLOOKUP($D58,$E$4:$CZ$32,28,FALSE)*'Incremental Repayments'!$I$22)),0),0)</f>
        <v>0</v>
      </c>
      <c r="W58" s="783">
        <f>IF('Incremental Repayments'!$R$22="Debt",IF(AND(W$4&gt;=$D58,W$4&lt;$D58+'Incremental Repayments'!$I$31),-PMT('Interest Rate'!$J$16,'Incremental Repayments'!$I$31,(HLOOKUP($D58,$E$4:$CZ$32,28,FALSE)*'Incremental Repayments'!$I$22)),0),0)</f>
        <v>0</v>
      </c>
      <c r="X58" s="783">
        <f>IF('Incremental Repayments'!$R$22="Debt",IF(AND(X$4&gt;=$D58,X$4&lt;$D58+'Incremental Repayments'!$I$31),-PMT('Interest Rate'!$J$16,'Incremental Repayments'!$I$31,(HLOOKUP($D58,$E$4:$CZ$32,28,FALSE)*'Incremental Repayments'!$I$22)),0),0)</f>
        <v>0</v>
      </c>
      <c r="Y58" s="783">
        <f>IF('Incremental Repayments'!$R$22="Debt",IF(AND(Y$4&gt;=$D58,Y$4&lt;$D58+'Incremental Repayments'!$I$31),-PMT('Interest Rate'!$J$16,'Incremental Repayments'!$I$31,(HLOOKUP($D58,$E$4:$CZ$32,28,FALSE)*'Incremental Repayments'!$I$22)),0),0)</f>
        <v>0</v>
      </c>
      <c r="Z58" s="783">
        <f>IF('Incremental Repayments'!$R$22="Debt",IF(AND(Z$4&gt;=$D58,Z$4&lt;$D58+'Incremental Repayments'!$I$31),-PMT('Interest Rate'!$J$16,'Incremental Repayments'!$I$31,(HLOOKUP($D58,$E$4:$CZ$32,28,FALSE)*'Incremental Repayments'!$I$22)),0),0)</f>
        <v>0</v>
      </c>
      <c r="AA58" s="783">
        <f>IF('Incremental Repayments'!$R$22="Debt",IF(AND(AA$4&gt;=$D58,AA$4&lt;$D58+'Incremental Repayments'!$I$31),-PMT('Interest Rate'!$J$16,'Incremental Repayments'!$I$31,(HLOOKUP($D58,$E$4:$CZ$32,28,FALSE)*'Incremental Repayments'!$I$22)),0),0)</f>
        <v>6478136.9661668027</v>
      </c>
      <c r="AB58" s="783">
        <f>IF('Incremental Repayments'!$R$22="Debt",IF(AND(AB$4&gt;=$D58,AB$4&lt;$D58+'Incremental Repayments'!$I$31),-PMT('Interest Rate'!$J$16,'Incremental Repayments'!$I$31,(HLOOKUP($D58,$E$4:$CZ$32,28,FALSE)*'Incremental Repayments'!$I$22)),0),0)</f>
        <v>6478136.9661668027</v>
      </c>
      <c r="AC58" s="783">
        <f>IF('Incremental Repayments'!$R$22="Debt",IF(AND(AC$4&gt;=$D58,AC$4&lt;$D58+'Incremental Repayments'!$I$31),-PMT('Interest Rate'!$J$16,'Incremental Repayments'!$I$31,(HLOOKUP($D58,$E$4:$CZ$32,28,FALSE)*'Incremental Repayments'!$I$22)),0),0)</f>
        <v>6478136.9661668027</v>
      </c>
      <c r="AD58" s="783">
        <f>IF('Incremental Repayments'!$R$22="Debt",IF(AND(AD$4&gt;=$D58,AD$4&lt;$D58+'Incremental Repayments'!$I$31),-PMT('Interest Rate'!$J$16,'Incremental Repayments'!$I$31,(HLOOKUP($D58,$E$4:$CZ$32,28,FALSE)*'Incremental Repayments'!$I$22)),0),0)</f>
        <v>6478136.9661668027</v>
      </c>
      <c r="AE58" s="783">
        <f>IF('Incremental Repayments'!$R$22="Debt",IF(AND(AE$4&gt;=$D58,AE$4&lt;$D58+'Incremental Repayments'!$I$31),-PMT('Interest Rate'!$J$16,'Incremental Repayments'!$I$31,(HLOOKUP($D58,$E$4:$CZ$32,28,FALSE)*'Incremental Repayments'!$I$22)),0),0)</f>
        <v>6478136.9661668027</v>
      </c>
      <c r="AF58" s="783">
        <f>IF('Incremental Repayments'!$R$22="Debt",IF(AND(AF$4&gt;=$D58,AF$4&lt;$D58+'Incremental Repayments'!$I$31),-PMT('Interest Rate'!$J$16,'Incremental Repayments'!$I$31,(HLOOKUP($D58,$E$4:$CZ$32,28,FALSE)*'Incremental Repayments'!$I$22)),0),0)</f>
        <v>6478136.9661668027</v>
      </c>
      <c r="AG58" s="783">
        <f>IF('Incremental Repayments'!$R$22="Debt",IF(AND(AG$4&gt;=$D58,AG$4&lt;$D58+'Incremental Repayments'!$I$31),-PMT('Interest Rate'!$J$16,'Incremental Repayments'!$I$31,(HLOOKUP($D58,$E$4:$CZ$32,28,FALSE)*'Incremental Repayments'!$I$22)),0),0)</f>
        <v>6478136.9661668027</v>
      </c>
      <c r="AH58" s="783">
        <f>IF('Incremental Repayments'!$R$22="Debt",IF(AND(AH$4&gt;=$D58,AH$4&lt;$D58+'Incremental Repayments'!$I$31),-PMT('Interest Rate'!$J$16,'Incremental Repayments'!$I$31,(HLOOKUP($D58,$E$4:$CZ$32,28,FALSE)*'Incremental Repayments'!$I$22)),0),0)</f>
        <v>6478136.9661668027</v>
      </c>
      <c r="AI58" s="783">
        <f>IF('Incremental Repayments'!$R$22="Debt",IF(AND(AI$4&gt;=$D58,AI$4&lt;$D58+'Incremental Repayments'!$I$31),-PMT('Interest Rate'!$J$16,'Incremental Repayments'!$I$31,(HLOOKUP($D58,$E$4:$CZ$32,28,FALSE)*'Incremental Repayments'!$I$22)),0),0)</f>
        <v>6478136.9661668027</v>
      </c>
      <c r="AJ58" s="783">
        <f>IF('Incremental Repayments'!$R$22="Debt",IF(AND(AJ$4&gt;=$D58,AJ$4&lt;$D58+'Incremental Repayments'!$I$31),-PMT('Interest Rate'!$J$16,'Incremental Repayments'!$I$31,(HLOOKUP($D58,$E$4:$CZ$32,28,FALSE)*'Incremental Repayments'!$I$22)),0),0)</f>
        <v>6478136.9661668027</v>
      </c>
      <c r="AK58" s="783">
        <f>IF('Incremental Repayments'!$R$22="Debt",IF(AND(AK$4&gt;=$D58,AK$4&lt;$D58+'Incremental Repayments'!$I$31),-PMT('Interest Rate'!$J$16,'Incremental Repayments'!$I$31,(HLOOKUP($D58,$E$4:$CZ$32,28,FALSE)*'Incremental Repayments'!$I$22)),0),0)</f>
        <v>6478136.9661668027</v>
      </c>
      <c r="AL58" s="783">
        <f>IF('Incremental Repayments'!$R$22="Debt",IF(AND(AL$4&gt;=$D58,AL$4&lt;$D58+'Incremental Repayments'!$I$31),-PMT('Interest Rate'!$J$16,'Incremental Repayments'!$I$31,(HLOOKUP($D58,$E$4:$CZ$32,28,FALSE)*'Incremental Repayments'!$I$22)),0),0)</f>
        <v>6478136.9661668027</v>
      </c>
      <c r="AM58" s="783">
        <f>IF('Incremental Repayments'!$R$22="Debt",IF(AND(AM$4&gt;=$D58,AM$4&lt;$D58+'Incremental Repayments'!$I$31),-PMT('Interest Rate'!$J$16,'Incremental Repayments'!$I$31,(HLOOKUP($D58,$E$4:$CZ$32,28,FALSE)*'Incremental Repayments'!$I$22)),0),0)</f>
        <v>6478136.9661668027</v>
      </c>
      <c r="AN58" s="783">
        <f>IF('Incremental Repayments'!$R$22="Debt",IF(AND(AN$4&gt;=$D58,AN$4&lt;$D58+'Incremental Repayments'!$I$31),-PMT('Interest Rate'!$J$16,'Incremental Repayments'!$I$31,(HLOOKUP($D58,$E$4:$CZ$32,28,FALSE)*'Incremental Repayments'!$I$22)),0),0)</f>
        <v>6478136.9661668027</v>
      </c>
      <c r="AO58" s="783">
        <f>IF('Incremental Repayments'!$R$22="Debt",IF(AND(AO$4&gt;=$D58,AO$4&lt;$D58+'Incremental Repayments'!$I$31),-PMT('Interest Rate'!$J$16,'Incremental Repayments'!$I$31,(HLOOKUP($D58,$E$4:$CZ$32,28,FALSE)*'Incremental Repayments'!$I$22)),0),0)</f>
        <v>6478136.9661668027</v>
      </c>
      <c r="AP58" s="783">
        <f>IF('Incremental Repayments'!$R$22="Debt",IF(AND(AP$4&gt;=$D58,AP$4&lt;$D58+'Incremental Repayments'!$I$31),-PMT('Interest Rate'!$J$16,'Incremental Repayments'!$I$31,(HLOOKUP($D58,$E$4:$CZ$32,28,FALSE)*'Incremental Repayments'!$I$22)),0),0)</f>
        <v>6478136.9661668027</v>
      </c>
      <c r="AQ58" s="783">
        <f>IF('Incremental Repayments'!$R$22="Debt",IF(AND(AQ$4&gt;=$D58,AQ$4&lt;$D58+'Incremental Repayments'!$I$31),-PMT('Interest Rate'!$J$16,'Incremental Repayments'!$I$31,(HLOOKUP($D58,$E$4:$CZ$32,28,FALSE)*'Incremental Repayments'!$I$22)),0),0)</f>
        <v>6478136.9661668027</v>
      </c>
      <c r="AR58" s="783">
        <f>IF('Incremental Repayments'!$R$22="Debt",IF(AND(AR$4&gt;=$D58,AR$4&lt;$D58+'Incremental Repayments'!$I$31),-PMT('Interest Rate'!$J$16,'Incremental Repayments'!$I$31,(HLOOKUP($D58,$E$4:$CZ$32,28,FALSE)*'Incremental Repayments'!$I$22)),0),0)</f>
        <v>6478136.9661668027</v>
      </c>
      <c r="AS58" s="783">
        <f>IF('Incremental Repayments'!$R$22="Debt",IF(AND(AS$4&gt;=$D58,AS$4&lt;$D58+'Incremental Repayments'!$I$31),-PMT('Interest Rate'!$J$16,'Incremental Repayments'!$I$31,(HLOOKUP($D58,$E$4:$CZ$32,28,FALSE)*'Incremental Repayments'!$I$22)),0),0)</f>
        <v>6478136.9661668027</v>
      </c>
      <c r="AT58" s="783">
        <f>IF('Incremental Repayments'!$R$22="Debt",IF(AND(AT$4&gt;=$D58,AT$4&lt;$D58+'Incremental Repayments'!$I$31),-PMT('Interest Rate'!$J$16,'Incremental Repayments'!$I$31,(HLOOKUP($D58,$E$4:$CZ$32,28,FALSE)*'Incremental Repayments'!$I$22)),0),0)</f>
        <v>6478136.9661668027</v>
      </c>
      <c r="AU58" s="783">
        <f>IF('Incremental Repayments'!$R$22="Debt",IF(AND(AU$4&gt;=$D58,AU$4&lt;$D58+'Incremental Repayments'!$I$31),-PMT('Interest Rate'!$J$16,'Incremental Repayments'!$I$31,(HLOOKUP($D58,$E$4:$CZ$32,28,FALSE)*'Incremental Repayments'!$I$22)),0),0)</f>
        <v>6478136.9661668027</v>
      </c>
      <c r="AV58" s="783">
        <f>IF('Incremental Repayments'!$R$22="Debt",IF(AND(AV$4&gt;=$D58,AV$4&lt;$D58+'Incremental Repayments'!$I$31),-PMT('Interest Rate'!$J$16,'Incremental Repayments'!$I$31,(HLOOKUP($D58,$E$4:$CZ$32,28,FALSE)*'Incremental Repayments'!$I$22)),0),0)</f>
        <v>6478136.9661668027</v>
      </c>
      <c r="AW58" s="783">
        <f>IF('Incremental Repayments'!$R$22="Debt",IF(AND(AW$4&gt;=$D58,AW$4&lt;$D58+'Incremental Repayments'!$I$31),-PMT('Interest Rate'!$J$16,'Incremental Repayments'!$I$31,(HLOOKUP($D58,$E$4:$CZ$32,28,FALSE)*'Incremental Repayments'!$I$22)),0),0)</f>
        <v>6478136.9661668027</v>
      </c>
      <c r="AX58" s="783">
        <f>IF('Incremental Repayments'!$R$22="Debt",IF(AND(AX$4&gt;=$D58,AX$4&lt;$D58+'Incremental Repayments'!$I$31),-PMT('Interest Rate'!$J$16,'Incremental Repayments'!$I$31,(HLOOKUP($D58,$E$4:$CZ$32,28,FALSE)*'Incremental Repayments'!$I$22)),0),0)</f>
        <v>6478136.9661668027</v>
      </c>
      <c r="AY58" s="783">
        <f>IF('Incremental Repayments'!$R$22="Debt",IF(AND(AY$4&gt;=$D58,AY$4&lt;$D58+'Incremental Repayments'!$I$31),-PMT('Interest Rate'!$J$16,'Incremental Repayments'!$I$31,(HLOOKUP($D58,$E$4:$CZ$32,28,FALSE)*'Incremental Repayments'!$I$22)),0),0)</f>
        <v>6478136.9661668027</v>
      </c>
      <c r="AZ58" s="783">
        <f>IF('Incremental Repayments'!$R$22="Debt",IF(AND(AZ$4&gt;=$D58,AZ$4&lt;$D58+'Incremental Repayments'!$I$31),-PMT('Interest Rate'!$J$16,'Incremental Repayments'!$I$31,(HLOOKUP($D58,$E$4:$CZ$32,28,FALSE)*'Incremental Repayments'!$I$22)),0),0)</f>
        <v>6478136.9661668027</v>
      </c>
      <c r="BA58" s="783">
        <f>IF('Incremental Repayments'!$R$22="Debt",IF(AND(BA$4&gt;=$D58,BA$4&lt;$D58+'Incremental Repayments'!$I$31),-PMT('Interest Rate'!$J$16,'Incremental Repayments'!$I$31,(HLOOKUP($D58,$E$4:$CZ$32,28,FALSE)*'Incremental Repayments'!$I$22)),0),0)</f>
        <v>6478136.9661668027</v>
      </c>
      <c r="BB58" s="783">
        <f>IF('Incremental Repayments'!$R$22="Debt",IF(AND(BB$4&gt;=$D58,BB$4&lt;$D58+'Incremental Repayments'!$I$31),-PMT('Interest Rate'!$J$16,'Incremental Repayments'!$I$31,(HLOOKUP($D58,$E$4:$CZ$32,28,FALSE)*'Incremental Repayments'!$I$22)),0),0)</f>
        <v>6478136.9661668027</v>
      </c>
      <c r="BC58" s="783">
        <f>IF('Incremental Repayments'!$R$22="Debt",IF(AND(BC$4&gt;=$D58,BC$4&lt;$D58+'Incremental Repayments'!$I$31),-PMT('Interest Rate'!$J$16,'Incremental Repayments'!$I$31,(HLOOKUP($D58,$E$4:$CZ$32,28,FALSE)*'Incremental Repayments'!$I$22)),0),0)</f>
        <v>6478136.9661668027</v>
      </c>
      <c r="BD58" s="783">
        <f>IF('Incremental Repayments'!$R$22="Debt",IF(AND(BD$4&gt;=$D58,BD$4&lt;$D58+'Incremental Repayments'!$I$31),-PMT('Interest Rate'!$J$16,'Incremental Repayments'!$I$31,(HLOOKUP($D58,$E$4:$CZ$32,28,FALSE)*'Incremental Repayments'!$I$22)),0),0)</f>
        <v>6478136.9661668027</v>
      </c>
      <c r="BE58" s="783">
        <f>IF('Incremental Repayments'!$R$22="Debt",IF(AND(BE$4&gt;=$D58,BE$4&lt;$D58+'Incremental Repayments'!$I$31),-PMT('Interest Rate'!$J$16,'Incremental Repayments'!$I$31,(HLOOKUP($D58,$E$4:$CZ$32,28,FALSE)*'Incremental Repayments'!$I$22)),0),0)</f>
        <v>0</v>
      </c>
      <c r="BF58" s="783">
        <f>IF('Incremental Repayments'!$R$22="Debt",IF(AND(BF$4&gt;=$D58,BF$4&lt;$D58+'Incremental Repayments'!$I$31),-PMT('Interest Rate'!$J$16,'Incremental Repayments'!$I$31,(HLOOKUP($D58,$E$4:$CZ$32,28,FALSE)*'Incremental Repayments'!$I$22)),0),0)</f>
        <v>0</v>
      </c>
      <c r="BG58" s="783">
        <f>IF('Incremental Repayments'!$R$22="Debt",IF(AND(BG$4&gt;=$D58,BG$4&lt;$D58+'Incremental Repayments'!$I$31),-PMT('Interest Rate'!$J$16,'Incremental Repayments'!$I$31,(HLOOKUP($D58,$E$4:$CZ$32,28,FALSE)*'Incremental Repayments'!$I$22)),0),0)</f>
        <v>0</v>
      </c>
      <c r="BH58" s="783">
        <f>IF('Incremental Repayments'!$R$22="Debt",IF(AND(BH$4&gt;=$D58,BH$4&lt;$D58+'Incremental Repayments'!$I$31),-PMT('Interest Rate'!$J$16,'Incremental Repayments'!$I$31,(HLOOKUP($D58,$E$4:$CZ$32,28,FALSE)*'Incremental Repayments'!$I$22)),0),0)</f>
        <v>0</v>
      </c>
      <c r="BI58" s="783">
        <f>IF('Incremental Repayments'!$R$22="Debt",IF(AND(BI$4&gt;=$D58,BI$4&lt;$D58+'Incremental Repayments'!$I$31),-PMT('Interest Rate'!$J$16,'Incremental Repayments'!$I$31,(HLOOKUP($D58,$E$4:$CZ$32,28,FALSE)*'Incremental Repayments'!$I$22)),0),0)</f>
        <v>0</v>
      </c>
      <c r="BJ58" s="783">
        <f>IF('Incremental Repayments'!$R$22="Debt",IF(AND(BJ$4&gt;=$D58,BJ$4&lt;$D58+'Incremental Repayments'!$I$31),-PMT('Interest Rate'!$J$16,'Incremental Repayments'!$I$31,(HLOOKUP($D58,$E$4:$CZ$32,28,FALSE)*'Incremental Repayments'!$I$22)),0),0)</f>
        <v>0</v>
      </c>
      <c r="BK58" s="783">
        <f>IF('Incremental Repayments'!$R$22="Debt",IF(AND(BK$4&gt;=$D58,BK$4&lt;$D58+'Incremental Repayments'!$I$31),-PMT('Interest Rate'!$J$16,'Incremental Repayments'!$I$31,(HLOOKUP($D58,$E$4:$CZ$32,28,FALSE)*'Incremental Repayments'!$I$22)),0),0)</f>
        <v>0</v>
      </c>
      <c r="BL58" s="783">
        <f>IF('Incremental Repayments'!$R$22="Debt",IF(AND(BL$4&gt;=$D58,BL$4&lt;$D58+'Incremental Repayments'!$I$31),-PMT('Interest Rate'!$J$16,'Incremental Repayments'!$I$31,(HLOOKUP($D58,$E$4:$CZ$32,28,FALSE)*'Incremental Repayments'!$I$22)),0),0)</f>
        <v>0</v>
      </c>
      <c r="BM58" s="783">
        <f>IF('Incremental Repayments'!$R$22="Debt",IF(AND(BM$4&gt;=$D58,BM$4&lt;$D58+'Incremental Repayments'!$I$31),-PMT('Interest Rate'!$J$16,'Incremental Repayments'!$I$31,(HLOOKUP($D58,$E$4:$CZ$32,28,FALSE)*'Incremental Repayments'!$I$22)),0),0)</f>
        <v>0</v>
      </c>
      <c r="BN58" s="783">
        <f>IF('Incremental Repayments'!$R$22="Debt",IF(AND(BN$4&gt;=$D58,BN$4&lt;$D58+'Incremental Repayments'!$I$31),-PMT('Interest Rate'!$J$16,'Incremental Repayments'!$I$31,(HLOOKUP($D58,$E$4:$CZ$32,28,FALSE)*'Incremental Repayments'!$I$22)),0),0)</f>
        <v>0</v>
      </c>
      <c r="BO58" s="783">
        <f>IF('Incremental Repayments'!$R$22="Debt",IF(AND(BO$4&gt;=$D58,BO$4&lt;$D58+'Incremental Repayments'!$I$31),-PMT('Interest Rate'!$J$16,'Incremental Repayments'!$I$31,(HLOOKUP($D58,$E$4:$CZ$32,28,FALSE)*'Incremental Repayments'!$I$22)),0),0)</f>
        <v>0</v>
      </c>
      <c r="BP58" s="783">
        <f>IF('Incremental Repayments'!$R$22="Debt",IF(AND(BP$4&gt;=$D58,BP$4&lt;$D58+'Incremental Repayments'!$I$31),-PMT('Interest Rate'!$J$16,'Incremental Repayments'!$I$31,(HLOOKUP($D58,$E$4:$CZ$32,28,FALSE)*'Incremental Repayments'!$I$22)),0),0)</f>
        <v>0</v>
      </c>
      <c r="BQ58" s="783">
        <f>IF('Incremental Repayments'!$R$22="Debt",IF(AND(BQ$4&gt;=$D58,BQ$4&lt;$D58+'Incremental Repayments'!$I$31),-PMT('Interest Rate'!$J$16,'Incremental Repayments'!$I$31,(HLOOKUP($D58,$E$4:$CZ$32,28,FALSE)*'Incremental Repayments'!$I$22)),0),0)</f>
        <v>0</v>
      </c>
      <c r="BR58" s="783">
        <f>IF('Incremental Repayments'!$R$22="Debt",IF(AND(BR$4&gt;=$D58,BR$4&lt;$D58+'Incremental Repayments'!$I$31),-PMT('Interest Rate'!$J$16,'Incremental Repayments'!$I$31,(HLOOKUP($D58,$E$4:$CZ$32,28,FALSE)*'Incremental Repayments'!$I$22)),0),0)</f>
        <v>0</v>
      </c>
      <c r="BS58" s="783">
        <f>IF('Incremental Repayments'!$R$22="Debt",IF(AND(BS$4&gt;=$D58,BS$4&lt;$D58+'Incremental Repayments'!$I$31),-PMT('Interest Rate'!$J$16,'Incremental Repayments'!$I$31,(HLOOKUP($D58,$E$4:$CZ$32,28,FALSE)*'Incremental Repayments'!$I$22)),0),0)</f>
        <v>0</v>
      </c>
      <c r="BT58" s="783">
        <f>IF('Incremental Repayments'!$R$22="Debt",IF(AND(BT$4&gt;=$D58,BT$4&lt;$D58+'Incremental Repayments'!$I$31),-PMT('Interest Rate'!$J$16,'Incremental Repayments'!$I$31,(HLOOKUP($D58,$E$4:$CZ$32,28,FALSE)*'Incremental Repayments'!$I$22)),0),0)</f>
        <v>0</v>
      </c>
      <c r="BU58" s="783">
        <f>IF('Incremental Repayments'!$R$22="Debt",IF(AND(BU$4&gt;=$D58,BU$4&lt;$D58+'Incremental Repayments'!$I$31),-PMT('Interest Rate'!$J$16,'Incremental Repayments'!$I$31,(HLOOKUP($D58,$E$4:$CZ$32,28,FALSE)*'Incremental Repayments'!$I$22)),0),0)</f>
        <v>0</v>
      </c>
      <c r="BV58" s="783">
        <f>IF('Incremental Repayments'!$R$22="Debt",IF(AND(BV$4&gt;=$D58,BV$4&lt;$D58+'Incremental Repayments'!$I$31),-PMT('Interest Rate'!$J$16,'Incremental Repayments'!$I$31,(HLOOKUP($D58,$E$4:$CZ$32,28,FALSE)*'Incremental Repayments'!$I$22)),0),0)</f>
        <v>0</v>
      </c>
      <c r="BW58" s="783">
        <f>IF('Incremental Repayments'!$R$22="Debt",IF(AND(BW$4&gt;=$D58,BW$4&lt;$D58+'Incremental Repayments'!$I$31),-PMT('Interest Rate'!$J$16,'Incremental Repayments'!$I$31,(HLOOKUP($D58,$E$4:$CZ$32,28,FALSE)*'Incremental Repayments'!$I$22)),0),0)</f>
        <v>0</v>
      </c>
      <c r="BX58" s="783">
        <f>IF('Incremental Repayments'!$R$22="Debt",IF(AND(BX$4&gt;=$D58,BX$4&lt;$D58+'Incremental Repayments'!$I$31),-PMT('Interest Rate'!$J$16,'Incremental Repayments'!$I$31,(HLOOKUP($D58,$E$4:$CZ$32,28,FALSE)*'Incremental Repayments'!$I$22)),0),0)</f>
        <v>0</v>
      </c>
      <c r="BY58" s="783">
        <f>IF('Incremental Repayments'!$R$22="Debt",IF(AND(BY$4&gt;=$D58,BY$4&lt;$D58+'Incremental Repayments'!$I$31),-PMT('Interest Rate'!$J$16,'Incremental Repayments'!$I$31,(HLOOKUP($D58,$E$4:$CZ$32,28,FALSE)*'Incremental Repayments'!$I$22)),0),0)</f>
        <v>0</v>
      </c>
      <c r="BZ58" s="783">
        <f>IF('Incremental Repayments'!$R$22="Debt",IF(AND(BZ$4&gt;=$D58,BZ$4&lt;$D58+'Incremental Repayments'!$I$31),-PMT('Interest Rate'!$J$16,'Incremental Repayments'!$I$31,(HLOOKUP($D58,$E$4:$CZ$32,28,FALSE)*'Incremental Repayments'!$I$22)),0),0)</f>
        <v>0</v>
      </c>
      <c r="CA58" s="783">
        <f>IF('Incremental Repayments'!$R$22="Debt",IF(AND(CA$4&gt;=$D58,CA$4&lt;$D58+'Incremental Repayments'!$I$31),-PMT('Interest Rate'!$J$16,'Incremental Repayments'!$I$31,(HLOOKUP($D58,$E$4:$CZ$32,28,FALSE)*'Incremental Repayments'!$I$22)),0),0)</f>
        <v>0</v>
      </c>
      <c r="CB58" s="783">
        <f>IF('Incremental Repayments'!$R$22="Debt",IF(AND(CB$4&gt;=$D58,CB$4&lt;$D58+'Incremental Repayments'!$I$31),-PMT('Interest Rate'!$J$16,'Incremental Repayments'!$I$31,(HLOOKUP($D58,$E$4:$CZ$32,28,FALSE)*'Incremental Repayments'!$I$22)),0),0)</f>
        <v>0</v>
      </c>
      <c r="CC58" s="783">
        <f>IF('Incremental Repayments'!$R$22="Debt",IF(AND(CC$4&gt;=$D58,CC$4&lt;$D58+'Incremental Repayments'!$I$31),-PMT('Interest Rate'!$J$16,'Incremental Repayments'!$I$31,(HLOOKUP($D58,$E$4:$CZ$32,28,FALSE)*'Incremental Repayments'!$I$22)),0),0)</f>
        <v>0</v>
      </c>
      <c r="CD58" s="783">
        <f>IF('Incremental Repayments'!$R$22="Debt",IF(AND(CD$4&gt;=$D58,CD$4&lt;$D58+'Incremental Repayments'!$I$31),-PMT('Interest Rate'!$J$16,'Incremental Repayments'!$I$31,(HLOOKUP($D58,$E$4:$CZ$32,28,FALSE)*'Incremental Repayments'!$I$22)),0),0)</f>
        <v>0</v>
      </c>
      <c r="CE58" s="783">
        <f>IF('Incremental Repayments'!$R$22="Debt",IF(AND(CE$4&gt;=$D58,CE$4&lt;$D58+'Incremental Repayments'!$I$31),-PMT('Interest Rate'!$J$16,'Incremental Repayments'!$I$31,(HLOOKUP($D58,$E$4:$CZ$32,28,FALSE)*'Incremental Repayments'!$I$22)),0),0)</f>
        <v>0</v>
      </c>
      <c r="CF58" s="783">
        <f>IF('Incremental Repayments'!$R$22="Debt",IF(AND(CF$4&gt;=$D58,CF$4&lt;$D58+'Incremental Repayments'!$I$31),-PMT('Interest Rate'!$J$16,'Incremental Repayments'!$I$31,(HLOOKUP($D58,$E$4:$CZ$32,28,FALSE)*'Incremental Repayments'!$I$22)),0),0)</f>
        <v>0</v>
      </c>
      <c r="CG58" s="783">
        <f>IF('Incremental Repayments'!$R$22="Debt",IF(AND(CG$4&gt;=$D58,CG$4&lt;$D58+'Incremental Repayments'!$I$31),-PMT('Interest Rate'!$J$16,'Incremental Repayments'!$I$31,(HLOOKUP($D58,$E$4:$CZ$32,28,FALSE)*'Incremental Repayments'!$I$22)),0),0)</f>
        <v>0</v>
      </c>
      <c r="CH58" s="783">
        <f>IF('Incremental Repayments'!$R$22="Debt",IF(AND(CH$4&gt;=$D58,CH$4&lt;$D58+'Incremental Repayments'!$I$31),-PMT('Interest Rate'!$J$16,'Incremental Repayments'!$I$31,(HLOOKUP($D58,$E$4:$CZ$32,28,FALSE)*'Incremental Repayments'!$I$22)),0),0)</f>
        <v>0</v>
      </c>
      <c r="CI58" s="783">
        <f>IF('Incremental Repayments'!$R$22="Debt",IF(AND(CI$4&gt;=$D58,CI$4&lt;$D58+'Incremental Repayments'!$I$31),-PMT('Interest Rate'!$J$16,'Incremental Repayments'!$I$31,(HLOOKUP($D58,$E$4:$CZ$32,28,FALSE)*'Incremental Repayments'!$I$22)),0),0)</f>
        <v>0</v>
      </c>
      <c r="CJ58" s="783">
        <f>IF('Incremental Repayments'!$R$22="Debt",IF(AND(CJ$4&gt;=$D58,CJ$4&lt;$D58+'Incremental Repayments'!$I$31),-PMT('Interest Rate'!$J$16,'Incremental Repayments'!$I$31,(HLOOKUP($D58,$E$4:$CZ$32,28,FALSE)*'Incremental Repayments'!$I$22)),0),0)</f>
        <v>0</v>
      </c>
      <c r="CK58" s="783">
        <f>IF('Incremental Repayments'!$R$22="Debt",IF(AND(CK$4&gt;=$D58,CK$4&lt;$D58+'Incremental Repayments'!$I$31),-PMT('Interest Rate'!$J$16,'Incremental Repayments'!$I$31,(HLOOKUP($D58,$E$4:$CZ$32,28,FALSE)*'Incremental Repayments'!$I$22)),0),0)</f>
        <v>0</v>
      </c>
      <c r="CL58" s="783">
        <f>IF('Incremental Repayments'!$R$22="Debt",IF(AND(CL$4&gt;=$D58,CL$4&lt;$D58+'Incremental Repayments'!$I$31),-PMT('Interest Rate'!$J$16,'Incremental Repayments'!$I$31,(HLOOKUP($D58,$E$4:$CZ$32,28,FALSE)*'Incremental Repayments'!$I$22)),0),0)</f>
        <v>0</v>
      </c>
      <c r="CM58" s="783">
        <f>IF('Incremental Repayments'!$R$22="Debt",IF(AND(CM$4&gt;=$D58,CM$4&lt;$D58+'Incremental Repayments'!$I$31),-PMT('Interest Rate'!$J$16,'Incremental Repayments'!$I$31,(HLOOKUP($D58,$E$4:$CZ$32,28,FALSE)*'Incremental Repayments'!$I$22)),0),0)</f>
        <v>0</v>
      </c>
      <c r="CN58" s="783">
        <f>IF('Incremental Repayments'!$R$22="Debt",IF(AND(CN$4&gt;=$D58,CN$4&lt;$D58+'Incremental Repayments'!$I$31),-PMT('Interest Rate'!$J$16,'Incremental Repayments'!$I$31,(HLOOKUP($D58,$E$4:$CZ$32,28,FALSE)*'Incremental Repayments'!$I$22)),0),0)</f>
        <v>0</v>
      </c>
      <c r="CO58" s="783">
        <f>IF('Incremental Repayments'!$R$22="Debt",IF(AND(CO$4&gt;=$D58,CO$4&lt;$D58+'Incremental Repayments'!$I$31),-PMT('Interest Rate'!$J$16,'Incremental Repayments'!$I$31,(HLOOKUP($D58,$E$4:$CZ$32,28,FALSE)*'Incremental Repayments'!$I$22)),0),0)</f>
        <v>0</v>
      </c>
      <c r="CP58" s="783">
        <f>IF('Incremental Repayments'!$R$22="Debt",IF(AND(CP$4&gt;=$D58,CP$4&lt;$D58+'Incremental Repayments'!$I$31),-PMT('Interest Rate'!$J$16,'Incremental Repayments'!$I$31,(HLOOKUP($D58,$E$4:$CZ$32,28,FALSE)*'Incremental Repayments'!$I$22)),0),0)</f>
        <v>0</v>
      </c>
      <c r="CQ58" s="783">
        <f>IF('Incremental Repayments'!$R$22="Debt",IF(AND(CQ$4&gt;=$D58,CQ$4&lt;$D58+'Incremental Repayments'!$I$31),-PMT('Interest Rate'!$J$16,'Incremental Repayments'!$I$31,(HLOOKUP($D58,$E$4:$CZ$32,28,FALSE)*'Incremental Repayments'!$I$22)),0),0)</f>
        <v>0</v>
      </c>
      <c r="CR58" s="783">
        <f>IF('Incremental Repayments'!$R$22="Debt",IF(AND(CR$4&gt;=$D58,CR$4&lt;$D58+'Incremental Repayments'!$I$31),-PMT('Interest Rate'!$J$16,'Incremental Repayments'!$I$31,(HLOOKUP($D58,$E$4:$CZ$32,28,FALSE)*'Incremental Repayments'!$I$22)),0),0)</f>
        <v>0</v>
      </c>
      <c r="CS58" s="783">
        <f>IF('Incremental Repayments'!$R$22="Debt",IF(AND(CS$4&gt;=$D58,CS$4&lt;$D58+'Incremental Repayments'!$I$31),-PMT('Interest Rate'!$J$16,'Incremental Repayments'!$I$31,(HLOOKUP($D58,$E$4:$CZ$32,28,FALSE)*'Incremental Repayments'!$I$22)),0),0)</f>
        <v>0</v>
      </c>
      <c r="CT58" s="783">
        <f>IF('Incremental Repayments'!$R$22="Debt",IF(AND(CT$4&gt;=$D58,CT$4&lt;$D58+'Incremental Repayments'!$I$31),-PMT('Interest Rate'!$J$16,'Incremental Repayments'!$I$31,(HLOOKUP($D58,$E$4:$CZ$32,28,FALSE)*'Incremental Repayments'!$I$22)),0),0)</f>
        <v>0</v>
      </c>
      <c r="CU58" s="783">
        <f>IF('Incremental Repayments'!$R$22="Debt",IF(AND(CU$4&gt;=$D58,CU$4&lt;$D58+'Incremental Repayments'!$I$31),-PMT('Interest Rate'!$J$16,'Incremental Repayments'!$I$31,(HLOOKUP($D58,$E$4:$CZ$32,28,FALSE)*'Incremental Repayments'!$I$22)),0),0)</f>
        <v>0</v>
      </c>
      <c r="CV58" s="783">
        <f>IF('Incremental Repayments'!$R$22="Debt",IF(AND(CV$4&gt;=$D58,CV$4&lt;$D58+'Incremental Repayments'!$I$31),-PMT('Interest Rate'!$J$16,'Incremental Repayments'!$I$31,(HLOOKUP($D58,$E$4:$CZ$32,28,FALSE)*'Incremental Repayments'!$I$22)),0),0)</f>
        <v>0</v>
      </c>
      <c r="CW58" s="783">
        <f>IF('Incremental Repayments'!$R$22="Debt",IF(AND(CW$4&gt;=$D58,CW$4&lt;$D58+'Incremental Repayments'!$I$31),-PMT('Interest Rate'!$J$16,'Incremental Repayments'!$I$31,(HLOOKUP($D58,$E$4:$CZ$32,28,FALSE)*'Incremental Repayments'!$I$22)),0),0)</f>
        <v>0</v>
      </c>
      <c r="CX58" s="783">
        <f>IF('Incremental Repayments'!$R$22="Debt",IF(AND(CX$4&gt;=$D58,CX$4&lt;$D58+'Incremental Repayments'!$I$31),-PMT('Interest Rate'!$J$16,'Incremental Repayments'!$I$31,(HLOOKUP($D58,$E$4:$CZ$32,28,FALSE)*'Incremental Repayments'!$I$22)),0),0)</f>
        <v>0</v>
      </c>
      <c r="CY58" s="783">
        <f>IF('Incremental Repayments'!$R$22="Debt",IF(AND(CY$4&gt;=$D58,CY$4&lt;$D58+'Incremental Repayments'!$I$31),-PMT('Interest Rate'!$J$16,'Incremental Repayments'!$I$31,(HLOOKUP($D58,$E$4:$CZ$32,28,FALSE)*'Incremental Repayments'!$I$22)),0),0)</f>
        <v>0</v>
      </c>
      <c r="CZ58" s="783">
        <f>IF('Incremental Repayments'!$R$22="Debt",IF(AND(CZ$4&gt;=$D58,CZ$4&lt;$D58+'Incremental Repayments'!$I$31),-PMT('Interest Rate'!$J$16,'Incremental Repayments'!$I$31,(HLOOKUP($D58,$E$4:$CZ$32,28,FALSE)*'Incremental Repayments'!$I$22)),0),0)</f>
        <v>0</v>
      </c>
    </row>
    <row r="59" spans="1:104" x14ac:dyDescent="0.25">
      <c r="B59" s="480" t="str">
        <f>CONCATENATE("Series ",D59,"A Bonds (at ",'Interest Rate'!$J$16*100,"% Interest)")</f>
        <v>Series 2037A Bonds (at 4.5% Interest)</v>
      </c>
      <c r="C59" s="480"/>
      <c r="D59" s="492">
        <f t="shared" si="47"/>
        <v>2037</v>
      </c>
      <c r="E59" s="783">
        <f>IF('Incremental Repayments'!$R$22="Debt",IF(AND(E$4&gt;=$D59,E$4&lt;$D59+'Incremental Repayments'!$I$31),-PMT('Interest Rate'!$J$16,'Incremental Repayments'!$I$31,(HLOOKUP($D59,$E$4:$CZ$32,28,FALSE)*'Incremental Repayments'!$I$22)),0),0)</f>
        <v>0</v>
      </c>
      <c r="F59" s="783">
        <f>IF('Incremental Repayments'!$R$22="Debt",IF(AND(F$4&gt;=$D59,F$4&lt;$D59+'Incremental Repayments'!$I$31),-PMT('Interest Rate'!$J$16,'Incremental Repayments'!$I$31,(HLOOKUP($D59,$E$4:$CZ$32,28,FALSE)*'Incremental Repayments'!$I$22)),0),0)</f>
        <v>0</v>
      </c>
      <c r="G59" s="783">
        <f>IF('Incremental Repayments'!$R$22="Debt",IF(AND(G$4&gt;=$D59,G$4&lt;$D59+'Incremental Repayments'!$I$31),-PMT('Interest Rate'!$J$16,'Incremental Repayments'!$I$31,(HLOOKUP($D59,$E$4:$CZ$32,28,FALSE)*'Incremental Repayments'!$I$22)),0),0)</f>
        <v>0</v>
      </c>
      <c r="H59" s="783">
        <f>IF('Incremental Repayments'!$R$22="Debt",IF(AND(H$4&gt;=$D59,H$4&lt;$D59+'Incremental Repayments'!$I$31),-PMT('Interest Rate'!$J$16,'Incremental Repayments'!$I$31,(HLOOKUP($D59,$E$4:$CZ$32,28,FALSE)*'Incremental Repayments'!$I$22)),0),0)</f>
        <v>0</v>
      </c>
      <c r="I59" s="783">
        <f>IF('Incremental Repayments'!$R$22="Debt",IF(AND(I$4&gt;=$D59,I$4&lt;$D59+'Incremental Repayments'!$I$31),-PMT('Interest Rate'!$J$16,'Incremental Repayments'!$I$31,(HLOOKUP($D59,$E$4:$CZ$32,28,FALSE)*'Incremental Repayments'!$I$22)),0),0)</f>
        <v>0</v>
      </c>
      <c r="J59" s="783">
        <f>IF('Incremental Repayments'!$R$22="Debt",IF(AND(J$4&gt;=$D59,J$4&lt;$D59+'Incremental Repayments'!$I$31),-PMT('Interest Rate'!$J$16,'Incremental Repayments'!$I$31,(HLOOKUP($D59,$E$4:$CZ$32,28,FALSE)*'Incremental Repayments'!$I$22)),0),0)</f>
        <v>0</v>
      </c>
      <c r="K59" s="783">
        <f>IF('Incremental Repayments'!$R$22="Debt",IF(AND(K$4&gt;=$D59,K$4&lt;$D59+'Incremental Repayments'!$I$31),-PMT('Interest Rate'!$J$16,'Incremental Repayments'!$I$31,(HLOOKUP($D59,$E$4:$CZ$32,28,FALSE)*'Incremental Repayments'!$I$22)),0),0)</f>
        <v>0</v>
      </c>
      <c r="L59" s="783">
        <f>IF('Incremental Repayments'!$R$22="Debt",IF(AND(L$4&gt;=$D59,L$4&lt;$D59+'Incremental Repayments'!$I$31),-PMT('Interest Rate'!$J$16,'Incremental Repayments'!$I$31,(HLOOKUP($D59,$E$4:$CZ$32,28,FALSE)*'Incremental Repayments'!$I$22)),0),0)</f>
        <v>0</v>
      </c>
      <c r="M59" s="783">
        <f>IF('Incremental Repayments'!$R$22="Debt",IF(AND(M$4&gt;=$D59,M$4&lt;$D59+'Incremental Repayments'!$I$31),-PMT('Interest Rate'!$J$16,'Incremental Repayments'!$I$31,(HLOOKUP($D59,$E$4:$CZ$32,28,FALSE)*'Incremental Repayments'!$I$22)),0),0)</f>
        <v>0</v>
      </c>
      <c r="N59" s="783">
        <f>IF('Incremental Repayments'!$R$22="Debt",IF(AND(N$4&gt;=$D59,N$4&lt;$D59+'Incremental Repayments'!$I$31),-PMT('Interest Rate'!$J$16,'Incremental Repayments'!$I$31,(HLOOKUP($D59,$E$4:$CZ$32,28,FALSE)*'Incremental Repayments'!$I$22)),0),0)</f>
        <v>0</v>
      </c>
      <c r="O59" s="783">
        <f>IF('Incremental Repayments'!$R$22="Debt",IF(AND(O$4&gt;=$D59,O$4&lt;$D59+'Incremental Repayments'!$I$31),-PMT('Interest Rate'!$J$16,'Incremental Repayments'!$I$31,(HLOOKUP($D59,$E$4:$CZ$32,28,FALSE)*'Incremental Repayments'!$I$22)),0),0)</f>
        <v>0</v>
      </c>
      <c r="P59" s="783">
        <f>IF('Incremental Repayments'!$R$22="Debt",IF(AND(P$4&gt;=$D59,P$4&lt;$D59+'Incremental Repayments'!$I$31),-PMT('Interest Rate'!$J$16,'Incremental Repayments'!$I$31,(HLOOKUP($D59,$E$4:$CZ$32,28,FALSE)*'Incremental Repayments'!$I$22)),0),0)</f>
        <v>0</v>
      </c>
      <c r="Q59" s="783">
        <f>IF('Incremental Repayments'!$R$22="Debt",IF(AND(Q$4&gt;=$D59,Q$4&lt;$D59+'Incremental Repayments'!$I$31),-PMT('Interest Rate'!$J$16,'Incremental Repayments'!$I$31,(HLOOKUP($D59,$E$4:$CZ$32,28,FALSE)*'Incremental Repayments'!$I$22)),0),0)</f>
        <v>0</v>
      </c>
      <c r="R59" s="783">
        <f>IF('Incremental Repayments'!$R$22="Debt",IF(AND(R$4&gt;=$D59,R$4&lt;$D59+'Incremental Repayments'!$I$31),-PMT('Interest Rate'!$J$16,'Incremental Repayments'!$I$31,(HLOOKUP($D59,$E$4:$CZ$32,28,FALSE)*'Incremental Repayments'!$I$22)),0),0)</f>
        <v>0</v>
      </c>
      <c r="S59" s="783">
        <f>IF('Incremental Repayments'!$R$22="Debt",IF(AND(S$4&gt;=$D59,S$4&lt;$D59+'Incremental Repayments'!$I$31),-PMT('Interest Rate'!$J$16,'Incremental Repayments'!$I$31,(HLOOKUP($D59,$E$4:$CZ$32,28,FALSE)*'Incremental Repayments'!$I$22)),0),0)</f>
        <v>0</v>
      </c>
      <c r="T59" s="783">
        <f>IF('Incremental Repayments'!$R$22="Debt",IF(AND(T$4&gt;=$D59,T$4&lt;$D59+'Incremental Repayments'!$I$31),-PMT('Interest Rate'!$J$16,'Incremental Repayments'!$I$31,(HLOOKUP($D59,$E$4:$CZ$32,28,FALSE)*'Incremental Repayments'!$I$22)),0),0)</f>
        <v>0</v>
      </c>
      <c r="U59" s="783">
        <f>IF('Incremental Repayments'!$R$22="Debt",IF(AND(U$4&gt;=$D59,U$4&lt;$D59+'Incremental Repayments'!$I$31),-PMT('Interest Rate'!$J$16,'Incremental Repayments'!$I$31,(HLOOKUP($D59,$E$4:$CZ$32,28,FALSE)*'Incremental Repayments'!$I$22)),0),0)</f>
        <v>0</v>
      </c>
      <c r="V59" s="783">
        <f>IF('Incremental Repayments'!$R$22="Debt",IF(AND(V$4&gt;=$D59,V$4&lt;$D59+'Incremental Repayments'!$I$31),-PMT('Interest Rate'!$J$16,'Incremental Repayments'!$I$31,(HLOOKUP($D59,$E$4:$CZ$32,28,FALSE)*'Incremental Repayments'!$I$22)),0),0)</f>
        <v>0</v>
      </c>
      <c r="W59" s="783">
        <f>IF('Incremental Repayments'!$R$22="Debt",IF(AND(W$4&gt;=$D59,W$4&lt;$D59+'Incremental Repayments'!$I$31),-PMT('Interest Rate'!$J$16,'Incremental Repayments'!$I$31,(HLOOKUP($D59,$E$4:$CZ$32,28,FALSE)*'Incremental Repayments'!$I$22)),0),0)</f>
        <v>0</v>
      </c>
      <c r="X59" s="783">
        <f>IF('Incremental Repayments'!$R$22="Debt",IF(AND(X$4&gt;=$D59,X$4&lt;$D59+'Incremental Repayments'!$I$31),-PMT('Interest Rate'!$J$16,'Incremental Repayments'!$I$31,(HLOOKUP($D59,$E$4:$CZ$32,28,FALSE)*'Incremental Repayments'!$I$22)),0),0)</f>
        <v>0</v>
      </c>
      <c r="Y59" s="783">
        <f>IF('Incremental Repayments'!$R$22="Debt",IF(AND(Y$4&gt;=$D59,Y$4&lt;$D59+'Incremental Repayments'!$I$31),-PMT('Interest Rate'!$J$16,'Incremental Repayments'!$I$31,(HLOOKUP($D59,$E$4:$CZ$32,28,FALSE)*'Incremental Repayments'!$I$22)),0),0)</f>
        <v>0</v>
      </c>
      <c r="Z59" s="783">
        <f>IF('Incremental Repayments'!$R$22="Debt",IF(AND(Z$4&gt;=$D59,Z$4&lt;$D59+'Incremental Repayments'!$I$31),-PMT('Interest Rate'!$J$16,'Incremental Repayments'!$I$31,(HLOOKUP($D59,$E$4:$CZ$32,28,FALSE)*'Incremental Repayments'!$I$22)),0),0)</f>
        <v>0</v>
      </c>
      <c r="AA59" s="783">
        <f>IF('Incremental Repayments'!$R$22="Debt",IF(AND(AA$4&gt;=$D59,AA$4&lt;$D59+'Incremental Repayments'!$I$31),-PMT('Interest Rate'!$J$16,'Incremental Repayments'!$I$31,(HLOOKUP($D59,$E$4:$CZ$32,28,FALSE)*'Incremental Repayments'!$I$22)),0),0)</f>
        <v>0</v>
      </c>
      <c r="AB59" s="783">
        <f>IF('Incremental Repayments'!$R$22="Debt",IF(AND(AB$4&gt;=$D59,AB$4&lt;$D59+'Incremental Repayments'!$I$31),-PMT('Interest Rate'!$J$16,'Incremental Repayments'!$I$31,(HLOOKUP($D59,$E$4:$CZ$32,28,FALSE)*'Incremental Repayments'!$I$22)),0),0)</f>
        <v>7488613.0569840074</v>
      </c>
      <c r="AC59" s="783">
        <f>IF('Incremental Repayments'!$R$22="Debt",IF(AND(AC$4&gt;=$D59,AC$4&lt;$D59+'Incremental Repayments'!$I$31),-PMT('Interest Rate'!$J$16,'Incremental Repayments'!$I$31,(HLOOKUP($D59,$E$4:$CZ$32,28,FALSE)*'Incremental Repayments'!$I$22)),0),0)</f>
        <v>7488613.0569840074</v>
      </c>
      <c r="AD59" s="783">
        <f>IF('Incremental Repayments'!$R$22="Debt",IF(AND(AD$4&gt;=$D59,AD$4&lt;$D59+'Incremental Repayments'!$I$31),-PMT('Interest Rate'!$J$16,'Incremental Repayments'!$I$31,(HLOOKUP($D59,$E$4:$CZ$32,28,FALSE)*'Incremental Repayments'!$I$22)),0),0)</f>
        <v>7488613.0569840074</v>
      </c>
      <c r="AE59" s="783">
        <f>IF('Incremental Repayments'!$R$22="Debt",IF(AND(AE$4&gt;=$D59,AE$4&lt;$D59+'Incremental Repayments'!$I$31),-PMT('Interest Rate'!$J$16,'Incremental Repayments'!$I$31,(HLOOKUP($D59,$E$4:$CZ$32,28,FALSE)*'Incremental Repayments'!$I$22)),0),0)</f>
        <v>7488613.0569840074</v>
      </c>
      <c r="AF59" s="783">
        <f>IF('Incremental Repayments'!$R$22="Debt",IF(AND(AF$4&gt;=$D59,AF$4&lt;$D59+'Incremental Repayments'!$I$31),-PMT('Interest Rate'!$J$16,'Incremental Repayments'!$I$31,(HLOOKUP($D59,$E$4:$CZ$32,28,FALSE)*'Incremental Repayments'!$I$22)),0),0)</f>
        <v>7488613.0569840074</v>
      </c>
      <c r="AG59" s="783">
        <f>IF('Incremental Repayments'!$R$22="Debt",IF(AND(AG$4&gt;=$D59,AG$4&lt;$D59+'Incremental Repayments'!$I$31),-PMT('Interest Rate'!$J$16,'Incremental Repayments'!$I$31,(HLOOKUP($D59,$E$4:$CZ$32,28,FALSE)*'Incremental Repayments'!$I$22)),0),0)</f>
        <v>7488613.0569840074</v>
      </c>
      <c r="AH59" s="783">
        <f>IF('Incremental Repayments'!$R$22="Debt",IF(AND(AH$4&gt;=$D59,AH$4&lt;$D59+'Incremental Repayments'!$I$31),-PMT('Interest Rate'!$J$16,'Incremental Repayments'!$I$31,(HLOOKUP($D59,$E$4:$CZ$32,28,FALSE)*'Incremental Repayments'!$I$22)),0),0)</f>
        <v>7488613.0569840074</v>
      </c>
      <c r="AI59" s="783">
        <f>IF('Incremental Repayments'!$R$22="Debt",IF(AND(AI$4&gt;=$D59,AI$4&lt;$D59+'Incremental Repayments'!$I$31),-PMT('Interest Rate'!$J$16,'Incremental Repayments'!$I$31,(HLOOKUP($D59,$E$4:$CZ$32,28,FALSE)*'Incremental Repayments'!$I$22)),0),0)</f>
        <v>7488613.0569840074</v>
      </c>
      <c r="AJ59" s="783">
        <f>IF('Incremental Repayments'!$R$22="Debt",IF(AND(AJ$4&gt;=$D59,AJ$4&lt;$D59+'Incremental Repayments'!$I$31),-PMT('Interest Rate'!$J$16,'Incremental Repayments'!$I$31,(HLOOKUP($D59,$E$4:$CZ$32,28,FALSE)*'Incremental Repayments'!$I$22)),0),0)</f>
        <v>7488613.0569840074</v>
      </c>
      <c r="AK59" s="783">
        <f>IF('Incremental Repayments'!$R$22="Debt",IF(AND(AK$4&gt;=$D59,AK$4&lt;$D59+'Incremental Repayments'!$I$31),-PMT('Interest Rate'!$J$16,'Incremental Repayments'!$I$31,(HLOOKUP($D59,$E$4:$CZ$32,28,FALSE)*'Incremental Repayments'!$I$22)),0),0)</f>
        <v>7488613.0569840074</v>
      </c>
      <c r="AL59" s="783">
        <f>IF('Incremental Repayments'!$R$22="Debt",IF(AND(AL$4&gt;=$D59,AL$4&lt;$D59+'Incremental Repayments'!$I$31),-PMT('Interest Rate'!$J$16,'Incremental Repayments'!$I$31,(HLOOKUP($D59,$E$4:$CZ$32,28,FALSE)*'Incremental Repayments'!$I$22)),0),0)</f>
        <v>7488613.0569840074</v>
      </c>
      <c r="AM59" s="783">
        <f>IF('Incremental Repayments'!$R$22="Debt",IF(AND(AM$4&gt;=$D59,AM$4&lt;$D59+'Incremental Repayments'!$I$31),-PMT('Interest Rate'!$J$16,'Incremental Repayments'!$I$31,(HLOOKUP($D59,$E$4:$CZ$32,28,FALSE)*'Incremental Repayments'!$I$22)),0),0)</f>
        <v>7488613.0569840074</v>
      </c>
      <c r="AN59" s="783">
        <f>IF('Incremental Repayments'!$R$22="Debt",IF(AND(AN$4&gt;=$D59,AN$4&lt;$D59+'Incremental Repayments'!$I$31),-PMT('Interest Rate'!$J$16,'Incremental Repayments'!$I$31,(HLOOKUP($D59,$E$4:$CZ$32,28,FALSE)*'Incremental Repayments'!$I$22)),0),0)</f>
        <v>7488613.0569840074</v>
      </c>
      <c r="AO59" s="783">
        <f>IF('Incremental Repayments'!$R$22="Debt",IF(AND(AO$4&gt;=$D59,AO$4&lt;$D59+'Incremental Repayments'!$I$31),-PMT('Interest Rate'!$J$16,'Incremental Repayments'!$I$31,(HLOOKUP($D59,$E$4:$CZ$32,28,FALSE)*'Incremental Repayments'!$I$22)),0),0)</f>
        <v>7488613.0569840074</v>
      </c>
      <c r="AP59" s="783">
        <f>IF('Incremental Repayments'!$R$22="Debt",IF(AND(AP$4&gt;=$D59,AP$4&lt;$D59+'Incremental Repayments'!$I$31),-PMT('Interest Rate'!$J$16,'Incremental Repayments'!$I$31,(HLOOKUP($D59,$E$4:$CZ$32,28,FALSE)*'Incremental Repayments'!$I$22)),0),0)</f>
        <v>7488613.0569840074</v>
      </c>
      <c r="AQ59" s="783">
        <f>IF('Incremental Repayments'!$R$22="Debt",IF(AND(AQ$4&gt;=$D59,AQ$4&lt;$D59+'Incremental Repayments'!$I$31),-PMT('Interest Rate'!$J$16,'Incremental Repayments'!$I$31,(HLOOKUP($D59,$E$4:$CZ$32,28,FALSE)*'Incremental Repayments'!$I$22)),0),0)</f>
        <v>7488613.0569840074</v>
      </c>
      <c r="AR59" s="783">
        <f>IF('Incremental Repayments'!$R$22="Debt",IF(AND(AR$4&gt;=$D59,AR$4&lt;$D59+'Incremental Repayments'!$I$31),-PMT('Interest Rate'!$J$16,'Incremental Repayments'!$I$31,(HLOOKUP($D59,$E$4:$CZ$32,28,FALSE)*'Incremental Repayments'!$I$22)),0),0)</f>
        <v>7488613.0569840074</v>
      </c>
      <c r="AS59" s="783">
        <f>IF('Incremental Repayments'!$R$22="Debt",IF(AND(AS$4&gt;=$D59,AS$4&lt;$D59+'Incremental Repayments'!$I$31),-PMT('Interest Rate'!$J$16,'Incremental Repayments'!$I$31,(HLOOKUP($D59,$E$4:$CZ$32,28,FALSE)*'Incremental Repayments'!$I$22)),0),0)</f>
        <v>7488613.0569840074</v>
      </c>
      <c r="AT59" s="783">
        <f>IF('Incremental Repayments'!$R$22="Debt",IF(AND(AT$4&gt;=$D59,AT$4&lt;$D59+'Incremental Repayments'!$I$31),-PMT('Interest Rate'!$J$16,'Incremental Repayments'!$I$31,(HLOOKUP($D59,$E$4:$CZ$32,28,FALSE)*'Incremental Repayments'!$I$22)),0),0)</f>
        <v>7488613.0569840074</v>
      </c>
      <c r="AU59" s="783">
        <f>IF('Incremental Repayments'!$R$22="Debt",IF(AND(AU$4&gt;=$D59,AU$4&lt;$D59+'Incremental Repayments'!$I$31),-PMT('Interest Rate'!$J$16,'Incremental Repayments'!$I$31,(HLOOKUP($D59,$E$4:$CZ$32,28,FALSE)*'Incremental Repayments'!$I$22)),0),0)</f>
        <v>7488613.0569840074</v>
      </c>
      <c r="AV59" s="783">
        <f>IF('Incremental Repayments'!$R$22="Debt",IF(AND(AV$4&gt;=$D59,AV$4&lt;$D59+'Incremental Repayments'!$I$31),-PMT('Interest Rate'!$J$16,'Incremental Repayments'!$I$31,(HLOOKUP($D59,$E$4:$CZ$32,28,FALSE)*'Incremental Repayments'!$I$22)),0),0)</f>
        <v>7488613.0569840074</v>
      </c>
      <c r="AW59" s="783">
        <f>IF('Incremental Repayments'!$R$22="Debt",IF(AND(AW$4&gt;=$D59,AW$4&lt;$D59+'Incremental Repayments'!$I$31),-PMT('Interest Rate'!$J$16,'Incremental Repayments'!$I$31,(HLOOKUP($D59,$E$4:$CZ$32,28,FALSE)*'Incremental Repayments'!$I$22)),0),0)</f>
        <v>7488613.0569840074</v>
      </c>
      <c r="AX59" s="783">
        <f>IF('Incremental Repayments'!$R$22="Debt",IF(AND(AX$4&gt;=$D59,AX$4&lt;$D59+'Incremental Repayments'!$I$31),-PMT('Interest Rate'!$J$16,'Incremental Repayments'!$I$31,(HLOOKUP($D59,$E$4:$CZ$32,28,FALSE)*'Incremental Repayments'!$I$22)),0),0)</f>
        <v>7488613.0569840074</v>
      </c>
      <c r="AY59" s="783">
        <f>IF('Incremental Repayments'!$R$22="Debt",IF(AND(AY$4&gt;=$D59,AY$4&lt;$D59+'Incremental Repayments'!$I$31),-PMT('Interest Rate'!$J$16,'Incremental Repayments'!$I$31,(HLOOKUP($D59,$E$4:$CZ$32,28,FALSE)*'Incremental Repayments'!$I$22)),0),0)</f>
        <v>7488613.0569840074</v>
      </c>
      <c r="AZ59" s="783">
        <f>IF('Incremental Repayments'!$R$22="Debt",IF(AND(AZ$4&gt;=$D59,AZ$4&lt;$D59+'Incremental Repayments'!$I$31),-PMT('Interest Rate'!$J$16,'Incremental Repayments'!$I$31,(HLOOKUP($D59,$E$4:$CZ$32,28,FALSE)*'Incremental Repayments'!$I$22)),0),0)</f>
        <v>7488613.0569840074</v>
      </c>
      <c r="BA59" s="783">
        <f>IF('Incremental Repayments'!$R$22="Debt",IF(AND(BA$4&gt;=$D59,BA$4&lt;$D59+'Incremental Repayments'!$I$31),-PMT('Interest Rate'!$J$16,'Incremental Repayments'!$I$31,(HLOOKUP($D59,$E$4:$CZ$32,28,FALSE)*'Incremental Repayments'!$I$22)),0),0)</f>
        <v>7488613.0569840074</v>
      </c>
      <c r="BB59" s="783">
        <f>IF('Incremental Repayments'!$R$22="Debt",IF(AND(BB$4&gt;=$D59,BB$4&lt;$D59+'Incremental Repayments'!$I$31),-PMT('Interest Rate'!$J$16,'Incremental Repayments'!$I$31,(HLOOKUP($D59,$E$4:$CZ$32,28,FALSE)*'Incremental Repayments'!$I$22)),0),0)</f>
        <v>7488613.0569840074</v>
      </c>
      <c r="BC59" s="783">
        <f>IF('Incremental Repayments'!$R$22="Debt",IF(AND(BC$4&gt;=$D59,BC$4&lt;$D59+'Incremental Repayments'!$I$31),-PMT('Interest Rate'!$J$16,'Incremental Repayments'!$I$31,(HLOOKUP($D59,$E$4:$CZ$32,28,FALSE)*'Incremental Repayments'!$I$22)),0),0)</f>
        <v>7488613.0569840074</v>
      </c>
      <c r="BD59" s="783">
        <f>IF('Incremental Repayments'!$R$22="Debt",IF(AND(BD$4&gt;=$D59,BD$4&lt;$D59+'Incremental Repayments'!$I$31),-PMT('Interest Rate'!$J$16,'Incremental Repayments'!$I$31,(HLOOKUP($D59,$E$4:$CZ$32,28,FALSE)*'Incremental Repayments'!$I$22)),0),0)</f>
        <v>7488613.0569840074</v>
      </c>
      <c r="BE59" s="783">
        <f>IF('Incremental Repayments'!$R$22="Debt",IF(AND(BE$4&gt;=$D59,BE$4&lt;$D59+'Incremental Repayments'!$I$31),-PMT('Interest Rate'!$J$16,'Incremental Repayments'!$I$31,(HLOOKUP($D59,$E$4:$CZ$32,28,FALSE)*'Incremental Repayments'!$I$22)),0),0)</f>
        <v>7488613.0569840074</v>
      </c>
      <c r="BF59" s="783">
        <f>IF('Incremental Repayments'!$R$22="Debt",IF(AND(BF$4&gt;=$D59,BF$4&lt;$D59+'Incremental Repayments'!$I$31),-PMT('Interest Rate'!$J$16,'Incremental Repayments'!$I$31,(HLOOKUP($D59,$E$4:$CZ$32,28,FALSE)*'Incremental Repayments'!$I$22)),0),0)</f>
        <v>0</v>
      </c>
      <c r="BG59" s="783">
        <f>IF('Incremental Repayments'!$R$22="Debt",IF(AND(BG$4&gt;=$D59,BG$4&lt;$D59+'Incremental Repayments'!$I$31),-PMT('Interest Rate'!$J$16,'Incremental Repayments'!$I$31,(HLOOKUP($D59,$E$4:$CZ$32,28,FALSE)*'Incremental Repayments'!$I$22)),0),0)</f>
        <v>0</v>
      </c>
      <c r="BH59" s="783">
        <f>IF('Incremental Repayments'!$R$22="Debt",IF(AND(BH$4&gt;=$D59,BH$4&lt;$D59+'Incremental Repayments'!$I$31),-PMT('Interest Rate'!$J$16,'Incremental Repayments'!$I$31,(HLOOKUP($D59,$E$4:$CZ$32,28,FALSE)*'Incremental Repayments'!$I$22)),0),0)</f>
        <v>0</v>
      </c>
      <c r="BI59" s="783">
        <f>IF('Incremental Repayments'!$R$22="Debt",IF(AND(BI$4&gt;=$D59,BI$4&lt;$D59+'Incremental Repayments'!$I$31),-PMT('Interest Rate'!$J$16,'Incremental Repayments'!$I$31,(HLOOKUP($D59,$E$4:$CZ$32,28,FALSE)*'Incremental Repayments'!$I$22)),0),0)</f>
        <v>0</v>
      </c>
      <c r="BJ59" s="783">
        <f>IF('Incremental Repayments'!$R$22="Debt",IF(AND(BJ$4&gt;=$D59,BJ$4&lt;$D59+'Incremental Repayments'!$I$31),-PMT('Interest Rate'!$J$16,'Incremental Repayments'!$I$31,(HLOOKUP($D59,$E$4:$CZ$32,28,FALSE)*'Incremental Repayments'!$I$22)),0),0)</f>
        <v>0</v>
      </c>
      <c r="BK59" s="783">
        <f>IF('Incremental Repayments'!$R$22="Debt",IF(AND(BK$4&gt;=$D59,BK$4&lt;$D59+'Incremental Repayments'!$I$31),-PMT('Interest Rate'!$J$16,'Incremental Repayments'!$I$31,(HLOOKUP($D59,$E$4:$CZ$32,28,FALSE)*'Incremental Repayments'!$I$22)),0),0)</f>
        <v>0</v>
      </c>
      <c r="BL59" s="783">
        <f>IF('Incremental Repayments'!$R$22="Debt",IF(AND(BL$4&gt;=$D59,BL$4&lt;$D59+'Incremental Repayments'!$I$31),-PMT('Interest Rate'!$J$16,'Incremental Repayments'!$I$31,(HLOOKUP($D59,$E$4:$CZ$32,28,FALSE)*'Incremental Repayments'!$I$22)),0),0)</f>
        <v>0</v>
      </c>
      <c r="BM59" s="783">
        <f>IF('Incremental Repayments'!$R$22="Debt",IF(AND(BM$4&gt;=$D59,BM$4&lt;$D59+'Incremental Repayments'!$I$31),-PMT('Interest Rate'!$J$16,'Incremental Repayments'!$I$31,(HLOOKUP($D59,$E$4:$CZ$32,28,FALSE)*'Incremental Repayments'!$I$22)),0),0)</f>
        <v>0</v>
      </c>
      <c r="BN59" s="783">
        <f>IF('Incremental Repayments'!$R$22="Debt",IF(AND(BN$4&gt;=$D59,BN$4&lt;$D59+'Incremental Repayments'!$I$31),-PMT('Interest Rate'!$J$16,'Incremental Repayments'!$I$31,(HLOOKUP($D59,$E$4:$CZ$32,28,FALSE)*'Incremental Repayments'!$I$22)),0),0)</f>
        <v>0</v>
      </c>
      <c r="BO59" s="783">
        <f>IF('Incremental Repayments'!$R$22="Debt",IF(AND(BO$4&gt;=$D59,BO$4&lt;$D59+'Incremental Repayments'!$I$31),-PMT('Interest Rate'!$J$16,'Incremental Repayments'!$I$31,(HLOOKUP($D59,$E$4:$CZ$32,28,FALSE)*'Incremental Repayments'!$I$22)),0),0)</f>
        <v>0</v>
      </c>
      <c r="BP59" s="783">
        <f>IF('Incremental Repayments'!$R$22="Debt",IF(AND(BP$4&gt;=$D59,BP$4&lt;$D59+'Incremental Repayments'!$I$31),-PMT('Interest Rate'!$J$16,'Incremental Repayments'!$I$31,(HLOOKUP($D59,$E$4:$CZ$32,28,FALSE)*'Incremental Repayments'!$I$22)),0),0)</f>
        <v>0</v>
      </c>
      <c r="BQ59" s="783">
        <f>IF('Incremental Repayments'!$R$22="Debt",IF(AND(BQ$4&gt;=$D59,BQ$4&lt;$D59+'Incremental Repayments'!$I$31),-PMT('Interest Rate'!$J$16,'Incremental Repayments'!$I$31,(HLOOKUP($D59,$E$4:$CZ$32,28,FALSE)*'Incremental Repayments'!$I$22)),0),0)</f>
        <v>0</v>
      </c>
      <c r="BR59" s="783">
        <f>IF('Incremental Repayments'!$R$22="Debt",IF(AND(BR$4&gt;=$D59,BR$4&lt;$D59+'Incremental Repayments'!$I$31),-PMT('Interest Rate'!$J$16,'Incremental Repayments'!$I$31,(HLOOKUP($D59,$E$4:$CZ$32,28,FALSE)*'Incremental Repayments'!$I$22)),0),0)</f>
        <v>0</v>
      </c>
      <c r="BS59" s="783">
        <f>IF('Incremental Repayments'!$R$22="Debt",IF(AND(BS$4&gt;=$D59,BS$4&lt;$D59+'Incremental Repayments'!$I$31),-PMT('Interest Rate'!$J$16,'Incremental Repayments'!$I$31,(HLOOKUP($D59,$E$4:$CZ$32,28,FALSE)*'Incremental Repayments'!$I$22)),0),0)</f>
        <v>0</v>
      </c>
      <c r="BT59" s="783">
        <f>IF('Incremental Repayments'!$R$22="Debt",IF(AND(BT$4&gt;=$D59,BT$4&lt;$D59+'Incremental Repayments'!$I$31),-PMT('Interest Rate'!$J$16,'Incremental Repayments'!$I$31,(HLOOKUP($D59,$E$4:$CZ$32,28,FALSE)*'Incremental Repayments'!$I$22)),0),0)</f>
        <v>0</v>
      </c>
      <c r="BU59" s="783">
        <f>IF('Incremental Repayments'!$R$22="Debt",IF(AND(BU$4&gt;=$D59,BU$4&lt;$D59+'Incremental Repayments'!$I$31),-PMT('Interest Rate'!$J$16,'Incremental Repayments'!$I$31,(HLOOKUP($D59,$E$4:$CZ$32,28,FALSE)*'Incremental Repayments'!$I$22)),0),0)</f>
        <v>0</v>
      </c>
      <c r="BV59" s="783">
        <f>IF('Incremental Repayments'!$R$22="Debt",IF(AND(BV$4&gt;=$D59,BV$4&lt;$D59+'Incremental Repayments'!$I$31),-PMT('Interest Rate'!$J$16,'Incremental Repayments'!$I$31,(HLOOKUP($D59,$E$4:$CZ$32,28,FALSE)*'Incremental Repayments'!$I$22)),0),0)</f>
        <v>0</v>
      </c>
      <c r="BW59" s="783">
        <f>IF('Incremental Repayments'!$R$22="Debt",IF(AND(BW$4&gt;=$D59,BW$4&lt;$D59+'Incremental Repayments'!$I$31),-PMT('Interest Rate'!$J$16,'Incremental Repayments'!$I$31,(HLOOKUP($D59,$E$4:$CZ$32,28,FALSE)*'Incremental Repayments'!$I$22)),0),0)</f>
        <v>0</v>
      </c>
      <c r="BX59" s="783">
        <f>IF('Incremental Repayments'!$R$22="Debt",IF(AND(BX$4&gt;=$D59,BX$4&lt;$D59+'Incremental Repayments'!$I$31),-PMT('Interest Rate'!$J$16,'Incremental Repayments'!$I$31,(HLOOKUP($D59,$E$4:$CZ$32,28,FALSE)*'Incremental Repayments'!$I$22)),0),0)</f>
        <v>0</v>
      </c>
      <c r="BY59" s="783">
        <f>IF('Incremental Repayments'!$R$22="Debt",IF(AND(BY$4&gt;=$D59,BY$4&lt;$D59+'Incremental Repayments'!$I$31),-PMT('Interest Rate'!$J$16,'Incremental Repayments'!$I$31,(HLOOKUP($D59,$E$4:$CZ$32,28,FALSE)*'Incremental Repayments'!$I$22)),0),0)</f>
        <v>0</v>
      </c>
      <c r="BZ59" s="783">
        <f>IF('Incremental Repayments'!$R$22="Debt",IF(AND(BZ$4&gt;=$D59,BZ$4&lt;$D59+'Incremental Repayments'!$I$31),-PMT('Interest Rate'!$J$16,'Incremental Repayments'!$I$31,(HLOOKUP($D59,$E$4:$CZ$32,28,FALSE)*'Incremental Repayments'!$I$22)),0),0)</f>
        <v>0</v>
      </c>
      <c r="CA59" s="783">
        <f>IF('Incremental Repayments'!$R$22="Debt",IF(AND(CA$4&gt;=$D59,CA$4&lt;$D59+'Incremental Repayments'!$I$31),-PMT('Interest Rate'!$J$16,'Incremental Repayments'!$I$31,(HLOOKUP($D59,$E$4:$CZ$32,28,FALSE)*'Incremental Repayments'!$I$22)),0),0)</f>
        <v>0</v>
      </c>
      <c r="CB59" s="783">
        <f>IF('Incremental Repayments'!$R$22="Debt",IF(AND(CB$4&gt;=$D59,CB$4&lt;$D59+'Incremental Repayments'!$I$31),-PMT('Interest Rate'!$J$16,'Incremental Repayments'!$I$31,(HLOOKUP($D59,$E$4:$CZ$32,28,FALSE)*'Incremental Repayments'!$I$22)),0),0)</f>
        <v>0</v>
      </c>
      <c r="CC59" s="783">
        <f>IF('Incremental Repayments'!$R$22="Debt",IF(AND(CC$4&gt;=$D59,CC$4&lt;$D59+'Incremental Repayments'!$I$31),-PMT('Interest Rate'!$J$16,'Incremental Repayments'!$I$31,(HLOOKUP($D59,$E$4:$CZ$32,28,FALSE)*'Incremental Repayments'!$I$22)),0),0)</f>
        <v>0</v>
      </c>
      <c r="CD59" s="783">
        <f>IF('Incremental Repayments'!$R$22="Debt",IF(AND(CD$4&gt;=$D59,CD$4&lt;$D59+'Incremental Repayments'!$I$31),-PMT('Interest Rate'!$J$16,'Incremental Repayments'!$I$31,(HLOOKUP($D59,$E$4:$CZ$32,28,FALSE)*'Incremental Repayments'!$I$22)),0),0)</f>
        <v>0</v>
      </c>
      <c r="CE59" s="783">
        <f>IF('Incremental Repayments'!$R$22="Debt",IF(AND(CE$4&gt;=$D59,CE$4&lt;$D59+'Incremental Repayments'!$I$31),-PMT('Interest Rate'!$J$16,'Incremental Repayments'!$I$31,(HLOOKUP($D59,$E$4:$CZ$32,28,FALSE)*'Incremental Repayments'!$I$22)),0),0)</f>
        <v>0</v>
      </c>
      <c r="CF59" s="783">
        <f>IF('Incremental Repayments'!$R$22="Debt",IF(AND(CF$4&gt;=$D59,CF$4&lt;$D59+'Incremental Repayments'!$I$31),-PMT('Interest Rate'!$J$16,'Incremental Repayments'!$I$31,(HLOOKUP($D59,$E$4:$CZ$32,28,FALSE)*'Incremental Repayments'!$I$22)),0),0)</f>
        <v>0</v>
      </c>
      <c r="CG59" s="783">
        <f>IF('Incremental Repayments'!$R$22="Debt",IF(AND(CG$4&gt;=$D59,CG$4&lt;$D59+'Incremental Repayments'!$I$31),-PMT('Interest Rate'!$J$16,'Incremental Repayments'!$I$31,(HLOOKUP($D59,$E$4:$CZ$32,28,FALSE)*'Incremental Repayments'!$I$22)),0),0)</f>
        <v>0</v>
      </c>
      <c r="CH59" s="783">
        <f>IF('Incremental Repayments'!$R$22="Debt",IF(AND(CH$4&gt;=$D59,CH$4&lt;$D59+'Incremental Repayments'!$I$31),-PMT('Interest Rate'!$J$16,'Incremental Repayments'!$I$31,(HLOOKUP($D59,$E$4:$CZ$32,28,FALSE)*'Incremental Repayments'!$I$22)),0),0)</f>
        <v>0</v>
      </c>
      <c r="CI59" s="783">
        <f>IF('Incremental Repayments'!$R$22="Debt",IF(AND(CI$4&gt;=$D59,CI$4&lt;$D59+'Incremental Repayments'!$I$31),-PMT('Interest Rate'!$J$16,'Incremental Repayments'!$I$31,(HLOOKUP($D59,$E$4:$CZ$32,28,FALSE)*'Incremental Repayments'!$I$22)),0),0)</f>
        <v>0</v>
      </c>
      <c r="CJ59" s="783">
        <f>IF('Incremental Repayments'!$R$22="Debt",IF(AND(CJ$4&gt;=$D59,CJ$4&lt;$D59+'Incremental Repayments'!$I$31),-PMT('Interest Rate'!$J$16,'Incremental Repayments'!$I$31,(HLOOKUP($D59,$E$4:$CZ$32,28,FALSE)*'Incremental Repayments'!$I$22)),0),0)</f>
        <v>0</v>
      </c>
      <c r="CK59" s="783">
        <f>IF('Incremental Repayments'!$R$22="Debt",IF(AND(CK$4&gt;=$D59,CK$4&lt;$D59+'Incremental Repayments'!$I$31),-PMT('Interest Rate'!$J$16,'Incremental Repayments'!$I$31,(HLOOKUP($D59,$E$4:$CZ$32,28,FALSE)*'Incremental Repayments'!$I$22)),0),0)</f>
        <v>0</v>
      </c>
      <c r="CL59" s="783">
        <f>IF('Incremental Repayments'!$R$22="Debt",IF(AND(CL$4&gt;=$D59,CL$4&lt;$D59+'Incremental Repayments'!$I$31),-PMT('Interest Rate'!$J$16,'Incremental Repayments'!$I$31,(HLOOKUP($D59,$E$4:$CZ$32,28,FALSE)*'Incremental Repayments'!$I$22)),0),0)</f>
        <v>0</v>
      </c>
      <c r="CM59" s="783">
        <f>IF('Incremental Repayments'!$R$22="Debt",IF(AND(CM$4&gt;=$D59,CM$4&lt;$D59+'Incremental Repayments'!$I$31),-PMT('Interest Rate'!$J$16,'Incremental Repayments'!$I$31,(HLOOKUP($D59,$E$4:$CZ$32,28,FALSE)*'Incremental Repayments'!$I$22)),0),0)</f>
        <v>0</v>
      </c>
      <c r="CN59" s="783">
        <f>IF('Incremental Repayments'!$R$22="Debt",IF(AND(CN$4&gt;=$D59,CN$4&lt;$D59+'Incremental Repayments'!$I$31),-PMT('Interest Rate'!$J$16,'Incremental Repayments'!$I$31,(HLOOKUP($D59,$E$4:$CZ$32,28,FALSE)*'Incremental Repayments'!$I$22)),0),0)</f>
        <v>0</v>
      </c>
      <c r="CO59" s="783">
        <f>IF('Incremental Repayments'!$R$22="Debt",IF(AND(CO$4&gt;=$D59,CO$4&lt;$D59+'Incremental Repayments'!$I$31),-PMT('Interest Rate'!$J$16,'Incremental Repayments'!$I$31,(HLOOKUP($D59,$E$4:$CZ$32,28,FALSE)*'Incremental Repayments'!$I$22)),0),0)</f>
        <v>0</v>
      </c>
      <c r="CP59" s="783">
        <f>IF('Incremental Repayments'!$R$22="Debt",IF(AND(CP$4&gt;=$D59,CP$4&lt;$D59+'Incremental Repayments'!$I$31),-PMT('Interest Rate'!$J$16,'Incremental Repayments'!$I$31,(HLOOKUP($D59,$E$4:$CZ$32,28,FALSE)*'Incremental Repayments'!$I$22)),0),0)</f>
        <v>0</v>
      </c>
      <c r="CQ59" s="783">
        <f>IF('Incremental Repayments'!$R$22="Debt",IF(AND(CQ$4&gt;=$D59,CQ$4&lt;$D59+'Incremental Repayments'!$I$31),-PMT('Interest Rate'!$J$16,'Incremental Repayments'!$I$31,(HLOOKUP($D59,$E$4:$CZ$32,28,FALSE)*'Incremental Repayments'!$I$22)),0),0)</f>
        <v>0</v>
      </c>
      <c r="CR59" s="783">
        <f>IF('Incremental Repayments'!$R$22="Debt",IF(AND(CR$4&gt;=$D59,CR$4&lt;$D59+'Incremental Repayments'!$I$31),-PMT('Interest Rate'!$J$16,'Incremental Repayments'!$I$31,(HLOOKUP($D59,$E$4:$CZ$32,28,FALSE)*'Incremental Repayments'!$I$22)),0),0)</f>
        <v>0</v>
      </c>
      <c r="CS59" s="783">
        <f>IF('Incremental Repayments'!$R$22="Debt",IF(AND(CS$4&gt;=$D59,CS$4&lt;$D59+'Incremental Repayments'!$I$31),-PMT('Interest Rate'!$J$16,'Incremental Repayments'!$I$31,(HLOOKUP($D59,$E$4:$CZ$32,28,FALSE)*'Incremental Repayments'!$I$22)),0),0)</f>
        <v>0</v>
      </c>
      <c r="CT59" s="783">
        <f>IF('Incremental Repayments'!$R$22="Debt",IF(AND(CT$4&gt;=$D59,CT$4&lt;$D59+'Incremental Repayments'!$I$31),-PMT('Interest Rate'!$J$16,'Incremental Repayments'!$I$31,(HLOOKUP($D59,$E$4:$CZ$32,28,FALSE)*'Incremental Repayments'!$I$22)),0),0)</f>
        <v>0</v>
      </c>
      <c r="CU59" s="783">
        <f>IF('Incremental Repayments'!$R$22="Debt",IF(AND(CU$4&gt;=$D59,CU$4&lt;$D59+'Incremental Repayments'!$I$31),-PMT('Interest Rate'!$J$16,'Incremental Repayments'!$I$31,(HLOOKUP($D59,$E$4:$CZ$32,28,FALSE)*'Incremental Repayments'!$I$22)),0),0)</f>
        <v>0</v>
      </c>
      <c r="CV59" s="783">
        <f>IF('Incremental Repayments'!$R$22="Debt",IF(AND(CV$4&gt;=$D59,CV$4&lt;$D59+'Incremental Repayments'!$I$31),-PMT('Interest Rate'!$J$16,'Incremental Repayments'!$I$31,(HLOOKUP($D59,$E$4:$CZ$32,28,FALSE)*'Incremental Repayments'!$I$22)),0),0)</f>
        <v>0</v>
      </c>
      <c r="CW59" s="783">
        <f>IF('Incremental Repayments'!$R$22="Debt",IF(AND(CW$4&gt;=$D59,CW$4&lt;$D59+'Incremental Repayments'!$I$31),-PMT('Interest Rate'!$J$16,'Incremental Repayments'!$I$31,(HLOOKUP($D59,$E$4:$CZ$32,28,FALSE)*'Incremental Repayments'!$I$22)),0),0)</f>
        <v>0</v>
      </c>
      <c r="CX59" s="783">
        <f>IF('Incremental Repayments'!$R$22="Debt",IF(AND(CX$4&gt;=$D59,CX$4&lt;$D59+'Incremental Repayments'!$I$31),-PMT('Interest Rate'!$J$16,'Incremental Repayments'!$I$31,(HLOOKUP($D59,$E$4:$CZ$32,28,FALSE)*'Incremental Repayments'!$I$22)),0),0)</f>
        <v>0</v>
      </c>
      <c r="CY59" s="783">
        <f>IF('Incremental Repayments'!$R$22="Debt",IF(AND(CY$4&gt;=$D59,CY$4&lt;$D59+'Incremental Repayments'!$I$31),-PMT('Interest Rate'!$J$16,'Incremental Repayments'!$I$31,(HLOOKUP($D59,$E$4:$CZ$32,28,FALSE)*'Incremental Repayments'!$I$22)),0),0)</f>
        <v>0</v>
      </c>
      <c r="CZ59" s="783">
        <f>IF('Incremental Repayments'!$R$22="Debt",IF(AND(CZ$4&gt;=$D59,CZ$4&lt;$D59+'Incremental Repayments'!$I$31),-PMT('Interest Rate'!$J$16,'Incremental Repayments'!$I$31,(HLOOKUP($D59,$E$4:$CZ$32,28,FALSE)*'Incremental Repayments'!$I$22)),0),0)</f>
        <v>0</v>
      </c>
    </row>
    <row r="60" spans="1:104" x14ac:dyDescent="0.25">
      <c r="B60" s="480" t="str">
        <f>CONCATENATE("Series ",D60,"A Bonds (at ",'Interest Rate'!$J$16*100,"% Interest)")</f>
        <v>Series 2038A Bonds (at 4.5% Interest)</v>
      </c>
      <c r="C60" s="480"/>
      <c r="D60" s="492">
        <f t="shared" si="47"/>
        <v>2038</v>
      </c>
      <c r="E60" s="783">
        <f>IF('Incremental Repayments'!$R$22="Debt",IF(AND(E$4&gt;=$D60,E$4&lt;$D60+'Incremental Repayments'!$I$31),-PMT('Interest Rate'!$J$16,'Incremental Repayments'!$I$31,(HLOOKUP($D60,$E$4:$CZ$32,28,FALSE)*'Incremental Repayments'!$I$22)),0),0)</f>
        <v>0</v>
      </c>
      <c r="F60" s="783">
        <f>IF('Incremental Repayments'!$R$22="Debt",IF(AND(F$4&gt;=$D60,F$4&lt;$D60+'Incremental Repayments'!$I$31),-PMT('Interest Rate'!$J$16,'Incremental Repayments'!$I$31,(HLOOKUP($D60,$E$4:$CZ$32,28,FALSE)*'Incremental Repayments'!$I$22)),0),0)</f>
        <v>0</v>
      </c>
      <c r="G60" s="783">
        <f>IF('Incremental Repayments'!$R$22="Debt",IF(AND(G$4&gt;=$D60,G$4&lt;$D60+'Incremental Repayments'!$I$31),-PMT('Interest Rate'!$J$16,'Incremental Repayments'!$I$31,(HLOOKUP($D60,$E$4:$CZ$32,28,FALSE)*'Incremental Repayments'!$I$22)),0),0)</f>
        <v>0</v>
      </c>
      <c r="H60" s="783">
        <f>IF('Incremental Repayments'!$R$22="Debt",IF(AND(H$4&gt;=$D60,H$4&lt;$D60+'Incremental Repayments'!$I$31),-PMT('Interest Rate'!$J$16,'Incremental Repayments'!$I$31,(HLOOKUP($D60,$E$4:$CZ$32,28,FALSE)*'Incremental Repayments'!$I$22)),0),0)</f>
        <v>0</v>
      </c>
      <c r="I60" s="783">
        <f>IF('Incremental Repayments'!$R$22="Debt",IF(AND(I$4&gt;=$D60,I$4&lt;$D60+'Incremental Repayments'!$I$31),-PMT('Interest Rate'!$J$16,'Incremental Repayments'!$I$31,(HLOOKUP($D60,$E$4:$CZ$32,28,FALSE)*'Incremental Repayments'!$I$22)),0),0)</f>
        <v>0</v>
      </c>
      <c r="J60" s="783">
        <f>IF('Incremental Repayments'!$R$22="Debt",IF(AND(J$4&gt;=$D60,J$4&lt;$D60+'Incremental Repayments'!$I$31),-PMT('Interest Rate'!$J$16,'Incremental Repayments'!$I$31,(HLOOKUP($D60,$E$4:$CZ$32,28,FALSE)*'Incremental Repayments'!$I$22)),0),0)</f>
        <v>0</v>
      </c>
      <c r="K60" s="783">
        <f>IF('Incremental Repayments'!$R$22="Debt",IF(AND(K$4&gt;=$D60,K$4&lt;$D60+'Incremental Repayments'!$I$31),-PMT('Interest Rate'!$J$16,'Incremental Repayments'!$I$31,(HLOOKUP($D60,$E$4:$CZ$32,28,FALSE)*'Incremental Repayments'!$I$22)),0),0)</f>
        <v>0</v>
      </c>
      <c r="L60" s="783">
        <f>IF('Incremental Repayments'!$R$22="Debt",IF(AND(L$4&gt;=$D60,L$4&lt;$D60+'Incremental Repayments'!$I$31),-PMT('Interest Rate'!$J$16,'Incremental Repayments'!$I$31,(HLOOKUP($D60,$E$4:$CZ$32,28,FALSE)*'Incremental Repayments'!$I$22)),0),0)</f>
        <v>0</v>
      </c>
      <c r="M60" s="783">
        <f>IF('Incremental Repayments'!$R$22="Debt",IF(AND(M$4&gt;=$D60,M$4&lt;$D60+'Incremental Repayments'!$I$31),-PMT('Interest Rate'!$J$16,'Incremental Repayments'!$I$31,(HLOOKUP($D60,$E$4:$CZ$32,28,FALSE)*'Incremental Repayments'!$I$22)),0),0)</f>
        <v>0</v>
      </c>
      <c r="N60" s="783">
        <f>IF('Incremental Repayments'!$R$22="Debt",IF(AND(N$4&gt;=$D60,N$4&lt;$D60+'Incremental Repayments'!$I$31),-PMT('Interest Rate'!$J$16,'Incremental Repayments'!$I$31,(HLOOKUP($D60,$E$4:$CZ$32,28,FALSE)*'Incremental Repayments'!$I$22)),0),0)</f>
        <v>0</v>
      </c>
      <c r="O60" s="783">
        <f>IF('Incremental Repayments'!$R$22="Debt",IF(AND(O$4&gt;=$D60,O$4&lt;$D60+'Incremental Repayments'!$I$31),-PMT('Interest Rate'!$J$16,'Incremental Repayments'!$I$31,(HLOOKUP($D60,$E$4:$CZ$32,28,FALSE)*'Incremental Repayments'!$I$22)),0),0)</f>
        <v>0</v>
      </c>
      <c r="P60" s="783">
        <f>IF('Incremental Repayments'!$R$22="Debt",IF(AND(P$4&gt;=$D60,P$4&lt;$D60+'Incremental Repayments'!$I$31),-PMT('Interest Rate'!$J$16,'Incremental Repayments'!$I$31,(HLOOKUP($D60,$E$4:$CZ$32,28,FALSE)*'Incremental Repayments'!$I$22)),0),0)</f>
        <v>0</v>
      </c>
      <c r="Q60" s="783">
        <f>IF('Incremental Repayments'!$R$22="Debt",IF(AND(Q$4&gt;=$D60,Q$4&lt;$D60+'Incremental Repayments'!$I$31),-PMT('Interest Rate'!$J$16,'Incremental Repayments'!$I$31,(HLOOKUP($D60,$E$4:$CZ$32,28,FALSE)*'Incremental Repayments'!$I$22)),0),0)</f>
        <v>0</v>
      </c>
      <c r="R60" s="783">
        <f>IF('Incremental Repayments'!$R$22="Debt",IF(AND(R$4&gt;=$D60,R$4&lt;$D60+'Incremental Repayments'!$I$31),-PMT('Interest Rate'!$J$16,'Incremental Repayments'!$I$31,(HLOOKUP($D60,$E$4:$CZ$32,28,FALSE)*'Incremental Repayments'!$I$22)),0),0)</f>
        <v>0</v>
      </c>
      <c r="S60" s="783">
        <f>IF('Incremental Repayments'!$R$22="Debt",IF(AND(S$4&gt;=$D60,S$4&lt;$D60+'Incremental Repayments'!$I$31),-PMT('Interest Rate'!$J$16,'Incremental Repayments'!$I$31,(HLOOKUP($D60,$E$4:$CZ$32,28,FALSE)*'Incremental Repayments'!$I$22)),0),0)</f>
        <v>0</v>
      </c>
      <c r="T60" s="783">
        <f>IF('Incremental Repayments'!$R$22="Debt",IF(AND(T$4&gt;=$D60,T$4&lt;$D60+'Incremental Repayments'!$I$31),-PMT('Interest Rate'!$J$16,'Incremental Repayments'!$I$31,(HLOOKUP($D60,$E$4:$CZ$32,28,FALSE)*'Incremental Repayments'!$I$22)),0),0)</f>
        <v>0</v>
      </c>
      <c r="U60" s="783">
        <f>IF('Incremental Repayments'!$R$22="Debt",IF(AND(U$4&gt;=$D60,U$4&lt;$D60+'Incremental Repayments'!$I$31),-PMT('Interest Rate'!$J$16,'Incremental Repayments'!$I$31,(HLOOKUP($D60,$E$4:$CZ$32,28,FALSE)*'Incremental Repayments'!$I$22)),0),0)</f>
        <v>0</v>
      </c>
      <c r="V60" s="783">
        <f>IF('Incremental Repayments'!$R$22="Debt",IF(AND(V$4&gt;=$D60,V$4&lt;$D60+'Incremental Repayments'!$I$31),-PMT('Interest Rate'!$J$16,'Incremental Repayments'!$I$31,(HLOOKUP($D60,$E$4:$CZ$32,28,FALSE)*'Incremental Repayments'!$I$22)),0),0)</f>
        <v>0</v>
      </c>
      <c r="W60" s="783">
        <f>IF('Incremental Repayments'!$R$22="Debt",IF(AND(W$4&gt;=$D60,W$4&lt;$D60+'Incremental Repayments'!$I$31),-PMT('Interest Rate'!$J$16,'Incremental Repayments'!$I$31,(HLOOKUP($D60,$E$4:$CZ$32,28,FALSE)*'Incremental Repayments'!$I$22)),0),0)</f>
        <v>0</v>
      </c>
      <c r="X60" s="783">
        <f>IF('Incremental Repayments'!$R$22="Debt",IF(AND(X$4&gt;=$D60,X$4&lt;$D60+'Incremental Repayments'!$I$31),-PMT('Interest Rate'!$J$16,'Incremental Repayments'!$I$31,(HLOOKUP($D60,$E$4:$CZ$32,28,FALSE)*'Incremental Repayments'!$I$22)),0),0)</f>
        <v>0</v>
      </c>
      <c r="Y60" s="783">
        <f>IF('Incremental Repayments'!$R$22="Debt",IF(AND(Y$4&gt;=$D60,Y$4&lt;$D60+'Incremental Repayments'!$I$31),-PMT('Interest Rate'!$J$16,'Incremental Repayments'!$I$31,(HLOOKUP($D60,$E$4:$CZ$32,28,FALSE)*'Incremental Repayments'!$I$22)),0),0)</f>
        <v>0</v>
      </c>
      <c r="Z60" s="783">
        <f>IF('Incremental Repayments'!$R$22="Debt",IF(AND(Z$4&gt;=$D60,Z$4&lt;$D60+'Incremental Repayments'!$I$31),-PMT('Interest Rate'!$J$16,'Incremental Repayments'!$I$31,(HLOOKUP($D60,$E$4:$CZ$32,28,FALSE)*'Incremental Repayments'!$I$22)),0),0)</f>
        <v>0</v>
      </c>
      <c r="AA60" s="783">
        <f>IF('Incremental Repayments'!$R$22="Debt",IF(AND(AA$4&gt;=$D60,AA$4&lt;$D60+'Incremental Repayments'!$I$31),-PMT('Interest Rate'!$J$16,'Incremental Repayments'!$I$31,(HLOOKUP($D60,$E$4:$CZ$32,28,FALSE)*'Incremental Repayments'!$I$22)),0),0)</f>
        <v>0</v>
      </c>
      <c r="AB60" s="783">
        <f>IF('Incremental Repayments'!$R$22="Debt",IF(AND(AB$4&gt;=$D60,AB$4&lt;$D60+'Incremental Repayments'!$I$31),-PMT('Interest Rate'!$J$16,'Incremental Repayments'!$I$31,(HLOOKUP($D60,$E$4:$CZ$32,28,FALSE)*'Incremental Repayments'!$I$22)),0),0)</f>
        <v>0</v>
      </c>
      <c r="AC60" s="783">
        <f>IF('Incremental Repayments'!$R$22="Debt",IF(AND(AC$4&gt;=$D60,AC$4&lt;$D60+'Incremental Repayments'!$I$31),-PMT('Interest Rate'!$J$16,'Incremental Repayments'!$I$31,(HLOOKUP($D60,$E$4:$CZ$32,28,FALSE)*'Incremental Repayments'!$I$22)),0),0)</f>
        <v>8140260.9099320956</v>
      </c>
      <c r="AD60" s="783">
        <f>IF('Incremental Repayments'!$R$22="Debt",IF(AND(AD$4&gt;=$D60,AD$4&lt;$D60+'Incremental Repayments'!$I$31),-PMT('Interest Rate'!$J$16,'Incremental Repayments'!$I$31,(HLOOKUP($D60,$E$4:$CZ$32,28,FALSE)*'Incremental Repayments'!$I$22)),0),0)</f>
        <v>8140260.9099320956</v>
      </c>
      <c r="AE60" s="783">
        <f>IF('Incremental Repayments'!$R$22="Debt",IF(AND(AE$4&gt;=$D60,AE$4&lt;$D60+'Incremental Repayments'!$I$31),-PMT('Interest Rate'!$J$16,'Incremental Repayments'!$I$31,(HLOOKUP($D60,$E$4:$CZ$32,28,FALSE)*'Incremental Repayments'!$I$22)),0),0)</f>
        <v>8140260.9099320956</v>
      </c>
      <c r="AF60" s="783">
        <f>IF('Incremental Repayments'!$R$22="Debt",IF(AND(AF$4&gt;=$D60,AF$4&lt;$D60+'Incremental Repayments'!$I$31),-PMT('Interest Rate'!$J$16,'Incremental Repayments'!$I$31,(HLOOKUP($D60,$E$4:$CZ$32,28,FALSE)*'Incremental Repayments'!$I$22)),0),0)</f>
        <v>8140260.9099320956</v>
      </c>
      <c r="AG60" s="783">
        <f>IF('Incremental Repayments'!$R$22="Debt",IF(AND(AG$4&gt;=$D60,AG$4&lt;$D60+'Incremental Repayments'!$I$31),-PMT('Interest Rate'!$J$16,'Incremental Repayments'!$I$31,(HLOOKUP($D60,$E$4:$CZ$32,28,FALSE)*'Incremental Repayments'!$I$22)),0),0)</f>
        <v>8140260.9099320956</v>
      </c>
      <c r="AH60" s="783">
        <f>IF('Incremental Repayments'!$R$22="Debt",IF(AND(AH$4&gt;=$D60,AH$4&lt;$D60+'Incremental Repayments'!$I$31),-PMT('Interest Rate'!$J$16,'Incremental Repayments'!$I$31,(HLOOKUP($D60,$E$4:$CZ$32,28,FALSE)*'Incremental Repayments'!$I$22)),0),0)</f>
        <v>8140260.9099320956</v>
      </c>
      <c r="AI60" s="783">
        <f>IF('Incremental Repayments'!$R$22="Debt",IF(AND(AI$4&gt;=$D60,AI$4&lt;$D60+'Incremental Repayments'!$I$31),-PMT('Interest Rate'!$J$16,'Incremental Repayments'!$I$31,(HLOOKUP($D60,$E$4:$CZ$32,28,FALSE)*'Incremental Repayments'!$I$22)),0),0)</f>
        <v>8140260.9099320956</v>
      </c>
      <c r="AJ60" s="783">
        <f>IF('Incremental Repayments'!$R$22="Debt",IF(AND(AJ$4&gt;=$D60,AJ$4&lt;$D60+'Incremental Repayments'!$I$31),-PMT('Interest Rate'!$J$16,'Incremental Repayments'!$I$31,(HLOOKUP($D60,$E$4:$CZ$32,28,FALSE)*'Incremental Repayments'!$I$22)),0),0)</f>
        <v>8140260.9099320956</v>
      </c>
      <c r="AK60" s="783">
        <f>IF('Incremental Repayments'!$R$22="Debt",IF(AND(AK$4&gt;=$D60,AK$4&lt;$D60+'Incremental Repayments'!$I$31),-PMT('Interest Rate'!$J$16,'Incremental Repayments'!$I$31,(HLOOKUP($D60,$E$4:$CZ$32,28,FALSE)*'Incremental Repayments'!$I$22)),0),0)</f>
        <v>8140260.9099320956</v>
      </c>
      <c r="AL60" s="783">
        <f>IF('Incremental Repayments'!$R$22="Debt",IF(AND(AL$4&gt;=$D60,AL$4&lt;$D60+'Incremental Repayments'!$I$31),-PMT('Interest Rate'!$J$16,'Incremental Repayments'!$I$31,(HLOOKUP($D60,$E$4:$CZ$32,28,FALSE)*'Incremental Repayments'!$I$22)),0),0)</f>
        <v>8140260.9099320956</v>
      </c>
      <c r="AM60" s="783">
        <f>IF('Incremental Repayments'!$R$22="Debt",IF(AND(AM$4&gt;=$D60,AM$4&lt;$D60+'Incremental Repayments'!$I$31),-PMT('Interest Rate'!$J$16,'Incremental Repayments'!$I$31,(HLOOKUP($D60,$E$4:$CZ$32,28,FALSE)*'Incremental Repayments'!$I$22)),0),0)</f>
        <v>8140260.9099320956</v>
      </c>
      <c r="AN60" s="783">
        <f>IF('Incremental Repayments'!$R$22="Debt",IF(AND(AN$4&gt;=$D60,AN$4&lt;$D60+'Incremental Repayments'!$I$31),-PMT('Interest Rate'!$J$16,'Incremental Repayments'!$I$31,(HLOOKUP($D60,$E$4:$CZ$32,28,FALSE)*'Incremental Repayments'!$I$22)),0),0)</f>
        <v>8140260.9099320956</v>
      </c>
      <c r="AO60" s="783">
        <f>IF('Incremental Repayments'!$R$22="Debt",IF(AND(AO$4&gt;=$D60,AO$4&lt;$D60+'Incremental Repayments'!$I$31),-PMT('Interest Rate'!$J$16,'Incremental Repayments'!$I$31,(HLOOKUP($D60,$E$4:$CZ$32,28,FALSE)*'Incremental Repayments'!$I$22)),0),0)</f>
        <v>8140260.9099320956</v>
      </c>
      <c r="AP60" s="783">
        <f>IF('Incremental Repayments'!$R$22="Debt",IF(AND(AP$4&gt;=$D60,AP$4&lt;$D60+'Incremental Repayments'!$I$31),-PMT('Interest Rate'!$J$16,'Incremental Repayments'!$I$31,(HLOOKUP($D60,$E$4:$CZ$32,28,FALSE)*'Incremental Repayments'!$I$22)),0),0)</f>
        <v>8140260.9099320956</v>
      </c>
      <c r="AQ60" s="783">
        <f>IF('Incremental Repayments'!$R$22="Debt",IF(AND(AQ$4&gt;=$D60,AQ$4&lt;$D60+'Incremental Repayments'!$I$31),-PMT('Interest Rate'!$J$16,'Incremental Repayments'!$I$31,(HLOOKUP($D60,$E$4:$CZ$32,28,FALSE)*'Incremental Repayments'!$I$22)),0),0)</f>
        <v>8140260.9099320956</v>
      </c>
      <c r="AR60" s="783">
        <f>IF('Incremental Repayments'!$R$22="Debt",IF(AND(AR$4&gt;=$D60,AR$4&lt;$D60+'Incremental Repayments'!$I$31),-PMT('Interest Rate'!$J$16,'Incremental Repayments'!$I$31,(HLOOKUP($D60,$E$4:$CZ$32,28,FALSE)*'Incremental Repayments'!$I$22)),0),0)</f>
        <v>8140260.9099320956</v>
      </c>
      <c r="AS60" s="783">
        <f>IF('Incremental Repayments'!$R$22="Debt",IF(AND(AS$4&gt;=$D60,AS$4&lt;$D60+'Incremental Repayments'!$I$31),-PMT('Interest Rate'!$J$16,'Incremental Repayments'!$I$31,(HLOOKUP($D60,$E$4:$CZ$32,28,FALSE)*'Incremental Repayments'!$I$22)),0),0)</f>
        <v>8140260.9099320956</v>
      </c>
      <c r="AT60" s="783">
        <f>IF('Incremental Repayments'!$R$22="Debt",IF(AND(AT$4&gt;=$D60,AT$4&lt;$D60+'Incremental Repayments'!$I$31),-PMT('Interest Rate'!$J$16,'Incremental Repayments'!$I$31,(HLOOKUP($D60,$E$4:$CZ$32,28,FALSE)*'Incremental Repayments'!$I$22)),0),0)</f>
        <v>8140260.9099320956</v>
      </c>
      <c r="AU60" s="783">
        <f>IF('Incremental Repayments'!$R$22="Debt",IF(AND(AU$4&gt;=$D60,AU$4&lt;$D60+'Incremental Repayments'!$I$31),-PMT('Interest Rate'!$J$16,'Incremental Repayments'!$I$31,(HLOOKUP($D60,$E$4:$CZ$32,28,FALSE)*'Incremental Repayments'!$I$22)),0),0)</f>
        <v>8140260.9099320956</v>
      </c>
      <c r="AV60" s="783">
        <f>IF('Incremental Repayments'!$R$22="Debt",IF(AND(AV$4&gt;=$D60,AV$4&lt;$D60+'Incremental Repayments'!$I$31),-PMT('Interest Rate'!$J$16,'Incremental Repayments'!$I$31,(HLOOKUP($D60,$E$4:$CZ$32,28,FALSE)*'Incremental Repayments'!$I$22)),0),0)</f>
        <v>8140260.9099320956</v>
      </c>
      <c r="AW60" s="783">
        <f>IF('Incremental Repayments'!$R$22="Debt",IF(AND(AW$4&gt;=$D60,AW$4&lt;$D60+'Incremental Repayments'!$I$31),-PMT('Interest Rate'!$J$16,'Incremental Repayments'!$I$31,(HLOOKUP($D60,$E$4:$CZ$32,28,FALSE)*'Incremental Repayments'!$I$22)),0),0)</f>
        <v>8140260.9099320956</v>
      </c>
      <c r="AX60" s="783">
        <f>IF('Incremental Repayments'!$R$22="Debt",IF(AND(AX$4&gt;=$D60,AX$4&lt;$D60+'Incremental Repayments'!$I$31),-PMT('Interest Rate'!$J$16,'Incremental Repayments'!$I$31,(HLOOKUP($D60,$E$4:$CZ$32,28,FALSE)*'Incremental Repayments'!$I$22)),0),0)</f>
        <v>8140260.9099320956</v>
      </c>
      <c r="AY60" s="783">
        <f>IF('Incremental Repayments'!$R$22="Debt",IF(AND(AY$4&gt;=$D60,AY$4&lt;$D60+'Incremental Repayments'!$I$31),-PMT('Interest Rate'!$J$16,'Incremental Repayments'!$I$31,(HLOOKUP($D60,$E$4:$CZ$32,28,FALSE)*'Incremental Repayments'!$I$22)),0),0)</f>
        <v>8140260.9099320956</v>
      </c>
      <c r="AZ60" s="783">
        <f>IF('Incremental Repayments'!$R$22="Debt",IF(AND(AZ$4&gt;=$D60,AZ$4&lt;$D60+'Incremental Repayments'!$I$31),-PMT('Interest Rate'!$J$16,'Incremental Repayments'!$I$31,(HLOOKUP($D60,$E$4:$CZ$32,28,FALSE)*'Incremental Repayments'!$I$22)),0),0)</f>
        <v>8140260.9099320956</v>
      </c>
      <c r="BA60" s="783">
        <f>IF('Incremental Repayments'!$R$22="Debt",IF(AND(BA$4&gt;=$D60,BA$4&lt;$D60+'Incremental Repayments'!$I$31),-PMT('Interest Rate'!$J$16,'Incremental Repayments'!$I$31,(HLOOKUP($D60,$E$4:$CZ$32,28,FALSE)*'Incremental Repayments'!$I$22)),0),0)</f>
        <v>8140260.9099320956</v>
      </c>
      <c r="BB60" s="783">
        <f>IF('Incremental Repayments'!$R$22="Debt",IF(AND(BB$4&gt;=$D60,BB$4&lt;$D60+'Incremental Repayments'!$I$31),-PMT('Interest Rate'!$J$16,'Incremental Repayments'!$I$31,(HLOOKUP($D60,$E$4:$CZ$32,28,FALSE)*'Incremental Repayments'!$I$22)),0),0)</f>
        <v>8140260.9099320956</v>
      </c>
      <c r="BC60" s="783">
        <f>IF('Incremental Repayments'!$R$22="Debt",IF(AND(BC$4&gt;=$D60,BC$4&lt;$D60+'Incremental Repayments'!$I$31),-PMT('Interest Rate'!$J$16,'Incremental Repayments'!$I$31,(HLOOKUP($D60,$E$4:$CZ$32,28,FALSE)*'Incremental Repayments'!$I$22)),0),0)</f>
        <v>8140260.9099320956</v>
      </c>
      <c r="BD60" s="783">
        <f>IF('Incremental Repayments'!$R$22="Debt",IF(AND(BD$4&gt;=$D60,BD$4&lt;$D60+'Incremental Repayments'!$I$31),-PMT('Interest Rate'!$J$16,'Incremental Repayments'!$I$31,(HLOOKUP($D60,$E$4:$CZ$32,28,FALSE)*'Incremental Repayments'!$I$22)),0),0)</f>
        <v>8140260.9099320956</v>
      </c>
      <c r="BE60" s="783">
        <f>IF('Incremental Repayments'!$R$22="Debt",IF(AND(BE$4&gt;=$D60,BE$4&lt;$D60+'Incremental Repayments'!$I$31),-PMT('Interest Rate'!$J$16,'Incremental Repayments'!$I$31,(HLOOKUP($D60,$E$4:$CZ$32,28,FALSE)*'Incremental Repayments'!$I$22)),0),0)</f>
        <v>8140260.9099320956</v>
      </c>
      <c r="BF60" s="783">
        <f>IF('Incremental Repayments'!$R$22="Debt",IF(AND(BF$4&gt;=$D60,BF$4&lt;$D60+'Incremental Repayments'!$I$31),-PMT('Interest Rate'!$J$16,'Incremental Repayments'!$I$31,(HLOOKUP($D60,$E$4:$CZ$32,28,FALSE)*'Incremental Repayments'!$I$22)),0),0)</f>
        <v>8140260.9099320956</v>
      </c>
      <c r="BG60" s="783">
        <f>IF('Incremental Repayments'!$R$22="Debt",IF(AND(BG$4&gt;=$D60,BG$4&lt;$D60+'Incremental Repayments'!$I$31),-PMT('Interest Rate'!$J$16,'Incremental Repayments'!$I$31,(HLOOKUP($D60,$E$4:$CZ$32,28,FALSE)*'Incremental Repayments'!$I$22)),0),0)</f>
        <v>0</v>
      </c>
      <c r="BH60" s="783">
        <f>IF('Incremental Repayments'!$R$22="Debt",IF(AND(BH$4&gt;=$D60,BH$4&lt;$D60+'Incremental Repayments'!$I$31),-PMT('Interest Rate'!$J$16,'Incremental Repayments'!$I$31,(HLOOKUP($D60,$E$4:$CZ$32,28,FALSE)*'Incremental Repayments'!$I$22)),0),0)</f>
        <v>0</v>
      </c>
      <c r="BI60" s="783">
        <f>IF('Incremental Repayments'!$R$22="Debt",IF(AND(BI$4&gt;=$D60,BI$4&lt;$D60+'Incremental Repayments'!$I$31),-PMT('Interest Rate'!$J$16,'Incremental Repayments'!$I$31,(HLOOKUP($D60,$E$4:$CZ$32,28,FALSE)*'Incremental Repayments'!$I$22)),0),0)</f>
        <v>0</v>
      </c>
      <c r="BJ60" s="783">
        <f>IF('Incremental Repayments'!$R$22="Debt",IF(AND(BJ$4&gt;=$D60,BJ$4&lt;$D60+'Incremental Repayments'!$I$31),-PMT('Interest Rate'!$J$16,'Incremental Repayments'!$I$31,(HLOOKUP($D60,$E$4:$CZ$32,28,FALSE)*'Incremental Repayments'!$I$22)),0),0)</f>
        <v>0</v>
      </c>
      <c r="BK60" s="783">
        <f>IF('Incremental Repayments'!$R$22="Debt",IF(AND(BK$4&gt;=$D60,BK$4&lt;$D60+'Incremental Repayments'!$I$31),-PMT('Interest Rate'!$J$16,'Incremental Repayments'!$I$31,(HLOOKUP($D60,$E$4:$CZ$32,28,FALSE)*'Incremental Repayments'!$I$22)),0),0)</f>
        <v>0</v>
      </c>
      <c r="BL60" s="783">
        <f>IF('Incremental Repayments'!$R$22="Debt",IF(AND(BL$4&gt;=$D60,BL$4&lt;$D60+'Incremental Repayments'!$I$31),-PMT('Interest Rate'!$J$16,'Incremental Repayments'!$I$31,(HLOOKUP($D60,$E$4:$CZ$32,28,FALSE)*'Incremental Repayments'!$I$22)),0),0)</f>
        <v>0</v>
      </c>
      <c r="BM60" s="783">
        <f>IF('Incremental Repayments'!$R$22="Debt",IF(AND(BM$4&gt;=$D60,BM$4&lt;$D60+'Incremental Repayments'!$I$31),-PMT('Interest Rate'!$J$16,'Incremental Repayments'!$I$31,(HLOOKUP($D60,$E$4:$CZ$32,28,FALSE)*'Incremental Repayments'!$I$22)),0),0)</f>
        <v>0</v>
      </c>
      <c r="BN60" s="783">
        <f>IF('Incremental Repayments'!$R$22="Debt",IF(AND(BN$4&gt;=$D60,BN$4&lt;$D60+'Incremental Repayments'!$I$31),-PMT('Interest Rate'!$J$16,'Incremental Repayments'!$I$31,(HLOOKUP($D60,$E$4:$CZ$32,28,FALSE)*'Incremental Repayments'!$I$22)),0),0)</f>
        <v>0</v>
      </c>
      <c r="BO60" s="783">
        <f>IF('Incremental Repayments'!$R$22="Debt",IF(AND(BO$4&gt;=$D60,BO$4&lt;$D60+'Incremental Repayments'!$I$31),-PMT('Interest Rate'!$J$16,'Incremental Repayments'!$I$31,(HLOOKUP($D60,$E$4:$CZ$32,28,FALSE)*'Incremental Repayments'!$I$22)),0),0)</f>
        <v>0</v>
      </c>
      <c r="BP60" s="783">
        <f>IF('Incremental Repayments'!$R$22="Debt",IF(AND(BP$4&gt;=$D60,BP$4&lt;$D60+'Incremental Repayments'!$I$31),-PMT('Interest Rate'!$J$16,'Incremental Repayments'!$I$31,(HLOOKUP($D60,$E$4:$CZ$32,28,FALSE)*'Incremental Repayments'!$I$22)),0),0)</f>
        <v>0</v>
      </c>
      <c r="BQ60" s="783">
        <f>IF('Incremental Repayments'!$R$22="Debt",IF(AND(BQ$4&gt;=$D60,BQ$4&lt;$D60+'Incremental Repayments'!$I$31),-PMT('Interest Rate'!$J$16,'Incremental Repayments'!$I$31,(HLOOKUP($D60,$E$4:$CZ$32,28,FALSE)*'Incremental Repayments'!$I$22)),0),0)</f>
        <v>0</v>
      </c>
      <c r="BR60" s="783">
        <f>IF('Incremental Repayments'!$R$22="Debt",IF(AND(BR$4&gt;=$D60,BR$4&lt;$D60+'Incremental Repayments'!$I$31),-PMT('Interest Rate'!$J$16,'Incremental Repayments'!$I$31,(HLOOKUP($D60,$E$4:$CZ$32,28,FALSE)*'Incremental Repayments'!$I$22)),0),0)</f>
        <v>0</v>
      </c>
      <c r="BS60" s="783">
        <f>IF('Incremental Repayments'!$R$22="Debt",IF(AND(BS$4&gt;=$D60,BS$4&lt;$D60+'Incremental Repayments'!$I$31),-PMT('Interest Rate'!$J$16,'Incremental Repayments'!$I$31,(HLOOKUP($D60,$E$4:$CZ$32,28,FALSE)*'Incremental Repayments'!$I$22)),0),0)</f>
        <v>0</v>
      </c>
      <c r="BT60" s="783">
        <f>IF('Incremental Repayments'!$R$22="Debt",IF(AND(BT$4&gt;=$D60,BT$4&lt;$D60+'Incremental Repayments'!$I$31),-PMT('Interest Rate'!$J$16,'Incremental Repayments'!$I$31,(HLOOKUP($D60,$E$4:$CZ$32,28,FALSE)*'Incremental Repayments'!$I$22)),0),0)</f>
        <v>0</v>
      </c>
      <c r="BU60" s="783">
        <f>IF('Incremental Repayments'!$R$22="Debt",IF(AND(BU$4&gt;=$D60,BU$4&lt;$D60+'Incremental Repayments'!$I$31),-PMT('Interest Rate'!$J$16,'Incremental Repayments'!$I$31,(HLOOKUP($D60,$E$4:$CZ$32,28,FALSE)*'Incremental Repayments'!$I$22)),0),0)</f>
        <v>0</v>
      </c>
      <c r="BV60" s="783">
        <f>IF('Incremental Repayments'!$R$22="Debt",IF(AND(BV$4&gt;=$D60,BV$4&lt;$D60+'Incremental Repayments'!$I$31),-PMT('Interest Rate'!$J$16,'Incremental Repayments'!$I$31,(HLOOKUP($D60,$E$4:$CZ$32,28,FALSE)*'Incremental Repayments'!$I$22)),0),0)</f>
        <v>0</v>
      </c>
      <c r="BW60" s="783">
        <f>IF('Incremental Repayments'!$R$22="Debt",IF(AND(BW$4&gt;=$D60,BW$4&lt;$D60+'Incremental Repayments'!$I$31),-PMT('Interest Rate'!$J$16,'Incremental Repayments'!$I$31,(HLOOKUP($D60,$E$4:$CZ$32,28,FALSE)*'Incremental Repayments'!$I$22)),0),0)</f>
        <v>0</v>
      </c>
      <c r="BX60" s="783">
        <f>IF('Incremental Repayments'!$R$22="Debt",IF(AND(BX$4&gt;=$D60,BX$4&lt;$D60+'Incremental Repayments'!$I$31),-PMT('Interest Rate'!$J$16,'Incremental Repayments'!$I$31,(HLOOKUP($D60,$E$4:$CZ$32,28,FALSE)*'Incremental Repayments'!$I$22)),0),0)</f>
        <v>0</v>
      </c>
      <c r="BY60" s="783">
        <f>IF('Incremental Repayments'!$R$22="Debt",IF(AND(BY$4&gt;=$D60,BY$4&lt;$D60+'Incremental Repayments'!$I$31),-PMT('Interest Rate'!$J$16,'Incremental Repayments'!$I$31,(HLOOKUP($D60,$E$4:$CZ$32,28,FALSE)*'Incremental Repayments'!$I$22)),0),0)</f>
        <v>0</v>
      </c>
      <c r="BZ60" s="783">
        <f>IF('Incremental Repayments'!$R$22="Debt",IF(AND(BZ$4&gt;=$D60,BZ$4&lt;$D60+'Incremental Repayments'!$I$31),-PMT('Interest Rate'!$J$16,'Incremental Repayments'!$I$31,(HLOOKUP($D60,$E$4:$CZ$32,28,FALSE)*'Incremental Repayments'!$I$22)),0),0)</f>
        <v>0</v>
      </c>
      <c r="CA60" s="783">
        <f>IF('Incremental Repayments'!$R$22="Debt",IF(AND(CA$4&gt;=$D60,CA$4&lt;$D60+'Incremental Repayments'!$I$31),-PMT('Interest Rate'!$J$16,'Incremental Repayments'!$I$31,(HLOOKUP($D60,$E$4:$CZ$32,28,FALSE)*'Incremental Repayments'!$I$22)),0),0)</f>
        <v>0</v>
      </c>
      <c r="CB60" s="783">
        <f>IF('Incremental Repayments'!$R$22="Debt",IF(AND(CB$4&gt;=$D60,CB$4&lt;$D60+'Incremental Repayments'!$I$31),-PMT('Interest Rate'!$J$16,'Incremental Repayments'!$I$31,(HLOOKUP($D60,$E$4:$CZ$32,28,FALSE)*'Incremental Repayments'!$I$22)),0),0)</f>
        <v>0</v>
      </c>
      <c r="CC60" s="783">
        <f>IF('Incremental Repayments'!$R$22="Debt",IF(AND(CC$4&gt;=$D60,CC$4&lt;$D60+'Incremental Repayments'!$I$31),-PMT('Interest Rate'!$J$16,'Incremental Repayments'!$I$31,(HLOOKUP($D60,$E$4:$CZ$32,28,FALSE)*'Incremental Repayments'!$I$22)),0),0)</f>
        <v>0</v>
      </c>
      <c r="CD60" s="783">
        <f>IF('Incremental Repayments'!$R$22="Debt",IF(AND(CD$4&gt;=$D60,CD$4&lt;$D60+'Incremental Repayments'!$I$31),-PMT('Interest Rate'!$J$16,'Incremental Repayments'!$I$31,(HLOOKUP($D60,$E$4:$CZ$32,28,FALSE)*'Incremental Repayments'!$I$22)),0),0)</f>
        <v>0</v>
      </c>
      <c r="CE60" s="783">
        <f>IF('Incremental Repayments'!$R$22="Debt",IF(AND(CE$4&gt;=$D60,CE$4&lt;$D60+'Incremental Repayments'!$I$31),-PMT('Interest Rate'!$J$16,'Incremental Repayments'!$I$31,(HLOOKUP($D60,$E$4:$CZ$32,28,FALSE)*'Incremental Repayments'!$I$22)),0),0)</f>
        <v>0</v>
      </c>
      <c r="CF60" s="783">
        <f>IF('Incremental Repayments'!$R$22="Debt",IF(AND(CF$4&gt;=$D60,CF$4&lt;$D60+'Incremental Repayments'!$I$31),-PMT('Interest Rate'!$J$16,'Incremental Repayments'!$I$31,(HLOOKUP($D60,$E$4:$CZ$32,28,FALSE)*'Incremental Repayments'!$I$22)),0),0)</f>
        <v>0</v>
      </c>
      <c r="CG60" s="783">
        <f>IF('Incremental Repayments'!$R$22="Debt",IF(AND(CG$4&gt;=$D60,CG$4&lt;$D60+'Incremental Repayments'!$I$31),-PMT('Interest Rate'!$J$16,'Incremental Repayments'!$I$31,(HLOOKUP($D60,$E$4:$CZ$32,28,FALSE)*'Incremental Repayments'!$I$22)),0),0)</f>
        <v>0</v>
      </c>
      <c r="CH60" s="783">
        <f>IF('Incremental Repayments'!$R$22="Debt",IF(AND(CH$4&gt;=$D60,CH$4&lt;$D60+'Incremental Repayments'!$I$31),-PMT('Interest Rate'!$J$16,'Incremental Repayments'!$I$31,(HLOOKUP($D60,$E$4:$CZ$32,28,FALSE)*'Incremental Repayments'!$I$22)),0),0)</f>
        <v>0</v>
      </c>
      <c r="CI60" s="783">
        <f>IF('Incremental Repayments'!$R$22="Debt",IF(AND(CI$4&gt;=$D60,CI$4&lt;$D60+'Incremental Repayments'!$I$31),-PMT('Interest Rate'!$J$16,'Incremental Repayments'!$I$31,(HLOOKUP($D60,$E$4:$CZ$32,28,FALSE)*'Incremental Repayments'!$I$22)),0),0)</f>
        <v>0</v>
      </c>
      <c r="CJ60" s="783">
        <f>IF('Incremental Repayments'!$R$22="Debt",IF(AND(CJ$4&gt;=$D60,CJ$4&lt;$D60+'Incremental Repayments'!$I$31),-PMT('Interest Rate'!$J$16,'Incremental Repayments'!$I$31,(HLOOKUP($D60,$E$4:$CZ$32,28,FALSE)*'Incremental Repayments'!$I$22)),0),0)</f>
        <v>0</v>
      </c>
      <c r="CK60" s="783">
        <f>IF('Incremental Repayments'!$R$22="Debt",IF(AND(CK$4&gt;=$D60,CK$4&lt;$D60+'Incremental Repayments'!$I$31),-PMT('Interest Rate'!$J$16,'Incremental Repayments'!$I$31,(HLOOKUP($D60,$E$4:$CZ$32,28,FALSE)*'Incremental Repayments'!$I$22)),0),0)</f>
        <v>0</v>
      </c>
      <c r="CL60" s="783">
        <f>IF('Incremental Repayments'!$R$22="Debt",IF(AND(CL$4&gt;=$D60,CL$4&lt;$D60+'Incremental Repayments'!$I$31),-PMT('Interest Rate'!$J$16,'Incremental Repayments'!$I$31,(HLOOKUP($D60,$E$4:$CZ$32,28,FALSE)*'Incremental Repayments'!$I$22)),0),0)</f>
        <v>0</v>
      </c>
      <c r="CM60" s="783">
        <f>IF('Incremental Repayments'!$R$22="Debt",IF(AND(CM$4&gt;=$D60,CM$4&lt;$D60+'Incremental Repayments'!$I$31),-PMT('Interest Rate'!$J$16,'Incremental Repayments'!$I$31,(HLOOKUP($D60,$E$4:$CZ$32,28,FALSE)*'Incremental Repayments'!$I$22)),0),0)</f>
        <v>0</v>
      </c>
      <c r="CN60" s="783">
        <f>IF('Incremental Repayments'!$R$22="Debt",IF(AND(CN$4&gt;=$D60,CN$4&lt;$D60+'Incremental Repayments'!$I$31),-PMT('Interest Rate'!$J$16,'Incremental Repayments'!$I$31,(HLOOKUP($D60,$E$4:$CZ$32,28,FALSE)*'Incremental Repayments'!$I$22)),0),0)</f>
        <v>0</v>
      </c>
      <c r="CO60" s="783">
        <f>IF('Incremental Repayments'!$R$22="Debt",IF(AND(CO$4&gt;=$D60,CO$4&lt;$D60+'Incremental Repayments'!$I$31),-PMT('Interest Rate'!$J$16,'Incremental Repayments'!$I$31,(HLOOKUP($D60,$E$4:$CZ$32,28,FALSE)*'Incremental Repayments'!$I$22)),0),0)</f>
        <v>0</v>
      </c>
      <c r="CP60" s="783">
        <f>IF('Incremental Repayments'!$R$22="Debt",IF(AND(CP$4&gt;=$D60,CP$4&lt;$D60+'Incremental Repayments'!$I$31),-PMT('Interest Rate'!$J$16,'Incremental Repayments'!$I$31,(HLOOKUP($D60,$E$4:$CZ$32,28,FALSE)*'Incremental Repayments'!$I$22)),0),0)</f>
        <v>0</v>
      </c>
      <c r="CQ60" s="783">
        <f>IF('Incremental Repayments'!$R$22="Debt",IF(AND(CQ$4&gt;=$D60,CQ$4&lt;$D60+'Incremental Repayments'!$I$31),-PMT('Interest Rate'!$J$16,'Incremental Repayments'!$I$31,(HLOOKUP($D60,$E$4:$CZ$32,28,FALSE)*'Incremental Repayments'!$I$22)),0),0)</f>
        <v>0</v>
      </c>
      <c r="CR60" s="783">
        <f>IF('Incremental Repayments'!$R$22="Debt",IF(AND(CR$4&gt;=$D60,CR$4&lt;$D60+'Incremental Repayments'!$I$31),-PMT('Interest Rate'!$J$16,'Incremental Repayments'!$I$31,(HLOOKUP($D60,$E$4:$CZ$32,28,FALSE)*'Incremental Repayments'!$I$22)),0),0)</f>
        <v>0</v>
      </c>
      <c r="CS60" s="783">
        <f>IF('Incremental Repayments'!$R$22="Debt",IF(AND(CS$4&gt;=$D60,CS$4&lt;$D60+'Incremental Repayments'!$I$31),-PMT('Interest Rate'!$J$16,'Incremental Repayments'!$I$31,(HLOOKUP($D60,$E$4:$CZ$32,28,FALSE)*'Incremental Repayments'!$I$22)),0),0)</f>
        <v>0</v>
      </c>
      <c r="CT60" s="783">
        <f>IF('Incremental Repayments'!$R$22="Debt",IF(AND(CT$4&gt;=$D60,CT$4&lt;$D60+'Incremental Repayments'!$I$31),-PMT('Interest Rate'!$J$16,'Incremental Repayments'!$I$31,(HLOOKUP($D60,$E$4:$CZ$32,28,FALSE)*'Incremental Repayments'!$I$22)),0),0)</f>
        <v>0</v>
      </c>
      <c r="CU60" s="783">
        <f>IF('Incremental Repayments'!$R$22="Debt",IF(AND(CU$4&gt;=$D60,CU$4&lt;$D60+'Incremental Repayments'!$I$31),-PMT('Interest Rate'!$J$16,'Incremental Repayments'!$I$31,(HLOOKUP($D60,$E$4:$CZ$32,28,FALSE)*'Incremental Repayments'!$I$22)),0),0)</f>
        <v>0</v>
      </c>
      <c r="CV60" s="783">
        <f>IF('Incremental Repayments'!$R$22="Debt",IF(AND(CV$4&gt;=$D60,CV$4&lt;$D60+'Incremental Repayments'!$I$31),-PMT('Interest Rate'!$J$16,'Incremental Repayments'!$I$31,(HLOOKUP($D60,$E$4:$CZ$32,28,FALSE)*'Incremental Repayments'!$I$22)),0),0)</f>
        <v>0</v>
      </c>
      <c r="CW60" s="783">
        <f>IF('Incremental Repayments'!$R$22="Debt",IF(AND(CW$4&gt;=$D60,CW$4&lt;$D60+'Incremental Repayments'!$I$31),-PMT('Interest Rate'!$J$16,'Incremental Repayments'!$I$31,(HLOOKUP($D60,$E$4:$CZ$32,28,FALSE)*'Incremental Repayments'!$I$22)),0),0)</f>
        <v>0</v>
      </c>
      <c r="CX60" s="783">
        <f>IF('Incremental Repayments'!$R$22="Debt",IF(AND(CX$4&gt;=$D60,CX$4&lt;$D60+'Incremental Repayments'!$I$31),-PMT('Interest Rate'!$J$16,'Incremental Repayments'!$I$31,(HLOOKUP($D60,$E$4:$CZ$32,28,FALSE)*'Incremental Repayments'!$I$22)),0),0)</f>
        <v>0</v>
      </c>
      <c r="CY60" s="783">
        <f>IF('Incremental Repayments'!$R$22="Debt",IF(AND(CY$4&gt;=$D60,CY$4&lt;$D60+'Incremental Repayments'!$I$31),-PMT('Interest Rate'!$J$16,'Incremental Repayments'!$I$31,(HLOOKUP($D60,$E$4:$CZ$32,28,FALSE)*'Incremental Repayments'!$I$22)),0),0)</f>
        <v>0</v>
      </c>
      <c r="CZ60" s="783">
        <f>IF('Incremental Repayments'!$R$22="Debt",IF(AND(CZ$4&gt;=$D60,CZ$4&lt;$D60+'Incremental Repayments'!$I$31),-PMT('Interest Rate'!$J$16,'Incremental Repayments'!$I$31,(HLOOKUP($D60,$E$4:$CZ$32,28,FALSE)*'Incremental Repayments'!$I$22)),0),0)</f>
        <v>0</v>
      </c>
    </row>
    <row r="61" spans="1:104" x14ac:dyDescent="0.25">
      <c r="B61" s="480" t="str">
        <f>CONCATENATE("Series ",D61,"A Bonds (at ",'Interest Rate'!$J$16*100,"% Interest)")</f>
        <v>Series 2039A Bonds (at 4.5% Interest)</v>
      </c>
      <c r="C61" s="480"/>
      <c r="D61" s="492">
        <f t="shared" si="47"/>
        <v>2039</v>
      </c>
      <c r="E61" s="783">
        <f>IF('Incremental Repayments'!$R$22="Debt",IF(AND(E$4&gt;=$D61,E$4&lt;$D61+'Incremental Repayments'!$I$31),-PMT('Interest Rate'!$J$16,'Incremental Repayments'!$I$31,(HLOOKUP($D61,$E$4:$CZ$32,28,FALSE)*'Incremental Repayments'!$I$22)),0),0)</f>
        <v>0</v>
      </c>
      <c r="F61" s="783">
        <f>IF('Incremental Repayments'!$R$22="Debt",IF(AND(F$4&gt;=$D61,F$4&lt;$D61+'Incremental Repayments'!$I$31),-PMT('Interest Rate'!$J$16,'Incremental Repayments'!$I$31,(HLOOKUP($D61,$E$4:$CZ$32,28,FALSE)*'Incremental Repayments'!$I$22)),0),0)</f>
        <v>0</v>
      </c>
      <c r="G61" s="783">
        <f>IF('Incremental Repayments'!$R$22="Debt",IF(AND(G$4&gt;=$D61,G$4&lt;$D61+'Incremental Repayments'!$I$31),-PMT('Interest Rate'!$J$16,'Incremental Repayments'!$I$31,(HLOOKUP($D61,$E$4:$CZ$32,28,FALSE)*'Incremental Repayments'!$I$22)),0),0)</f>
        <v>0</v>
      </c>
      <c r="H61" s="783">
        <f>IF('Incremental Repayments'!$R$22="Debt",IF(AND(H$4&gt;=$D61,H$4&lt;$D61+'Incremental Repayments'!$I$31),-PMT('Interest Rate'!$J$16,'Incremental Repayments'!$I$31,(HLOOKUP($D61,$E$4:$CZ$32,28,FALSE)*'Incremental Repayments'!$I$22)),0),0)</f>
        <v>0</v>
      </c>
      <c r="I61" s="783">
        <f>IF('Incremental Repayments'!$R$22="Debt",IF(AND(I$4&gt;=$D61,I$4&lt;$D61+'Incremental Repayments'!$I$31),-PMT('Interest Rate'!$J$16,'Incremental Repayments'!$I$31,(HLOOKUP($D61,$E$4:$CZ$32,28,FALSE)*'Incremental Repayments'!$I$22)),0),0)</f>
        <v>0</v>
      </c>
      <c r="J61" s="783">
        <f>IF('Incremental Repayments'!$R$22="Debt",IF(AND(J$4&gt;=$D61,J$4&lt;$D61+'Incremental Repayments'!$I$31),-PMT('Interest Rate'!$J$16,'Incremental Repayments'!$I$31,(HLOOKUP($D61,$E$4:$CZ$32,28,FALSE)*'Incremental Repayments'!$I$22)),0),0)</f>
        <v>0</v>
      </c>
      <c r="K61" s="783">
        <f>IF('Incremental Repayments'!$R$22="Debt",IF(AND(K$4&gt;=$D61,K$4&lt;$D61+'Incremental Repayments'!$I$31),-PMT('Interest Rate'!$J$16,'Incremental Repayments'!$I$31,(HLOOKUP($D61,$E$4:$CZ$32,28,FALSE)*'Incremental Repayments'!$I$22)),0),0)</f>
        <v>0</v>
      </c>
      <c r="L61" s="783">
        <f>IF('Incremental Repayments'!$R$22="Debt",IF(AND(L$4&gt;=$D61,L$4&lt;$D61+'Incremental Repayments'!$I$31),-PMT('Interest Rate'!$J$16,'Incremental Repayments'!$I$31,(HLOOKUP($D61,$E$4:$CZ$32,28,FALSE)*'Incremental Repayments'!$I$22)),0),0)</f>
        <v>0</v>
      </c>
      <c r="M61" s="783">
        <f>IF('Incremental Repayments'!$R$22="Debt",IF(AND(M$4&gt;=$D61,M$4&lt;$D61+'Incremental Repayments'!$I$31),-PMT('Interest Rate'!$J$16,'Incremental Repayments'!$I$31,(HLOOKUP($D61,$E$4:$CZ$32,28,FALSE)*'Incremental Repayments'!$I$22)),0),0)</f>
        <v>0</v>
      </c>
      <c r="N61" s="783">
        <f>IF('Incremental Repayments'!$R$22="Debt",IF(AND(N$4&gt;=$D61,N$4&lt;$D61+'Incremental Repayments'!$I$31),-PMT('Interest Rate'!$J$16,'Incremental Repayments'!$I$31,(HLOOKUP($D61,$E$4:$CZ$32,28,FALSE)*'Incremental Repayments'!$I$22)),0),0)</f>
        <v>0</v>
      </c>
      <c r="O61" s="783">
        <f>IF('Incremental Repayments'!$R$22="Debt",IF(AND(O$4&gt;=$D61,O$4&lt;$D61+'Incremental Repayments'!$I$31),-PMT('Interest Rate'!$J$16,'Incremental Repayments'!$I$31,(HLOOKUP($D61,$E$4:$CZ$32,28,FALSE)*'Incremental Repayments'!$I$22)),0),0)</f>
        <v>0</v>
      </c>
      <c r="P61" s="783">
        <f>IF('Incremental Repayments'!$R$22="Debt",IF(AND(P$4&gt;=$D61,P$4&lt;$D61+'Incremental Repayments'!$I$31),-PMT('Interest Rate'!$J$16,'Incremental Repayments'!$I$31,(HLOOKUP($D61,$E$4:$CZ$32,28,FALSE)*'Incremental Repayments'!$I$22)),0),0)</f>
        <v>0</v>
      </c>
      <c r="Q61" s="783">
        <f>IF('Incremental Repayments'!$R$22="Debt",IF(AND(Q$4&gt;=$D61,Q$4&lt;$D61+'Incremental Repayments'!$I$31),-PMT('Interest Rate'!$J$16,'Incremental Repayments'!$I$31,(HLOOKUP($D61,$E$4:$CZ$32,28,FALSE)*'Incremental Repayments'!$I$22)),0),0)</f>
        <v>0</v>
      </c>
      <c r="R61" s="783">
        <f>IF('Incremental Repayments'!$R$22="Debt",IF(AND(R$4&gt;=$D61,R$4&lt;$D61+'Incremental Repayments'!$I$31),-PMT('Interest Rate'!$J$16,'Incremental Repayments'!$I$31,(HLOOKUP($D61,$E$4:$CZ$32,28,FALSE)*'Incremental Repayments'!$I$22)),0),0)</f>
        <v>0</v>
      </c>
      <c r="S61" s="783">
        <f>IF('Incremental Repayments'!$R$22="Debt",IF(AND(S$4&gt;=$D61,S$4&lt;$D61+'Incremental Repayments'!$I$31),-PMT('Interest Rate'!$J$16,'Incremental Repayments'!$I$31,(HLOOKUP($D61,$E$4:$CZ$32,28,FALSE)*'Incremental Repayments'!$I$22)),0),0)</f>
        <v>0</v>
      </c>
      <c r="T61" s="783">
        <f>IF('Incremental Repayments'!$R$22="Debt",IF(AND(T$4&gt;=$D61,T$4&lt;$D61+'Incremental Repayments'!$I$31),-PMT('Interest Rate'!$J$16,'Incremental Repayments'!$I$31,(HLOOKUP($D61,$E$4:$CZ$32,28,FALSE)*'Incremental Repayments'!$I$22)),0),0)</f>
        <v>0</v>
      </c>
      <c r="U61" s="783">
        <f>IF('Incremental Repayments'!$R$22="Debt",IF(AND(U$4&gt;=$D61,U$4&lt;$D61+'Incremental Repayments'!$I$31),-PMT('Interest Rate'!$J$16,'Incremental Repayments'!$I$31,(HLOOKUP($D61,$E$4:$CZ$32,28,FALSE)*'Incremental Repayments'!$I$22)),0),0)</f>
        <v>0</v>
      </c>
      <c r="V61" s="783">
        <f>IF('Incremental Repayments'!$R$22="Debt",IF(AND(V$4&gt;=$D61,V$4&lt;$D61+'Incremental Repayments'!$I$31),-PMT('Interest Rate'!$J$16,'Incremental Repayments'!$I$31,(HLOOKUP($D61,$E$4:$CZ$32,28,FALSE)*'Incremental Repayments'!$I$22)),0),0)</f>
        <v>0</v>
      </c>
      <c r="W61" s="783">
        <f>IF('Incremental Repayments'!$R$22="Debt",IF(AND(W$4&gt;=$D61,W$4&lt;$D61+'Incremental Repayments'!$I$31),-PMT('Interest Rate'!$J$16,'Incremental Repayments'!$I$31,(HLOOKUP($D61,$E$4:$CZ$32,28,FALSE)*'Incremental Repayments'!$I$22)),0),0)</f>
        <v>0</v>
      </c>
      <c r="X61" s="783">
        <f>IF('Incremental Repayments'!$R$22="Debt",IF(AND(X$4&gt;=$D61,X$4&lt;$D61+'Incremental Repayments'!$I$31),-PMT('Interest Rate'!$J$16,'Incremental Repayments'!$I$31,(HLOOKUP($D61,$E$4:$CZ$32,28,FALSE)*'Incremental Repayments'!$I$22)),0),0)</f>
        <v>0</v>
      </c>
      <c r="Y61" s="783">
        <f>IF('Incremental Repayments'!$R$22="Debt",IF(AND(Y$4&gt;=$D61,Y$4&lt;$D61+'Incremental Repayments'!$I$31),-PMT('Interest Rate'!$J$16,'Incremental Repayments'!$I$31,(HLOOKUP($D61,$E$4:$CZ$32,28,FALSE)*'Incremental Repayments'!$I$22)),0),0)</f>
        <v>0</v>
      </c>
      <c r="Z61" s="783">
        <f>IF('Incremental Repayments'!$R$22="Debt",IF(AND(Z$4&gt;=$D61,Z$4&lt;$D61+'Incremental Repayments'!$I$31),-PMT('Interest Rate'!$J$16,'Incremental Repayments'!$I$31,(HLOOKUP($D61,$E$4:$CZ$32,28,FALSE)*'Incremental Repayments'!$I$22)),0),0)</f>
        <v>0</v>
      </c>
      <c r="AA61" s="783">
        <f>IF('Incremental Repayments'!$R$22="Debt",IF(AND(AA$4&gt;=$D61,AA$4&lt;$D61+'Incremental Repayments'!$I$31),-PMT('Interest Rate'!$J$16,'Incremental Repayments'!$I$31,(HLOOKUP($D61,$E$4:$CZ$32,28,FALSE)*'Incremental Repayments'!$I$22)),0),0)</f>
        <v>0</v>
      </c>
      <c r="AB61" s="783">
        <f>IF('Incremental Repayments'!$R$22="Debt",IF(AND(AB$4&gt;=$D61,AB$4&lt;$D61+'Incremental Repayments'!$I$31),-PMT('Interest Rate'!$J$16,'Incremental Repayments'!$I$31,(HLOOKUP($D61,$E$4:$CZ$32,28,FALSE)*'Incremental Repayments'!$I$22)),0),0)</f>
        <v>0</v>
      </c>
      <c r="AC61" s="783">
        <f>IF('Incremental Repayments'!$R$22="Debt",IF(AND(AC$4&gt;=$D61,AC$4&lt;$D61+'Incremental Repayments'!$I$31),-PMT('Interest Rate'!$J$16,'Incremental Repayments'!$I$31,(HLOOKUP($D61,$E$4:$CZ$32,28,FALSE)*'Incremental Repayments'!$I$22)),0),0)</f>
        <v>0</v>
      </c>
      <c r="AD61" s="783">
        <f>IF('Incremental Repayments'!$R$22="Debt",IF(AND(AD$4&gt;=$D61,AD$4&lt;$D61+'Incremental Repayments'!$I$31),-PMT('Interest Rate'!$J$16,'Incremental Repayments'!$I$31,(HLOOKUP($D61,$E$4:$CZ$32,28,FALSE)*'Incremental Repayments'!$I$22)),0),0)</f>
        <v>8387050.5306735104</v>
      </c>
      <c r="AE61" s="783">
        <f>IF('Incremental Repayments'!$R$22="Debt",IF(AND(AE$4&gt;=$D61,AE$4&lt;$D61+'Incremental Repayments'!$I$31),-PMT('Interest Rate'!$J$16,'Incremental Repayments'!$I$31,(HLOOKUP($D61,$E$4:$CZ$32,28,FALSE)*'Incremental Repayments'!$I$22)),0),0)</f>
        <v>8387050.5306735104</v>
      </c>
      <c r="AF61" s="783">
        <f>IF('Incremental Repayments'!$R$22="Debt",IF(AND(AF$4&gt;=$D61,AF$4&lt;$D61+'Incremental Repayments'!$I$31),-PMT('Interest Rate'!$J$16,'Incremental Repayments'!$I$31,(HLOOKUP($D61,$E$4:$CZ$32,28,FALSE)*'Incremental Repayments'!$I$22)),0),0)</f>
        <v>8387050.5306735104</v>
      </c>
      <c r="AG61" s="783">
        <f>IF('Incremental Repayments'!$R$22="Debt",IF(AND(AG$4&gt;=$D61,AG$4&lt;$D61+'Incremental Repayments'!$I$31),-PMT('Interest Rate'!$J$16,'Incremental Repayments'!$I$31,(HLOOKUP($D61,$E$4:$CZ$32,28,FALSE)*'Incremental Repayments'!$I$22)),0),0)</f>
        <v>8387050.5306735104</v>
      </c>
      <c r="AH61" s="783">
        <f>IF('Incremental Repayments'!$R$22="Debt",IF(AND(AH$4&gt;=$D61,AH$4&lt;$D61+'Incremental Repayments'!$I$31),-PMT('Interest Rate'!$J$16,'Incremental Repayments'!$I$31,(HLOOKUP($D61,$E$4:$CZ$32,28,FALSE)*'Incremental Repayments'!$I$22)),0),0)</f>
        <v>8387050.5306735104</v>
      </c>
      <c r="AI61" s="783">
        <f>IF('Incremental Repayments'!$R$22="Debt",IF(AND(AI$4&gt;=$D61,AI$4&lt;$D61+'Incremental Repayments'!$I$31),-PMT('Interest Rate'!$J$16,'Incremental Repayments'!$I$31,(HLOOKUP($D61,$E$4:$CZ$32,28,FALSE)*'Incremental Repayments'!$I$22)),0),0)</f>
        <v>8387050.5306735104</v>
      </c>
      <c r="AJ61" s="783">
        <f>IF('Incremental Repayments'!$R$22="Debt",IF(AND(AJ$4&gt;=$D61,AJ$4&lt;$D61+'Incremental Repayments'!$I$31),-PMT('Interest Rate'!$J$16,'Incremental Repayments'!$I$31,(HLOOKUP($D61,$E$4:$CZ$32,28,FALSE)*'Incremental Repayments'!$I$22)),0),0)</f>
        <v>8387050.5306735104</v>
      </c>
      <c r="AK61" s="783">
        <f>IF('Incremental Repayments'!$R$22="Debt",IF(AND(AK$4&gt;=$D61,AK$4&lt;$D61+'Incremental Repayments'!$I$31),-PMT('Interest Rate'!$J$16,'Incremental Repayments'!$I$31,(HLOOKUP($D61,$E$4:$CZ$32,28,FALSE)*'Incremental Repayments'!$I$22)),0),0)</f>
        <v>8387050.5306735104</v>
      </c>
      <c r="AL61" s="783">
        <f>IF('Incremental Repayments'!$R$22="Debt",IF(AND(AL$4&gt;=$D61,AL$4&lt;$D61+'Incremental Repayments'!$I$31),-PMT('Interest Rate'!$J$16,'Incremental Repayments'!$I$31,(HLOOKUP($D61,$E$4:$CZ$32,28,FALSE)*'Incremental Repayments'!$I$22)),0),0)</f>
        <v>8387050.5306735104</v>
      </c>
      <c r="AM61" s="783">
        <f>IF('Incremental Repayments'!$R$22="Debt",IF(AND(AM$4&gt;=$D61,AM$4&lt;$D61+'Incremental Repayments'!$I$31),-PMT('Interest Rate'!$J$16,'Incremental Repayments'!$I$31,(HLOOKUP($D61,$E$4:$CZ$32,28,FALSE)*'Incremental Repayments'!$I$22)),0),0)</f>
        <v>8387050.5306735104</v>
      </c>
      <c r="AN61" s="783">
        <f>IF('Incremental Repayments'!$R$22="Debt",IF(AND(AN$4&gt;=$D61,AN$4&lt;$D61+'Incremental Repayments'!$I$31),-PMT('Interest Rate'!$J$16,'Incremental Repayments'!$I$31,(HLOOKUP($D61,$E$4:$CZ$32,28,FALSE)*'Incremental Repayments'!$I$22)),0),0)</f>
        <v>8387050.5306735104</v>
      </c>
      <c r="AO61" s="783">
        <f>IF('Incremental Repayments'!$R$22="Debt",IF(AND(AO$4&gt;=$D61,AO$4&lt;$D61+'Incremental Repayments'!$I$31),-PMT('Interest Rate'!$J$16,'Incremental Repayments'!$I$31,(HLOOKUP($D61,$E$4:$CZ$32,28,FALSE)*'Incremental Repayments'!$I$22)),0),0)</f>
        <v>8387050.5306735104</v>
      </c>
      <c r="AP61" s="783">
        <f>IF('Incremental Repayments'!$R$22="Debt",IF(AND(AP$4&gt;=$D61,AP$4&lt;$D61+'Incremental Repayments'!$I$31),-PMT('Interest Rate'!$J$16,'Incremental Repayments'!$I$31,(HLOOKUP($D61,$E$4:$CZ$32,28,FALSE)*'Incremental Repayments'!$I$22)),0),0)</f>
        <v>8387050.5306735104</v>
      </c>
      <c r="AQ61" s="783">
        <f>IF('Incremental Repayments'!$R$22="Debt",IF(AND(AQ$4&gt;=$D61,AQ$4&lt;$D61+'Incremental Repayments'!$I$31),-PMT('Interest Rate'!$J$16,'Incremental Repayments'!$I$31,(HLOOKUP($D61,$E$4:$CZ$32,28,FALSE)*'Incremental Repayments'!$I$22)),0),0)</f>
        <v>8387050.5306735104</v>
      </c>
      <c r="AR61" s="783">
        <f>IF('Incremental Repayments'!$R$22="Debt",IF(AND(AR$4&gt;=$D61,AR$4&lt;$D61+'Incremental Repayments'!$I$31),-PMT('Interest Rate'!$J$16,'Incremental Repayments'!$I$31,(HLOOKUP($D61,$E$4:$CZ$32,28,FALSE)*'Incremental Repayments'!$I$22)),0),0)</f>
        <v>8387050.5306735104</v>
      </c>
      <c r="AS61" s="783">
        <f>IF('Incremental Repayments'!$R$22="Debt",IF(AND(AS$4&gt;=$D61,AS$4&lt;$D61+'Incremental Repayments'!$I$31),-PMT('Interest Rate'!$J$16,'Incremental Repayments'!$I$31,(HLOOKUP($D61,$E$4:$CZ$32,28,FALSE)*'Incremental Repayments'!$I$22)),0),0)</f>
        <v>8387050.5306735104</v>
      </c>
      <c r="AT61" s="783">
        <f>IF('Incremental Repayments'!$R$22="Debt",IF(AND(AT$4&gt;=$D61,AT$4&lt;$D61+'Incremental Repayments'!$I$31),-PMT('Interest Rate'!$J$16,'Incremental Repayments'!$I$31,(HLOOKUP($D61,$E$4:$CZ$32,28,FALSE)*'Incremental Repayments'!$I$22)),0),0)</f>
        <v>8387050.5306735104</v>
      </c>
      <c r="AU61" s="783">
        <f>IF('Incremental Repayments'!$R$22="Debt",IF(AND(AU$4&gt;=$D61,AU$4&lt;$D61+'Incremental Repayments'!$I$31),-PMT('Interest Rate'!$J$16,'Incremental Repayments'!$I$31,(HLOOKUP($D61,$E$4:$CZ$32,28,FALSE)*'Incremental Repayments'!$I$22)),0),0)</f>
        <v>8387050.5306735104</v>
      </c>
      <c r="AV61" s="783">
        <f>IF('Incremental Repayments'!$R$22="Debt",IF(AND(AV$4&gt;=$D61,AV$4&lt;$D61+'Incremental Repayments'!$I$31),-PMT('Interest Rate'!$J$16,'Incremental Repayments'!$I$31,(HLOOKUP($D61,$E$4:$CZ$32,28,FALSE)*'Incremental Repayments'!$I$22)),0),0)</f>
        <v>8387050.5306735104</v>
      </c>
      <c r="AW61" s="783">
        <f>IF('Incremental Repayments'!$R$22="Debt",IF(AND(AW$4&gt;=$D61,AW$4&lt;$D61+'Incremental Repayments'!$I$31),-PMT('Interest Rate'!$J$16,'Incremental Repayments'!$I$31,(HLOOKUP($D61,$E$4:$CZ$32,28,FALSE)*'Incremental Repayments'!$I$22)),0),0)</f>
        <v>8387050.5306735104</v>
      </c>
      <c r="AX61" s="783">
        <f>IF('Incremental Repayments'!$R$22="Debt",IF(AND(AX$4&gt;=$D61,AX$4&lt;$D61+'Incremental Repayments'!$I$31),-PMT('Interest Rate'!$J$16,'Incremental Repayments'!$I$31,(HLOOKUP($D61,$E$4:$CZ$32,28,FALSE)*'Incremental Repayments'!$I$22)),0),0)</f>
        <v>8387050.5306735104</v>
      </c>
      <c r="AY61" s="783">
        <f>IF('Incremental Repayments'!$R$22="Debt",IF(AND(AY$4&gt;=$D61,AY$4&lt;$D61+'Incremental Repayments'!$I$31),-PMT('Interest Rate'!$J$16,'Incremental Repayments'!$I$31,(HLOOKUP($D61,$E$4:$CZ$32,28,FALSE)*'Incremental Repayments'!$I$22)),0),0)</f>
        <v>8387050.5306735104</v>
      </c>
      <c r="AZ61" s="783">
        <f>IF('Incremental Repayments'!$R$22="Debt",IF(AND(AZ$4&gt;=$D61,AZ$4&lt;$D61+'Incremental Repayments'!$I$31),-PMT('Interest Rate'!$J$16,'Incremental Repayments'!$I$31,(HLOOKUP($D61,$E$4:$CZ$32,28,FALSE)*'Incremental Repayments'!$I$22)),0),0)</f>
        <v>8387050.5306735104</v>
      </c>
      <c r="BA61" s="783">
        <f>IF('Incremental Repayments'!$R$22="Debt",IF(AND(BA$4&gt;=$D61,BA$4&lt;$D61+'Incremental Repayments'!$I$31),-PMT('Interest Rate'!$J$16,'Incremental Repayments'!$I$31,(HLOOKUP($D61,$E$4:$CZ$32,28,FALSE)*'Incremental Repayments'!$I$22)),0),0)</f>
        <v>8387050.5306735104</v>
      </c>
      <c r="BB61" s="783">
        <f>IF('Incremental Repayments'!$R$22="Debt",IF(AND(BB$4&gt;=$D61,BB$4&lt;$D61+'Incremental Repayments'!$I$31),-PMT('Interest Rate'!$J$16,'Incremental Repayments'!$I$31,(HLOOKUP($D61,$E$4:$CZ$32,28,FALSE)*'Incremental Repayments'!$I$22)),0),0)</f>
        <v>8387050.5306735104</v>
      </c>
      <c r="BC61" s="783">
        <f>IF('Incremental Repayments'!$R$22="Debt",IF(AND(BC$4&gt;=$D61,BC$4&lt;$D61+'Incremental Repayments'!$I$31),-PMT('Interest Rate'!$J$16,'Incremental Repayments'!$I$31,(HLOOKUP($D61,$E$4:$CZ$32,28,FALSE)*'Incremental Repayments'!$I$22)),0),0)</f>
        <v>8387050.5306735104</v>
      </c>
      <c r="BD61" s="783">
        <f>IF('Incremental Repayments'!$R$22="Debt",IF(AND(BD$4&gt;=$D61,BD$4&lt;$D61+'Incremental Repayments'!$I$31),-PMT('Interest Rate'!$J$16,'Incremental Repayments'!$I$31,(HLOOKUP($D61,$E$4:$CZ$32,28,FALSE)*'Incremental Repayments'!$I$22)),0),0)</f>
        <v>8387050.5306735104</v>
      </c>
      <c r="BE61" s="783">
        <f>IF('Incremental Repayments'!$R$22="Debt",IF(AND(BE$4&gt;=$D61,BE$4&lt;$D61+'Incremental Repayments'!$I$31),-PMT('Interest Rate'!$J$16,'Incremental Repayments'!$I$31,(HLOOKUP($D61,$E$4:$CZ$32,28,FALSE)*'Incremental Repayments'!$I$22)),0),0)</f>
        <v>8387050.5306735104</v>
      </c>
      <c r="BF61" s="783">
        <f>IF('Incremental Repayments'!$R$22="Debt",IF(AND(BF$4&gt;=$D61,BF$4&lt;$D61+'Incremental Repayments'!$I$31),-PMT('Interest Rate'!$J$16,'Incremental Repayments'!$I$31,(HLOOKUP($D61,$E$4:$CZ$32,28,FALSE)*'Incremental Repayments'!$I$22)),0),0)</f>
        <v>8387050.5306735104</v>
      </c>
      <c r="BG61" s="783">
        <f>IF('Incremental Repayments'!$R$22="Debt",IF(AND(BG$4&gt;=$D61,BG$4&lt;$D61+'Incremental Repayments'!$I$31),-PMT('Interest Rate'!$J$16,'Incremental Repayments'!$I$31,(HLOOKUP($D61,$E$4:$CZ$32,28,FALSE)*'Incremental Repayments'!$I$22)),0),0)</f>
        <v>8387050.5306735104</v>
      </c>
      <c r="BH61" s="783">
        <f>IF('Incremental Repayments'!$R$22="Debt",IF(AND(BH$4&gt;=$D61,BH$4&lt;$D61+'Incremental Repayments'!$I$31),-PMT('Interest Rate'!$J$16,'Incremental Repayments'!$I$31,(HLOOKUP($D61,$E$4:$CZ$32,28,FALSE)*'Incremental Repayments'!$I$22)),0),0)</f>
        <v>0</v>
      </c>
      <c r="BI61" s="783">
        <f>IF('Incremental Repayments'!$R$22="Debt",IF(AND(BI$4&gt;=$D61,BI$4&lt;$D61+'Incremental Repayments'!$I$31),-PMT('Interest Rate'!$J$16,'Incremental Repayments'!$I$31,(HLOOKUP($D61,$E$4:$CZ$32,28,FALSE)*'Incremental Repayments'!$I$22)),0),0)</f>
        <v>0</v>
      </c>
      <c r="BJ61" s="783">
        <f>IF('Incremental Repayments'!$R$22="Debt",IF(AND(BJ$4&gt;=$D61,BJ$4&lt;$D61+'Incremental Repayments'!$I$31),-PMT('Interest Rate'!$J$16,'Incremental Repayments'!$I$31,(HLOOKUP($D61,$E$4:$CZ$32,28,FALSE)*'Incremental Repayments'!$I$22)),0),0)</f>
        <v>0</v>
      </c>
      <c r="BK61" s="783">
        <f>IF('Incremental Repayments'!$R$22="Debt",IF(AND(BK$4&gt;=$D61,BK$4&lt;$D61+'Incremental Repayments'!$I$31),-PMT('Interest Rate'!$J$16,'Incremental Repayments'!$I$31,(HLOOKUP($D61,$E$4:$CZ$32,28,FALSE)*'Incremental Repayments'!$I$22)),0),0)</f>
        <v>0</v>
      </c>
      <c r="BL61" s="783">
        <f>IF('Incremental Repayments'!$R$22="Debt",IF(AND(BL$4&gt;=$D61,BL$4&lt;$D61+'Incremental Repayments'!$I$31),-PMT('Interest Rate'!$J$16,'Incremental Repayments'!$I$31,(HLOOKUP($D61,$E$4:$CZ$32,28,FALSE)*'Incremental Repayments'!$I$22)),0),0)</f>
        <v>0</v>
      </c>
      <c r="BM61" s="783">
        <f>IF('Incremental Repayments'!$R$22="Debt",IF(AND(BM$4&gt;=$D61,BM$4&lt;$D61+'Incremental Repayments'!$I$31),-PMT('Interest Rate'!$J$16,'Incremental Repayments'!$I$31,(HLOOKUP($D61,$E$4:$CZ$32,28,FALSE)*'Incremental Repayments'!$I$22)),0),0)</f>
        <v>0</v>
      </c>
      <c r="BN61" s="783">
        <f>IF('Incremental Repayments'!$R$22="Debt",IF(AND(BN$4&gt;=$D61,BN$4&lt;$D61+'Incremental Repayments'!$I$31),-PMT('Interest Rate'!$J$16,'Incremental Repayments'!$I$31,(HLOOKUP($D61,$E$4:$CZ$32,28,FALSE)*'Incremental Repayments'!$I$22)),0),0)</f>
        <v>0</v>
      </c>
      <c r="BO61" s="783">
        <f>IF('Incremental Repayments'!$R$22="Debt",IF(AND(BO$4&gt;=$D61,BO$4&lt;$D61+'Incremental Repayments'!$I$31),-PMT('Interest Rate'!$J$16,'Incremental Repayments'!$I$31,(HLOOKUP($D61,$E$4:$CZ$32,28,FALSE)*'Incremental Repayments'!$I$22)),0),0)</f>
        <v>0</v>
      </c>
      <c r="BP61" s="783">
        <f>IF('Incremental Repayments'!$R$22="Debt",IF(AND(BP$4&gt;=$D61,BP$4&lt;$D61+'Incremental Repayments'!$I$31),-PMT('Interest Rate'!$J$16,'Incremental Repayments'!$I$31,(HLOOKUP($D61,$E$4:$CZ$32,28,FALSE)*'Incremental Repayments'!$I$22)),0),0)</f>
        <v>0</v>
      </c>
      <c r="BQ61" s="783">
        <f>IF('Incremental Repayments'!$R$22="Debt",IF(AND(BQ$4&gt;=$D61,BQ$4&lt;$D61+'Incremental Repayments'!$I$31),-PMT('Interest Rate'!$J$16,'Incremental Repayments'!$I$31,(HLOOKUP($D61,$E$4:$CZ$32,28,FALSE)*'Incremental Repayments'!$I$22)),0),0)</f>
        <v>0</v>
      </c>
      <c r="BR61" s="783">
        <f>IF('Incremental Repayments'!$R$22="Debt",IF(AND(BR$4&gt;=$D61,BR$4&lt;$D61+'Incremental Repayments'!$I$31),-PMT('Interest Rate'!$J$16,'Incremental Repayments'!$I$31,(HLOOKUP($D61,$E$4:$CZ$32,28,FALSE)*'Incremental Repayments'!$I$22)),0),0)</f>
        <v>0</v>
      </c>
      <c r="BS61" s="783">
        <f>IF('Incremental Repayments'!$R$22="Debt",IF(AND(BS$4&gt;=$D61,BS$4&lt;$D61+'Incremental Repayments'!$I$31),-PMT('Interest Rate'!$J$16,'Incremental Repayments'!$I$31,(HLOOKUP($D61,$E$4:$CZ$32,28,FALSE)*'Incremental Repayments'!$I$22)),0),0)</f>
        <v>0</v>
      </c>
      <c r="BT61" s="783">
        <f>IF('Incremental Repayments'!$R$22="Debt",IF(AND(BT$4&gt;=$D61,BT$4&lt;$D61+'Incremental Repayments'!$I$31),-PMT('Interest Rate'!$J$16,'Incremental Repayments'!$I$31,(HLOOKUP($D61,$E$4:$CZ$32,28,FALSE)*'Incremental Repayments'!$I$22)),0),0)</f>
        <v>0</v>
      </c>
      <c r="BU61" s="783">
        <f>IF('Incremental Repayments'!$R$22="Debt",IF(AND(BU$4&gt;=$D61,BU$4&lt;$D61+'Incremental Repayments'!$I$31),-PMT('Interest Rate'!$J$16,'Incremental Repayments'!$I$31,(HLOOKUP($D61,$E$4:$CZ$32,28,FALSE)*'Incremental Repayments'!$I$22)),0),0)</f>
        <v>0</v>
      </c>
      <c r="BV61" s="783">
        <f>IF('Incremental Repayments'!$R$22="Debt",IF(AND(BV$4&gt;=$D61,BV$4&lt;$D61+'Incremental Repayments'!$I$31),-PMT('Interest Rate'!$J$16,'Incremental Repayments'!$I$31,(HLOOKUP($D61,$E$4:$CZ$32,28,FALSE)*'Incremental Repayments'!$I$22)),0),0)</f>
        <v>0</v>
      </c>
      <c r="BW61" s="783">
        <f>IF('Incremental Repayments'!$R$22="Debt",IF(AND(BW$4&gt;=$D61,BW$4&lt;$D61+'Incremental Repayments'!$I$31),-PMT('Interest Rate'!$J$16,'Incremental Repayments'!$I$31,(HLOOKUP($D61,$E$4:$CZ$32,28,FALSE)*'Incremental Repayments'!$I$22)),0),0)</f>
        <v>0</v>
      </c>
      <c r="BX61" s="783">
        <f>IF('Incremental Repayments'!$R$22="Debt",IF(AND(BX$4&gt;=$D61,BX$4&lt;$D61+'Incremental Repayments'!$I$31),-PMT('Interest Rate'!$J$16,'Incremental Repayments'!$I$31,(HLOOKUP($D61,$E$4:$CZ$32,28,FALSE)*'Incremental Repayments'!$I$22)),0),0)</f>
        <v>0</v>
      </c>
      <c r="BY61" s="783">
        <f>IF('Incremental Repayments'!$R$22="Debt",IF(AND(BY$4&gt;=$D61,BY$4&lt;$D61+'Incremental Repayments'!$I$31),-PMT('Interest Rate'!$J$16,'Incremental Repayments'!$I$31,(HLOOKUP($D61,$E$4:$CZ$32,28,FALSE)*'Incremental Repayments'!$I$22)),0),0)</f>
        <v>0</v>
      </c>
      <c r="BZ61" s="783">
        <f>IF('Incremental Repayments'!$R$22="Debt",IF(AND(BZ$4&gt;=$D61,BZ$4&lt;$D61+'Incremental Repayments'!$I$31),-PMT('Interest Rate'!$J$16,'Incremental Repayments'!$I$31,(HLOOKUP($D61,$E$4:$CZ$32,28,FALSE)*'Incremental Repayments'!$I$22)),0),0)</f>
        <v>0</v>
      </c>
      <c r="CA61" s="783">
        <f>IF('Incremental Repayments'!$R$22="Debt",IF(AND(CA$4&gt;=$D61,CA$4&lt;$D61+'Incremental Repayments'!$I$31),-PMT('Interest Rate'!$J$16,'Incremental Repayments'!$I$31,(HLOOKUP($D61,$E$4:$CZ$32,28,FALSE)*'Incremental Repayments'!$I$22)),0),0)</f>
        <v>0</v>
      </c>
      <c r="CB61" s="783">
        <f>IF('Incremental Repayments'!$R$22="Debt",IF(AND(CB$4&gt;=$D61,CB$4&lt;$D61+'Incremental Repayments'!$I$31),-PMT('Interest Rate'!$J$16,'Incremental Repayments'!$I$31,(HLOOKUP($D61,$E$4:$CZ$32,28,FALSE)*'Incremental Repayments'!$I$22)),0),0)</f>
        <v>0</v>
      </c>
      <c r="CC61" s="783">
        <f>IF('Incremental Repayments'!$R$22="Debt",IF(AND(CC$4&gt;=$D61,CC$4&lt;$D61+'Incremental Repayments'!$I$31),-PMT('Interest Rate'!$J$16,'Incremental Repayments'!$I$31,(HLOOKUP($D61,$E$4:$CZ$32,28,FALSE)*'Incremental Repayments'!$I$22)),0),0)</f>
        <v>0</v>
      </c>
      <c r="CD61" s="783">
        <f>IF('Incremental Repayments'!$R$22="Debt",IF(AND(CD$4&gt;=$D61,CD$4&lt;$D61+'Incremental Repayments'!$I$31),-PMT('Interest Rate'!$J$16,'Incremental Repayments'!$I$31,(HLOOKUP($D61,$E$4:$CZ$32,28,FALSE)*'Incremental Repayments'!$I$22)),0),0)</f>
        <v>0</v>
      </c>
      <c r="CE61" s="783">
        <f>IF('Incremental Repayments'!$R$22="Debt",IF(AND(CE$4&gt;=$D61,CE$4&lt;$D61+'Incremental Repayments'!$I$31),-PMT('Interest Rate'!$J$16,'Incremental Repayments'!$I$31,(HLOOKUP($D61,$E$4:$CZ$32,28,FALSE)*'Incremental Repayments'!$I$22)),0),0)</f>
        <v>0</v>
      </c>
      <c r="CF61" s="783">
        <f>IF('Incremental Repayments'!$R$22="Debt",IF(AND(CF$4&gt;=$D61,CF$4&lt;$D61+'Incremental Repayments'!$I$31),-PMT('Interest Rate'!$J$16,'Incremental Repayments'!$I$31,(HLOOKUP($D61,$E$4:$CZ$32,28,FALSE)*'Incremental Repayments'!$I$22)),0),0)</f>
        <v>0</v>
      </c>
      <c r="CG61" s="783">
        <f>IF('Incremental Repayments'!$R$22="Debt",IF(AND(CG$4&gt;=$D61,CG$4&lt;$D61+'Incremental Repayments'!$I$31),-PMT('Interest Rate'!$J$16,'Incremental Repayments'!$I$31,(HLOOKUP($D61,$E$4:$CZ$32,28,FALSE)*'Incremental Repayments'!$I$22)),0),0)</f>
        <v>0</v>
      </c>
      <c r="CH61" s="783">
        <f>IF('Incremental Repayments'!$R$22="Debt",IF(AND(CH$4&gt;=$D61,CH$4&lt;$D61+'Incremental Repayments'!$I$31),-PMT('Interest Rate'!$J$16,'Incremental Repayments'!$I$31,(HLOOKUP($D61,$E$4:$CZ$32,28,FALSE)*'Incremental Repayments'!$I$22)),0),0)</f>
        <v>0</v>
      </c>
      <c r="CI61" s="783">
        <f>IF('Incremental Repayments'!$R$22="Debt",IF(AND(CI$4&gt;=$D61,CI$4&lt;$D61+'Incremental Repayments'!$I$31),-PMT('Interest Rate'!$J$16,'Incremental Repayments'!$I$31,(HLOOKUP($D61,$E$4:$CZ$32,28,FALSE)*'Incremental Repayments'!$I$22)),0),0)</f>
        <v>0</v>
      </c>
      <c r="CJ61" s="783">
        <f>IF('Incremental Repayments'!$R$22="Debt",IF(AND(CJ$4&gt;=$D61,CJ$4&lt;$D61+'Incremental Repayments'!$I$31),-PMT('Interest Rate'!$J$16,'Incremental Repayments'!$I$31,(HLOOKUP($D61,$E$4:$CZ$32,28,FALSE)*'Incremental Repayments'!$I$22)),0),0)</f>
        <v>0</v>
      </c>
      <c r="CK61" s="783">
        <f>IF('Incremental Repayments'!$R$22="Debt",IF(AND(CK$4&gt;=$D61,CK$4&lt;$D61+'Incremental Repayments'!$I$31),-PMT('Interest Rate'!$J$16,'Incremental Repayments'!$I$31,(HLOOKUP($D61,$E$4:$CZ$32,28,FALSE)*'Incremental Repayments'!$I$22)),0),0)</f>
        <v>0</v>
      </c>
      <c r="CL61" s="783">
        <f>IF('Incremental Repayments'!$R$22="Debt",IF(AND(CL$4&gt;=$D61,CL$4&lt;$D61+'Incremental Repayments'!$I$31),-PMT('Interest Rate'!$J$16,'Incremental Repayments'!$I$31,(HLOOKUP($D61,$E$4:$CZ$32,28,FALSE)*'Incremental Repayments'!$I$22)),0),0)</f>
        <v>0</v>
      </c>
      <c r="CM61" s="783">
        <f>IF('Incremental Repayments'!$R$22="Debt",IF(AND(CM$4&gt;=$D61,CM$4&lt;$D61+'Incremental Repayments'!$I$31),-PMT('Interest Rate'!$J$16,'Incremental Repayments'!$I$31,(HLOOKUP($D61,$E$4:$CZ$32,28,FALSE)*'Incremental Repayments'!$I$22)),0),0)</f>
        <v>0</v>
      </c>
      <c r="CN61" s="783">
        <f>IF('Incremental Repayments'!$R$22="Debt",IF(AND(CN$4&gt;=$D61,CN$4&lt;$D61+'Incremental Repayments'!$I$31),-PMT('Interest Rate'!$J$16,'Incremental Repayments'!$I$31,(HLOOKUP($D61,$E$4:$CZ$32,28,FALSE)*'Incremental Repayments'!$I$22)),0),0)</f>
        <v>0</v>
      </c>
      <c r="CO61" s="783">
        <f>IF('Incremental Repayments'!$R$22="Debt",IF(AND(CO$4&gt;=$D61,CO$4&lt;$D61+'Incremental Repayments'!$I$31),-PMT('Interest Rate'!$J$16,'Incremental Repayments'!$I$31,(HLOOKUP($D61,$E$4:$CZ$32,28,FALSE)*'Incremental Repayments'!$I$22)),0),0)</f>
        <v>0</v>
      </c>
      <c r="CP61" s="783">
        <f>IF('Incremental Repayments'!$R$22="Debt",IF(AND(CP$4&gt;=$D61,CP$4&lt;$D61+'Incremental Repayments'!$I$31),-PMT('Interest Rate'!$J$16,'Incremental Repayments'!$I$31,(HLOOKUP($D61,$E$4:$CZ$32,28,FALSE)*'Incremental Repayments'!$I$22)),0),0)</f>
        <v>0</v>
      </c>
      <c r="CQ61" s="783">
        <f>IF('Incremental Repayments'!$R$22="Debt",IF(AND(CQ$4&gt;=$D61,CQ$4&lt;$D61+'Incremental Repayments'!$I$31),-PMT('Interest Rate'!$J$16,'Incremental Repayments'!$I$31,(HLOOKUP($D61,$E$4:$CZ$32,28,FALSE)*'Incremental Repayments'!$I$22)),0),0)</f>
        <v>0</v>
      </c>
      <c r="CR61" s="783">
        <f>IF('Incremental Repayments'!$R$22="Debt",IF(AND(CR$4&gt;=$D61,CR$4&lt;$D61+'Incremental Repayments'!$I$31),-PMT('Interest Rate'!$J$16,'Incremental Repayments'!$I$31,(HLOOKUP($D61,$E$4:$CZ$32,28,FALSE)*'Incremental Repayments'!$I$22)),0),0)</f>
        <v>0</v>
      </c>
      <c r="CS61" s="783">
        <f>IF('Incremental Repayments'!$R$22="Debt",IF(AND(CS$4&gt;=$D61,CS$4&lt;$D61+'Incremental Repayments'!$I$31),-PMT('Interest Rate'!$J$16,'Incremental Repayments'!$I$31,(HLOOKUP($D61,$E$4:$CZ$32,28,FALSE)*'Incremental Repayments'!$I$22)),0),0)</f>
        <v>0</v>
      </c>
      <c r="CT61" s="783">
        <f>IF('Incremental Repayments'!$R$22="Debt",IF(AND(CT$4&gt;=$D61,CT$4&lt;$D61+'Incremental Repayments'!$I$31),-PMT('Interest Rate'!$J$16,'Incremental Repayments'!$I$31,(HLOOKUP($D61,$E$4:$CZ$32,28,FALSE)*'Incremental Repayments'!$I$22)),0),0)</f>
        <v>0</v>
      </c>
      <c r="CU61" s="783">
        <f>IF('Incremental Repayments'!$R$22="Debt",IF(AND(CU$4&gt;=$D61,CU$4&lt;$D61+'Incremental Repayments'!$I$31),-PMT('Interest Rate'!$J$16,'Incremental Repayments'!$I$31,(HLOOKUP($D61,$E$4:$CZ$32,28,FALSE)*'Incremental Repayments'!$I$22)),0),0)</f>
        <v>0</v>
      </c>
      <c r="CV61" s="783">
        <f>IF('Incremental Repayments'!$R$22="Debt",IF(AND(CV$4&gt;=$D61,CV$4&lt;$D61+'Incremental Repayments'!$I$31),-PMT('Interest Rate'!$J$16,'Incremental Repayments'!$I$31,(HLOOKUP($D61,$E$4:$CZ$32,28,FALSE)*'Incremental Repayments'!$I$22)),0),0)</f>
        <v>0</v>
      </c>
      <c r="CW61" s="783">
        <f>IF('Incremental Repayments'!$R$22="Debt",IF(AND(CW$4&gt;=$D61,CW$4&lt;$D61+'Incremental Repayments'!$I$31),-PMT('Interest Rate'!$J$16,'Incremental Repayments'!$I$31,(HLOOKUP($D61,$E$4:$CZ$32,28,FALSE)*'Incremental Repayments'!$I$22)),0),0)</f>
        <v>0</v>
      </c>
      <c r="CX61" s="783">
        <f>IF('Incremental Repayments'!$R$22="Debt",IF(AND(CX$4&gt;=$D61,CX$4&lt;$D61+'Incremental Repayments'!$I$31),-PMT('Interest Rate'!$J$16,'Incremental Repayments'!$I$31,(HLOOKUP($D61,$E$4:$CZ$32,28,FALSE)*'Incremental Repayments'!$I$22)),0),0)</f>
        <v>0</v>
      </c>
      <c r="CY61" s="783">
        <f>IF('Incremental Repayments'!$R$22="Debt",IF(AND(CY$4&gt;=$D61,CY$4&lt;$D61+'Incremental Repayments'!$I$31),-PMT('Interest Rate'!$J$16,'Incremental Repayments'!$I$31,(HLOOKUP($D61,$E$4:$CZ$32,28,FALSE)*'Incremental Repayments'!$I$22)),0),0)</f>
        <v>0</v>
      </c>
      <c r="CZ61" s="783">
        <f>IF('Incremental Repayments'!$R$22="Debt",IF(AND(CZ$4&gt;=$D61,CZ$4&lt;$D61+'Incremental Repayments'!$I$31),-PMT('Interest Rate'!$J$16,'Incremental Repayments'!$I$31,(HLOOKUP($D61,$E$4:$CZ$32,28,FALSE)*'Incremental Repayments'!$I$22)),0),0)</f>
        <v>0</v>
      </c>
    </row>
    <row r="62" spans="1:104" x14ac:dyDescent="0.25">
      <c r="B62" s="480" t="str">
        <f>CONCATENATE("Series ",D62,"A Bonds (at ",'Interest Rate'!$J$16*100,"% Interest)")</f>
        <v>Series 2040A Bonds (at 4.5% Interest)</v>
      </c>
      <c r="C62" s="480"/>
      <c r="D62" s="492">
        <f t="shared" si="47"/>
        <v>2040</v>
      </c>
      <c r="E62" s="783">
        <f>IF('Incremental Repayments'!$R$22="Debt",IF(AND(E$4&gt;=$D62,E$4&lt;$D62+'Incremental Repayments'!$I$31),-PMT('Interest Rate'!$J$16,'Incremental Repayments'!$I$31,(HLOOKUP($D62,$E$4:$CZ$32,28,FALSE)*'Incremental Repayments'!$I$22)),0),0)</f>
        <v>0</v>
      </c>
      <c r="F62" s="783">
        <f>IF('Incremental Repayments'!$R$22="Debt",IF(AND(F$4&gt;=$D62,F$4&lt;$D62+'Incremental Repayments'!$I$31),-PMT('Interest Rate'!$J$16,'Incremental Repayments'!$I$31,(HLOOKUP($D62,$E$4:$CZ$32,28,FALSE)*'Incremental Repayments'!$I$22)),0),0)</f>
        <v>0</v>
      </c>
      <c r="G62" s="783">
        <f>IF('Incremental Repayments'!$R$22="Debt",IF(AND(G$4&gt;=$D62,G$4&lt;$D62+'Incremental Repayments'!$I$31),-PMT('Interest Rate'!$J$16,'Incremental Repayments'!$I$31,(HLOOKUP($D62,$E$4:$CZ$32,28,FALSE)*'Incremental Repayments'!$I$22)),0),0)</f>
        <v>0</v>
      </c>
      <c r="H62" s="783">
        <f>IF('Incremental Repayments'!$R$22="Debt",IF(AND(H$4&gt;=$D62,H$4&lt;$D62+'Incremental Repayments'!$I$31),-PMT('Interest Rate'!$J$16,'Incremental Repayments'!$I$31,(HLOOKUP($D62,$E$4:$CZ$32,28,FALSE)*'Incremental Repayments'!$I$22)),0),0)</f>
        <v>0</v>
      </c>
      <c r="I62" s="783">
        <f>IF('Incremental Repayments'!$R$22="Debt",IF(AND(I$4&gt;=$D62,I$4&lt;$D62+'Incremental Repayments'!$I$31),-PMT('Interest Rate'!$J$16,'Incremental Repayments'!$I$31,(HLOOKUP($D62,$E$4:$CZ$32,28,FALSE)*'Incremental Repayments'!$I$22)),0),0)</f>
        <v>0</v>
      </c>
      <c r="J62" s="783">
        <f>IF('Incremental Repayments'!$R$22="Debt",IF(AND(J$4&gt;=$D62,J$4&lt;$D62+'Incremental Repayments'!$I$31),-PMT('Interest Rate'!$J$16,'Incremental Repayments'!$I$31,(HLOOKUP($D62,$E$4:$CZ$32,28,FALSE)*'Incremental Repayments'!$I$22)),0),0)</f>
        <v>0</v>
      </c>
      <c r="K62" s="783">
        <f>IF('Incremental Repayments'!$R$22="Debt",IF(AND(K$4&gt;=$D62,K$4&lt;$D62+'Incremental Repayments'!$I$31),-PMT('Interest Rate'!$J$16,'Incremental Repayments'!$I$31,(HLOOKUP($D62,$E$4:$CZ$32,28,FALSE)*'Incremental Repayments'!$I$22)),0),0)</f>
        <v>0</v>
      </c>
      <c r="L62" s="783">
        <f>IF('Incremental Repayments'!$R$22="Debt",IF(AND(L$4&gt;=$D62,L$4&lt;$D62+'Incremental Repayments'!$I$31),-PMT('Interest Rate'!$J$16,'Incremental Repayments'!$I$31,(HLOOKUP($D62,$E$4:$CZ$32,28,FALSE)*'Incremental Repayments'!$I$22)),0),0)</f>
        <v>0</v>
      </c>
      <c r="M62" s="783">
        <f>IF('Incremental Repayments'!$R$22="Debt",IF(AND(M$4&gt;=$D62,M$4&lt;$D62+'Incremental Repayments'!$I$31),-PMT('Interest Rate'!$J$16,'Incremental Repayments'!$I$31,(HLOOKUP($D62,$E$4:$CZ$32,28,FALSE)*'Incremental Repayments'!$I$22)),0),0)</f>
        <v>0</v>
      </c>
      <c r="N62" s="783">
        <f>IF('Incremental Repayments'!$R$22="Debt",IF(AND(N$4&gt;=$D62,N$4&lt;$D62+'Incremental Repayments'!$I$31),-PMT('Interest Rate'!$J$16,'Incremental Repayments'!$I$31,(HLOOKUP($D62,$E$4:$CZ$32,28,FALSE)*'Incremental Repayments'!$I$22)),0),0)</f>
        <v>0</v>
      </c>
      <c r="O62" s="783">
        <f>IF('Incremental Repayments'!$R$22="Debt",IF(AND(O$4&gt;=$D62,O$4&lt;$D62+'Incremental Repayments'!$I$31),-PMT('Interest Rate'!$J$16,'Incremental Repayments'!$I$31,(HLOOKUP($D62,$E$4:$CZ$32,28,FALSE)*'Incremental Repayments'!$I$22)),0),0)</f>
        <v>0</v>
      </c>
      <c r="P62" s="783">
        <f>IF('Incremental Repayments'!$R$22="Debt",IF(AND(P$4&gt;=$D62,P$4&lt;$D62+'Incremental Repayments'!$I$31),-PMT('Interest Rate'!$J$16,'Incremental Repayments'!$I$31,(HLOOKUP($D62,$E$4:$CZ$32,28,FALSE)*'Incremental Repayments'!$I$22)),0),0)</f>
        <v>0</v>
      </c>
      <c r="Q62" s="783">
        <f>IF('Incremental Repayments'!$R$22="Debt",IF(AND(Q$4&gt;=$D62,Q$4&lt;$D62+'Incremental Repayments'!$I$31),-PMT('Interest Rate'!$J$16,'Incremental Repayments'!$I$31,(HLOOKUP($D62,$E$4:$CZ$32,28,FALSE)*'Incremental Repayments'!$I$22)),0),0)</f>
        <v>0</v>
      </c>
      <c r="R62" s="783">
        <f>IF('Incremental Repayments'!$R$22="Debt",IF(AND(R$4&gt;=$D62,R$4&lt;$D62+'Incremental Repayments'!$I$31),-PMT('Interest Rate'!$J$16,'Incremental Repayments'!$I$31,(HLOOKUP($D62,$E$4:$CZ$32,28,FALSE)*'Incremental Repayments'!$I$22)),0),0)</f>
        <v>0</v>
      </c>
      <c r="S62" s="783">
        <f>IF('Incremental Repayments'!$R$22="Debt",IF(AND(S$4&gt;=$D62,S$4&lt;$D62+'Incremental Repayments'!$I$31),-PMT('Interest Rate'!$J$16,'Incremental Repayments'!$I$31,(HLOOKUP($D62,$E$4:$CZ$32,28,FALSE)*'Incremental Repayments'!$I$22)),0),0)</f>
        <v>0</v>
      </c>
      <c r="T62" s="783">
        <f>IF('Incremental Repayments'!$R$22="Debt",IF(AND(T$4&gt;=$D62,T$4&lt;$D62+'Incremental Repayments'!$I$31),-PMT('Interest Rate'!$J$16,'Incremental Repayments'!$I$31,(HLOOKUP($D62,$E$4:$CZ$32,28,FALSE)*'Incremental Repayments'!$I$22)),0),0)</f>
        <v>0</v>
      </c>
      <c r="U62" s="783">
        <f>IF('Incremental Repayments'!$R$22="Debt",IF(AND(U$4&gt;=$D62,U$4&lt;$D62+'Incremental Repayments'!$I$31),-PMT('Interest Rate'!$J$16,'Incremental Repayments'!$I$31,(HLOOKUP($D62,$E$4:$CZ$32,28,FALSE)*'Incremental Repayments'!$I$22)),0),0)</f>
        <v>0</v>
      </c>
      <c r="V62" s="783">
        <f>IF('Incremental Repayments'!$R$22="Debt",IF(AND(V$4&gt;=$D62,V$4&lt;$D62+'Incremental Repayments'!$I$31),-PMT('Interest Rate'!$J$16,'Incremental Repayments'!$I$31,(HLOOKUP($D62,$E$4:$CZ$32,28,FALSE)*'Incremental Repayments'!$I$22)),0),0)</f>
        <v>0</v>
      </c>
      <c r="W62" s="783">
        <f>IF('Incremental Repayments'!$R$22="Debt",IF(AND(W$4&gt;=$D62,W$4&lt;$D62+'Incremental Repayments'!$I$31),-PMT('Interest Rate'!$J$16,'Incremental Repayments'!$I$31,(HLOOKUP($D62,$E$4:$CZ$32,28,FALSE)*'Incremental Repayments'!$I$22)),0),0)</f>
        <v>0</v>
      </c>
      <c r="X62" s="783">
        <f>IF('Incremental Repayments'!$R$22="Debt",IF(AND(X$4&gt;=$D62,X$4&lt;$D62+'Incremental Repayments'!$I$31),-PMT('Interest Rate'!$J$16,'Incremental Repayments'!$I$31,(HLOOKUP($D62,$E$4:$CZ$32,28,FALSE)*'Incremental Repayments'!$I$22)),0),0)</f>
        <v>0</v>
      </c>
      <c r="Y62" s="783">
        <f>IF('Incremental Repayments'!$R$22="Debt",IF(AND(Y$4&gt;=$D62,Y$4&lt;$D62+'Incremental Repayments'!$I$31),-PMT('Interest Rate'!$J$16,'Incremental Repayments'!$I$31,(HLOOKUP($D62,$E$4:$CZ$32,28,FALSE)*'Incremental Repayments'!$I$22)),0),0)</f>
        <v>0</v>
      </c>
      <c r="Z62" s="783">
        <f>IF('Incremental Repayments'!$R$22="Debt",IF(AND(Z$4&gt;=$D62,Z$4&lt;$D62+'Incremental Repayments'!$I$31),-PMT('Interest Rate'!$J$16,'Incremental Repayments'!$I$31,(HLOOKUP($D62,$E$4:$CZ$32,28,FALSE)*'Incremental Repayments'!$I$22)),0),0)</f>
        <v>0</v>
      </c>
      <c r="AA62" s="783">
        <f>IF('Incremental Repayments'!$R$22="Debt",IF(AND(AA$4&gt;=$D62,AA$4&lt;$D62+'Incremental Repayments'!$I$31),-PMT('Interest Rate'!$J$16,'Incremental Repayments'!$I$31,(HLOOKUP($D62,$E$4:$CZ$32,28,FALSE)*'Incremental Repayments'!$I$22)),0),0)</f>
        <v>0</v>
      </c>
      <c r="AB62" s="783">
        <f>IF('Incremental Repayments'!$R$22="Debt",IF(AND(AB$4&gt;=$D62,AB$4&lt;$D62+'Incremental Repayments'!$I$31),-PMT('Interest Rate'!$J$16,'Incremental Repayments'!$I$31,(HLOOKUP($D62,$E$4:$CZ$32,28,FALSE)*'Incremental Repayments'!$I$22)),0),0)</f>
        <v>0</v>
      </c>
      <c r="AC62" s="783">
        <f>IF('Incremental Repayments'!$R$22="Debt",IF(AND(AC$4&gt;=$D62,AC$4&lt;$D62+'Incremental Repayments'!$I$31),-PMT('Interest Rate'!$J$16,'Incremental Repayments'!$I$31,(HLOOKUP($D62,$E$4:$CZ$32,28,FALSE)*'Incremental Repayments'!$I$22)),0),0)</f>
        <v>0</v>
      </c>
      <c r="AD62" s="783">
        <f>IF('Incremental Repayments'!$R$22="Debt",IF(AND(AD$4&gt;=$D62,AD$4&lt;$D62+'Incremental Repayments'!$I$31),-PMT('Interest Rate'!$J$16,'Incremental Repayments'!$I$31,(HLOOKUP($D62,$E$4:$CZ$32,28,FALSE)*'Incremental Repayments'!$I$22)),0),0)</f>
        <v>0</v>
      </c>
      <c r="AE62" s="783">
        <f>IF('Incremental Repayments'!$R$22="Debt",IF(AND(AE$4&gt;=$D62,AE$4&lt;$D62+'Incremental Repayments'!$I$31),-PMT('Interest Rate'!$J$16,'Incremental Repayments'!$I$31,(HLOOKUP($D62,$E$4:$CZ$32,28,FALSE)*'Incremental Repayments'!$I$22)),0),0)</f>
        <v>8225201.9528154656</v>
      </c>
      <c r="AF62" s="783">
        <f>IF('Incremental Repayments'!$R$22="Debt",IF(AND(AF$4&gt;=$D62,AF$4&lt;$D62+'Incremental Repayments'!$I$31),-PMT('Interest Rate'!$J$16,'Incremental Repayments'!$I$31,(HLOOKUP($D62,$E$4:$CZ$32,28,FALSE)*'Incremental Repayments'!$I$22)),0),0)</f>
        <v>8225201.9528154656</v>
      </c>
      <c r="AG62" s="783">
        <f>IF('Incremental Repayments'!$R$22="Debt",IF(AND(AG$4&gt;=$D62,AG$4&lt;$D62+'Incremental Repayments'!$I$31),-PMT('Interest Rate'!$J$16,'Incremental Repayments'!$I$31,(HLOOKUP($D62,$E$4:$CZ$32,28,FALSE)*'Incremental Repayments'!$I$22)),0),0)</f>
        <v>8225201.9528154656</v>
      </c>
      <c r="AH62" s="783">
        <f>IF('Incremental Repayments'!$R$22="Debt",IF(AND(AH$4&gt;=$D62,AH$4&lt;$D62+'Incremental Repayments'!$I$31),-PMT('Interest Rate'!$J$16,'Incremental Repayments'!$I$31,(HLOOKUP($D62,$E$4:$CZ$32,28,FALSE)*'Incremental Repayments'!$I$22)),0),0)</f>
        <v>8225201.9528154656</v>
      </c>
      <c r="AI62" s="783">
        <f>IF('Incremental Repayments'!$R$22="Debt",IF(AND(AI$4&gt;=$D62,AI$4&lt;$D62+'Incremental Repayments'!$I$31),-PMT('Interest Rate'!$J$16,'Incremental Repayments'!$I$31,(HLOOKUP($D62,$E$4:$CZ$32,28,FALSE)*'Incremental Repayments'!$I$22)),0),0)</f>
        <v>8225201.9528154656</v>
      </c>
      <c r="AJ62" s="783">
        <f>IF('Incremental Repayments'!$R$22="Debt",IF(AND(AJ$4&gt;=$D62,AJ$4&lt;$D62+'Incremental Repayments'!$I$31),-PMT('Interest Rate'!$J$16,'Incremental Repayments'!$I$31,(HLOOKUP($D62,$E$4:$CZ$32,28,FALSE)*'Incremental Repayments'!$I$22)),0),0)</f>
        <v>8225201.9528154656</v>
      </c>
      <c r="AK62" s="783">
        <f>IF('Incremental Repayments'!$R$22="Debt",IF(AND(AK$4&gt;=$D62,AK$4&lt;$D62+'Incremental Repayments'!$I$31),-PMT('Interest Rate'!$J$16,'Incremental Repayments'!$I$31,(HLOOKUP($D62,$E$4:$CZ$32,28,FALSE)*'Incremental Repayments'!$I$22)),0),0)</f>
        <v>8225201.9528154656</v>
      </c>
      <c r="AL62" s="783">
        <f>IF('Incremental Repayments'!$R$22="Debt",IF(AND(AL$4&gt;=$D62,AL$4&lt;$D62+'Incremental Repayments'!$I$31),-PMT('Interest Rate'!$J$16,'Incremental Repayments'!$I$31,(HLOOKUP($D62,$E$4:$CZ$32,28,FALSE)*'Incremental Repayments'!$I$22)),0),0)</f>
        <v>8225201.9528154656</v>
      </c>
      <c r="AM62" s="783">
        <f>IF('Incremental Repayments'!$R$22="Debt",IF(AND(AM$4&gt;=$D62,AM$4&lt;$D62+'Incremental Repayments'!$I$31),-PMT('Interest Rate'!$J$16,'Incremental Repayments'!$I$31,(HLOOKUP($D62,$E$4:$CZ$32,28,FALSE)*'Incremental Repayments'!$I$22)),0),0)</f>
        <v>8225201.9528154656</v>
      </c>
      <c r="AN62" s="783">
        <f>IF('Incremental Repayments'!$R$22="Debt",IF(AND(AN$4&gt;=$D62,AN$4&lt;$D62+'Incremental Repayments'!$I$31),-PMT('Interest Rate'!$J$16,'Incremental Repayments'!$I$31,(HLOOKUP($D62,$E$4:$CZ$32,28,FALSE)*'Incremental Repayments'!$I$22)),0),0)</f>
        <v>8225201.9528154656</v>
      </c>
      <c r="AO62" s="783">
        <f>IF('Incremental Repayments'!$R$22="Debt",IF(AND(AO$4&gt;=$D62,AO$4&lt;$D62+'Incremental Repayments'!$I$31),-PMT('Interest Rate'!$J$16,'Incremental Repayments'!$I$31,(HLOOKUP($D62,$E$4:$CZ$32,28,FALSE)*'Incremental Repayments'!$I$22)),0),0)</f>
        <v>8225201.9528154656</v>
      </c>
      <c r="AP62" s="783">
        <f>IF('Incremental Repayments'!$R$22="Debt",IF(AND(AP$4&gt;=$D62,AP$4&lt;$D62+'Incremental Repayments'!$I$31),-PMT('Interest Rate'!$J$16,'Incremental Repayments'!$I$31,(HLOOKUP($D62,$E$4:$CZ$32,28,FALSE)*'Incremental Repayments'!$I$22)),0),0)</f>
        <v>8225201.9528154656</v>
      </c>
      <c r="AQ62" s="783">
        <f>IF('Incremental Repayments'!$R$22="Debt",IF(AND(AQ$4&gt;=$D62,AQ$4&lt;$D62+'Incremental Repayments'!$I$31),-PMT('Interest Rate'!$J$16,'Incremental Repayments'!$I$31,(HLOOKUP($D62,$E$4:$CZ$32,28,FALSE)*'Incremental Repayments'!$I$22)),0),0)</f>
        <v>8225201.9528154656</v>
      </c>
      <c r="AR62" s="783">
        <f>IF('Incremental Repayments'!$R$22="Debt",IF(AND(AR$4&gt;=$D62,AR$4&lt;$D62+'Incremental Repayments'!$I$31),-PMT('Interest Rate'!$J$16,'Incremental Repayments'!$I$31,(HLOOKUP($D62,$E$4:$CZ$32,28,FALSE)*'Incremental Repayments'!$I$22)),0),0)</f>
        <v>8225201.9528154656</v>
      </c>
      <c r="AS62" s="783">
        <f>IF('Incremental Repayments'!$R$22="Debt",IF(AND(AS$4&gt;=$D62,AS$4&lt;$D62+'Incremental Repayments'!$I$31),-PMT('Interest Rate'!$J$16,'Incremental Repayments'!$I$31,(HLOOKUP($D62,$E$4:$CZ$32,28,FALSE)*'Incremental Repayments'!$I$22)),0),0)</f>
        <v>8225201.9528154656</v>
      </c>
      <c r="AT62" s="783">
        <f>IF('Incremental Repayments'!$R$22="Debt",IF(AND(AT$4&gt;=$D62,AT$4&lt;$D62+'Incremental Repayments'!$I$31),-PMT('Interest Rate'!$J$16,'Incremental Repayments'!$I$31,(HLOOKUP($D62,$E$4:$CZ$32,28,FALSE)*'Incremental Repayments'!$I$22)),0),0)</f>
        <v>8225201.9528154656</v>
      </c>
      <c r="AU62" s="783">
        <f>IF('Incremental Repayments'!$R$22="Debt",IF(AND(AU$4&gt;=$D62,AU$4&lt;$D62+'Incremental Repayments'!$I$31),-PMT('Interest Rate'!$J$16,'Incremental Repayments'!$I$31,(HLOOKUP($D62,$E$4:$CZ$32,28,FALSE)*'Incremental Repayments'!$I$22)),0),0)</f>
        <v>8225201.9528154656</v>
      </c>
      <c r="AV62" s="783">
        <f>IF('Incremental Repayments'!$R$22="Debt",IF(AND(AV$4&gt;=$D62,AV$4&lt;$D62+'Incremental Repayments'!$I$31),-PMT('Interest Rate'!$J$16,'Incremental Repayments'!$I$31,(HLOOKUP($D62,$E$4:$CZ$32,28,FALSE)*'Incremental Repayments'!$I$22)),0),0)</f>
        <v>8225201.9528154656</v>
      </c>
      <c r="AW62" s="783">
        <f>IF('Incremental Repayments'!$R$22="Debt",IF(AND(AW$4&gt;=$D62,AW$4&lt;$D62+'Incremental Repayments'!$I$31),-PMT('Interest Rate'!$J$16,'Incremental Repayments'!$I$31,(HLOOKUP($D62,$E$4:$CZ$32,28,FALSE)*'Incremental Repayments'!$I$22)),0),0)</f>
        <v>8225201.9528154656</v>
      </c>
      <c r="AX62" s="783">
        <f>IF('Incremental Repayments'!$R$22="Debt",IF(AND(AX$4&gt;=$D62,AX$4&lt;$D62+'Incremental Repayments'!$I$31),-PMT('Interest Rate'!$J$16,'Incremental Repayments'!$I$31,(HLOOKUP($D62,$E$4:$CZ$32,28,FALSE)*'Incremental Repayments'!$I$22)),0),0)</f>
        <v>8225201.9528154656</v>
      </c>
      <c r="AY62" s="783">
        <f>IF('Incremental Repayments'!$R$22="Debt",IF(AND(AY$4&gt;=$D62,AY$4&lt;$D62+'Incremental Repayments'!$I$31),-PMT('Interest Rate'!$J$16,'Incremental Repayments'!$I$31,(HLOOKUP($D62,$E$4:$CZ$32,28,FALSE)*'Incremental Repayments'!$I$22)),0),0)</f>
        <v>8225201.9528154656</v>
      </c>
      <c r="AZ62" s="783">
        <f>IF('Incremental Repayments'!$R$22="Debt",IF(AND(AZ$4&gt;=$D62,AZ$4&lt;$D62+'Incremental Repayments'!$I$31),-PMT('Interest Rate'!$J$16,'Incremental Repayments'!$I$31,(HLOOKUP($D62,$E$4:$CZ$32,28,FALSE)*'Incremental Repayments'!$I$22)),0),0)</f>
        <v>8225201.9528154656</v>
      </c>
      <c r="BA62" s="783">
        <f>IF('Incremental Repayments'!$R$22="Debt",IF(AND(BA$4&gt;=$D62,BA$4&lt;$D62+'Incremental Repayments'!$I$31),-PMT('Interest Rate'!$J$16,'Incremental Repayments'!$I$31,(HLOOKUP($D62,$E$4:$CZ$32,28,FALSE)*'Incremental Repayments'!$I$22)),0),0)</f>
        <v>8225201.9528154656</v>
      </c>
      <c r="BB62" s="783">
        <f>IF('Incremental Repayments'!$R$22="Debt",IF(AND(BB$4&gt;=$D62,BB$4&lt;$D62+'Incremental Repayments'!$I$31),-PMT('Interest Rate'!$J$16,'Incremental Repayments'!$I$31,(HLOOKUP($D62,$E$4:$CZ$32,28,FALSE)*'Incremental Repayments'!$I$22)),0),0)</f>
        <v>8225201.9528154656</v>
      </c>
      <c r="BC62" s="783">
        <f>IF('Incremental Repayments'!$R$22="Debt",IF(AND(BC$4&gt;=$D62,BC$4&lt;$D62+'Incremental Repayments'!$I$31),-PMT('Interest Rate'!$J$16,'Incremental Repayments'!$I$31,(HLOOKUP($D62,$E$4:$CZ$32,28,FALSE)*'Incremental Repayments'!$I$22)),0),0)</f>
        <v>8225201.9528154656</v>
      </c>
      <c r="BD62" s="783">
        <f>IF('Incremental Repayments'!$R$22="Debt",IF(AND(BD$4&gt;=$D62,BD$4&lt;$D62+'Incremental Repayments'!$I$31),-PMT('Interest Rate'!$J$16,'Incremental Repayments'!$I$31,(HLOOKUP($D62,$E$4:$CZ$32,28,FALSE)*'Incremental Repayments'!$I$22)),0),0)</f>
        <v>8225201.9528154656</v>
      </c>
      <c r="BE62" s="783">
        <f>IF('Incremental Repayments'!$R$22="Debt",IF(AND(BE$4&gt;=$D62,BE$4&lt;$D62+'Incremental Repayments'!$I$31),-PMT('Interest Rate'!$J$16,'Incremental Repayments'!$I$31,(HLOOKUP($D62,$E$4:$CZ$32,28,FALSE)*'Incremental Repayments'!$I$22)),0),0)</f>
        <v>8225201.9528154656</v>
      </c>
      <c r="BF62" s="783">
        <f>IF('Incremental Repayments'!$R$22="Debt",IF(AND(BF$4&gt;=$D62,BF$4&lt;$D62+'Incremental Repayments'!$I$31),-PMT('Interest Rate'!$J$16,'Incremental Repayments'!$I$31,(HLOOKUP($D62,$E$4:$CZ$32,28,FALSE)*'Incremental Repayments'!$I$22)),0),0)</f>
        <v>8225201.9528154656</v>
      </c>
      <c r="BG62" s="783">
        <f>IF('Incremental Repayments'!$R$22="Debt",IF(AND(BG$4&gt;=$D62,BG$4&lt;$D62+'Incremental Repayments'!$I$31),-PMT('Interest Rate'!$J$16,'Incremental Repayments'!$I$31,(HLOOKUP($D62,$E$4:$CZ$32,28,FALSE)*'Incremental Repayments'!$I$22)),0),0)</f>
        <v>8225201.9528154656</v>
      </c>
      <c r="BH62" s="783">
        <f>IF('Incremental Repayments'!$R$22="Debt",IF(AND(BH$4&gt;=$D62,BH$4&lt;$D62+'Incremental Repayments'!$I$31),-PMT('Interest Rate'!$J$16,'Incremental Repayments'!$I$31,(HLOOKUP($D62,$E$4:$CZ$32,28,FALSE)*'Incremental Repayments'!$I$22)),0),0)</f>
        <v>8225201.9528154656</v>
      </c>
      <c r="BI62" s="783">
        <f>IF('Incremental Repayments'!$R$22="Debt",IF(AND(BI$4&gt;=$D62,BI$4&lt;$D62+'Incremental Repayments'!$I$31),-PMT('Interest Rate'!$J$16,'Incremental Repayments'!$I$31,(HLOOKUP($D62,$E$4:$CZ$32,28,FALSE)*'Incremental Repayments'!$I$22)),0),0)</f>
        <v>0</v>
      </c>
      <c r="BJ62" s="783">
        <f>IF('Incremental Repayments'!$R$22="Debt",IF(AND(BJ$4&gt;=$D62,BJ$4&lt;$D62+'Incremental Repayments'!$I$31),-PMT('Interest Rate'!$J$16,'Incremental Repayments'!$I$31,(HLOOKUP($D62,$E$4:$CZ$32,28,FALSE)*'Incremental Repayments'!$I$22)),0),0)</f>
        <v>0</v>
      </c>
      <c r="BK62" s="783">
        <f>IF('Incremental Repayments'!$R$22="Debt",IF(AND(BK$4&gt;=$D62,BK$4&lt;$D62+'Incremental Repayments'!$I$31),-PMT('Interest Rate'!$J$16,'Incremental Repayments'!$I$31,(HLOOKUP($D62,$E$4:$CZ$32,28,FALSE)*'Incremental Repayments'!$I$22)),0),0)</f>
        <v>0</v>
      </c>
      <c r="BL62" s="783">
        <f>IF('Incremental Repayments'!$R$22="Debt",IF(AND(BL$4&gt;=$D62,BL$4&lt;$D62+'Incremental Repayments'!$I$31),-PMT('Interest Rate'!$J$16,'Incremental Repayments'!$I$31,(HLOOKUP($D62,$E$4:$CZ$32,28,FALSE)*'Incremental Repayments'!$I$22)),0),0)</f>
        <v>0</v>
      </c>
      <c r="BM62" s="783">
        <f>IF('Incremental Repayments'!$R$22="Debt",IF(AND(BM$4&gt;=$D62,BM$4&lt;$D62+'Incremental Repayments'!$I$31),-PMT('Interest Rate'!$J$16,'Incremental Repayments'!$I$31,(HLOOKUP($D62,$E$4:$CZ$32,28,FALSE)*'Incremental Repayments'!$I$22)),0),0)</f>
        <v>0</v>
      </c>
      <c r="BN62" s="783">
        <f>IF('Incremental Repayments'!$R$22="Debt",IF(AND(BN$4&gt;=$D62,BN$4&lt;$D62+'Incremental Repayments'!$I$31),-PMT('Interest Rate'!$J$16,'Incremental Repayments'!$I$31,(HLOOKUP($D62,$E$4:$CZ$32,28,FALSE)*'Incremental Repayments'!$I$22)),0),0)</f>
        <v>0</v>
      </c>
      <c r="BO62" s="783">
        <f>IF('Incremental Repayments'!$R$22="Debt",IF(AND(BO$4&gt;=$D62,BO$4&lt;$D62+'Incremental Repayments'!$I$31),-PMT('Interest Rate'!$J$16,'Incremental Repayments'!$I$31,(HLOOKUP($D62,$E$4:$CZ$32,28,FALSE)*'Incremental Repayments'!$I$22)),0),0)</f>
        <v>0</v>
      </c>
      <c r="BP62" s="783">
        <f>IF('Incremental Repayments'!$R$22="Debt",IF(AND(BP$4&gt;=$D62,BP$4&lt;$D62+'Incremental Repayments'!$I$31),-PMT('Interest Rate'!$J$16,'Incremental Repayments'!$I$31,(HLOOKUP($D62,$E$4:$CZ$32,28,FALSE)*'Incremental Repayments'!$I$22)),0),0)</f>
        <v>0</v>
      </c>
      <c r="BQ62" s="783">
        <f>IF('Incremental Repayments'!$R$22="Debt",IF(AND(BQ$4&gt;=$D62,BQ$4&lt;$D62+'Incremental Repayments'!$I$31),-PMT('Interest Rate'!$J$16,'Incremental Repayments'!$I$31,(HLOOKUP($D62,$E$4:$CZ$32,28,FALSE)*'Incremental Repayments'!$I$22)),0),0)</f>
        <v>0</v>
      </c>
      <c r="BR62" s="783">
        <f>IF('Incremental Repayments'!$R$22="Debt",IF(AND(BR$4&gt;=$D62,BR$4&lt;$D62+'Incremental Repayments'!$I$31),-PMT('Interest Rate'!$J$16,'Incremental Repayments'!$I$31,(HLOOKUP($D62,$E$4:$CZ$32,28,FALSE)*'Incremental Repayments'!$I$22)),0),0)</f>
        <v>0</v>
      </c>
      <c r="BS62" s="783">
        <f>IF('Incremental Repayments'!$R$22="Debt",IF(AND(BS$4&gt;=$D62,BS$4&lt;$D62+'Incremental Repayments'!$I$31),-PMT('Interest Rate'!$J$16,'Incremental Repayments'!$I$31,(HLOOKUP($D62,$E$4:$CZ$32,28,FALSE)*'Incremental Repayments'!$I$22)),0),0)</f>
        <v>0</v>
      </c>
      <c r="BT62" s="783">
        <f>IF('Incremental Repayments'!$R$22="Debt",IF(AND(BT$4&gt;=$D62,BT$4&lt;$D62+'Incremental Repayments'!$I$31),-PMT('Interest Rate'!$J$16,'Incremental Repayments'!$I$31,(HLOOKUP($D62,$E$4:$CZ$32,28,FALSE)*'Incremental Repayments'!$I$22)),0),0)</f>
        <v>0</v>
      </c>
      <c r="BU62" s="783">
        <f>IF('Incremental Repayments'!$R$22="Debt",IF(AND(BU$4&gt;=$D62,BU$4&lt;$D62+'Incremental Repayments'!$I$31),-PMT('Interest Rate'!$J$16,'Incremental Repayments'!$I$31,(HLOOKUP($D62,$E$4:$CZ$32,28,FALSE)*'Incremental Repayments'!$I$22)),0),0)</f>
        <v>0</v>
      </c>
      <c r="BV62" s="783">
        <f>IF('Incremental Repayments'!$R$22="Debt",IF(AND(BV$4&gt;=$D62,BV$4&lt;$D62+'Incremental Repayments'!$I$31),-PMT('Interest Rate'!$J$16,'Incremental Repayments'!$I$31,(HLOOKUP($D62,$E$4:$CZ$32,28,FALSE)*'Incremental Repayments'!$I$22)),0),0)</f>
        <v>0</v>
      </c>
      <c r="BW62" s="783">
        <f>IF('Incremental Repayments'!$R$22="Debt",IF(AND(BW$4&gt;=$D62,BW$4&lt;$D62+'Incremental Repayments'!$I$31),-PMT('Interest Rate'!$J$16,'Incremental Repayments'!$I$31,(HLOOKUP($D62,$E$4:$CZ$32,28,FALSE)*'Incremental Repayments'!$I$22)),0),0)</f>
        <v>0</v>
      </c>
      <c r="BX62" s="783">
        <f>IF('Incremental Repayments'!$R$22="Debt",IF(AND(BX$4&gt;=$D62,BX$4&lt;$D62+'Incremental Repayments'!$I$31),-PMT('Interest Rate'!$J$16,'Incremental Repayments'!$I$31,(HLOOKUP($D62,$E$4:$CZ$32,28,FALSE)*'Incremental Repayments'!$I$22)),0),0)</f>
        <v>0</v>
      </c>
      <c r="BY62" s="783">
        <f>IF('Incremental Repayments'!$R$22="Debt",IF(AND(BY$4&gt;=$D62,BY$4&lt;$D62+'Incremental Repayments'!$I$31),-PMT('Interest Rate'!$J$16,'Incremental Repayments'!$I$31,(HLOOKUP($D62,$E$4:$CZ$32,28,FALSE)*'Incremental Repayments'!$I$22)),0),0)</f>
        <v>0</v>
      </c>
      <c r="BZ62" s="783">
        <f>IF('Incremental Repayments'!$R$22="Debt",IF(AND(BZ$4&gt;=$D62,BZ$4&lt;$D62+'Incremental Repayments'!$I$31),-PMT('Interest Rate'!$J$16,'Incremental Repayments'!$I$31,(HLOOKUP($D62,$E$4:$CZ$32,28,FALSE)*'Incremental Repayments'!$I$22)),0),0)</f>
        <v>0</v>
      </c>
      <c r="CA62" s="783">
        <f>IF('Incremental Repayments'!$R$22="Debt",IF(AND(CA$4&gt;=$D62,CA$4&lt;$D62+'Incremental Repayments'!$I$31),-PMT('Interest Rate'!$J$16,'Incremental Repayments'!$I$31,(HLOOKUP($D62,$E$4:$CZ$32,28,FALSE)*'Incremental Repayments'!$I$22)),0),0)</f>
        <v>0</v>
      </c>
      <c r="CB62" s="783">
        <f>IF('Incremental Repayments'!$R$22="Debt",IF(AND(CB$4&gt;=$D62,CB$4&lt;$D62+'Incremental Repayments'!$I$31),-PMT('Interest Rate'!$J$16,'Incremental Repayments'!$I$31,(HLOOKUP($D62,$E$4:$CZ$32,28,FALSE)*'Incremental Repayments'!$I$22)),0),0)</f>
        <v>0</v>
      </c>
      <c r="CC62" s="783">
        <f>IF('Incremental Repayments'!$R$22="Debt",IF(AND(CC$4&gt;=$D62,CC$4&lt;$D62+'Incremental Repayments'!$I$31),-PMT('Interest Rate'!$J$16,'Incremental Repayments'!$I$31,(HLOOKUP($D62,$E$4:$CZ$32,28,FALSE)*'Incremental Repayments'!$I$22)),0),0)</f>
        <v>0</v>
      </c>
      <c r="CD62" s="783">
        <f>IF('Incremental Repayments'!$R$22="Debt",IF(AND(CD$4&gt;=$D62,CD$4&lt;$D62+'Incremental Repayments'!$I$31),-PMT('Interest Rate'!$J$16,'Incremental Repayments'!$I$31,(HLOOKUP($D62,$E$4:$CZ$32,28,FALSE)*'Incremental Repayments'!$I$22)),0),0)</f>
        <v>0</v>
      </c>
      <c r="CE62" s="783">
        <f>IF('Incremental Repayments'!$R$22="Debt",IF(AND(CE$4&gt;=$D62,CE$4&lt;$D62+'Incremental Repayments'!$I$31),-PMT('Interest Rate'!$J$16,'Incremental Repayments'!$I$31,(HLOOKUP($D62,$E$4:$CZ$32,28,FALSE)*'Incremental Repayments'!$I$22)),0),0)</f>
        <v>0</v>
      </c>
      <c r="CF62" s="783">
        <f>IF('Incremental Repayments'!$R$22="Debt",IF(AND(CF$4&gt;=$D62,CF$4&lt;$D62+'Incremental Repayments'!$I$31),-PMT('Interest Rate'!$J$16,'Incremental Repayments'!$I$31,(HLOOKUP($D62,$E$4:$CZ$32,28,FALSE)*'Incremental Repayments'!$I$22)),0),0)</f>
        <v>0</v>
      </c>
      <c r="CG62" s="783">
        <f>IF('Incremental Repayments'!$R$22="Debt",IF(AND(CG$4&gt;=$D62,CG$4&lt;$D62+'Incremental Repayments'!$I$31),-PMT('Interest Rate'!$J$16,'Incremental Repayments'!$I$31,(HLOOKUP($D62,$E$4:$CZ$32,28,FALSE)*'Incremental Repayments'!$I$22)),0),0)</f>
        <v>0</v>
      </c>
      <c r="CH62" s="783">
        <f>IF('Incremental Repayments'!$R$22="Debt",IF(AND(CH$4&gt;=$D62,CH$4&lt;$D62+'Incremental Repayments'!$I$31),-PMT('Interest Rate'!$J$16,'Incremental Repayments'!$I$31,(HLOOKUP($D62,$E$4:$CZ$32,28,FALSE)*'Incremental Repayments'!$I$22)),0),0)</f>
        <v>0</v>
      </c>
      <c r="CI62" s="783">
        <f>IF('Incremental Repayments'!$R$22="Debt",IF(AND(CI$4&gt;=$D62,CI$4&lt;$D62+'Incremental Repayments'!$I$31),-PMT('Interest Rate'!$J$16,'Incremental Repayments'!$I$31,(HLOOKUP($D62,$E$4:$CZ$32,28,FALSE)*'Incremental Repayments'!$I$22)),0),0)</f>
        <v>0</v>
      </c>
      <c r="CJ62" s="783">
        <f>IF('Incremental Repayments'!$R$22="Debt",IF(AND(CJ$4&gt;=$D62,CJ$4&lt;$D62+'Incremental Repayments'!$I$31),-PMT('Interest Rate'!$J$16,'Incremental Repayments'!$I$31,(HLOOKUP($D62,$E$4:$CZ$32,28,FALSE)*'Incremental Repayments'!$I$22)),0),0)</f>
        <v>0</v>
      </c>
      <c r="CK62" s="783">
        <f>IF('Incremental Repayments'!$R$22="Debt",IF(AND(CK$4&gt;=$D62,CK$4&lt;$D62+'Incremental Repayments'!$I$31),-PMT('Interest Rate'!$J$16,'Incremental Repayments'!$I$31,(HLOOKUP($D62,$E$4:$CZ$32,28,FALSE)*'Incremental Repayments'!$I$22)),0),0)</f>
        <v>0</v>
      </c>
      <c r="CL62" s="783">
        <f>IF('Incremental Repayments'!$R$22="Debt",IF(AND(CL$4&gt;=$D62,CL$4&lt;$D62+'Incremental Repayments'!$I$31),-PMT('Interest Rate'!$J$16,'Incremental Repayments'!$I$31,(HLOOKUP($D62,$E$4:$CZ$32,28,FALSE)*'Incremental Repayments'!$I$22)),0),0)</f>
        <v>0</v>
      </c>
      <c r="CM62" s="783">
        <f>IF('Incremental Repayments'!$R$22="Debt",IF(AND(CM$4&gt;=$D62,CM$4&lt;$D62+'Incremental Repayments'!$I$31),-PMT('Interest Rate'!$J$16,'Incremental Repayments'!$I$31,(HLOOKUP($D62,$E$4:$CZ$32,28,FALSE)*'Incremental Repayments'!$I$22)),0),0)</f>
        <v>0</v>
      </c>
      <c r="CN62" s="783">
        <f>IF('Incremental Repayments'!$R$22="Debt",IF(AND(CN$4&gt;=$D62,CN$4&lt;$D62+'Incremental Repayments'!$I$31),-PMT('Interest Rate'!$J$16,'Incremental Repayments'!$I$31,(HLOOKUP($D62,$E$4:$CZ$32,28,FALSE)*'Incremental Repayments'!$I$22)),0),0)</f>
        <v>0</v>
      </c>
      <c r="CO62" s="783">
        <f>IF('Incremental Repayments'!$R$22="Debt",IF(AND(CO$4&gt;=$D62,CO$4&lt;$D62+'Incremental Repayments'!$I$31),-PMT('Interest Rate'!$J$16,'Incremental Repayments'!$I$31,(HLOOKUP($D62,$E$4:$CZ$32,28,FALSE)*'Incremental Repayments'!$I$22)),0),0)</f>
        <v>0</v>
      </c>
      <c r="CP62" s="783">
        <f>IF('Incremental Repayments'!$R$22="Debt",IF(AND(CP$4&gt;=$D62,CP$4&lt;$D62+'Incremental Repayments'!$I$31),-PMT('Interest Rate'!$J$16,'Incremental Repayments'!$I$31,(HLOOKUP($D62,$E$4:$CZ$32,28,FALSE)*'Incremental Repayments'!$I$22)),0),0)</f>
        <v>0</v>
      </c>
      <c r="CQ62" s="783">
        <f>IF('Incremental Repayments'!$R$22="Debt",IF(AND(CQ$4&gt;=$D62,CQ$4&lt;$D62+'Incremental Repayments'!$I$31),-PMT('Interest Rate'!$J$16,'Incremental Repayments'!$I$31,(HLOOKUP($D62,$E$4:$CZ$32,28,FALSE)*'Incremental Repayments'!$I$22)),0),0)</f>
        <v>0</v>
      </c>
      <c r="CR62" s="783">
        <f>IF('Incremental Repayments'!$R$22="Debt",IF(AND(CR$4&gt;=$D62,CR$4&lt;$D62+'Incremental Repayments'!$I$31),-PMT('Interest Rate'!$J$16,'Incremental Repayments'!$I$31,(HLOOKUP($D62,$E$4:$CZ$32,28,FALSE)*'Incremental Repayments'!$I$22)),0),0)</f>
        <v>0</v>
      </c>
      <c r="CS62" s="783">
        <f>IF('Incremental Repayments'!$R$22="Debt",IF(AND(CS$4&gt;=$D62,CS$4&lt;$D62+'Incremental Repayments'!$I$31),-PMT('Interest Rate'!$J$16,'Incremental Repayments'!$I$31,(HLOOKUP($D62,$E$4:$CZ$32,28,FALSE)*'Incremental Repayments'!$I$22)),0),0)</f>
        <v>0</v>
      </c>
      <c r="CT62" s="783">
        <f>IF('Incremental Repayments'!$R$22="Debt",IF(AND(CT$4&gt;=$D62,CT$4&lt;$D62+'Incremental Repayments'!$I$31),-PMT('Interest Rate'!$J$16,'Incremental Repayments'!$I$31,(HLOOKUP($D62,$E$4:$CZ$32,28,FALSE)*'Incremental Repayments'!$I$22)),0),0)</f>
        <v>0</v>
      </c>
      <c r="CU62" s="783">
        <f>IF('Incremental Repayments'!$R$22="Debt",IF(AND(CU$4&gt;=$D62,CU$4&lt;$D62+'Incremental Repayments'!$I$31),-PMT('Interest Rate'!$J$16,'Incremental Repayments'!$I$31,(HLOOKUP($D62,$E$4:$CZ$32,28,FALSE)*'Incremental Repayments'!$I$22)),0),0)</f>
        <v>0</v>
      </c>
      <c r="CV62" s="783">
        <f>IF('Incremental Repayments'!$R$22="Debt",IF(AND(CV$4&gt;=$D62,CV$4&lt;$D62+'Incremental Repayments'!$I$31),-PMT('Interest Rate'!$J$16,'Incremental Repayments'!$I$31,(HLOOKUP($D62,$E$4:$CZ$32,28,FALSE)*'Incremental Repayments'!$I$22)),0),0)</f>
        <v>0</v>
      </c>
      <c r="CW62" s="783">
        <f>IF('Incremental Repayments'!$R$22="Debt",IF(AND(CW$4&gt;=$D62,CW$4&lt;$D62+'Incremental Repayments'!$I$31),-PMT('Interest Rate'!$J$16,'Incremental Repayments'!$I$31,(HLOOKUP($D62,$E$4:$CZ$32,28,FALSE)*'Incremental Repayments'!$I$22)),0),0)</f>
        <v>0</v>
      </c>
      <c r="CX62" s="783">
        <f>IF('Incremental Repayments'!$R$22="Debt",IF(AND(CX$4&gt;=$D62,CX$4&lt;$D62+'Incremental Repayments'!$I$31),-PMT('Interest Rate'!$J$16,'Incremental Repayments'!$I$31,(HLOOKUP($D62,$E$4:$CZ$32,28,FALSE)*'Incremental Repayments'!$I$22)),0),0)</f>
        <v>0</v>
      </c>
      <c r="CY62" s="783">
        <f>IF('Incremental Repayments'!$R$22="Debt",IF(AND(CY$4&gt;=$D62,CY$4&lt;$D62+'Incremental Repayments'!$I$31),-PMT('Interest Rate'!$J$16,'Incremental Repayments'!$I$31,(HLOOKUP($D62,$E$4:$CZ$32,28,FALSE)*'Incremental Repayments'!$I$22)),0),0)</f>
        <v>0</v>
      </c>
      <c r="CZ62" s="783">
        <f>IF('Incremental Repayments'!$R$22="Debt",IF(AND(CZ$4&gt;=$D62,CZ$4&lt;$D62+'Incremental Repayments'!$I$31),-PMT('Interest Rate'!$J$16,'Incremental Repayments'!$I$31,(HLOOKUP($D62,$E$4:$CZ$32,28,FALSE)*'Incremental Repayments'!$I$22)),0),0)</f>
        <v>0</v>
      </c>
    </row>
    <row r="63" spans="1:104" x14ac:dyDescent="0.25">
      <c r="B63" s="480" t="str">
        <f>CONCATENATE("Series ",D63,"A Bonds (at ",'Interest Rate'!$J$16*100,"% Interest)")</f>
        <v>Series 2041A Bonds (at 4.5% Interest)</v>
      </c>
      <c r="C63" s="480"/>
      <c r="D63" s="492">
        <f t="shared" si="47"/>
        <v>2041</v>
      </c>
      <c r="E63" s="783">
        <f>IF('Incremental Repayments'!$R$22="Debt",IF(AND(E$4&gt;=$D63,E$4&lt;$D63+'Incremental Repayments'!$I$31),-PMT('Interest Rate'!$J$16,'Incremental Repayments'!$I$31,(HLOOKUP($D63,$E$4:$CZ$32,28,FALSE)*'Incremental Repayments'!$I$22)),0),0)</f>
        <v>0</v>
      </c>
      <c r="F63" s="783">
        <f>IF('Incremental Repayments'!$R$22="Debt",IF(AND(F$4&gt;=$D63,F$4&lt;$D63+'Incremental Repayments'!$I$31),-PMT('Interest Rate'!$J$16,'Incremental Repayments'!$I$31,(HLOOKUP($D63,$E$4:$CZ$32,28,FALSE)*'Incremental Repayments'!$I$22)),0),0)</f>
        <v>0</v>
      </c>
      <c r="G63" s="783">
        <f>IF('Incremental Repayments'!$R$22="Debt",IF(AND(G$4&gt;=$D63,G$4&lt;$D63+'Incremental Repayments'!$I$31),-PMT('Interest Rate'!$J$16,'Incremental Repayments'!$I$31,(HLOOKUP($D63,$E$4:$CZ$32,28,FALSE)*'Incremental Repayments'!$I$22)),0),0)</f>
        <v>0</v>
      </c>
      <c r="H63" s="783">
        <f>IF('Incremental Repayments'!$R$22="Debt",IF(AND(H$4&gt;=$D63,H$4&lt;$D63+'Incremental Repayments'!$I$31),-PMT('Interest Rate'!$J$16,'Incremental Repayments'!$I$31,(HLOOKUP($D63,$E$4:$CZ$32,28,FALSE)*'Incremental Repayments'!$I$22)),0),0)</f>
        <v>0</v>
      </c>
      <c r="I63" s="783">
        <f>IF('Incremental Repayments'!$R$22="Debt",IF(AND(I$4&gt;=$D63,I$4&lt;$D63+'Incremental Repayments'!$I$31),-PMT('Interest Rate'!$J$16,'Incremental Repayments'!$I$31,(HLOOKUP($D63,$E$4:$CZ$32,28,FALSE)*'Incremental Repayments'!$I$22)),0),0)</f>
        <v>0</v>
      </c>
      <c r="J63" s="783">
        <f>IF('Incremental Repayments'!$R$22="Debt",IF(AND(J$4&gt;=$D63,J$4&lt;$D63+'Incremental Repayments'!$I$31),-PMT('Interest Rate'!$J$16,'Incremental Repayments'!$I$31,(HLOOKUP($D63,$E$4:$CZ$32,28,FALSE)*'Incremental Repayments'!$I$22)),0),0)</f>
        <v>0</v>
      </c>
      <c r="K63" s="783">
        <f>IF('Incremental Repayments'!$R$22="Debt",IF(AND(K$4&gt;=$D63,K$4&lt;$D63+'Incremental Repayments'!$I$31),-PMT('Interest Rate'!$J$16,'Incremental Repayments'!$I$31,(HLOOKUP($D63,$E$4:$CZ$32,28,FALSE)*'Incremental Repayments'!$I$22)),0),0)</f>
        <v>0</v>
      </c>
      <c r="L63" s="783">
        <f>IF('Incremental Repayments'!$R$22="Debt",IF(AND(L$4&gt;=$D63,L$4&lt;$D63+'Incremental Repayments'!$I$31),-PMT('Interest Rate'!$J$16,'Incremental Repayments'!$I$31,(HLOOKUP($D63,$E$4:$CZ$32,28,FALSE)*'Incremental Repayments'!$I$22)),0),0)</f>
        <v>0</v>
      </c>
      <c r="M63" s="783">
        <f>IF('Incremental Repayments'!$R$22="Debt",IF(AND(M$4&gt;=$D63,M$4&lt;$D63+'Incremental Repayments'!$I$31),-PMT('Interest Rate'!$J$16,'Incremental Repayments'!$I$31,(HLOOKUP($D63,$E$4:$CZ$32,28,FALSE)*'Incremental Repayments'!$I$22)),0),0)</f>
        <v>0</v>
      </c>
      <c r="N63" s="783">
        <f>IF('Incremental Repayments'!$R$22="Debt",IF(AND(N$4&gt;=$D63,N$4&lt;$D63+'Incremental Repayments'!$I$31),-PMT('Interest Rate'!$J$16,'Incremental Repayments'!$I$31,(HLOOKUP($D63,$E$4:$CZ$32,28,FALSE)*'Incremental Repayments'!$I$22)),0),0)</f>
        <v>0</v>
      </c>
      <c r="O63" s="783">
        <f>IF('Incremental Repayments'!$R$22="Debt",IF(AND(O$4&gt;=$D63,O$4&lt;$D63+'Incremental Repayments'!$I$31),-PMT('Interest Rate'!$J$16,'Incremental Repayments'!$I$31,(HLOOKUP($D63,$E$4:$CZ$32,28,FALSE)*'Incremental Repayments'!$I$22)),0),0)</f>
        <v>0</v>
      </c>
      <c r="P63" s="783">
        <f>IF('Incremental Repayments'!$R$22="Debt",IF(AND(P$4&gt;=$D63,P$4&lt;$D63+'Incremental Repayments'!$I$31),-PMT('Interest Rate'!$J$16,'Incremental Repayments'!$I$31,(HLOOKUP($D63,$E$4:$CZ$32,28,FALSE)*'Incremental Repayments'!$I$22)),0),0)</f>
        <v>0</v>
      </c>
      <c r="Q63" s="783">
        <f>IF('Incremental Repayments'!$R$22="Debt",IF(AND(Q$4&gt;=$D63,Q$4&lt;$D63+'Incremental Repayments'!$I$31),-PMT('Interest Rate'!$J$16,'Incremental Repayments'!$I$31,(HLOOKUP($D63,$E$4:$CZ$32,28,FALSE)*'Incremental Repayments'!$I$22)),0),0)</f>
        <v>0</v>
      </c>
      <c r="R63" s="783">
        <f>IF('Incremental Repayments'!$R$22="Debt",IF(AND(R$4&gt;=$D63,R$4&lt;$D63+'Incremental Repayments'!$I$31),-PMT('Interest Rate'!$J$16,'Incremental Repayments'!$I$31,(HLOOKUP($D63,$E$4:$CZ$32,28,FALSE)*'Incremental Repayments'!$I$22)),0),0)</f>
        <v>0</v>
      </c>
      <c r="S63" s="783">
        <f>IF('Incremental Repayments'!$R$22="Debt",IF(AND(S$4&gt;=$D63,S$4&lt;$D63+'Incremental Repayments'!$I$31),-PMT('Interest Rate'!$J$16,'Incremental Repayments'!$I$31,(HLOOKUP($D63,$E$4:$CZ$32,28,FALSE)*'Incremental Repayments'!$I$22)),0),0)</f>
        <v>0</v>
      </c>
      <c r="T63" s="783">
        <f>IF('Incremental Repayments'!$R$22="Debt",IF(AND(T$4&gt;=$D63,T$4&lt;$D63+'Incremental Repayments'!$I$31),-PMT('Interest Rate'!$J$16,'Incremental Repayments'!$I$31,(HLOOKUP($D63,$E$4:$CZ$32,28,FALSE)*'Incremental Repayments'!$I$22)),0),0)</f>
        <v>0</v>
      </c>
      <c r="U63" s="783">
        <f>IF('Incremental Repayments'!$R$22="Debt",IF(AND(U$4&gt;=$D63,U$4&lt;$D63+'Incremental Repayments'!$I$31),-PMT('Interest Rate'!$J$16,'Incremental Repayments'!$I$31,(HLOOKUP($D63,$E$4:$CZ$32,28,FALSE)*'Incremental Repayments'!$I$22)),0),0)</f>
        <v>0</v>
      </c>
      <c r="V63" s="783">
        <f>IF('Incremental Repayments'!$R$22="Debt",IF(AND(V$4&gt;=$D63,V$4&lt;$D63+'Incremental Repayments'!$I$31),-PMT('Interest Rate'!$J$16,'Incremental Repayments'!$I$31,(HLOOKUP($D63,$E$4:$CZ$32,28,FALSE)*'Incremental Repayments'!$I$22)),0),0)</f>
        <v>0</v>
      </c>
      <c r="W63" s="783">
        <f>IF('Incremental Repayments'!$R$22="Debt",IF(AND(W$4&gt;=$D63,W$4&lt;$D63+'Incremental Repayments'!$I$31),-PMT('Interest Rate'!$J$16,'Incremental Repayments'!$I$31,(HLOOKUP($D63,$E$4:$CZ$32,28,FALSE)*'Incremental Repayments'!$I$22)),0),0)</f>
        <v>0</v>
      </c>
      <c r="X63" s="783">
        <f>IF('Incremental Repayments'!$R$22="Debt",IF(AND(X$4&gt;=$D63,X$4&lt;$D63+'Incremental Repayments'!$I$31),-PMT('Interest Rate'!$J$16,'Incremental Repayments'!$I$31,(HLOOKUP($D63,$E$4:$CZ$32,28,FALSE)*'Incremental Repayments'!$I$22)),0),0)</f>
        <v>0</v>
      </c>
      <c r="Y63" s="783">
        <f>IF('Incremental Repayments'!$R$22="Debt",IF(AND(Y$4&gt;=$D63,Y$4&lt;$D63+'Incremental Repayments'!$I$31),-PMT('Interest Rate'!$J$16,'Incremental Repayments'!$I$31,(HLOOKUP($D63,$E$4:$CZ$32,28,FALSE)*'Incremental Repayments'!$I$22)),0),0)</f>
        <v>0</v>
      </c>
      <c r="Z63" s="783">
        <f>IF('Incremental Repayments'!$R$22="Debt",IF(AND(Z$4&gt;=$D63,Z$4&lt;$D63+'Incremental Repayments'!$I$31),-PMT('Interest Rate'!$J$16,'Incremental Repayments'!$I$31,(HLOOKUP($D63,$E$4:$CZ$32,28,FALSE)*'Incremental Repayments'!$I$22)),0),0)</f>
        <v>0</v>
      </c>
      <c r="AA63" s="783">
        <f>IF('Incremental Repayments'!$R$22="Debt",IF(AND(AA$4&gt;=$D63,AA$4&lt;$D63+'Incremental Repayments'!$I$31),-PMT('Interest Rate'!$J$16,'Incremental Repayments'!$I$31,(HLOOKUP($D63,$E$4:$CZ$32,28,FALSE)*'Incremental Repayments'!$I$22)),0),0)</f>
        <v>0</v>
      </c>
      <c r="AB63" s="783">
        <f>IF('Incremental Repayments'!$R$22="Debt",IF(AND(AB$4&gt;=$D63,AB$4&lt;$D63+'Incremental Repayments'!$I$31),-PMT('Interest Rate'!$J$16,'Incremental Repayments'!$I$31,(HLOOKUP($D63,$E$4:$CZ$32,28,FALSE)*'Incremental Repayments'!$I$22)),0),0)</f>
        <v>0</v>
      </c>
      <c r="AC63" s="783">
        <f>IF('Incremental Repayments'!$R$22="Debt",IF(AND(AC$4&gt;=$D63,AC$4&lt;$D63+'Incremental Repayments'!$I$31),-PMT('Interest Rate'!$J$16,'Incremental Repayments'!$I$31,(HLOOKUP($D63,$E$4:$CZ$32,28,FALSE)*'Incremental Repayments'!$I$22)),0),0)</f>
        <v>0</v>
      </c>
      <c r="AD63" s="783">
        <f>IF('Incremental Repayments'!$R$22="Debt",IF(AND(AD$4&gt;=$D63,AD$4&lt;$D63+'Incremental Repayments'!$I$31),-PMT('Interest Rate'!$J$16,'Incremental Repayments'!$I$31,(HLOOKUP($D63,$E$4:$CZ$32,28,FALSE)*'Incremental Repayments'!$I$22)),0),0)</f>
        <v>0</v>
      </c>
      <c r="AE63" s="783">
        <f>IF('Incremental Repayments'!$R$22="Debt",IF(AND(AE$4&gt;=$D63,AE$4&lt;$D63+'Incremental Repayments'!$I$31),-PMT('Interest Rate'!$J$16,'Incremental Repayments'!$I$31,(HLOOKUP($D63,$E$4:$CZ$32,28,FALSE)*'Incremental Repayments'!$I$22)),0),0)</f>
        <v>0</v>
      </c>
      <c r="AF63" s="783">
        <f>IF('Incremental Repayments'!$R$22="Debt",IF(AND(AF$4&gt;=$D63,AF$4&lt;$D63+'Incremental Repayments'!$I$31),-PMT('Interest Rate'!$J$16,'Incremental Repayments'!$I$31,(HLOOKUP($D63,$E$4:$CZ$32,28,FALSE)*'Incremental Repayments'!$I$22)),0),0)</f>
        <v>7693999.3996719271</v>
      </c>
      <c r="AG63" s="783">
        <f>IF('Incremental Repayments'!$R$22="Debt",IF(AND(AG$4&gt;=$D63,AG$4&lt;$D63+'Incremental Repayments'!$I$31),-PMT('Interest Rate'!$J$16,'Incremental Repayments'!$I$31,(HLOOKUP($D63,$E$4:$CZ$32,28,FALSE)*'Incremental Repayments'!$I$22)),0),0)</f>
        <v>7693999.3996719271</v>
      </c>
      <c r="AH63" s="783">
        <f>IF('Incremental Repayments'!$R$22="Debt",IF(AND(AH$4&gt;=$D63,AH$4&lt;$D63+'Incremental Repayments'!$I$31),-PMT('Interest Rate'!$J$16,'Incremental Repayments'!$I$31,(HLOOKUP($D63,$E$4:$CZ$32,28,FALSE)*'Incremental Repayments'!$I$22)),0),0)</f>
        <v>7693999.3996719271</v>
      </c>
      <c r="AI63" s="783">
        <f>IF('Incremental Repayments'!$R$22="Debt",IF(AND(AI$4&gt;=$D63,AI$4&lt;$D63+'Incremental Repayments'!$I$31),-PMT('Interest Rate'!$J$16,'Incremental Repayments'!$I$31,(HLOOKUP($D63,$E$4:$CZ$32,28,FALSE)*'Incremental Repayments'!$I$22)),0),0)</f>
        <v>7693999.3996719271</v>
      </c>
      <c r="AJ63" s="783">
        <f>IF('Incremental Repayments'!$R$22="Debt",IF(AND(AJ$4&gt;=$D63,AJ$4&lt;$D63+'Incremental Repayments'!$I$31),-PMT('Interest Rate'!$J$16,'Incremental Repayments'!$I$31,(HLOOKUP($D63,$E$4:$CZ$32,28,FALSE)*'Incremental Repayments'!$I$22)),0),0)</f>
        <v>7693999.3996719271</v>
      </c>
      <c r="AK63" s="783">
        <f>IF('Incremental Repayments'!$R$22="Debt",IF(AND(AK$4&gt;=$D63,AK$4&lt;$D63+'Incremental Repayments'!$I$31),-PMT('Interest Rate'!$J$16,'Incremental Repayments'!$I$31,(HLOOKUP($D63,$E$4:$CZ$32,28,FALSE)*'Incremental Repayments'!$I$22)),0),0)</f>
        <v>7693999.3996719271</v>
      </c>
      <c r="AL63" s="783">
        <f>IF('Incremental Repayments'!$R$22="Debt",IF(AND(AL$4&gt;=$D63,AL$4&lt;$D63+'Incremental Repayments'!$I$31),-PMT('Interest Rate'!$J$16,'Incremental Repayments'!$I$31,(HLOOKUP($D63,$E$4:$CZ$32,28,FALSE)*'Incremental Repayments'!$I$22)),0),0)</f>
        <v>7693999.3996719271</v>
      </c>
      <c r="AM63" s="783">
        <f>IF('Incremental Repayments'!$R$22="Debt",IF(AND(AM$4&gt;=$D63,AM$4&lt;$D63+'Incremental Repayments'!$I$31),-PMT('Interest Rate'!$J$16,'Incremental Repayments'!$I$31,(HLOOKUP($D63,$E$4:$CZ$32,28,FALSE)*'Incremental Repayments'!$I$22)),0),0)</f>
        <v>7693999.3996719271</v>
      </c>
      <c r="AN63" s="783">
        <f>IF('Incremental Repayments'!$R$22="Debt",IF(AND(AN$4&gt;=$D63,AN$4&lt;$D63+'Incremental Repayments'!$I$31),-PMT('Interest Rate'!$J$16,'Incremental Repayments'!$I$31,(HLOOKUP($D63,$E$4:$CZ$32,28,FALSE)*'Incremental Repayments'!$I$22)),0),0)</f>
        <v>7693999.3996719271</v>
      </c>
      <c r="AO63" s="783">
        <f>IF('Incremental Repayments'!$R$22="Debt",IF(AND(AO$4&gt;=$D63,AO$4&lt;$D63+'Incremental Repayments'!$I$31),-PMT('Interest Rate'!$J$16,'Incremental Repayments'!$I$31,(HLOOKUP($D63,$E$4:$CZ$32,28,FALSE)*'Incremental Repayments'!$I$22)),0),0)</f>
        <v>7693999.3996719271</v>
      </c>
      <c r="AP63" s="783">
        <f>IF('Incremental Repayments'!$R$22="Debt",IF(AND(AP$4&gt;=$D63,AP$4&lt;$D63+'Incremental Repayments'!$I$31),-PMT('Interest Rate'!$J$16,'Incremental Repayments'!$I$31,(HLOOKUP($D63,$E$4:$CZ$32,28,FALSE)*'Incremental Repayments'!$I$22)),0),0)</f>
        <v>7693999.3996719271</v>
      </c>
      <c r="AQ63" s="783">
        <f>IF('Incremental Repayments'!$R$22="Debt",IF(AND(AQ$4&gt;=$D63,AQ$4&lt;$D63+'Incremental Repayments'!$I$31),-PMT('Interest Rate'!$J$16,'Incremental Repayments'!$I$31,(HLOOKUP($D63,$E$4:$CZ$32,28,FALSE)*'Incremental Repayments'!$I$22)),0),0)</f>
        <v>7693999.3996719271</v>
      </c>
      <c r="AR63" s="783">
        <f>IF('Incremental Repayments'!$R$22="Debt",IF(AND(AR$4&gt;=$D63,AR$4&lt;$D63+'Incremental Repayments'!$I$31),-PMT('Interest Rate'!$J$16,'Incremental Repayments'!$I$31,(HLOOKUP($D63,$E$4:$CZ$32,28,FALSE)*'Incremental Repayments'!$I$22)),0),0)</f>
        <v>7693999.3996719271</v>
      </c>
      <c r="AS63" s="783">
        <f>IF('Incremental Repayments'!$R$22="Debt",IF(AND(AS$4&gt;=$D63,AS$4&lt;$D63+'Incremental Repayments'!$I$31),-PMT('Interest Rate'!$J$16,'Incremental Repayments'!$I$31,(HLOOKUP($D63,$E$4:$CZ$32,28,FALSE)*'Incremental Repayments'!$I$22)),0),0)</f>
        <v>7693999.3996719271</v>
      </c>
      <c r="AT63" s="783">
        <f>IF('Incremental Repayments'!$R$22="Debt",IF(AND(AT$4&gt;=$D63,AT$4&lt;$D63+'Incremental Repayments'!$I$31),-PMT('Interest Rate'!$J$16,'Incremental Repayments'!$I$31,(HLOOKUP($D63,$E$4:$CZ$32,28,FALSE)*'Incremental Repayments'!$I$22)),0),0)</f>
        <v>7693999.3996719271</v>
      </c>
      <c r="AU63" s="783">
        <f>IF('Incremental Repayments'!$R$22="Debt",IF(AND(AU$4&gt;=$D63,AU$4&lt;$D63+'Incremental Repayments'!$I$31),-PMT('Interest Rate'!$J$16,'Incremental Repayments'!$I$31,(HLOOKUP($D63,$E$4:$CZ$32,28,FALSE)*'Incremental Repayments'!$I$22)),0),0)</f>
        <v>7693999.3996719271</v>
      </c>
      <c r="AV63" s="783">
        <f>IF('Incremental Repayments'!$R$22="Debt",IF(AND(AV$4&gt;=$D63,AV$4&lt;$D63+'Incremental Repayments'!$I$31),-PMT('Interest Rate'!$J$16,'Incremental Repayments'!$I$31,(HLOOKUP($D63,$E$4:$CZ$32,28,FALSE)*'Incremental Repayments'!$I$22)),0),0)</f>
        <v>7693999.3996719271</v>
      </c>
      <c r="AW63" s="783">
        <f>IF('Incremental Repayments'!$R$22="Debt",IF(AND(AW$4&gt;=$D63,AW$4&lt;$D63+'Incremental Repayments'!$I$31),-PMT('Interest Rate'!$J$16,'Incremental Repayments'!$I$31,(HLOOKUP($D63,$E$4:$CZ$32,28,FALSE)*'Incremental Repayments'!$I$22)),0),0)</f>
        <v>7693999.3996719271</v>
      </c>
      <c r="AX63" s="783">
        <f>IF('Incremental Repayments'!$R$22="Debt",IF(AND(AX$4&gt;=$D63,AX$4&lt;$D63+'Incremental Repayments'!$I$31),-PMT('Interest Rate'!$J$16,'Incremental Repayments'!$I$31,(HLOOKUP($D63,$E$4:$CZ$32,28,FALSE)*'Incremental Repayments'!$I$22)),0),0)</f>
        <v>7693999.3996719271</v>
      </c>
      <c r="AY63" s="783">
        <f>IF('Incremental Repayments'!$R$22="Debt",IF(AND(AY$4&gt;=$D63,AY$4&lt;$D63+'Incremental Repayments'!$I$31),-PMT('Interest Rate'!$J$16,'Incremental Repayments'!$I$31,(HLOOKUP($D63,$E$4:$CZ$32,28,FALSE)*'Incremental Repayments'!$I$22)),0),0)</f>
        <v>7693999.3996719271</v>
      </c>
      <c r="AZ63" s="783">
        <f>IF('Incremental Repayments'!$R$22="Debt",IF(AND(AZ$4&gt;=$D63,AZ$4&lt;$D63+'Incremental Repayments'!$I$31),-PMT('Interest Rate'!$J$16,'Incremental Repayments'!$I$31,(HLOOKUP($D63,$E$4:$CZ$32,28,FALSE)*'Incremental Repayments'!$I$22)),0),0)</f>
        <v>7693999.3996719271</v>
      </c>
      <c r="BA63" s="783">
        <f>IF('Incremental Repayments'!$R$22="Debt",IF(AND(BA$4&gt;=$D63,BA$4&lt;$D63+'Incremental Repayments'!$I$31),-PMT('Interest Rate'!$J$16,'Incremental Repayments'!$I$31,(HLOOKUP($D63,$E$4:$CZ$32,28,FALSE)*'Incremental Repayments'!$I$22)),0),0)</f>
        <v>7693999.3996719271</v>
      </c>
      <c r="BB63" s="783">
        <f>IF('Incremental Repayments'!$R$22="Debt",IF(AND(BB$4&gt;=$D63,BB$4&lt;$D63+'Incremental Repayments'!$I$31),-PMT('Interest Rate'!$J$16,'Incremental Repayments'!$I$31,(HLOOKUP($D63,$E$4:$CZ$32,28,FALSE)*'Incremental Repayments'!$I$22)),0),0)</f>
        <v>7693999.3996719271</v>
      </c>
      <c r="BC63" s="783">
        <f>IF('Incremental Repayments'!$R$22="Debt",IF(AND(BC$4&gt;=$D63,BC$4&lt;$D63+'Incremental Repayments'!$I$31),-PMT('Interest Rate'!$J$16,'Incremental Repayments'!$I$31,(HLOOKUP($D63,$E$4:$CZ$32,28,FALSE)*'Incremental Repayments'!$I$22)),0),0)</f>
        <v>7693999.3996719271</v>
      </c>
      <c r="BD63" s="783">
        <f>IF('Incremental Repayments'!$R$22="Debt",IF(AND(BD$4&gt;=$D63,BD$4&lt;$D63+'Incremental Repayments'!$I$31),-PMT('Interest Rate'!$J$16,'Incremental Repayments'!$I$31,(HLOOKUP($D63,$E$4:$CZ$32,28,FALSE)*'Incremental Repayments'!$I$22)),0),0)</f>
        <v>7693999.3996719271</v>
      </c>
      <c r="BE63" s="783">
        <f>IF('Incremental Repayments'!$R$22="Debt",IF(AND(BE$4&gt;=$D63,BE$4&lt;$D63+'Incremental Repayments'!$I$31),-PMT('Interest Rate'!$J$16,'Incremental Repayments'!$I$31,(HLOOKUP($D63,$E$4:$CZ$32,28,FALSE)*'Incremental Repayments'!$I$22)),0),0)</f>
        <v>7693999.3996719271</v>
      </c>
      <c r="BF63" s="783">
        <f>IF('Incremental Repayments'!$R$22="Debt",IF(AND(BF$4&gt;=$D63,BF$4&lt;$D63+'Incremental Repayments'!$I$31),-PMT('Interest Rate'!$J$16,'Incremental Repayments'!$I$31,(HLOOKUP($D63,$E$4:$CZ$32,28,FALSE)*'Incremental Repayments'!$I$22)),0),0)</f>
        <v>7693999.3996719271</v>
      </c>
      <c r="BG63" s="783">
        <f>IF('Incremental Repayments'!$R$22="Debt",IF(AND(BG$4&gt;=$D63,BG$4&lt;$D63+'Incremental Repayments'!$I$31),-PMT('Interest Rate'!$J$16,'Incremental Repayments'!$I$31,(HLOOKUP($D63,$E$4:$CZ$32,28,FALSE)*'Incremental Repayments'!$I$22)),0),0)</f>
        <v>7693999.3996719271</v>
      </c>
      <c r="BH63" s="783">
        <f>IF('Incremental Repayments'!$R$22="Debt",IF(AND(BH$4&gt;=$D63,BH$4&lt;$D63+'Incremental Repayments'!$I$31),-PMT('Interest Rate'!$J$16,'Incremental Repayments'!$I$31,(HLOOKUP($D63,$E$4:$CZ$32,28,FALSE)*'Incremental Repayments'!$I$22)),0),0)</f>
        <v>7693999.3996719271</v>
      </c>
      <c r="BI63" s="783">
        <f>IF('Incremental Repayments'!$R$22="Debt",IF(AND(BI$4&gt;=$D63,BI$4&lt;$D63+'Incremental Repayments'!$I$31),-PMT('Interest Rate'!$J$16,'Incremental Repayments'!$I$31,(HLOOKUP($D63,$E$4:$CZ$32,28,FALSE)*'Incremental Repayments'!$I$22)),0),0)</f>
        <v>7693999.3996719271</v>
      </c>
      <c r="BJ63" s="783">
        <f>IF('Incremental Repayments'!$R$22="Debt",IF(AND(BJ$4&gt;=$D63,BJ$4&lt;$D63+'Incremental Repayments'!$I$31),-PMT('Interest Rate'!$J$16,'Incremental Repayments'!$I$31,(HLOOKUP($D63,$E$4:$CZ$32,28,FALSE)*'Incremental Repayments'!$I$22)),0),0)</f>
        <v>0</v>
      </c>
      <c r="BK63" s="783">
        <f>IF('Incremental Repayments'!$R$22="Debt",IF(AND(BK$4&gt;=$D63,BK$4&lt;$D63+'Incremental Repayments'!$I$31),-PMT('Interest Rate'!$J$16,'Incremental Repayments'!$I$31,(HLOOKUP($D63,$E$4:$CZ$32,28,FALSE)*'Incremental Repayments'!$I$22)),0),0)</f>
        <v>0</v>
      </c>
      <c r="BL63" s="783">
        <f>IF('Incremental Repayments'!$R$22="Debt",IF(AND(BL$4&gt;=$D63,BL$4&lt;$D63+'Incremental Repayments'!$I$31),-PMT('Interest Rate'!$J$16,'Incremental Repayments'!$I$31,(HLOOKUP($D63,$E$4:$CZ$32,28,FALSE)*'Incremental Repayments'!$I$22)),0),0)</f>
        <v>0</v>
      </c>
      <c r="BM63" s="783">
        <f>IF('Incremental Repayments'!$R$22="Debt",IF(AND(BM$4&gt;=$D63,BM$4&lt;$D63+'Incremental Repayments'!$I$31),-PMT('Interest Rate'!$J$16,'Incremental Repayments'!$I$31,(HLOOKUP($D63,$E$4:$CZ$32,28,FALSE)*'Incremental Repayments'!$I$22)),0),0)</f>
        <v>0</v>
      </c>
      <c r="BN63" s="783">
        <f>IF('Incremental Repayments'!$R$22="Debt",IF(AND(BN$4&gt;=$D63,BN$4&lt;$D63+'Incremental Repayments'!$I$31),-PMT('Interest Rate'!$J$16,'Incremental Repayments'!$I$31,(HLOOKUP($D63,$E$4:$CZ$32,28,FALSE)*'Incremental Repayments'!$I$22)),0),0)</f>
        <v>0</v>
      </c>
      <c r="BO63" s="783">
        <f>IF('Incremental Repayments'!$R$22="Debt",IF(AND(BO$4&gt;=$D63,BO$4&lt;$D63+'Incremental Repayments'!$I$31),-PMT('Interest Rate'!$J$16,'Incremental Repayments'!$I$31,(HLOOKUP($D63,$E$4:$CZ$32,28,FALSE)*'Incremental Repayments'!$I$22)),0),0)</f>
        <v>0</v>
      </c>
      <c r="BP63" s="783">
        <f>IF('Incremental Repayments'!$R$22="Debt",IF(AND(BP$4&gt;=$D63,BP$4&lt;$D63+'Incremental Repayments'!$I$31),-PMT('Interest Rate'!$J$16,'Incremental Repayments'!$I$31,(HLOOKUP($D63,$E$4:$CZ$32,28,FALSE)*'Incremental Repayments'!$I$22)),0),0)</f>
        <v>0</v>
      </c>
      <c r="BQ63" s="783">
        <f>IF('Incremental Repayments'!$R$22="Debt",IF(AND(BQ$4&gt;=$D63,BQ$4&lt;$D63+'Incremental Repayments'!$I$31),-PMT('Interest Rate'!$J$16,'Incremental Repayments'!$I$31,(HLOOKUP($D63,$E$4:$CZ$32,28,FALSE)*'Incremental Repayments'!$I$22)),0),0)</f>
        <v>0</v>
      </c>
      <c r="BR63" s="783">
        <f>IF('Incremental Repayments'!$R$22="Debt",IF(AND(BR$4&gt;=$D63,BR$4&lt;$D63+'Incremental Repayments'!$I$31),-PMT('Interest Rate'!$J$16,'Incremental Repayments'!$I$31,(HLOOKUP($D63,$E$4:$CZ$32,28,FALSE)*'Incremental Repayments'!$I$22)),0),0)</f>
        <v>0</v>
      </c>
      <c r="BS63" s="783">
        <f>IF('Incremental Repayments'!$R$22="Debt",IF(AND(BS$4&gt;=$D63,BS$4&lt;$D63+'Incremental Repayments'!$I$31),-PMT('Interest Rate'!$J$16,'Incremental Repayments'!$I$31,(HLOOKUP($D63,$E$4:$CZ$32,28,FALSE)*'Incremental Repayments'!$I$22)),0),0)</f>
        <v>0</v>
      </c>
      <c r="BT63" s="783">
        <f>IF('Incremental Repayments'!$R$22="Debt",IF(AND(BT$4&gt;=$D63,BT$4&lt;$D63+'Incremental Repayments'!$I$31),-PMT('Interest Rate'!$J$16,'Incremental Repayments'!$I$31,(HLOOKUP($D63,$E$4:$CZ$32,28,FALSE)*'Incremental Repayments'!$I$22)),0),0)</f>
        <v>0</v>
      </c>
      <c r="BU63" s="783">
        <f>IF('Incremental Repayments'!$R$22="Debt",IF(AND(BU$4&gt;=$D63,BU$4&lt;$D63+'Incremental Repayments'!$I$31),-PMT('Interest Rate'!$J$16,'Incremental Repayments'!$I$31,(HLOOKUP($D63,$E$4:$CZ$32,28,FALSE)*'Incremental Repayments'!$I$22)),0),0)</f>
        <v>0</v>
      </c>
      <c r="BV63" s="783">
        <f>IF('Incremental Repayments'!$R$22="Debt",IF(AND(BV$4&gt;=$D63,BV$4&lt;$D63+'Incremental Repayments'!$I$31),-PMT('Interest Rate'!$J$16,'Incremental Repayments'!$I$31,(HLOOKUP($D63,$E$4:$CZ$32,28,FALSE)*'Incremental Repayments'!$I$22)),0),0)</f>
        <v>0</v>
      </c>
      <c r="BW63" s="783">
        <f>IF('Incremental Repayments'!$R$22="Debt",IF(AND(BW$4&gt;=$D63,BW$4&lt;$D63+'Incremental Repayments'!$I$31),-PMT('Interest Rate'!$J$16,'Incremental Repayments'!$I$31,(HLOOKUP($D63,$E$4:$CZ$32,28,FALSE)*'Incremental Repayments'!$I$22)),0),0)</f>
        <v>0</v>
      </c>
      <c r="BX63" s="783">
        <f>IF('Incremental Repayments'!$R$22="Debt",IF(AND(BX$4&gt;=$D63,BX$4&lt;$D63+'Incremental Repayments'!$I$31),-PMT('Interest Rate'!$J$16,'Incremental Repayments'!$I$31,(HLOOKUP($D63,$E$4:$CZ$32,28,FALSE)*'Incremental Repayments'!$I$22)),0),0)</f>
        <v>0</v>
      </c>
      <c r="BY63" s="783">
        <f>IF('Incremental Repayments'!$R$22="Debt",IF(AND(BY$4&gt;=$D63,BY$4&lt;$D63+'Incremental Repayments'!$I$31),-PMT('Interest Rate'!$J$16,'Incremental Repayments'!$I$31,(HLOOKUP($D63,$E$4:$CZ$32,28,FALSE)*'Incremental Repayments'!$I$22)),0),0)</f>
        <v>0</v>
      </c>
      <c r="BZ63" s="783">
        <f>IF('Incremental Repayments'!$R$22="Debt",IF(AND(BZ$4&gt;=$D63,BZ$4&lt;$D63+'Incremental Repayments'!$I$31),-PMT('Interest Rate'!$J$16,'Incremental Repayments'!$I$31,(HLOOKUP($D63,$E$4:$CZ$32,28,FALSE)*'Incremental Repayments'!$I$22)),0),0)</f>
        <v>0</v>
      </c>
      <c r="CA63" s="783">
        <f>IF('Incremental Repayments'!$R$22="Debt",IF(AND(CA$4&gt;=$D63,CA$4&lt;$D63+'Incremental Repayments'!$I$31),-PMT('Interest Rate'!$J$16,'Incremental Repayments'!$I$31,(HLOOKUP($D63,$E$4:$CZ$32,28,FALSE)*'Incremental Repayments'!$I$22)),0),0)</f>
        <v>0</v>
      </c>
      <c r="CB63" s="783">
        <f>IF('Incremental Repayments'!$R$22="Debt",IF(AND(CB$4&gt;=$D63,CB$4&lt;$D63+'Incremental Repayments'!$I$31),-PMT('Interest Rate'!$J$16,'Incremental Repayments'!$I$31,(HLOOKUP($D63,$E$4:$CZ$32,28,FALSE)*'Incremental Repayments'!$I$22)),0),0)</f>
        <v>0</v>
      </c>
      <c r="CC63" s="783">
        <f>IF('Incremental Repayments'!$R$22="Debt",IF(AND(CC$4&gt;=$D63,CC$4&lt;$D63+'Incremental Repayments'!$I$31),-PMT('Interest Rate'!$J$16,'Incremental Repayments'!$I$31,(HLOOKUP($D63,$E$4:$CZ$32,28,FALSE)*'Incremental Repayments'!$I$22)),0),0)</f>
        <v>0</v>
      </c>
      <c r="CD63" s="783">
        <f>IF('Incremental Repayments'!$R$22="Debt",IF(AND(CD$4&gt;=$D63,CD$4&lt;$D63+'Incremental Repayments'!$I$31),-PMT('Interest Rate'!$J$16,'Incremental Repayments'!$I$31,(HLOOKUP($D63,$E$4:$CZ$32,28,FALSE)*'Incremental Repayments'!$I$22)),0),0)</f>
        <v>0</v>
      </c>
      <c r="CE63" s="783">
        <f>IF('Incremental Repayments'!$R$22="Debt",IF(AND(CE$4&gt;=$D63,CE$4&lt;$D63+'Incremental Repayments'!$I$31),-PMT('Interest Rate'!$J$16,'Incremental Repayments'!$I$31,(HLOOKUP($D63,$E$4:$CZ$32,28,FALSE)*'Incremental Repayments'!$I$22)),0),0)</f>
        <v>0</v>
      </c>
      <c r="CF63" s="783">
        <f>IF('Incremental Repayments'!$R$22="Debt",IF(AND(CF$4&gt;=$D63,CF$4&lt;$D63+'Incremental Repayments'!$I$31),-PMT('Interest Rate'!$J$16,'Incremental Repayments'!$I$31,(HLOOKUP($D63,$E$4:$CZ$32,28,FALSE)*'Incremental Repayments'!$I$22)),0),0)</f>
        <v>0</v>
      </c>
      <c r="CG63" s="783">
        <f>IF('Incremental Repayments'!$R$22="Debt",IF(AND(CG$4&gt;=$D63,CG$4&lt;$D63+'Incremental Repayments'!$I$31),-PMT('Interest Rate'!$J$16,'Incremental Repayments'!$I$31,(HLOOKUP($D63,$E$4:$CZ$32,28,FALSE)*'Incremental Repayments'!$I$22)),0),0)</f>
        <v>0</v>
      </c>
      <c r="CH63" s="783">
        <f>IF('Incremental Repayments'!$R$22="Debt",IF(AND(CH$4&gt;=$D63,CH$4&lt;$D63+'Incremental Repayments'!$I$31),-PMT('Interest Rate'!$J$16,'Incremental Repayments'!$I$31,(HLOOKUP($D63,$E$4:$CZ$32,28,FALSE)*'Incremental Repayments'!$I$22)),0),0)</f>
        <v>0</v>
      </c>
      <c r="CI63" s="783">
        <f>IF('Incremental Repayments'!$R$22="Debt",IF(AND(CI$4&gt;=$D63,CI$4&lt;$D63+'Incremental Repayments'!$I$31),-PMT('Interest Rate'!$J$16,'Incremental Repayments'!$I$31,(HLOOKUP($D63,$E$4:$CZ$32,28,FALSE)*'Incremental Repayments'!$I$22)),0),0)</f>
        <v>0</v>
      </c>
      <c r="CJ63" s="783">
        <f>IF('Incremental Repayments'!$R$22="Debt",IF(AND(CJ$4&gt;=$D63,CJ$4&lt;$D63+'Incremental Repayments'!$I$31),-PMT('Interest Rate'!$J$16,'Incremental Repayments'!$I$31,(HLOOKUP($D63,$E$4:$CZ$32,28,FALSE)*'Incremental Repayments'!$I$22)),0),0)</f>
        <v>0</v>
      </c>
      <c r="CK63" s="783">
        <f>IF('Incremental Repayments'!$R$22="Debt",IF(AND(CK$4&gt;=$D63,CK$4&lt;$D63+'Incremental Repayments'!$I$31),-PMT('Interest Rate'!$J$16,'Incremental Repayments'!$I$31,(HLOOKUP($D63,$E$4:$CZ$32,28,FALSE)*'Incremental Repayments'!$I$22)),0),0)</f>
        <v>0</v>
      </c>
      <c r="CL63" s="783">
        <f>IF('Incremental Repayments'!$R$22="Debt",IF(AND(CL$4&gt;=$D63,CL$4&lt;$D63+'Incremental Repayments'!$I$31),-PMT('Interest Rate'!$J$16,'Incremental Repayments'!$I$31,(HLOOKUP($D63,$E$4:$CZ$32,28,FALSE)*'Incremental Repayments'!$I$22)),0),0)</f>
        <v>0</v>
      </c>
      <c r="CM63" s="783">
        <f>IF('Incremental Repayments'!$R$22="Debt",IF(AND(CM$4&gt;=$D63,CM$4&lt;$D63+'Incremental Repayments'!$I$31),-PMT('Interest Rate'!$J$16,'Incremental Repayments'!$I$31,(HLOOKUP($D63,$E$4:$CZ$32,28,FALSE)*'Incremental Repayments'!$I$22)),0),0)</f>
        <v>0</v>
      </c>
      <c r="CN63" s="783">
        <f>IF('Incremental Repayments'!$R$22="Debt",IF(AND(CN$4&gt;=$D63,CN$4&lt;$D63+'Incremental Repayments'!$I$31),-PMT('Interest Rate'!$J$16,'Incremental Repayments'!$I$31,(HLOOKUP($D63,$E$4:$CZ$32,28,FALSE)*'Incremental Repayments'!$I$22)),0),0)</f>
        <v>0</v>
      </c>
      <c r="CO63" s="783">
        <f>IF('Incremental Repayments'!$R$22="Debt",IF(AND(CO$4&gt;=$D63,CO$4&lt;$D63+'Incremental Repayments'!$I$31),-PMT('Interest Rate'!$J$16,'Incremental Repayments'!$I$31,(HLOOKUP($D63,$E$4:$CZ$32,28,FALSE)*'Incremental Repayments'!$I$22)),0),0)</f>
        <v>0</v>
      </c>
      <c r="CP63" s="783">
        <f>IF('Incremental Repayments'!$R$22="Debt",IF(AND(CP$4&gt;=$D63,CP$4&lt;$D63+'Incremental Repayments'!$I$31),-PMT('Interest Rate'!$J$16,'Incremental Repayments'!$I$31,(HLOOKUP($D63,$E$4:$CZ$32,28,FALSE)*'Incremental Repayments'!$I$22)),0),0)</f>
        <v>0</v>
      </c>
      <c r="CQ63" s="783">
        <f>IF('Incremental Repayments'!$R$22="Debt",IF(AND(CQ$4&gt;=$D63,CQ$4&lt;$D63+'Incremental Repayments'!$I$31),-PMT('Interest Rate'!$J$16,'Incremental Repayments'!$I$31,(HLOOKUP($D63,$E$4:$CZ$32,28,FALSE)*'Incremental Repayments'!$I$22)),0),0)</f>
        <v>0</v>
      </c>
      <c r="CR63" s="783">
        <f>IF('Incremental Repayments'!$R$22="Debt",IF(AND(CR$4&gt;=$D63,CR$4&lt;$D63+'Incremental Repayments'!$I$31),-PMT('Interest Rate'!$J$16,'Incremental Repayments'!$I$31,(HLOOKUP($D63,$E$4:$CZ$32,28,FALSE)*'Incremental Repayments'!$I$22)),0),0)</f>
        <v>0</v>
      </c>
      <c r="CS63" s="783">
        <f>IF('Incremental Repayments'!$R$22="Debt",IF(AND(CS$4&gt;=$D63,CS$4&lt;$D63+'Incremental Repayments'!$I$31),-PMT('Interest Rate'!$J$16,'Incremental Repayments'!$I$31,(HLOOKUP($D63,$E$4:$CZ$32,28,FALSE)*'Incremental Repayments'!$I$22)),0),0)</f>
        <v>0</v>
      </c>
      <c r="CT63" s="783">
        <f>IF('Incremental Repayments'!$R$22="Debt",IF(AND(CT$4&gt;=$D63,CT$4&lt;$D63+'Incremental Repayments'!$I$31),-PMT('Interest Rate'!$J$16,'Incremental Repayments'!$I$31,(HLOOKUP($D63,$E$4:$CZ$32,28,FALSE)*'Incremental Repayments'!$I$22)),0),0)</f>
        <v>0</v>
      </c>
      <c r="CU63" s="783">
        <f>IF('Incremental Repayments'!$R$22="Debt",IF(AND(CU$4&gt;=$D63,CU$4&lt;$D63+'Incremental Repayments'!$I$31),-PMT('Interest Rate'!$J$16,'Incremental Repayments'!$I$31,(HLOOKUP($D63,$E$4:$CZ$32,28,FALSE)*'Incremental Repayments'!$I$22)),0),0)</f>
        <v>0</v>
      </c>
      <c r="CV63" s="783">
        <f>IF('Incremental Repayments'!$R$22="Debt",IF(AND(CV$4&gt;=$D63,CV$4&lt;$D63+'Incremental Repayments'!$I$31),-PMT('Interest Rate'!$J$16,'Incremental Repayments'!$I$31,(HLOOKUP($D63,$E$4:$CZ$32,28,FALSE)*'Incremental Repayments'!$I$22)),0),0)</f>
        <v>0</v>
      </c>
      <c r="CW63" s="783">
        <f>IF('Incremental Repayments'!$R$22="Debt",IF(AND(CW$4&gt;=$D63,CW$4&lt;$D63+'Incremental Repayments'!$I$31),-PMT('Interest Rate'!$J$16,'Incremental Repayments'!$I$31,(HLOOKUP($D63,$E$4:$CZ$32,28,FALSE)*'Incremental Repayments'!$I$22)),0),0)</f>
        <v>0</v>
      </c>
      <c r="CX63" s="783">
        <f>IF('Incremental Repayments'!$R$22="Debt",IF(AND(CX$4&gt;=$D63,CX$4&lt;$D63+'Incremental Repayments'!$I$31),-PMT('Interest Rate'!$J$16,'Incremental Repayments'!$I$31,(HLOOKUP($D63,$E$4:$CZ$32,28,FALSE)*'Incremental Repayments'!$I$22)),0),0)</f>
        <v>0</v>
      </c>
      <c r="CY63" s="783">
        <f>IF('Incremental Repayments'!$R$22="Debt",IF(AND(CY$4&gt;=$D63,CY$4&lt;$D63+'Incremental Repayments'!$I$31),-PMT('Interest Rate'!$J$16,'Incremental Repayments'!$I$31,(HLOOKUP($D63,$E$4:$CZ$32,28,FALSE)*'Incremental Repayments'!$I$22)),0),0)</f>
        <v>0</v>
      </c>
      <c r="CZ63" s="783">
        <f>IF('Incremental Repayments'!$R$22="Debt",IF(AND(CZ$4&gt;=$D63,CZ$4&lt;$D63+'Incremental Repayments'!$I$31),-PMT('Interest Rate'!$J$16,'Incremental Repayments'!$I$31,(HLOOKUP($D63,$E$4:$CZ$32,28,FALSE)*'Incremental Repayments'!$I$22)),0),0)</f>
        <v>0</v>
      </c>
    </row>
    <row r="64" spans="1:104" x14ac:dyDescent="0.25">
      <c r="B64" s="480" t="str">
        <f>CONCATENATE("Series ",D64,"A Bonds (at ",'Interest Rate'!$J$16*100,"% Interest)")</f>
        <v>Series 2042A Bonds (at 4.5% Interest)</v>
      </c>
      <c r="C64" s="480"/>
      <c r="D64" s="492">
        <f t="shared" si="47"/>
        <v>2042</v>
      </c>
      <c r="E64" s="783">
        <f>IF('Incremental Repayments'!$R$22="Debt",IF(AND(E$4&gt;=$D64,E$4&lt;$D64+'Incremental Repayments'!$I$31),-PMT('Interest Rate'!$J$16,'Incremental Repayments'!$I$31,(HLOOKUP($D64,$E$4:$CZ$32,28,FALSE)*'Incremental Repayments'!$I$22)),0),0)</f>
        <v>0</v>
      </c>
      <c r="F64" s="783">
        <f>IF('Incremental Repayments'!$R$22="Debt",IF(AND(F$4&gt;=$D64,F$4&lt;$D64+'Incremental Repayments'!$I$31),-PMT('Interest Rate'!$J$16,'Incremental Repayments'!$I$31,(HLOOKUP($D64,$E$4:$CZ$32,28,FALSE)*'Incremental Repayments'!$I$22)),0),0)</f>
        <v>0</v>
      </c>
      <c r="G64" s="783">
        <f>IF('Incremental Repayments'!$R$22="Debt",IF(AND(G$4&gt;=$D64,G$4&lt;$D64+'Incremental Repayments'!$I$31),-PMT('Interest Rate'!$J$16,'Incremental Repayments'!$I$31,(HLOOKUP($D64,$E$4:$CZ$32,28,FALSE)*'Incremental Repayments'!$I$22)),0),0)</f>
        <v>0</v>
      </c>
      <c r="H64" s="783">
        <f>IF('Incremental Repayments'!$R$22="Debt",IF(AND(H$4&gt;=$D64,H$4&lt;$D64+'Incremental Repayments'!$I$31),-PMT('Interest Rate'!$J$16,'Incremental Repayments'!$I$31,(HLOOKUP($D64,$E$4:$CZ$32,28,FALSE)*'Incremental Repayments'!$I$22)),0),0)</f>
        <v>0</v>
      </c>
      <c r="I64" s="783">
        <f>IF('Incremental Repayments'!$R$22="Debt",IF(AND(I$4&gt;=$D64,I$4&lt;$D64+'Incremental Repayments'!$I$31),-PMT('Interest Rate'!$J$16,'Incremental Repayments'!$I$31,(HLOOKUP($D64,$E$4:$CZ$32,28,FALSE)*'Incremental Repayments'!$I$22)),0),0)</f>
        <v>0</v>
      </c>
      <c r="J64" s="783">
        <f>IF('Incremental Repayments'!$R$22="Debt",IF(AND(J$4&gt;=$D64,J$4&lt;$D64+'Incremental Repayments'!$I$31),-PMT('Interest Rate'!$J$16,'Incremental Repayments'!$I$31,(HLOOKUP($D64,$E$4:$CZ$32,28,FALSE)*'Incremental Repayments'!$I$22)),0),0)</f>
        <v>0</v>
      </c>
      <c r="K64" s="783">
        <f>IF('Incremental Repayments'!$R$22="Debt",IF(AND(K$4&gt;=$D64,K$4&lt;$D64+'Incremental Repayments'!$I$31),-PMT('Interest Rate'!$J$16,'Incremental Repayments'!$I$31,(HLOOKUP($D64,$E$4:$CZ$32,28,FALSE)*'Incremental Repayments'!$I$22)),0),0)</f>
        <v>0</v>
      </c>
      <c r="L64" s="783">
        <f>IF('Incremental Repayments'!$R$22="Debt",IF(AND(L$4&gt;=$D64,L$4&lt;$D64+'Incremental Repayments'!$I$31),-PMT('Interest Rate'!$J$16,'Incremental Repayments'!$I$31,(HLOOKUP($D64,$E$4:$CZ$32,28,FALSE)*'Incremental Repayments'!$I$22)),0),0)</f>
        <v>0</v>
      </c>
      <c r="M64" s="783">
        <f>IF('Incremental Repayments'!$R$22="Debt",IF(AND(M$4&gt;=$D64,M$4&lt;$D64+'Incremental Repayments'!$I$31),-PMT('Interest Rate'!$J$16,'Incremental Repayments'!$I$31,(HLOOKUP($D64,$E$4:$CZ$32,28,FALSE)*'Incremental Repayments'!$I$22)),0),0)</f>
        <v>0</v>
      </c>
      <c r="N64" s="783">
        <f>IF('Incremental Repayments'!$R$22="Debt",IF(AND(N$4&gt;=$D64,N$4&lt;$D64+'Incremental Repayments'!$I$31),-PMT('Interest Rate'!$J$16,'Incremental Repayments'!$I$31,(HLOOKUP($D64,$E$4:$CZ$32,28,FALSE)*'Incremental Repayments'!$I$22)),0),0)</f>
        <v>0</v>
      </c>
      <c r="O64" s="783">
        <f>IF('Incremental Repayments'!$R$22="Debt",IF(AND(O$4&gt;=$D64,O$4&lt;$D64+'Incremental Repayments'!$I$31),-PMT('Interest Rate'!$J$16,'Incremental Repayments'!$I$31,(HLOOKUP($D64,$E$4:$CZ$32,28,FALSE)*'Incremental Repayments'!$I$22)),0),0)</f>
        <v>0</v>
      </c>
      <c r="P64" s="783">
        <f>IF('Incremental Repayments'!$R$22="Debt",IF(AND(P$4&gt;=$D64,P$4&lt;$D64+'Incremental Repayments'!$I$31),-PMT('Interest Rate'!$J$16,'Incremental Repayments'!$I$31,(HLOOKUP($D64,$E$4:$CZ$32,28,FALSE)*'Incremental Repayments'!$I$22)),0),0)</f>
        <v>0</v>
      </c>
      <c r="Q64" s="783">
        <f>IF('Incremental Repayments'!$R$22="Debt",IF(AND(Q$4&gt;=$D64,Q$4&lt;$D64+'Incremental Repayments'!$I$31),-PMT('Interest Rate'!$J$16,'Incremental Repayments'!$I$31,(HLOOKUP($D64,$E$4:$CZ$32,28,FALSE)*'Incremental Repayments'!$I$22)),0),0)</f>
        <v>0</v>
      </c>
      <c r="R64" s="783">
        <f>IF('Incremental Repayments'!$R$22="Debt",IF(AND(R$4&gt;=$D64,R$4&lt;$D64+'Incremental Repayments'!$I$31),-PMT('Interest Rate'!$J$16,'Incremental Repayments'!$I$31,(HLOOKUP($D64,$E$4:$CZ$32,28,FALSE)*'Incremental Repayments'!$I$22)),0),0)</f>
        <v>0</v>
      </c>
      <c r="S64" s="783">
        <f>IF('Incremental Repayments'!$R$22="Debt",IF(AND(S$4&gt;=$D64,S$4&lt;$D64+'Incremental Repayments'!$I$31),-PMT('Interest Rate'!$J$16,'Incremental Repayments'!$I$31,(HLOOKUP($D64,$E$4:$CZ$32,28,FALSE)*'Incremental Repayments'!$I$22)),0),0)</f>
        <v>0</v>
      </c>
      <c r="T64" s="783">
        <f>IF('Incremental Repayments'!$R$22="Debt",IF(AND(T$4&gt;=$D64,T$4&lt;$D64+'Incremental Repayments'!$I$31),-PMT('Interest Rate'!$J$16,'Incremental Repayments'!$I$31,(HLOOKUP($D64,$E$4:$CZ$32,28,FALSE)*'Incremental Repayments'!$I$22)),0),0)</f>
        <v>0</v>
      </c>
      <c r="U64" s="783">
        <f>IF('Incremental Repayments'!$R$22="Debt",IF(AND(U$4&gt;=$D64,U$4&lt;$D64+'Incremental Repayments'!$I$31),-PMT('Interest Rate'!$J$16,'Incremental Repayments'!$I$31,(HLOOKUP($D64,$E$4:$CZ$32,28,FALSE)*'Incremental Repayments'!$I$22)),0),0)</f>
        <v>0</v>
      </c>
      <c r="V64" s="783">
        <f>IF('Incremental Repayments'!$R$22="Debt",IF(AND(V$4&gt;=$D64,V$4&lt;$D64+'Incremental Repayments'!$I$31),-PMT('Interest Rate'!$J$16,'Incremental Repayments'!$I$31,(HLOOKUP($D64,$E$4:$CZ$32,28,FALSE)*'Incremental Repayments'!$I$22)),0),0)</f>
        <v>0</v>
      </c>
      <c r="W64" s="783">
        <f>IF('Incremental Repayments'!$R$22="Debt",IF(AND(W$4&gt;=$D64,W$4&lt;$D64+'Incremental Repayments'!$I$31),-PMT('Interest Rate'!$J$16,'Incremental Repayments'!$I$31,(HLOOKUP($D64,$E$4:$CZ$32,28,FALSE)*'Incremental Repayments'!$I$22)),0),0)</f>
        <v>0</v>
      </c>
      <c r="X64" s="783">
        <f>IF('Incremental Repayments'!$R$22="Debt",IF(AND(X$4&gt;=$D64,X$4&lt;$D64+'Incremental Repayments'!$I$31),-PMT('Interest Rate'!$J$16,'Incremental Repayments'!$I$31,(HLOOKUP($D64,$E$4:$CZ$32,28,FALSE)*'Incremental Repayments'!$I$22)),0),0)</f>
        <v>0</v>
      </c>
      <c r="Y64" s="783">
        <f>IF('Incremental Repayments'!$R$22="Debt",IF(AND(Y$4&gt;=$D64,Y$4&lt;$D64+'Incremental Repayments'!$I$31),-PMT('Interest Rate'!$J$16,'Incremental Repayments'!$I$31,(HLOOKUP($D64,$E$4:$CZ$32,28,FALSE)*'Incremental Repayments'!$I$22)),0),0)</f>
        <v>0</v>
      </c>
      <c r="Z64" s="783">
        <f>IF('Incremental Repayments'!$R$22="Debt",IF(AND(Z$4&gt;=$D64,Z$4&lt;$D64+'Incremental Repayments'!$I$31),-PMT('Interest Rate'!$J$16,'Incremental Repayments'!$I$31,(HLOOKUP($D64,$E$4:$CZ$32,28,FALSE)*'Incremental Repayments'!$I$22)),0),0)</f>
        <v>0</v>
      </c>
      <c r="AA64" s="783">
        <f>IF('Incremental Repayments'!$R$22="Debt",IF(AND(AA$4&gt;=$D64,AA$4&lt;$D64+'Incremental Repayments'!$I$31),-PMT('Interest Rate'!$J$16,'Incremental Repayments'!$I$31,(HLOOKUP($D64,$E$4:$CZ$32,28,FALSE)*'Incremental Repayments'!$I$22)),0),0)</f>
        <v>0</v>
      </c>
      <c r="AB64" s="783">
        <f>IF('Incremental Repayments'!$R$22="Debt",IF(AND(AB$4&gt;=$D64,AB$4&lt;$D64+'Incremental Repayments'!$I$31),-PMT('Interest Rate'!$J$16,'Incremental Repayments'!$I$31,(HLOOKUP($D64,$E$4:$CZ$32,28,FALSE)*'Incremental Repayments'!$I$22)),0),0)</f>
        <v>0</v>
      </c>
      <c r="AC64" s="783">
        <f>IF('Incremental Repayments'!$R$22="Debt",IF(AND(AC$4&gt;=$D64,AC$4&lt;$D64+'Incremental Repayments'!$I$31),-PMT('Interest Rate'!$J$16,'Incremental Repayments'!$I$31,(HLOOKUP($D64,$E$4:$CZ$32,28,FALSE)*'Incremental Repayments'!$I$22)),0),0)</f>
        <v>0</v>
      </c>
      <c r="AD64" s="783">
        <f>IF('Incremental Repayments'!$R$22="Debt",IF(AND(AD$4&gt;=$D64,AD$4&lt;$D64+'Incremental Repayments'!$I$31),-PMT('Interest Rate'!$J$16,'Incremental Repayments'!$I$31,(HLOOKUP($D64,$E$4:$CZ$32,28,FALSE)*'Incremental Repayments'!$I$22)),0),0)</f>
        <v>0</v>
      </c>
      <c r="AE64" s="783">
        <f>IF('Incremental Repayments'!$R$22="Debt",IF(AND(AE$4&gt;=$D64,AE$4&lt;$D64+'Incremental Repayments'!$I$31),-PMT('Interest Rate'!$J$16,'Incremental Repayments'!$I$31,(HLOOKUP($D64,$E$4:$CZ$32,28,FALSE)*'Incremental Repayments'!$I$22)),0),0)</f>
        <v>0</v>
      </c>
      <c r="AF64" s="783">
        <f>IF('Incremental Repayments'!$R$22="Debt",IF(AND(AF$4&gt;=$D64,AF$4&lt;$D64+'Incremental Repayments'!$I$31),-PMT('Interest Rate'!$J$16,'Incremental Repayments'!$I$31,(HLOOKUP($D64,$E$4:$CZ$32,28,FALSE)*'Incremental Repayments'!$I$22)),0),0)</f>
        <v>0</v>
      </c>
      <c r="AG64" s="783">
        <f>IF('Incremental Repayments'!$R$22="Debt",IF(AND(AG$4&gt;=$D64,AG$4&lt;$D64+'Incremental Repayments'!$I$31),-PMT('Interest Rate'!$J$16,'Incremental Repayments'!$I$31,(HLOOKUP($D64,$E$4:$CZ$32,28,FALSE)*'Incremental Repayments'!$I$22)),0),0)</f>
        <v>6869625.7297557024</v>
      </c>
      <c r="AH64" s="783">
        <f>IF('Incremental Repayments'!$R$22="Debt",IF(AND(AH$4&gt;=$D64,AH$4&lt;$D64+'Incremental Repayments'!$I$31),-PMT('Interest Rate'!$J$16,'Incremental Repayments'!$I$31,(HLOOKUP($D64,$E$4:$CZ$32,28,FALSE)*'Incremental Repayments'!$I$22)),0),0)</f>
        <v>6869625.7297557024</v>
      </c>
      <c r="AI64" s="783">
        <f>IF('Incremental Repayments'!$R$22="Debt",IF(AND(AI$4&gt;=$D64,AI$4&lt;$D64+'Incremental Repayments'!$I$31),-PMT('Interest Rate'!$J$16,'Incremental Repayments'!$I$31,(HLOOKUP($D64,$E$4:$CZ$32,28,FALSE)*'Incremental Repayments'!$I$22)),0),0)</f>
        <v>6869625.7297557024</v>
      </c>
      <c r="AJ64" s="783">
        <f>IF('Incremental Repayments'!$R$22="Debt",IF(AND(AJ$4&gt;=$D64,AJ$4&lt;$D64+'Incremental Repayments'!$I$31),-PMT('Interest Rate'!$J$16,'Incremental Repayments'!$I$31,(HLOOKUP($D64,$E$4:$CZ$32,28,FALSE)*'Incremental Repayments'!$I$22)),0),0)</f>
        <v>6869625.7297557024</v>
      </c>
      <c r="AK64" s="783">
        <f>IF('Incremental Repayments'!$R$22="Debt",IF(AND(AK$4&gt;=$D64,AK$4&lt;$D64+'Incremental Repayments'!$I$31),-PMT('Interest Rate'!$J$16,'Incremental Repayments'!$I$31,(HLOOKUP($D64,$E$4:$CZ$32,28,FALSE)*'Incremental Repayments'!$I$22)),0),0)</f>
        <v>6869625.7297557024</v>
      </c>
      <c r="AL64" s="783">
        <f>IF('Incremental Repayments'!$R$22="Debt",IF(AND(AL$4&gt;=$D64,AL$4&lt;$D64+'Incremental Repayments'!$I$31),-PMT('Interest Rate'!$J$16,'Incremental Repayments'!$I$31,(HLOOKUP($D64,$E$4:$CZ$32,28,FALSE)*'Incremental Repayments'!$I$22)),0),0)</f>
        <v>6869625.7297557024</v>
      </c>
      <c r="AM64" s="783">
        <f>IF('Incremental Repayments'!$R$22="Debt",IF(AND(AM$4&gt;=$D64,AM$4&lt;$D64+'Incremental Repayments'!$I$31),-PMT('Interest Rate'!$J$16,'Incremental Repayments'!$I$31,(HLOOKUP($D64,$E$4:$CZ$32,28,FALSE)*'Incremental Repayments'!$I$22)),0),0)</f>
        <v>6869625.7297557024</v>
      </c>
      <c r="AN64" s="783">
        <f>IF('Incremental Repayments'!$R$22="Debt",IF(AND(AN$4&gt;=$D64,AN$4&lt;$D64+'Incremental Repayments'!$I$31),-PMT('Interest Rate'!$J$16,'Incremental Repayments'!$I$31,(HLOOKUP($D64,$E$4:$CZ$32,28,FALSE)*'Incremental Repayments'!$I$22)),0),0)</f>
        <v>6869625.7297557024</v>
      </c>
      <c r="AO64" s="783">
        <f>IF('Incremental Repayments'!$R$22="Debt",IF(AND(AO$4&gt;=$D64,AO$4&lt;$D64+'Incremental Repayments'!$I$31),-PMT('Interest Rate'!$J$16,'Incremental Repayments'!$I$31,(HLOOKUP($D64,$E$4:$CZ$32,28,FALSE)*'Incremental Repayments'!$I$22)),0),0)</f>
        <v>6869625.7297557024</v>
      </c>
      <c r="AP64" s="783">
        <f>IF('Incremental Repayments'!$R$22="Debt",IF(AND(AP$4&gt;=$D64,AP$4&lt;$D64+'Incremental Repayments'!$I$31),-PMT('Interest Rate'!$J$16,'Incremental Repayments'!$I$31,(HLOOKUP($D64,$E$4:$CZ$32,28,FALSE)*'Incremental Repayments'!$I$22)),0),0)</f>
        <v>6869625.7297557024</v>
      </c>
      <c r="AQ64" s="783">
        <f>IF('Incremental Repayments'!$R$22="Debt",IF(AND(AQ$4&gt;=$D64,AQ$4&lt;$D64+'Incremental Repayments'!$I$31),-PMT('Interest Rate'!$J$16,'Incremental Repayments'!$I$31,(HLOOKUP($D64,$E$4:$CZ$32,28,FALSE)*'Incremental Repayments'!$I$22)),0),0)</f>
        <v>6869625.7297557024</v>
      </c>
      <c r="AR64" s="783">
        <f>IF('Incremental Repayments'!$R$22="Debt",IF(AND(AR$4&gt;=$D64,AR$4&lt;$D64+'Incremental Repayments'!$I$31),-PMT('Interest Rate'!$J$16,'Incremental Repayments'!$I$31,(HLOOKUP($D64,$E$4:$CZ$32,28,FALSE)*'Incremental Repayments'!$I$22)),0),0)</f>
        <v>6869625.7297557024</v>
      </c>
      <c r="AS64" s="783">
        <f>IF('Incremental Repayments'!$R$22="Debt",IF(AND(AS$4&gt;=$D64,AS$4&lt;$D64+'Incremental Repayments'!$I$31),-PMT('Interest Rate'!$J$16,'Incremental Repayments'!$I$31,(HLOOKUP($D64,$E$4:$CZ$32,28,FALSE)*'Incremental Repayments'!$I$22)),0),0)</f>
        <v>6869625.7297557024</v>
      </c>
      <c r="AT64" s="783">
        <f>IF('Incremental Repayments'!$R$22="Debt",IF(AND(AT$4&gt;=$D64,AT$4&lt;$D64+'Incremental Repayments'!$I$31),-PMT('Interest Rate'!$J$16,'Incremental Repayments'!$I$31,(HLOOKUP($D64,$E$4:$CZ$32,28,FALSE)*'Incremental Repayments'!$I$22)),0),0)</f>
        <v>6869625.7297557024</v>
      </c>
      <c r="AU64" s="783">
        <f>IF('Incremental Repayments'!$R$22="Debt",IF(AND(AU$4&gt;=$D64,AU$4&lt;$D64+'Incremental Repayments'!$I$31),-PMT('Interest Rate'!$J$16,'Incremental Repayments'!$I$31,(HLOOKUP($D64,$E$4:$CZ$32,28,FALSE)*'Incremental Repayments'!$I$22)),0),0)</f>
        <v>6869625.7297557024</v>
      </c>
      <c r="AV64" s="783">
        <f>IF('Incremental Repayments'!$R$22="Debt",IF(AND(AV$4&gt;=$D64,AV$4&lt;$D64+'Incremental Repayments'!$I$31),-PMT('Interest Rate'!$J$16,'Incremental Repayments'!$I$31,(HLOOKUP($D64,$E$4:$CZ$32,28,FALSE)*'Incremental Repayments'!$I$22)),0),0)</f>
        <v>6869625.7297557024</v>
      </c>
      <c r="AW64" s="783">
        <f>IF('Incremental Repayments'!$R$22="Debt",IF(AND(AW$4&gt;=$D64,AW$4&lt;$D64+'Incremental Repayments'!$I$31),-PMT('Interest Rate'!$J$16,'Incremental Repayments'!$I$31,(HLOOKUP($D64,$E$4:$CZ$32,28,FALSE)*'Incremental Repayments'!$I$22)),0),0)</f>
        <v>6869625.7297557024</v>
      </c>
      <c r="AX64" s="783">
        <f>IF('Incremental Repayments'!$R$22="Debt",IF(AND(AX$4&gt;=$D64,AX$4&lt;$D64+'Incremental Repayments'!$I$31),-PMT('Interest Rate'!$J$16,'Incremental Repayments'!$I$31,(HLOOKUP($D64,$E$4:$CZ$32,28,FALSE)*'Incremental Repayments'!$I$22)),0),0)</f>
        <v>6869625.7297557024</v>
      </c>
      <c r="AY64" s="783">
        <f>IF('Incremental Repayments'!$R$22="Debt",IF(AND(AY$4&gt;=$D64,AY$4&lt;$D64+'Incremental Repayments'!$I$31),-PMT('Interest Rate'!$J$16,'Incremental Repayments'!$I$31,(HLOOKUP($D64,$E$4:$CZ$32,28,FALSE)*'Incremental Repayments'!$I$22)),0),0)</f>
        <v>6869625.7297557024</v>
      </c>
      <c r="AZ64" s="783">
        <f>IF('Incremental Repayments'!$R$22="Debt",IF(AND(AZ$4&gt;=$D64,AZ$4&lt;$D64+'Incremental Repayments'!$I$31),-PMT('Interest Rate'!$J$16,'Incremental Repayments'!$I$31,(HLOOKUP($D64,$E$4:$CZ$32,28,FALSE)*'Incremental Repayments'!$I$22)),0),0)</f>
        <v>6869625.7297557024</v>
      </c>
      <c r="BA64" s="783">
        <f>IF('Incremental Repayments'!$R$22="Debt",IF(AND(BA$4&gt;=$D64,BA$4&lt;$D64+'Incremental Repayments'!$I$31),-PMT('Interest Rate'!$J$16,'Incremental Repayments'!$I$31,(HLOOKUP($D64,$E$4:$CZ$32,28,FALSE)*'Incremental Repayments'!$I$22)),0),0)</f>
        <v>6869625.7297557024</v>
      </c>
      <c r="BB64" s="783">
        <f>IF('Incremental Repayments'!$R$22="Debt",IF(AND(BB$4&gt;=$D64,BB$4&lt;$D64+'Incremental Repayments'!$I$31),-PMT('Interest Rate'!$J$16,'Incremental Repayments'!$I$31,(HLOOKUP($D64,$E$4:$CZ$32,28,FALSE)*'Incremental Repayments'!$I$22)),0),0)</f>
        <v>6869625.7297557024</v>
      </c>
      <c r="BC64" s="783">
        <f>IF('Incremental Repayments'!$R$22="Debt",IF(AND(BC$4&gt;=$D64,BC$4&lt;$D64+'Incremental Repayments'!$I$31),-PMT('Interest Rate'!$J$16,'Incremental Repayments'!$I$31,(HLOOKUP($D64,$E$4:$CZ$32,28,FALSE)*'Incremental Repayments'!$I$22)),0),0)</f>
        <v>6869625.7297557024</v>
      </c>
      <c r="BD64" s="783">
        <f>IF('Incremental Repayments'!$R$22="Debt",IF(AND(BD$4&gt;=$D64,BD$4&lt;$D64+'Incremental Repayments'!$I$31),-PMT('Interest Rate'!$J$16,'Incremental Repayments'!$I$31,(HLOOKUP($D64,$E$4:$CZ$32,28,FALSE)*'Incremental Repayments'!$I$22)),0),0)</f>
        <v>6869625.7297557024</v>
      </c>
      <c r="BE64" s="783">
        <f>IF('Incremental Repayments'!$R$22="Debt",IF(AND(BE$4&gt;=$D64,BE$4&lt;$D64+'Incremental Repayments'!$I$31),-PMT('Interest Rate'!$J$16,'Incremental Repayments'!$I$31,(HLOOKUP($D64,$E$4:$CZ$32,28,FALSE)*'Incremental Repayments'!$I$22)),0),0)</f>
        <v>6869625.7297557024</v>
      </c>
      <c r="BF64" s="783">
        <f>IF('Incremental Repayments'!$R$22="Debt",IF(AND(BF$4&gt;=$D64,BF$4&lt;$D64+'Incremental Repayments'!$I$31),-PMT('Interest Rate'!$J$16,'Incremental Repayments'!$I$31,(HLOOKUP($D64,$E$4:$CZ$32,28,FALSE)*'Incremental Repayments'!$I$22)),0),0)</f>
        <v>6869625.7297557024</v>
      </c>
      <c r="BG64" s="783">
        <f>IF('Incremental Repayments'!$R$22="Debt",IF(AND(BG$4&gt;=$D64,BG$4&lt;$D64+'Incremental Repayments'!$I$31),-PMT('Interest Rate'!$J$16,'Incremental Repayments'!$I$31,(HLOOKUP($D64,$E$4:$CZ$32,28,FALSE)*'Incremental Repayments'!$I$22)),0),0)</f>
        <v>6869625.7297557024</v>
      </c>
      <c r="BH64" s="783">
        <f>IF('Incremental Repayments'!$R$22="Debt",IF(AND(BH$4&gt;=$D64,BH$4&lt;$D64+'Incremental Repayments'!$I$31),-PMT('Interest Rate'!$J$16,'Incremental Repayments'!$I$31,(HLOOKUP($D64,$E$4:$CZ$32,28,FALSE)*'Incremental Repayments'!$I$22)),0),0)</f>
        <v>6869625.7297557024</v>
      </c>
      <c r="BI64" s="783">
        <f>IF('Incremental Repayments'!$R$22="Debt",IF(AND(BI$4&gt;=$D64,BI$4&lt;$D64+'Incremental Repayments'!$I$31),-PMT('Interest Rate'!$J$16,'Incremental Repayments'!$I$31,(HLOOKUP($D64,$E$4:$CZ$32,28,FALSE)*'Incremental Repayments'!$I$22)),0),0)</f>
        <v>6869625.7297557024</v>
      </c>
      <c r="BJ64" s="783">
        <f>IF('Incremental Repayments'!$R$22="Debt",IF(AND(BJ$4&gt;=$D64,BJ$4&lt;$D64+'Incremental Repayments'!$I$31),-PMT('Interest Rate'!$J$16,'Incremental Repayments'!$I$31,(HLOOKUP($D64,$E$4:$CZ$32,28,FALSE)*'Incremental Repayments'!$I$22)),0),0)</f>
        <v>6869625.7297557024</v>
      </c>
      <c r="BK64" s="783">
        <f>IF('Incremental Repayments'!$R$22="Debt",IF(AND(BK$4&gt;=$D64,BK$4&lt;$D64+'Incremental Repayments'!$I$31),-PMT('Interest Rate'!$J$16,'Incremental Repayments'!$I$31,(HLOOKUP($D64,$E$4:$CZ$32,28,FALSE)*'Incremental Repayments'!$I$22)),0),0)</f>
        <v>0</v>
      </c>
      <c r="BL64" s="783">
        <f>IF('Incremental Repayments'!$R$22="Debt",IF(AND(BL$4&gt;=$D64,BL$4&lt;$D64+'Incremental Repayments'!$I$31),-PMT('Interest Rate'!$J$16,'Incremental Repayments'!$I$31,(HLOOKUP($D64,$E$4:$CZ$32,28,FALSE)*'Incremental Repayments'!$I$22)),0),0)</f>
        <v>0</v>
      </c>
      <c r="BM64" s="783">
        <f>IF('Incremental Repayments'!$R$22="Debt",IF(AND(BM$4&gt;=$D64,BM$4&lt;$D64+'Incremental Repayments'!$I$31),-PMT('Interest Rate'!$J$16,'Incremental Repayments'!$I$31,(HLOOKUP($D64,$E$4:$CZ$32,28,FALSE)*'Incremental Repayments'!$I$22)),0),0)</f>
        <v>0</v>
      </c>
      <c r="BN64" s="783">
        <f>IF('Incremental Repayments'!$R$22="Debt",IF(AND(BN$4&gt;=$D64,BN$4&lt;$D64+'Incremental Repayments'!$I$31),-PMT('Interest Rate'!$J$16,'Incremental Repayments'!$I$31,(HLOOKUP($D64,$E$4:$CZ$32,28,FALSE)*'Incremental Repayments'!$I$22)),0),0)</f>
        <v>0</v>
      </c>
      <c r="BO64" s="783">
        <f>IF('Incremental Repayments'!$R$22="Debt",IF(AND(BO$4&gt;=$D64,BO$4&lt;$D64+'Incremental Repayments'!$I$31),-PMT('Interest Rate'!$J$16,'Incremental Repayments'!$I$31,(HLOOKUP($D64,$E$4:$CZ$32,28,FALSE)*'Incremental Repayments'!$I$22)),0),0)</f>
        <v>0</v>
      </c>
      <c r="BP64" s="783">
        <f>IF('Incremental Repayments'!$R$22="Debt",IF(AND(BP$4&gt;=$D64,BP$4&lt;$D64+'Incremental Repayments'!$I$31),-PMT('Interest Rate'!$J$16,'Incremental Repayments'!$I$31,(HLOOKUP($D64,$E$4:$CZ$32,28,FALSE)*'Incremental Repayments'!$I$22)),0),0)</f>
        <v>0</v>
      </c>
      <c r="BQ64" s="783">
        <f>IF('Incremental Repayments'!$R$22="Debt",IF(AND(BQ$4&gt;=$D64,BQ$4&lt;$D64+'Incremental Repayments'!$I$31),-PMT('Interest Rate'!$J$16,'Incremental Repayments'!$I$31,(HLOOKUP($D64,$E$4:$CZ$32,28,FALSE)*'Incremental Repayments'!$I$22)),0),0)</f>
        <v>0</v>
      </c>
      <c r="BR64" s="783">
        <f>IF('Incremental Repayments'!$R$22="Debt",IF(AND(BR$4&gt;=$D64,BR$4&lt;$D64+'Incremental Repayments'!$I$31),-PMT('Interest Rate'!$J$16,'Incremental Repayments'!$I$31,(HLOOKUP($D64,$E$4:$CZ$32,28,FALSE)*'Incremental Repayments'!$I$22)),0),0)</f>
        <v>0</v>
      </c>
      <c r="BS64" s="783">
        <f>IF('Incremental Repayments'!$R$22="Debt",IF(AND(BS$4&gt;=$D64,BS$4&lt;$D64+'Incremental Repayments'!$I$31),-PMT('Interest Rate'!$J$16,'Incremental Repayments'!$I$31,(HLOOKUP($D64,$E$4:$CZ$32,28,FALSE)*'Incremental Repayments'!$I$22)),0),0)</f>
        <v>0</v>
      </c>
      <c r="BT64" s="783">
        <f>IF('Incremental Repayments'!$R$22="Debt",IF(AND(BT$4&gt;=$D64,BT$4&lt;$D64+'Incremental Repayments'!$I$31),-PMT('Interest Rate'!$J$16,'Incremental Repayments'!$I$31,(HLOOKUP($D64,$E$4:$CZ$32,28,FALSE)*'Incremental Repayments'!$I$22)),0),0)</f>
        <v>0</v>
      </c>
      <c r="BU64" s="783">
        <f>IF('Incremental Repayments'!$R$22="Debt",IF(AND(BU$4&gt;=$D64,BU$4&lt;$D64+'Incremental Repayments'!$I$31),-PMT('Interest Rate'!$J$16,'Incremental Repayments'!$I$31,(HLOOKUP($D64,$E$4:$CZ$32,28,FALSE)*'Incremental Repayments'!$I$22)),0),0)</f>
        <v>0</v>
      </c>
      <c r="BV64" s="783">
        <f>IF('Incremental Repayments'!$R$22="Debt",IF(AND(BV$4&gt;=$D64,BV$4&lt;$D64+'Incremental Repayments'!$I$31),-PMT('Interest Rate'!$J$16,'Incremental Repayments'!$I$31,(HLOOKUP($D64,$E$4:$CZ$32,28,FALSE)*'Incremental Repayments'!$I$22)),0),0)</f>
        <v>0</v>
      </c>
      <c r="BW64" s="783">
        <f>IF('Incremental Repayments'!$R$22="Debt",IF(AND(BW$4&gt;=$D64,BW$4&lt;$D64+'Incremental Repayments'!$I$31),-PMT('Interest Rate'!$J$16,'Incremental Repayments'!$I$31,(HLOOKUP($D64,$E$4:$CZ$32,28,FALSE)*'Incremental Repayments'!$I$22)),0),0)</f>
        <v>0</v>
      </c>
      <c r="BX64" s="783">
        <f>IF('Incremental Repayments'!$R$22="Debt",IF(AND(BX$4&gt;=$D64,BX$4&lt;$D64+'Incremental Repayments'!$I$31),-PMT('Interest Rate'!$J$16,'Incremental Repayments'!$I$31,(HLOOKUP($D64,$E$4:$CZ$32,28,FALSE)*'Incremental Repayments'!$I$22)),0),0)</f>
        <v>0</v>
      </c>
      <c r="BY64" s="783">
        <f>IF('Incremental Repayments'!$R$22="Debt",IF(AND(BY$4&gt;=$D64,BY$4&lt;$D64+'Incremental Repayments'!$I$31),-PMT('Interest Rate'!$J$16,'Incremental Repayments'!$I$31,(HLOOKUP($D64,$E$4:$CZ$32,28,FALSE)*'Incremental Repayments'!$I$22)),0),0)</f>
        <v>0</v>
      </c>
      <c r="BZ64" s="783">
        <f>IF('Incremental Repayments'!$R$22="Debt",IF(AND(BZ$4&gt;=$D64,BZ$4&lt;$D64+'Incremental Repayments'!$I$31),-PMT('Interest Rate'!$J$16,'Incremental Repayments'!$I$31,(HLOOKUP($D64,$E$4:$CZ$32,28,FALSE)*'Incremental Repayments'!$I$22)),0),0)</f>
        <v>0</v>
      </c>
      <c r="CA64" s="783">
        <f>IF('Incremental Repayments'!$R$22="Debt",IF(AND(CA$4&gt;=$D64,CA$4&lt;$D64+'Incremental Repayments'!$I$31),-PMT('Interest Rate'!$J$16,'Incremental Repayments'!$I$31,(HLOOKUP($D64,$E$4:$CZ$32,28,FALSE)*'Incremental Repayments'!$I$22)),0),0)</f>
        <v>0</v>
      </c>
      <c r="CB64" s="783">
        <f>IF('Incremental Repayments'!$R$22="Debt",IF(AND(CB$4&gt;=$D64,CB$4&lt;$D64+'Incremental Repayments'!$I$31),-PMT('Interest Rate'!$J$16,'Incremental Repayments'!$I$31,(HLOOKUP($D64,$E$4:$CZ$32,28,FALSE)*'Incremental Repayments'!$I$22)),0),0)</f>
        <v>0</v>
      </c>
      <c r="CC64" s="783">
        <f>IF('Incremental Repayments'!$R$22="Debt",IF(AND(CC$4&gt;=$D64,CC$4&lt;$D64+'Incremental Repayments'!$I$31),-PMT('Interest Rate'!$J$16,'Incremental Repayments'!$I$31,(HLOOKUP($D64,$E$4:$CZ$32,28,FALSE)*'Incremental Repayments'!$I$22)),0),0)</f>
        <v>0</v>
      </c>
      <c r="CD64" s="783">
        <f>IF('Incremental Repayments'!$R$22="Debt",IF(AND(CD$4&gt;=$D64,CD$4&lt;$D64+'Incremental Repayments'!$I$31),-PMT('Interest Rate'!$J$16,'Incremental Repayments'!$I$31,(HLOOKUP($D64,$E$4:$CZ$32,28,FALSE)*'Incremental Repayments'!$I$22)),0),0)</f>
        <v>0</v>
      </c>
      <c r="CE64" s="783">
        <f>IF('Incremental Repayments'!$R$22="Debt",IF(AND(CE$4&gt;=$D64,CE$4&lt;$D64+'Incremental Repayments'!$I$31),-PMT('Interest Rate'!$J$16,'Incremental Repayments'!$I$31,(HLOOKUP($D64,$E$4:$CZ$32,28,FALSE)*'Incremental Repayments'!$I$22)),0),0)</f>
        <v>0</v>
      </c>
      <c r="CF64" s="783">
        <f>IF('Incremental Repayments'!$R$22="Debt",IF(AND(CF$4&gt;=$D64,CF$4&lt;$D64+'Incremental Repayments'!$I$31),-PMT('Interest Rate'!$J$16,'Incremental Repayments'!$I$31,(HLOOKUP($D64,$E$4:$CZ$32,28,FALSE)*'Incremental Repayments'!$I$22)),0),0)</f>
        <v>0</v>
      </c>
      <c r="CG64" s="783">
        <f>IF('Incremental Repayments'!$R$22="Debt",IF(AND(CG$4&gt;=$D64,CG$4&lt;$D64+'Incremental Repayments'!$I$31),-PMT('Interest Rate'!$J$16,'Incremental Repayments'!$I$31,(HLOOKUP($D64,$E$4:$CZ$32,28,FALSE)*'Incremental Repayments'!$I$22)),0),0)</f>
        <v>0</v>
      </c>
      <c r="CH64" s="783">
        <f>IF('Incremental Repayments'!$R$22="Debt",IF(AND(CH$4&gt;=$D64,CH$4&lt;$D64+'Incremental Repayments'!$I$31),-PMT('Interest Rate'!$J$16,'Incremental Repayments'!$I$31,(HLOOKUP($D64,$E$4:$CZ$32,28,FALSE)*'Incremental Repayments'!$I$22)),0),0)</f>
        <v>0</v>
      </c>
      <c r="CI64" s="783">
        <f>IF('Incremental Repayments'!$R$22="Debt",IF(AND(CI$4&gt;=$D64,CI$4&lt;$D64+'Incremental Repayments'!$I$31),-PMT('Interest Rate'!$J$16,'Incremental Repayments'!$I$31,(HLOOKUP($D64,$E$4:$CZ$32,28,FALSE)*'Incremental Repayments'!$I$22)),0),0)</f>
        <v>0</v>
      </c>
      <c r="CJ64" s="783">
        <f>IF('Incremental Repayments'!$R$22="Debt",IF(AND(CJ$4&gt;=$D64,CJ$4&lt;$D64+'Incremental Repayments'!$I$31),-PMT('Interest Rate'!$J$16,'Incremental Repayments'!$I$31,(HLOOKUP($D64,$E$4:$CZ$32,28,FALSE)*'Incremental Repayments'!$I$22)),0),0)</f>
        <v>0</v>
      </c>
      <c r="CK64" s="783">
        <f>IF('Incremental Repayments'!$R$22="Debt",IF(AND(CK$4&gt;=$D64,CK$4&lt;$D64+'Incremental Repayments'!$I$31),-PMT('Interest Rate'!$J$16,'Incremental Repayments'!$I$31,(HLOOKUP($D64,$E$4:$CZ$32,28,FALSE)*'Incremental Repayments'!$I$22)),0),0)</f>
        <v>0</v>
      </c>
      <c r="CL64" s="783">
        <f>IF('Incremental Repayments'!$R$22="Debt",IF(AND(CL$4&gt;=$D64,CL$4&lt;$D64+'Incremental Repayments'!$I$31),-PMT('Interest Rate'!$J$16,'Incremental Repayments'!$I$31,(HLOOKUP($D64,$E$4:$CZ$32,28,FALSE)*'Incremental Repayments'!$I$22)),0),0)</f>
        <v>0</v>
      </c>
      <c r="CM64" s="783">
        <f>IF('Incremental Repayments'!$R$22="Debt",IF(AND(CM$4&gt;=$D64,CM$4&lt;$D64+'Incremental Repayments'!$I$31),-PMT('Interest Rate'!$J$16,'Incremental Repayments'!$I$31,(HLOOKUP($D64,$E$4:$CZ$32,28,FALSE)*'Incremental Repayments'!$I$22)),0),0)</f>
        <v>0</v>
      </c>
      <c r="CN64" s="783">
        <f>IF('Incremental Repayments'!$R$22="Debt",IF(AND(CN$4&gt;=$D64,CN$4&lt;$D64+'Incremental Repayments'!$I$31),-PMT('Interest Rate'!$J$16,'Incremental Repayments'!$I$31,(HLOOKUP($D64,$E$4:$CZ$32,28,FALSE)*'Incremental Repayments'!$I$22)),0),0)</f>
        <v>0</v>
      </c>
      <c r="CO64" s="783">
        <f>IF('Incremental Repayments'!$R$22="Debt",IF(AND(CO$4&gt;=$D64,CO$4&lt;$D64+'Incremental Repayments'!$I$31),-PMT('Interest Rate'!$J$16,'Incremental Repayments'!$I$31,(HLOOKUP($D64,$E$4:$CZ$32,28,FALSE)*'Incremental Repayments'!$I$22)),0),0)</f>
        <v>0</v>
      </c>
      <c r="CP64" s="783">
        <f>IF('Incremental Repayments'!$R$22="Debt",IF(AND(CP$4&gt;=$D64,CP$4&lt;$D64+'Incremental Repayments'!$I$31),-PMT('Interest Rate'!$J$16,'Incremental Repayments'!$I$31,(HLOOKUP($D64,$E$4:$CZ$32,28,FALSE)*'Incremental Repayments'!$I$22)),0),0)</f>
        <v>0</v>
      </c>
      <c r="CQ64" s="783">
        <f>IF('Incremental Repayments'!$R$22="Debt",IF(AND(CQ$4&gt;=$D64,CQ$4&lt;$D64+'Incremental Repayments'!$I$31),-PMT('Interest Rate'!$J$16,'Incremental Repayments'!$I$31,(HLOOKUP($D64,$E$4:$CZ$32,28,FALSE)*'Incremental Repayments'!$I$22)),0),0)</f>
        <v>0</v>
      </c>
      <c r="CR64" s="783">
        <f>IF('Incremental Repayments'!$R$22="Debt",IF(AND(CR$4&gt;=$D64,CR$4&lt;$D64+'Incremental Repayments'!$I$31),-PMT('Interest Rate'!$J$16,'Incremental Repayments'!$I$31,(HLOOKUP($D64,$E$4:$CZ$32,28,FALSE)*'Incremental Repayments'!$I$22)),0),0)</f>
        <v>0</v>
      </c>
      <c r="CS64" s="783">
        <f>IF('Incremental Repayments'!$R$22="Debt",IF(AND(CS$4&gt;=$D64,CS$4&lt;$D64+'Incremental Repayments'!$I$31),-PMT('Interest Rate'!$J$16,'Incremental Repayments'!$I$31,(HLOOKUP($D64,$E$4:$CZ$32,28,FALSE)*'Incremental Repayments'!$I$22)),0),0)</f>
        <v>0</v>
      </c>
      <c r="CT64" s="783">
        <f>IF('Incremental Repayments'!$R$22="Debt",IF(AND(CT$4&gt;=$D64,CT$4&lt;$D64+'Incremental Repayments'!$I$31),-PMT('Interest Rate'!$J$16,'Incremental Repayments'!$I$31,(HLOOKUP($D64,$E$4:$CZ$32,28,FALSE)*'Incremental Repayments'!$I$22)),0),0)</f>
        <v>0</v>
      </c>
      <c r="CU64" s="783">
        <f>IF('Incremental Repayments'!$R$22="Debt",IF(AND(CU$4&gt;=$D64,CU$4&lt;$D64+'Incremental Repayments'!$I$31),-PMT('Interest Rate'!$J$16,'Incremental Repayments'!$I$31,(HLOOKUP($D64,$E$4:$CZ$32,28,FALSE)*'Incremental Repayments'!$I$22)),0),0)</f>
        <v>0</v>
      </c>
      <c r="CV64" s="783">
        <f>IF('Incremental Repayments'!$R$22="Debt",IF(AND(CV$4&gt;=$D64,CV$4&lt;$D64+'Incremental Repayments'!$I$31),-PMT('Interest Rate'!$J$16,'Incremental Repayments'!$I$31,(HLOOKUP($D64,$E$4:$CZ$32,28,FALSE)*'Incremental Repayments'!$I$22)),0),0)</f>
        <v>0</v>
      </c>
      <c r="CW64" s="783">
        <f>IF('Incremental Repayments'!$R$22="Debt",IF(AND(CW$4&gt;=$D64,CW$4&lt;$D64+'Incremental Repayments'!$I$31),-PMT('Interest Rate'!$J$16,'Incremental Repayments'!$I$31,(HLOOKUP($D64,$E$4:$CZ$32,28,FALSE)*'Incremental Repayments'!$I$22)),0),0)</f>
        <v>0</v>
      </c>
      <c r="CX64" s="783">
        <f>IF('Incremental Repayments'!$R$22="Debt",IF(AND(CX$4&gt;=$D64,CX$4&lt;$D64+'Incremental Repayments'!$I$31),-PMT('Interest Rate'!$J$16,'Incremental Repayments'!$I$31,(HLOOKUP($D64,$E$4:$CZ$32,28,FALSE)*'Incremental Repayments'!$I$22)),0),0)</f>
        <v>0</v>
      </c>
      <c r="CY64" s="783">
        <f>IF('Incremental Repayments'!$R$22="Debt",IF(AND(CY$4&gt;=$D64,CY$4&lt;$D64+'Incremental Repayments'!$I$31),-PMT('Interest Rate'!$J$16,'Incremental Repayments'!$I$31,(HLOOKUP($D64,$E$4:$CZ$32,28,FALSE)*'Incremental Repayments'!$I$22)),0),0)</f>
        <v>0</v>
      </c>
      <c r="CZ64" s="783">
        <f>IF('Incremental Repayments'!$R$22="Debt",IF(AND(CZ$4&gt;=$D64,CZ$4&lt;$D64+'Incremental Repayments'!$I$31),-PMT('Interest Rate'!$J$16,'Incremental Repayments'!$I$31,(HLOOKUP($D64,$E$4:$CZ$32,28,FALSE)*'Incremental Repayments'!$I$22)),0),0)</f>
        <v>0</v>
      </c>
    </row>
    <row r="65" spans="2:104" x14ac:dyDescent="0.25">
      <c r="B65" s="480" t="str">
        <f>CONCATENATE("Series ",D65,"A Bonds (at ",'Interest Rate'!$J$16*100,"% Interest)")</f>
        <v>Series 2043A Bonds (at 4.5% Interest)</v>
      </c>
      <c r="C65" s="480"/>
      <c r="D65" s="492">
        <f t="shared" si="47"/>
        <v>2043</v>
      </c>
      <c r="E65" s="783">
        <f>IF('Incremental Repayments'!$R$22="Debt",IF(AND(E$4&gt;=$D65,E$4&lt;$D65+'Incremental Repayments'!$I$31),-PMT('Interest Rate'!$J$16,'Incremental Repayments'!$I$31,(HLOOKUP($D65,$E$4:$CZ$32,28,FALSE)*'Incremental Repayments'!$I$22)),0),0)</f>
        <v>0</v>
      </c>
      <c r="F65" s="783">
        <f>IF('Incremental Repayments'!$R$22="Debt",IF(AND(F$4&gt;=$D65,F$4&lt;$D65+'Incremental Repayments'!$I$31),-PMT('Interest Rate'!$J$16,'Incremental Repayments'!$I$31,(HLOOKUP($D65,$E$4:$CZ$32,28,FALSE)*'Incremental Repayments'!$I$22)),0),0)</f>
        <v>0</v>
      </c>
      <c r="G65" s="783">
        <f>IF('Incremental Repayments'!$R$22="Debt",IF(AND(G$4&gt;=$D65,G$4&lt;$D65+'Incremental Repayments'!$I$31),-PMT('Interest Rate'!$J$16,'Incremental Repayments'!$I$31,(HLOOKUP($D65,$E$4:$CZ$32,28,FALSE)*'Incremental Repayments'!$I$22)),0),0)</f>
        <v>0</v>
      </c>
      <c r="H65" s="783">
        <f>IF('Incremental Repayments'!$R$22="Debt",IF(AND(H$4&gt;=$D65,H$4&lt;$D65+'Incremental Repayments'!$I$31),-PMT('Interest Rate'!$J$16,'Incremental Repayments'!$I$31,(HLOOKUP($D65,$E$4:$CZ$32,28,FALSE)*'Incremental Repayments'!$I$22)),0),0)</f>
        <v>0</v>
      </c>
      <c r="I65" s="783">
        <f>IF('Incremental Repayments'!$R$22="Debt",IF(AND(I$4&gt;=$D65,I$4&lt;$D65+'Incremental Repayments'!$I$31),-PMT('Interest Rate'!$J$16,'Incremental Repayments'!$I$31,(HLOOKUP($D65,$E$4:$CZ$32,28,FALSE)*'Incremental Repayments'!$I$22)),0),0)</f>
        <v>0</v>
      </c>
      <c r="J65" s="783">
        <f>IF('Incremental Repayments'!$R$22="Debt",IF(AND(J$4&gt;=$D65,J$4&lt;$D65+'Incremental Repayments'!$I$31),-PMT('Interest Rate'!$J$16,'Incremental Repayments'!$I$31,(HLOOKUP($D65,$E$4:$CZ$32,28,FALSE)*'Incremental Repayments'!$I$22)),0),0)</f>
        <v>0</v>
      </c>
      <c r="K65" s="783">
        <f>IF('Incremental Repayments'!$R$22="Debt",IF(AND(K$4&gt;=$D65,K$4&lt;$D65+'Incremental Repayments'!$I$31),-PMT('Interest Rate'!$J$16,'Incremental Repayments'!$I$31,(HLOOKUP($D65,$E$4:$CZ$32,28,FALSE)*'Incremental Repayments'!$I$22)),0),0)</f>
        <v>0</v>
      </c>
      <c r="L65" s="783">
        <f>IF('Incremental Repayments'!$R$22="Debt",IF(AND(L$4&gt;=$D65,L$4&lt;$D65+'Incremental Repayments'!$I$31),-PMT('Interest Rate'!$J$16,'Incremental Repayments'!$I$31,(HLOOKUP($D65,$E$4:$CZ$32,28,FALSE)*'Incremental Repayments'!$I$22)),0),0)</f>
        <v>0</v>
      </c>
      <c r="M65" s="783">
        <f>IF('Incremental Repayments'!$R$22="Debt",IF(AND(M$4&gt;=$D65,M$4&lt;$D65+'Incremental Repayments'!$I$31),-PMT('Interest Rate'!$J$16,'Incremental Repayments'!$I$31,(HLOOKUP($D65,$E$4:$CZ$32,28,FALSE)*'Incremental Repayments'!$I$22)),0),0)</f>
        <v>0</v>
      </c>
      <c r="N65" s="783">
        <f>IF('Incremental Repayments'!$R$22="Debt",IF(AND(N$4&gt;=$D65,N$4&lt;$D65+'Incremental Repayments'!$I$31),-PMT('Interest Rate'!$J$16,'Incremental Repayments'!$I$31,(HLOOKUP($D65,$E$4:$CZ$32,28,FALSE)*'Incremental Repayments'!$I$22)),0),0)</f>
        <v>0</v>
      </c>
      <c r="O65" s="783">
        <f>IF('Incremental Repayments'!$R$22="Debt",IF(AND(O$4&gt;=$D65,O$4&lt;$D65+'Incremental Repayments'!$I$31),-PMT('Interest Rate'!$J$16,'Incremental Repayments'!$I$31,(HLOOKUP($D65,$E$4:$CZ$32,28,FALSE)*'Incremental Repayments'!$I$22)),0),0)</f>
        <v>0</v>
      </c>
      <c r="P65" s="783">
        <f>IF('Incremental Repayments'!$R$22="Debt",IF(AND(P$4&gt;=$D65,P$4&lt;$D65+'Incremental Repayments'!$I$31),-PMT('Interest Rate'!$J$16,'Incremental Repayments'!$I$31,(HLOOKUP($D65,$E$4:$CZ$32,28,FALSE)*'Incremental Repayments'!$I$22)),0),0)</f>
        <v>0</v>
      </c>
      <c r="Q65" s="783">
        <f>IF('Incremental Repayments'!$R$22="Debt",IF(AND(Q$4&gt;=$D65,Q$4&lt;$D65+'Incremental Repayments'!$I$31),-PMT('Interest Rate'!$J$16,'Incremental Repayments'!$I$31,(HLOOKUP($D65,$E$4:$CZ$32,28,FALSE)*'Incremental Repayments'!$I$22)),0),0)</f>
        <v>0</v>
      </c>
      <c r="R65" s="783">
        <f>IF('Incremental Repayments'!$R$22="Debt",IF(AND(R$4&gt;=$D65,R$4&lt;$D65+'Incremental Repayments'!$I$31),-PMT('Interest Rate'!$J$16,'Incremental Repayments'!$I$31,(HLOOKUP($D65,$E$4:$CZ$32,28,FALSE)*'Incremental Repayments'!$I$22)),0),0)</f>
        <v>0</v>
      </c>
      <c r="S65" s="783">
        <f>IF('Incremental Repayments'!$R$22="Debt",IF(AND(S$4&gt;=$D65,S$4&lt;$D65+'Incremental Repayments'!$I$31),-PMT('Interest Rate'!$J$16,'Incremental Repayments'!$I$31,(HLOOKUP($D65,$E$4:$CZ$32,28,FALSE)*'Incremental Repayments'!$I$22)),0),0)</f>
        <v>0</v>
      </c>
      <c r="T65" s="783">
        <f>IF('Incremental Repayments'!$R$22="Debt",IF(AND(T$4&gt;=$D65,T$4&lt;$D65+'Incremental Repayments'!$I$31),-PMT('Interest Rate'!$J$16,'Incremental Repayments'!$I$31,(HLOOKUP($D65,$E$4:$CZ$32,28,FALSE)*'Incremental Repayments'!$I$22)),0),0)</f>
        <v>0</v>
      </c>
      <c r="U65" s="783">
        <f>IF('Incremental Repayments'!$R$22="Debt",IF(AND(U$4&gt;=$D65,U$4&lt;$D65+'Incremental Repayments'!$I$31),-PMT('Interest Rate'!$J$16,'Incremental Repayments'!$I$31,(HLOOKUP($D65,$E$4:$CZ$32,28,FALSE)*'Incremental Repayments'!$I$22)),0),0)</f>
        <v>0</v>
      </c>
      <c r="V65" s="783">
        <f>IF('Incremental Repayments'!$R$22="Debt",IF(AND(V$4&gt;=$D65,V$4&lt;$D65+'Incremental Repayments'!$I$31),-PMT('Interest Rate'!$J$16,'Incremental Repayments'!$I$31,(HLOOKUP($D65,$E$4:$CZ$32,28,FALSE)*'Incremental Repayments'!$I$22)),0),0)</f>
        <v>0</v>
      </c>
      <c r="W65" s="783">
        <f>IF('Incremental Repayments'!$R$22="Debt",IF(AND(W$4&gt;=$D65,W$4&lt;$D65+'Incremental Repayments'!$I$31),-PMT('Interest Rate'!$J$16,'Incremental Repayments'!$I$31,(HLOOKUP($D65,$E$4:$CZ$32,28,FALSE)*'Incremental Repayments'!$I$22)),0),0)</f>
        <v>0</v>
      </c>
      <c r="X65" s="783">
        <f>IF('Incremental Repayments'!$R$22="Debt",IF(AND(X$4&gt;=$D65,X$4&lt;$D65+'Incremental Repayments'!$I$31),-PMT('Interest Rate'!$J$16,'Incremental Repayments'!$I$31,(HLOOKUP($D65,$E$4:$CZ$32,28,FALSE)*'Incremental Repayments'!$I$22)),0),0)</f>
        <v>0</v>
      </c>
      <c r="Y65" s="783">
        <f>IF('Incremental Repayments'!$R$22="Debt",IF(AND(Y$4&gt;=$D65,Y$4&lt;$D65+'Incremental Repayments'!$I$31),-PMT('Interest Rate'!$J$16,'Incremental Repayments'!$I$31,(HLOOKUP($D65,$E$4:$CZ$32,28,FALSE)*'Incremental Repayments'!$I$22)),0),0)</f>
        <v>0</v>
      </c>
      <c r="Z65" s="783">
        <f>IF('Incremental Repayments'!$R$22="Debt",IF(AND(Z$4&gt;=$D65,Z$4&lt;$D65+'Incremental Repayments'!$I$31),-PMT('Interest Rate'!$J$16,'Incremental Repayments'!$I$31,(HLOOKUP($D65,$E$4:$CZ$32,28,FALSE)*'Incremental Repayments'!$I$22)),0),0)</f>
        <v>0</v>
      </c>
      <c r="AA65" s="783">
        <f>IF('Incremental Repayments'!$R$22="Debt",IF(AND(AA$4&gt;=$D65,AA$4&lt;$D65+'Incremental Repayments'!$I$31),-PMT('Interest Rate'!$J$16,'Incremental Repayments'!$I$31,(HLOOKUP($D65,$E$4:$CZ$32,28,FALSE)*'Incremental Repayments'!$I$22)),0),0)</f>
        <v>0</v>
      </c>
      <c r="AB65" s="783">
        <f>IF('Incremental Repayments'!$R$22="Debt",IF(AND(AB$4&gt;=$D65,AB$4&lt;$D65+'Incremental Repayments'!$I$31),-PMT('Interest Rate'!$J$16,'Incremental Repayments'!$I$31,(HLOOKUP($D65,$E$4:$CZ$32,28,FALSE)*'Incremental Repayments'!$I$22)),0),0)</f>
        <v>0</v>
      </c>
      <c r="AC65" s="783">
        <f>IF('Incremental Repayments'!$R$22="Debt",IF(AND(AC$4&gt;=$D65,AC$4&lt;$D65+'Incremental Repayments'!$I$31),-PMT('Interest Rate'!$J$16,'Incremental Repayments'!$I$31,(HLOOKUP($D65,$E$4:$CZ$32,28,FALSE)*'Incremental Repayments'!$I$22)),0),0)</f>
        <v>0</v>
      </c>
      <c r="AD65" s="783">
        <f>IF('Incremental Repayments'!$R$22="Debt",IF(AND(AD$4&gt;=$D65,AD$4&lt;$D65+'Incremental Repayments'!$I$31),-PMT('Interest Rate'!$J$16,'Incremental Repayments'!$I$31,(HLOOKUP($D65,$E$4:$CZ$32,28,FALSE)*'Incremental Repayments'!$I$22)),0),0)</f>
        <v>0</v>
      </c>
      <c r="AE65" s="783">
        <f>IF('Incremental Repayments'!$R$22="Debt",IF(AND(AE$4&gt;=$D65,AE$4&lt;$D65+'Incremental Repayments'!$I$31),-PMT('Interest Rate'!$J$16,'Incremental Repayments'!$I$31,(HLOOKUP($D65,$E$4:$CZ$32,28,FALSE)*'Incremental Repayments'!$I$22)),0),0)</f>
        <v>0</v>
      </c>
      <c r="AF65" s="783">
        <f>IF('Incremental Repayments'!$R$22="Debt",IF(AND(AF$4&gt;=$D65,AF$4&lt;$D65+'Incremental Repayments'!$I$31),-PMT('Interest Rate'!$J$16,'Incremental Repayments'!$I$31,(HLOOKUP($D65,$E$4:$CZ$32,28,FALSE)*'Incremental Repayments'!$I$22)),0),0)</f>
        <v>0</v>
      </c>
      <c r="AG65" s="783">
        <f>IF('Incremental Repayments'!$R$22="Debt",IF(AND(AG$4&gt;=$D65,AG$4&lt;$D65+'Incremental Repayments'!$I$31),-PMT('Interest Rate'!$J$16,'Incremental Repayments'!$I$31,(HLOOKUP($D65,$E$4:$CZ$32,28,FALSE)*'Incremental Repayments'!$I$22)),0),0)</f>
        <v>0</v>
      </c>
      <c r="AH65" s="783">
        <f>IF('Incremental Repayments'!$R$22="Debt",IF(AND(AH$4&gt;=$D65,AH$4&lt;$D65+'Incremental Repayments'!$I$31),-PMT('Interest Rate'!$J$16,'Incremental Repayments'!$I$31,(HLOOKUP($D65,$E$4:$CZ$32,28,FALSE)*'Incremental Repayments'!$I$22)),0),0)</f>
        <v>5852991.7845910583</v>
      </c>
      <c r="AI65" s="783">
        <f>IF('Incremental Repayments'!$R$22="Debt",IF(AND(AI$4&gt;=$D65,AI$4&lt;$D65+'Incremental Repayments'!$I$31),-PMT('Interest Rate'!$J$16,'Incremental Repayments'!$I$31,(HLOOKUP($D65,$E$4:$CZ$32,28,FALSE)*'Incremental Repayments'!$I$22)),0),0)</f>
        <v>5852991.7845910583</v>
      </c>
      <c r="AJ65" s="783">
        <f>IF('Incremental Repayments'!$R$22="Debt",IF(AND(AJ$4&gt;=$D65,AJ$4&lt;$D65+'Incremental Repayments'!$I$31),-PMT('Interest Rate'!$J$16,'Incremental Repayments'!$I$31,(HLOOKUP($D65,$E$4:$CZ$32,28,FALSE)*'Incremental Repayments'!$I$22)),0),0)</f>
        <v>5852991.7845910583</v>
      </c>
      <c r="AK65" s="783">
        <f>IF('Incremental Repayments'!$R$22="Debt",IF(AND(AK$4&gt;=$D65,AK$4&lt;$D65+'Incremental Repayments'!$I$31),-PMT('Interest Rate'!$J$16,'Incremental Repayments'!$I$31,(HLOOKUP($D65,$E$4:$CZ$32,28,FALSE)*'Incremental Repayments'!$I$22)),0),0)</f>
        <v>5852991.7845910583</v>
      </c>
      <c r="AL65" s="783">
        <f>IF('Incremental Repayments'!$R$22="Debt",IF(AND(AL$4&gt;=$D65,AL$4&lt;$D65+'Incremental Repayments'!$I$31),-PMT('Interest Rate'!$J$16,'Incremental Repayments'!$I$31,(HLOOKUP($D65,$E$4:$CZ$32,28,FALSE)*'Incremental Repayments'!$I$22)),0),0)</f>
        <v>5852991.7845910583</v>
      </c>
      <c r="AM65" s="783">
        <f>IF('Incremental Repayments'!$R$22="Debt",IF(AND(AM$4&gt;=$D65,AM$4&lt;$D65+'Incremental Repayments'!$I$31),-PMT('Interest Rate'!$J$16,'Incremental Repayments'!$I$31,(HLOOKUP($D65,$E$4:$CZ$32,28,FALSE)*'Incremental Repayments'!$I$22)),0),0)</f>
        <v>5852991.7845910583</v>
      </c>
      <c r="AN65" s="783">
        <f>IF('Incremental Repayments'!$R$22="Debt",IF(AND(AN$4&gt;=$D65,AN$4&lt;$D65+'Incremental Repayments'!$I$31),-PMT('Interest Rate'!$J$16,'Incremental Repayments'!$I$31,(HLOOKUP($D65,$E$4:$CZ$32,28,FALSE)*'Incremental Repayments'!$I$22)),0),0)</f>
        <v>5852991.7845910583</v>
      </c>
      <c r="AO65" s="783">
        <f>IF('Incremental Repayments'!$R$22="Debt",IF(AND(AO$4&gt;=$D65,AO$4&lt;$D65+'Incremental Repayments'!$I$31),-PMT('Interest Rate'!$J$16,'Incremental Repayments'!$I$31,(HLOOKUP($D65,$E$4:$CZ$32,28,FALSE)*'Incremental Repayments'!$I$22)),0),0)</f>
        <v>5852991.7845910583</v>
      </c>
      <c r="AP65" s="783">
        <f>IF('Incremental Repayments'!$R$22="Debt",IF(AND(AP$4&gt;=$D65,AP$4&lt;$D65+'Incremental Repayments'!$I$31),-PMT('Interest Rate'!$J$16,'Incremental Repayments'!$I$31,(HLOOKUP($D65,$E$4:$CZ$32,28,FALSE)*'Incremental Repayments'!$I$22)),0),0)</f>
        <v>5852991.7845910583</v>
      </c>
      <c r="AQ65" s="783">
        <f>IF('Incremental Repayments'!$R$22="Debt",IF(AND(AQ$4&gt;=$D65,AQ$4&lt;$D65+'Incremental Repayments'!$I$31),-PMT('Interest Rate'!$J$16,'Incremental Repayments'!$I$31,(HLOOKUP($D65,$E$4:$CZ$32,28,FALSE)*'Incremental Repayments'!$I$22)),0),0)</f>
        <v>5852991.7845910583</v>
      </c>
      <c r="AR65" s="783">
        <f>IF('Incremental Repayments'!$R$22="Debt",IF(AND(AR$4&gt;=$D65,AR$4&lt;$D65+'Incremental Repayments'!$I$31),-PMT('Interest Rate'!$J$16,'Incremental Repayments'!$I$31,(HLOOKUP($D65,$E$4:$CZ$32,28,FALSE)*'Incremental Repayments'!$I$22)),0),0)</f>
        <v>5852991.7845910583</v>
      </c>
      <c r="AS65" s="783">
        <f>IF('Incremental Repayments'!$R$22="Debt",IF(AND(AS$4&gt;=$D65,AS$4&lt;$D65+'Incremental Repayments'!$I$31),-PMT('Interest Rate'!$J$16,'Incremental Repayments'!$I$31,(HLOOKUP($D65,$E$4:$CZ$32,28,FALSE)*'Incremental Repayments'!$I$22)),0),0)</f>
        <v>5852991.7845910583</v>
      </c>
      <c r="AT65" s="783">
        <f>IF('Incremental Repayments'!$R$22="Debt",IF(AND(AT$4&gt;=$D65,AT$4&lt;$D65+'Incremental Repayments'!$I$31),-PMT('Interest Rate'!$J$16,'Incremental Repayments'!$I$31,(HLOOKUP($D65,$E$4:$CZ$32,28,FALSE)*'Incremental Repayments'!$I$22)),0),0)</f>
        <v>5852991.7845910583</v>
      </c>
      <c r="AU65" s="783">
        <f>IF('Incremental Repayments'!$R$22="Debt",IF(AND(AU$4&gt;=$D65,AU$4&lt;$D65+'Incremental Repayments'!$I$31),-PMT('Interest Rate'!$J$16,'Incremental Repayments'!$I$31,(HLOOKUP($D65,$E$4:$CZ$32,28,FALSE)*'Incremental Repayments'!$I$22)),0),0)</f>
        <v>5852991.7845910583</v>
      </c>
      <c r="AV65" s="783">
        <f>IF('Incremental Repayments'!$R$22="Debt",IF(AND(AV$4&gt;=$D65,AV$4&lt;$D65+'Incremental Repayments'!$I$31),-PMT('Interest Rate'!$J$16,'Incremental Repayments'!$I$31,(HLOOKUP($D65,$E$4:$CZ$32,28,FALSE)*'Incremental Repayments'!$I$22)),0),0)</f>
        <v>5852991.7845910583</v>
      </c>
      <c r="AW65" s="783">
        <f>IF('Incremental Repayments'!$R$22="Debt",IF(AND(AW$4&gt;=$D65,AW$4&lt;$D65+'Incremental Repayments'!$I$31),-PMT('Interest Rate'!$J$16,'Incremental Repayments'!$I$31,(HLOOKUP($D65,$E$4:$CZ$32,28,FALSE)*'Incremental Repayments'!$I$22)),0),0)</f>
        <v>5852991.7845910583</v>
      </c>
      <c r="AX65" s="783">
        <f>IF('Incremental Repayments'!$R$22="Debt",IF(AND(AX$4&gt;=$D65,AX$4&lt;$D65+'Incremental Repayments'!$I$31),-PMT('Interest Rate'!$J$16,'Incremental Repayments'!$I$31,(HLOOKUP($D65,$E$4:$CZ$32,28,FALSE)*'Incremental Repayments'!$I$22)),0),0)</f>
        <v>5852991.7845910583</v>
      </c>
      <c r="AY65" s="783">
        <f>IF('Incremental Repayments'!$R$22="Debt",IF(AND(AY$4&gt;=$D65,AY$4&lt;$D65+'Incremental Repayments'!$I$31),-PMT('Interest Rate'!$J$16,'Incremental Repayments'!$I$31,(HLOOKUP($D65,$E$4:$CZ$32,28,FALSE)*'Incremental Repayments'!$I$22)),0),0)</f>
        <v>5852991.7845910583</v>
      </c>
      <c r="AZ65" s="783">
        <f>IF('Incremental Repayments'!$R$22="Debt",IF(AND(AZ$4&gt;=$D65,AZ$4&lt;$D65+'Incremental Repayments'!$I$31),-PMT('Interest Rate'!$J$16,'Incremental Repayments'!$I$31,(HLOOKUP($D65,$E$4:$CZ$32,28,FALSE)*'Incremental Repayments'!$I$22)),0),0)</f>
        <v>5852991.7845910583</v>
      </c>
      <c r="BA65" s="783">
        <f>IF('Incremental Repayments'!$R$22="Debt",IF(AND(BA$4&gt;=$D65,BA$4&lt;$D65+'Incremental Repayments'!$I$31),-PMT('Interest Rate'!$J$16,'Incremental Repayments'!$I$31,(HLOOKUP($D65,$E$4:$CZ$32,28,FALSE)*'Incremental Repayments'!$I$22)),0),0)</f>
        <v>5852991.7845910583</v>
      </c>
      <c r="BB65" s="783">
        <f>IF('Incremental Repayments'!$R$22="Debt",IF(AND(BB$4&gt;=$D65,BB$4&lt;$D65+'Incremental Repayments'!$I$31),-PMT('Interest Rate'!$J$16,'Incremental Repayments'!$I$31,(HLOOKUP($D65,$E$4:$CZ$32,28,FALSE)*'Incremental Repayments'!$I$22)),0),0)</f>
        <v>5852991.7845910583</v>
      </c>
      <c r="BC65" s="783">
        <f>IF('Incremental Repayments'!$R$22="Debt",IF(AND(BC$4&gt;=$D65,BC$4&lt;$D65+'Incremental Repayments'!$I$31),-PMT('Interest Rate'!$J$16,'Incremental Repayments'!$I$31,(HLOOKUP($D65,$E$4:$CZ$32,28,FALSE)*'Incremental Repayments'!$I$22)),0),0)</f>
        <v>5852991.7845910583</v>
      </c>
      <c r="BD65" s="783">
        <f>IF('Incremental Repayments'!$R$22="Debt",IF(AND(BD$4&gt;=$D65,BD$4&lt;$D65+'Incremental Repayments'!$I$31),-PMT('Interest Rate'!$J$16,'Incremental Repayments'!$I$31,(HLOOKUP($D65,$E$4:$CZ$32,28,FALSE)*'Incremental Repayments'!$I$22)),0),0)</f>
        <v>5852991.7845910583</v>
      </c>
      <c r="BE65" s="783">
        <f>IF('Incremental Repayments'!$R$22="Debt",IF(AND(BE$4&gt;=$D65,BE$4&lt;$D65+'Incremental Repayments'!$I$31),-PMT('Interest Rate'!$J$16,'Incremental Repayments'!$I$31,(HLOOKUP($D65,$E$4:$CZ$32,28,FALSE)*'Incremental Repayments'!$I$22)),0),0)</f>
        <v>5852991.7845910583</v>
      </c>
      <c r="BF65" s="783">
        <f>IF('Incremental Repayments'!$R$22="Debt",IF(AND(BF$4&gt;=$D65,BF$4&lt;$D65+'Incremental Repayments'!$I$31),-PMT('Interest Rate'!$J$16,'Incremental Repayments'!$I$31,(HLOOKUP($D65,$E$4:$CZ$32,28,FALSE)*'Incremental Repayments'!$I$22)),0),0)</f>
        <v>5852991.7845910583</v>
      </c>
      <c r="BG65" s="783">
        <f>IF('Incremental Repayments'!$R$22="Debt",IF(AND(BG$4&gt;=$D65,BG$4&lt;$D65+'Incremental Repayments'!$I$31),-PMT('Interest Rate'!$J$16,'Incremental Repayments'!$I$31,(HLOOKUP($D65,$E$4:$CZ$32,28,FALSE)*'Incremental Repayments'!$I$22)),0),0)</f>
        <v>5852991.7845910583</v>
      </c>
      <c r="BH65" s="783">
        <f>IF('Incremental Repayments'!$R$22="Debt",IF(AND(BH$4&gt;=$D65,BH$4&lt;$D65+'Incremental Repayments'!$I$31),-PMT('Interest Rate'!$J$16,'Incremental Repayments'!$I$31,(HLOOKUP($D65,$E$4:$CZ$32,28,FALSE)*'Incremental Repayments'!$I$22)),0),0)</f>
        <v>5852991.7845910583</v>
      </c>
      <c r="BI65" s="783">
        <f>IF('Incremental Repayments'!$R$22="Debt",IF(AND(BI$4&gt;=$D65,BI$4&lt;$D65+'Incremental Repayments'!$I$31),-PMT('Interest Rate'!$J$16,'Incremental Repayments'!$I$31,(HLOOKUP($D65,$E$4:$CZ$32,28,FALSE)*'Incremental Repayments'!$I$22)),0),0)</f>
        <v>5852991.7845910583</v>
      </c>
      <c r="BJ65" s="783">
        <f>IF('Incremental Repayments'!$R$22="Debt",IF(AND(BJ$4&gt;=$D65,BJ$4&lt;$D65+'Incremental Repayments'!$I$31),-PMT('Interest Rate'!$J$16,'Incremental Repayments'!$I$31,(HLOOKUP($D65,$E$4:$CZ$32,28,FALSE)*'Incremental Repayments'!$I$22)),0),0)</f>
        <v>5852991.7845910583</v>
      </c>
      <c r="BK65" s="783">
        <f>IF('Incremental Repayments'!$R$22="Debt",IF(AND(BK$4&gt;=$D65,BK$4&lt;$D65+'Incremental Repayments'!$I$31),-PMT('Interest Rate'!$J$16,'Incremental Repayments'!$I$31,(HLOOKUP($D65,$E$4:$CZ$32,28,FALSE)*'Incremental Repayments'!$I$22)),0),0)</f>
        <v>5852991.7845910583</v>
      </c>
      <c r="BL65" s="783">
        <f>IF('Incremental Repayments'!$R$22="Debt",IF(AND(BL$4&gt;=$D65,BL$4&lt;$D65+'Incremental Repayments'!$I$31),-PMT('Interest Rate'!$J$16,'Incremental Repayments'!$I$31,(HLOOKUP($D65,$E$4:$CZ$32,28,FALSE)*'Incremental Repayments'!$I$22)),0),0)</f>
        <v>0</v>
      </c>
      <c r="BM65" s="783">
        <f>IF('Incremental Repayments'!$R$22="Debt",IF(AND(BM$4&gt;=$D65,BM$4&lt;$D65+'Incremental Repayments'!$I$31),-PMT('Interest Rate'!$J$16,'Incremental Repayments'!$I$31,(HLOOKUP($D65,$E$4:$CZ$32,28,FALSE)*'Incremental Repayments'!$I$22)),0),0)</f>
        <v>0</v>
      </c>
      <c r="BN65" s="783">
        <f>IF('Incremental Repayments'!$R$22="Debt",IF(AND(BN$4&gt;=$D65,BN$4&lt;$D65+'Incremental Repayments'!$I$31),-PMT('Interest Rate'!$J$16,'Incremental Repayments'!$I$31,(HLOOKUP($D65,$E$4:$CZ$32,28,FALSE)*'Incremental Repayments'!$I$22)),0),0)</f>
        <v>0</v>
      </c>
      <c r="BO65" s="783">
        <f>IF('Incremental Repayments'!$R$22="Debt",IF(AND(BO$4&gt;=$D65,BO$4&lt;$D65+'Incremental Repayments'!$I$31),-PMT('Interest Rate'!$J$16,'Incremental Repayments'!$I$31,(HLOOKUP($D65,$E$4:$CZ$32,28,FALSE)*'Incremental Repayments'!$I$22)),0),0)</f>
        <v>0</v>
      </c>
      <c r="BP65" s="783">
        <f>IF('Incremental Repayments'!$R$22="Debt",IF(AND(BP$4&gt;=$D65,BP$4&lt;$D65+'Incremental Repayments'!$I$31),-PMT('Interest Rate'!$J$16,'Incremental Repayments'!$I$31,(HLOOKUP($D65,$E$4:$CZ$32,28,FALSE)*'Incremental Repayments'!$I$22)),0),0)</f>
        <v>0</v>
      </c>
      <c r="BQ65" s="783">
        <f>IF('Incremental Repayments'!$R$22="Debt",IF(AND(BQ$4&gt;=$D65,BQ$4&lt;$D65+'Incremental Repayments'!$I$31),-PMT('Interest Rate'!$J$16,'Incremental Repayments'!$I$31,(HLOOKUP($D65,$E$4:$CZ$32,28,FALSE)*'Incremental Repayments'!$I$22)),0),0)</f>
        <v>0</v>
      </c>
      <c r="BR65" s="783">
        <f>IF('Incremental Repayments'!$R$22="Debt",IF(AND(BR$4&gt;=$D65,BR$4&lt;$D65+'Incremental Repayments'!$I$31),-PMT('Interest Rate'!$J$16,'Incremental Repayments'!$I$31,(HLOOKUP($D65,$E$4:$CZ$32,28,FALSE)*'Incremental Repayments'!$I$22)),0),0)</f>
        <v>0</v>
      </c>
      <c r="BS65" s="783">
        <f>IF('Incremental Repayments'!$R$22="Debt",IF(AND(BS$4&gt;=$D65,BS$4&lt;$D65+'Incremental Repayments'!$I$31),-PMT('Interest Rate'!$J$16,'Incremental Repayments'!$I$31,(HLOOKUP($D65,$E$4:$CZ$32,28,FALSE)*'Incremental Repayments'!$I$22)),0),0)</f>
        <v>0</v>
      </c>
      <c r="BT65" s="783">
        <f>IF('Incremental Repayments'!$R$22="Debt",IF(AND(BT$4&gt;=$D65,BT$4&lt;$D65+'Incremental Repayments'!$I$31),-PMT('Interest Rate'!$J$16,'Incremental Repayments'!$I$31,(HLOOKUP($D65,$E$4:$CZ$32,28,FALSE)*'Incremental Repayments'!$I$22)),0),0)</f>
        <v>0</v>
      </c>
      <c r="BU65" s="783">
        <f>IF('Incremental Repayments'!$R$22="Debt",IF(AND(BU$4&gt;=$D65,BU$4&lt;$D65+'Incremental Repayments'!$I$31),-PMT('Interest Rate'!$J$16,'Incremental Repayments'!$I$31,(HLOOKUP($D65,$E$4:$CZ$32,28,FALSE)*'Incremental Repayments'!$I$22)),0),0)</f>
        <v>0</v>
      </c>
      <c r="BV65" s="783">
        <f>IF('Incremental Repayments'!$R$22="Debt",IF(AND(BV$4&gt;=$D65,BV$4&lt;$D65+'Incremental Repayments'!$I$31),-PMT('Interest Rate'!$J$16,'Incremental Repayments'!$I$31,(HLOOKUP($D65,$E$4:$CZ$32,28,FALSE)*'Incremental Repayments'!$I$22)),0),0)</f>
        <v>0</v>
      </c>
      <c r="BW65" s="783">
        <f>IF('Incremental Repayments'!$R$22="Debt",IF(AND(BW$4&gt;=$D65,BW$4&lt;$D65+'Incremental Repayments'!$I$31),-PMT('Interest Rate'!$J$16,'Incremental Repayments'!$I$31,(HLOOKUP($D65,$E$4:$CZ$32,28,FALSE)*'Incremental Repayments'!$I$22)),0),0)</f>
        <v>0</v>
      </c>
      <c r="BX65" s="783">
        <f>IF('Incremental Repayments'!$R$22="Debt",IF(AND(BX$4&gt;=$D65,BX$4&lt;$D65+'Incremental Repayments'!$I$31),-PMT('Interest Rate'!$J$16,'Incremental Repayments'!$I$31,(HLOOKUP($D65,$E$4:$CZ$32,28,FALSE)*'Incremental Repayments'!$I$22)),0),0)</f>
        <v>0</v>
      </c>
      <c r="BY65" s="783">
        <f>IF('Incremental Repayments'!$R$22="Debt",IF(AND(BY$4&gt;=$D65,BY$4&lt;$D65+'Incremental Repayments'!$I$31),-PMT('Interest Rate'!$J$16,'Incremental Repayments'!$I$31,(HLOOKUP($D65,$E$4:$CZ$32,28,FALSE)*'Incremental Repayments'!$I$22)),0),0)</f>
        <v>0</v>
      </c>
      <c r="BZ65" s="783">
        <f>IF('Incremental Repayments'!$R$22="Debt",IF(AND(BZ$4&gt;=$D65,BZ$4&lt;$D65+'Incremental Repayments'!$I$31),-PMT('Interest Rate'!$J$16,'Incremental Repayments'!$I$31,(HLOOKUP($D65,$E$4:$CZ$32,28,FALSE)*'Incremental Repayments'!$I$22)),0),0)</f>
        <v>0</v>
      </c>
      <c r="CA65" s="783">
        <f>IF('Incremental Repayments'!$R$22="Debt",IF(AND(CA$4&gt;=$D65,CA$4&lt;$D65+'Incremental Repayments'!$I$31),-PMT('Interest Rate'!$J$16,'Incremental Repayments'!$I$31,(HLOOKUP($D65,$E$4:$CZ$32,28,FALSE)*'Incremental Repayments'!$I$22)),0),0)</f>
        <v>0</v>
      </c>
      <c r="CB65" s="783">
        <f>IF('Incremental Repayments'!$R$22="Debt",IF(AND(CB$4&gt;=$D65,CB$4&lt;$D65+'Incremental Repayments'!$I$31),-PMT('Interest Rate'!$J$16,'Incremental Repayments'!$I$31,(HLOOKUP($D65,$E$4:$CZ$32,28,FALSE)*'Incremental Repayments'!$I$22)),0),0)</f>
        <v>0</v>
      </c>
      <c r="CC65" s="783">
        <f>IF('Incremental Repayments'!$R$22="Debt",IF(AND(CC$4&gt;=$D65,CC$4&lt;$D65+'Incremental Repayments'!$I$31),-PMT('Interest Rate'!$J$16,'Incremental Repayments'!$I$31,(HLOOKUP($D65,$E$4:$CZ$32,28,FALSE)*'Incremental Repayments'!$I$22)),0),0)</f>
        <v>0</v>
      </c>
      <c r="CD65" s="783">
        <f>IF('Incremental Repayments'!$R$22="Debt",IF(AND(CD$4&gt;=$D65,CD$4&lt;$D65+'Incremental Repayments'!$I$31),-PMT('Interest Rate'!$J$16,'Incremental Repayments'!$I$31,(HLOOKUP($D65,$E$4:$CZ$32,28,FALSE)*'Incremental Repayments'!$I$22)),0),0)</f>
        <v>0</v>
      </c>
      <c r="CE65" s="783">
        <f>IF('Incremental Repayments'!$R$22="Debt",IF(AND(CE$4&gt;=$D65,CE$4&lt;$D65+'Incremental Repayments'!$I$31),-PMT('Interest Rate'!$J$16,'Incremental Repayments'!$I$31,(HLOOKUP($D65,$E$4:$CZ$32,28,FALSE)*'Incremental Repayments'!$I$22)),0),0)</f>
        <v>0</v>
      </c>
      <c r="CF65" s="783">
        <f>IF('Incremental Repayments'!$R$22="Debt",IF(AND(CF$4&gt;=$D65,CF$4&lt;$D65+'Incremental Repayments'!$I$31),-PMT('Interest Rate'!$J$16,'Incremental Repayments'!$I$31,(HLOOKUP($D65,$E$4:$CZ$32,28,FALSE)*'Incremental Repayments'!$I$22)),0),0)</f>
        <v>0</v>
      </c>
      <c r="CG65" s="783">
        <f>IF('Incremental Repayments'!$R$22="Debt",IF(AND(CG$4&gt;=$D65,CG$4&lt;$D65+'Incremental Repayments'!$I$31),-PMT('Interest Rate'!$J$16,'Incremental Repayments'!$I$31,(HLOOKUP($D65,$E$4:$CZ$32,28,FALSE)*'Incremental Repayments'!$I$22)),0),0)</f>
        <v>0</v>
      </c>
      <c r="CH65" s="783">
        <f>IF('Incremental Repayments'!$R$22="Debt",IF(AND(CH$4&gt;=$D65,CH$4&lt;$D65+'Incremental Repayments'!$I$31),-PMT('Interest Rate'!$J$16,'Incremental Repayments'!$I$31,(HLOOKUP($D65,$E$4:$CZ$32,28,FALSE)*'Incremental Repayments'!$I$22)),0),0)</f>
        <v>0</v>
      </c>
      <c r="CI65" s="783">
        <f>IF('Incremental Repayments'!$R$22="Debt",IF(AND(CI$4&gt;=$D65,CI$4&lt;$D65+'Incremental Repayments'!$I$31),-PMT('Interest Rate'!$J$16,'Incremental Repayments'!$I$31,(HLOOKUP($D65,$E$4:$CZ$32,28,FALSE)*'Incremental Repayments'!$I$22)),0),0)</f>
        <v>0</v>
      </c>
      <c r="CJ65" s="783">
        <f>IF('Incremental Repayments'!$R$22="Debt",IF(AND(CJ$4&gt;=$D65,CJ$4&lt;$D65+'Incremental Repayments'!$I$31),-PMT('Interest Rate'!$J$16,'Incremental Repayments'!$I$31,(HLOOKUP($D65,$E$4:$CZ$32,28,FALSE)*'Incremental Repayments'!$I$22)),0),0)</f>
        <v>0</v>
      </c>
      <c r="CK65" s="783">
        <f>IF('Incremental Repayments'!$R$22="Debt",IF(AND(CK$4&gt;=$D65,CK$4&lt;$D65+'Incremental Repayments'!$I$31),-PMT('Interest Rate'!$J$16,'Incremental Repayments'!$I$31,(HLOOKUP($D65,$E$4:$CZ$32,28,FALSE)*'Incremental Repayments'!$I$22)),0),0)</f>
        <v>0</v>
      </c>
      <c r="CL65" s="783">
        <f>IF('Incremental Repayments'!$R$22="Debt",IF(AND(CL$4&gt;=$D65,CL$4&lt;$D65+'Incremental Repayments'!$I$31),-PMT('Interest Rate'!$J$16,'Incremental Repayments'!$I$31,(HLOOKUP($D65,$E$4:$CZ$32,28,FALSE)*'Incremental Repayments'!$I$22)),0),0)</f>
        <v>0</v>
      </c>
      <c r="CM65" s="783">
        <f>IF('Incremental Repayments'!$R$22="Debt",IF(AND(CM$4&gt;=$D65,CM$4&lt;$D65+'Incremental Repayments'!$I$31),-PMT('Interest Rate'!$J$16,'Incremental Repayments'!$I$31,(HLOOKUP($D65,$E$4:$CZ$32,28,FALSE)*'Incremental Repayments'!$I$22)),0),0)</f>
        <v>0</v>
      </c>
      <c r="CN65" s="783">
        <f>IF('Incremental Repayments'!$R$22="Debt",IF(AND(CN$4&gt;=$D65,CN$4&lt;$D65+'Incremental Repayments'!$I$31),-PMT('Interest Rate'!$J$16,'Incremental Repayments'!$I$31,(HLOOKUP($D65,$E$4:$CZ$32,28,FALSE)*'Incremental Repayments'!$I$22)),0),0)</f>
        <v>0</v>
      </c>
      <c r="CO65" s="783">
        <f>IF('Incremental Repayments'!$R$22="Debt",IF(AND(CO$4&gt;=$D65,CO$4&lt;$D65+'Incremental Repayments'!$I$31),-PMT('Interest Rate'!$J$16,'Incremental Repayments'!$I$31,(HLOOKUP($D65,$E$4:$CZ$32,28,FALSE)*'Incremental Repayments'!$I$22)),0),0)</f>
        <v>0</v>
      </c>
      <c r="CP65" s="783">
        <f>IF('Incremental Repayments'!$R$22="Debt",IF(AND(CP$4&gt;=$D65,CP$4&lt;$D65+'Incremental Repayments'!$I$31),-PMT('Interest Rate'!$J$16,'Incremental Repayments'!$I$31,(HLOOKUP($D65,$E$4:$CZ$32,28,FALSE)*'Incremental Repayments'!$I$22)),0),0)</f>
        <v>0</v>
      </c>
      <c r="CQ65" s="783">
        <f>IF('Incremental Repayments'!$R$22="Debt",IF(AND(CQ$4&gt;=$D65,CQ$4&lt;$D65+'Incremental Repayments'!$I$31),-PMT('Interest Rate'!$J$16,'Incremental Repayments'!$I$31,(HLOOKUP($D65,$E$4:$CZ$32,28,FALSE)*'Incremental Repayments'!$I$22)),0),0)</f>
        <v>0</v>
      </c>
      <c r="CR65" s="783">
        <f>IF('Incremental Repayments'!$R$22="Debt",IF(AND(CR$4&gt;=$D65,CR$4&lt;$D65+'Incremental Repayments'!$I$31),-PMT('Interest Rate'!$J$16,'Incremental Repayments'!$I$31,(HLOOKUP($D65,$E$4:$CZ$32,28,FALSE)*'Incremental Repayments'!$I$22)),0),0)</f>
        <v>0</v>
      </c>
      <c r="CS65" s="783">
        <f>IF('Incremental Repayments'!$R$22="Debt",IF(AND(CS$4&gt;=$D65,CS$4&lt;$D65+'Incremental Repayments'!$I$31),-PMT('Interest Rate'!$J$16,'Incremental Repayments'!$I$31,(HLOOKUP($D65,$E$4:$CZ$32,28,FALSE)*'Incremental Repayments'!$I$22)),0),0)</f>
        <v>0</v>
      </c>
      <c r="CT65" s="783">
        <f>IF('Incremental Repayments'!$R$22="Debt",IF(AND(CT$4&gt;=$D65,CT$4&lt;$D65+'Incremental Repayments'!$I$31),-PMT('Interest Rate'!$J$16,'Incremental Repayments'!$I$31,(HLOOKUP($D65,$E$4:$CZ$32,28,FALSE)*'Incremental Repayments'!$I$22)),0),0)</f>
        <v>0</v>
      </c>
      <c r="CU65" s="783">
        <f>IF('Incremental Repayments'!$R$22="Debt",IF(AND(CU$4&gt;=$D65,CU$4&lt;$D65+'Incremental Repayments'!$I$31),-PMT('Interest Rate'!$J$16,'Incremental Repayments'!$I$31,(HLOOKUP($D65,$E$4:$CZ$32,28,FALSE)*'Incremental Repayments'!$I$22)),0),0)</f>
        <v>0</v>
      </c>
      <c r="CV65" s="783">
        <f>IF('Incremental Repayments'!$R$22="Debt",IF(AND(CV$4&gt;=$D65,CV$4&lt;$D65+'Incremental Repayments'!$I$31),-PMT('Interest Rate'!$J$16,'Incremental Repayments'!$I$31,(HLOOKUP($D65,$E$4:$CZ$32,28,FALSE)*'Incremental Repayments'!$I$22)),0),0)</f>
        <v>0</v>
      </c>
      <c r="CW65" s="783">
        <f>IF('Incremental Repayments'!$R$22="Debt",IF(AND(CW$4&gt;=$D65,CW$4&lt;$D65+'Incremental Repayments'!$I$31),-PMT('Interest Rate'!$J$16,'Incremental Repayments'!$I$31,(HLOOKUP($D65,$E$4:$CZ$32,28,FALSE)*'Incremental Repayments'!$I$22)),0),0)</f>
        <v>0</v>
      </c>
      <c r="CX65" s="783">
        <f>IF('Incremental Repayments'!$R$22="Debt",IF(AND(CX$4&gt;=$D65,CX$4&lt;$D65+'Incremental Repayments'!$I$31),-PMT('Interest Rate'!$J$16,'Incremental Repayments'!$I$31,(HLOOKUP($D65,$E$4:$CZ$32,28,FALSE)*'Incremental Repayments'!$I$22)),0),0)</f>
        <v>0</v>
      </c>
      <c r="CY65" s="783">
        <f>IF('Incremental Repayments'!$R$22="Debt",IF(AND(CY$4&gt;=$D65,CY$4&lt;$D65+'Incremental Repayments'!$I$31),-PMT('Interest Rate'!$J$16,'Incremental Repayments'!$I$31,(HLOOKUP($D65,$E$4:$CZ$32,28,FALSE)*'Incremental Repayments'!$I$22)),0),0)</f>
        <v>0</v>
      </c>
      <c r="CZ65" s="783">
        <f>IF('Incremental Repayments'!$R$22="Debt",IF(AND(CZ$4&gt;=$D65,CZ$4&lt;$D65+'Incremental Repayments'!$I$31),-PMT('Interest Rate'!$J$16,'Incremental Repayments'!$I$31,(HLOOKUP($D65,$E$4:$CZ$32,28,FALSE)*'Incremental Repayments'!$I$22)),0),0)</f>
        <v>0</v>
      </c>
    </row>
    <row r="66" spans="2:104" x14ac:dyDescent="0.25">
      <c r="B66" s="480" t="str">
        <f>CONCATENATE("Series ",D66,"A Bonds (at ",'Interest Rate'!$J$16*100,"% Interest)")</f>
        <v>Series 2044A Bonds (at 4.5% Interest)</v>
      </c>
      <c r="C66" s="480"/>
      <c r="D66" s="492">
        <f t="shared" si="47"/>
        <v>2044</v>
      </c>
      <c r="E66" s="783">
        <f>IF('Incremental Repayments'!$R$22="Debt",IF(AND(E$4&gt;=$D66,E$4&lt;$D66+'Incremental Repayments'!$I$31),-PMT('Interest Rate'!$J$16,'Incremental Repayments'!$I$31,(HLOOKUP($D66,$E$4:$CZ$32,28,FALSE)*'Incremental Repayments'!$I$22)),0),0)</f>
        <v>0</v>
      </c>
      <c r="F66" s="783">
        <f>IF('Incremental Repayments'!$R$22="Debt",IF(AND(F$4&gt;=$D66,F$4&lt;$D66+'Incremental Repayments'!$I$31),-PMT('Interest Rate'!$J$16,'Incremental Repayments'!$I$31,(HLOOKUP($D66,$E$4:$CZ$32,28,FALSE)*'Incremental Repayments'!$I$22)),0),0)</f>
        <v>0</v>
      </c>
      <c r="G66" s="783">
        <f>IF('Incremental Repayments'!$R$22="Debt",IF(AND(G$4&gt;=$D66,G$4&lt;$D66+'Incremental Repayments'!$I$31),-PMT('Interest Rate'!$J$16,'Incremental Repayments'!$I$31,(HLOOKUP($D66,$E$4:$CZ$32,28,FALSE)*'Incremental Repayments'!$I$22)),0),0)</f>
        <v>0</v>
      </c>
      <c r="H66" s="783">
        <f>IF('Incremental Repayments'!$R$22="Debt",IF(AND(H$4&gt;=$D66,H$4&lt;$D66+'Incremental Repayments'!$I$31),-PMT('Interest Rate'!$J$16,'Incremental Repayments'!$I$31,(HLOOKUP($D66,$E$4:$CZ$32,28,FALSE)*'Incremental Repayments'!$I$22)),0),0)</f>
        <v>0</v>
      </c>
      <c r="I66" s="783">
        <f>IF('Incremental Repayments'!$R$22="Debt",IF(AND(I$4&gt;=$D66,I$4&lt;$D66+'Incremental Repayments'!$I$31),-PMT('Interest Rate'!$J$16,'Incremental Repayments'!$I$31,(HLOOKUP($D66,$E$4:$CZ$32,28,FALSE)*'Incremental Repayments'!$I$22)),0),0)</f>
        <v>0</v>
      </c>
      <c r="J66" s="783">
        <f>IF('Incremental Repayments'!$R$22="Debt",IF(AND(J$4&gt;=$D66,J$4&lt;$D66+'Incremental Repayments'!$I$31),-PMT('Interest Rate'!$J$16,'Incremental Repayments'!$I$31,(HLOOKUP($D66,$E$4:$CZ$32,28,FALSE)*'Incremental Repayments'!$I$22)),0),0)</f>
        <v>0</v>
      </c>
      <c r="K66" s="783">
        <f>IF('Incremental Repayments'!$R$22="Debt",IF(AND(K$4&gt;=$D66,K$4&lt;$D66+'Incremental Repayments'!$I$31),-PMT('Interest Rate'!$J$16,'Incremental Repayments'!$I$31,(HLOOKUP($D66,$E$4:$CZ$32,28,FALSE)*'Incremental Repayments'!$I$22)),0),0)</f>
        <v>0</v>
      </c>
      <c r="L66" s="783">
        <f>IF('Incremental Repayments'!$R$22="Debt",IF(AND(L$4&gt;=$D66,L$4&lt;$D66+'Incremental Repayments'!$I$31),-PMT('Interest Rate'!$J$16,'Incremental Repayments'!$I$31,(HLOOKUP($D66,$E$4:$CZ$32,28,FALSE)*'Incremental Repayments'!$I$22)),0),0)</f>
        <v>0</v>
      </c>
      <c r="M66" s="783">
        <f>IF('Incremental Repayments'!$R$22="Debt",IF(AND(M$4&gt;=$D66,M$4&lt;$D66+'Incremental Repayments'!$I$31),-PMT('Interest Rate'!$J$16,'Incremental Repayments'!$I$31,(HLOOKUP($D66,$E$4:$CZ$32,28,FALSE)*'Incremental Repayments'!$I$22)),0),0)</f>
        <v>0</v>
      </c>
      <c r="N66" s="783">
        <f>IF('Incremental Repayments'!$R$22="Debt",IF(AND(N$4&gt;=$D66,N$4&lt;$D66+'Incremental Repayments'!$I$31),-PMT('Interest Rate'!$J$16,'Incremental Repayments'!$I$31,(HLOOKUP($D66,$E$4:$CZ$32,28,FALSE)*'Incremental Repayments'!$I$22)),0),0)</f>
        <v>0</v>
      </c>
      <c r="O66" s="783">
        <f>IF('Incremental Repayments'!$R$22="Debt",IF(AND(O$4&gt;=$D66,O$4&lt;$D66+'Incremental Repayments'!$I$31),-PMT('Interest Rate'!$J$16,'Incremental Repayments'!$I$31,(HLOOKUP($D66,$E$4:$CZ$32,28,FALSE)*'Incremental Repayments'!$I$22)),0),0)</f>
        <v>0</v>
      </c>
      <c r="P66" s="783">
        <f>IF('Incremental Repayments'!$R$22="Debt",IF(AND(P$4&gt;=$D66,P$4&lt;$D66+'Incremental Repayments'!$I$31),-PMT('Interest Rate'!$J$16,'Incremental Repayments'!$I$31,(HLOOKUP($D66,$E$4:$CZ$32,28,FALSE)*'Incremental Repayments'!$I$22)),0),0)</f>
        <v>0</v>
      </c>
      <c r="Q66" s="783">
        <f>IF('Incremental Repayments'!$R$22="Debt",IF(AND(Q$4&gt;=$D66,Q$4&lt;$D66+'Incremental Repayments'!$I$31),-PMT('Interest Rate'!$J$16,'Incremental Repayments'!$I$31,(HLOOKUP($D66,$E$4:$CZ$32,28,FALSE)*'Incremental Repayments'!$I$22)),0),0)</f>
        <v>0</v>
      </c>
      <c r="R66" s="783">
        <f>IF('Incremental Repayments'!$R$22="Debt",IF(AND(R$4&gt;=$D66,R$4&lt;$D66+'Incremental Repayments'!$I$31),-PMT('Interest Rate'!$J$16,'Incremental Repayments'!$I$31,(HLOOKUP($D66,$E$4:$CZ$32,28,FALSE)*'Incremental Repayments'!$I$22)),0),0)</f>
        <v>0</v>
      </c>
      <c r="S66" s="783">
        <f>IF('Incremental Repayments'!$R$22="Debt",IF(AND(S$4&gt;=$D66,S$4&lt;$D66+'Incremental Repayments'!$I$31),-PMT('Interest Rate'!$J$16,'Incremental Repayments'!$I$31,(HLOOKUP($D66,$E$4:$CZ$32,28,FALSE)*'Incremental Repayments'!$I$22)),0),0)</f>
        <v>0</v>
      </c>
      <c r="T66" s="783">
        <f>IF('Incremental Repayments'!$R$22="Debt",IF(AND(T$4&gt;=$D66,T$4&lt;$D66+'Incremental Repayments'!$I$31),-PMT('Interest Rate'!$J$16,'Incremental Repayments'!$I$31,(HLOOKUP($D66,$E$4:$CZ$32,28,FALSE)*'Incremental Repayments'!$I$22)),0),0)</f>
        <v>0</v>
      </c>
      <c r="U66" s="783">
        <f>IF('Incremental Repayments'!$R$22="Debt",IF(AND(U$4&gt;=$D66,U$4&lt;$D66+'Incremental Repayments'!$I$31),-PMT('Interest Rate'!$J$16,'Incremental Repayments'!$I$31,(HLOOKUP($D66,$E$4:$CZ$32,28,FALSE)*'Incremental Repayments'!$I$22)),0),0)</f>
        <v>0</v>
      </c>
      <c r="V66" s="783">
        <f>IF('Incremental Repayments'!$R$22="Debt",IF(AND(V$4&gt;=$D66,V$4&lt;$D66+'Incremental Repayments'!$I$31),-PMT('Interest Rate'!$J$16,'Incremental Repayments'!$I$31,(HLOOKUP($D66,$E$4:$CZ$32,28,FALSE)*'Incremental Repayments'!$I$22)),0),0)</f>
        <v>0</v>
      </c>
      <c r="W66" s="783">
        <f>IF('Incremental Repayments'!$R$22="Debt",IF(AND(W$4&gt;=$D66,W$4&lt;$D66+'Incremental Repayments'!$I$31),-PMT('Interest Rate'!$J$16,'Incremental Repayments'!$I$31,(HLOOKUP($D66,$E$4:$CZ$32,28,FALSE)*'Incremental Repayments'!$I$22)),0),0)</f>
        <v>0</v>
      </c>
      <c r="X66" s="783">
        <f>IF('Incremental Repayments'!$R$22="Debt",IF(AND(X$4&gt;=$D66,X$4&lt;$D66+'Incremental Repayments'!$I$31),-PMT('Interest Rate'!$J$16,'Incremental Repayments'!$I$31,(HLOOKUP($D66,$E$4:$CZ$32,28,FALSE)*'Incremental Repayments'!$I$22)),0),0)</f>
        <v>0</v>
      </c>
      <c r="Y66" s="783">
        <f>IF('Incremental Repayments'!$R$22="Debt",IF(AND(Y$4&gt;=$D66,Y$4&lt;$D66+'Incremental Repayments'!$I$31),-PMT('Interest Rate'!$J$16,'Incremental Repayments'!$I$31,(HLOOKUP($D66,$E$4:$CZ$32,28,FALSE)*'Incremental Repayments'!$I$22)),0),0)</f>
        <v>0</v>
      </c>
      <c r="Z66" s="783">
        <f>IF('Incremental Repayments'!$R$22="Debt",IF(AND(Z$4&gt;=$D66,Z$4&lt;$D66+'Incremental Repayments'!$I$31),-PMT('Interest Rate'!$J$16,'Incremental Repayments'!$I$31,(HLOOKUP($D66,$E$4:$CZ$32,28,FALSE)*'Incremental Repayments'!$I$22)),0),0)</f>
        <v>0</v>
      </c>
      <c r="AA66" s="783">
        <f>IF('Incremental Repayments'!$R$22="Debt",IF(AND(AA$4&gt;=$D66,AA$4&lt;$D66+'Incremental Repayments'!$I$31),-PMT('Interest Rate'!$J$16,'Incremental Repayments'!$I$31,(HLOOKUP($D66,$E$4:$CZ$32,28,FALSE)*'Incremental Repayments'!$I$22)),0),0)</f>
        <v>0</v>
      </c>
      <c r="AB66" s="783">
        <f>IF('Incremental Repayments'!$R$22="Debt",IF(AND(AB$4&gt;=$D66,AB$4&lt;$D66+'Incremental Repayments'!$I$31),-PMT('Interest Rate'!$J$16,'Incremental Repayments'!$I$31,(HLOOKUP($D66,$E$4:$CZ$32,28,FALSE)*'Incremental Repayments'!$I$22)),0),0)</f>
        <v>0</v>
      </c>
      <c r="AC66" s="783">
        <f>IF('Incremental Repayments'!$R$22="Debt",IF(AND(AC$4&gt;=$D66,AC$4&lt;$D66+'Incremental Repayments'!$I$31),-PMT('Interest Rate'!$J$16,'Incremental Repayments'!$I$31,(HLOOKUP($D66,$E$4:$CZ$32,28,FALSE)*'Incremental Repayments'!$I$22)),0),0)</f>
        <v>0</v>
      </c>
      <c r="AD66" s="783">
        <f>IF('Incremental Repayments'!$R$22="Debt",IF(AND(AD$4&gt;=$D66,AD$4&lt;$D66+'Incremental Repayments'!$I$31),-PMT('Interest Rate'!$J$16,'Incremental Repayments'!$I$31,(HLOOKUP($D66,$E$4:$CZ$32,28,FALSE)*'Incremental Repayments'!$I$22)),0),0)</f>
        <v>0</v>
      </c>
      <c r="AE66" s="783">
        <f>IF('Incremental Repayments'!$R$22="Debt",IF(AND(AE$4&gt;=$D66,AE$4&lt;$D66+'Incremental Repayments'!$I$31),-PMT('Interest Rate'!$J$16,'Incremental Repayments'!$I$31,(HLOOKUP($D66,$E$4:$CZ$32,28,FALSE)*'Incremental Repayments'!$I$22)),0),0)</f>
        <v>0</v>
      </c>
      <c r="AF66" s="783">
        <f>IF('Incremental Repayments'!$R$22="Debt",IF(AND(AF$4&gt;=$D66,AF$4&lt;$D66+'Incremental Repayments'!$I$31),-PMT('Interest Rate'!$J$16,'Incremental Repayments'!$I$31,(HLOOKUP($D66,$E$4:$CZ$32,28,FALSE)*'Incremental Repayments'!$I$22)),0),0)</f>
        <v>0</v>
      </c>
      <c r="AG66" s="783">
        <f>IF('Incremental Repayments'!$R$22="Debt",IF(AND(AG$4&gt;=$D66,AG$4&lt;$D66+'Incremental Repayments'!$I$31),-PMT('Interest Rate'!$J$16,'Incremental Repayments'!$I$31,(HLOOKUP($D66,$E$4:$CZ$32,28,FALSE)*'Incremental Repayments'!$I$22)),0),0)</f>
        <v>0</v>
      </c>
      <c r="AH66" s="783">
        <f>IF('Incremental Repayments'!$R$22="Debt",IF(AND(AH$4&gt;=$D66,AH$4&lt;$D66+'Incremental Repayments'!$I$31),-PMT('Interest Rate'!$J$16,'Incremental Repayments'!$I$31,(HLOOKUP($D66,$E$4:$CZ$32,28,FALSE)*'Incremental Repayments'!$I$22)),0),0)</f>
        <v>0</v>
      </c>
      <c r="AI66" s="783">
        <f>IF('Incremental Repayments'!$R$22="Debt",IF(AND(AI$4&gt;=$D66,AI$4&lt;$D66+'Incremental Repayments'!$I$31),-PMT('Interest Rate'!$J$16,'Incremental Repayments'!$I$31,(HLOOKUP($D66,$E$4:$CZ$32,28,FALSE)*'Incremental Repayments'!$I$22)),0),0)</f>
        <v>4753922.3428418441</v>
      </c>
      <c r="AJ66" s="783">
        <f>IF('Incremental Repayments'!$R$22="Debt",IF(AND(AJ$4&gt;=$D66,AJ$4&lt;$D66+'Incremental Repayments'!$I$31),-PMT('Interest Rate'!$J$16,'Incremental Repayments'!$I$31,(HLOOKUP($D66,$E$4:$CZ$32,28,FALSE)*'Incremental Repayments'!$I$22)),0),0)</f>
        <v>4753922.3428418441</v>
      </c>
      <c r="AK66" s="783">
        <f>IF('Incremental Repayments'!$R$22="Debt",IF(AND(AK$4&gt;=$D66,AK$4&lt;$D66+'Incremental Repayments'!$I$31),-PMT('Interest Rate'!$J$16,'Incremental Repayments'!$I$31,(HLOOKUP($D66,$E$4:$CZ$32,28,FALSE)*'Incremental Repayments'!$I$22)),0),0)</f>
        <v>4753922.3428418441</v>
      </c>
      <c r="AL66" s="783">
        <f>IF('Incremental Repayments'!$R$22="Debt",IF(AND(AL$4&gt;=$D66,AL$4&lt;$D66+'Incremental Repayments'!$I$31),-PMT('Interest Rate'!$J$16,'Incremental Repayments'!$I$31,(HLOOKUP($D66,$E$4:$CZ$32,28,FALSE)*'Incremental Repayments'!$I$22)),0),0)</f>
        <v>4753922.3428418441</v>
      </c>
      <c r="AM66" s="783">
        <f>IF('Incremental Repayments'!$R$22="Debt",IF(AND(AM$4&gt;=$D66,AM$4&lt;$D66+'Incremental Repayments'!$I$31),-PMT('Interest Rate'!$J$16,'Incremental Repayments'!$I$31,(HLOOKUP($D66,$E$4:$CZ$32,28,FALSE)*'Incremental Repayments'!$I$22)),0),0)</f>
        <v>4753922.3428418441</v>
      </c>
      <c r="AN66" s="783">
        <f>IF('Incremental Repayments'!$R$22="Debt",IF(AND(AN$4&gt;=$D66,AN$4&lt;$D66+'Incremental Repayments'!$I$31),-PMT('Interest Rate'!$J$16,'Incremental Repayments'!$I$31,(HLOOKUP($D66,$E$4:$CZ$32,28,FALSE)*'Incremental Repayments'!$I$22)),0),0)</f>
        <v>4753922.3428418441</v>
      </c>
      <c r="AO66" s="783">
        <f>IF('Incremental Repayments'!$R$22="Debt",IF(AND(AO$4&gt;=$D66,AO$4&lt;$D66+'Incremental Repayments'!$I$31),-PMT('Interest Rate'!$J$16,'Incremental Repayments'!$I$31,(HLOOKUP($D66,$E$4:$CZ$32,28,FALSE)*'Incremental Repayments'!$I$22)),0),0)</f>
        <v>4753922.3428418441</v>
      </c>
      <c r="AP66" s="783">
        <f>IF('Incremental Repayments'!$R$22="Debt",IF(AND(AP$4&gt;=$D66,AP$4&lt;$D66+'Incremental Repayments'!$I$31),-PMT('Interest Rate'!$J$16,'Incremental Repayments'!$I$31,(HLOOKUP($D66,$E$4:$CZ$32,28,FALSE)*'Incremental Repayments'!$I$22)),0),0)</f>
        <v>4753922.3428418441</v>
      </c>
      <c r="AQ66" s="783">
        <f>IF('Incremental Repayments'!$R$22="Debt",IF(AND(AQ$4&gt;=$D66,AQ$4&lt;$D66+'Incremental Repayments'!$I$31),-PMT('Interest Rate'!$J$16,'Incremental Repayments'!$I$31,(HLOOKUP($D66,$E$4:$CZ$32,28,FALSE)*'Incremental Repayments'!$I$22)),0),0)</f>
        <v>4753922.3428418441</v>
      </c>
      <c r="AR66" s="783">
        <f>IF('Incremental Repayments'!$R$22="Debt",IF(AND(AR$4&gt;=$D66,AR$4&lt;$D66+'Incremental Repayments'!$I$31),-PMT('Interest Rate'!$J$16,'Incremental Repayments'!$I$31,(HLOOKUP($D66,$E$4:$CZ$32,28,FALSE)*'Incremental Repayments'!$I$22)),0),0)</f>
        <v>4753922.3428418441</v>
      </c>
      <c r="AS66" s="783">
        <f>IF('Incremental Repayments'!$R$22="Debt",IF(AND(AS$4&gt;=$D66,AS$4&lt;$D66+'Incremental Repayments'!$I$31),-PMT('Interest Rate'!$J$16,'Incremental Repayments'!$I$31,(HLOOKUP($D66,$E$4:$CZ$32,28,FALSE)*'Incremental Repayments'!$I$22)),0),0)</f>
        <v>4753922.3428418441</v>
      </c>
      <c r="AT66" s="783">
        <f>IF('Incremental Repayments'!$R$22="Debt",IF(AND(AT$4&gt;=$D66,AT$4&lt;$D66+'Incremental Repayments'!$I$31),-PMT('Interest Rate'!$J$16,'Incremental Repayments'!$I$31,(HLOOKUP($D66,$E$4:$CZ$32,28,FALSE)*'Incremental Repayments'!$I$22)),0),0)</f>
        <v>4753922.3428418441</v>
      </c>
      <c r="AU66" s="783">
        <f>IF('Incremental Repayments'!$R$22="Debt",IF(AND(AU$4&gt;=$D66,AU$4&lt;$D66+'Incremental Repayments'!$I$31),-PMT('Interest Rate'!$J$16,'Incremental Repayments'!$I$31,(HLOOKUP($D66,$E$4:$CZ$32,28,FALSE)*'Incremental Repayments'!$I$22)),0),0)</f>
        <v>4753922.3428418441</v>
      </c>
      <c r="AV66" s="783">
        <f>IF('Incremental Repayments'!$R$22="Debt",IF(AND(AV$4&gt;=$D66,AV$4&lt;$D66+'Incremental Repayments'!$I$31),-PMT('Interest Rate'!$J$16,'Incremental Repayments'!$I$31,(HLOOKUP($D66,$E$4:$CZ$32,28,FALSE)*'Incremental Repayments'!$I$22)),0),0)</f>
        <v>4753922.3428418441</v>
      </c>
      <c r="AW66" s="783">
        <f>IF('Incremental Repayments'!$R$22="Debt",IF(AND(AW$4&gt;=$D66,AW$4&lt;$D66+'Incremental Repayments'!$I$31),-PMT('Interest Rate'!$J$16,'Incremental Repayments'!$I$31,(HLOOKUP($D66,$E$4:$CZ$32,28,FALSE)*'Incremental Repayments'!$I$22)),0),0)</f>
        <v>4753922.3428418441</v>
      </c>
      <c r="AX66" s="783">
        <f>IF('Incremental Repayments'!$R$22="Debt",IF(AND(AX$4&gt;=$D66,AX$4&lt;$D66+'Incremental Repayments'!$I$31),-PMT('Interest Rate'!$J$16,'Incremental Repayments'!$I$31,(HLOOKUP($D66,$E$4:$CZ$32,28,FALSE)*'Incremental Repayments'!$I$22)),0),0)</f>
        <v>4753922.3428418441</v>
      </c>
      <c r="AY66" s="783">
        <f>IF('Incremental Repayments'!$R$22="Debt",IF(AND(AY$4&gt;=$D66,AY$4&lt;$D66+'Incremental Repayments'!$I$31),-PMT('Interest Rate'!$J$16,'Incremental Repayments'!$I$31,(HLOOKUP($D66,$E$4:$CZ$32,28,FALSE)*'Incremental Repayments'!$I$22)),0),0)</f>
        <v>4753922.3428418441</v>
      </c>
      <c r="AZ66" s="783">
        <f>IF('Incremental Repayments'!$R$22="Debt",IF(AND(AZ$4&gt;=$D66,AZ$4&lt;$D66+'Incremental Repayments'!$I$31),-PMT('Interest Rate'!$J$16,'Incremental Repayments'!$I$31,(HLOOKUP($D66,$E$4:$CZ$32,28,FALSE)*'Incremental Repayments'!$I$22)),0),0)</f>
        <v>4753922.3428418441</v>
      </c>
      <c r="BA66" s="783">
        <f>IF('Incremental Repayments'!$R$22="Debt",IF(AND(BA$4&gt;=$D66,BA$4&lt;$D66+'Incremental Repayments'!$I$31),-PMT('Interest Rate'!$J$16,'Incremental Repayments'!$I$31,(HLOOKUP($D66,$E$4:$CZ$32,28,FALSE)*'Incremental Repayments'!$I$22)),0),0)</f>
        <v>4753922.3428418441</v>
      </c>
      <c r="BB66" s="783">
        <f>IF('Incremental Repayments'!$R$22="Debt",IF(AND(BB$4&gt;=$D66,BB$4&lt;$D66+'Incremental Repayments'!$I$31),-PMT('Interest Rate'!$J$16,'Incremental Repayments'!$I$31,(HLOOKUP($D66,$E$4:$CZ$32,28,FALSE)*'Incremental Repayments'!$I$22)),0),0)</f>
        <v>4753922.3428418441</v>
      </c>
      <c r="BC66" s="783">
        <f>IF('Incremental Repayments'!$R$22="Debt",IF(AND(BC$4&gt;=$D66,BC$4&lt;$D66+'Incremental Repayments'!$I$31),-PMT('Interest Rate'!$J$16,'Incremental Repayments'!$I$31,(HLOOKUP($D66,$E$4:$CZ$32,28,FALSE)*'Incremental Repayments'!$I$22)),0),0)</f>
        <v>4753922.3428418441</v>
      </c>
      <c r="BD66" s="783">
        <f>IF('Incremental Repayments'!$R$22="Debt",IF(AND(BD$4&gt;=$D66,BD$4&lt;$D66+'Incremental Repayments'!$I$31),-PMT('Interest Rate'!$J$16,'Incremental Repayments'!$I$31,(HLOOKUP($D66,$E$4:$CZ$32,28,FALSE)*'Incremental Repayments'!$I$22)),0),0)</f>
        <v>4753922.3428418441</v>
      </c>
      <c r="BE66" s="783">
        <f>IF('Incremental Repayments'!$R$22="Debt",IF(AND(BE$4&gt;=$D66,BE$4&lt;$D66+'Incremental Repayments'!$I$31),-PMT('Interest Rate'!$J$16,'Incremental Repayments'!$I$31,(HLOOKUP($D66,$E$4:$CZ$32,28,FALSE)*'Incremental Repayments'!$I$22)),0),0)</f>
        <v>4753922.3428418441</v>
      </c>
      <c r="BF66" s="783">
        <f>IF('Incremental Repayments'!$R$22="Debt",IF(AND(BF$4&gt;=$D66,BF$4&lt;$D66+'Incremental Repayments'!$I$31),-PMT('Interest Rate'!$J$16,'Incremental Repayments'!$I$31,(HLOOKUP($D66,$E$4:$CZ$32,28,FALSE)*'Incremental Repayments'!$I$22)),0),0)</f>
        <v>4753922.3428418441</v>
      </c>
      <c r="BG66" s="783">
        <f>IF('Incremental Repayments'!$R$22="Debt",IF(AND(BG$4&gt;=$D66,BG$4&lt;$D66+'Incremental Repayments'!$I$31),-PMT('Interest Rate'!$J$16,'Incremental Repayments'!$I$31,(HLOOKUP($D66,$E$4:$CZ$32,28,FALSE)*'Incremental Repayments'!$I$22)),0),0)</f>
        <v>4753922.3428418441</v>
      </c>
      <c r="BH66" s="783">
        <f>IF('Incremental Repayments'!$R$22="Debt",IF(AND(BH$4&gt;=$D66,BH$4&lt;$D66+'Incremental Repayments'!$I$31),-PMT('Interest Rate'!$J$16,'Incremental Repayments'!$I$31,(HLOOKUP($D66,$E$4:$CZ$32,28,FALSE)*'Incremental Repayments'!$I$22)),0),0)</f>
        <v>4753922.3428418441</v>
      </c>
      <c r="BI66" s="783">
        <f>IF('Incremental Repayments'!$R$22="Debt",IF(AND(BI$4&gt;=$D66,BI$4&lt;$D66+'Incremental Repayments'!$I$31),-PMT('Interest Rate'!$J$16,'Incremental Repayments'!$I$31,(HLOOKUP($D66,$E$4:$CZ$32,28,FALSE)*'Incremental Repayments'!$I$22)),0),0)</f>
        <v>4753922.3428418441</v>
      </c>
      <c r="BJ66" s="783">
        <f>IF('Incremental Repayments'!$R$22="Debt",IF(AND(BJ$4&gt;=$D66,BJ$4&lt;$D66+'Incremental Repayments'!$I$31),-PMT('Interest Rate'!$J$16,'Incremental Repayments'!$I$31,(HLOOKUP($D66,$E$4:$CZ$32,28,FALSE)*'Incremental Repayments'!$I$22)),0),0)</f>
        <v>4753922.3428418441</v>
      </c>
      <c r="BK66" s="783">
        <f>IF('Incremental Repayments'!$R$22="Debt",IF(AND(BK$4&gt;=$D66,BK$4&lt;$D66+'Incremental Repayments'!$I$31),-PMT('Interest Rate'!$J$16,'Incremental Repayments'!$I$31,(HLOOKUP($D66,$E$4:$CZ$32,28,FALSE)*'Incremental Repayments'!$I$22)),0),0)</f>
        <v>4753922.3428418441</v>
      </c>
      <c r="BL66" s="783">
        <f>IF('Incremental Repayments'!$R$22="Debt",IF(AND(BL$4&gt;=$D66,BL$4&lt;$D66+'Incremental Repayments'!$I$31),-PMT('Interest Rate'!$J$16,'Incremental Repayments'!$I$31,(HLOOKUP($D66,$E$4:$CZ$32,28,FALSE)*'Incremental Repayments'!$I$22)),0),0)</f>
        <v>4753922.3428418441</v>
      </c>
      <c r="BM66" s="783">
        <f>IF('Incremental Repayments'!$R$22="Debt",IF(AND(BM$4&gt;=$D66,BM$4&lt;$D66+'Incremental Repayments'!$I$31),-PMT('Interest Rate'!$J$16,'Incremental Repayments'!$I$31,(HLOOKUP($D66,$E$4:$CZ$32,28,FALSE)*'Incremental Repayments'!$I$22)),0),0)</f>
        <v>0</v>
      </c>
      <c r="BN66" s="783">
        <f>IF('Incremental Repayments'!$R$22="Debt",IF(AND(BN$4&gt;=$D66,BN$4&lt;$D66+'Incremental Repayments'!$I$31),-PMT('Interest Rate'!$J$16,'Incremental Repayments'!$I$31,(HLOOKUP($D66,$E$4:$CZ$32,28,FALSE)*'Incremental Repayments'!$I$22)),0),0)</f>
        <v>0</v>
      </c>
      <c r="BO66" s="783">
        <f>IF('Incremental Repayments'!$R$22="Debt",IF(AND(BO$4&gt;=$D66,BO$4&lt;$D66+'Incremental Repayments'!$I$31),-PMT('Interest Rate'!$J$16,'Incremental Repayments'!$I$31,(HLOOKUP($D66,$E$4:$CZ$32,28,FALSE)*'Incremental Repayments'!$I$22)),0),0)</f>
        <v>0</v>
      </c>
      <c r="BP66" s="783">
        <f>IF('Incremental Repayments'!$R$22="Debt",IF(AND(BP$4&gt;=$D66,BP$4&lt;$D66+'Incremental Repayments'!$I$31),-PMT('Interest Rate'!$J$16,'Incremental Repayments'!$I$31,(HLOOKUP($D66,$E$4:$CZ$32,28,FALSE)*'Incremental Repayments'!$I$22)),0),0)</f>
        <v>0</v>
      </c>
      <c r="BQ66" s="783">
        <f>IF('Incremental Repayments'!$R$22="Debt",IF(AND(BQ$4&gt;=$D66,BQ$4&lt;$D66+'Incremental Repayments'!$I$31),-PMT('Interest Rate'!$J$16,'Incremental Repayments'!$I$31,(HLOOKUP($D66,$E$4:$CZ$32,28,FALSE)*'Incremental Repayments'!$I$22)),0),0)</f>
        <v>0</v>
      </c>
      <c r="BR66" s="783">
        <f>IF('Incremental Repayments'!$R$22="Debt",IF(AND(BR$4&gt;=$D66,BR$4&lt;$D66+'Incremental Repayments'!$I$31),-PMT('Interest Rate'!$J$16,'Incremental Repayments'!$I$31,(HLOOKUP($D66,$E$4:$CZ$32,28,FALSE)*'Incremental Repayments'!$I$22)),0),0)</f>
        <v>0</v>
      </c>
      <c r="BS66" s="783">
        <f>IF('Incremental Repayments'!$R$22="Debt",IF(AND(BS$4&gt;=$D66,BS$4&lt;$D66+'Incremental Repayments'!$I$31),-PMT('Interest Rate'!$J$16,'Incremental Repayments'!$I$31,(HLOOKUP($D66,$E$4:$CZ$32,28,FALSE)*'Incremental Repayments'!$I$22)),0),0)</f>
        <v>0</v>
      </c>
      <c r="BT66" s="783">
        <f>IF('Incremental Repayments'!$R$22="Debt",IF(AND(BT$4&gt;=$D66,BT$4&lt;$D66+'Incremental Repayments'!$I$31),-PMT('Interest Rate'!$J$16,'Incremental Repayments'!$I$31,(HLOOKUP($D66,$E$4:$CZ$32,28,FALSE)*'Incremental Repayments'!$I$22)),0),0)</f>
        <v>0</v>
      </c>
      <c r="BU66" s="783">
        <f>IF('Incremental Repayments'!$R$22="Debt",IF(AND(BU$4&gt;=$D66,BU$4&lt;$D66+'Incremental Repayments'!$I$31),-PMT('Interest Rate'!$J$16,'Incremental Repayments'!$I$31,(HLOOKUP($D66,$E$4:$CZ$32,28,FALSE)*'Incremental Repayments'!$I$22)),0),0)</f>
        <v>0</v>
      </c>
      <c r="BV66" s="783">
        <f>IF('Incremental Repayments'!$R$22="Debt",IF(AND(BV$4&gt;=$D66,BV$4&lt;$D66+'Incremental Repayments'!$I$31),-PMT('Interest Rate'!$J$16,'Incremental Repayments'!$I$31,(HLOOKUP($D66,$E$4:$CZ$32,28,FALSE)*'Incremental Repayments'!$I$22)),0),0)</f>
        <v>0</v>
      </c>
      <c r="BW66" s="783">
        <f>IF('Incremental Repayments'!$R$22="Debt",IF(AND(BW$4&gt;=$D66,BW$4&lt;$D66+'Incremental Repayments'!$I$31),-PMT('Interest Rate'!$J$16,'Incremental Repayments'!$I$31,(HLOOKUP($D66,$E$4:$CZ$32,28,FALSE)*'Incremental Repayments'!$I$22)),0),0)</f>
        <v>0</v>
      </c>
      <c r="BX66" s="783">
        <f>IF('Incremental Repayments'!$R$22="Debt",IF(AND(BX$4&gt;=$D66,BX$4&lt;$D66+'Incremental Repayments'!$I$31),-PMT('Interest Rate'!$J$16,'Incremental Repayments'!$I$31,(HLOOKUP($D66,$E$4:$CZ$32,28,FALSE)*'Incremental Repayments'!$I$22)),0),0)</f>
        <v>0</v>
      </c>
      <c r="BY66" s="783">
        <f>IF('Incremental Repayments'!$R$22="Debt",IF(AND(BY$4&gt;=$D66,BY$4&lt;$D66+'Incremental Repayments'!$I$31),-PMT('Interest Rate'!$J$16,'Incremental Repayments'!$I$31,(HLOOKUP($D66,$E$4:$CZ$32,28,FALSE)*'Incremental Repayments'!$I$22)),0),0)</f>
        <v>0</v>
      </c>
      <c r="BZ66" s="783">
        <f>IF('Incremental Repayments'!$R$22="Debt",IF(AND(BZ$4&gt;=$D66,BZ$4&lt;$D66+'Incremental Repayments'!$I$31),-PMT('Interest Rate'!$J$16,'Incremental Repayments'!$I$31,(HLOOKUP($D66,$E$4:$CZ$32,28,FALSE)*'Incremental Repayments'!$I$22)),0),0)</f>
        <v>0</v>
      </c>
      <c r="CA66" s="783">
        <f>IF('Incremental Repayments'!$R$22="Debt",IF(AND(CA$4&gt;=$D66,CA$4&lt;$D66+'Incremental Repayments'!$I$31),-PMT('Interest Rate'!$J$16,'Incremental Repayments'!$I$31,(HLOOKUP($D66,$E$4:$CZ$32,28,FALSE)*'Incremental Repayments'!$I$22)),0),0)</f>
        <v>0</v>
      </c>
      <c r="CB66" s="783">
        <f>IF('Incremental Repayments'!$R$22="Debt",IF(AND(CB$4&gt;=$D66,CB$4&lt;$D66+'Incremental Repayments'!$I$31),-PMT('Interest Rate'!$J$16,'Incremental Repayments'!$I$31,(HLOOKUP($D66,$E$4:$CZ$32,28,FALSE)*'Incremental Repayments'!$I$22)),0),0)</f>
        <v>0</v>
      </c>
      <c r="CC66" s="783">
        <f>IF('Incremental Repayments'!$R$22="Debt",IF(AND(CC$4&gt;=$D66,CC$4&lt;$D66+'Incremental Repayments'!$I$31),-PMT('Interest Rate'!$J$16,'Incremental Repayments'!$I$31,(HLOOKUP($D66,$E$4:$CZ$32,28,FALSE)*'Incremental Repayments'!$I$22)),0),0)</f>
        <v>0</v>
      </c>
      <c r="CD66" s="783">
        <f>IF('Incremental Repayments'!$R$22="Debt",IF(AND(CD$4&gt;=$D66,CD$4&lt;$D66+'Incremental Repayments'!$I$31),-PMT('Interest Rate'!$J$16,'Incremental Repayments'!$I$31,(HLOOKUP($D66,$E$4:$CZ$32,28,FALSE)*'Incremental Repayments'!$I$22)),0),0)</f>
        <v>0</v>
      </c>
      <c r="CE66" s="783">
        <f>IF('Incremental Repayments'!$R$22="Debt",IF(AND(CE$4&gt;=$D66,CE$4&lt;$D66+'Incremental Repayments'!$I$31),-PMT('Interest Rate'!$J$16,'Incremental Repayments'!$I$31,(HLOOKUP($D66,$E$4:$CZ$32,28,FALSE)*'Incremental Repayments'!$I$22)),0),0)</f>
        <v>0</v>
      </c>
      <c r="CF66" s="783">
        <f>IF('Incremental Repayments'!$R$22="Debt",IF(AND(CF$4&gt;=$D66,CF$4&lt;$D66+'Incremental Repayments'!$I$31),-PMT('Interest Rate'!$J$16,'Incremental Repayments'!$I$31,(HLOOKUP($D66,$E$4:$CZ$32,28,FALSE)*'Incremental Repayments'!$I$22)),0),0)</f>
        <v>0</v>
      </c>
      <c r="CG66" s="783">
        <f>IF('Incremental Repayments'!$R$22="Debt",IF(AND(CG$4&gt;=$D66,CG$4&lt;$D66+'Incremental Repayments'!$I$31),-PMT('Interest Rate'!$J$16,'Incremental Repayments'!$I$31,(HLOOKUP($D66,$E$4:$CZ$32,28,FALSE)*'Incremental Repayments'!$I$22)),0),0)</f>
        <v>0</v>
      </c>
      <c r="CH66" s="783">
        <f>IF('Incremental Repayments'!$R$22="Debt",IF(AND(CH$4&gt;=$D66,CH$4&lt;$D66+'Incremental Repayments'!$I$31),-PMT('Interest Rate'!$J$16,'Incremental Repayments'!$I$31,(HLOOKUP($D66,$E$4:$CZ$32,28,FALSE)*'Incremental Repayments'!$I$22)),0),0)</f>
        <v>0</v>
      </c>
      <c r="CI66" s="783">
        <f>IF('Incremental Repayments'!$R$22="Debt",IF(AND(CI$4&gt;=$D66,CI$4&lt;$D66+'Incremental Repayments'!$I$31),-PMT('Interest Rate'!$J$16,'Incremental Repayments'!$I$31,(HLOOKUP($D66,$E$4:$CZ$32,28,FALSE)*'Incremental Repayments'!$I$22)),0),0)</f>
        <v>0</v>
      </c>
      <c r="CJ66" s="783">
        <f>IF('Incremental Repayments'!$R$22="Debt",IF(AND(CJ$4&gt;=$D66,CJ$4&lt;$D66+'Incremental Repayments'!$I$31),-PMT('Interest Rate'!$J$16,'Incremental Repayments'!$I$31,(HLOOKUP($D66,$E$4:$CZ$32,28,FALSE)*'Incremental Repayments'!$I$22)),0),0)</f>
        <v>0</v>
      </c>
      <c r="CK66" s="783">
        <f>IF('Incremental Repayments'!$R$22="Debt",IF(AND(CK$4&gt;=$D66,CK$4&lt;$D66+'Incremental Repayments'!$I$31),-PMT('Interest Rate'!$J$16,'Incremental Repayments'!$I$31,(HLOOKUP($D66,$E$4:$CZ$32,28,FALSE)*'Incremental Repayments'!$I$22)),0),0)</f>
        <v>0</v>
      </c>
      <c r="CL66" s="783">
        <f>IF('Incremental Repayments'!$R$22="Debt",IF(AND(CL$4&gt;=$D66,CL$4&lt;$D66+'Incremental Repayments'!$I$31),-PMT('Interest Rate'!$J$16,'Incremental Repayments'!$I$31,(HLOOKUP($D66,$E$4:$CZ$32,28,FALSE)*'Incremental Repayments'!$I$22)),0),0)</f>
        <v>0</v>
      </c>
      <c r="CM66" s="783">
        <f>IF('Incremental Repayments'!$R$22="Debt",IF(AND(CM$4&gt;=$D66,CM$4&lt;$D66+'Incremental Repayments'!$I$31),-PMT('Interest Rate'!$J$16,'Incremental Repayments'!$I$31,(HLOOKUP($D66,$E$4:$CZ$32,28,FALSE)*'Incremental Repayments'!$I$22)),0),0)</f>
        <v>0</v>
      </c>
      <c r="CN66" s="783">
        <f>IF('Incremental Repayments'!$R$22="Debt",IF(AND(CN$4&gt;=$D66,CN$4&lt;$D66+'Incremental Repayments'!$I$31),-PMT('Interest Rate'!$J$16,'Incremental Repayments'!$I$31,(HLOOKUP($D66,$E$4:$CZ$32,28,FALSE)*'Incremental Repayments'!$I$22)),0),0)</f>
        <v>0</v>
      </c>
      <c r="CO66" s="783">
        <f>IF('Incremental Repayments'!$R$22="Debt",IF(AND(CO$4&gt;=$D66,CO$4&lt;$D66+'Incremental Repayments'!$I$31),-PMT('Interest Rate'!$J$16,'Incremental Repayments'!$I$31,(HLOOKUP($D66,$E$4:$CZ$32,28,FALSE)*'Incremental Repayments'!$I$22)),0),0)</f>
        <v>0</v>
      </c>
      <c r="CP66" s="783">
        <f>IF('Incremental Repayments'!$R$22="Debt",IF(AND(CP$4&gt;=$D66,CP$4&lt;$D66+'Incremental Repayments'!$I$31),-PMT('Interest Rate'!$J$16,'Incremental Repayments'!$I$31,(HLOOKUP($D66,$E$4:$CZ$32,28,FALSE)*'Incremental Repayments'!$I$22)),0),0)</f>
        <v>0</v>
      </c>
      <c r="CQ66" s="783">
        <f>IF('Incremental Repayments'!$R$22="Debt",IF(AND(CQ$4&gt;=$D66,CQ$4&lt;$D66+'Incremental Repayments'!$I$31),-PMT('Interest Rate'!$J$16,'Incremental Repayments'!$I$31,(HLOOKUP($D66,$E$4:$CZ$32,28,FALSE)*'Incremental Repayments'!$I$22)),0),0)</f>
        <v>0</v>
      </c>
      <c r="CR66" s="783">
        <f>IF('Incremental Repayments'!$R$22="Debt",IF(AND(CR$4&gt;=$D66,CR$4&lt;$D66+'Incremental Repayments'!$I$31),-PMT('Interest Rate'!$J$16,'Incremental Repayments'!$I$31,(HLOOKUP($D66,$E$4:$CZ$32,28,FALSE)*'Incremental Repayments'!$I$22)),0),0)</f>
        <v>0</v>
      </c>
      <c r="CS66" s="783">
        <f>IF('Incremental Repayments'!$R$22="Debt",IF(AND(CS$4&gt;=$D66,CS$4&lt;$D66+'Incremental Repayments'!$I$31),-PMT('Interest Rate'!$J$16,'Incremental Repayments'!$I$31,(HLOOKUP($D66,$E$4:$CZ$32,28,FALSE)*'Incremental Repayments'!$I$22)),0),0)</f>
        <v>0</v>
      </c>
      <c r="CT66" s="783">
        <f>IF('Incremental Repayments'!$R$22="Debt",IF(AND(CT$4&gt;=$D66,CT$4&lt;$D66+'Incremental Repayments'!$I$31),-PMT('Interest Rate'!$J$16,'Incremental Repayments'!$I$31,(HLOOKUP($D66,$E$4:$CZ$32,28,FALSE)*'Incremental Repayments'!$I$22)),0),0)</f>
        <v>0</v>
      </c>
      <c r="CU66" s="783">
        <f>IF('Incremental Repayments'!$R$22="Debt",IF(AND(CU$4&gt;=$D66,CU$4&lt;$D66+'Incremental Repayments'!$I$31),-PMT('Interest Rate'!$J$16,'Incremental Repayments'!$I$31,(HLOOKUP($D66,$E$4:$CZ$32,28,FALSE)*'Incremental Repayments'!$I$22)),0),0)</f>
        <v>0</v>
      </c>
      <c r="CV66" s="783">
        <f>IF('Incremental Repayments'!$R$22="Debt",IF(AND(CV$4&gt;=$D66,CV$4&lt;$D66+'Incremental Repayments'!$I$31),-PMT('Interest Rate'!$J$16,'Incremental Repayments'!$I$31,(HLOOKUP($D66,$E$4:$CZ$32,28,FALSE)*'Incremental Repayments'!$I$22)),0),0)</f>
        <v>0</v>
      </c>
      <c r="CW66" s="783">
        <f>IF('Incremental Repayments'!$R$22="Debt",IF(AND(CW$4&gt;=$D66,CW$4&lt;$D66+'Incremental Repayments'!$I$31),-PMT('Interest Rate'!$J$16,'Incremental Repayments'!$I$31,(HLOOKUP($D66,$E$4:$CZ$32,28,FALSE)*'Incremental Repayments'!$I$22)),0),0)</f>
        <v>0</v>
      </c>
      <c r="CX66" s="783">
        <f>IF('Incremental Repayments'!$R$22="Debt",IF(AND(CX$4&gt;=$D66,CX$4&lt;$D66+'Incremental Repayments'!$I$31),-PMT('Interest Rate'!$J$16,'Incremental Repayments'!$I$31,(HLOOKUP($D66,$E$4:$CZ$32,28,FALSE)*'Incremental Repayments'!$I$22)),0),0)</f>
        <v>0</v>
      </c>
      <c r="CY66" s="783">
        <f>IF('Incremental Repayments'!$R$22="Debt",IF(AND(CY$4&gt;=$D66,CY$4&lt;$D66+'Incremental Repayments'!$I$31),-PMT('Interest Rate'!$J$16,'Incremental Repayments'!$I$31,(HLOOKUP($D66,$E$4:$CZ$32,28,FALSE)*'Incremental Repayments'!$I$22)),0),0)</f>
        <v>0</v>
      </c>
      <c r="CZ66" s="783">
        <f>IF('Incremental Repayments'!$R$22="Debt",IF(AND(CZ$4&gt;=$D66,CZ$4&lt;$D66+'Incremental Repayments'!$I$31),-PMT('Interest Rate'!$J$16,'Incremental Repayments'!$I$31,(HLOOKUP($D66,$E$4:$CZ$32,28,FALSE)*'Incremental Repayments'!$I$22)),0),0)</f>
        <v>0</v>
      </c>
    </row>
    <row r="67" spans="2:104" x14ac:dyDescent="0.25">
      <c r="B67" s="480" t="str">
        <f>CONCATENATE("Series ",D67,"A Bonds (at ",'Interest Rate'!$J$16*100,"% Interest)")</f>
        <v>Series 2045A Bonds (at 4.5% Interest)</v>
      </c>
      <c r="C67" s="480"/>
      <c r="D67" s="492">
        <f t="shared" si="47"/>
        <v>2045</v>
      </c>
      <c r="E67" s="783">
        <f>IF('Incremental Repayments'!$R$22="Debt",IF(AND(E$4&gt;=$D67,E$4&lt;$D67+'Incremental Repayments'!$I$31),-PMT('Interest Rate'!$J$16,'Incremental Repayments'!$I$31,(HLOOKUP($D67,$E$4:$CZ$32,28,FALSE)*'Incremental Repayments'!$I$22)),0),0)</f>
        <v>0</v>
      </c>
      <c r="F67" s="783">
        <f>IF('Incremental Repayments'!$R$22="Debt",IF(AND(F$4&gt;=$D67,F$4&lt;$D67+'Incremental Repayments'!$I$31),-PMT('Interest Rate'!$J$16,'Incremental Repayments'!$I$31,(HLOOKUP($D67,$E$4:$CZ$32,28,FALSE)*'Incremental Repayments'!$I$22)),0),0)</f>
        <v>0</v>
      </c>
      <c r="G67" s="783">
        <f>IF('Incremental Repayments'!$R$22="Debt",IF(AND(G$4&gt;=$D67,G$4&lt;$D67+'Incremental Repayments'!$I$31),-PMT('Interest Rate'!$J$16,'Incremental Repayments'!$I$31,(HLOOKUP($D67,$E$4:$CZ$32,28,FALSE)*'Incremental Repayments'!$I$22)),0),0)</f>
        <v>0</v>
      </c>
      <c r="H67" s="783">
        <f>IF('Incremental Repayments'!$R$22="Debt",IF(AND(H$4&gt;=$D67,H$4&lt;$D67+'Incremental Repayments'!$I$31),-PMT('Interest Rate'!$J$16,'Incremental Repayments'!$I$31,(HLOOKUP($D67,$E$4:$CZ$32,28,FALSE)*'Incremental Repayments'!$I$22)),0),0)</f>
        <v>0</v>
      </c>
      <c r="I67" s="783">
        <f>IF('Incremental Repayments'!$R$22="Debt",IF(AND(I$4&gt;=$D67,I$4&lt;$D67+'Incremental Repayments'!$I$31),-PMT('Interest Rate'!$J$16,'Incremental Repayments'!$I$31,(HLOOKUP($D67,$E$4:$CZ$32,28,FALSE)*'Incremental Repayments'!$I$22)),0),0)</f>
        <v>0</v>
      </c>
      <c r="J67" s="783">
        <f>IF('Incremental Repayments'!$R$22="Debt",IF(AND(J$4&gt;=$D67,J$4&lt;$D67+'Incremental Repayments'!$I$31),-PMT('Interest Rate'!$J$16,'Incremental Repayments'!$I$31,(HLOOKUP($D67,$E$4:$CZ$32,28,FALSE)*'Incremental Repayments'!$I$22)),0),0)</f>
        <v>0</v>
      </c>
      <c r="K67" s="783">
        <f>IF('Incremental Repayments'!$R$22="Debt",IF(AND(K$4&gt;=$D67,K$4&lt;$D67+'Incremental Repayments'!$I$31),-PMT('Interest Rate'!$J$16,'Incremental Repayments'!$I$31,(HLOOKUP($D67,$E$4:$CZ$32,28,FALSE)*'Incremental Repayments'!$I$22)),0),0)</f>
        <v>0</v>
      </c>
      <c r="L67" s="783">
        <f>IF('Incremental Repayments'!$R$22="Debt",IF(AND(L$4&gt;=$D67,L$4&lt;$D67+'Incremental Repayments'!$I$31),-PMT('Interest Rate'!$J$16,'Incremental Repayments'!$I$31,(HLOOKUP($D67,$E$4:$CZ$32,28,FALSE)*'Incremental Repayments'!$I$22)),0),0)</f>
        <v>0</v>
      </c>
      <c r="M67" s="783">
        <f>IF('Incremental Repayments'!$R$22="Debt",IF(AND(M$4&gt;=$D67,M$4&lt;$D67+'Incremental Repayments'!$I$31),-PMT('Interest Rate'!$J$16,'Incremental Repayments'!$I$31,(HLOOKUP($D67,$E$4:$CZ$32,28,FALSE)*'Incremental Repayments'!$I$22)),0),0)</f>
        <v>0</v>
      </c>
      <c r="N67" s="783">
        <f>IF('Incremental Repayments'!$R$22="Debt",IF(AND(N$4&gt;=$D67,N$4&lt;$D67+'Incremental Repayments'!$I$31),-PMT('Interest Rate'!$J$16,'Incremental Repayments'!$I$31,(HLOOKUP($D67,$E$4:$CZ$32,28,FALSE)*'Incremental Repayments'!$I$22)),0),0)</f>
        <v>0</v>
      </c>
      <c r="O67" s="783">
        <f>IF('Incremental Repayments'!$R$22="Debt",IF(AND(O$4&gt;=$D67,O$4&lt;$D67+'Incremental Repayments'!$I$31),-PMT('Interest Rate'!$J$16,'Incremental Repayments'!$I$31,(HLOOKUP($D67,$E$4:$CZ$32,28,FALSE)*'Incremental Repayments'!$I$22)),0),0)</f>
        <v>0</v>
      </c>
      <c r="P67" s="783">
        <f>IF('Incremental Repayments'!$R$22="Debt",IF(AND(P$4&gt;=$D67,P$4&lt;$D67+'Incremental Repayments'!$I$31),-PMT('Interest Rate'!$J$16,'Incremental Repayments'!$I$31,(HLOOKUP($D67,$E$4:$CZ$32,28,FALSE)*'Incremental Repayments'!$I$22)),0),0)</f>
        <v>0</v>
      </c>
      <c r="Q67" s="783">
        <f>IF('Incremental Repayments'!$R$22="Debt",IF(AND(Q$4&gt;=$D67,Q$4&lt;$D67+'Incremental Repayments'!$I$31),-PMT('Interest Rate'!$J$16,'Incremental Repayments'!$I$31,(HLOOKUP($D67,$E$4:$CZ$32,28,FALSE)*'Incremental Repayments'!$I$22)),0),0)</f>
        <v>0</v>
      </c>
      <c r="R67" s="783">
        <f>IF('Incremental Repayments'!$R$22="Debt",IF(AND(R$4&gt;=$D67,R$4&lt;$D67+'Incremental Repayments'!$I$31),-PMT('Interest Rate'!$J$16,'Incremental Repayments'!$I$31,(HLOOKUP($D67,$E$4:$CZ$32,28,FALSE)*'Incremental Repayments'!$I$22)),0),0)</f>
        <v>0</v>
      </c>
      <c r="S67" s="783">
        <f>IF('Incremental Repayments'!$R$22="Debt",IF(AND(S$4&gt;=$D67,S$4&lt;$D67+'Incremental Repayments'!$I$31),-PMT('Interest Rate'!$J$16,'Incremental Repayments'!$I$31,(HLOOKUP($D67,$E$4:$CZ$32,28,FALSE)*'Incremental Repayments'!$I$22)),0),0)</f>
        <v>0</v>
      </c>
      <c r="T67" s="783">
        <f>IF('Incremental Repayments'!$R$22="Debt",IF(AND(T$4&gt;=$D67,T$4&lt;$D67+'Incremental Repayments'!$I$31),-PMT('Interest Rate'!$J$16,'Incremental Repayments'!$I$31,(HLOOKUP($D67,$E$4:$CZ$32,28,FALSE)*'Incremental Repayments'!$I$22)),0),0)</f>
        <v>0</v>
      </c>
      <c r="U67" s="783">
        <f>IF('Incremental Repayments'!$R$22="Debt",IF(AND(U$4&gt;=$D67,U$4&lt;$D67+'Incremental Repayments'!$I$31),-PMT('Interest Rate'!$J$16,'Incremental Repayments'!$I$31,(HLOOKUP($D67,$E$4:$CZ$32,28,FALSE)*'Incremental Repayments'!$I$22)),0),0)</f>
        <v>0</v>
      </c>
      <c r="V67" s="783">
        <f>IF('Incremental Repayments'!$R$22="Debt",IF(AND(V$4&gt;=$D67,V$4&lt;$D67+'Incremental Repayments'!$I$31),-PMT('Interest Rate'!$J$16,'Incremental Repayments'!$I$31,(HLOOKUP($D67,$E$4:$CZ$32,28,FALSE)*'Incremental Repayments'!$I$22)),0),0)</f>
        <v>0</v>
      </c>
      <c r="W67" s="783">
        <f>IF('Incremental Repayments'!$R$22="Debt",IF(AND(W$4&gt;=$D67,W$4&lt;$D67+'Incremental Repayments'!$I$31),-PMT('Interest Rate'!$J$16,'Incremental Repayments'!$I$31,(HLOOKUP($D67,$E$4:$CZ$32,28,FALSE)*'Incremental Repayments'!$I$22)),0),0)</f>
        <v>0</v>
      </c>
      <c r="X67" s="783">
        <f>IF('Incremental Repayments'!$R$22="Debt",IF(AND(X$4&gt;=$D67,X$4&lt;$D67+'Incremental Repayments'!$I$31),-PMT('Interest Rate'!$J$16,'Incremental Repayments'!$I$31,(HLOOKUP($D67,$E$4:$CZ$32,28,FALSE)*'Incremental Repayments'!$I$22)),0),0)</f>
        <v>0</v>
      </c>
      <c r="Y67" s="783">
        <f>IF('Incremental Repayments'!$R$22="Debt",IF(AND(Y$4&gt;=$D67,Y$4&lt;$D67+'Incremental Repayments'!$I$31),-PMT('Interest Rate'!$J$16,'Incremental Repayments'!$I$31,(HLOOKUP($D67,$E$4:$CZ$32,28,FALSE)*'Incremental Repayments'!$I$22)),0),0)</f>
        <v>0</v>
      </c>
      <c r="Z67" s="783">
        <f>IF('Incremental Repayments'!$R$22="Debt",IF(AND(Z$4&gt;=$D67,Z$4&lt;$D67+'Incremental Repayments'!$I$31),-PMT('Interest Rate'!$J$16,'Incremental Repayments'!$I$31,(HLOOKUP($D67,$E$4:$CZ$32,28,FALSE)*'Incremental Repayments'!$I$22)),0),0)</f>
        <v>0</v>
      </c>
      <c r="AA67" s="783">
        <f>IF('Incremental Repayments'!$R$22="Debt",IF(AND(AA$4&gt;=$D67,AA$4&lt;$D67+'Incremental Repayments'!$I$31),-PMT('Interest Rate'!$J$16,'Incremental Repayments'!$I$31,(HLOOKUP($D67,$E$4:$CZ$32,28,FALSE)*'Incremental Repayments'!$I$22)),0),0)</f>
        <v>0</v>
      </c>
      <c r="AB67" s="783">
        <f>IF('Incremental Repayments'!$R$22="Debt",IF(AND(AB$4&gt;=$D67,AB$4&lt;$D67+'Incremental Repayments'!$I$31),-PMT('Interest Rate'!$J$16,'Incremental Repayments'!$I$31,(HLOOKUP($D67,$E$4:$CZ$32,28,FALSE)*'Incremental Repayments'!$I$22)),0),0)</f>
        <v>0</v>
      </c>
      <c r="AC67" s="783">
        <f>IF('Incremental Repayments'!$R$22="Debt",IF(AND(AC$4&gt;=$D67,AC$4&lt;$D67+'Incremental Repayments'!$I$31),-PMT('Interest Rate'!$J$16,'Incremental Repayments'!$I$31,(HLOOKUP($D67,$E$4:$CZ$32,28,FALSE)*'Incremental Repayments'!$I$22)),0),0)</f>
        <v>0</v>
      </c>
      <c r="AD67" s="783">
        <f>IF('Incremental Repayments'!$R$22="Debt",IF(AND(AD$4&gt;=$D67,AD$4&lt;$D67+'Incremental Repayments'!$I$31),-PMT('Interest Rate'!$J$16,'Incremental Repayments'!$I$31,(HLOOKUP($D67,$E$4:$CZ$32,28,FALSE)*'Incremental Repayments'!$I$22)),0),0)</f>
        <v>0</v>
      </c>
      <c r="AE67" s="783">
        <f>IF('Incremental Repayments'!$R$22="Debt",IF(AND(AE$4&gt;=$D67,AE$4&lt;$D67+'Incremental Repayments'!$I$31),-PMT('Interest Rate'!$J$16,'Incremental Repayments'!$I$31,(HLOOKUP($D67,$E$4:$CZ$32,28,FALSE)*'Incremental Repayments'!$I$22)),0),0)</f>
        <v>0</v>
      </c>
      <c r="AF67" s="783">
        <f>IF('Incremental Repayments'!$R$22="Debt",IF(AND(AF$4&gt;=$D67,AF$4&lt;$D67+'Incremental Repayments'!$I$31),-PMT('Interest Rate'!$J$16,'Incremental Repayments'!$I$31,(HLOOKUP($D67,$E$4:$CZ$32,28,FALSE)*'Incremental Repayments'!$I$22)),0),0)</f>
        <v>0</v>
      </c>
      <c r="AG67" s="783">
        <f>IF('Incremental Repayments'!$R$22="Debt",IF(AND(AG$4&gt;=$D67,AG$4&lt;$D67+'Incremental Repayments'!$I$31),-PMT('Interest Rate'!$J$16,'Incremental Repayments'!$I$31,(HLOOKUP($D67,$E$4:$CZ$32,28,FALSE)*'Incremental Repayments'!$I$22)),0),0)</f>
        <v>0</v>
      </c>
      <c r="AH67" s="783">
        <f>IF('Incremental Repayments'!$R$22="Debt",IF(AND(AH$4&gt;=$D67,AH$4&lt;$D67+'Incremental Repayments'!$I$31),-PMT('Interest Rate'!$J$16,'Incremental Repayments'!$I$31,(HLOOKUP($D67,$E$4:$CZ$32,28,FALSE)*'Incremental Repayments'!$I$22)),0),0)</f>
        <v>0</v>
      </c>
      <c r="AI67" s="783">
        <f>IF('Incremental Repayments'!$R$22="Debt",IF(AND(AI$4&gt;=$D67,AI$4&lt;$D67+'Incremental Repayments'!$I$31),-PMT('Interest Rate'!$J$16,'Incremental Repayments'!$I$31,(HLOOKUP($D67,$E$4:$CZ$32,28,FALSE)*'Incremental Repayments'!$I$22)),0),0)</f>
        <v>0</v>
      </c>
      <c r="AJ67" s="783">
        <f>IF('Incremental Repayments'!$R$22="Debt",IF(AND(AJ$4&gt;=$D67,AJ$4&lt;$D67+'Incremental Repayments'!$I$31),-PMT('Interest Rate'!$J$16,'Incremental Repayments'!$I$31,(HLOOKUP($D67,$E$4:$CZ$32,28,FALSE)*'Incremental Repayments'!$I$22)),0),0)</f>
        <v>3674920.8776175412</v>
      </c>
      <c r="AK67" s="783">
        <f>IF('Incremental Repayments'!$R$22="Debt",IF(AND(AK$4&gt;=$D67,AK$4&lt;$D67+'Incremental Repayments'!$I$31),-PMT('Interest Rate'!$J$16,'Incremental Repayments'!$I$31,(HLOOKUP($D67,$E$4:$CZ$32,28,FALSE)*'Incremental Repayments'!$I$22)),0),0)</f>
        <v>3674920.8776175412</v>
      </c>
      <c r="AL67" s="783">
        <f>IF('Incremental Repayments'!$R$22="Debt",IF(AND(AL$4&gt;=$D67,AL$4&lt;$D67+'Incremental Repayments'!$I$31),-PMT('Interest Rate'!$J$16,'Incremental Repayments'!$I$31,(HLOOKUP($D67,$E$4:$CZ$32,28,FALSE)*'Incremental Repayments'!$I$22)),0),0)</f>
        <v>3674920.8776175412</v>
      </c>
      <c r="AM67" s="783">
        <f>IF('Incremental Repayments'!$R$22="Debt",IF(AND(AM$4&gt;=$D67,AM$4&lt;$D67+'Incremental Repayments'!$I$31),-PMT('Interest Rate'!$J$16,'Incremental Repayments'!$I$31,(HLOOKUP($D67,$E$4:$CZ$32,28,FALSE)*'Incremental Repayments'!$I$22)),0),0)</f>
        <v>3674920.8776175412</v>
      </c>
      <c r="AN67" s="783">
        <f>IF('Incremental Repayments'!$R$22="Debt",IF(AND(AN$4&gt;=$D67,AN$4&lt;$D67+'Incremental Repayments'!$I$31),-PMT('Interest Rate'!$J$16,'Incremental Repayments'!$I$31,(HLOOKUP($D67,$E$4:$CZ$32,28,FALSE)*'Incremental Repayments'!$I$22)),0),0)</f>
        <v>3674920.8776175412</v>
      </c>
      <c r="AO67" s="783">
        <f>IF('Incremental Repayments'!$R$22="Debt",IF(AND(AO$4&gt;=$D67,AO$4&lt;$D67+'Incremental Repayments'!$I$31),-PMT('Interest Rate'!$J$16,'Incremental Repayments'!$I$31,(HLOOKUP($D67,$E$4:$CZ$32,28,FALSE)*'Incremental Repayments'!$I$22)),0),0)</f>
        <v>3674920.8776175412</v>
      </c>
      <c r="AP67" s="783">
        <f>IF('Incremental Repayments'!$R$22="Debt",IF(AND(AP$4&gt;=$D67,AP$4&lt;$D67+'Incremental Repayments'!$I$31),-PMT('Interest Rate'!$J$16,'Incremental Repayments'!$I$31,(HLOOKUP($D67,$E$4:$CZ$32,28,FALSE)*'Incremental Repayments'!$I$22)),0),0)</f>
        <v>3674920.8776175412</v>
      </c>
      <c r="AQ67" s="783">
        <f>IF('Incremental Repayments'!$R$22="Debt",IF(AND(AQ$4&gt;=$D67,AQ$4&lt;$D67+'Incremental Repayments'!$I$31),-PMT('Interest Rate'!$J$16,'Incremental Repayments'!$I$31,(HLOOKUP($D67,$E$4:$CZ$32,28,FALSE)*'Incremental Repayments'!$I$22)),0),0)</f>
        <v>3674920.8776175412</v>
      </c>
      <c r="AR67" s="783">
        <f>IF('Incremental Repayments'!$R$22="Debt",IF(AND(AR$4&gt;=$D67,AR$4&lt;$D67+'Incremental Repayments'!$I$31),-PMT('Interest Rate'!$J$16,'Incremental Repayments'!$I$31,(HLOOKUP($D67,$E$4:$CZ$32,28,FALSE)*'Incremental Repayments'!$I$22)),0),0)</f>
        <v>3674920.8776175412</v>
      </c>
      <c r="AS67" s="783">
        <f>IF('Incremental Repayments'!$R$22="Debt",IF(AND(AS$4&gt;=$D67,AS$4&lt;$D67+'Incremental Repayments'!$I$31),-PMT('Interest Rate'!$J$16,'Incremental Repayments'!$I$31,(HLOOKUP($D67,$E$4:$CZ$32,28,FALSE)*'Incremental Repayments'!$I$22)),0),0)</f>
        <v>3674920.8776175412</v>
      </c>
      <c r="AT67" s="783">
        <f>IF('Incremental Repayments'!$R$22="Debt",IF(AND(AT$4&gt;=$D67,AT$4&lt;$D67+'Incremental Repayments'!$I$31),-PMT('Interest Rate'!$J$16,'Incremental Repayments'!$I$31,(HLOOKUP($D67,$E$4:$CZ$32,28,FALSE)*'Incremental Repayments'!$I$22)),0),0)</f>
        <v>3674920.8776175412</v>
      </c>
      <c r="AU67" s="783">
        <f>IF('Incremental Repayments'!$R$22="Debt",IF(AND(AU$4&gt;=$D67,AU$4&lt;$D67+'Incremental Repayments'!$I$31),-PMT('Interest Rate'!$J$16,'Incremental Repayments'!$I$31,(HLOOKUP($D67,$E$4:$CZ$32,28,FALSE)*'Incremental Repayments'!$I$22)),0),0)</f>
        <v>3674920.8776175412</v>
      </c>
      <c r="AV67" s="783">
        <f>IF('Incremental Repayments'!$R$22="Debt",IF(AND(AV$4&gt;=$D67,AV$4&lt;$D67+'Incremental Repayments'!$I$31),-PMT('Interest Rate'!$J$16,'Incremental Repayments'!$I$31,(HLOOKUP($D67,$E$4:$CZ$32,28,FALSE)*'Incremental Repayments'!$I$22)),0),0)</f>
        <v>3674920.8776175412</v>
      </c>
      <c r="AW67" s="783">
        <f>IF('Incremental Repayments'!$R$22="Debt",IF(AND(AW$4&gt;=$D67,AW$4&lt;$D67+'Incremental Repayments'!$I$31),-PMT('Interest Rate'!$J$16,'Incremental Repayments'!$I$31,(HLOOKUP($D67,$E$4:$CZ$32,28,FALSE)*'Incremental Repayments'!$I$22)),0),0)</f>
        <v>3674920.8776175412</v>
      </c>
      <c r="AX67" s="783">
        <f>IF('Incremental Repayments'!$R$22="Debt",IF(AND(AX$4&gt;=$D67,AX$4&lt;$D67+'Incremental Repayments'!$I$31),-PMT('Interest Rate'!$J$16,'Incremental Repayments'!$I$31,(HLOOKUP($D67,$E$4:$CZ$32,28,FALSE)*'Incremental Repayments'!$I$22)),0),0)</f>
        <v>3674920.8776175412</v>
      </c>
      <c r="AY67" s="783">
        <f>IF('Incremental Repayments'!$R$22="Debt",IF(AND(AY$4&gt;=$D67,AY$4&lt;$D67+'Incremental Repayments'!$I$31),-PMT('Interest Rate'!$J$16,'Incremental Repayments'!$I$31,(HLOOKUP($D67,$E$4:$CZ$32,28,FALSE)*'Incremental Repayments'!$I$22)),0),0)</f>
        <v>3674920.8776175412</v>
      </c>
      <c r="AZ67" s="783">
        <f>IF('Incremental Repayments'!$R$22="Debt",IF(AND(AZ$4&gt;=$D67,AZ$4&lt;$D67+'Incremental Repayments'!$I$31),-PMT('Interest Rate'!$J$16,'Incremental Repayments'!$I$31,(HLOOKUP($D67,$E$4:$CZ$32,28,FALSE)*'Incremental Repayments'!$I$22)),0),0)</f>
        <v>3674920.8776175412</v>
      </c>
      <c r="BA67" s="783">
        <f>IF('Incremental Repayments'!$R$22="Debt",IF(AND(BA$4&gt;=$D67,BA$4&lt;$D67+'Incremental Repayments'!$I$31),-PMT('Interest Rate'!$J$16,'Incremental Repayments'!$I$31,(HLOOKUP($D67,$E$4:$CZ$32,28,FALSE)*'Incremental Repayments'!$I$22)),0),0)</f>
        <v>3674920.8776175412</v>
      </c>
      <c r="BB67" s="783">
        <f>IF('Incremental Repayments'!$R$22="Debt",IF(AND(BB$4&gt;=$D67,BB$4&lt;$D67+'Incremental Repayments'!$I$31),-PMT('Interest Rate'!$J$16,'Incremental Repayments'!$I$31,(HLOOKUP($D67,$E$4:$CZ$32,28,FALSE)*'Incremental Repayments'!$I$22)),0),0)</f>
        <v>3674920.8776175412</v>
      </c>
      <c r="BC67" s="783">
        <f>IF('Incremental Repayments'!$R$22="Debt",IF(AND(BC$4&gt;=$D67,BC$4&lt;$D67+'Incremental Repayments'!$I$31),-PMT('Interest Rate'!$J$16,'Incremental Repayments'!$I$31,(HLOOKUP($D67,$E$4:$CZ$32,28,FALSE)*'Incremental Repayments'!$I$22)),0),0)</f>
        <v>3674920.8776175412</v>
      </c>
      <c r="BD67" s="783">
        <f>IF('Incremental Repayments'!$R$22="Debt",IF(AND(BD$4&gt;=$D67,BD$4&lt;$D67+'Incremental Repayments'!$I$31),-PMT('Interest Rate'!$J$16,'Incremental Repayments'!$I$31,(HLOOKUP($D67,$E$4:$CZ$32,28,FALSE)*'Incremental Repayments'!$I$22)),0),0)</f>
        <v>3674920.8776175412</v>
      </c>
      <c r="BE67" s="783">
        <f>IF('Incremental Repayments'!$R$22="Debt",IF(AND(BE$4&gt;=$D67,BE$4&lt;$D67+'Incremental Repayments'!$I$31),-PMT('Interest Rate'!$J$16,'Incremental Repayments'!$I$31,(HLOOKUP($D67,$E$4:$CZ$32,28,FALSE)*'Incremental Repayments'!$I$22)),0),0)</f>
        <v>3674920.8776175412</v>
      </c>
      <c r="BF67" s="783">
        <f>IF('Incremental Repayments'!$R$22="Debt",IF(AND(BF$4&gt;=$D67,BF$4&lt;$D67+'Incremental Repayments'!$I$31),-PMT('Interest Rate'!$J$16,'Incremental Repayments'!$I$31,(HLOOKUP($D67,$E$4:$CZ$32,28,FALSE)*'Incremental Repayments'!$I$22)),0),0)</f>
        <v>3674920.8776175412</v>
      </c>
      <c r="BG67" s="783">
        <f>IF('Incremental Repayments'!$R$22="Debt",IF(AND(BG$4&gt;=$D67,BG$4&lt;$D67+'Incremental Repayments'!$I$31),-PMT('Interest Rate'!$J$16,'Incremental Repayments'!$I$31,(HLOOKUP($D67,$E$4:$CZ$32,28,FALSE)*'Incremental Repayments'!$I$22)),0),0)</f>
        <v>3674920.8776175412</v>
      </c>
      <c r="BH67" s="783">
        <f>IF('Incremental Repayments'!$R$22="Debt",IF(AND(BH$4&gt;=$D67,BH$4&lt;$D67+'Incremental Repayments'!$I$31),-PMT('Interest Rate'!$J$16,'Incremental Repayments'!$I$31,(HLOOKUP($D67,$E$4:$CZ$32,28,FALSE)*'Incremental Repayments'!$I$22)),0),0)</f>
        <v>3674920.8776175412</v>
      </c>
      <c r="BI67" s="783">
        <f>IF('Incremental Repayments'!$R$22="Debt",IF(AND(BI$4&gt;=$D67,BI$4&lt;$D67+'Incremental Repayments'!$I$31),-PMT('Interest Rate'!$J$16,'Incremental Repayments'!$I$31,(HLOOKUP($D67,$E$4:$CZ$32,28,FALSE)*'Incremental Repayments'!$I$22)),0),0)</f>
        <v>3674920.8776175412</v>
      </c>
      <c r="BJ67" s="783">
        <f>IF('Incremental Repayments'!$R$22="Debt",IF(AND(BJ$4&gt;=$D67,BJ$4&lt;$D67+'Incremental Repayments'!$I$31),-PMT('Interest Rate'!$J$16,'Incremental Repayments'!$I$31,(HLOOKUP($D67,$E$4:$CZ$32,28,FALSE)*'Incremental Repayments'!$I$22)),0),0)</f>
        <v>3674920.8776175412</v>
      </c>
      <c r="BK67" s="783">
        <f>IF('Incremental Repayments'!$R$22="Debt",IF(AND(BK$4&gt;=$D67,BK$4&lt;$D67+'Incremental Repayments'!$I$31),-PMT('Interest Rate'!$J$16,'Incremental Repayments'!$I$31,(HLOOKUP($D67,$E$4:$CZ$32,28,FALSE)*'Incremental Repayments'!$I$22)),0),0)</f>
        <v>3674920.8776175412</v>
      </c>
      <c r="BL67" s="783">
        <f>IF('Incremental Repayments'!$R$22="Debt",IF(AND(BL$4&gt;=$D67,BL$4&lt;$D67+'Incremental Repayments'!$I$31),-PMT('Interest Rate'!$J$16,'Incremental Repayments'!$I$31,(HLOOKUP($D67,$E$4:$CZ$32,28,FALSE)*'Incremental Repayments'!$I$22)),0),0)</f>
        <v>3674920.8776175412</v>
      </c>
      <c r="BM67" s="783">
        <f>IF('Incremental Repayments'!$R$22="Debt",IF(AND(BM$4&gt;=$D67,BM$4&lt;$D67+'Incremental Repayments'!$I$31),-PMT('Interest Rate'!$J$16,'Incremental Repayments'!$I$31,(HLOOKUP($D67,$E$4:$CZ$32,28,FALSE)*'Incremental Repayments'!$I$22)),0),0)</f>
        <v>3674920.8776175412</v>
      </c>
      <c r="BN67" s="783">
        <f>IF('Incremental Repayments'!$R$22="Debt",IF(AND(BN$4&gt;=$D67,BN$4&lt;$D67+'Incremental Repayments'!$I$31),-PMT('Interest Rate'!$J$16,'Incremental Repayments'!$I$31,(HLOOKUP($D67,$E$4:$CZ$32,28,FALSE)*'Incremental Repayments'!$I$22)),0),0)</f>
        <v>0</v>
      </c>
      <c r="BO67" s="783">
        <f>IF('Incremental Repayments'!$R$22="Debt",IF(AND(BO$4&gt;=$D67,BO$4&lt;$D67+'Incremental Repayments'!$I$31),-PMT('Interest Rate'!$J$16,'Incremental Repayments'!$I$31,(HLOOKUP($D67,$E$4:$CZ$32,28,FALSE)*'Incremental Repayments'!$I$22)),0),0)</f>
        <v>0</v>
      </c>
      <c r="BP67" s="783">
        <f>IF('Incremental Repayments'!$R$22="Debt",IF(AND(BP$4&gt;=$D67,BP$4&lt;$D67+'Incremental Repayments'!$I$31),-PMT('Interest Rate'!$J$16,'Incremental Repayments'!$I$31,(HLOOKUP($D67,$E$4:$CZ$32,28,FALSE)*'Incremental Repayments'!$I$22)),0),0)</f>
        <v>0</v>
      </c>
      <c r="BQ67" s="783">
        <f>IF('Incremental Repayments'!$R$22="Debt",IF(AND(BQ$4&gt;=$D67,BQ$4&lt;$D67+'Incremental Repayments'!$I$31),-PMT('Interest Rate'!$J$16,'Incremental Repayments'!$I$31,(HLOOKUP($D67,$E$4:$CZ$32,28,FALSE)*'Incremental Repayments'!$I$22)),0),0)</f>
        <v>0</v>
      </c>
      <c r="BR67" s="783">
        <f>IF('Incremental Repayments'!$R$22="Debt",IF(AND(BR$4&gt;=$D67,BR$4&lt;$D67+'Incremental Repayments'!$I$31),-PMT('Interest Rate'!$J$16,'Incremental Repayments'!$I$31,(HLOOKUP($D67,$E$4:$CZ$32,28,FALSE)*'Incremental Repayments'!$I$22)),0),0)</f>
        <v>0</v>
      </c>
      <c r="BS67" s="783">
        <f>IF('Incremental Repayments'!$R$22="Debt",IF(AND(BS$4&gt;=$D67,BS$4&lt;$D67+'Incremental Repayments'!$I$31),-PMT('Interest Rate'!$J$16,'Incremental Repayments'!$I$31,(HLOOKUP($D67,$E$4:$CZ$32,28,FALSE)*'Incremental Repayments'!$I$22)),0),0)</f>
        <v>0</v>
      </c>
      <c r="BT67" s="783">
        <f>IF('Incremental Repayments'!$R$22="Debt",IF(AND(BT$4&gt;=$D67,BT$4&lt;$D67+'Incremental Repayments'!$I$31),-PMT('Interest Rate'!$J$16,'Incremental Repayments'!$I$31,(HLOOKUP($D67,$E$4:$CZ$32,28,FALSE)*'Incremental Repayments'!$I$22)),0),0)</f>
        <v>0</v>
      </c>
      <c r="BU67" s="783">
        <f>IF('Incremental Repayments'!$R$22="Debt",IF(AND(BU$4&gt;=$D67,BU$4&lt;$D67+'Incremental Repayments'!$I$31),-PMT('Interest Rate'!$J$16,'Incremental Repayments'!$I$31,(HLOOKUP($D67,$E$4:$CZ$32,28,FALSE)*'Incremental Repayments'!$I$22)),0),0)</f>
        <v>0</v>
      </c>
      <c r="BV67" s="783">
        <f>IF('Incremental Repayments'!$R$22="Debt",IF(AND(BV$4&gt;=$D67,BV$4&lt;$D67+'Incremental Repayments'!$I$31),-PMT('Interest Rate'!$J$16,'Incremental Repayments'!$I$31,(HLOOKUP($D67,$E$4:$CZ$32,28,FALSE)*'Incremental Repayments'!$I$22)),0),0)</f>
        <v>0</v>
      </c>
      <c r="BW67" s="783">
        <f>IF('Incremental Repayments'!$R$22="Debt",IF(AND(BW$4&gt;=$D67,BW$4&lt;$D67+'Incremental Repayments'!$I$31),-PMT('Interest Rate'!$J$16,'Incremental Repayments'!$I$31,(HLOOKUP($D67,$E$4:$CZ$32,28,FALSE)*'Incremental Repayments'!$I$22)),0),0)</f>
        <v>0</v>
      </c>
      <c r="BX67" s="783">
        <f>IF('Incremental Repayments'!$R$22="Debt",IF(AND(BX$4&gt;=$D67,BX$4&lt;$D67+'Incremental Repayments'!$I$31),-PMT('Interest Rate'!$J$16,'Incremental Repayments'!$I$31,(HLOOKUP($D67,$E$4:$CZ$32,28,FALSE)*'Incremental Repayments'!$I$22)),0),0)</f>
        <v>0</v>
      </c>
      <c r="BY67" s="783">
        <f>IF('Incremental Repayments'!$R$22="Debt",IF(AND(BY$4&gt;=$D67,BY$4&lt;$D67+'Incremental Repayments'!$I$31),-PMT('Interest Rate'!$J$16,'Incremental Repayments'!$I$31,(HLOOKUP($D67,$E$4:$CZ$32,28,FALSE)*'Incremental Repayments'!$I$22)),0),0)</f>
        <v>0</v>
      </c>
      <c r="BZ67" s="783">
        <f>IF('Incremental Repayments'!$R$22="Debt",IF(AND(BZ$4&gt;=$D67,BZ$4&lt;$D67+'Incremental Repayments'!$I$31),-PMT('Interest Rate'!$J$16,'Incremental Repayments'!$I$31,(HLOOKUP($D67,$E$4:$CZ$32,28,FALSE)*'Incremental Repayments'!$I$22)),0),0)</f>
        <v>0</v>
      </c>
      <c r="CA67" s="783">
        <f>IF('Incremental Repayments'!$R$22="Debt",IF(AND(CA$4&gt;=$D67,CA$4&lt;$D67+'Incremental Repayments'!$I$31),-PMT('Interest Rate'!$J$16,'Incremental Repayments'!$I$31,(HLOOKUP($D67,$E$4:$CZ$32,28,FALSE)*'Incremental Repayments'!$I$22)),0),0)</f>
        <v>0</v>
      </c>
      <c r="CB67" s="783">
        <f>IF('Incremental Repayments'!$R$22="Debt",IF(AND(CB$4&gt;=$D67,CB$4&lt;$D67+'Incremental Repayments'!$I$31),-PMT('Interest Rate'!$J$16,'Incremental Repayments'!$I$31,(HLOOKUP($D67,$E$4:$CZ$32,28,FALSE)*'Incremental Repayments'!$I$22)),0),0)</f>
        <v>0</v>
      </c>
      <c r="CC67" s="783">
        <f>IF('Incremental Repayments'!$R$22="Debt",IF(AND(CC$4&gt;=$D67,CC$4&lt;$D67+'Incremental Repayments'!$I$31),-PMT('Interest Rate'!$J$16,'Incremental Repayments'!$I$31,(HLOOKUP($D67,$E$4:$CZ$32,28,FALSE)*'Incremental Repayments'!$I$22)),0),0)</f>
        <v>0</v>
      </c>
      <c r="CD67" s="783">
        <f>IF('Incremental Repayments'!$R$22="Debt",IF(AND(CD$4&gt;=$D67,CD$4&lt;$D67+'Incremental Repayments'!$I$31),-PMT('Interest Rate'!$J$16,'Incremental Repayments'!$I$31,(HLOOKUP($D67,$E$4:$CZ$32,28,FALSE)*'Incremental Repayments'!$I$22)),0),0)</f>
        <v>0</v>
      </c>
      <c r="CE67" s="783">
        <f>IF('Incremental Repayments'!$R$22="Debt",IF(AND(CE$4&gt;=$D67,CE$4&lt;$D67+'Incremental Repayments'!$I$31),-PMT('Interest Rate'!$J$16,'Incremental Repayments'!$I$31,(HLOOKUP($D67,$E$4:$CZ$32,28,FALSE)*'Incremental Repayments'!$I$22)),0),0)</f>
        <v>0</v>
      </c>
      <c r="CF67" s="783">
        <f>IF('Incremental Repayments'!$R$22="Debt",IF(AND(CF$4&gt;=$D67,CF$4&lt;$D67+'Incremental Repayments'!$I$31),-PMT('Interest Rate'!$J$16,'Incremental Repayments'!$I$31,(HLOOKUP($D67,$E$4:$CZ$32,28,FALSE)*'Incremental Repayments'!$I$22)),0),0)</f>
        <v>0</v>
      </c>
      <c r="CG67" s="783">
        <f>IF('Incremental Repayments'!$R$22="Debt",IF(AND(CG$4&gt;=$D67,CG$4&lt;$D67+'Incremental Repayments'!$I$31),-PMT('Interest Rate'!$J$16,'Incremental Repayments'!$I$31,(HLOOKUP($D67,$E$4:$CZ$32,28,FALSE)*'Incremental Repayments'!$I$22)),0),0)</f>
        <v>0</v>
      </c>
      <c r="CH67" s="783">
        <f>IF('Incremental Repayments'!$R$22="Debt",IF(AND(CH$4&gt;=$D67,CH$4&lt;$D67+'Incremental Repayments'!$I$31),-PMT('Interest Rate'!$J$16,'Incremental Repayments'!$I$31,(HLOOKUP($D67,$E$4:$CZ$32,28,FALSE)*'Incremental Repayments'!$I$22)),0),0)</f>
        <v>0</v>
      </c>
      <c r="CI67" s="783">
        <f>IF('Incremental Repayments'!$R$22="Debt",IF(AND(CI$4&gt;=$D67,CI$4&lt;$D67+'Incremental Repayments'!$I$31),-PMT('Interest Rate'!$J$16,'Incremental Repayments'!$I$31,(HLOOKUP($D67,$E$4:$CZ$32,28,FALSE)*'Incremental Repayments'!$I$22)),0),0)</f>
        <v>0</v>
      </c>
      <c r="CJ67" s="783">
        <f>IF('Incremental Repayments'!$R$22="Debt",IF(AND(CJ$4&gt;=$D67,CJ$4&lt;$D67+'Incremental Repayments'!$I$31),-PMT('Interest Rate'!$J$16,'Incremental Repayments'!$I$31,(HLOOKUP($D67,$E$4:$CZ$32,28,FALSE)*'Incremental Repayments'!$I$22)),0),0)</f>
        <v>0</v>
      </c>
      <c r="CK67" s="783">
        <f>IF('Incremental Repayments'!$R$22="Debt",IF(AND(CK$4&gt;=$D67,CK$4&lt;$D67+'Incremental Repayments'!$I$31),-PMT('Interest Rate'!$J$16,'Incremental Repayments'!$I$31,(HLOOKUP($D67,$E$4:$CZ$32,28,FALSE)*'Incremental Repayments'!$I$22)),0),0)</f>
        <v>0</v>
      </c>
      <c r="CL67" s="783">
        <f>IF('Incremental Repayments'!$R$22="Debt",IF(AND(CL$4&gt;=$D67,CL$4&lt;$D67+'Incremental Repayments'!$I$31),-PMT('Interest Rate'!$J$16,'Incremental Repayments'!$I$31,(HLOOKUP($D67,$E$4:$CZ$32,28,FALSE)*'Incremental Repayments'!$I$22)),0),0)</f>
        <v>0</v>
      </c>
      <c r="CM67" s="783">
        <f>IF('Incremental Repayments'!$R$22="Debt",IF(AND(CM$4&gt;=$D67,CM$4&lt;$D67+'Incremental Repayments'!$I$31),-PMT('Interest Rate'!$J$16,'Incremental Repayments'!$I$31,(HLOOKUP($D67,$E$4:$CZ$32,28,FALSE)*'Incremental Repayments'!$I$22)),0),0)</f>
        <v>0</v>
      </c>
      <c r="CN67" s="783">
        <f>IF('Incremental Repayments'!$R$22="Debt",IF(AND(CN$4&gt;=$D67,CN$4&lt;$D67+'Incremental Repayments'!$I$31),-PMT('Interest Rate'!$J$16,'Incremental Repayments'!$I$31,(HLOOKUP($D67,$E$4:$CZ$32,28,FALSE)*'Incremental Repayments'!$I$22)),0),0)</f>
        <v>0</v>
      </c>
      <c r="CO67" s="783">
        <f>IF('Incremental Repayments'!$R$22="Debt",IF(AND(CO$4&gt;=$D67,CO$4&lt;$D67+'Incremental Repayments'!$I$31),-PMT('Interest Rate'!$J$16,'Incremental Repayments'!$I$31,(HLOOKUP($D67,$E$4:$CZ$32,28,FALSE)*'Incremental Repayments'!$I$22)),0),0)</f>
        <v>0</v>
      </c>
      <c r="CP67" s="783">
        <f>IF('Incremental Repayments'!$R$22="Debt",IF(AND(CP$4&gt;=$D67,CP$4&lt;$D67+'Incremental Repayments'!$I$31),-PMT('Interest Rate'!$J$16,'Incremental Repayments'!$I$31,(HLOOKUP($D67,$E$4:$CZ$32,28,FALSE)*'Incremental Repayments'!$I$22)),0),0)</f>
        <v>0</v>
      </c>
      <c r="CQ67" s="783">
        <f>IF('Incremental Repayments'!$R$22="Debt",IF(AND(CQ$4&gt;=$D67,CQ$4&lt;$D67+'Incremental Repayments'!$I$31),-PMT('Interest Rate'!$J$16,'Incremental Repayments'!$I$31,(HLOOKUP($D67,$E$4:$CZ$32,28,FALSE)*'Incremental Repayments'!$I$22)),0),0)</f>
        <v>0</v>
      </c>
      <c r="CR67" s="783">
        <f>IF('Incremental Repayments'!$R$22="Debt",IF(AND(CR$4&gt;=$D67,CR$4&lt;$D67+'Incremental Repayments'!$I$31),-PMT('Interest Rate'!$J$16,'Incremental Repayments'!$I$31,(HLOOKUP($D67,$E$4:$CZ$32,28,FALSE)*'Incremental Repayments'!$I$22)),0),0)</f>
        <v>0</v>
      </c>
      <c r="CS67" s="783">
        <f>IF('Incremental Repayments'!$R$22="Debt",IF(AND(CS$4&gt;=$D67,CS$4&lt;$D67+'Incremental Repayments'!$I$31),-PMT('Interest Rate'!$J$16,'Incremental Repayments'!$I$31,(HLOOKUP($D67,$E$4:$CZ$32,28,FALSE)*'Incremental Repayments'!$I$22)),0),0)</f>
        <v>0</v>
      </c>
      <c r="CT67" s="783">
        <f>IF('Incremental Repayments'!$R$22="Debt",IF(AND(CT$4&gt;=$D67,CT$4&lt;$D67+'Incremental Repayments'!$I$31),-PMT('Interest Rate'!$J$16,'Incremental Repayments'!$I$31,(HLOOKUP($D67,$E$4:$CZ$32,28,FALSE)*'Incremental Repayments'!$I$22)),0),0)</f>
        <v>0</v>
      </c>
      <c r="CU67" s="783">
        <f>IF('Incremental Repayments'!$R$22="Debt",IF(AND(CU$4&gt;=$D67,CU$4&lt;$D67+'Incremental Repayments'!$I$31),-PMT('Interest Rate'!$J$16,'Incremental Repayments'!$I$31,(HLOOKUP($D67,$E$4:$CZ$32,28,FALSE)*'Incremental Repayments'!$I$22)),0),0)</f>
        <v>0</v>
      </c>
      <c r="CV67" s="783">
        <f>IF('Incremental Repayments'!$R$22="Debt",IF(AND(CV$4&gt;=$D67,CV$4&lt;$D67+'Incremental Repayments'!$I$31),-PMT('Interest Rate'!$J$16,'Incremental Repayments'!$I$31,(HLOOKUP($D67,$E$4:$CZ$32,28,FALSE)*'Incremental Repayments'!$I$22)),0),0)</f>
        <v>0</v>
      </c>
      <c r="CW67" s="783">
        <f>IF('Incremental Repayments'!$R$22="Debt",IF(AND(CW$4&gt;=$D67,CW$4&lt;$D67+'Incremental Repayments'!$I$31),-PMT('Interest Rate'!$J$16,'Incremental Repayments'!$I$31,(HLOOKUP($D67,$E$4:$CZ$32,28,FALSE)*'Incremental Repayments'!$I$22)),0),0)</f>
        <v>0</v>
      </c>
      <c r="CX67" s="783">
        <f>IF('Incremental Repayments'!$R$22="Debt",IF(AND(CX$4&gt;=$D67,CX$4&lt;$D67+'Incremental Repayments'!$I$31),-PMT('Interest Rate'!$J$16,'Incremental Repayments'!$I$31,(HLOOKUP($D67,$E$4:$CZ$32,28,FALSE)*'Incremental Repayments'!$I$22)),0),0)</f>
        <v>0</v>
      </c>
      <c r="CY67" s="783">
        <f>IF('Incremental Repayments'!$R$22="Debt",IF(AND(CY$4&gt;=$D67,CY$4&lt;$D67+'Incremental Repayments'!$I$31),-PMT('Interest Rate'!$J$16,'Incremental Repayments'!$I$31,(HLOOKUP($D67,$E$4:$CZ$32,28,FALSE)*'Incremental Repayments'!$I$22)),0),0)</f>
        <v>0</v>
      </c>
      <c r="CZ67" s="783">
        <f>IF('Incremental Repayments'!$R$22="Debt",IF(AND(CZ$4&gt;=$D67,CZ$4&lt;$D67+'Incremental Repayments'!$I$31),-PMT('Interest Rate'!$J$16,'Incremental Repayments'!$I$31,(HLOOKUP($D67,$E$4:$CZ$32,28,FALSE)*'Incremental Repayments'!$I$22)),0),0)</f>
        <v>0</v>
      </c>
    </row>
    <row r="68" spans="2:104" x14ac:dyDescent="0.25">
      <c r="B68" s="480" t="str">
        <f>CONCATENATE("Series ",D68,"A Bonds (at ",'Interest Rate'!$J$16*100,"% Interest)")</f>
        <v>Series 2046A Bonds (at 4.5% Interest)</v>
      </c>
      <c r="C68" s="480"/>
      <c r="D68" s="492">
        <f t="shared" si="47"/>
        <v>2046</v>
      </c>
      <c r="E68" s="783">
        <f>IF('Incremental Repayments'!$R$22="Debt",IF(AND(E$4&gt;=$D68,E$4&lt;$D68+'Incremental Repayments'!$I$31),-PMT('Interest Rate'!$J$16,'Incremental Repayments'!$I$31,(HLOOKUP($D68,$E$4:$CZ$32,28,FALSE)*'Incremental Repayments'!$I$22)),0),0)</f>
        <v>0</v>
      </c>
      <c r="F68" s="783">
        <f>IF('Incremental Repayments'!$R$22="Debt",IF(AND(F$4&gt;=$D68,F$4&lt;$D68+'Incremental Repayments'!$I$31),-PMT('Interest Rate'!$J$16,'Incremental Repayments'!$I$31,(HLOOKUP($D68,$E$4:$CZ$32,28,FALSE)*'Incremental Repayments'!$I$22)),0),0)</f>
        <v>0</v>
      </c>
      <c r="G68" s="783">
        <f>IF('Incremental Repayments'!$R$22="Debt",IF(AND(G$4&gt;=$D68,G$4&lt;$D68+'Incremental Repayments'!$I$31),-PMT('Interest Rate'!$J$16,'Incremental Repayments'!$I$31,(HLOOKUP($D68,$E$4:$CZ$32,28,FALSE)*'Incremental Repayments'!$I$22)),0),0)</f>
        <v>0</v>
      </c>
      <c r="H68" s="783">
        <f>IF('Incremental Repayments'!$R$22="Debt",IF(AND(H$4&gt;=$D68,H$4&lt;$D68+'Incremental Repayments'!$I$31),-PMT('Interest Rate'!$J$16,'Incremental Repayments'!$I$31,(HLOOKUP($D68,$E$4:$CZ$32,28,FALSE)*'Incremental Repayments'!$I$22)),0),0)</f>
        <v>0</v>
      </c>
      <c r="I68" s="783">
        <f>IF('Incremental Repayments'!$R$22="Debt",IF(AND(I$4&gt;=$D68,I$4&lt;$D68+'Incremental Repayments'!$I$31),-PMT('Interest Rate'!$J$16,'Incremental Repayments'!$I$31,(HLOOKUP($D68,$E$4:$CZ$32,28,FALSE)*'Incremental Repayments'!$I$22)),0),0)</f>
        <v>0</v>
      </c>
      <c r="J68" s="783">
        <f>IF('Incremental Repayments'!$R$22="Debt",IF(AND(J$4&gt;=$D68,J$4&lt;$D68+'Incremental Repayments'!$I$31),-PMT('Interest Rate'!$J$16,'Incremental Repayments'!$I$31,(HLOOKUP($D68,$E$4:$CZ$32,28,FALSE)*'Incremental Repayments'!$I$22)),0),0)</f>
        <v>0</v>
      </c>
      <c r="K68" s="783">
        <f>IF('Incremental Repayments'!$R$22="Debt",IF(AND(K$4&gt;=$D68,K$4&lt;$D68+'Incremental Repayments'!$I$31),-PMT('Interest Rate'!$J$16,'Incremental Repayments'!$I$31,(HLOOKUP($D68,$E$4:$CZ$32,28,FALSE)*'Incremental Repayments'!$I$22)),0),0)</f>
        <v>0</v>
      </c>
      <c r="L68" s="783">
        <f>IF('Incremental Repayments'!$R$22="Debt",IF(AND(L$4&gt;=$D68,L$4&lt;$D68+'Incremental Repayments'!$I$31),-PMT('Interest Rate'!$J$16,'Incremental Repayments'!$I$31,(HLOOKUP($D68,$E$4:$CZ$32,28,FALSE)*'Incremental Repayments'!$I$22)),0),0)</f>
        <v>0</v>
      </c>
      <c r="M68" s="783">
        <f>IF('Incremental Repayments'!$R$22="Debt",IF(AND(M$4&gt;=$D68,M$4&lt;$D68+'Incremental Repayments'!$I$31),-PMT('Interest Rate'!$J$16,'Incremental Repayments'!$I$31,(HLOOKUP($D68,$E$4:$CZ$32,28,FALSE)*'Incremental Repayments'!$I$22)),0),0)</f>
        <v>0</v>
      </c>
      <c r="N68" s="783">
        <f>IF('Incremental Repayments'!$R$22="Debt",IF(AND(N$4&gt;=$D68,N$4&lt;$D68+'Incremental Repayments'!$I$31),-PMT('Interest Rate'!$J$16,'Incremental Repayments'!$I$31,(HLOOKUP($D68,$E$4:$CZ$32,28,FALSE)*'Incremental Repayments'!$I$22)),0),0)</f>
        <v>0</v>
      </c>
      <c r="O68" s="783">
        <f>IF('Incremental Repayments'!$R$22="Debt",IF(AND(O$4&gt;=$D68,O$4&lt;$D68+'Incremental Repayments'!$I$31),-PMT('Interest Rate'!$J$16,'Incremental Repayments'!$I$31,(HLOOKUP($D68,$E$4:$CZ$32,28,FALSE)*'Incremental Repayments'!$I$22)),0),0)</f>
        <v>0</v>
      </c>
      <c r="P68" s="783">
        <f>IF('Incremental Repayments'!$R$22="Debt",IF(AND(P$4&gt;=$D68,P$4&lt;$D68+'Incremental Repayments'!$I$31),-PMT('Interest Rate'!$J$16,'Incremental Repayments'!$I$31,(HLOOKUP($D68,$E$4:$CZ$32,28,FALSE)*'Incremental Repayments'!$I$22)),0),0)</f>
        <v>0</v>
      </c>
      <c r="Q68" s="783">
        <f>IF('Incremental Repayments'!$R$22="Debt",IF(AND(Q$4&gt;=$D68,Q$4&lt;$D68+'Incremental Repayments'!$I$31),-PMT('Interest Rate'!$J$16,'Incremental Repayments'!$I$31,(HLOOKUP($D68,$E$4:$CZ$32,28,FALSE)*'Incremental Repayments'!$I$22)),0),0)</f>
        <v>0</v>
      </c>
      <c r="R68" s="783">
        <f>IF('Incremental Repayments'!$R$22="Debt",IF(AND(R$4&gt;=$D68,R$4&lt;$D68+'Incremental Repayments'!$I$31),-PMT('Interest Rate'!$J$16,'Incremental Repayments'!$I$31,(HLOOKUP($D68,$E$4:$CZ$32,28,FALSE)*'Incremental Repayments'!$I$22)),0),0)</f>
        <v>0</v>
      </c>
      <c r="S68" s="783">
        <f>IF('Incremental Repayments'!$R$22="Debt",IF(AND(S$4&gt;=$D68,S$4&lt;$D68+'Incremental Repayments'!$I$31),-PMT('Interest Rate'!$J$16,'Incremental Repayments'!$I$31,(HLOOKUP($D68,$E$4:$CZ$32,28,FALSE)*'Incremental Repayments'!$I$22)),0),0)</f>
        <v>0</v>
      </c>
      <c r="T68" s="783">
        <f>IF('Incremental Repayments'!$R$22="Debt",IF(AND(T$4&gt;=$D68,T$4&lt;$D68+'Incremental Repayments'!$I$31),-PMT('Interest Rate'!$J$16,'Incremental Repayments'!$I$31,(HLOOKUP($D68,$E$4:$CZ$32,28,FALSE)*'Incremental Repayments'!$I$22)),0),0)</f>
        <v>0</v>
      </c>
      <c r="U68" s="783">
        <f>IF('Incremental Repayments'!$R$22="Debt",IF(AND(U$4&gt;=$D68,U$4&lt;$D68+'Incremental Repayments'!$I$31),-PMT('Interest Rate'!$J$16,'Incremental Repayments'!$I$31,(HLOOKUP($D68,$E$4:$CZ$32,28,FALSE)*'Incremental Repayments'!$I$22)),0),0)</f>
        <v>0</v>
      </c>
      <c r="V68" s="783">
        <f>IF('Incremental Repayments'!$R$22="Debt",IF(AND(V$4&gt;=$D68,V$4&lt;$D68+'Incremental Repayments'!$I$31),-PMT('Interest Rate'!$J$16,'Incremental Repayments'!$I$31,(HLOOKUP($D68,$E$4:$CZ$32,28,FALSE)*'Incremental Repayments'!$I$22)),0),0)</f>
        <v>0</v>
      </c>
      <c r="W68" s="783">
        <f>IF('Incremental Repayments'!$R$22="Debt",IF(AND(W$4&gt;=$D68,W$4&lt;$D68+'Incremental Repayments'!$I$31),-PMT('Interest Rate'!$J$16,'Incremental Repayments'!$I$31,(HLOOKUP($D68,$E$4:$CZ$32,28,FALSE)*'Incremental Repayments'!$I$22)),0),0)</f>
        <v>0</v>
      </c>
      <c r="X68" s="783">
        <f>IF('Incremental Repayments'!$R$22="Debt",IF(AND(X$4&gt;=$D68,X$4&lt;$D68+'Incremental Repayments'!$I$31),-PMT('Interest Rate'!$J$16,'Incremental Repayments'!$I$31,(HLOOKUP($D68,$E$4:$CZ$32,28,FALSE)*'Incremental Repayments'!$I$22)),0),0)</f>
        <v>0</v>
      </c>
      <c r="Y68" s="783">
        <f>IF('Incremental Repayments'!$R$22="Debt",IF(AND(Y$4&gt;=$D68,Y$4&lt;$D68+'Incremental Repayments'!$I$31),-PMT('Interest Rate'!$J$16,'Incremental Repayments'!$I$31,(HLOOKUP($D68,$E$4:$CZ$32,28,FALSE)*'Incremental Repayments'!$I$22)),0),0)</f>
        <v>0</v>
      </c>
      <c r="Z68" s="783">
        <f>IF('Incremental Repayments'!$R$22="Debt",IF(AND(Z$4&gt;=$D68,Z$4&lt;$D68+'Incremental Repayments'!$I$31),-PMT('Interest Rate'!$J$16,'Incremental Repayments'!$I$31,(HLOOKUP($D68,$E$4:$CZ$32,28,FALSE)*'Incremental Repayments'!$I$22)),0),0)</f>
        <v>0</v>
      </c>
      <c r="AA68" s="783">
        <f>IF('Incremental Repayments'!$R$22="Debt",IF(AND(AA$4&gt;=$D68,AA$4&lt;$D68+'Incremental Repayments'!$I$31),-PMT('Interest Rate'!$J$16,'Incremental Repayments'!$I$31,(HLOOKUP($D68,$E$4:$CZ$32,28,FALSE)*'Incremental Repayments'!$I$22)),0),0)</f>
        <v>0</v>
      </c>
      <c r="AB68" s="783">
        <f>IF('Incremental Repayments'!$R$22="Debt",IF(AND(AB$4&gt;=$D68,AB$4&lt;$D68+'Incremental Repayments'!$I$31),-PMT('Interest Rate'!$J$16,'Incremental Repayments'!$I$31,(HLOOKUP($D68,$E$4:$CZ$32,28,FALSE)*'Incremental Repayments'!$I$22)),0),0)</f>
        <v>0</v>
      </c>
      <c r="AC68" s="783">
        <f>IF('Incremental Repayments'!$R$22="Debt",IF(AND(AC$4&gt;=$D68,AC$4&lt;$D68+'Incremental Repayments'!$I$31),-PMT('Interest Rate'!$J$16,'Incremental Repayments'!$I$31,(HLOOKUP($D68,$E$4:$CZ$32,28,FALSE)*'Incremental Repayments'!$I$22)),0),0)</f>
        <v>0</v>
      </c>
      <c r="AD68" s="783">
        <f>IF('Incremental Repayments'!$R$22="Debt",IF(AND(AD$4&gt;=$D68,AD$4&lt;$D68+'Incremental Repayments'!$I$31),-PMT('Interest Rate'!$J$16,'Incremental Repayments'!$I$31,(HLOOKUP($D68,$E$4:$CZ$32,28,FALSE)*'Incremental Repayments'!$I$22)),0),0)</f>
        <v>0</v>
      </c>
      <c r="AE68" s="783">
        <f>IF('Incremental Repayments'!$R$22="Debt",IF(AND(AE$4&gt;=$D68,AE$4&lt;$D68+'Incremental Repayments'!$I$31),-PMT('Interest Rate'!$J$16,'Incremental Repayments'!$I$31,(HLOOKUP($D68,$E$4:$CZ$32,28,FALSE)*'Incremental Repayments'!$I$22)),0),0)</f>
        <v>0</v>
      </c>
      <c r="AF68" s="783">
        <f>IF('Incremental Repayments'!$R$22="Debt",IF(AND(AF$4&gt;=$D68,AF$4&lt;$D68+'Incremental Repayments'!$I$31),-PMT('Interest Rate'!$J$16,'Incremental Repayments'!$I$31,(HLOOKUP($D68,$E$4:$CZ$32,28,FALSE)*'Incremental Repayments'!$I$22)),0),0)</f>
        <v>0</v>
      </c>
      <c r="AG68" s="783">
        <f>IF('Incremental Repayments'!$R$22="Debt",IF(AND(AG$4&gt;=$D68,AG$4&lt;$D68+'Incremental Repayments'!$I$31),-PMT('Interest Rate'!$J$16,'Incremental Repayments'!$I$31,(HLOOKUP($D68,$E$4:$CZ$32,28,FALSE)*'Incremental Repayments'!$I$22)),0),0)</f>
        <v>0</v>
      </c>
      <c r="AH68" s="783">
        <f>IF('Incremental Repayments'!$R$22="Debt",IF(AND(AH$4&gt;=$D68,AH$4&lt;$D68+'Incremental Repayments'!$I$31),-PMT('Interest Rate'!$J$16,'Incremental Repayments'!$I$31,(HLOOKUP($D68,$E$4:$CZ$32,28,FALSE)*'Incremental Repayments'!$I$22)),0),0)</f>
        <v>0</v>
      </c>
      <c r="AI68" s="783">
        <f>IF('Incremental Repayments'!$R$22="Debt",IF(AND(AI$4&gt;=$D68,AI$4&lt;$D68+'Incremental Repayments'!$I$31),-PMT('Interest Rate'!$J$16,'Incremental Repayments'!$I$31,(HLOOKUP($D68,$E$4:$CZ$32,28,FALSE)*'Incremental Repayments'!$I$22)),0),0)</f>
        <v>0</v>
      </c>
      <c r="AJ68" s="783">
        <f>IF('Incremental Repayments'!$R$22="Debt",IF(AND(AJ$4&gt;=$D68,AJ$4&lt;$D68+'Incremental Repayments'!$I$31),-PMT('Interest Rate'!$J$16,'Incremental Repayments'!$I$31,(HLOOKUP($D68,$E$4:$CZ$32,28,FALSE)*'Incremental Repayments'!$I$22)),0),0)</f>
        <v>0</v>
      </c>
      <c r="AK68" s="783">
        <f>IF('Incremental Repayments'!$R$22="Debt",IF(AND(AK$4&gt;=$D68,AK$4&lt;$D68+'Incremental Repayments'!$I$31),-PMT('Interest Rate'!$J$16,'Incremental Repayments'!$I$31,(HLOOKUP($D68,$E$4:$CZ$32,28,FALSE)*'Incremental Repayments'!$I$22)),0),0)</f>
        <v>2697783.707465773</v>
      </c>
      <c r="AL68" s="783">
        <f>IF('Incremental Repayments'!$R$22="Debt",IF(AND(AL$4&gt;=$D68,AL$4&lt;$D68+'Incremental Repayments'!$I$31),-PMT('Interest Rate'!$J$16,'Incremental Repayments'!$I$31,(HLOOKUP($D68,$E$4:$CZ$32,28,FALSE)*'Incremental Repayments'!$I$22)),0),0)</f>
        <v>2697783.707465773</v>
      </c>
      <c r="AM68" s="783">
        <f>IF('Incremental Repayments'!$R$22="Debt",IF(AND(AM$4&gt;=$D68,AM$4&lt;$D68+'Incremental Repayments'!$I$31),-PMT('Interest Rate'!$J$16,'Incremental Repayments'!$I$31,(HLOOKUP($D68,$E$4:$CZ$32,28,FALSE)*'Incremental Repayments'!$I$22)),0),0)</f>
        <v>2697783.707465773</v>
      </c>
      <c r="AN68" s="783">
        <f>IF('Incremental Repayments'!$R$22="Debt",IF(AND(AN$4&gt;=$D68,AN$4&lt;$D68+'Incremental Repayments'!$I$31),-PMT('Interest Rate'!$J$16,'Incremental Repayments'!$I$31,(HLOOKUP($D68,$E$4:$CZ$32,28,FALSE)*'Incremental Repayments'!$I$22)),0),0)</f>
        <v>2697783.707465773</v>
      </c>
      <c r="AO68" s="783">
        <f>IF('Incremental Repayments'!$R$22="Debt",IF(AND(AO$4&gt;=$D68,AO$4&lt;$D68+'Incremental Repayments'!$I$31),-PMT('Interest Rate'!$J$16,'Incremental Repayments'!$I$31,(HLOOKUP($D68,$E$4:$CZ$32,28,FALSE)*'Incremental Repayments'!$I$22)),0),0)</f>
        <v>2697783.707465773</v>
      </c>
      <c r="AP68" s="783">
        <f>IF('Incremental Repayments'!$R$22="Debt",IF(AND(AP$4&gt;=$D68,AP$4&lt;$D68+'Incremental Repayments'!$I$31),-PMT('Interest Rate'!$J$16,'Incremental Repayments'!$I$31,(HLOOKUP($D68,$E$4:$CZ$32,28,FALSE)*'Incremental Repayments'!$I$22)),0),0)</f>
        <v>2697783.707465773</v>
      </c>
      <c r="AQ68" s="783">
        <f>IF('Incremental Repayments'!$R$22="Debt",IF(AND(AQ$4&gt;=$D68,AQ$4&lt;$D68+'Incremental Repayments'!$I$31),-PMT('Interest Rate'!$J$16,'Incremental Repayments'!$I$31,(HLOOKUP($D68,$E$4:$CZ$32,28,FALSE)*'Incremental Repayments'!$I$22)),0),0)</f>
        <v>2697783.707465773</v>
      </c>
      <c r="AR68" s="783">
        <f>IF('Incremental Repayments'!$R$22="Debt",IF(AND(AR$4&gt;=$D68,AR$4&lt;$D68+'Incremental Repayments'!$I$31),-PMT('Interest Rate'!$J$16,'Incremental Repayments'!$I$31,(HLOOKUP($D68,$E$4:$CZ$32,28,FALSE)*'Incremental Repayments'!$I$22)),0),0)</f>
        <v>2697783.707465773</v>
      </c>
      <c r="AS68" s="783">
        <f>IF('Incremental Repayments'!$R$22="Debt",IF(AND(AS$4&gt;=$D68,AS$4&lt;$D68+'Incremental Repayments'!$I$31),-PMT('Interest Rate'!$J$16,'Incremental Repayments'!$I$31,(HLOOKUP($D68,$E$4:$CZ$32,28,FALSE)*'Incremental Repayments'!$I$22)),0),0)</f>
        <v>2697783.707465773</v>
      </c>
      <c r="AT68" s="783">
        <f>IF('Incremental Repayments'!$R$22="Debt",IF(AND(AT$4&gt;=$D68,AT$4&lt;$D68+'Incremental Repayments'!$I$31),-PMT('Interest Rate'!$J$16,'Incremental Repayments'!$I$31,(HLOOKUP($D68,$E$4:$CZ$32,28,FALSE)*'Incremental Repayments'!$I$22)),0),0)</f>
        <v>2697783.707465773</v>
      </c>
      <c r="AU68" s="783">
        <f>IF('Incremental Repayments'!$R$22="Debt",IF(AND(AU$4&gt;=$D68,AU$4&lt;$D68+'Incremental Repayments'!$I$31),-PMT('Interest Rate'!$J$16,'Incremental Repayments'!$I$31,(HLOOKUP($D68,$E$4:$CZ$32,28,FALSE)*'Incremental Repayments'!$I$22)),0),0)</f>
        <v>2697783.707465773</v>
      </c>
      <c r="AV68" s="783">
        <f>IF('Incremental Repayments'!$R$22="Debt",IF(AND(AV$4&gt;=$D68,AV$4&lt;$D68+'Incremental Repayments'!$I$31),-PMT('Interest Rate'!$J$16,'Incremental Repayments'!$I$31,(HLOOKUP($D68,$E$4:$CZ$32,28,FALSE)*'Incremental Repayments'!$I$22)),0),0)</f>
        <v>2697783.707465773</v>
      </c>
      <c r="AW68" s="783">
        <f>IF('Incremental Repayments'!$R$22="Debt",IF(AND(AW$4&gt;=$D68,AW$4&lt;$D68+'Incremental Repayments'!$I$31),-PMT('Interest Rate'!$J$16,'Incremental Repayments'!$I$31,(HLOOKUP($D68,$E$4:$CZ$32,28,FALSE)*'Incremental Repayments'!$I$22)),0),0)</f>
        <v>2697783.707465773</v>
      </c>
      <c r="AX68" s="783">
        <f>IF('Incremental Repayments'!$R$22="Debt",IF(AND(AX$4&gt;=$D68,AX$4&lt;$D68+'Incremental Repayments'!$I$31),-PMT('Interest Rate'!$J$16,'Incremental Repayments'!$I$31,(HLOOKUP($D68,$E$4:$CZ$32,28,FALSE)*'Incremental Repayments'!$I$22)),0),0)</f>
        <v>2697783.707465773</v>
      </c>
      <c r="AY68" s="783">
        <f>IF('Incremental Repayments'!$R$22="Debt",IF(AND(AY$4&gt;=$D68,AY$4&lt;$D68+'Incremental Repayments'!$I$31),-PMT('Interest Rate'!$J$16,'Incremental Repayments'!$I$31,(HLOOKUP($D68,$E$4:$CZ$32,28,FALSE)*'Incremental Repayments'!$I$22)),0),0)</f>
        <v>2697783.707465773</v>
      </c>
      <c r="AZ68" s="783">
        <f>IF('Incremental Repayments'!$R$22="Debt",IF(AND(AZ$4&gt;=$D68,AZ$4&lt;$D68+'Incremental Repayments'!$I$31),-PMT('Interest Rate'!$J$16,'Incremental Repayments'!$I$31,(HLOOKUP($D68,$E$4:$CZ$32,28,FALSE)*'Incremental Repayments'!$I$22)),0),0)</f>
        <v>2697783.707465773</v>
      </c>
      <c r="BA68" s="783">
        <f>IF('Incremental Repayments'!$R$22="Debt",IF(AND(BA$4&gt;=$D68,BA$4&lt;$D68+'Incremental Repayments'!$I$31),-PMT('Interest Rate'!$J$16,'Incremental Repayments'!$I$31,(HLOOKUP($D68,$E$4:$CZ$32,28,FALSE)*'Incremental Repayments'!$I$22)),0),0)</f>
        <v>2697783.707465773</v>
      </c>
      <c r="BB68" s="783">
        <f>IF('Incremental Repayments'!$R$22="Debt",IF(AND(BB$4&gt;=$D68,BB$4&lt;$D68+'Incremental Repayments'!$I$31),-PMT('Interest Rate'!$J$16,'Incremental Repayments'!$I$31,(HLOOKUP($D68,$E$4:$CZ$32,28,FALSE)*'Incremental Repayments'!$I$22)),0),0)</f>
        <v>2697783.707465773</v>
      </c>
      <c r="BC68" s="783">
        <f>IF('Incremental Repayments'!$R$22="Debt",IF(AND(BC$4&gt;=$D68,BC$4&lt;$D68+'Incremental Repayments'!$I$31),-PMT('Interest Rate'!$J$16,'Incremental Repayments'!$I$31,(HLOOKUP($D68,$E$4:$CZ$32,28,FALSE)*'Incremental Repayments'!$I$22)),0),0)</f>
        <v>2697783.707465773</v>
      </c>
      <c r="BD68" s="783">
        <f>IF('Incremental Repayments'!$R$22="Debt",IF(AND(BD$4&gt;=$D68,BD$4&lt;$D68+'Incremental Repayments'!$I$31),-PMT('Interest Rate'!$J$16,'Incremental Repayments'!$I$31,(HLOOKUP($D68,$E$4:$CZ$32,28,FALSE)*'Incremental Repayments'!$I$22)),0),0)</f>
        <v>2697783.707465773</v>
      </c>
      <c r="BE68" s="783">
        <f>IF('Incremental Repayments'!$R$22="Debt",IF(AND(BE$4&gt;=$D68,BE$4&lt;$D68+'Incremental Repayments'!$I$31),-PMT('Interest Rate'!$J$16,'Incremental Repayments'!$I$31,(HLOOKUP($D68,$E$4:$CZ$32,28,FALSE)*'Incremental Repayments'!$I$22)),0),0)</f>
        <v>2697783.707465773</v>
      </c>
      <c r="BF68" s="783">
        <f>IF('Incremental Repayments'!$R$22="Debt",IF(AND(BF$4&gt;=$D68,BF$4&lt;$D68+'Incremental Repayments'!$I$31),-PMT('Interest Rate'!$J$16,'Incremental Repayments'!$I$31,(HLOOKUP($D68,$E$4:$CZ$32,28,FALSE)*'Incremental Repayments'!$I$22)),0),0)</f>
        <v>2697783.707465773</v>
      </c>
      <c r="BG68" s="783">
        <f>IF('Incremental Repayments'!$R$22="Debt",IF(AND(BG$4&gt;=$D68,BG$4&lt;$D68+'Incremental Repayments'!$I$31),-PMT('Interest Rate'!$J$16,'Incremental Repayments'!$I$31,(HLOOKUP($D68,$E$4:$CZ$32,28,FALSE)*'Incremental Repayments'!$I$22)),0),0)</f>
        <v>2697783.707465773</v>
      </c>
      <c r="BH68" s="783">
        <f>IF('Incremental Repayments'!$R$22="Debt",IF(AND(BH$4&gt;=$D68,BH$4&lt;$D68+'Incremental Repayments'!$I$31),-PMT('Interest Rate'!$J$16,'Incremental Repayments'!$I$31,(HLOOKUP($D68,$E$4:$CZ$32,28,FALSE)*'Incremental Repayments'!$I$22)),0),0)</f>
        <v>2697783.707465773</v>
      </c>
      <c r="BI68" s="783">
        <f>IF('Incremental Repayments'!$R$22="Debt",IF(AND(BI$4&gt;=$D68,BI$4&lt;$D68+'Incremental Repayments'!$I$31),-PMT('Interest Rate'!$J$16,'Incremental Repayments'!$I$31,(HLOOKUP($D68,$E$4:$CZ$32,28,FALSE)*'Incremental Repayments'!$I$22)),0),0)</f>
        <v>2697783.707465773</v>
      </c>
      <c r="BJ68" s="783">
        <f>IF('Incremental Repayments'!$R$22="Debt",IF(AND(BJ$4&gt;=$D68,BJ$4&lt;$D68+'Incremental Repayments'!$I$31),-PMT('Interest Rate'!$J$16,'Incremental Repayments'!$I$31,(HLOOKUP($D68,$E$4:$CZ$32,28,FALSE)*'Incremental Repayments'!$I$22)),0),0)</f>
        <v>2697783.707465773</v>
      </c>
      <c r="BK68" s="783">
        <f>IF('Incremental Repayments'!$R$22="Debt",IF(AND(BK$4&gt;=$D68,BK$4&lt;$D68+'Incremental Repayments'!$I$31),-PMT('Interest Rate'!$J$16,'Incremental Repayments'!$I$31,(HLOOKUP($D68,$E$4:$CZ$32,28,FALSE)*'Incremental Repayments'!$I$22)),0),0)</f>
        <v>2697783.707465773</v>
      </c>
      <c r="BL68" s="783">
        <f>IF('Incremental Repayments'!$R$22="Debt",IF(AND(BL$4&gt;=$D68,BL$4&lt;$D68+'Incremental Repayments'!$I$31),-PMT('Interest Rate'!$J$16,'Incremental Repayments'!$I$31,(HLOOKUP($D68,$E$4:$CZ$32,28,FALSE)*'Incremental Repayments'!$I$22)),0),0)</f>
        <v>2697783.707465773</v>
      </c>
      <c r="BM68" s="783">
        <f>IF('Incremental Repayments'!$R$22="Debt",IF(AND(BM$4&gt;=$D68,BM$4&lt;$D68+'Incremental Repayments'!$I$31),-PMT('Interest Rate'!$J$16,'Incremental Repayments'!$I$31,(HLOOKUP($D68,$E$4:$CZ$32,28,FALSE)*'Incremental Repayments'!$I$22)),0),0)</f>
        <v>2697783.707465773</v>
      </c>
      <c r="BN68" s="783">
        <f>IF('Incremental Repayments'!$R$22="Debt",IF(AND(BN$4&gt;=$D68,BN$4&lt;$D68+'Incremental Repayments'!$I$31),-PMT('Interest Rate'!$J$16,'Incremental Repayments'!$I$31,(HLOOKUP($D68,$E$4:$CZ$32,28,FALSE)*'Incremental Repayments'!$I$22)),0),0)</f>
        <v>2697783.707465773</v>
      </c>
      <c r="BO68" s="783">
        <f>IF('Incremental Repayments'!$R$22="Debt",IF(AND(BO$4&gt;=$D68,BO$4&lt;$D68+'Incremental Repayments'!$I$31),-PMT('Interest Rate'!$J$16,'Incremental Repayments'!$I$31,(HLOOKUP($D68,$E$4:$CZ$32,28,FALSE)*'Incremental Repayments'!$I$22)),0),0)</f>
        <v>0</v>
      </c>
      <c r="BP68" s="783">
        <f>IF('Incremental Repayments'!$R$22="Debt",IF(AND(BP$4&gt;=$D68,BP$4&lt;$D68+'Incremental Repayments'!$I$31),-PMT('Interest Rate'!$J$16,'Incremental Repayments'!$I$31,(HLOOKUP($D68,$E$4:$CZ$32,28,FALSE)*'Incremental Repayments'!$I$22)),0),0)</f>
        <v>0</v>
      </c>
      <c r="BQ68" s="783">
        <f>IF('Incremental Repayments'!$R$22="Debt",IF(AND(BQ$4&gt;=$D68,BQ$4&lt;$D68+'Incremental Repayments'!$I$31),-PMT('Interest Rate'!$J$16,'Incremental Repayments'!$I$31,(HLOOKUP($D68,$E$4:$CZ$32,28,FALSE)*'Incremental Repayments'!$I$22)),0),0)</f>
        <v>0</v>
      </c>
      <c r="BR68" s="783">
        <f>IF('Incremental Repayments'!$R$22="Debt",IF(AND(BR$4&gt;=$D68,BR$4&lt;$D68+'Incremental Repayments'!$I$31),-PMT('Interest Rate'!$J$16,'Incremental Repayments'!$I$31,(HLOOKUP($D68,$E$4:$CZ$32,28,FALSE)*'Incremental Repayments'!$I$22)),0),0)</f>
        <v>0</v>
      </c>
      <c r="BS68" s="783">
        <f>IF('Incremental Repayments'!$R$22="Debt",IF(AND(BS$4&gt;=$D68,BS$4&lt;$D68+'Incremental Repayments'!$I$31),-PMT('Interest Rate'!$J$16,'Incremental Repayments'!$I$31,(HLOOKUP($D68,$E$4:$CZ$32,28,FALSE)*'Incremental Repayments'!$I$22)),0),0)</f>
        <v>0</v>
      </c>
      <c r="BT68" s="783">
        <f>IF('Incremental Repayments'!$R$22="Debt",IF(AND(BT$4&gt;=$D68,BT$4&lt;$D68+'Incremental Repayments'!$I$31),-PMT('Interest Rate'!$J$16,'Incremental Repayments'!$I$31,(HLOOKUP($D68,$E$4:$CZ$32,28,FALSE)*'Incremental Repayments'!$I$22)),0),0)</f>
        <v>0</v>
      </c>
      <c r="BU68" s="783">
        <f>IF('Incremental Repayments'!$R$22="Debt",IF(AND(BU$4&gt;=$D68,BU$4&lt;$D68+'Incremental Repayments'!$I$31),-PMT('Interest Rate'!$J$16,'Incremental Repayments'!$I$31,(HLOOKUP($D68,$E$4:$CZ$32,28,FALSE)*'Incremental Repayments'!$I$22)),0),0)</f>
        <v>0</v>
      </c>
      <c r="BV68" s="783">
        <f>IF('Incremental Repayments'!$R$22="Debt",IF(AND(BV$4&gt;=$D68,BV$4&lt;$D68+'Incremental Repayments'!$I$31),-PMT('Interest Rate'!$J$16,'Incremental Repayments'!$I$31,(HLOOKUP($D68,$E$4:$CZ$32,28,FALSE)*'Incremental Repayments'!$I$22)),0),0)</f>
        <v>0</v>
      </c>
      <c r="BW68" s="783">
        <f>IF('Incremental Repayments'!$R$22="Debt",IF(AND(BW$4&gt;=$D68,BW$4&lt;$D68+'Incremental Repayments'!$I$31),-PMT('Interest Rate'!$J$16,'Incremental Repayments'!$I$31,(HLOOKUP($D68,$E$4:$CZ$32,28,FALSE)*'Incremental Repayments'!$I$22)),0),0)</f>
        <v>0</v>
      </c>
      <c r="BX68" s="783">
        <f>IF('Incremental Repayments'!$R$22="Debt",IF(AND(BX$4&gt;=$D68,BX$4&lt;$D68+'Incremental Repayments'!$I$31),-PMT('Interest Rate'!$J$16,'Incremental Repayments'!$I$31,(HLOOKUP($D68,$E$4:$CZ$32,28,FALSE)*'Incremental Repayments'!$I$22)),0),0)</f>
        <v>0</v>
      </c>
      <c r="BY68" s="783">
        <f>IF('Incremental Repayments'!$R$22="Debt",IF(AND(BY$4&gt;=$D68,BY$4&lt;$D68+'Incremental Repayments'!$I$31),-PMT('Interest Rate'!$J$16,'Incremental Repayments'!$I$31,(HLOOKUP($D68,$E$4:$CZ$32,28,FALSE)*'Incremental Repayments'!$I$22)),0),0)</f>
        <v>0</v>
      </c>
      <c r="BZ68" s="783">
        <f>IF('Incremental Repayments'!$R$22="Debt",IF(AND(BZ$4&gt;=$D68,BZ$4&lt;$D68+'Incremental Repayments'!$I$31),-PMT('Interest Rate'!$J$16,'Incremental Repayments'!$I$31,(HLOOKUP($D68,$E$4:$CZ$32,28,FALSE)*'Incremental Repayments'!$I$22)),0),0)</f>
        <v>0</v>
      </c>
      <c r="CA68" s="783">
        <f>IF('Incremental Repayments'!$R$22="Debt",IF(AND(CA$4&gt;=$D68,CA$4&lt;$D68+'Incremental Repayments'!$I$31),-PMT('Interest Rate'!$J$16,'Incremental Repayments'!$I$31,(HLOOKUP($D68,$E$4:$CZ$32,28,FALSE)*'Incremental Repayments'!$I$22)),0),0)</f>
        <v>0</v>
      </c>
      <c r="CB68" s="783">
        <f>IF('Incremental Repayments'!$R$22="Debt",IF(AND(CB$4&gt;=$D68,CB$4&lt;$D68+'Incremental Repayments'!$I$31),-PMT('Interest Rate'!$J$16,'Incremental Repayments'!$I$31,(HLOOKUP($D68,$E$4:$CZ$32,28,FALSE)*'Incremental Repayments'!$I$22)),0),0)</f>
        <v>0</v>
      </c>
      <c r="CC68" s="783">
        <f>IF('Incremental Repayments'!$R$22="Debt",IF(AND(CC$4&gt;=$D68,CC$4&lt;$D68+'Incremental Repayments'!$I$31),-PMT('Interest Rate'!$J$16,'Incremental Repayments'!$I$31,(HLOOKUP($D68,$E$4:$CZ$32,28,FALSE)*'Incremental Repayments'!$I$22)),0),0)</f>
        <v>0</v>
      </c>
      <c r="CD68" s="783">
        <f>IF('Incremental Repayments'!$R$22="Debt",IF(AND(CD$4&gt;=$D68,CD$4&lt;$D68+'Incremental Repayments'!$I$31),-PMT('Interest Rate'!$J$16,'Incremental Repayments'!$I$31,(HLOOKUP($D68,$E$4:$CZ$32,28,FALSE)*'Incremental Repayments'!$I$22)),0),0)</f>
        <v>0</v>
      </c>
      <c r="CE68" s="783">
        <f>IF('Incremental Repayments'!$R$22="Debt",IF(AND(CE$4&gt;=$D68,CE$4&lt;$D68+'Incremental Repayments'!$I$31),-PMT('Interest Rate'!$J$16,'Incremental Repayments'!$I$31,(HLOOKUP($D68,$E$4:$CZ$32,28,FALSE)*'Incremental Repayments'!$I$22)),0),0)</f>
        <v>0</v>
      </c>
      <c r="CF68" s="783">
        <f>IF('Incremental Repayments'!$R$22="Debt",IF(AND(CF$4&gt;=$D68,CF$4&lt;$D68+'Incremental Repayments'!$I$31),-PMT('Interest Rate'!$J$16,'Incremental Repayments'!$I$31,(HLOOKUP($D68,$E$4:$CZ$32,28,FALSE)*'Incremental Repayments'!$I$22)),0),0)</f>
        <v>0</v>
      </c>
      <c r="CG68" s="783">
        <f>IF('Incremental Repayments'!$R$22="Debt",IF(AND(CG$4&gt;=$D68,CG$4&lt;$D68+'Incremental Repayments'!$I$31),-PMT('Interest Rate'!$J$16,'Incremental Repayments'!$I$31,(HLOOKUP($D68,$E$4:$CZ$32,28,FALSE)*'Incremental Repayments'!$I$22)),0),0)</f>
        <v>0</v>
      </c>
      <c r="CH68" s="783">
        <f>IF('Incremental Repayments'!$R$22="Debt",IF(AND(CH$4&gt;=$D68,CH$4&lt;$D68+'Incremental Repayments'!$I$31),-PMT('Interest Rate'!$J$16,'Incremental Repayments'!$I$31,(HLOOKUP($D68,$E$4:$CZ$32,28,FALSE)*'Incremental Repayments'!$I$22)),0),0)</f>
        <v>0</v>
      </c>
      <c r="CI68" s="783">
        <f>IF('Incremental Repayments'!$R$22="Debt",IF(AND(CI$4&gt;=$D68,CI$4&lt;$D68+'Incremental Repayments'!$I$31),-PMT('Interest Rate'!$J$16,'Incremental Repayments'!$I$31,(HLOOKUP($D68,$E$4:$CZ$32,28,FALSE)*'Incremental Repayments'!$I$22)),0),0)</f>
        <v>0</v>
      </c>
      <c r="CJ68" s="783">
        <f>IF('Incremental Repayments'!$R$22="Debt",IF(AND(CJ$4&gt;=$D68,CJ$4&lt;$D68+'Incremental Repayments'!$I$31),-PMT('Interest Rate'!$J$16,'Incremental Repayments'!$I$31,(HLOOKUP($D68,$E$4:$CZ$32,28,FALSE)*'Incremental Repayments'!$I$22)),0),0)</f>
        <v>0</v>
      </c>
      <c r="CK68" s="783">
        <f>IF('Incremental Repayments'!$R$22="Debt",IF(AND(CK$4&gt;=$D68,CK$4&lt;$D68+'Incremental Repayments'!$I$31),-PMT('Interest Rate'!$J$16,'Incremental Repayments'!$I$31,(HLOOKUP($D68,$E$4:$CZ$32,28,FALSE)*'Incremental Repayments'!$I$22)),0),0)</f>
        <v>0</v>
      </c>
      <c r="CL68" s="783">
        <f>IF('Incremental Repayments'!$R$22="Debt",IF(AND(CL$4&gt;=$D68,CL$4&lt;$D68+'Incremental Repayments'!$I$31),-PMT('Interest Rate'!$J$16,'Incremental Repayments'!$I$31,(HLOOKUP($D68,$E$4:$CZ$32,28,FALSE)*'Incremental Repayments'!$I$22)),0),0)</f>
        <v>0</v>
      </c>
      <c r="CM68" s="783">
        <f>IF('Incremental Repayments'!$R$22="Debt",IF(AND(CM$4&gt;=$D68,CM$4&lt;$D68+'Incremental Repayments'!$I$31),-PMT('Interest Rate'!$J$16,'Incremental Repayments'!$I$31,(HLOOKUP($D68,$E$4:$CZ$32,28,FALSE)*'Incremental Repayments'!$I$22)),0),0)</f>
        <v>0</v>
      </c>
      <c r="CN68" s="783">
        <f>IF('Incremental Repayments'!$R$22="Debt",IF(AND(CN$4&gt;=$D68,CN$4&lt;$D68+'Incremental Repayments'!$I$31),-PMT('Interest Rate'!$J$16,'Incremental Repayments'!$I$31,(HLOOKUP($D68,$E$4:$CZ$32,28,FALSE)*'Incremental Repayments'!$I$22)),0),0)</f>
        <v>0</v>
      </c>
      <c r="CO68" s="783">
        <f>IF('Incremental Repayments'!$R$22="Debt",IF(AND(CO$4&gt;=$D68,CO$4&lt;$D68+'Incremental Repayments'!$I$31),-PMT('Interest Rate'!$J$16,'Incremental Repayments'!$I$31,(HLOOKUP($D68,$E$4:$CZ$32,28,FALSE)*'Incremental Repayments'!$I$22)),0),0)</f>
        <v>0</v>
      </c>
      <c r="CP68" s="783">
        <f>IF('Incremental Repayments'!$R$22="Debt",IF(AND(CP$4&gt;=$D68,CP$4&lt;$D68+'Incremental Repayments'!$I$31),-PMT('Interest Rate'!$J$16,'Incremental Repayments'!$I$31,(HLOOKUP($D68,$E$4:$CZ$32,28,FALSE)*'Incremental Repayments'!$I$22)),0),0)</f>
        <v>0</v>
      </c>
      <c r="CQ68" s="783">
        <f>IF('Incremental Repayments'!$R$22="Debt",IF(AND(CQ$4&gt;=$D68,CQ$4&lt;$D68+'Incremental Repayments'!$I$31),-PMT('Interest Rate'!$J$16,'Incremental Repayments'!$I$31,(HLOOKUP($D68,$E$4:$CZ$32,28,FALSE)*'Incremental Repayments'!$I$22)),0),0)</f>
        <v>0</v>
      </c>
      <c r="CR68" s="783">
        <f>IF('Incremental Repayments'!$R$22="Debt",IF(AND(CR$4&gt;=$D68,CR$4&lt;$D68+'Incremental Repayments'!$I$31),-PMT('Interest Rate'!$J$16,'Incremental Repayments'!$I$31,(HLOOKUP($D68,$E$4:$CZ$32,28,FALSE)*'Incremental Repayments'!$I$22)),0),0)</f>
        <v>0</v>
      </c>
      <c r="CS68" s="783">
        <f>IF('Incremental Repayments'!$R$22="Debt",IF(AND(CS$4&gt;=$D68,CS$4&lt;$D68+'Incremental Repayments'!$I$31),-PMT('Interest Rate'!$J$16,'Incremental Repayments'!$I$31,(HLOOKUP($D68,$E$4:$CZ$32,28,FALSE)*'Incremental Repayments'!$I$22)),0),0)</f>
        <v>0</v>
      </c>
      <c r="CT68" s="783">
        <f>IF('Incremental Repayments'!$R$22="Debt",IF(AND(CT$4&gt;=$D68,CT$4&lt;$D68+'Incremental Repayments'!$I$31),-PMT('Interest Rate'!$J$16,'Incremental Repayments'!$I$31,(HLOOKUP($D68,$E$4:$CZ$32,28,FALSE)*'Incremental Repayments'!$I$22)),0),0)</f>
        <v>0</v>
      </c>
      <c r="CU68" s="783">
        <f>IF('Incremental Repayments'!$R$22="Debt",IF(AND(CU$4&gt;=$D68,CU$4&lt;$D68+'Incremental Repayments'!$I$31),-PMT('Interest Rate'!$J$16,'Incremental Repayments'!$I$31,(HLOOKUP($D68,$E$4:$CZ$32,28,FALSE)*'Incremental Repayments'!$I$22)),0),0)</f>
        <v>0</v>
      </c>
      <c r="CV68" s="783">
        <f>IF('Incremental Repayments'!$R$22="Debt",IF(AND(CV$4&gt;=$D68,CV$4&lt;$D68+'Incremental Repayments'!$I$31),-PMT('Interest Rate'!$J$16,'Incremental Repayments'!$I$31,(HLOOKUP($D68,$E$4:$CZ$32,28,FALSE)*'Incremental Repayments'!$I$22)),0),0)</f>
        <v>0</v>
      </c>
      <c r="CW68" s="783">
        <f>IF('Incremental Repayments'!$R$22="Debt",IF(AND(CW$4&gt;=$D68,CW$4&lt;$D68+'Incremental Repayments'!$I$31),-PMT('Interest Rate'!$J$16,'Incremental Repayments'!$I$31,(HLOOKUP($D68,$E$4:$CZ$32,28,FALSE)*'Incremental Repayments'!$I$22)),0),0)</f>
        <v>0</v>
      </c>
      <c r="CX68" s="783">
        <f>IF('Incremental Repayments'!$R$22="Debt",IF(AND(CX$4&gt;=$D68,CX$4&lt;$D68+'Incremental Repayments'!$I$31),-PMT('Interest Rate'!$J$16,'Incremental Repayments'!$I$31,(HLOOKUP($D68,$E$4:$CZ$32,28,FALSE)*'Incremental Repayments'!$I$22)),0),0)</f>
        <v>0</v>
      </c>
      <c r="CY68" s="783">
        <f>IF('Incremental Repayments'!$R$22="Debt",IF(AND(CY$4&gt;=$D68,CY$4&lt;$D68+'Incremental Repayments'!$I$31),-PMT('Interest Rate'!$J$16,'Incremental Repayments'!$I$31,(HLOOKUP($D68,$E$4:$CZ$32,28,FALSE)*'Incremental Repayments'!$I$22)),0),0)</f>
        <v>0</v>
      </c>
      <c r="CZ68" s="783">
        <f>IF('Incremental Repayments'!$R$22="Debt",IF(AND(CZ$4&gt;=$D68,CZ$4&lt;$D68+'Incremental Repayments'!$I$31),-PMT('Interest Rate'!$J$16,'Incremental Repayments'!$I$31,(HLOOKUP($D68,$E$4:$CZ$32,28,FALSE)*'Incremental Repayments'!$I$22)),0),0)</f>
        <v>0</v>
      </c>
    </row>
    <row r="69" spans="2:104" x14ac:dyDescent="0.25">
      <c r="B69" s="480" t="str">
        <f>CONCATENATE("Series ",D69,"A Bonds (at ",'Interest Rate'!$J$16*100,"% Interest)")</f>
        <v>Series 2047A Bonds (at 4.5% Interest)</v>
      </c>
      <c r="C69" s="480"/>
      <c r="D69" s="492">
        <f t="shared" si="47"/>
        <v>2047</v>
      </c>
      <c r="E69" s="783">
        <f>IF('Incremental Repayments'!$R$22="Debt",IF(AND(E$4&gt;=$D69,E$4&lt;$D69+'Incremental Repayments'!$I$31),-PMT('Interest Rate'!$J$16,'Incremental Repayments'!$I$31,(HLOOKUP($D69,$E$4:$CZ$32,28,FALSE)*'Incremental Repayments'!$I$22)),0),0)</f>
        <v>0</v>
      </c>
      <c r="F69" s="783">
        <f>IF('Incremental Repayments'!$R$22="Debt",IF(AND(F$4&gt;=$D69,F$4&lt;$D69+'Incremental Repayments'!$I$31),-PMT('Interest Rate'!$J$16,'Incremental Repayments'!$I$31,(HLOOKUP($D69,$E$4:$CZ$32,28,FALSE)*'Incremental Repayments'!$I$22)),0),0)</f>
        <v>0</v>
      </c>
      <c r="G69" s="783">
        <f>IF('Incremental Repayments'!$R$22="Debt",IF(AND(G$4&gt;=$D69,G$4&lt;$D69+'Incremental Repayments'!$I$31),-PMT('Interest Rate'!$J$16,'Incremental Repayments'!$I$31,(HLOOKUP($D69,$E$4:$CZ$32,28,FALSE)*'Incremental Repayments'!$I$22)),0),0)</f>
        <v>0</v>
      </c>
      <c r="H69" s="783">
        <f>IF('Incremental Repayments'!$R$22="Debt",IF(AND(H$4&gt;=$D69,H$4&lt;$D69+'Incremental Repayments'!$I$31),-PMT('Interest Rate'!$J$16,'Incremental Repayments'!$I$31,(HLOOKUP($D69,$E$4:$CZ$32,28,FALSE)*'Incremental Repayments'!$I$22)),0),0)</f>
        <v>0</v>
      </c>
      <c r="I69" s="783">
        <f>IF('Incremental Repayments'!$R$22="Debt",IF(AND(I$4&gt;=$D69,I$4&lt;$D69+'Incremental Repayments'!$I$31),-PMT('Interest Rate'!$J$16,'Incremental Repayments'!$I$31,(HLOOKUP($D69,$E$4:$CZ$32,28,FALSE)*'Incremental Repayments'!$I$22)),0),0)</f>
        <v>0</v>
      </c>
      <c r="J69" s="783">
        <f>IF('Incremental Repayments'!$R$22="Debt",IF(AND(J$4&gt;=$D69,J$4&lt;$D69+'Incremental Repayments'!$I$31),-PMT('Interest Rate'!$J$16,'Incremental Repayments'!$I$31,(HLOOKUP($D69,$E$4:$CZ$32,28,FALSE)*'Incremental Repayments'!$I$22)),0),0)</f>
        <v>0</v>
      </c>
      <c r="K69" s="783">
        <f>IF('Incremental Repayments'!$R$22="Debt",IF(AND(K$4&gt;=$D69,K$4&lt;$D69+'Incremental Repayments'!$I$31),-PMT('Interest Rate'!$J$16,'Incremental Repayments'!$I$31,(HLOOKUP($D69,$E$4:$CZ$32,28,FALSE)*'Incremental Repayments'!$I$22)),0),0)</f>
        <v>0</v>
      </c>
      <c r="L69" s="783">
        <f>IF('Incremental Repayments'!$R$22="Debt",IF(AND(L$4&gt;=$D69,L$4&lt;$D69+'Incremental Repayments'!$I$31),-PMT('Interest Rate'!$J$16,'Incremental Repayments'!$I$31,(HLOOKUP($D69,$E$4:$CZ$32,28,FALSE)*'Incremental Repayments'!$I$22)),0),0)</f>
        <v>0</v>
      </c>
      <c r="M69" s="783">
        <f>IF('Incremental Repayments'!$R$22="Debt",IF(AND(M$4&gt;=$D69,M$4&lt;$D69+'Incremental Repayments'!$I$31),-PMT('Interest Rate'!$J$16,'Incremental Repayments'!$I$31,(HLOOKUP($D69,$E$4:$CZ$32,28,FALSE)*'Incremental Repayments'!$I$22)),0),0)</f>
        <v>0</v>
      </c>
      <c r="N69" s="783">
        <f>IF('Incremental Repayments'!$R$22="Debt",IF(AND(N$4&gt;=$D69,N$4&lt;$D69+'Incremental Repayments'!$I$31),-PMT('Interest Rate'!$J$16,'Incremental Repayments'!$I$31,(HLOOKUP($D69,$E$4:$CZ$32,28,FALSE)*'Incremental Repayments'!$I$22)),0),0)</f>
        <v>0</v>
      </c>
      <c r="O69" s="783">
        <f>IF('Incremental Repayments'!$R$22="Debt",IF(AND(O$4&gt;=$D69,O$4&lt;$D69+'Incremental Repayments'!$I$31),-PMT('Interest Rate'!$J$16,'Incremental Repayments'!$I$31,(HLOOKUP($D69,$E$4:$CZ$32,28,FALSE)*'Incremental Repayments'!$I$22)),0),0)</f>
        <v>0</v>
      </c>
      <c r="P69" s="783">
        <f>IF('Incremental Repayments'!$R$22="Debt",IF(AND(P$4&gt;=$D69,P$4&lt;$D69+'Incremental Repayments'!$I$31),-PMT('Interest Rate'!$J$16,'Incremental Repayments'!$I$31,(HLOOKUP($D69,$E$4:$CZ$32,28,FALSE)*'Incremental Repayments'!$I$22)),0),0)</f>
        <v>0</v>
      </c>
      <c r="Q69" s="783">
        <f>IF('Incremental Repayments'!$R$22="Debt",IF(AND(Q$4&gt;=$D69,Q$4&lt;$D69+'Incremental Repayments'!$I$31),-PMT('Interest Rate'!$J$16,'Incremental Repayments'!$I$31,(HLOOKUP($D69,$E$4:$CZ$32,28,FALSE)*'Incremental Repayments'!$I$22)),0),0)</f>
        <v>0</v>
      </c>
      <c r="R69" s="783">
        <f>IF('Incremental Repayments'!$R$22="Debt",IF(AND(R$4&gt;=$D69,R$4&lt;$D69+'Incremental Repayments'!$I$31),-PMT('Interest Rate'!$J$16,'Incremental Repayments'!$I$31,(HLOOKUP($D69,$E$4:$CZ$32,28,FALSE)*'Incremental Repayments'!$I$22)),0),0)</f>
        <v>0</v>
      </c>
      <c r="S69" s="783">
        <f>IF('Incremental Repayments'!$R$22="Debt",IF(AND(S$4&gt;=$D69,S$4&lt;$D69+'Incremental Repayments'!$I$31),-PMT('Interest Rate'!$J$16,'Incremental Repayments'!$I$31,(HLOOKUP($D69,$E$4:$CZ$32,28,FALSE)*'Incremental Repayments'!$I$22)),0),0)</f>
        <v>0</v>
      </c>
      <c r="T69" s="783">
        <f>IF('Incremental Repayments'!$R$22="Debt",IF(AND(T$4&gt;=$D69,T$4&lt;$D69+'Incremental Repayments'!$I$31),-PMT('Interest Rate'!$J$16,'Incremental Repayments'!$I$31,(HLOOKUP($D69,$E$4:$CZ$32,28,FALSE)*'Incremental Repayments'!$I$22)),0),0)</f>
        <v>0</v>
      </c>
      <c r="U69" s="783">
        <f>IF('Incremental Repayments'!$R$22="Debt",IF(AND(U$4&gt;=$D69,U$4&lt;$D69+'Incremental Repayments'!$I$31),-PMT('Interest Rate'!$J$16,'Incremental Repayments'!$I$31,(HLOOKUP($D69,$E$4:$CZ$32,28,FALSE)*'Incremental Repayments'!$I$22)),0),0)</f>
        <v>0</v>
      </c>
      <c r="V69" s="783">
        <f>IF('Incremental Repayments'!$R$22="Debt",IF(AND(V$4&gt;=$D69,V$4&lt;$D69+'Incremental Repayments'!$I$31),-PMT('Interest Rate'!$J$16,'Incremental Repayments'!$I$31,(HLOOKUP($D69,$E$4:$CZ$32,28,FALSE)*'Incremental Repayments'!$I$22)),0),0)</f>
        <v>0</v>
      </c>
      <c r="W69" s="783">
        <f>IF('Incremental Repayments'!$R$22="Debt",IF(AND(W$4&gt;=$D69,W$4&lt;$D69+'Incremental Repayments'!$I$31),-PMT('Interest Rate'!$J$16,'Incremental Repayments'!$I$31,(HLOOKUP($D69,$E$4:$CZ$32,28,FALSE)*'Incremental Repayments'!$I$22)),0),0)</f>
        <v>0</v>
      </c>
      <c r="X69" s="783">
        <f>IF('Incremental Repayments'!$R$22="Debt",IF(AND(X$4&gt;=$D69,X$4&lt;$D69+'Incremental Repayments'!$I$31),-PMT('Interest Rate'!$J$16,'Incremental Repayments'!$I$31,(HLOOKUP($D69,$E$4:$CZ$32,28,FALSE)*'Incremental Repayments'!$I$22)),0),0)</f>
        <v>0</v>
      </c>
      <c r="Y69" s="783">
        <f>IF('Incremental Repayments'!$R$22="Debt",IF(AND(Y$4&gt;=$D69,Y$4&lt;$D69+'Incremental Repayments'!$I$31),-PMT('Interest Rate'!$J$16,'Incremental Repayments'!$I$31,(HLOOKUP($D69,$E$4:$CZ$32,28,FALSE)*'Incremental Repayments'!$I$22)),0),0)</f>
        <v>0</v>
      </c>
      <c r="Z69" s="783">
        <f>IF('Incremental Repayments'!$R$22="Debt",IF(AND(Z$4&gt;=$D69,Z$4&lt;$D69+'Incremental Repayments'!$I$31),-PMT('Interest Rate'!$J$16,'Incremental Repayments'!$I$31,(HLOOKUP($D69,$E$4:$CZ$32,28,FALSE)*'Incremental Repayments'!$I$22)),0),0)</f>
        <v>0</v>
      </c>
      <c r="AA69" s="783">
        <f>IF('Incremental Repayments'!$R$22="Debt",IF(AND(AA$4&gt;=$D69,AA$4&lt;$D69+'Incremental Repayments'!$I$31),-PMT('Interest Rate'!$J$16,'Incremental Repayments'!$I$31,(HLOOKUP($D69,$E$4:$CZ$32,28,FALSE)*'Incremental Repayments'!$I$22)),0),0)</f>
        <v>0</v>
      </c>
      <c r="AB69" s="783">
        <f>IF('Incremental Repayments'!$R$22="Debt",IF(AND(AB$4&gt;=$D69,AB$4&lt;$D69+'Incremental Repayments'!$I$31),-PMT('Interest Rate'!$J$16,'Incremental Repayments'!$I$31,(HLOOKUP($D69,$E$4:$CZ$32,28,FALSE)*'Incremental Repayments'!$I$22)),0),0)</f>
        <v>0</v>
      </c>
      <c r="AC69" s="783">
        <f>IF('Incremental Repayments'!$R$22="Debt",IF(AND(AC$4&gt;=$D69,AC$4&lt;$D69+'Incremental Repayments'!$I$31),-PMT('Interest Rate'!$J$16,'Incremental Repayments'!$I$31,(HLOOKUP($D69,$E$4:$CZ$32,28,FALSE)*'Incremental Repayments'!$I$22)),0),0)</f>
        <v>0</v>
      </c>
      <c r="AD69" s="783">
        <f>IF('Incremental Repayments'!$R$22="Debt",IF(AND(AD$4&gt;=$D69,AD$4&lt;$D69+'Incremental Repayments'!$I$31),-PMT('Interest Rate'!$J$16,'Incremental Repayments'!$I$31,(HLOOKUP($D69,$E$4:$CZ$32,28,FALSE)*'Incremental Repayments'!$I$22)),0),0)</f>
        <v>0</v>
      </c>
      <c r="AE69" s="783">
        <f>IF('Incremental Repayments'!$R$22="Debt",IF(AND(AE$4&gt;=$D69,AE$4&lt;$D69+'Incremental Repayments'!$I$31),-PMT('Interest Rate'!$J$16,'Incremental Repayments'!$I$31,(HLOOKUP($D69,$E$4:$CZ$32,28,FALSE)*'Incremental Repayments'!$I$22)),0),0)</f>
        <v>0</v>
      </c>
      <c r="AF69" s="783">
        <f>IF('Incremental Repayments'!$R$22="Debt",IF(AND(AF$4&gt;=$D69,AF$4&lt;$D69+'Incremental Repayments'!$I$31),-PMT('Interest Rate'!$J$16,'Incremental Repayments'!$I$31,(HLOOKUP($D69,$E$4:$CZ$32,28,FALSE)*'Incremental Repayments'!$I$22)),0),0)</f>
        <v>0</v>
      </c>
      <c r="AG69" s="783">
        <f>IF('Incremental Repayments'!$R$22="Debt",IF(AND(AG$4&gt;=$D69,AG$4&lt;$D69+'Incremental Repayments'!$I$31),-PMT('Interest Rate'!$J$16,'Incremental Repayments'!$I$31,(HLOOKUP($D69,$E$4:$CZ$32,28,FALSE)*'Incremental Repayments'!$I$22)),0),0)</f>
        <v>0</v>
      </c>
      <c r="AH69" s="783">
        <f>IF('Incremental Repayments'!$R$22="Debt",IF(AND(AH$4&gt;=$D69,AH$4&lt;$D69+'Incremental Repayments'!$I$31),-PMT('Interest Rate'!$J$16,'Incremental Repayments'!$I$31,(HLOOKUP($D69,$E$4:$CZ$32,28,FALSE)*'Incremental Repayments'!$I$22)),0),0)</f>
        <v>0</v>
      </c>
      <c r="AI69" s="783">
        <f>IF('Incremental Repayments'!$R$22="Debt",IF(AND(AI$4&gt;=$D69,AI$4&lt;$D69+'Incremental Repayments'!$I$31),-PMT('Interest Rate'!$J$16,'Incremental Repayments'!$I$31,(HLOOKUP($D69,$E$4:$CZ$32,28,FALSE)*'Incremental Repayments'!$I$22)),0),0)</f>
        <v>0</v>
      </c>
      <c r="AJ69" s="783">
        <f>IF('Incremental Repayments'!$R$22="Debt",IF(AND(AJ$4&gt;=$D69,AJ$4&lt;$D69+'Incremental Repayments'!$I$31),-PMT('Interest Rate'!$J$16,'Incremental Repayments'!$I$31,(HLOOKUP($D69,$E$4:$CZ$32,28,FALSE)*'Incremental Repayments'!$I$22)),0),0)</f>
        <v>0</v>
      </c>
      <c r="AK69" s="783">
        <f>IF('Incremental Repayments'!$R$22="Debt",IF(AND(AK$4&gt;=$D69,AK$4&lt;$D69+'Incremental Repayments'!$I$31),-PMT('Interest Rate'!$J$16,'Incremental Repayments'!$I$31,(HLOOKUP($D69,$E$4:$CZ$32,28,FALSE)*'Incremental Repayments'!$I$22)),0),0)</f>
        <v>0</v>
      </c>
      <c r="AL69" s="783">
        <f>IF('Incremental Repayments'!$R$22="Debt",IF(AND(AL$4&gt;=$D69,AL$4&lt;$D69+'Incremental Repayments'!$I$31),-PMT('Interest Rate'!$J$16,'Incremental Repayments'!$I$31,(HLOOKUP($D69,$E$4:$CZ$32,28,FALSE)*'Incremental Repayments'!$I$22)),0),0)</f>
        <v>1875523.4271327767</v>
      </c>
      <c r="AM69" s="783">
        <f>IF('Incremental Repayments'!$R$22="Debt",IF(AND(AM$4&gt;=$D69,AM$4&lt;$D69+'Incremental Repayments'!$I$31),-PMT('Interest Rate'!$J$16,'Incremental Repayments'!$I$31,(HLOOKUP($D69,$E$4:$CZ$32,28,FALSE)*'Incremental Repayments'!$I$22)),0),0)</f>
        <v>1875523.4271327767</v>
      </c>
      <c r="AN69" s="783">
        <f>IF('Incremental Repayments'!$R$22="Debt",IF(AND(AN$4&gt;=$D69,AN$4&lt;$D69+'Incremental Repayments'!$I$31),-PMT('Interest Rate'!$J$16,'Incremental Repayments'!$I$31,(HLOOKUP($D69,$E$4:$CZ$32,28,FALSE)*'Incremental Repayments'!$I$22)),0),0)</f>
        <v>1875523.4271327767</v>
      </c>
      <c r="AO69" s="783">
        <f>IF('Incremental Repayments'!$R$22="Debt",IF(AND(AO$4&gt;=$D69,AO$4&lt;$D69+'Incremental Repayments'!$I$31),-PMT('Interest Rate'!$J$16,'Incremental Repayments'!$I$31,(HLOOKUP($D69,$E$4:$CZ$32,28,FALSE)*'Incremental Repayments'!$I$22)),0),0)</f>
        <v>1875523.4271327767</v>
      </c>
      <c r="AP69" s="783">
        <f>IF('Incremental Repayments'!$R$22="Debt",IF(AND(AP$4&gt;=$D69,AP$4&lt;$D69+'Incremental Repayments'!$I$31),-PMT('Interest Rate'!$J$16,'Incremental Repayments'!$I$31,(HLOOKUP($D69,$E$4:$CZ$32,28,FALSE)*'Incremental Repayments'!$I$22)),0),0)</f>
        <v>1875523.4271327767</v>
      </c>
      <c r="AQ69" s="783">
        <f>IF('Incremental Repayments'!$R$22="Debt",IF(AND(AQ$4&gt;=$D69,AQ$4&lt;$D69+'Incremental Repayments'!$I$31),-PMT('Interest Rate'!$J$16,'Incremental Repayments'!$I$31,(HLOOKUP($D69,$E$4:$CZ$32,28,FALSE)*'Incremental Repayments'!$I$22)),0),0)</f>
        <v>1875523.4271327767</v>
      </c>
      <c r="AR69" s="783">
        <f>IF('Incremental Repayments'!$R$22="Debt",IF(AND(AR$4&gt;=$D69,AR$4&lt;$D69+'Incremental Repayments'!$I$31),-PMT('Interest Rate'!$J$16,'Incremental Repayments'!$I$31,(HLOOKUP($D69,$E$4:$CZ$32,28,FALSE)*'Incremental Repayments'!$I$22)),0),0)</f>
        <v>1875523.4271327767</v>
      </c>
      <c r="AS69" s="783">
        <f>IF('Incremental Repayments'!$R$22="Debt",IF(AND(AS$4&gt;=$D69,AS$4&lt;$D69+'Incremental Repayments'!$I$31),-PMT('Interest Rate'!$J$16,'Incremental Repayments'!$I$31,(HLOOKUP($D69,$E$4:$CZ$32,28,FALSE)*'Incremental Repayments'!$I$22)),0),0)</f>
        <v>1875523.4271327767</v>
      </c>
      <c r="AT69" s="783">
        <f>IF('Incremental Repayments'!$R$22="Debt",IF(AND(AT$4&gt;=$D69,AT$4&lt;$D69+'Incremental Repayments'!$I$31),-PMT('Interest Rate'!$J$16,'Incremental Repayments'!$I$31,(HLOOKUP($D69,$E$4:$CZ$32,28,FALSE)*'Incremental Repayments'!$I$22)),0),0)</f>
        <v>1875523.4271327767</v>
      </c>
      <c r="AU69" s="783">
        <f>IF('Incremental Repayments'!$R$22="Debt",IF(AND(AU$4&gt;=$D69,AU$4&lt;$D69+'Incremental Repayments'!$I$31),-PMT('Interest Rate'!$J$16,'Incremental Repayments'!$I$31,(HLOOKUP($D69,$E$4:$CZ$32,28,FALSE)*'Incremental Repayments'!$I$22)),0),0)</f>
        <v>1875523.4271327767</v>
      </c>
      <c r="AV69" s="783">
        <f>IF('Incremental Repayments'!$R$22="Debt",IF(AND(AV$4&gt;=$D69,AV$4&lt;$D69+'Incremental Repayments'!$I$31),-PMT('Interest Rate'!$J$16,'Incremental Repayments'!$I$31,(HLOOKUP($D69,$E$4:$CZ$32,28,FALSE)*'Incremental Repayments'!$I$22)),0),0)</f>
        <v>1875523.4271327767</v>
      </c>
      <c r="AW69" s="783">
        <f>IF('Incremental Repayments'!$R$22="Debt",IF(AND(AW$4&gt;=$D69,AW$4&lt;$D69+'Incremental Repayments'!$I$31),-PMT('Interest Rate'!$J$16,'Incremental Repayments'!$I$31,(HLOOKUP($D69,$E$4:$CZ$32,28,FALSE)*'Incremental Repayments'!$I$22)),0),0)</f>
        <v>1875523.4271327767</v>
      </c>
      <c r="AX69" s="783">
        <f>IF('Incremental Repayments'!$R$22="Debt",IF(AND(AX$4&gt;=$D69,AX$4&lt;$D69+'Incremental Repayments'!$I$31),-PMT('Interest Rate'!$J$16,'Incremental Repayments'!$I$31,(HLOOKUP($D69,$E$4:$CZ$32,28,FALSE)*'Incremental Repayments'!$I$22)),0),0)</f>
        <v>1875523.4271327767</v>
      </c>
      <c r="AY69" s="783">
        <f>IF('Incremental Repayments'!$R$22="Debt",IF(AND(AY$4&gt;=$D69,AY$4&lt;$D69+'Incremental Repayments'!$I$31),-PMT('Interest Rate'!$J$16,'Incremental Repayments'!$I$31,(HLOOKUP($D69,$E$4:$CZ$32,28,FALSE)*'Incremental Repayments'!$I$22)),0),0)</f>
        <v>1875523.4271327767</v>
      </c>
      <c r="AZ69" s="783">
        <f>IF('Incremental Repayments'!$R$22="Debt",IF(AND(AZ$4&gt;=$D69,AZ$4&lt;$D69+'Incremental Repayments'!$I$31),-PMT('Interest Rate'!$J$16,'Incremental Repayments'!$I$31,(HLOOKUP($D69,$E$4:$CZ$32,28,FALSE)*'Incremental Repayments'!$I$22)),0),0)</f>
        <v>1875523.4271327767</v>
      </c>
      <c r="BA69" s="783">
        <f>IF('Incremental Repayments'!$R$22="Debt",IF(AND(BA$4&gt;=$D69,BA$4&lt;$D69+'Incremental Repayments'!$I$31),-PMT('Interest Rate'!$J$16,'Incremental Repayments'!$I$31,(HLOOKUP($D69,$E$4:$CZ$32,28,FALSE)*'Incremental Repayments'!$I$22)),0),0)</f>
        <v>1875523.4271327767</v>
      </c>
      <c r="BB69" s="783">
        <f>IF('Incremental Repayments'!$R$22="Debt",IF(AND(BB$4&gt;=$D69,BB$4&lt;$D69+'Incremental Repayments'!$I$31),-PMT('Interest Rate'!$J$16,'Incremental Repayments'!$I$31,(HLOOKUP($D69,$E$4:$CZ$32,28,FALSE)*'Incremental Repayments'!$I$22)),0),0)</f>
        <v>1875523.4271327767</v>
      </c>
      <c r="BC69" s="783">
        <f>IF('Incremental Repayments'!$R$22="Debt",IF(AND(BC$4&gt;=$D69,BC$4&lt;$D69+'Incremental Repayments'!$I$31),-PMT('Interest Rate'!$J$16,'Incremental Repayments'!$I$31,(HLOOKUP($D69,$E$4:$CZ$32,28,FALSE)*'Incremental Repayments'!$I$22)),0),0)</f>
        <v>1875523.4271327767</v>
      </c>
      <c r="BD69" s="783">
        <f>IF('Incremental Repayments'!$R$22="Debt",IF(AND(BD$4&gt;=$D69,BD$4&lt;$D69+'Incremental Repayments'!$I$31),-PMT('Interest Rate'!$J$16,'Incremental Repayments'!$I$31,(HLOOKUP($D69,$E$4:$CZ$32,28,FALSE)*'Incremental Repayments'!$I$22)),0),0)</f>
        <v>1875523.4271327767</v>
      </c>
      <c r="BE69" s="783">
        <f>IF('Incremental Repayments'!$R$22="Debt",IF(AND(BE$4&gt;=$D69,BE$4&lt;$D69+'Incremental Repayments'!$I$31),-PMT('Interest Rate'!$J$16,'Incremental Repayments'!$I$31,(HLOOKUP($D69,$E$4:$CZ$32,28,FALSE)*'Incremental Repayments'!$I$22)),0),0)</f>
        <v>1875523.4271327767</v>
      </c>
      <c r="BF69" s="783">
        <f>IF('Incremental Repayments'!$R$22="Debt",IF(AND(BF$4&gt;=$D69,BF$4&lt;$D69+'Incremental Repayments'!$I$31),-PMT('Interest Rate'!$J$16,'Incremental Repayments'!$I$31,(HLOOKUP($D69,$E$4:$CZ$32,28,FALSE)*'Incremental Repayments'!$I$22)),0),0)</f>
        <v>1875523.4271327767</v>
      </c>
      <c r="BG69" s="783">
        <f>IF('Incremental Repayments'!$R$22="Debt",IF(AND(BG$4&gt;=$D69,BG$4&lt;$D69+'Incremental Repayments'!$I$31),-PMT('Interest Rate'!$J$16,'Incremental Repayments'!$I$31,(HLOOKUP($D69,$E$4:$CZ$32,28,FALSE)*'Incremental Repayments'!$I$22)),0),0)</f>
        <v>1875523.4271327767</v>
      </c>
      <c r="BH69" s="783">
        <f>IF('Incremental Repayments'!$R$22="Debt",IF(AND(BH$4&gt;=$D69,BH$4&lt;$D69+'Incremental Repayments'!$I$31),-PMT('Interest Rate'!$J$16,'Incremental Repayments'!$I$31,(HLOOKUP($D69,$E$4:$CZ$32,28,FALSE)*'Incremental Repayments'!$I$22)),0),0)</f>
        <v>1875523.4271327767</v>
      </c>
      <c r="BI69" s="783">
        <f>IF('Incremental Repayments'!$R$22="Debt",IF(AND(BI$4&gt;=$D69,BI$4&lt;$D69+'Incremental Repayments'!$I$31),-PMT('Interest Rate'!$J$16,'Incremental Repayments'!$I$31,(HLOOKUP($D69,$E$4:$CZ$32,28,FALSE)*'Incremental Repayments'!$I$22)),0),0)</f>
        <v>1875523.4271327767</v>
      </c>
      <c r="BJ69" s="783">
        <f>IF('Incremental Repayments'!$R$22="Debt",IF(AND(BJ$4&gt;=$D69,BJ$4&lt;$D69+'Incremental Repayments'!$I$31),-PMT('Interest Rate'!$J$16,'Incremental Repayments'!$I$31,(HLOOKUP($D69,$E$4:$CZ$32,28,FALSE)*'Incremental Repayments'!$I$22)),0),0)</f>
        <v>1875523.4271327767</v>
      </c>
      <c r="BK69" s="783">
        <f>IF('Incremental Repayments'!$R$22="Debt",IF(AND(BK$4&gt;=$D69,BK$4&lt;$D69+'Incremental Repayments'!$I$31),-PMT('Interest Rate'!$J$16,'Incremental Repayments'!$I$31,(HLOOKUP($D69,$E$4:$CZ$32,28,FALSE)*'Incremental Repayments'!$I$22)),0),0)</f>
        <v>1875523.4271327767</v>
      </c>
      <c r="BL69" s="783">
        <f>IF('Incremental Repayments'!$R$22="Debt",IF(AND(BL$4&gt;=$D69,BL$4&lt;$D69+'Incremental Repayments'!$I$31),-PMT('Interest Rate'!$J$16,'Incremental Repayments'!$I$31,(HLOOKUP($D69,$E$4:$CZ$32,28,FALSE)*'Incremental Repayments'!$I$22)),0),0)</f>
        <v>1875523.4271327767</v>
      </c>
      <c r="BM69" s="783">
        <f>IF('Incremental Repayments'!$R$22="Debt",IF(AND(BM$4&gt;=$D69,BM$4&lt;$D69+'Incremental Repayments'!$I$31),-PMT('Interest Rate'!$J$16,'Incremental Repayments'!$I$31,(HLOOKUP($D69,$E$4:$CZ$32,28,FALSE)*'Incremental Repayments'!$I$22)),0),0)</f>
        <v>1875523.4271327767</v>
      </c>
      <c r="BN69" s="783">
        <f>IF('Incremental Repayments'!$R$22="Debt",IF(AND(BN$4&gt;=$D69,BN$4&lt;$D69+'Incremental Repayments'!$I$31),-PMT('Interest Rate'!$J$16,'Incremental Repayments'!$I$31,(HLOOKUP($D69,$E$4:$CZ$32,28,FALSE)*'Incremental Repayments'!$I$22)),0),0)</f>
        <v>1875523.4271327767</v>
      </c>
      <c r="BO69" s="783">
        <f>IF('Incremental Repayments'!$R$22="Debt",IF(AND(BO$4&gt;=$D69,BO$4&lt;$D69+'Incremental Repayments'!$I$31),-PMT('Interest Rate'!$J$16,'Incremental Repayments'!$I$31,(HLOOKUP($D69,$E$4:$CZ$32,28,FALSE)*'Incremental Repayments'!$I$22)),0),0)</f>
        <v>1875523.4271327767</v>
      </c>
      <c r="BP69" s="783">
        <f>IF('Incremental Repayments'!$R$22="Debt",IF(AND(BP$4&gt;=$D69,BP$4&lt;$D69+'Incremental Repayments'!$I$31),-PMT('Interest Rate'!$J$16,'Incremental Repayments'!$I$31,(HLOOKUP($D69,$E$4:$CZ$32,28,FALSE)*'Incremental Repayments'!$I$22)),0),0)</f>
        <v>0</v>
      </c>
      <c r="BQ69" s="783">
        <f>IF('Incremental Repayments'!$R$22="Debt",IF(AND(BQ$4&gt;=$D69,BQ$4&lt;$D69+'Incremental Repayments'!$I$31),-PMT('Interest Rate'!$J$16,'Incremental Repayments'!$I$31,(HLOOKUP($D69,$E$4:$CZ$32,28,FALSE)*'Incremental Repayments'!$I$22)),0),0)</f>
        <v>0</v>
      </c>
      <c r="BR69" s="783">
        <f>IF('Incremental Repayments'!$R$22="Debt",IF(AND(BR$4&gt;=$D69,BR$4&lt;$D69+'Incremental Repayments'!$I$31),-PMT('Interest Rate'!$J$16,'Incremental Repayments'!$I$31,(HLOOKUP($D69,$E$4:$CZ$32,28,FALSE)*'Incremental Repayments'!$I$22)),0),0)</f>
        <v>0</v>
      </c>
      <c r="BS69" s="783">
        <f>IF('Incremental Repayments'!$R$22="Debt",IF(AND(BS$4&gt;=$D69,BS$4&lt;$D69+'Incremental Repayments'!$I$31),-PMT('Interest Rate'!$J$16,'Incremental Repayments'!$I$31,(HLOOKUP($D69,$E$4:$CZ$32,28,FALSE)*'Incremental Repayments'!$I$22)),0),0)</f>
        <v>0</v>
      </c>
      <c r="BT69" s="783">
        <f>IF('Incremental Repayments'!$R$22="Debt",IF(AND(BT$4&gt;=$D69,BT$4&lt;$D69+'Incremental Repayments'!$I$31),-PMT('Interest Rate'!$J$16,'Incremental Repayments'!$I$31,(HLOOKUP($D69,$E$4:$CZ$32,28,FALSE)*'Incremental Repayments'!$I$22)),0),0)</f>
        <v>0</v>
      </c>
      <c r="BU69" s="783">
        <f>IF('Incremental Repayments'!$R$22="Debt",IF(AND(BU$4&gt;=$D69,BU$4&lt;$D69+'Incremental Repayments'!$I$31),-PMT('Interest Rate'!$J$16,'Incremental Repayments'!$I$31,(HLOOKUP($D69,$E$4:$CZ$32,28,FALSE)*'Incremental Repayments'!$I$22)),0),0)</f>
        <v>0</v>
      </c>
      <c r="BV69" s="783">
        <f>IF('Incremental Repayments'!$R$22="Debt",IF(AND(BV$4&gt;=$D69,BV$4&lt;$D69+'Incremental Repayments'!$I$31),-PMT('Interest Rate'!$J$16,'Incremental Repayments'!$I$31,(HLOOKUP($D69,$E$4:$CZ$32,28,FALSE)*'Incremental Repayments'!$I$22)),0),0)</f>
        <v>0</v>
      </c>
      <c r="BW69" s="783">
        <f>IF('Incremental Repayments'!$R$22="Debt",IF(AND(BW$4&gt;=$D69,BW$4&lt;$D69+'Incremental Repayments'!$I$31),-PMT('Interest Rate'!$J$16,'Incremental Repayments'!$I$31,(HLOOKUP($D69,$E$4:$CZ$32,28,FALSE)*'Incremental Repayments'!$I$22)),0),0)</f>
        <v>0</v>
      </c>
      <c r="BX69" s="783">
        <f>IF('Incremental Repayments'!$R$22="Debt",IF(AND(BX$4&gt;=$D69,BX$4&lt;$D69+'Incremental Repayments'!$I$31),-PMT('Interest Rate'!$J$16,'Incremental Repayments'!$I$31,(HLOOKUP($D69,$E$4:$CZ$32,28,FALSE)*'Incremental Repayments'!$I$22)),0),0)</f>
        <v>0</v>
      </c>
      <c r="BY69" s="783">
        <f>IF('Incremental Repayments'!$R$22="Debt",IF(AND(BY$4&gt;=$D69,BY$4&lt;$D69+'Incremental Repayments'!$I$31),-PMT('Interest Rate'!$J$16,'Incremental Repayments'!$I$31,(HLOOKUP($D69,$E$4:$CZ$32,28,FALSE)*'Incremental Repayments'!$I$22)),0),0)</f>
        <v>0</v>
      </c>
      <c r="BZ69" s="783">
        <f>IF('Incremental Repayments'!$R$22="Debt",IF(AND(BZ$4&gt;=$D69,BZ$4&lt;$D69+'Incremental Repayments'!$I$31),-PMT('Interest Rate'!$J$16,'Incremental Repayments'!$I$31,(HLOOKUP($D69,$E$4:$CZ$32,28,FALSE)*'Incremental Repayments'!$I$22)),0),0)</f>
        <v>0</v>
      </c>
      <c r="CA69" s="783">
        <f>IF('Incremental Repayments'!$R$22="Debt",IF(AND(CA$4&gt;=$D69,CA$4&lt;$D69+'Incremental Repayments'!$I$31),-PMT('Interest Rate'!$J$16,'Incremental Repayments'!$I$31,(HLOOKUP($D69,$E$4:$CZ$32,28,FALSE)*'Incremental Repayments'!$I$22)),0),0)</f>
        <v>0</v>
      </c>
      <c r="CB69" s="783">
        <f>IF('Incremental Repayments'!$R$22="Debt",IF(AND(CB$4&gt;=$D69,CB$4&lt;$D69+'Incremental Repayments'!$I$31),-PMT('Interest Rate'!$J$16,'Incremental Repayments'!$I$31,(HLOOKUP($D69,$E$4:$CZ$32,28,FALSE)*'Incremental Repayments'!$I$22)),0),0)</f>
        <v>0</v>
      </c>
      <c r="CC69" s="783">
        <f>IF('Incremental Repayments'!$R$22="Debt",IF(AND(CC$4&gt;=$D69,CC$4&lt;$D69+'Incremental Repayments'!$I$31),-PMT('Interest Rate'!$J$16,'Incremental Repayments'!$I$31,(HLOOKUP($D69,$E$4:$CZ$32,28,FALSE)*'Incremental Repayments'!$I$22)),0),0)</f>
        <v>0</v>
      </c>
      <c r="CD69" s="783">
        <f>IF('Incremental Repayments'!$R$22="Debt",IF(AND(CD$4&gt;=$D69,CD$4&lt;$D69+'Incremental Repayments'!$I$31),-PMT('Interest Rate'!$J$16,'Incremental Repayments'!$I$31,(HLOOKUP($D69,$E$4:$CZ$32,28,FALSE)*'Incremental Repayments'!$I$22)),0),0)</f>
        <v>0</v>
      </c>
      <c r="CE69" s="783">
        <f>IF('Incremental Repayments'!$R$22="Debt",IF(AND(CE$4&gt;=$D69,CE$4&lt;$D69+'Incremental Repayments'!$I$31),-PMT('Interest Rate'!$J$16,'Incremental Repayments'!$I$31,(HLOOKUP($D69,$E$4:$CZ$32,28,FALSE)*'Incremental Repayments'!$I$22)),0),0)</f>
        <v>0</v>
      </c>
      <c r="CF69" s="783">
        <f>IF('Incremental Repayments'!$R$22="Debt",IF(AND(CF$4&gt;=$D69,CF$4&lt;$D69+'Incremental Repayments'!$I$31),-PMT('Interest Rate'!$J$16,'Incremental Repayments'!$I$31,(HLOOKUP($D69,$E$4:$CZ$32,28,FALSE)*'Incremental Repayments'!$I$22)),0),0)</f>
        <v>0</v>
      </c>
      <c r="CG69" s="783">
        <f>IF('Incremental Repayments'!$R$22="Debt",IF(AND(CG$4&gt;=$D69,CG$4&lt;$D69+'Incremental Repayments'!$I$31),-PMT('Interest Rate'!$J$16,'Incremental Repayments'!$I$31,(HLOOKUP($D69,$E$4:$CZ$32,28,FALSE)*'Incremental Repayments'!$I$22)),0),0)</f>
        <v>0</v>
      </c>
      <c r="CH69" s="783">
        <f>IF('Incremental Repayments'!$R$22="Debt",IF(AND(CH$4&gt;=$D69,CH$4&lt;$D69+'Incremental Repayments'!$I$31),-PMT('Interest Rate'!$J$16,'Incremental Repayments'!$I$31,(HLOOKUP($D69,$E$4:$CZ$32,28,FALSE)*'Incremental Repayments'!$I$22)),0),0)</f>
        <v>0</v>
      </c>
      <c r="CI69" s="783">
        <f>IF('Incremental Repayments'!$R$22="Debt",IF(AND(CI$4&gt;=$D69,CI$4&lt;$D69+'Incremental Repayments'!$I$31),-PMT('Interest Rate'!$J$16,'Incremental Repayments'!$I$31,(HLOOKUP($D69,$E$4:$CZ$32,28,FALSE)*'Incremental Repayments'!$I$22)),0),0)</f>
        <v>0</v>
      </c>
      <c r="CJ69" s="783">
        <f>IF('Incremental Repayments'!$R$22="Debt",IF(AND(CJ$4&gt;=$D69,CJ$4&lt;$D69+'Incremental Repayments'!$I$31),-PMT('Interest Rate'!$J$16,'Incremental Repayments'!$I$31,(HLOOKUP($D69,$E$4:$CZ$32,28,FALSE)*'Incremental Repayments'!$I$22)),0),0)</f>
        <v>0</v>
      </c>
      <c r="CK69" s="783">
        <f>IF('Incremental Repayments'!$R$22="Debt",IF(AND(CK$4&gt;=$D69,CK$4&lt;$D69+'Incremental Repayments'!$I$31),-PMT('Interest Rate'!$J$16,'Incremental Repayments'!$I$31,(HLOOKUP($D69,$E$4:$CZ$32,28,FALSE)*'Incremental Repayments'!$I$22)),0),0)</f>
        <v>0</v>
      </c>
      <c r="CL69" s="783">
        <f>IF('Incremental Repayments'!$R$22="Debt",IF(AND(CL$4&gt;=$D69,CL$4&lt;$D69+'Incremental Repayments'!$I$31),-PMT('Interest Rate'!$J$16,'Incremental Repayments'!$I$31,(HLOOKUP($D69,$E$4:$CZ$32,28,FALSE)*'Incremental Repayments'!$I$22)),0),0)</f>
        <v>0</v>
      </c>
      <c r="CM69" s="783">
        <f>IF('Incremental Repayments'!$R$22="Debt",IF(AND(CM$4&gt;=$D69,CM$4&lt;$D69+'Incremental Repayments'!$I$31),-PMT('Interest Rate'!$J$16,'Incremental Repayments'!$I$31,(HLOOKUP($D69,$E$4:$CZ$32,28,FALSE)*'Incremental Repayments'!$I$22)),0),0)</f>
        <v>0</v>
      </c>
      <c r="CN69" s="783">
        <f>IF('Incremental Repayments'!$R$22="Debt",IF(AND(CN$4&gt;=$D69,CN$4&lt;$D69+'Incremental Repayments'!$I$31),-PMT('Interest Rate'!$J$16,'Incremental Repayments'!$I$31,(HLOOKUP($D69,$E$4:$CZ$32,28,FALSE)*'Incremental Repayments'!$I$22)),0),0)</f>
        <v>0</v>
      </c>
      <c r="CO69" s="783">
        <f>IF('Incremental Repayments'!$R$22="Debt",IF(AND(CO$4&gt;=$D69,CO$4&lt;$D69+'Incremental Repayments'!$I$31),-PMT('Interest Rate'!$J$16,'Incremental Repayments'!$I$31,(HLOOKUP($D69,$E$4:$CZ$32,28,FALSE)*'Incremental Repayments'!$I$22)),0),0)</f>
        <v>0</v>
      </c>
      <c r="CP69" s="783">
        <f>IF('Incremental Repayments'!$R$22="Debt",IF(AND(CP$4&gt;=$D69,CP$4&lt;$D69+'Incremental Repayments'!$I$31),-PMT('Interest Rate'!$J$16,'Incremental Repayments'!$I$31,(HLOOKUP($D69,$E$4:$CZ$32,28,FALSE)*'Incremental Repayments'!$I$22)),0),0)</f>
        <v>0</v>
      </c>
      <c r="CQ69" s="783">
        <f>IF('Incremental Repayments'!$R$22="Debt",IF(AND(CQ$4&gt;=$D69,CQ$4&lt;$D69+'Incremental Repayments'!$I$31),-PMT('Interest Rate'!$J$16,'Incremental Repayments'!$I$31,(HLOOKUP($D69,$E$4:$CZ$32,28,FALSE)*'Incremental Repayments'!$I$22)),0),0)</f>
        <v>0</v>
      </c>
      <c r="CR69" s="783">
        <f>IF('Incremental Repayments'!$R$22="Debt",IF(AND(CR$4&gt;=$D69,CR$4&lt;$D69+'Incremental Repayments'!$I$31),-PMT('Interest Rate'!$J$16,'Incremental Repayments'!$I$31,(HLOOKUP($D69,$E$4:$CZ$32,28,FALSE)*'Incremental Repayments'!$I$22)),0),0)</f>
        <v>0</v>
      </c>
      <c r="CS69" s="783">
        <f>IF('Incremental Repayments'!$R$22="Debt",IF(AND(CS$4&gt;=$D69,CS$4&lt;$D69+'Incremental Repayments'!$I$31),-PMT('Interest Rate'!$J$16,'Incremental Repayments'!$I$31,(HLOOKUP($D69,$E$4:$CZ$32,28,FALSE)*'Incremental Repayments'!$I$22)),0),0)</f>
        <v>0</v>
      </c>
      <c r="CT69" s="783">
        <f>IF('Incremental Repayments'!$R$22="Debt",IF(AND(CT$4&gt;=$D69,CT$4&lt;$D69+'Incremental Repayments'!$I$31),-PMT('Interest Rate'!$J$16,'Incremental Repayments'!$I$31,(HLOOKUP($D69,$E$4:$CZ$32,28,FALSE)*'Incremental Repayments'!$I$22)),0),0)</f>
        <v>0</v>
      </c>
      <c r="CU69" s="783">
        <f>IF('Incremental Repayments'!$R$22="Debt",IF(AND(CU$4&gt;=$D69,CU$4&lt;$D69+'Incremental Repayments'!$I$31),-PMT('Interest Rate'!$J$16,'Incremental Repayments'!$I$31,(HLOOKUP($D69,$E$4:$CZ$32,28,FALSE)*'Incremental Repayments'!$I$22)),0),0)</f>
        <v>0</v>
      </c>
      <c r="CV69" s="783">
        <f>IF('Incremental Repayments'!$R$22="Debt",IF(AND(CV$4&gt;=$D69,CV$4&lt;$D69+'Incremental Repayments'!$I$31),-PMT('Interest Rate'!$J$16,'Incremental Repayments'!$I$31,(HLOOKUP($D69,$E$4:$CZ$32,28,FALSE)*'Incremental Repayments'!$I$22)),0),0)</f>
        <v>0</v>
      </c>
      <c r="CW69" s="783">
        <f>IF('Incremental Repayments'!$R$22="Debt",IF(AND(CW$4&gt;=$D69,CW$4&lt;$D69+'Incremental Repayments'!$I$31),-PMT('Interest Rate'!$J$16,'Incremental Repayments'!$I$31,(HLOOKUP($D69,$E$4:$CZ$32,28,FALSE)*'Incremental Repayments'!$I$22)),0),0)</f>
        <v>0</v>
      </c>
      <c r="CX69" s="783">
        <f>IF('Incremental Repayments'!$R$22="Debt",IF(AND(CX$4&gt;=$D69,CX$4&lt;$D69+'Incremental Repayments'!$I$31),-PMT('Interest Rate'!$J$16,'Incremental Repayments'!$I$31,(HLOOKUP($D69,$E$4:$CZ$32,28,FALSE)*'Incremental Repayments'!$I$22)),0),0)</f>
        <v>0</v>
      </c>
      <c r="CY69" s="783">
        <f>IF('Incremental Repayments'!$R$22="Debt",IF(AND(CY$4&gt;=$D69,CY$4&lt;$D69+'Incremental Repayments'!$I$31),-PMT('Interest Rate'!$J$16,'Incremental Repayments'!$I$31,(HLOOKUP($D69,$E$4:$CZ$32,28,FALSE)*'Incremental Repayments'!$I$22)),0),0)</f>
        <v>0</v>
      </c>
      <c r="CZ69" s="783">
        <f>IF('Incremental Repayments'!$R$22="Debt",IF(AND(CZ$4&gt;=$D69,CZ$4&lt;$D69+'Incremental Repayments'!$I$31),-PMT('Interest Rate'!$J$16,'Incremental Repayments'!$I$31,(HLOOKUP($D69,$E$4:$CZ$32,28,FALSE)*'Incremental Repayments'!$I$22)),0),0)</f>
        <v>0</v>
      </c>
    </row>
    <row r="70" spans="2:104" x14ac:dyDescent="0.25">
      <c r="B70" s="480" t="str">
        <f>CONCATENATE("Series ",D70,"A Bonds (at ",'Interest Rate'!$J$16*100,"% Interest)")</f>
        <v>Series 2048A Bonds (at 4.5% Interest)</v>
      </c>
      <c r="C70" s="480"/>
      <c r="D70" s="492">
        <f t="shared" si="47"/>
        <v>2048</v>
      </c>
      <c r="E70" s="783">
        <f>IF('Incremental Repayments'!$R$22="Debt",IF(AND(E$4&gt;=$D70,E$4&lt;$D70+'Incremental Repayments'!$I$31),-PMT('Interest Rate'!$J$16,'Incremental Repayments'!$I$31,(HLOOKUP($D70,$E$4:$CZ$32,28,FALSE)*'Incremental Repayments'!$I$22)),0),0)</f>
        <v>0</v>
      </c>
      <c r="F70" s="783">
        <f>IF('Incremental Repayments'!$R$22="Debt",IF(AND(F$4&gt;=$D70,F$4&lt;$D70+'Incremental Repayments'!$I$31),-PMT('Interest Rate'!$J$16,'Incremental Repayments'!$I$31,(HLOOKUP($D70,$E$4:$CZ$32,28,FALSE)*'Incremental Repayments'!$I$22)),0),0)</f>
        <v>0</v>
      </c>
      <c r="G70" s="783">
        <f>IF('Incremental Repayments'!$R$22="Debt",IF(AND(G$4&gt;=$D70,G$4&lt;$D70+'Incremental Repayments'!$I$31),-PMT('Interest Rate'!$J$16,'Incremental Repayments'!$I$31,(HLOOKUP($D70,$E$4:$CZ$32,28,FALSE)*'Incremental Repayments'!$I$22)),0),0)</f>
        <v>0</v>
      </c>
      <c r="H70" s="783">
        <f>IF('Incremental Repayments'!$R$22="Debt",IF(AND(H$4&gt;=$D70,H$4&lt;$D70+'Incremental Repayments'!$I$31),-PMT('Interest Rate'!$J$16,'Incremental Repayments'!$I$31,(HLOOKUP($D70,$E$4:$CZ$32,28,FALSE)*'Incremental Repayments'!$I$22)),0),0)</f>
        <v>0</v>
      </c>
      <c r="I70" s="783">
        <f>IF('Incremental Repayments'!$R$22="Debt",IF(AND(I$4&gt;=$D70,I$4&lt;$D70+'Incremental Repayments'!$I$31),-PMT('Interest Rate'!$J$16,'Incremental Repayments'!$I$31,(HLOOKUP($D70,$E$4:$CZ$32,28,FALSE)*'Incremental Repayments'!$I$22)),0),0)</f>
        <v>0</v>
      </c>
      <c r="J70" s="783">
        <f>IF('Incremental Repayments'!$R$22="Debt",IF(AND(J$4&gt;=$D70,J$4&lt;$D70+'Incremental Repayments'!$I$31),-PMT('Interest Rate'!$J$16,'Incremental Repayments'!$I$31,(HLOOKUP($D70,$E$4:$CZ$32,28,FALSE)*'Incremental Repayments'!$I$22)),0),0)</f>
        <v>0</v>
      </c>
      <c r="K70" s="783">
        <f>IF('Incremental Repayments'!$R$22="Debt",IF(AND(K$4&gt;=$D70,K$4&lt;$D70+'Incremental Repayments'!$I$31),-PMT('Interest Rate'!$J$16,'Incremental Repayments'!$I$31,(HLOOKUP($D70,$E$4:$CZ$32,28,FALSE)*'Incremental Repayments'!$I$22)),0),0)</f>
        <v>0</v>
      </c>
      <c r="L70" s="783">
        <f>IF('Incremental Repayments'!$R$22="Debt",IF(AND(L$4&gt;=$D70,L$4&lt;$D70+'Incremental Repayments'!$I$31),-PMT('Interest Rate'!$J$16,'Incremental Repayments'!$I$31,(HLOOKUP($D70,$E$4:$CZ$32,28,FALSE)*'Incremental Repayments'!$I$22)),0),0)</f>
        <v>0</v>
      </c>
      <c r="M70" s="783">
        <f>IF('Incremental Repayments'!$R$22="Debt",IF(AND(M$4&gt;=$D70,M$4&lt;$D70+'Incremental Repayments'!$I$31),-PMT('Interest Rate'!$J$16,'Incremental Repayments'!$I$31,(HLOOKUP($D70,$E$4:$CZ$32,28,FALSE)*'Incremental Repayments'!$I$22)),0),0)</f>
        <v>0</v>
      </c>
      <c r="N70" s="783">
        <f>IF('Incremental Repayments'!$R$22="Debt",IF(AND(N$4&gt;=$D70,N$4&lt;$D70+'Incremental Repayments'!$I$31),-PMT('Interest Rate'!$J$16,'Incremental Repayments'!$I$31,(HLOOKUP($D70,$E$4:$CZ$32,28,FALSE)*'Incremental Repayments'!$I$22)),0),0)</f>
        <v>0</v>
      </c>
      <c r="O70" s="783">
        <f>IF('Incremental Repayments'!$R$22="Debt",IF(AND(O$4&gt;=$D70,O$4&lt;$D70+'Incremental Repayments'!$I$31),-PMT('Interest Rate'!$J$16,'Incremental Repayments'!$I$31,(HLOOKUP($D70,$E$4:$CZ$32,28,FALSE)*'Incremental Repayments'!$I$22)),0),0)</f>
        <v>0</v>
      </c>
      <c r="P70" s="783">
        <f>IF('Incremental Repayments'!$R$22="Debt",IF(AND(P$4&gt;=$D70,P$4&lt;$D70+'Incremental Repayments'!$I$31),-PMT('Interest Rate'!$J$16,'Incremental Repayments'!$I$31,(HLOOKUP($D70,$E$4:$CZ$32,28,FALSE)*'Incremental Repayments'!$I$22)),0),0)</f>
        <v>0</v>
      </c>
      <c r="Q70" s="783">
        <f>IF('Incremental Repayments'!$R$22="Debt",IF(AND(Q$4&gt;=$D70,Q$4&lt;$D70+'Incremental Repayments'!$I$31),-PMT('Interest Rate'!$J$16,'Incremental Repayments'!$I$31,(HLOOKUP($D70,$E$4:$CZ$32,28,FALSE)*'Incremental Repayments'!$I$22)),0),0)</f>
        <v>0</v>
      </c>
      <c r="R70" s="783">
        <f>IF('Incremental Repayments'!$R$22="Debt",IF(AND(R$4&gt;=$D70,R$4&lt;$D70+'Incremental Repayments'!$I$31),-PMT('Interest Rate'!$J$16,'Incremental Repayments'!$I$31,(HLOOKUP($D70,$E$4:$CZ$32,28,FALSE)*'Incremental Repayments'!$I$22)),0),0)</f>
        <v>0</v>
      </c>
      <c r="S70" s="783">
        <f>IF('Incremental Repayments'!$R$22="Debt",IF(AND(S$4&gt;=$D70,S$4&lt;$D70+'Incremental Repayments'!$I$31),-PMT('Interest Rate'!$J$16,'Incremental Repayments'!$I$31,(HLOOKUP($D70,$E$4:$CZ$32,28,FALSE)*'Incremental Repayments'!$I$22)),0),0)</f>
        <v>0</v>
      </c>
      <c r="T70" s="783">
        <f>IF('Incremental Repayments'!$R$22="Debt",IF(AND(T$4&gt;=$D70,T$4&lt;$D70+'Incremental Repayments'!$I$31),-PMT('Interest Rate'!$J$16,'Incremental Repayments'!$I$31,(HLOOKUP($D70,$E$4:$CZ$32,28,FALSE)*'Incremental Repayments'!$I$22)),0),0)</f>
        <v>0</v>
      </c>
      <c r="U70" s="783">
        <f>IF('Incremental Repayments'!$R$22="Debt",IF(AND(U$4&gt;=$D70,U$4&lt;$D70+'Incremental Repayments'!$I$31),-PMT('Interest Rate'!$J$16,'Incremental Repayments'!$I$31,(HLOOKUP($D70,$E$4:$CZ$32,28,FALSE)*'Incremental Repayments'!$I$22)),0),0)</f>
        <v>0</v>
      </c>
      <c r="V70" s="783">
        <f>IF('Incremental Repayments'!$R$22="Debt",IF(AND(V$4&gt;=$D70,V$4&lt;$D70+'Incremental Repayments'!$I$31),-PMT('Interest Rate'!$J$16,'Incremental Repayments'!$I$31,(HLOOKUP($D70,$E$4:$CZ$32,28,FALSE)*'Incremental Repayments'!$I$22)),0),0)</f>
        <v>0</v>
      </c>
      <c r="W70" s="783">
        <f>IF('Incremental Repayments'!$R$22="Debt",IF(AND(W$4&gt;=$D70,W$4&lt;$D70+'Incremental Repayments'!$I$31),-PMT('Interest Rate'!$J$16,'Incremental Repayments'!$I$31,(HLOOKUP($D70,$E$4:$CZ$32,28,FALSE)*'Incremental Repayments'!$I$22)),0),0)</f>
        <v>0</v>
      </c>
      <c r="X70" s="783">
        <f>IF('Incremental Repayments'!$R$22="Debt",IF(AND(X$4&gt;=$D70,X$4&lt;$D70+'Incremental Repayments'!$I$31),-PMT('Interest Rate'!$J$16,'Incremental Repayments'!$I$31,(HLOOKUP($D70,$E$4:$CZ$32,28,FALSE)*'Incremental Repayments'!$I$22)),0),0)</f>
        <v>0</v>
      </c>
      <c r="Y70" s="783">
        <f>IF('Incremental Repayments'!$R$22="Debt",IF(AND(Y$4&gt;=$D70,Y$4&lt;$D70+'Incremental Repayments'!$I$31),-PMT('Interest Rate'!$J$16,'Incremental Repayments'!$I$31,(HLOOKUP($D70,$E$4:$CZ$32,28,FALSE)*'Incremental Repayments'!$I$22)),0),0)</f>
        <v>0</v>
      </c>
      <c r="Z70" s="783">
        <f>IF('Incremental Repayments'!$R$22="Debt",IF(AND(Z$4&gt;=$D70,Z$4&lt;$D70+'Incremental Repayments'!$I$31),-PMT('Interest Rate'!$J$16,'Incremental Repayments'!$I$31,(HLOOKUP($D70,$E$4:$CZ$32,28,FALSE)*'Incremental Repayments'!$I$22)),0),0)</f>
        <v>0</v>
      </c>
      <c r="AA70" s="783">
        <f>IF('Incremental Repayments'!$R$22="Debt",IF(AND(AA$4&gt;=$D70,AA$4&lt;$D70+'Incremental Repayments'!$I$31),-PMT('Interest Rate'!$J$16,'Incremental Repayments'!$I$31,(HLOOKUP($D70,$E$4:$CZ$32,28,FALSE)*'Incremental Repayments'!$I$22)),0),0)</f>
        <v>0</v>
      </c>
      <c r="AB70" s="783">
        <f>IF('Incremental Repayments'!$R$22="Debt",IF(AND(AB$4&gt;=$D70,AB$4&lt;$D70+'Incremental Repayments'!$I$31),-PMT('Interest Rate'!$J$16,'Incremental Repayments'!$I$31,(HLOOKUP($D70,$E$4:$CZ$32,28,FALSE)*'Incremental Repayments'!$I$22)),0),0)</f>
        <v>0</v>
      </c>
      <c r="AC70" s="783">
        <f>IF('Incremental Repayments'!$R$22="Debt",IF(AND(AC$4&gt;=$D70,AC$4&lt;$D70+'Incremental Repayments'!$I$31),-PMT('Interest Rate'!$J$16,'Incremental Repayments'!$I$31,(HLOOKUP($D70,$E$4:$CZ$32,28,FALSE)*'Incremental Repayments'!$I$22)),0),0)</f>
        <v>0</v>
      </c>
      <c r="AD70" s="783">
        <f>IF('Incremental Repayments'!$R$22="Debt",IF(AND(AD$4&gt;=$D70,AD$4&lt;$D70+'Incremental Repayments'!$I$31),-PMT('Interest Rate'!$J$16,'Incremental Repayments'!$I$31,(HLOOKUP($D70,$E$4:$CZ$32,28,FALSE)*'Incremental Repayments'!$I$22)),0),0)</f>
        <v>0</v>
      </c>
      <c r="AE70" s="783">
        <f>IF('Incremental Repayments'!$R$22="Debt",IF(AND(AE$4&gt;=$D70,AE$4&lt;$D70+'Incremental Repayments'!$I$31),-PMT('Interest Rate'!$J$16,'Incremental Repayments'!$I$31,(HLOOKUP($D70,$E$4:$CZ$32,28,FALSE)*'Incremental Repayments'!$I$22)),0),0)</f>
        <v>0</v>
      </c>
      <c r="AF70" s="783">
        <f>IF('Incremental Repayments'!$R$22="Debt",IF(AND(AF$4&gt;=$D70,AF$4&lt;$D70+'Incremental Repayments'!$I$31),-PMT('Interest Rate'!$J$16,'Incremental Repayments'!$I$31,(HLOOKUP($D70,$E$4:$CZ$32,28,FALSE)*'Incremental Repayments'!$I$22)),0),0)</f>
        <v>0</v>
      </c>
      <c r="AG70" s="783">
        <f>IF('Incremental Repayments'!$R$22="Debt",IF(AND(AG$4&gt;=$D70,AG$4&lt;$D70+'Incremental Repayments'!$I$31),-PMT('Interest Rate'!$J$16,'Incremental Repayments'!$I$31,(HLOOKUP($D70,$E$4:$CZ$32,28,FALSE)*'Incremental Repayments'!$I$22)),0),0)</f>
        <v>0</v>
      </c>
      <c r="AH70" s="783">
        <f>IF('Incremental Repayments'!$R$22="Debt",IF(AND(AH$4&gt;=$D70,AH$4&lt;$D70+'Incremental Repayments'!$I$31),-PMT('Interest Rate'!$J$16,'Incremental Repayments'!$I$31,(HLOOKUP($D70,$E$4:$CZ$32,28,FALSE)*'Incremental Repayments'!$I$22)),0),0)</f>
        <v>0</v>
      </c>
      <c r="AI70" s="783">
        <f>IF('Incremental Repayments'!$R$22="Debt",IF(AND(AI$4&gt;=$D70,AI$4&lt;$D70+'Incremental Repayments'!$I$31),-PMT('Interest Rate'!$J$16,'Incremental Repayments'!$I$31,(HLOOKUP($D70,$E$4:$CZ$32,28,FALSE)*'Incremental Repayments'!$I$22)),0),0)</f>
        <v>0</v>
      </c>
      <c r="AJ70" s="783">
        <f>IF('Incremental Repayments'!$R$22="Debt",IF(AND(AJ$4&gt;=$D70,AJ$4&lt;$D70+'Incremental Repayments'!$I$31),-PMT('Interest Rate'!$J$16,'Incremental Repayments'!$I$31,(HLOOKUP($D70,$E$4:$CZ$32,28,FALSE)*'Incremental Repayments'!$I$22)),0),0)</f>
        <v>0</v>
      </c>
      <c r="AK70" s="783">
        <f>IF('Incremental Repayments'!$R$22="Debt",IF(AND(AK$4&gt;=$D70,AK$4&lt;$D70+'Incremental Repayments'!$I$31),-PMT('Interest Rate'!$J$16,'Incremental Repayments'!$I$31,(HLOOKUP($D70,$E$4:$CZ$32,28,FALSE)*'Incremental Repayments'!$I$22)),0),0)</f>
        <v>0</v>
      </c>
      <c r="AL70" s="783">
        <f>IF('Incremental Repayments'!$R$22="Debt",IF(AND(AL$4&gt;=$D70,AL$4&lt;$D70+'Incremental Repayments'!$I$31),-PMT('Interest Rate'!$J$16,'Incremental Repayments'!$I$31,(HLOOKUP($D70,$E$4:$CZ$32,28,FALSE)*'Incremental Repayments'!$I$22)),0),0)</f>
        <v>0</v>
      </c>
      <c r="AM70" s="783">
        <f>IF('Incremental Repayments'!$R$22="Debt",IF(AND(AM$4&gt;=$D70,AM$4&lt;$D70+'Incremental Repayments'!$I$31),-PMT('Interest Rate'!$J$16,'Incremental Repayments'!$I$31,(HLOOKUP($D70,$E$4:$CZ$32,28,FALSE)*'Incremental Repayments'!$I$22)),0),0)</f>
        <v>1230623.3395393551</v>
      </c>
      <c r="AN70" s="783">
        <f>IF('Incremental Repayments'!$R$22="Debt",IF(AND(AN$4&gt;=$D70,AN$4&lt;$D70+'Incremental Repayments'!$I$31),-PMT('Interest Rate'!$J$16,'Incremental Repayments'!$I$31,(HLOOKUP($D70,$E$4:$CZ$32,28,FALSE)*'Incremental Repayments'!$I$22)),0),0)</f>
        <v>1230623.3395393551</v>
      </c>
      <c r="AO70" s="783">
        <f>IF('Incremental Repayments'!$R$22="Debt",IF(AND(AO$4&gt;=$D70,AO$4&lt;$D70+'Incremental Repayments'!$I$31),-PMT('Interest Rate'!$J$16,'Incremental Repayments'!$I$31,(HLOOKUP($D70,$E$4:$CZ$32,28,FALSE)*'Incremental Repayments'!$I$22)),0),0)</f>
        <v>1230623.3395393551</v>
      </c>
      <c r="AP70" s="783">
        <f>IF('Incremental Repayments'!$R$22="Debt",IF(AND(AP$4&gt;=$D70,AP$4&lt;$D70+'Incremental Repayments'!$I$31),-PMT('Interest Rate'!$J$16,'Incremental Repayments'!$I$31,(HLOOKUP($D70,$E$4:$CZ$32,28,FALSE)*'Incremental Repayments'!$I$22)),0),0)</f>
        <v>1230623.3395393551</v>
      </c>
      <c r="AQ70" s="783">
        <f>IF('Incremental Repayments'!$R$22="Debt",IF(AND(AQ$4&gt;=$D70,AQ$4&lt;$D70+'Incremental Repayments'!$I$31),-PMT('Interest Rate'!$J$16,'Incremental Repayments'!$I$31,(HLOOKUP($D70,$E$4:$CZ$32,28,FALSE)*'Incremental Repayments'!$I$22)),0),0)</f>
        <v>1230623.3395393551</v>
      </c>
      <c r="AR70" s="783">
        <f>IF('Incremental Repayments'!$R$22="Debt",IF(AND(AR$4&gt;=$D70,AR$4&lt;$D70+'Incremental Repayments'!$I$31),-PMT('Interest Rate'!$J$16,'Incremental Repayments'!$I$31,(HLOOKUP($D70,$E$4:$CZ$32,28,FALSE)*'Incremental Repayments'!$I$22)),0),0)</f>
        <v>1230623.3395393551</v>
      </c>
      <c r="AS70" s="783">
        <f>IF('Incremental Repayments'!$R$22="Debt",IF(AND(AS$4&gt;=$D70,AS$4&lt;$D70+'Incremental Repayments'!$I$31),-PMT('Interest Rate'!$J$16,'Incremental Repayments'!$I$31,(HLOOKUP($D70,$E$4:$CZ$32,28,FALSE)*'Incremental Repayments'!$I$22)),0),0)</f>
        <v>1230623.3395393551</v>
      </c>
      <c r="AT70" s="783">
        <f>IF('Incremental Repayments'!$R$22="Debt",IF(AND(AT$4&gt;=$D70,AT$4&lt;$D70+'Incremental Repayments'!$I$31),-PMT('Interest Rate'!$J$16,'Incremental Repayments'!$I$31,(HLOOKUP($D70,$E$4:$CZ$32,28,FALSE)*'Incremental Repayments'!$I$22)),0),0)</f>
        <v>1230623.3395393551</v>
      </c>
      <c r="AU70" s="783">
        <f>IF('Incremental Repayments'!$R$22="Debt",IF(AND(AU$4&gt;=$D70,AU$4&lt;$D70+'Incremental Repayments'!$I$31),-PMT('Interest Rate'!$J$16,'Incremental Repayments'!$I$31,(HLOOKUP($D70,$E$4:$CZ$32,28,FALSE)*'Incremental Repayments'!$I$22)),0),0)</f>
        <v>1230623.3395393551</v>
      </c>
      <c r="AV70" s="783">
        <f>IF('Incremental Repayments'!$R$22="Debt",IF(AND(AV$4&gt;=$D70,AV$4&lt;$D70+'Incremental Repayments'!$I$31),-PMT('Interest Rate'!$J$16,'Incremental Repayments'!$I$31,(HLOOKUP($D70,$E$4:$CZ$32,28,FALSE)*'Incremental Repayments'!$I$22)),0),0)</f>
        <v>1230623.3395393551</v>
      </c>
      <c r="AW70" s="783">
        <f>IF('Incremental Repayments'!$R$22="Debt",IF(AND(AW$4&gt;=$D70,AW$4&lt;$D70+'Incremental Repayments'!$I$31),-PMT('Interest Rate'!$J$16,'Incremental Repayments'!$I$31,(HLOOKUP($D70,$E$4:$CZ$32,28,FALSE)*'Incremental Repayments'!$I$22)),0),0)</f>
        <v>1230623.3395393551</v>
      </c>
      <c r="AX70" s="783">
        <f>IF('Incremental Repayments'!$R$22="Debt",IF(AND(AX$4&gt;=$D70,AX$4&lt;$D70+'Incremental Repayments'!$I$31),-PMT('Interest Rate'!$J$16,'Incremental Repayments'!$I$31,(HLOOKUP($D70,$E$4:$CZ$32,28,FALSE)*'Incremental Repayments'!$I$22)),0),0)</f>
        <v>1230623.3395393551</v>
      </c>
      <c r="AY70" s="783">
        <f>IF('Incremental Repayments'!$R$22="Debt",IF(AND(AY$4&gt;=$D70,AY$4&lt;$D70+'Incremental Repayments'!$I$31),-PMT('Interest Rate'!$J$16,'Incremental Repayments'!$I$31,(HLOOKUP($D70,$E$4:$CZ$32,28,FALSE)*'Incremental Repayments'!$I$22)),0),0)</f>
        <v>1230623.3395393551</v>
      </c>
      <c r="AZ70" s="783">
        <f>IF('Incremental Repayments'!$R$22="Debt",IF(AND(AZ$4&gt;=$D70,AZ$4&lt;$D70+'Incremental Repayments'!$I$31),-PMT('Interest Rate'!$J$16,'Incremental Repayments'!$I$31,(HLOOKUP($D70,$E$4:$CZ$32,28,FALSE)*'Incremental Repayments'!$I$22)),0),0)</f>
        <v>1230623.3395393551</v>
      </c>
      <c r="BA70" s="783">
        <f>IF('Incremental Repayments'!$R$22="Debt",IF(AND(BA$4&gt;=$D70,BA$4&lt;$D70+'Incremental Repayments'!$I$31),-PMT('Interest Rate'!$J$16,'Incremental Repayments'!$I$31,(HLOOKUP($D70,$E$4:$CZ$32,28,FALSE)*'Incremental Repayments'!$I$22)),0),0)</f>
        <v>1230623.3395393551</v>
      </c>
      <c r="BB70" s="783">
        <f>IF('Incremental Repayments'!$R$22="Debt",IF(AND(BB$4&gt;=$D70,BB$4&lt;$D70+'Incremental Repayments'!$I$31),-PMT('Interest Rate'!$J$16,'Incremental Repayments'!$I$31,(HLOOKUP($D70,$E$4:$CZ$32,28,FALSE)*'Incremental Repayments'!$I$22)),0),0)</f>
        <v>1230623.3395393551</v>
      </c>
      <c r="BC70" s="783">
        <f>IF('Incremental Repayments'!$R$22="Debt",IF(AND(BC$4&gt;=$D70,BC$4&lt;$D70+'Incremental Repayments'!$I$31),-PMT('Interest Rate'!$J$16,'Incremental Repayments'!$I$31,(HLOOKUP($D70,$E$4:$CZ$32,28,FALSE)*'Incremental Repayments'!$I$22)),0),0)</f>
        <v>1230623.3395393551</v>
      </c>
      <c r="BD70" s="783">
        <f>IF('Incremental Repayments'!$R$22="Debt",IF(AND(BD$4&gt;=$D70,BD$4&lt;$D70+'Incremental Repayments'!$I$31),-PMT('Interest Rate'!$J$16,'Incremental Repayments'!$I$31,(HLOOKUP($D70,$E$4:$CZ$32,28,FALSE)*'Incremental Repayments'!$I$22)),0),0)</f>
        <v>1230623.3395393551</v>
      </c>
      <c r="BE70" s="783">
        <f>IF('Incremental Repayments'!$R$22="Debt",IF(AND(BE$4&gt;=$D70,BE$4&lt;$D70+'Incremental Repayments'!$I$31),-PMT('Interest Rate'!$J$16,'Incremental Repayments'!$I$31,(HLOOKUP($D70,$E$4:$CZ$32,28,FALSE)*'Incremental Repayments'!$I$22)),0),0)</f>
        <v>1230623.3395393551</v>
      </c>
      <c r="BF70" s="783">
        <f>IF('Incremental Repayments'!$R$22="Debt",IF(AND(BF$4&gt;=$D70,BF$4&lt;$D70+'Incremental Repayments'!$I$31),-PMT('Interest Rate'!$J$16,'Incremental Repayments'!$I$31,(HLOOKUP($D70,$E$4:$CZ$32,28,FALSE)*'Incremental Repayments'!$I$22)),0),0)</f>
        <v>1230623.3395393551</v>
      </c>
      <c r="BG70" s="783">
        <f>IF('Incremental Repayments'!$R$22="Debt",IF(AND(BG$4&gt;=$D70,BG$4&lt;$D70+'Incremental Repayments'!$I$31),-PMT('Interest Rate'!$J$16,'Incremental Repayments'!$I$31,(HLOOKUP($D70,$E$4:$CZ$32,28,FALSE)*'Incremental Repayments'!$I$22)),0),0)</f>
        <v>1230623.3395393551</v>
      </c>
      <c r="BH70" s="783">
        <f>IF('Incremental Repayments'!$R$22="Debt",IF(AND(BH$4&gt;=$D70,BH$4&lt;$D70+'Incremental Repayments'!$I$31),-PMT('Interest Rate'!$J$16,'Incremental Repayments'!$I$31,(HLOOKUP($D70,$E$4:$CZ$32,28,FALSE)*'Incremental Repayments'!$I$22)),0),0)</f>
        <v>1230623.3395393551</v>
      </c>
      <c r="BI70" s="783">
        <f>IF('Incremental Repayments'!$R$22="Debt",IF(AND(BI$4&gt;=$D70,BI$4&lt;$D70+'Incremental Repayments'!$I$31),-PMT('Interest Rate'!$J$16,'Incremental Repayments'!$I$31,(HLOOKUP($D70,$E$4:$CZ$32,28,FALSE)*'Incremental Repayments'!$I$22)),0),0)</f>
        <v>1230623.3395393551</v>
      </c>
      <c r="BJ70" s="783">
        <f>IF('Incremental Repayments'!$R$22="Debt",IF(AND(BJ$4&gt;=$D70,BJ$4&lt;$D70+'Incremental Repayments'!$I$31),-PMT('Interest Rate'!$J$16,'Incremental Repayments'!$I$31,(HLOOKUP($D70,$E$4:$CZ$32,28,FALSE)*'Incremental Repayments'!$I$22)),0),0)</f>
        <v>1230623.3395393551</v>
      </c>
      <c r="BK70" s="783">
        <f>IF('Incremental Repayments'!$R$22="Debt",IF(AND(BK$4&gt;=$D70,BK$4&lt;$D70+'Incremental Repayments'!$I$31),-PMT('Interest Rate'!$J$16,'Incremental Repayments'!$I$31,(HLOOKUP($D70,$E$4:$CZ$32,28,FALSE)*'Incremental Repayments'!$I$22)),0),0)</f>
        <v>1230623.3395393551</v>
      </c>
      <c r="BL70" s="783">
        <f>IF('Incremental Repayments'!$R$22="Debt",IF(AND(BL$4&gt;=$D70,BL$4&lt;$D70+'Incremental Repayments'!$I$31),-PMT('Interest Rate'!$J$16,'Incremental Repayments'!$I$31,(HLOOKUP($D70,$E$4:$CZ$32,28,FALSE)*'Incremental Repayments'!$I$22)),0),0)</f>
        <v>1230623.3395393551</v>
      </c>
      <c r="BM70" s="783">
        <f>IF('Incremental Repayments'!$R$22="Debt",IF(AND(BM$4&gt;=$D70,BM$4&lt;$D70+'Incremental Repayments'!$I$31),-PMT('Interest Rate'!$J$16,'Incremental Repayments'!$I$31,(HLOOKUP($D70,$E$4:$CZ$32,28,FALSE)*'Incremental Repayments'!$I$22)),0),0)</f>
        <v>1230623.3395393551</v>
      </c>
      <c r="BN70" s="783">
        <f>IF('Incremental Repayments'!$R$22="Debt",IF(AND(BN$4&gt;=$D70,BN$4&lt;$D70+'Incremental Repayments'!$I$31),-PMT('Interest Rate'!$J$16,'Incremental Repayments'!$I$31,(HLOOKUP($D70,$E$4:$CZ$32,28,FALSE)*'Incremental Repayments'!$I$22)),0),0)</f>
        <v>1230623.3395393551</v>
      </c>
      <c r="BO70" s="783">
        <f>IF('Incremental Repayments'!$R$22="Debt",IF(AND(BO$4&gt;=$D70,BO$4&lt;$D70+'Incremental Repayments'!$I$31),-PMT('Interest Rate'!$J$16,'Incremental Repayments'!$I$31,(HLOOKUP($D70,$E$4:$CZ$32,28,FALSE)*'Incremental Repayments'!$I$22)),0),0)</f>
        <v>1230623.3395393551</v>
      </c>
      <c r="BP70" s="783">
        <f>IF('Incremental Repayments'!$R$22="Debt",IF(AND(BP$4&gt;=$D70,BP$4&lt;$D70+'Incremental Repayments'!$I$31),-PMT('Interest Rate'!$J$16,'Incremental Repayments'!$I$31,(HLOOKUP($D70,$E$4:$CZ$32,28,FALSE)*'Incremental Repayments'!$I$22)),0),0)</f>
        <v>1230623.3395393551</v>
      </c>
      <c r="BQ70" s="783">
        <f>IF('Incremental Repayments'!$R$22="Debt",IF(AND(BQ$4&gt;=$D70,BQ$4&lt;$D70+'Incremental Repayments'!$I$31),-PMT('Interest Rate'!$J$16,'Incremental Repayments'!$I$31,(HLOOKUP($D70,$E$4:$CZ$32,28,FALSE)*'Incremental Repayments'!$I$22)),0),0)</f>
        <v>0</v>
      </c>
      <c r="BR70" s="783">
        <f>IF('Incremental Repayments'!$R$22="Debt",IF(AND(BR$4&gt;=$D70,BR$4&lt;$D70+'Incremental Repayments'!$I$31),-PMT('Interest Rate'!$J$16,'Incremental Repayments'!$I$31,(HLOOKUP($D70,$E$4:$CZ$32,28,FALSE)*'Incremental Repayments'!$I$22)),0),0)</f>
        <v>0</v>
      </c>
      <c r="BS70" s="783">
        <f>IF('Incremental Repayments'!$R$22="Debt",IF(AND(BS$4&gt;=$D70,BS$4&lt;$D70+'Incremental Repayments'!$I$31),-PMT('Interest Rate'!$J$16,'Incremental Repayments'!$I$31,(HLOOKUP($D70,$E$4:$CZ$32,28,FALSE)*'Incremental Repayments'!$I$22)),0),0)</f>
        <v>0</v>
      </c>
      <c r="BT70" s="783">
        <f>IF('Incremental Repayments'!$R$22="Debt",IF(AND(BT$4&gt;=$D70,BT$4&lt;$D70+'Incremental Repayments'!$I$31),-PMT('Interest Rate'!$J$16,'Incremental Repayments'!$I$31,(HLOOKUP($D70,$E$4:$CZ$32,28,FALSE)*'Incremental Repayments'!$I$22)),0),0)</f>
        <v>0</v>
      </c>
      <c r="BU70" s="783">
        <f>IF('Incremental Repayments'!$R$22="Debt",IF(AND(BU$4&gt;=$D70,BU$4&lt;$D70+'Incremental Repayments'!$I$31),-PMT('Interest Rate'!$J$16,'Incremental Repayments'!$I$31,(HLOOKUP($D70,$E$4:$CZ$32,28,FALSE)*'Incremental Repayments'!$I$22)),0),0)</f>
        <v>0</v>
      </c>
      <c r="BV70" s="783">
        <f>IF('Incremental Repayments'!$R$22="Debt",IF(AND(BV$4&gt;=$D70,BV$4&lt;$D70+'Incremental Repayments'!$I$31),-PMT('Interest Rate'!$J$16,'Incremental Repayments'!$I$31,(HLOOKUP($D70,$E$4:$CZ$32,28,FALSE)*'Incremental Repayments'!$I$22)),0),0)</f>
        <v>0</v>
      </c>
      <c r="BW70" s="783">
        <f>IF('Incremental Repayments'!$R$22="Debt",IF(AND(BW$4&gt;=$D70,BW$4&lt;$D70+'Incremental Repayments'!$I$31),-PMT('Interest Rate'!$J$16,'Incremental Repayments'!$I$31,(HLOOKUP($D70,$E$4:$CZ$32,28,FALSE)*'Incremental Repayments'!$I$22)),0),0)</f>
        <v>0</v>
      </c>
      <c r="BX70" s="783">
        <f>IF('Incremental Repayments'!$R$22="Debt",IF(AND(BX$4&gt;=$D70,BX$4&lt;$D70+'Incremental Repayments'!$I$31),-PMT('Interest Rate'!$J$16,'Incremental Repayments'!$I$31,(HLOOKUP($D70,$E$4:$CZ$32,28,FALSE)*'Incremental Repayments'!$I$22)),0),0)</f>
        <v>0</v>
      </c>
      <c r="BY70" s="783">
        <f>IF('Incremental Repayments'!$R$22="Debt",IF(AND(BY$4&gt;=$D70,BY$4&lt;$D70+'Incremental Repayments'!$I$31),-PMT('Interest Rate'!$J$16,'Incremental Repayments'!$I$31,(HLOOKUP($D70,$E$4:$CZ$32,28,FALSE)*'Incremental Repayments'!$I$22)),0),0)</f>
        <v>0</v>
      </c>
      <c r="BZ70" s="783">
        <f>IF('Incremental Repayments'!$R$22="Debt",IF(AND(BZ$4&gt;=$D70,BZ$4&lt;$D70+'Incremental Repayments'!$I$31),-PMT('Interest Rate'!$J$16,'Incremental Repayments'!$I$31,(HLOOKUP($D70,$E$4:$CZ$32,28,FALSE)*'Incremental Repayments'!$I$22)),0),0)</f>
        <v>0</v>
      </c>
      <c r="CA70" s="783">
        <f>IF('Incremental Repayments'!$R$22="Debt",IF(AND(CA$4&gt;=$D70,CA$4&lt;$D70+'Incremental Repayments'!$I$31),-PMT('Interest Rate'!$J$16,'Incremental Repayments'!$I$31,(HLOOKUP($D70,$E$4:$CZ$32,28,FALSE)*'Incremental Repayments'!$I$22)),0),0)</f>
        <v>0</v>
      </c>
      <c r="CB70" s="783">
        <f>IF('Incremental Repayments'!$R$22="Debt",IF(AND(CB$4&gt;=$D70,CB$4&lt;$D70+'Incremental Repayments'!$I$31),-PMT('Interest Rate'!$J$16,'Incremental Repayments'!$I$31,(HLOOKUP($D70,$E$4:$CZ$32,28,FALSE)*'Incremental Repayments'!$I$22)),0),0)</f>
        <v>0</v>
      </c>
      <c r="CC70" s="783">
        <f>IF('Incremental Repayments'!$R$22="Debt",IF(AND(CC$4&gt;=$D70,CC$4&lt;$D70+'Incremental Repayments'!$I$31),-PMT('Interest Rate'!$J$16,'Incremental Repayments'!$I$31,(HLOOKUP($D70,$E$4:$CZ$32,28,FALSE)*'Incremental Repayments'!$I$22)),0),0)</f>
        <v>0</v>
      </c>
      <c r="CD70" s="783">
        <f>IF('Incremental Repayments'!$R$22="Debt",IF(AND(CD$4&gt;=$D70,CD$4&lt;$D70+'Incremental Repayments'!$I$31),-PMT('Interest Rate'!$J$16,'Incremental Repayments'!$I$31,(HLOOKUP($D70,$E$4:$CZ$32,28,FALSE)*'Incremental Repayments'!$I$22)),0),0)</f>
        <v>0</v>
      </c>
      <c r="CE70" s="783">
        <f>IF('Incremental Repayments'!$R$22="Debt",IF(AND(CE$4&gt;=$D70,CE$4&lt;$D70+'Incremental Repayments'!$I$31),-PMT('Interest Rate'!$J$16,'Incremental Repayments'!$I$31,(HLOOKUP($D70,$E$4:$CZ$32,28,FALSE)*'Incremental Repayments'!$I$22)),0),0)</f>
        <v>0</v>
      </c>
      <c r="CF70" s="783">
        <f>IF('Incremental Repayments'!$R$22="Debt",IF(AND(CF$4&gt;=$D70,CF$4&lt;$D70+'Incremental Repayments'!$I$31),-PMT('Interest Rate'!$J$16,'Incremental Repayments'!$I$31,(HLOOKUP($D70,$E$4:$CZ$32,28,FALSE)*'Incremental Repayments'!$I$22)),0),0)</f>
        <v>0</v>
      </c>
      <c r="CG70" s="783">
        <f>IF('Incremental Repayments'!$R$22="Debt",IF(AND(CG$4&gt;=$D70,CG$4&lt;$D70+'Incremental Repayments'!$I$31),-PMT('Interest Rate'!$J$16,'Incremental Repayments'!$I$31,(HLOOKUP($D70,$E$4:$CZ$32,28,FALSE)*'Incremental Repayments'!$I$22)),0),0)</f>
        <v>0</v>
      </c>
      <c r="CH70" s="783">
        <f>IF('Incremental Repayments'!$R$22="Debt",IF(AND(CH$4&gt;=$D70,CH$4&lt;$D70+'Incremental Repayments'!$I$31),-PMT('Interest Rate'!$J$16,'Incremental Repayments'!$I$31,(HLOOKUP($D70,$E$4:$CZ$32,28,FALSE)*'Incremental Repayments'!$I$22)),0),0)</f>
        <v>0</v>
      </c>
      <c r="CI70" s="783">
        <f>IF('Incremental Repayments'!$R$22="Debt",IF(AND(CI$4&gt;=$D70,CI$4&lt;$D70+'Incremental Repayments'!$I$31),-PMT('Interest Rate'!$J$16,'Incremental Repayments'!$I$31,(HLOOKUP($D70,$E$4:$CZ$32,28,FALSE)*'Incremental Repayments'!$I$22)),0),0)</f>
        <v>0</v>
      </c>
      <c r="CJ70" s="783">
        <f>IF('Incremental Repayments'!$R$22="Debt",IF(AND(CJ$4&gt;=$D70,CJ$4&lt;$D70+'Incremental Repayments'!$I$31),-PMT('Interest Rate'!$J$16,'Incremental Repayments'!$I$31,(HLOOKUP($D70,$E$4:$CZ$32,28,FALSE)*'Incremental Repayments'!$I$22)),0),0)</f>
        <v>0</v>
      </c>
      <c r="CK70" s="783">
        <f>IF('Incremental Repayments'!$R$22="Debt",IF(AND(CK$4&gt;=$D70,CK$4&lt;$D70+'Incremental Repayments'!$I$31),-PMT('Interest Rate'!$J$16,'Incremental Repayments'!$I$31,(HLOOKUP($D70,$E$4:$CZ$32,28,FALSE)*'Incremental Repayments'!$I$22)),0),0)</f>
        <v>0</v>
      </c>
      <c r="CL70" s="783">
        <f>IF('Incremental Repayments'!$R$22="Debt",IF(AND(CL$4&gt;=$D70,CL$4&lt;$D70+'Incremental Repayments'!$I$31),-PMT('Interest Rate'!$J$16,'Incremental Repayments'!$I$31,(HLOOKUP($D70,$E$4:$CZ$32,28,FALSE)*'Incremental Repayments'!$I$22)),0),0)</f>
        <v>0</v>
      </c>
      <c r="CM70" s="783">
        <f>IF('Incremental Repayments'!$R$22="Debt",IF(AND(CM$4&gt;=$D70,CM$4&lt;$D70+'Incremental Repayments'!$I$31),-PMT('Interest Rate'!$J$16,'Incremental Repayments'!$I$31,(HLOOKUP($D70,$E$4:$CZ$32,28,FALSE)*'Incremental Repayments'!$I$22)),0),0)</f>
        <v>0</v>
      </c>
      <c r="CN70" s="783">
        <f>IF('Incremental Repayments'!$R$22="Debt",IF(AND(CN$4&gt;=$D70,CN$4&lt;$D70+'Incremental Repayments'!$I$31),-PMT('Interest Rate'!$J$16,'Incremental Repayments'!$I$31,(HLOOKUP($D70,$E$4:$CZ$32,28,FALSE)*'Incremental Repayments'!$I$22)),0),0)</f>
        <v>0</v>
      </c>
      <c r="CO70" s="783">
        <f>IF('Incremental Repayments'!$R$22="Debt",IF(AND(CO$4&gt;=$D70,CO$4&lt;$D70+'Incremental Repayments'!$I$31),-PMT('Interest Rate'!$J$16,'Incremental Repayments'!$I$31,(HLOOKUP($D70,$E$4:$CZ$32,28,FALSE)*'Incremental Repayments'!$I$22)),0),0)</f>
        <v>0</v>
      </c>
      <c r="CP70" s="783">
        <f>IF('Incremental Repayments'!$R$22="Debt",IF(AND(CP$4&gt;=$D70,CP$4&lt;$D70+'Incremental Repayments'!$I$31),-PMT('Interest Rate'!$J$16,'Incremental Repayments'!$I$31,(HLOOKUP($D70,$E$4:$CZ$32,28,FALSE)*'Incremental Repayments'!$I$22)),0),0)</f>
        <v>0</v>
      </c>
      <c r="CQ70" s="783">
        <f>IF('Incremental Repayments'!$R$22="Debt",IF(AND(CQ$4&gt;=$D70,CQ$4&lt;$D70+'Incremental Repayments'!$I$31),-PMT('Interest Rate'!$J$16,'Incremental Repayments'!$I$31,(HLOOKUP($D70,$E$4:$CZ$32,28,FALSE)*'Incremental Repayments'!$I$22)),0),0)</f>
        <v>0</v>
      </c>
      <c r="CR70" s="783">
        <f>IF('Incremental Repayments'!$R$22="Debt",IF(AND(CR$4&gt;=$D70,CR$4&lt;$D70+'Incremental Repayments'!$I$31),-PMT('Interest Rate'!$J$16,'Incremental Repayments'!$I$31,(HLOOKUP($D70,$E$4:$CZ$32,28,FALSE)*'Incremental Repayments'!$I$22)),0),0)</f>
        <v>0</v>
      </c>
      <c r="CS70" s="783">
        <f>IF('Incremental Repayments'!$R$22="Debt",IF(AND(CS$4&gt;=$D70,CS$4&lt;$D70+'Incremental Repayments'!$I$31),-PMT('Interest Rate'!$J$16,'Incremental Repayments'!$I$31,(HLOOKUP($D70,$E$4:$CZ$32,28,FALSE)*'Incremental Repayments'!$I$22)),0),0)</f>
        <v>0</v>
      </c>
      <c r="CT70" s="783">
        <f>IF('Incremental Repayments'!$R$22="Debt",IF(AND(CT$4&gt;=$D70,CT$4&lt;$D70+'Incremental Repayments'!$I$31),-PMT('Interest Rate'!$J$16,'Incremental Repayments'!$I$31,(HLOOKUP($D70,$E$4:$CZ$32,28,FALSE)*'Incremental Repayments'!$I$22)),0),0)</f>
        <v>0</v>
      </c>
      <c r="CU70" s="783">
        <f>IF('Incremental Repayments'!$R$22="Debt",IF(AND(CU$4&gt;=$D70,CU$4&lt;$D70+'Incremental Repayments'!$I$31),-PMT('Interest Rate'!$J$16,'Incremental Repayments'!$I$31,(HLOOKUP($D70,$E$4:$CZ$32,28,FALSE)*'Incremental Repayments'!$I$22)),0),0)</f>
        <v>0</v>
      </c>
      <c r="CV70" s="783">
        <f>IF('Incremental Repayments'!$R$22="Debt",IF(AND(CV$4&gt;=$D70,CV$4&lt;$D70+'Incremental Repayments'!$I$31),-PMT('Interest Rate'!$J$16,'Incremental Repayments'!$I$31,(HLOOKUP($D70,$E$4:$CZ$32,28,FALSE)*'Incremental Repayments'!$I$22)),0),0)</f>
        <v>0</v>
      </c>
      <c r="CW70" s="783">
        <f>IF('Incremental Repayments'!$R$22="Debt",IF(AND(CW$4&gt;=$D70,CW$4&lt;$D70+'Incremental Repayments'!$I$31),-PMT('Interest Rate'!$J$16,'Incremental Repayments'!$I$31,(HLOOKUP($D70,$E$4:$CZ$32,28,FALSE)*'Incremental Repayments'!$I$22)),0),0)</f>
        <v>0</v>
      </c>
      <c r="CX70" s="783">
        <f>IF('Incremental Repayments'!$R$22="Debt",IF(AND(CX$4&gt;=$D70,CX$4&lt;$D70+'Incremental Repayments'!$I$31),-PMT('Interest Rate'!$J$16,'Incremental Repayments'!$I$31,(HLOOKUP($D70,$E$4:$CZ$32,28,FALSE)*'Incremental Repayments'!$I$22)),0),0)</f>
        <v>0</v>
      </c>
      <c r="CY70" s="783">
        <f>IF('Incremental Repayments'!$R$22="Debt",IF(AND(CY$4&gt;=$D70,CY$4&lt;$D70+'Incremental Repayments'!$I$31),-PMT('Interest Rate'!$J$16,'Incremental Repayments'!$I$31,(HLOOKUP($D70,$E$4:$CZ$32,28,FALSE)*'Incremental Repayments'!$I$22)),0),0)</f>
        <v>0</v>
      </c>
      <c r="CZ70" s="783">
        <f>IF('Incremental Repayments'!$R$22="Debt",IF(AND(CZ$4&gt;=$D70,CZ$4&lt;$D70+'Incremental Repayments'!$I$31),-PMT('Interest Rate'!$J$16,'Incremental Repayments'!$I$31,(HLOOKUP($D70,$E$4:$CZ$32,28,FALSE)*'Incremental Repayments'!$I$22)),0),0)</f>
        <v>0</v>
      </c>
    </row>
    <row r="71" spans="2:104" x14ac:dyDescent="0.25">
      <c r="B71" s="480" t="str">
        <f>CONCATENATE("Series ",D71,"A Bonds (at ",'Interest Rate'!$J$16*100,"% Interest)")</f>
        <v>Series 2049A Bonds (at 4.5% Interest)</v>
      </c>
      <c r="C71" s="480"/>
      <c r="D71" s="492">
        <f t="shared" si="47"/>
        <v>2049</v>
      </c>
      <c r="E71" s="783">
        <f>IF('Incremental Repayments'!$R$22="Debt",IF(AND(E$4&gt;=$D71,E$4&lt;$D71+'Incremental Repayments'!$I$31),-PMT('Interest Rate'!$J$16,'Incremental Repayments'!$I$31,(HLOOKUP($D71,$E$4:$CZ$32,28,FALSE)*'Incremental Repayments'!$I$22)),0),0)</f>
        <v>0</v>
      </c>
      <c r="F71" s="783">
        <f>IF('Incremental Repayments'!$R$22="Debt",IF(AND(F$4&gt;=$D71,F$4&lt;$D71+'Incremental Repayments'!$I$31),-PMT('Interest Rate'!$J$16,'Incremental Repayments'!$I$31,(HLOOKUP($D71,$E$4:$CZ$32,28,FALSE)*'Incremental Repayments'!$I$22)),0),0)</f>
        <v>0</v>
      </c>
      <c r="G71" s="783">
        <f>IF('Incremental Repayments'!$R$22="Debt",IF(AND(G$4&gt;=$D71,G$4&lt;$D71+'Incremental Repayments'!$I$31),-PMT('Interest Rate'!$J$16,'Incremental Repayments'!$I$31,(HLOOKUP($D71,$E$4:$CZ$32,28,FALSE)*'Incremental Repayments'!$I$22)),0),0)</f>
        <v>0</v>
      </c>
      <c r="H71" s="783">
        <f>IF('Incremental Repayments'!$R$22="Debt",IF(AND(H$4&gt;=$D71,H$4&lt;$D71+'Incremental Repayments'!$I$31),-PMT('Interest Rate'!$J$16,'Incremental Repayments'!$I$31,(HLOOKUP($D71,$E$4:$CZ$32,28,FALSE)*'Incremental Repayments'!$I$22)),0),0)</f>
        <v>0</v>
      </c>
      <c r="I71" s="783">
        <f>IF('Incremental Repayments'!$R$22="Debt",IF(AND(I$4&gt;=$D71,I$4&lt;$D71+'Incremental Repayments'!$I$31),-PMT('Interest Rate'!$J$16,'Incremental Repayments'!$I$31,(HLOOKUP($D71,$E$4:$CZ$32,28,FALSE)*'Incremental Repayments'!$I$22)),0),0)</f>
        <v>0</v>
      </c>
      <c r="J71" s="783">
        <f>IF('Incremental Repayments'!$R$22="Debt",IF(AND(J$4&gt;=$D71,J$4&lt;$D71+'Incremental Repayments'!$I$31),-PMT('Interest Rate'!$J$16,'Incremental Repayments'!$I$31,(HLOOKUP($D71,$E$4:$CZ$32,28,FALSE)*'Incremental Repayments'!$I$22)),0),0)</f>
        <v>0</v>
      </c>
      <c r="K71" s="783">
        <f>IF('Incremental Repayments'!$R$22="Debt",IF(AND(K$4&gt;=$D71,K$4&lt;$D71+'Incremental Repayments'!$I$31),-PMT('Interest Rate'!$J$16,'Incremental Repayments'!$I$31,(HLOOKUP($D71,$E$4:$CZ$32,28,FALSE)*'Incremental Repayments'!$I$22)),0),0)</f>
        <v>0</v>
      </c>
      <c r="L71" s="783">
        <f>IF('Incremental Repayments'!$R$22="Debt",IF(AND(L$4&gt;=$D71,L$4&lt;$D71+'Incremental Repayments'!$I$31),-PMT('Interest Rate'!$J$16,'Incremental Repayments'!$I$31,(HLOOKUP($D71,$E$4:$CZ$32,28,FALSE)*'Incremental Repayments'!$I$22)),0),0)</f>
        <v>0</v>
      </c>
      <c r="M71" s="783">
        <f>IF('Incremental Repayments'!$R$22="Debt",IF(AND(M$4&gt;=$D71,M$4&lt;$D71+'Incremental Repayments'!$I$31),-PMT('Interest Rate'!$J$16,'Incremental Repayments'!$I$31,(HLOOKUP($D71,$E$4:$CZ$32,28,FALSE)*'Incremental Repayments'!$I$22)),0),0)</f>
        <v>0</v>
      </c>
      <c r="N71" s="783">
        <f>IF('Incremental Repayments'!$R$22="Debt",IF(AND(N$4&gt;=$D71,N$4&lt;$D71+'Incremental Repayments'!$I$31),-PMT('Interest Rate'!$J$16,'Incremental Repayments'!$I$31,(HLOOKUP($D71,$E$4:$CZ$32,28,FALSE)*'Incremental Repayments'!$I$22)),0),0)</f>
        <v>0</v>
      </c>
      <c r="O71" s="783">
        <f>IF('Incremental Repayments'!$R$22="Debt",IF(AND(O$4&gt;=$D71,O$4&lt;$D71+'Incremental Repayments'!$I$31),-PMT('Interest Rate'!$J$16,'Incremental Repayments'!$I$31,(HLOOKUP($D71,$E$4:$CZ$32,28,FALSE)*'Incremental Repayments'!$I$22)),0),0)</f>
        <v>0</v>
      </c>
      <c r="P71" s="783">
        <f>IF('Incremental Repayments'!$R$22="Debt",IF(AND(P$4&gt;=$D71,P$4&lt;$D71+'Incremental Repayments'!$I$31),-PMT('Interest Rate'!$J$16,'Incremental Repayments'!$I$31,(HLOOKUP($D71,$E$4:$CZ$32,28,FALSE)*'Incremental Repayments'!$I$22)),0),0)</f>
        <v>0</v>
      </c>
      <c r="Q71" s="783">
        <f>IF('Incremental Repayments'!$R$22="Debt",IF(AND(Q$4&gt;=$D71,Q$4&lt;$D71+'Incremental Repayments'!$I$31),-PMT('Interest Rate'!$J$16,'Incremental Repayments'!$I$31,(HLOOKUP($D71,$E$4:$CZ$32,28,FALSE)*'Incremental Repayments'!$I$22)),0),0)</f>
        <v>0</v>
      </c>
      <c r="R71" s="783">
        <f>IF('Incremental Repayments'!$R$22="Debt",IF(AND(R$4&gt;=$D71,R$4&lt;$D71+'Incremental Repayments'!$I$31),-PMT('Interest Rate'!$J$16,'Incremental Repayments'!$I$31,(HLOOKUP($D71,$E$4:$CZ$32,28,FALSE)*'Incremental Repayments'!$I$22)),0),0)</f>
        <v>0</v>
      </c>
      <c r="S71" s="783">
        <f>IF('Incremental Repayments'!$R$22="Debt",IF(AND(S$4&gt;=$D71,S$4&lt;$D71+'Incremental Repayments'!$I$31),-PMT('Interest Rate'!$J$16,'Incremental Repayments'!$I$31,(HLOOKUP($D71,$E$4:$CZ$32,28,FALSE)*'Incremental Repayments'!$I$22)),0),0)</f>
        <v>0</v>
      </c>
      <c r="T71" s="783">
        <f>IF('Incremental Repayments'!$R$22="Debt",IF(AND(T$4&gt;=$D71,T$4&lt;$D71+'Incremental Repayments'!$I$31),-PMT('Interest Rate'!$J$16,'Incremental Repayments'!$I$31,(HLOOKUP($D71,$E$4:$CZ$32,28,FALSE)*'Incremental Repayments'!$I$22)),0),0)</f>
        <v>0</v>
      </c>
      <c r="U71" s="783">
        <f>IF('Incremental Repayments'!$R$22="Debt",IF(AND(U$4&gt;=$D71,U$4&lt;$D71+'Incremental Repayments'!$I$31),-PMT('Interest Rate'!$J$16,'Incremental Repayments'!$I$31,(HLOOKUP($D71,$E$4:$CZ$32,28,FALSE)*'Incremental Repayments'!$I$22)),0),0)</f>
        <v>0</v>
      </c>
      <c r="V71" s="783">
        <f>IF('Incremental Repayments'!$R$22="Debt",IF(AND(V$4&gt;=$D71,V$4&lt;$D71+'Incremental Repayments'!$I$31),-PMT('Interest Rate'!$J$16,'Incremental Repayments'!$I$31,(HLOOKUP($D71,$E$4:$CZ$32,28,FALSE)*'Incremental Repayments'!$I$22)),0),0)</f>
        <v>0</v>
      </c>
      <c r="W71" s="783">
        <f>IF('Incremental Repayments'!$R$22="Debt",IF(AND(W$4&gt;=$D71,W$4&lt;$D71+'Incremental Repayments'!$I$31),-PMT('Interest Rate'!$J$16,'Incremental Repayments'!$I$31,(HLOOKUP($D71,$E$4:$CZ$32,28,FALSE)*'Incremental Repayments'!$I$22)),0),0)</f>
        <v>0</v>
      </c>
      <c r="X71" s="783">
        <f>IF('Incremental Repayments'!$R$22="Debt",IF(AND(X$4&gt;=$D71,X$4&lt;$D71+'Incremental Repayments'!$I$31),-PMT('Interest Rate'!$J$16,'Incremental Repayments'!$I$31,(HLOOKUP($D71,$E$4:$CZ$32,28,FALSE)*'Incremental Repayments'!$I$22)),0),0)</f>
        <v>0</v>
      </c>
      <c r="Y71" s="783">
        <f>IF('Incremental Repayments'!$R$22="Debt",IF(AND(Y$4&gt;=$D71,Y$4&lt;$D71+'Incremental Repayments'!$I$31),-PMT('Interest Rate'!$J$16,'Incremental Repayments'!$I$31,(HLOOKUP($D71,$E$4:$CZ$32,28,FALSE)*'Incremental Repayments'!$I$22)),0),0)</f>
        <v>0</v>
      </c>
      <c r="Z71" s="783">
        <f>IF('Incremental Repayments'!$R$22="Debt",IF(AND(Z$4&gt;=$D71,Z$4&lt;$D71+'Incremental Repayments'!$I$31),-PMT('Interest Rate'!$J$16,'Incremental Repayments'!$I$31,(HLOOKUP($D71,$E$4:$CZ$32,28,FALSE)*'Incremental Repayments'!$I$22)),0),0)</f>
        <v>0</v>
      </c>
      <c r="AA71" s="783">
        <f>IF('Incremental Repayments'!$R$22="Debt",IF(AND(AA$4&gt;=$D71,AA$4&lt;$D71+'Incremental Repayments'!$I$31),-PMT('Interest Rate'!$J$16,'Incremental Repayments'!$I$31,(HLOOKUP($D71,$E$4:$CZ$32,28,FALSE)*'Incremental Repayments'!$I$22)),0),0)</f>
        <v>0</v>
      </c>
      <c r="AB71" s="783">
        <f>IF('Incremental Repayments'!$R$22="Debt",IF(AND(AB$4&gt;=$D71,AB$4&lt;$D71+'Incremental Repayments'!$I$31),-PMT('Interest Rate'!$J$16,'Incremental Repayments'!$I$31,(HLOOKUP($D71,$E$4:$CZ$32,28,FALSE)*'Incremental Repayments'!$I$22)),0),0)</f>
        <v>0</v>
      </c>
      <c r="AC71" s="783">
        <f>IF('Incremental Repayments'!$R$22="Debt",IF(AND(AC$4&gt;=$D71,AC$4&lt;$D71+'Incremental Repayments'!$I$31),-PMT('Interest Rate'!$J$16,'Incremental Repayments'!$I$31,(HLOOKUP($D71,$E$4:$CZ$32,28,FALSE)*'Incremental Repayments'!$I$22)),0),0)</f>
        <v>0</v>
      </c>
      <c r="AD71" s="783">
        <f>IF('Incremental Repayments'!$R$22="Debt",IF(AND(AD$4&gt;=$D71,AD$4&lt;$D71+'Incremental Repayments'!$I$31),-PMT('Interest Rate'!$J$16,'Incremental Repayments'!$I$31,(HLOOKUP($D71,$E$4:$CZ$32,28,FALSE)*'Incremental Repayments'!$I$22)),0),0)</f>
        <v>0</v>
      </c>
      <c r="AE71" s="783">
        <f>IF('Incremental Repayments'!$R$22="Debt",IF(AND(AE$4&gt;=$D71,AE$4&lt;$D71+'Incremental Repayments'!$I$31),-PMT('Interest Rate'!$J$16,'Incremental Repayments'!$I$31,(HLOOKUP($D71,$E$4:$CZ$32,28,FALSE)*'Incremental Repayments'!$I$22)),0),0)</f>
        <v>0</v>
      </c>
      <c r="AF71" s="783">
        <f>IF('Incremental Repayments'!$R$22="Debt",IF(AND(AF$4&gt;=$D71,AF$4&lt;$D71+'Incremental Repayments'!$I$31),-PMT('Interest Rate'!$J$16,'Incremental Repayments'!$I$31,(HLOOKUP($D71,$E$4:$CZ$32,28,FALSE)*'Incremental Repayments'!$I$22)),0),0)</f>
        <v>0</v>
      </c>
      <c r="AG71" s="783">
        <f>IF('Incremental Repayments'!$R$22="Debt",IF(AND(AG$4&gt;=$D71,AG$4&lt;$D71+'Incremental Repayments'!$I$31),-PMT('Interest Rate'!$J$16,'Incremental Repayments'!$I$31,(HLOOKUP($D71,$E$4:$CZ$32,28,FALSE)*'Incremental Repayments'!$I$22)),0),0)</f>
        <v>0</v>
      </c>
      <c r="AH71" s="783">
        <f>IF('Incremental Repayments'!$R$22="Debt",IF(AND(AH$4&gt;=$D71,AH$4&lt;$D71+'Incremental Repayments'!$I$31),-PMT('Interest Rate'!$J$16,'Incremental Repayments'!$I$31,(HLOOKUP($D71,$E$4:$CZ$32,28,FALSE)*'Incremental Repayments'!$I$22)),0),0)</f>
        <v>0</v>
      </c>
      <c r="AI71" s="783">
        <f>IF('Incremental Repayments'!$R$22="Debt",IF(AND(AI$4&gt;=$D71,AI$4&lt;$D71+'Incremental Repayments'!$I$31),-PMT('Interest Rate'!$J$16,'Incremental Repayments'!$I$31,(HLOOKUP($D71,$E$4:$CZ$32,28,FALSE)*'Incremental Repayments'!$I$22)),0),0)</f>
        <v>0</v>
      </c>
      <c r="AJ71" s="783">
        <f>IF('Incremental Repayments'!$R$22="Debt",IF(AND(AJ$4&gt;=$D71,AJ$4&lt;$D71+'Incremental Repayments'!$I$31),-PMT('Interest Rate'!$J$16,'Incremental Repayments'!$I$31,(HLOOKUP($D71,$E$4:$CZ$32,28,FALSE)*'Incremental Repayments'!$I$22)),0),0)</f>
        <v>0</v>
      </c>
      <c r="AK71" s="783">
        <f>IF('Incremental Repayments'!$R$22="Debt",IF(AND(AK$4&gt;=$D71,AK$4&lt;$D71+'Incremental Repayments'!$I$31),-PMT('Interest Rate'!$J$16,'Incremental Repayments'!$I$31,(HLOOKUP($D71,$E$4:$CZ$32,28,FALSE)*'Incremental Repayments'!$I$22)),0),0)</f>
        <v>0</v>
      </c>
      <c r="AL71" s="783">
        <f>IF('Incremental Repayments'!$R$22="Debt",IF(AND(AL$4&gt;=$D71,AL$4&lt;$D71+'Incremental Repayments'!$I$31),-PMT('Interest Rate'!$J$16,'Incremental Repayments'!$I$31,(HLOOKUP($D71,$E$4:$CZ$32,28,FALSE)*'Incremental Repayments'!$I$22)),0),0)</f>
        <v>0</v>
      </c>
      <c r="AM71" s="783">
        <f>IF('Incremental Repayments'!$R$22="Debt",IF(AND(AM$4&gt;=$D71,AM$4&lt;$D71+'Incremental Repayments'!$I$31),-PMT('Interest Rate'!$J$16,'Incremental Repayments'!$I$31,(HLOOKUP($D71,$E$4:$CZ$32,28,FALSE)*'Incremental Repayments'!$I$22)),0),0)</f>
        <v>0</v>
      </c>
      <c r="AN71" s="783">
        <f>IF('Incremental Repayments'!$R$22="Debt",IF(AND(AN$4&gt;=$D71,AN$4&lt;$D71+'Incremental Repayments'!$I$31),-PMT('Interest Rate'!$J$16,'Incremental Repayments'!$I$31,(HLOOKUP($D71,$E$4:$CZ$32,28,FALSE)*'Incremental Repayments'!$I$22)),0),0)</f>
        <v>764656.52667318948</v>
      </c>
      <c r="AO71" s="783">
        <f>IF('Incremental Repayments'!$R$22="Debt",IF(AND(AO$4&gt;=$D71,AO$4&lt;$D71+'Incremental Repayments'!$I$31),-PMT('Interest Rate'!$J$16,'Incremental Repayments'!$I$31,(HLOOKUP($D71,$E$4:$CZ$32,28,FALSE)*'Incremental Repayments'!$I$22)),0),0)</f>
        <v>764656.52667318948</v>
      </c>
      <c r="AP71" s="783">
        <f>IF('Incremental Repayments'!$R$22="Debt",IF(AND(AP$4&gt;=$D71,AP$4&lt;$D71+'Incremental Repayments'!$I$31),-PMT('Interest Rate'!$J$16,'Incremental Repayments'!$I$31,(HLOOKUP($D71,$E$4:$CZ$32,28,FALSE)*'Incremental Repayments'!$I$22)),0),0)</f>
        <v>764656.52667318948</v>
      </c>
      <c r="AQ71" s="783">
        <f>IF('Incremental Repayments'!$R$22="Debt",IF(AND(AQ$4&gt;=$D71,AQ$4&lt;$D71+'Incremental Repayments'!$I$31),-PMT('Interest Rate'!$J$16,'Incremental Repayments'!$I$31,(HLOOKUP($D71,$E$4:$CZ$32,28,FALSE)*'Incremental Repayments'!$I$22)),0),0)</f>
        <v>764656.52667318948</v>
      </c>
      <c r="AR71" s="783">
        <f>IF('Incremental Repayments'!$R$22="Debt",IF(AND(AR$4&gt;=$D71,AR$4&lt;$D71+'Incremental Repayments'!$I$31),-PMT('Interest Rate'!$J$16,'Incremental Repayments'!$I$31,(HLOOKUP($D71,$E$4:$CZ$32,28,FALSE)*'Incremental Repayments'!$I$22)),0),0)</f>
        <v>764656.52667318948</v>
      </c>
      <c r="AS71" s="783">
        <f>IF('Incremental Repayments'!$R$22="Debt",IF(AND(AS$4&gt;=$D71,AS$4&lt;$D71+'Incremental Repayments'!$I$31),-PMT('Interest Rate'!$J$16,'Incremental Repayments'!$I$31,(HLOOKUP($D71,$E$4:$CZ$32,28,FALSE)*'Incremental Repayments'!$I$22)),0),0)</f>
        <v>764656.52667318948</v>
      </c>
      <c r="AT71" s="783">
        <f>IF('Incremental Repayments'!$R$22="Debt",IF(AND(AT$4&gt;=$D71,AT$4&lt;$D71+'Incremental Repayments'!$I$31),-PMT('Interest Rate'!$J$16,'Incremental Repayments'!$I$31,(HLOOKUP($D71,$E$4:$CZ$32,28,FALSE)*'Incremental Repayments'!$I$22)),0),0)</f>
        <v>764656.52667318948</v>
      </c>
      <c r="AU71" s="783">
        <f>IF('Incremental Repayments'!$R$22="Debt",IF(AND(AU$4&gt;=$D71,AU$4&lt;$D71+'Incremental Repayments'!$I$31),-PMT('Interest Rate'!$J$16,'Incremental Repayments'!$I$31,(HLOOKUP($D71,$E$4:$CZ$32,28,FALSE)*'Incremental Repayments'!$I$22)),0),0)</f>
        <v>764656.52667318948</v>
      </c>
      <c r="AV71" s="783">
        <f>IF('Incremental Repayments'!$R$22="Debt",IF(AND(AV$4&gt;=$D71,AV$4&lt;$D71+'Incremental Repayments'!$I$31),-PMT('Interest Rate'!$J$16,'Incremental Repayments'!$I$31,(HLOOKUP($D71,$E$4:$CZ$32,28,FALSE)*'Incremental Repayments'!$I$22)),0),0)</f>
        <v>764656.52667318948</v>
      </c>
      <c r="AW71" s="783">
        <f>IF('Incremental Repayments'!$R$22="Debt",IF(AND(AW$4&gt;=$D71,AW$4&lt;$D71+'Incremental Repayments'!$I$31),-PMT('Interest Rate'!$J$16,'Incremental Repayments'!$I$31,(HLOOKUP($D71,$E$4:$CZ$32,28,FALSE)*'Incremental Repayments'!$I$22)),0),0)</f>
        <v>764656.52667318948</v>
      </c>
      <c r="AX71" s="783">
        <f>IF('Incremental Repayments'!$R$22="Debt",IF(AND(AX$4&gt;=$D71,AX$4&lt;$D71+'Incremental Repayments'!$I$31),-PMT('Interest Rate'!$J$16,'Incremental Repayments'!$I$31,(HLOOKUP($D71,$E$4:$CZ$32,28,FALSE)*'Incremental Repayments'!$I$22)),0),0)</f>
        <v>764656.52667318948</v>
      </c>
      <c r="AY71" s="783">
        <f>IF('Incremental Repayments'!$R$22="Debt",IF(AND(AY$4&gt;=$D71,AY$4&lt;$D71+'Incremental Repayments'!$I$31),-PMT('Interest Rate'!$J$16,'Incremental Repayments'!$I$31,(HLOOKUP($D71,$E$4:$CZ$32,28,FALSE)*'Incremental Repayments'!$I$22)),0),0)</f>
        <v>764656.52667318948</v>
      </c>
      <c r="AZ71" s="783">
        <f>IF('Incremental Repayments'!$R$22="Debt",IF(AND(AZ$4&gt;=$D71,AZ$4&lt;$D71+'Incremental Repayments'!$I$31),-PMT('Interest Rate'!$J$16,'Incremental Repayments'!$I$31,(HLOOKUP($D71,$E$4:$CZ$32,28,FALSE)*'Incremental Repayments'!$I$22)),0),0)</f>
        <v>764656.52667318948</v>
      </c>
      <c r="BA71" s="783">
        <f>IF('Incremental Repayments'!$R$22="Debt",IF(AND(BA$4&gt;=$D71,BA$4&lt;$D71+'Incremental Repayments'!$I$31),-PMT('Interest Rate'!$J$16,'Incremental Repayments'!$I$31,(HLOOKUP($D71,$E$4:$CZ$32,28,FALSE)*'Incremental Repayments'!$I$22)),0),0)</f>
        <v>764656.52667318948</v>
      </c>
      <c r="BB71" s="783">
        <f>IF('Incremental Repayments'!$R$22="Debt",IF(AND(BB$4&gt;=$D71,BB$4&lt;$D71+'Incremental Repayments'!$I$31),-PMT('Interest Rate'!$J$16,'Incremental Repayments'!$I$31,(HLOOKUP($D71,$E$4:$CZ$32,28,FALSE)*'Incremental Repayments'!$I$22)),0),0)</f>
        <v>764656.52667318948</v>
      </c>
      <c r="BC71" s="783">
        <f>IF('Incremental Repayments'!$R$22="Debt",IF(AND(BC$4&gt;=$D71,BC$4&lt;$D71+'Incremental Repayments'!$I$31),-PMT('Interest Rate'!$J$16,'Incremental Repayments'!$I$31,(HLOOKUP($D71,$E$4:$CZ$32,28,FALSE)*'Incremental Repayments'!$I$22)),0),0)</f>
        <v>764656.52667318948</v>
      </c>
      <c r="BD71" s="783">
        <f>IF('Incremental Repayments'!$R$22="Debt",IF(AND(BD$4&gt;=$D71,BD$4&lt;$D71+'Incremental Repayments'!$I$31),-PMT('Interest Rate'!$J$16,'Incremental Repayments'!$I$31,(HLOOKUP($D71,$E$4:$CZ$32,28,FALSE)*'Incremental Repayments'!$I$22)),0),0)</f>
        <v>764656.52667318948</v>
      </c>
      <c r="BE71" s="783">
        <f>IF('Incremental Repayments'!$R$22="Debt",IF(AND(BE$4&gt;=$D71,BE$4&lt;$D71+'Incremental Repayments'!$I$31),-PMT('Interest Rate'!$J$16,'Incremental Repayments'!$I$31,(HLOOKUP($D71,$E$4:$CZ$32,28,FALSE)*'Incremental Repayments'!$I$22)),0),0)</f>
        <v>764656.52667318948</v>
      </c>
      <c r="BF71" s="783">
        <f>IF('Incremental Repayments'!$R$22="Debt",IF(AND(BF$4&gt;=$D71,BF$4&lt;$D71+'Incremental Repayments'!$I$31),-PMT('Interest Rate'!$J$16,'Incremental Repayments'!$I$31,(HLOOKUP($D71,$E$4:$CZ$32,28,FALSE)*'Incremental Repayments'!$I$22)),0),0)</f>
        <v>764656.52667318948</v>
      </c>
      <c r="BG71" s="783">
        <f>IF('Incremental Repayments'!$R$22="Debt",IF(AND(BG$4&gt;=$D71,BG$4&lt;$D71+'Incremental Repayments'!$I$31),-PMT('Interest Rate'!$J$16,'Incremental Repayments'!$I$31,(HLOOKUP($D71,$E$4:$CZ$32,28,FALSE)*'Incremental Repayments'!$I$22)),0),0)</f>
        <v>764656.52667318948</v>
      </c>
      <c r="BH71" s="783">
        <f>IF('Incremental Repayments'!$R$22="Debt",IF(AND(BH$4&gt;=$D71,BH$4&lt;$D71+'Incremental Repayments'!$I$31),-PMT('Interest Rate'!$J$16,'Incremental Repayments'!$I$31,(HLOOKUP($D71,$E$4:$CZ$32,28,FALSE)*'Incremental Repayments'!$I$22)),0),0)</f>
        <v>764656.52667318948</v>
      </c>
      <c r="BI71" s="783">
        <f>IF('Incremental Repayments'!$R$22="Debt",IF(AND(BI$4&gt;=$D71,BI$4&lt;$D71+'Incremental Repayments'!$I$31),-PMT('Interest Rate'!$J$16,'Incremental Repayments'!$I$31,(HLOOKUP($D71,$E$4:$CZ$32,28,FALSE)*'Incremental Repayments'!$I$22)),0),0)</f>
        <v>764656.52667318948</v>
      </c>
      <c r="BJ71" s="783">
        <f>IF('Incremental Repayments'!$R$22="Debt",IF(AND(BJ$4&gt;=$D71,BJ$4&lt;$D71+'Incremental Repayments'!$I$31),-PMT('Interest Rate'!$J$16,'Incremental Repayments'!$I$31,(HLOOKUP($D71,$E$4:$CZ$32,28,FALSE)*'Incremental Repayments'!$I$22)),0),0)</f>
        <v>764656.52667318948</v>
      </c>
      <c r="BK71" s="783">
        <f>IF('Incremental Repayments'!$R$22="Debt",IF(AND(BK$4&gt;=$D71,BK$4&lt;$D71+'Incremental Repayments'!$I$31),-PMT('Interest Rate'!$J$16,'Incremental Repayments'!$I$31,(HLOOKUP($D71,$E$4:$CZ$32,28,FALSE)*'Incremental Repayments'!$I$22)),0),0)</f>
        <v>764656.52667318948</v>
      </c>
      <c r="BL71" s="783">
        <f>IF('Incremental Repayments'!$R$22="Debt",IF(AND(BL$4&gt;=$D71,BL$4&lt;$D71+'Incremental Repayments'!$I$31),-PMT('Interest Rate'!$J$16,'Incremental Repayments'!$I$31,(HLOOKUP($D71,$E$4:$CZ$32,28,FALSE)*'Incremental Repayments'!$I$22)),0),0)</f>
        <v>764656.52667318948</v>
      </c>
      <c r="BM71" s="783">
        <f>IF('Incremental Repayments'!$R$22="Debt",IF(AND(BM$4&gt;=$D71,BM$4&lt;$D71+'Incremental Repayments'!$I$31),-PMT('Interest Rate'!$J$16,'Incremental Repayments'!$I$31,(HLOOKUP($D71,$E$4:$CZ$32,28,FALSE)*'Incremental Repayments'!$I$22)),0),0)</f>
        <v>764656.52667318948</v>
      </c>
      <c r="BN71" s="783">
        <f>IF('Incremental Repayments'!$R$22="Debt",IF(AND(BN$4&gt;=$D71,BN$4&lt;$D71+'Incremental Repayments'!$I$31),-PMT('Interest Rate'!$J$16,'Incremental Repayments'!$I$31,(HLOOKUP($D71,$E$4:$CZ$32,28,FALSE)*'Incremental Repayments'!$I$22)),0),0)</f>
        <v>764656.52667318948</v>
      </c>
      <c r="BO71" s="783">
        <f>IF('Incremental Repayments'!$R$22="Debt",IF(AND(BO$4&gt;=$D71,BO$4&lt;$D71+'Incremental Repayments'!$I$31),-PMT('Interest Rate'!$J$16,'Incremental Repayments'!$I$31,(HLOOKUP($D71,$E$4:$CZ$32,28,FALSE)*'Incremental Repayments'!$I$22)),0),0)</f>
        <v>764656.52667318948</v>
      </c>
      <c r="BP71" s="783">
        <f>IF('Incremental Repayments'!$R$22="Debt",IF(AND(BP$4&gt;=$D71,BP$4&lt;$D71+'Incremental Repayments'!$I$31),-PMT('Interest Rate'!$J$16,'Incremental Repayments'!$I$31,(HLOOKUP($D71,$E$4:$CZ$32,28,FALSE)*'Incremental Repayments'!$I$22)),0),0)</f>
        <v>764656.52667318948</v>
      </c>
      <c r="BQ71" s="783">
        <f>IF('Incremental Repayments'!$R$22="Debt",IF(AND(BQ$4&gt;=$D71,BQ$4&lt;$D71+'Incremental Repayments'!$I$31),-PMT('Interest Rate'!$J$16,'Incremental Repayments'!$I$31,(HLOOKUP($D71,$E$4:$CZ$32,28,FALSE)*'Incremental Repayments'!$I$22)),0),0)</f>
        <v>764656.52667318948</v>
      </c>
      <c r="BR71" s="783">
        <f>IF('Incremental Repayments'!$R$22="Debt",IF(AND(BR$4&gt;=$D71,BR$4&lt;$D71+'Incremental Repayments'!$I$31),-PMT('Interest Rate'!$J$16,'Incremental Repayments'!$I$31,(HLOOKUP($D71,$E$4:$CZ$32,28,FALSE)*'Incremental Repayments'!$I$22)),0),0)</f>
        <v>0</v>
      </c>
      <c r="BS71" s="783">
        <f>IF('Incremental Repayments'!$R$22="Debt",IF(AND(BS$4&gt;=$D71,BS$4&lt;$D71+'Incremental Repayments'!$I$31),-PMT('Interest Rate'!$J$16,'Incremental Repayments'!$I$31,(HLOOKUP($D71,$E$4:$CZ$32,28,FALSE)*'Incremental Repayments'!$I$22)),0),0)</f>
        <v>0</v>
      </c>
      <c r="BT71" s="783">
        <f>IF('Incremental Repayments'!$R$22="Debt",IF(AND(BT$4&gt;=$D71,BT$4&lt;$D71+'Incremental Repayments'!$I$31),-PMT('Interest Rate'!$J$16,'Incremental Repayments'!$I$31,(HLOOKUP($D71,$E$4:$CZ$32,28,FALSE)*'Incremental Repayments'!$I$22)),0),0)</f>
        <v>0</v>
      </c>
      <c r="BU71" s="783">
        <f>IF('Incremental Repayments'!$R$22="Debt",IF(AND(BU$4&gt;=$D71,BU$4&lt;$D71+'Incremental Repayments'!$I$31),-PMT('Interest Rate'!$J$16,'Incremental Repayments'!$I$31,(HLOOKUP($D71,$E$4:$CZ$32,28,FALSE)*'Incremental Repayments'!$I$22)),0),0)</f>
        <v>0</v>
      </c>
      <c r="BV71" s="783">
        <f>IF('Incremental Repayments'!$R$22="Debt",IF(AND(BV$4&gt;=$D71,BV$4&lt;$D71+'Incremental Repayments'!$I$31),-PMT('Interest Rate'!$J$16,'Incremental Repayments'!$I$31,(HLOOKUP($D71,$E$4:$CZ$32,28,FALSE)*'Incremental Repayments'!$I$22)),0),0)</f>
        <v>0</v>
      </c>
      <c r="BW71" s="783">
        <f>IF('Incremental Repayments'!$R$22="Debt",IF(AND(BW$4&gt;=$D71,BW$4&lt;$D71+'Incremental Repayments'!$I$31),-PMT('Interest Rate'!$J$16,'Incremental Repayments'!$I$31,(HLOOKUP($D71,$E$4:$CZ$32,28,FALSE)*'Incremental Repayments'!$I$22)),0),0)</f>
        <v>0</v>
      </c>
      <c r="BX71" s="783">
        <f>IF('Incremental Repayments'!$R$22="Debt",IF(AND(BX$4&gt;=$D71,BX$4&lt;$D71+'Incremental Repayments'!$I$31),-PMT('Interest Rate'!$J$16,'Incremental Repayments'!$I$31,(HLOOKUP($D71,$E$4:$CZ$32,28,FALSE)*'Incremental Repayments'!$I$22)),0),0)</f>
        <v>0</v>
      </c>
      <c r="BY71" s="783">
        <f>IF('Incremental Repayments'!$R$22="Debt",IF(AND(BY$4&gt;=$D71,BY$4&lt;$D71+'Incremental Repayments'!$I$31),-PMT('Interest Rate'!$J$16,'Incremental Repayments'!$I$31,(HLOOKUP($D71,$E$4:$CZ$32,28,FALSE)*'Incremental Repayments'!$I$22)),0),0)</f>
        <v>0</v>
      </c>
      <c r="BZ71" s="783">
        <f>IF('Incremental Repayments'!$R$22="Debt",IF(AND(BZ$4&gt;=$D71,BZ$4&lt;$D71+'Incremental Repayments'!$I$31),-PMT('Interest Rate'!$J$16,'Incremental Repayments'!$I$31,(HLOOKUP($D71,$E$4:$CZ$32,28,FALSE)*'Incremental Repayments'!$I$22)),0),0)</f>
        <v>0</v>
      </c>
      <c r="CA71" s="783">
        <f>IF('Incremental Repayments'!$R$22="Debt",IF(AND(CA$4&gt;=$D71,CA$4&lt;$D71+'Incremental Repayments'!$I$31),-PMT('Interest Rate'!$J$16,'Incremental Repayments'!$I$31,(HLOOKUP($D71,$E$4:$CZ$32,28,FALSE)*'Incremental Repayments'!$I$22)),0),0)</f>
        <v>0</v>
      </c>
      <c r="CB71" s="783">
        <f>IF('Incremental Repayments'!$R$22="Debt",IF(AND(CB$4&gt;=$D71,CB$4&lt;$D71+'Incremental Repayments'!$I$31),-PMT('Interest Rate'!$J$16,'Incremental Repayments'!$I$31,(HLOOKUP($D71,$E$4:$CZ$32,28,FALSE)*'Incremental Repayments'!$I$22)),0),0)</f>
        <v>0</v>
      </c>
      <c r="CC71" s="783">
        <f>IF('Incremental Repayments'!$R$22="Debt",IF(AND(CC$4&gt;=$D71,CC$4&lt;$D71+'Incremental Repayments'!$I$31),-PMT('Interest Rate'!$J$16,'Incremental Repayments'!$I$31,(HLOOKUP($D71,$E$4:$CZ$32,28,FALSE)*'Incremental Repayments'!$I$22)),0),0)</f>
        <v>0</v>
      </c>
      <c r="CD71" s="783">
        <f>IF('Incremental Repayments'!$R$22="Debt",IF(AND(CD$4&gt;=$D71,CD$4&lt;$D71+'Incremental Repayments'!$I$31),-PMT('Interest Rate'!$J$16,'Incremental Repayments'!$I$31,(HLOOKUP($D71,$E$4:$CZ$32,28,FALSE)*'Incremental Repayments'!$I$22)),0),0)</f>
        <v>0</v>
      </c>
      <c r="CE71" s="783">
        <f>IF('Incremental Repayments'!$R$22="Debt",IF(AND(CE$4&gt;=$D71,CE$4&lt;$D71+'Incremental Repayments'!$I$31),-PMT('Interest Rate'!$J$16,'Incremental Repayments'!$I$31,(HLOOKUP($D71,$E$4:$CZ$32,28,FALSE)*'Incremental Repayments'!$I$22)),0),0)</f>
        <v>0</v>
      </c>
      <c r="CF71" s="783">
        <f>IF('Incremental Repayments'!$R$22="Debt",IF(AND(CF$4&gt;=$D71,CF$4&lt;$D71+'Incremental Repayments'!$I$31),-PMT('Interest Rate'!$J$16,'Incremental Repayments'!$I$31,(HLOOKUP($D71,$E$4:$CZ$32,28,FALSE)*'Incremental Repayments'!$I$22)),0),0)</f>
        <v>0</v>
      </c>
      <c r="CG71" s="783">
        <f>IF('Incremental Repayments'!$R$22="Debt",IF(AND(CG$4&gt;=$D71,CG$4&lt;$D71+'Incremental Repayments'!$I$31),-PMT('Interest Rate'!$J$16,'Incremental Repayments'!$I$31,(HLOOKUP($D71,$E$4:$CZ$32,28,FALSE)*'Incremental Repayments'!$I$22)),0),0)</f>
        <v>0</v>
      </c>
      <c r="CH71" s="783">
        <f>IF('Incremental Repayments'!$R$22="Debt",IF(AND(CH$4&gt;=$D71,CH$4&lt;$D71+'Incremental Repayments'!$I$31),-PMT('Interest Rate'!$J$16,'Incremental Repayments'!$I$31,(HLOOKUP($D71,$E$4:$CZ$32,28,FALSE)*'Incremental Repayments'!$I$22)),0),0)</f>
        <v>0</v>
      </c>
      <c r="CI71" s="783">
        <f>IF('Incremental Repayments'!$R$22="Debt",IF(AND(CI$4&gt;=$D71,CI$4&lt;$D71+'Incremental Repayments'!$I$31),-PMT('Interest Rate'!$J$16,'Incremental Repayments'!$I$31,(HLOOKUP($D71,$E$4:$CZ$32,28,FALSE)*'Incremental Repayments'!$I$22)),0),0)</f>
        <v>0</v>
      </c>
      <c r="CJ71" s="783">
        <f>IF('Incremental Repayments'!$R$22="Debt",IF(AND(CJ$4&gt;=$D71,CJ$4&lt;$D71+'Incremental Repayments'!$I$31),-PMT('Interest Rate'!$J$16,'Incremental Repayments'!$I$31,(HLOOKUP($D71,$E$4:$CZ$32,28,FALSE)*'Incremental Repayments'!$I$22)),0),0)</f>
        <v>0</v>
      </c>
      <c r="CK71" s="783">
        <f>IF('Incremental Repayments'!$R$22="Debt",IF(AND(CK$4&gt;=$D71,CK$4&lt;$D71+'Incremental Repayments'!$I$31),-PMT('Interest Rate'!$J$16,'Incremental Repayments'!$I$31,(HLOOKUP($D71,$E$4:$CZ$32,28,FALSE)*'Incremental Repayments'!$I$22)),0),0)</f>
        <v>0</v>
      </c>
      <c r="CL71" s="783">
        <f>IF('Incremental Repayments'!$R$22="Debt",IF(AND(CL$4&gt;=$D71,CL$4&lt;$D71+'Incremental Repayments'!$I$31),-PMT('Interest Rate'!$J$16,'Incremental Repayments'!$I$31,(HLOOKUP($D71,$E$4:$CZ$32,28,FALSE)*'Incremental Repayments'!$I$22)),0),0)</f>
        <v>0</v>
      </c>
      <c r="CM71" s="783">
        <f>IF('Incremental Repayments'!$R$22="Debt",IF(AND(CM$4&gt;=$D71,CM$4&lt;$D71+'Incremental Repayments'!$I$31),-PMT('Interest Rate'!$J$16,'Incremental Repayments'!$I$31,(HLOOKUP($D71,$E$4:$CZ$32,28,FALSE)*'Incremental Repayments'!$I$22)),0),0)</f>
        <v>0</v>
      </c>
      <c r="CN71" s="783">
        <f>IF('Incremental Repayments'!$R$22="Debt",IF(AND(CN$4&gt;=$D71,CN$4&lt;$D71+'Incremental Repayments'!$I$31),-PMT('Interest Rate'!$J$16,'Incremental Repayments'!$I$31,(HLOOKUP($D71,$E$4:$CZ$32,28,FALSE)*'Incremental Repayments'!$I$22)),0),0)</f>
        <v>0</v>
      </c>
      <c r="CO71" s="783">
        <f>IF('Incremental Repayments'!$R$22="Debt",IF(AND(CO$4&gt;=$D71,CO$4&lt;$D71+'Incremental Repayments'!$I$31),-PMT('Interest Rate'!$J$16,'Incremental Repayments'!$I$31,(HLOOKUP($D71,$E$4:$CZ$32,28,FALSE)*'Incremental Repayments'!$I$22)),0),0)</f>
        <v>0</v>
      </c>
      <c r="CP71" s="783">
        <f>IF('Incremental Repayments'!$R$22="Debt",IF(AND(CP$4&gt;=$D71,CP$4&lt;$D71+'Incremental Repayments'!$I$31),-PMT('Interest Rate'!$J$16,'Incremental Repayments'!$I$31,(HLOOKUP($D71,$E$4:$CZ$32,28,FALSE)*'Incremental Repayments'!$I$22)),0),0)</f>
        <v>0</v>
      </c>
      <c r="CQ71" s="783">
        <f>IF('Incremental Repayments'!$R$22="Debt",IF(AND(CQ$4&gt;=$D71,CQ$4&lt;$D71+'Incremental Repayments'!$I$31),-PMT('Interest Rate'!$J$16,'Incremental Repayments'!$I$31,(HLOOKUP($D71,$E$4:$CZ$32,28,FALSE)*'Incremental Repayments'!$I$22)),0),0)</f>
        <v>0</v>
      </c>
      <c r="CR71" s="783">
        <f>IF('Incremental Repayments'!$R$22="Debt",IF(AND(CR$4&gt;=$D71,CR$4&lt;$D71+'Incremental Repayments'!$I$31),-PMT('Interest Rate'!$J$16,'Incremental Repayments'!$I$31,(HLOOKUP($D71,$E$4:$CZ$32,28,FALSE)*'Incremental Repayments'!$I$22)),0),0)</f>
        <v>0</v>
      </c>
      <c r="CS71" s="783">
        <f>IF('Incremental Repayments'!$R$22="Debt",IF(AND(CS$4&gt;=$D71,CS$4&lt;$D71+'Incremental Repayments'!$I$31),-PMT('Interest Rate'!$J$16,'Incremental Repayments'!$I$31,(HLOOKUP($D71,$E$4:$CZ$32,28,FALSE)*'Incremental Repayments'!$I$22)),0),0)</f>
        <v>0</v>
      </c>
      <c r="CT71" s="783">
        <f>IF('Incremental Repayments'!$R$22="Debt",IF(AND(CT$4&gt;=$D71,CT$4&lt;$D71+'Incremental Repayments'!$I$31),-PMT('Interest Rate'!$J$16,'Incremental Repayments'!$I$31,(HLOOKUP($D71,$E$4:$CZ$32,28,FALSE)*'Incremental Repayments'!$I$22)),0),0)</f>
        <v>0</v>
      </c>
      <c r="CU71" s="783">
        <f>IF('Incremental Repayments'!$R$22="Debt",IF(AND(CU$4&gt;=$D71,CU$4&lt;$D71+'Incremental Repayments'!$I$31),-PMT('Interest Rate'!$J$16,'Incremental Repayments'!$I$31,(HLOOKUP($D71,$E$4:$CZ$32,28,FALSE)*'Incremental Repayments'!$I$22)),0),0)</f>
        <v>0</v>
      </c>
      <c r="CV71" s="783">
        <f>IF('Incremental Repayments'!$R$22="Debt",IF(AND(CV$4&gt;=$D71,CV$4&lt;$D71+'Incremental Repayments'!$I$31),-PMT('Interest Rate'!$J$16,'Incremental Repayments'!$I$31,(HLOOKUP($D71,$E$4:$CZ$32,28,FALSE)*'Incremental Repayments'!$I$22)),0),0)</f>
        <v>0</v>
      </c>
      <c r="CW71" s="783">
        <f>IF('Incremental Repayments'!$R$22="Debt",IF(AND(CW$4&gt;=$D71,CW$4&lt;$D71+'Incremental Repayments'!$I$31),-PMT('Interest Rate'!$J$16,'Incremental Repayments'!$I$31,(HLOOKUP($D71,$E$4:$CZ$32,28,FALSE)*'Incremental Repayments'!$I$22)),0),0)</f>
        <v>0</v>
      </c>
      <c r="CX71" s="783">
        <f>IF('Incremental Repayments'!$R$22="Debt",IF(AND(CX$4&gt;=$D71,CX$4&lt;$D71+'Incremental Repayments'!$I$31),-PMT('Interest Rate'!$J$16,'Incremental Repayments'!$I$31,(HLOOKUP($D71,$E$4:$CZ$32,28,FALSE)*'Incremental Repayments'!$I$22)),0),0)</f>
        <v>0</v>
      </c>
      <c r="CY71" s="783">
        <f>IF('Incremental Repayments'!$R$22="Debt",IF(AND(CY$4&gt;=$D71,CY$4&lt;$D71+'Incremental Repayments'!$I$31),-PMT('Interest Rate'!$J$16,'Incremental Repayments'!$I$31,(HLOOKUP($D71,$E$4:$CZ$32,28,FALSE)*'Incremental Repayments'!$I$22)),0),0)</f>
        <v>0</v>
      </c>
      <c r="CZ71" s="783">
        <f>IF('Incremental Repayments'!$R$22="Debt",IF(AND(CZ$4&gt;=$D71,CZ$4&lt;$D71+'Incremental Repayments'!$I$31),-PMT('Interest Rate'!$J$16,'Incremental Repayments'!$I$31,(HLOOKUP($D71,$E$4:$CZ$32,28,FALSE)*'Incremental Repayments'!$I$22)),0),0)</f>
        <v>0</v>
      </c>
    </row>
    <row r="72" spans="2:104" x14ac:dyDescent="0.25">
      <c r="B72" s="480" t="str">
        <f>CONCATENATE("Series ",D72,"A Bonds (at ",'Interest Rate'!$J$16*100,"% Interest)")</f>
        <v>Series 2050A Bonds (at 4.5% Interest)</v>
      </c>
      <c r="C72" s="480"/>
      <c r="D72" s="492">
        <f t="shared" si="47"/>
        <v>2050</v>
      </c>
      <c r="E72" s="783">
        <f>IF('Incremental Repayments'!$R$22="Debt",IF(AND(E$4&gt;=$D72,E$4&lt;$D72+'Incremental Repayments'!$I$31),-PMT('Interest Rate'!$J$16,'Incremental Repayments'!$I$31,(HLOOKUP($D72,$E$4:$CZ$32,28,FALSE)*'Incremental Repayments'!$I$22)),0),0)</f>
        <v>0</v>
      </c>
      <c r="F72" s="783">
        <f>IF('Incremental Repayments'!$R$22="Debt",IF(AND(F$4&gt;=$D72,F$4&lt;$D72+'Incremental Repayments'!$I$31),-PMT('Interest Rate'!$J$16,'Incremental Repayments'!$I$31,(HLOOKUP($D72,$E$4:$CZ$32,28,FALSE)*'Incremental Repayments'!$I$22)),0),0)</f>
        <v>0</v>
      </c>
      <c r="G72" s="783">
        <f>IF('Incremental Repayments'!$R$22="Debt",IF(AND(G$4&gt;=$D72,G$4&lt;$D72+'Incremental Repayments'!$I$31),-PMT('Interest Rate'!$J$16,'Incremental Repayments'!$I$31,(HLOOKUP($D72,$E$4:$CZ$32,28,FALSE)*'Incremental Repayments'!$I$22)),0),0)</f>
        <v>0</v>
      </c>
      <c r="H72" s="783">
        <f>IF('Incremental Repayments'!$R$22="Debt",IF(AND(H$4&gt;=$D72,H$4&lt;$D72+'Incremental Repayments'!$I$31),-PMT('Interest Rate'!$J$16,'Incremental Repayments'!$I$31,(HLOOKUP($D72,$E$4:$CZ$32,28,FALSE)*'Incremental Repayments'!$I$22)),0),0)</f>
        <v>0</v>
      </c>
      <c r="I72" s="783">
        <f>IF('Incremental Repayments'!$R$22="Debt",IF(AND(I$4&gt;=$D72,I$4&lt;$D72+'Incremental Repayments'!$I$31),-PMT('Interest Rate'!$J$16,'Incremental Repayments'!$I$31,(HLOOKUP($D72,$E$4:$CZ$32,28,FALSE)*'Incremental Repayments'!$I$22)),0),0)</f>
        <v>0</v>
      </c>
      <c r="J72" s="783">
        <f>IF('Incremental Repayments'!$R$22="Debt",IF(AND(J$4&gt;=$D72,J$4&lt;$D72+'Incremental Repayments'!$I$31),-PMT('Interest Rate'!$J$16,'Incremental Repayments'!$I$31,(HLOOKUP($D72,$E$4:$CZ$32,28,FALSE)*'Incremental Repayments'!$I$22)),0),0)</f>
        <v>0</v>
      </c>
      <c r="K72" s="783">
        <f>IF('Incremental Repayments'!$R$22="Debt",IF(AND(K$4&gt;=$D72,K$4&lt;$D72+'Incremental Repayments'!$I$31),-PMT('Interest Rate'!$J$16,'Incremental Repayments'!$I$31,(HLOOKUP($D72,$E$4:$CZ$32,28,FALSE)*'Incremental Repayments'!$I$22)),0),0)</f>
        <v>0</v>
      </c>
      <c r="L72" s="783">
        <f>IF('Incremental Repayments'!$R$22="Debt",IF(AND(L$4&gt;=$D72,L$4&lt;$D72+'Incremental Repayments'!$I$31),-PMT('Interest Rate'!$J$16,'Incremental Repayments'!$I$31,(HLOOKUP($D72,$E$4:$CZ$32,28,FALSE)*'Incremental Repayments'!$I$22)),0),0)</f>
        <v>0</v>
      </c>
      <c r="M72" s="783">
        <f>IF('Incremental Repayments'!$R$22="Debt",IF(AND(M$4&gt;=$D72,M$4&lt;$D72+'Incremental Repayments'!$I$31),-PMT('Interest Rate'!$J$16,'Incremental Repayments'!$I$31,(HLOOKUP($D72,$E$4:$CZ$32,28,FALSE)*'Incremental Repayments'!$I$22)),0),0)</f>
        <v>0</v>
      </c>
      <c r="N72" s="783">
        <f>IF('Incremental Repayments'!$R$22="Debt",IF(AND(N$4&gt;=$D72,N$4&lt;$D72+'Incremental Repayments'!$I$31),-PMT('Interest Rate'!$J$16,'Incremental Repayments'!$I$31,(HLOOKUP($D72,$E$4:$CZ$32,28,FALSE)*'Incremental Repayments'!$I$22)),0),0)</f>
        <v>0</v>
      </c>
      <c r="O72" s="783">
        <f>IF('Incremental Repayments'!$R$22="Debt",IF(AND(O$4&gt;=$D72,O$4&lt;$D72+'Incremental Repayments'!$I$31),-PMT('Interest Rate'!$J$16,'Incremental Repayments'!$I$31,(HLOOKUP($D72,$E$4:$CZ$32,28,FALSE)*'Incremental Repayments'!$I$22)),0),0)</f>
        <v>0</v>
      </c>
      <c r="P72" s="783">
        <f>IF('Incremental Repayments'!$R$22="Debt",IF(AND(P$4&gt;=$D72,P$4&lt;$D72+'Incremental Repayments'!$I$31),-PMT('Interest Rate'!$J$16,'Incremental Repayments'!$I$31,(HLOOKUP($D72,$E$4:$CZ$32,28,FALSE)*'Incremental Repayments'!$I$22)),0),0)</f>
        <v>0</v>
      </c>
      <c r="Q72" s="783">
        <f>IF('Incremental Repayments'!$R$22="Debt",IF(AND(Q$4&gt;=$D72,Q$4&lt;$D72+'Incremental Repayments'!$I$31),-PMT('Interest Rate'!$J$16,'Incremental Repayments'!$I$31,(HLOOKUP($D72,$E$4:$CZ$32,28,FALSE)*'Incremental Repayments'!$I$22)),0),0)</f>
        <v>0</v>
      </c>
      <c r="R72" s="783">
        <f>IF('Incremental Repayments'!$R$22="Debt",IF(AND(R$4&gt;=$D72,R$4&lt;$D72+'Incremental Repayments'!$I$31),-PMT('Interest Rate'!$J$16,'Incremental Repayments'!$I$31,(HLOOKUP($D72,$E$4:$CZ$32,28,FALSE)*'Incremental Repayments'!$I$22)),0),0)</f>
        <v>0</v>
      </c>
      <c r="S72" s="783">
        <f>IF('Incremental Repayments'!$R$22="Debt",IF(AND(S$4&gt;=$D72,S$4&lt;$D72+'Incremental Repayments'!$I$31),-PMT('Interest Rate'!$J$16,'Incremental Repayments'!$I$31,(HLOOKUP($D72,$E$4:$CZ$32,28,FALSE)*'Incremental Repayments'!$I$22)),0),0)</f>
        <v>0</v>
      </c>
      <c r="T72" s="783">
        <f>IF('Incremental Repayments'!$R$22="Debt",IF(AND(T$4&gt;=$D72,T$4&lt;$D72+'Incremental Repayments'!$I$31),-PMT('Interest Rate'!$J$16,'Incremental Repayments'!$I$31,(HLOOKUP($D72,$E$4:$CZ$32,28,FALSE)*'Incremental Repayments'!$I$22)),0),0)</f>
        <v>0</v>
      </c>
      <c r="U72" s="783">
        <f>IF('Incremental Repayments'!$R$22="Debt",IF(AND(U$4&gt;=$D72,U$4&lt;$D72+'Incremental Repayments'!$I$31),-PMT('Interest Rate'!$J$16,'Incremental Repayments'!$I$31,(HLOOKUP($D72,$E$4:$CZ$32,28,FALSE)*'Incremental Repayments'!$I$22)),0),0)</f>
        <v>0</v>
      </c>
      <c r="V72" s="783">
        <f>IF('Incremental Repayments'!$R$22="Debt",IF(AND(V$4&gt;=$D72,V$4&lt;$D72+'Incremental Repayments'!$I$31),-PMT('Interest Rate'!$J$16,'Incremental Repayments'!$I$31,(HLOOKUP($D72,$E$4:$CZ$32,28,FALSE)*'Incremental Repayments'!$I$22)),0),0)</f>
        <v>0</v>
      </c>
      <c r="W72" s="783">
        <f>IF('Incremental Repayments'!$R$22="Debt",IF(AND(W$4&gt;=$D72,W$4&lt;$D72+'Incremental Repayments'!$I$31),-PMT('Interest Rate'!$J$16,'Incremental Repayments'!$I$31,(HLOOKUP($D72,$E$4:$CZ$32,28,FALSE)*'Incremental Repayments'!$I$22)),0),0)</f>
        <v>0</v>
      </c>
      <c r="X72" s="783">
        <f>IF('Incremental Repayments'!$R$22="Debt",IF(AND(X$4&gt;=$D72,X$4&lt;$D72+'Incremental Repayments'!$I$31),-PMT('Interest Rate'!$J$16,'Incremental Repayments'!$I$31,(HLOOKUP($D72,$E$4:$CZ$32,28,FALSE)*'Incremental Repayments'!$I$22)),0),0)</f>
        <v>0</v>
      </c>
      <c r="Y72" s="783">
        <f>IF('Incremental Repayments'!$R$22="Debt",IF(AND(Y$4&gt;=$D72,Y$4&lt;$D72+'Incremental Repayments'!$I$31),-PMT('Interest Rate'!$J$16,'Incremental Repayments'!$I$31,(HLOOKUP($D72,$E$4:$CZ$32,28,FALSE)*'Incremental Repayments'!$I$22)),0),0)</f>
        <v>0</v>
      </c>
      <c r="Z72" s="783">
        <f>IF('Incremental Repayments'!$R$22="Debt",IF(AND(Z$4&gt;=$D72,Z$4&lt;$D72+'Incremental Repayments'!$I$31),-PMT('Interest Rate'!$J$16,'Incremental Repayments'!$I$31,(HLOOKUP($D72,$E$4:$CZ$32,28,FALSE)*'Incremental Repayments'!$I$22)),0),0)</f>
        <v>0</v>
      </c>
      <c r="AA72" s="783">
        <f>IF('Incremental Repayments'!$R$22="Debt",IF(AND(AA$4&gt;=$D72,AA$4&lt;$D72+'Incremental Repayments'!$I$31),-PMT('Interest Rate'!$J$16,'Incremental Repayments'!$I$31,(HLOOKUP($D72,$E$4:$CZ$32,28,FALSE)*'Incremental Repayments'!$I$22)),0),0)</f>
        <v>0</v>
      </c>
      <c r="AB72" s="783">
        <f>IF('Incremental Repayments'!$R$22="Debt",IF(AND(AB$4&gt;=$D72,AB$4&lt;$D72+'Incremental Repayments'!$I$31),-PMT('Interest Rate'!$J$16,'Incremental Repayments'!$I$31,(HLOOKUP($D72,$E$4:$CZ$32,28,FALSE)*'Incremental Repayments'!$I$22)),0),0)</f>
        <v>0</v>
      </c>
      <c r="AC72" s="783">
        <f>IF('Incremental Repayments'!$R$22="Debt",IF(AND(AC$4&gt;=$D72,AC$4&lt;$D72+'Incremental Repayments'!$I$31),-PMT('Interest Rate'!$J$16,'Incremental Repayments'!$I$31,(HLOOKUP($D72,$E$4:$CZ$32,28,FALSE)*'Incremental Repayments'!$I$22)),0),0)</f>
        <v>0</v>
      </c>
      <c r="AD72" s="783">
        <f>IF('Incremental Repayments'!$R$22="Debt",IF(AND(AD$4&gt;=$D72,AD$4&lt;$D72+'Incremental Repayments'!$I$31),-PMT('Interest Rate'!$J$16,'Incremental Repayments'!$I$31,(HLOOKUP($D72,$E$4:$CZ$32,28,FALSE)*'Incremental Repayments'!$I$22)),0),0)</f>
        <v>0</v>
      </c>
      <c r="AE72" s="783">
        <f>IF('Incremental Repayments'!$R$22="Debt",IF(AND(AE$4&gt;=$D72,AE$4&lt;$D72+'Incremental Repayments'!$I$31),-PMT('Interest Rate'!$J$16,'Incremental Repayments'!$I$31,(HLOOKUP($D72,$E$4:$CZ$32,28,FALSE)*'Incremental Repayments'!$I$22)),0),0)</f>
        <v>0</v>
      </c>
      <c r="AF72" s="783">
        <f>IF('Incremental Repayments'!$R$22="Debt",IF(AND(AF$4&gt;=$D72,AF$4&lt;$D72+'Incremental Repayments'!$I$31),-PMT('Interest Rate'!$J$16,'Incremental Repayments'!$I$31,(HLOOKUP($D72,$E$4:$CZ$32,28,FALSE)*'Incremental Repayments'!$I$22)),0),0)</f>
        <v>0</v>
      </c>
      <c r="AG72" s="783">
        <f>IF('Incremental Repayments'!$R$22="Debt",IF(AND(AG$4&gt;=$D72,AG$4&lt;$D72+'Incremental Repayments'!$I$31),-PMT('Interest Rate'!$J$16,'Incremental Repayments'!$I$31,(HLOOKUP($D72,$E$4:$CZ$32,28,FALSE)*'Incremental Repayments'!$I$22)),0),0)</f>
        <v>0</v>
      </c>
      <c r="AH72" s="783">
        <f>IF('Incremental Repayments'!$R$22="Debt",IF(AND(AH$4&gt;=$D72,AH$4&lt;$D72+'Incremental Repayments'!$I$31),-PMT('Interest Rate'!$J$16,'Incremental Repayments'!$I$31,(HLOOKUP($D72,$E$4:$CZ$32,28,FALSE)*'Incremental Repayments'!$I$22)),0),0)</f>
        <v>0</v>
      </c>
      <c r="AI72" s="783">
        <f>IF('Incremental Repayments'!$R$22="Debt",IF(AND(AI$4&gt;=$D72,AI$4&lt;$D72+'Incremental Repayments'!$I$31),-PMT('Interest Rate'!$J$16,'Incremental Repayments'!$I$31,(HLOOKUP($D72,$E$4:$CZ$32,28,FALSE)*'Incremental Repayments'!$I$22)),0),0)</f>
        <v>0</v>
      </c>
      <c r="AJ72" s="783">
        <f>IF('Incremental Repayments'!$R$22="Debt",IF(AND(AJ$4&gt;=$D72,AJ$4&lt;$D72+'Incremental Repayments'!$I$31),-PMT('Interest Rate'!$J$16,'Incremental Repayments'!$I$31,(HLOOKUP($D72,$E$4:$CZ$32,28,FALSE)*'Incremental Repayments'!$I$22)),0),0)</f>
        <v>0</v>
      </c>
      <c r="AK72" s="783">
        <f>IF('Incremental Repayments'!$R$22="Debt",IF(AND(AK$4&gt;=$D72,AK$4&lt;$D72+'Incremental Repayments'!$I$31),-PMT('Interest Rate'!$J$16,'Incremental Repayments'!$I$31,(HLOOKUP($D72,$E$4:$CZ$32,28,FALSE)*'Incremental Repayments'!$I$22)),0),0)</f>
        <v>0</v>
      </c>
      <c r="AL72" s="783">
        <f>IF('Incremental Repayments'!$R$22="Debt",IF(AND(AL$4&gt;=$D72,AL$4&lt;$D72+'Incremental Repayments'!$I$31),-PMT('Interest Rate'!$J$16,'Incremental Repayments'!$I$31,(HLOOKUP($D72,$E$4:$CZ$32,28,FALSE)*'Incremental Repayments'!$I$22)),0),0)</f>
        <v>0</v>
      </c>
      <c r="AM72" s="783">
        <f>IF('Incremental Repayments'!$R$22="Debt",IF(AND(AM$4&gt;=$D72,AM$4&lt;$D72+'Incremental Repayments'!$I$31),-PMT('Interest Rate'!$J$16,'Incremental Repayments'!$I$31,(HLOOKUP($D72,$E$4:$CZ$32,28,FALSE)*'Incremental Repayments'!$I$22)),0),0)</f>
        <v>0</v>
      </c>
      <c r="AN72" s="783">
        <f>IF('Incremental Repayments'!$R$22="Debt",IF(AND(AN$4&gt;=$D72,AN$4&lt;$D72+'Incremental Repayments'!$I$31),-PMT('Interest Rate'!$J$16,'Incremental Repayments'!$I$31,(HLOOKUP($D72,$E$4:$CZ$32,28,FALSE)*'Incremental Repayments'!$I$22)),0),0)</f>
        <v>0</v>
      </c>
      <c r="AO72" s="783">
        <f>IF('Incremental Repayments'!$R$22="Debt",IF(AND(AO$4&gt;=$D72,AO$4&lt;$D72+'Incremental Repayments'!$I$31),-PMT('Interest Rate'!$J$16,'Incremental Repayments'!$I$31,(HLOOKUP($D72,$E$4:$CZ$32,28,FALSE)*'Incremental Repayments'!$I$22)),0),0)</f>
        <v>441082.3825527528</v>
      </c>
      <c r="AP72" s="783">
        <f>IF('Incremental Repayments'!$R$22="Debt",IF(AND(AP$4&gt;=$D72,AP$4&lt;$D72+'Incremental Repayments'!$I$31),-PMT('Interest Rate'!$J$16,'Incremental Repayments'!$I$31,(HLOOKUP($D72,$E$4:$CZ$32,28,FALSE)*'Incremental Repayments'!$I$22)),0),0)</f>
        <v>441082.3825527528</v>
      </c>
      <c r="AQ72" s="783">
        <f>IF('Incremental Repayments'!$R$22="Debt",IF(AND(AQ$4&gt;=$D72,AQ$4&lt;$D72+'Incremental Repayments'!$I$31),-PMT('Interest Rate'!$J$16,'Incremental Repayments'!$I$31,(HLOOKUP($D72,$E$4:$CZ$32,28,FALSE)*'Incremental Repayments'!$I$22)),0),0)</f>
        <v>441082.3825527528</v>
      </c>
      <c r="AR72" s="783">
        <f>IF('Incremental Repayments'!$R$22="Debt",IF(AND(AR$4&gt;=$D72,AR$4&lt;$D72+'Incremental Repayments'!$I$31),-PMT('Interest Rate'!$J$16,'Incremental Repayments'!$I$31,(HLOOKUP($D72,$E$4:$CZ$32,28,FALSE)*'Incremental Repayments'!$I$22)),0),0)</f>
        <v>441082.3825527528</v>
      </c>
      <c r="AS72" s="783">
        <f>IF('Incremental Repayments'!$R$22="Debt",IF(AND(AS$4&gt;=$D72,AS$4&lt;$D72+'Incremental Repayments'!$I$31),-PMT('Interest Rate'!$J$16,'Incremental Repayments'!$I$31,(HLOOKUP($D72,$E$4:$CZ$32,28,FALSE)*'Incremental Repayments'!$I$22)),0),0)</f>
        <v>441082.3825527528</v>
      </c>
      <c r="AT72" s="783">
        <f>IF('Incremental Repayments'!$R$22="Debt",IF(AND(AT$4&gt;=$D72,AT$4&lt;$D72+'Incremental Repayments'!$I$31),-PMT('Interest Rate'!$J$16,'Incremental Repayments'!$I$31,(HLOOKUP($D72,$E$4:$CZ$32,28,FALSE)*'Incremental Repayments'!$I$22)),0),0)</f>
        <v>441082.3825527528</v>
      </c>
      <c r="AU72" s="783">
        <f>IF('Incremental Repayments'!$R$22="Debt",IF(AND(AU$4&gt;=$D72,AU$4&lt;$D72+'Incremental Repayments'!$I$31),-PMT('Interest Rate'!$J$16,'Incremental Repayments'!$I$31,(HLOOKUP($D72,$E$4:$CZ$32,28,FALSE)*'Incremental Repayments'!$I$22)),0),0)</f>
        <v>441082.3825527528</v>
      </c>
      <c r="AV72" s="783">
        <f>IF('Incremental Repayments'!$R$22="Debt",IF(AND(AV$4&gt;=$D72,AV$4&lt;$D72+'Incremental Repayments'!$I$31),-PMT('Interest Rate'!$J$16,'Incremental Repayments'!$I$31,(HLOOKUP($D72,$E$4:$CZ$32,28,FALSE)*'Incremental Repayments'!$I$22)),0),0)</f>
        <v>441082.3825527528</v>
      </c>
      <c r="AW72" s="783">
        <f>IF('Incremental Repayments'!$R$22="Debt",IF(AND(AW$4&gt;=$D72,AW$4&lt;$D72+'Incremental Repayments'!$I$31),-PMT('Interest Rate'!$J$16,'Incremental Repayments'!$I$31,(HLOOKUP($D72,$E$4:$CZ$32,28,FALSE)*'Incremental Repayments'!$I$22)),0),0)</f>
        <v>441082.3825527528</v>
      </c>
      <c r="AX72" s="783">
        <f>IF('Incremental Repayments'!$R$22="Debt",IF(AND(AX$4&gt;=$D72,AX$4&lt;$D72+'Incremental Repayments'!$I$31),-PMT('Interest Rate'!$J$16,'Incremental Repayments'!$I$31,(HLOOKUP($D72,$E$4:$CZ$32,28,FALSE)*'Incremental Repayments'!$I$22)),0),0)</f>
        <v>441082.3825527528</v>
      </c>
      <c r="AY72" s="783">
        <f>IF('Incremental Repayments'!$R$22="Debt",IF(AND(AY$4&gt;=$D72,AY$4&lt;$D72+'Incremental Repayments'!$I$31),-PMT('Interest Rate'!$J$16,'Incremental Repayments'!$I$31,(HLOOKUP($D72,$E$4:$CZ$32,28,FALSE)*'Incremental Repayments'!$I$22)),0),0)</f>
        <v>441082.3825527528</v>
      </c>
      <c r="AZ72" s="783">
        <f>IF('Incremental Repayments'!$R$22="Debt",IF(AND(AZ$4&gt;=$D72,AZ$4&lt;$D72+'Incremental Repayments'!$I$31),-PMT('Interest Rate'!$J$16,'Incremental Repayments'!$I$31,(HLOOKUP($D72,$E$4:$CZ$32,28,FALSE)*'Incremental Repayments'!$I$22)),0),0)</f>
        <v>441082.3825527528</v>
      </c>
      <c r="BA72" s="783">
        <f>IF('Incremental Repayments'!$R$22="Debt",IF(AND(BA$4&gt;=$D72,BA$4&lt;$D72+'Incremental Repayments'!$I$31),-PMT('Interest Rate'!$J$16,'Incremental Repayments'!$I$31,(HLOOKUP($D72,$E$4:$CZ$32,28,FALSE)*'Incremental Repayments'!$I$22)),0),0)</f>
        <v>441082.3825527528</v>
      </c>
      <c r="BB72" s="783">
        <f>IF('Incremental Repayments'!$R$22="Debt",IF(AND(BB$4&gt;=$D72,BB$4&lt;$D72+'Incremental Repayments'!$I$31),-PMT('Interest Rate'!$J$16,'Incremental Repayments'!$I$31,(HLOOKUP($D72,$E$4:$CZ$32,28,FALSE)*'Incremental Repayments'!$I$22)),0),0)</f>
        <v>441082.3825527528</v>
      </c>
      <c r="BC72" s="783">
        <f>IF('Incremental Repayments'!$R$22="Debt",IF(AND(BC$4&gt;=$D72,BC$4&lt;$D72+'Incremental Repayments'!$I$31),-PMT('Interest Rate'!$J$16,'Incremental Repayments'!$I$31,(HLOOKUP($D72,$E$4:$CZ$32,28,FALSE)*'Incremental Repayments'!$I$22)),0),0)</f>
        <v>441082.3825527528</v>
      </c>
      <c r="BD72" s="783">
        <f>IF('Incremental Repayments'!$R$22="Debt",IF(AND(BD$4&gt;=$D72,BD$4&lt;$D72+'Incremental Repayments'!$I$31),-PMT('Interest Rate'!$J$16,'Incremental Repayments'!$I$31,(HLOOKUP($D72,$E$4:$CZ$32,28,FALSE)*'Incremental Repayments'!$I$22)),0),0)</f>
        <v>441082.3825527528</v>
      </c>
      <c r="BE72" s="783">
        <f>IF('Incremental Repayments'!$R$22="Debt",IF(AND(BE$4&gt;=$D72,BE$4&lt;$D72+'Incremental Repayments'!$I$31),-PMT('Interest Rate'!$J$16,'Incremental Repayments'!$I$31,(HLOOKUP($D72,$E$4:$CZ$32,28,FALSE)*'Incremental Repayments'!$I$22)),0),0)</f>
        <v>441082.3825527528</v>
      </c>
      <c r="BF72" s="783">
        <f>IF('Incremental Repayments'!$R$22="Debt",IF(AND(BF$4&gt;=$D72,BF$4&lt;$D72+'Incremental Repayments'!$I$31),-PMT('Interest Rate'!$J$16,'Incremental Repayments'!$I$31,(HLOOKUP($D72,$E$4:$CZ$32,28,FALSE)*'Incremental Repayments'!$I$22)),0),0)</f>
        <v>441082.3825527528</v>
      </c>
      <c r="BG72" s="783">
        <f>IF('Incremental Repayments'!$R$22="Debt",IF(AND(BG$4&gt;=$D72,BG$4&lt;$D72+'Incremental Repayments'!$I$31),-PMT('Interest Rate'!$J$16,'Incremental Repayments'!$I$31,(HLOOKUP($D72,$E$4:$CZ$32,28,FALSE)*'Incremental Repayments'!$I$22)),0),0)</f>
        <v>441082.3825527528</v>
      </c>
      <c r="BH72" s="783">
        <f>IF('Incremental Repayments'!$R$22="Debt",IF(AND(BH$4&gt;=$D72,BH$4&lt;$D72+'Incremental Repayments'!$I$31),-PMT('Interest Rate'!$J$16,'Incremental Repayments'!$I$31,(HLOOKUP($D72,$E$4:$CZ$32,28,FALSE)*'Incremental Repayments'!$I$22)),0),0)</f>
        <v>441082.3825527528</v>
      </c>
      <c r="BI72" s="783">
        <f>IF('Incremental Repayments'!$R$22="Debt",IF(AND(BI$4&gt;=$D72,BI$4&lt;$D72+'Incremental Repayments'!$I$31),-PMT('Interest Rate'!$J$16,'Incremental Repayments'!$I$31,(HLOOKUP($D72,$E$4:$CZ$32,28,FALSE)*'Incremental Repayments'!$I$22)),0),0)</f>
        <v>441082.3825527528</v>
      </c>
      <c r="BJ72" s="783">
        <f>IF('Incremental Repayments'!$R$22="Debt",IF(AND(BJ$4&gt;=$D72,BJ$4&lt;$D72+'Incremental Repayments'!$I$31),-PMT('Interest Rate'!$J$16,'Incremental Repayments'!$I$31,(HLOOKUP($D72,$E$4:$CZ$32,28,FALSE)*'Incremental Repayments'!$I$22)),0),0)</f>
        <v>441082.3825527528</v>
      </c>
      <c r="BK72" s="783">
        <f>IF('Incremental Repayments'!$R$22="Debt",IF(AND(BK$4&gt;=$D72,BK$4&lt;$D72+'Incremental Repayments'!$I$31),-PMT('Interest Rate'!$J$16,'Incremental Repayments'!$I$31,(HLOOKUP($D72,$E$4:$CZ$32,28,FALSE)*'Incremental Repayments'!$I$22)),0),0)</f>
        <v>441082.3825527528</v>
      </c>
      <c r="BL72" s="783">
        <f>IF('Incremental Repayments'!$R$22="Debt",IF(AND(BL$4&gt;=$D72,BL$4&lt;$D72+'Incremental Repayments'!$I$31),-PMT('Interest Rate'!$J$16,'Incremental Repayments'!$I$31,(HLOOKUP($D72,$E$4:$CZ$32,28,FALSE)*'Incremental Repayments'!$I$22)),0),0)</f>
        <v>441082.3825527528</v>
      </c>
      <c r="BM72" s="783">
        <f>IF('Incremental Repayments'!$R$22="Debt",IF(AND(BM$4&gt;=$D72,BM$4&lt;$D72+'Incremental Repayments'!$I$31),-PMT('Interest Rate'!$J$16,'Incremental Repayments'!$I$31,(HLOOKUP($D72,$E$4:$CZ$32,28,FALSE)*'Incremental Repayments'!$I$22)),0),0)</f>
        <v>441082.3825527528</v>
      </c>
      <c r="BN72" s="783">
        <f>IF('Incremental Repayments'!$R$22="Debt",IF(AND(BN$4&gt;=$D72,BN$4&lt;$D72+'Incremental Repayments'!$I$31),-PMT('Interest Rate'!$J$16,'Incremental Repayments'!$I$31,(HLOOKUP($D72,$E$4:$CZ$32,28,FALSE)*'Incremental Repayments'!$I$22)),0),0)</f>
        <v>441082.3825527528</v>
      </c>
      <c r="BO72" s="783">
        <f>IF('Incremental Repayments'!$R$22="Debt",IF(AND(BO$4&gt;=$D72,BO$4&lt;$D72+'Incremental Repayments'!$I$31),-PMT('Interest Rate'!$J$16,'Incremental Repayments'!$I$31,(HLOOKUP($D72,$E$4:$CZ$32,28,FALSE)*'Incremental Repayments'!$I$22)),0),0)</f>
        <v>441082.3825527528</v>
      </c>
      <c r="BP72" s="783">
        <f>IF('Incremental Repayments'!$R$22="Debt",IF(AND(BP$4&gt;=$D72,BP$4&lt;$D72+'Incremental Repayments'!$I$31),-PMT('Interest Rate'!$J$16,'Incremental Repayments'!$I$31,(HLOOKUP($D72,$E$4:$CZ$32,28,FALSE)*'Incremental Repayments'!$I$22)),0),0)</f>
        <v>441082.3825527528</v>
      </c>
      <c r="BQ72" s="783">
        <f>IF('Incremental Repayments'!$R$22="Debt",IF(AND(BQ$4&gt;=$D72,BQ$4&lt;$D72+'Incremental Repayments'!$I$31),-PMT('Interest Rate'!$J$16,'Incremental Repayments'!$I$31,(HLOOKUP($D72,$E$4:$CZ$32,28,FALSE)*'Incremental Repayments'!$I$22)),0),0)</f>
        <v>441082.3825527528</v>
      </c>
      <c r="BR72" s="783">
        <f>IF('Incremental Repayments'!$R$22="Debt",IF(AND(BR$4&gt;=$D72,BR$4&lt;$D72+'Incremental Repayments'!$I$31),-PMT('Interest Rate'!$J$16,'Incremental Repayments'!$I$31,(HLOOKUP($D72,$E$4:$CZ$32,28,FALSE)*'Incremental Repayments'!$I$22)),0),0)</f>
        <v>441082.3825527528</v>
      </c>
      <c r="BS72" s="783">
        <f>IF('Incremental Repayments'!$R$22="Debt",IF(AND(BS$4&gt;=$D72,BS$4&lt;$D72+'Incremental Repayments'!$I$31),-PMT('Interest Rate'!$J$16,'Incremental Repayments'!$I$31,(HLOOKUP($D72,$E$4:$CZ$32,28,FALSE)*'Incremental Repayments'!$I$22)),0),0)</f>
        <v>0</v>
      </c>
      <c r="BT72" s="783">
        <f>IF('Incremental Repayments'!$R$22="Debt",IF(AND(BT$4&gt;=$D72,BT$4&lt;$D72+'Incremental Repayments'!$I$31),-PMT('Interest Rate'!$J$16,'Incremental Repayments'!$I$31,(HLOOKUP($D72,$E$4:$CZ$32,28,FALSE)*'Incremental Repayments'!$I$22)),0),0)</f>
        <v>0</v>
      </c>
      <c r="BU72" s="783">
        <f>IF('Incremental Repayments'!$R$22="Debt",IF(AND(BU$4&gt;=$D72,BU$4&lt;$D72+'Incremental Repayments'!$I$31),-PMT('Interest Rate'!$J$16,'Incremental Repayments'!$I$31,(HLOOKUP($D72,$E$4:$CZ$32,28,FALSE)*'Incremental Repayments'!$I$22)),0),0)</f>
        <v>0</v>
      </c>
      <c r="BV72" s="783">
        <f>IF('Incremental Repayments'!$R$22="Debt",IF(AND(BV$4&gt;=$D72,BV$4&lt;$D72+'Incremental Repayments'!$I$31),-PMT('Interest Rate'!$J$16,'Incremental Repayments'!$I$31,(HLOOKUP($D72,$E$4:$CZ$32,28,FALSE)*'Incremental Repayments'!$I$22)),0),0)</f>
        <v>0</v>
      </c>
      <c r="BW72" s="783">
        <f>IF('Incremental Repayments'!$R$22="Debt",IF(AND(BW$4&gt;=$D72,BW$4&lt;$D72+'Incremental Repayments'!$I$31),-PMT('Interest Rate'!$J$16,'Incremental Repayments'!$I$31,(HLOOKUP($D72,$E$4:$CZ$32,28,FALSE)*'Incremental Repayments'!$I$22)),0),0)</f>
        <v>0</v>
      </c>
      <c r="BX72" s="783">
        <f>IF('Incremental Repayments'!$R$22="Debt",IF(AND(BX$4&gt;=$D72,BX$4&lt;$D72+'Incremental Repayments'!$I$31),-PMT('Interest Rate'!$J$16,'Incremental Repayments'!$I$31,(HLOOKUP($D72,$E$4:$CZ$32,28,FALSE)*'Incremental Repayments'!$I$22)),0),0)</f>
        <v>0</v>
      </c>
      <c r="BY72" s="783">
        <f>IF('Incremental Repayments'!$R$22="Debt",IF(AND(BY$4&gt;=$D72,BY$4&lt;$D72+'Incremental Repayments'!$I$31),-PMT('Interest Rate'!$J$16,'Incremental Repayments'!$I$31,(HLOOKUP($D72,$E$4:$CZ$32,28,FALSE)*'Incremental Repayments'!$I$22)),0),0)</f>
        <v>0</v>
      </c>
      <c r="BZ72" s="783">
        <f>IF('Incremental Repayments'!$R$22="Debt",IF(AND(BZ$4&gt;=$D72,BZ$4&lt;$D72+'Incremental Repayments'!$I$31),-PMT('Interest Rate'!$J$16,'Incremental Repayments'!$I$31,(HLOOKUP($D72,$E$4:$CZ$32,28,FALSE)*'Incremental Repayments'!$I$22)),0),0)</f>
        <v>0</v>
      </c>
      <c r="CA72" s="783">
        <f>IF('Incremental Repayments'!$R$22="Debt",IF(AND(CA$4&gt;=$D72,CA$4&lt;$D72+'Incremental Repayments'!$I$31),-PMT('Interest Rate'!$J$16,'Incremental Repayments'!$I$31,(HLOOKUP($D72,$E$4:$CZ$32,28,FALSE)*'Incremental Repayments'!$I$22)),0),0)</f>
        <v>0</v>
      </c>
      <c r="CB72" s="783">
        <f>IF('Incremental Repayments'!$R$22="Debt",IF(AND(CB$4&gt;=$D72,CB$4&lt;$D72+'Incremental Repayments'!$I$31),-PMT('Interest Rate'!$J$16,'Incremental Repayments'!$I$31,(HLOOKUP($D72,$E$4:$CZ$32,28,FALSE)*'Incremental Repayments'!$I$22)),0),0)</f>
        <v>0</v>
      </c>
      <c r="CC72" s="783">
        <f>IF('Incremental Repayments'!$R$22="Debt",IF(AND(CC$4&gt;=$D72,CC$4&lt;$D72+'Incremental Repayments'!$I$31),-PMT('Interest Rate'!$J$16,'Incremental Repayments'!$I$31,(HLOOKUP($D72,$E$4:$CZ$32,28,FALSE)*'Incremental Repayments'!$I$22)),0),0)</f>
        <v>0</v>
      </c>
      <c r="CD72" s="783">
        <f>IF('Incremental Repayments'!$R$22="Debt",IF(AND(CD$4&gt;=$D72,CD$4&lt;$D72+'Incremental Repayments'!$I$31),-PMT('Interest Rate'!$J$16,'Incremental Repayments'!$I$31,(HLOOKUP($D72,$E$4:$CZ$32,28,FALSE)*'Incremental Repayments'!$I$22)),0),0)</f>
        <v>0</v>
      </c>
      <c r="CE72" s="783">
        <f>IF('Incremental Repayments'!$R$22="Debt",IF(AND(CE$4&gt;=$D72,CE$4&lt;$D72+'Incremental Repayments'!$I$31),-PMT('Interest Rate'!$J$16,'Incremental Repayments'!$I$31,(HLOOKUP($D72,$E$4:$CZ$32,28,FALSE)*'Incremental Repayments'!$I$22)),0),0)</f>
        <v>0</v>
      </c>
      <c r="CF72" s="783">
        <f>IF('Incremental Repayments'!$R$22="Debt",IF(AND(CF$4&gt;=$D72,CF$4&lt;$D72+'Incremental Repayments'!$I$31),-PMT('Interest Rate'!$J$16,'Incremental Repayments'!$I$31,(HLOOKUP($D72,$E$4:$CZ$32,28,FALSE)*'Incremental Repayments'!$I$22)),0),0)</f>
        <v>0</v>
      </c>
      <c r="CG72" s="783">
        <f>IF('Incremental Repayments'!$R$22="Debt",IF(AND(CG$4&gt;=$D72,CG$4&lt;$D72+'Incremental Repayments'!$I$31),-PMT('Interest Rate'!$J$16,'Incremental Repayments'!$I$31,(HLOOKUP($D72,$E$4:$CZ$32,28,FALSE)*'Incremental Repayments'!$I$22)),0),0)</f>
        <v>0</v>
      </c>
      <c r="CH72" s="783">
        <f>IF('Incremental Repayments'!$R$22="Debt",IF(AND(CH$4&gt;=$D72,CH$4&lt;$D72+'Incremental Repayments'!$I$31),-PMT('Interest Rate'!$J$16,'Incremental Repayments'!$I$31,(HLOOKUP($D72,$E$4:$CZ$32,28,FALSE)*'Incremental Repayments'!$I$22)),0),0)</f>
        <v>0</v>
      </c>
      <c r="CI72" s="783">
        <f>IF('Incremental Repayments'!$R$22="Debt",IF(AND(CI$4&gt;=$D72,CI$4&lt;$D72+'Incremental Repayments'!$I$31),-PMT('Interest Rate'!$J$16,'Incremental Repayments'!$I$31,(HLOOKUP($D72,$E$4:$CZ$32,28,FALSE)*'Incremental Repayments'!$I$22)),0),0)</f>
        <v>0</v>
      </c>
      <c r="CJ72" s="783">
        <f>IF('Incremental Repayments'!$R$22="Debt",IF(AND(CJ$4&gt;=$D72,CJ$4&lt;$D72+'Incremental Repayments'!$I$31),-PMT('Interest Rate'!$J$16,'Incremental Repayments'!$I$31,(HLOOKUP($D72,$E$4:$CZ$32,28,FALSE)*'Incremental Repayments'!$I$22)),0),0)</f>
        <v>0</v>
      </c>
      <c r="CK72" s="783">
        <f>IF('Incremental Repayments'!$R$22="Debt",IF(AND(CK$4&gt;=$D72,CK$4&lt;$D72+'Incremental Repayments'!$I$31),-PMT('Interest Rate'!$J$16,'Incremental Repayments'!$I$31,(HLOOKUP($D72,$E$4:$CZ$32,28,FALSE)*'Incremental Repayments'!$I$22)),0),0)</f>
        <v>0</v>
      </c>
      <c r="CL72" s="783">
        <f>IF('Incremental Repayments'!$R$22="Debt",IF(AND(CL$4&gt;=$D72,CL$4&lt;$D72+'Incremental Repayments'!$I$31),-PMT('Interest Rate'!$J$16,'Incremental Repayments'!$I$31,(HLOOKUP($D72,$E$4:$CZ$32,28,FALSE)*'Incremental Repayments'!$I$22)),0),0)</f>
        <v>0</v>
      </c>
      <c r="CM72" s="783">
        <f>IF('Incremental Repayments'!$R$22="Debt",IF(AND(CM$4&gt;=$D72,CM$4&lt;$D72+'Incremental Repayments'!$I$31),-PMT('Interest Rate'!$J$16,'Incremental Repayments'!$I$31,(HLOOKUP($D72,$E$4:$CZ$32,28,FALSE)*'Incremental Repayments'!$I$22)),0),0)</f>
        <v>0</v>
      </c>
      <c r="CN72" s="783">
        <f>IF('Incremental Repayments'!$R$22="Debt",IF(AND(CN$4&gt;=$D72,CN$4&lt;$D72+'Incremental Repayments'!$I$31),-PMT('Interest Rate'!$J$16,'Incremental Repayments'!$I$31,(HLOOKUP($D72,$E$4:$CZ$32,28,FALSE)*'Incremental Repayments'!$I$22)),0),0)</f>
        <v>0</v>
      </c>
      <c r="CO72" s="783">
        <f>IF('Incremental Repayments'!$R$22="Debt",IF(AND(CO$4&gt;=$D72,CO$4&lt;$D72+'Incremental Repayments'!$I$31),-PMT('Interest Rate'!$J$16,'Incremental Repayments'!$I$31,(HLOOKUP($D72,$E$4:$CZ$32,28,FALSE)*'Incremental Repayments'!$I$22)),0),0)</f>
        <v>0</v>
      </c>
      <c r="CP72" s="783">
        <f>IF('Incremental Repayments'!$R$22="Debt",IF(AND(CP$4&gt;=$D72,CP$4&lt;$D72+'Incremental Repayments'!$I$31),-PMT('Interest Rate'!$J$16,'Incremental Repayments'!$I$31,(HLOOKUP($D72,$E$4:$CZ$32,28,FALSE)*'Incremental Repayments'!$I$22)),0),0)</f>
        <v>0</v>
      </c>
      <c r="CQ72" s="783">
        <f>IF('Incremental Repayments'!$R$22="Debt",IF(AND(CQ$4&gt;=$D72,CQ$4&lt;$D72+'Incremental Repayments'!$I$31),-PMT('Interest Rate'!$J$16,'Incremental Repayments'!$I$31,(HLOOKUP($D72,$E$4:$CZ$32,28,FALSE)*'Incremental Repayments'!$I$22)),0),0)</f>
        <v>0</v>
      </c>
      <c r="CR72" s="783">
        <f>IF('Incremental Repayments'!$R$22="Debt",IF(AND(CR$4&gt;=$D72,CR$4&lt;$D72+'Incremental Repayments'!$I$31),-PMT('Interest Rate'!$J$16,'Incremental Repayments'!$I$31,(HLOOKUP($D72,$E$4:$CZ$32,28,FALSE)*'Incremental Repayments'!$I$22)),0),0)</f>
        <v>0</v>
      </c>
      <c r="CS72" s="783">
        <f>IF('Incremental Repayments'!$R$22="Debt",IF(AND(CS$4&gt;=$D72,CS$4&lt;$D72+'Incremental Repayments'!$I$31),-PMT('Interest Rate'!$J$16,'Incremental Repayments'!$I$31,(HLOOKUP($D72,$E$4:$CZ$32,28,FALSE)*'Incremental Repayments'!$I$22)),0),0)</f>
        <v>0</v>
      </c>
      <c r="CT72" s="783">
        <f>IF('Incremental Repayments'!$R$22="Debt",IF(AND(CT$4&gt;=$D72,CT$4&lt;$D72+'Incremental Repayments'!$I$31),-PMT('Interest Rate'!$J$16,'Incremental Repayments'!$I$31,(HLOOKUP($D72,$E$4:$CZ$32,28,FALSE)*'Incremental Repayments'!$I$22)),0),0)</f>
        <v>0</v>
      </c>
      <c r="CU72" s="783">
        <f>IF('Incremental Repayments'!$R$22="Debt",IF(AND(CU$4&gt;=$D72,CU$4&lt;$D72+'Incremental Repayments'!$I$31),-PMT('Interest Rate'!$J$16,'Incremental Repayments'!$I$31,(HLOOKUP($D72,$E$4:$CZ$32,28,FALSE)*'Incremental Repayments'!$I$22)),0),0)</f>
        <v>0</v>
      </c>
      <c r="CV72" s="783">
        <f>IF('Incremental Repayments'!$R$22="Debt",IF(AND(CV$4&gt;=$D72,CV$4&lt;$D72+'Incremental Repayments'!$I$31),-PMT('Interest Rate'!$J$16,'Incremental Repayments'!$I$31,(HLOOKUP($D72,$E$4:$CZ$32,28,FALSE)*'Incremental Repayments'!$I$22)),0),0)</f>
        <v>0</v>
      </c>
      <c r="CW72" s="783">
        <f>IF('Incremental Repayments'!$R$22="Debt",IF(AND(CW$4&gt;=$D72,CW$4&lt;$D72+'Incremental Repayments'!$I$31),-PMT('Interest Rate'!$J$16,'Incremental Repayments'!$I$31,(HLOOKUP($D72,$E$4:$CZ$32,28,FALSE)*'Incremental Repayments'!$I$22)),0),0)</f>
        <v>0</v>
      </c>
      <c r="CX72" s="783">
        <f>IF('Incremental Repayments'!$R$22="Debt",IF(AND(CX$4&gt;=$D72,CX$4&lt;$D72+'Incremental Repayments'!$I$31),-PMT('Interest Rate'!$J$16,'Incremental Repayments'!$I$31,(HLOOKUP($D72,$E$4:$CZ$32,28,FALSE)*'Incremental Repayments'!$I$22)),0),0)</f>
        <v>0</v>
      </c>
      <c r="CY72" s="783">
        <f>IF('Incremental Repayments'!$R$22="Debt",IF(AND(CY$4&gt;=$D72,CY$4&lt;$D72+'Incremental Repayments'!$I$31),-PMT('Interest Rate'!$J$16,'Incremental Repayments'!$I$31,(HLOOKUP($D72,$E$4:$CZ$32,28,FALSE)*'Incremental Repayments'!$I$22)),0),0)</f>
        <v>0</v>
      </c>
      <c r="CZ72" s="783">
        <f>IF('Incremental Repayments'!$R$22="Debt",IF(AND(CZ$4&gt;=$D72,CZ$4&lt;$D72+'Incremental Repayments'!$I$31),-PMT('Interest Rate'!$J$16,'Incremental Repayments'!$I$31,(HLOOKUP($D72,$E$4:$CZ$32,28,FALSE)*'Incremental Repayments'!$I$22)),0),0)</f>
        <v>0</v>
      </c>
    </row>
    <row r="73" spans="2:104" x14ac:dyDescent="0.25">
      <c r="B73" s="480" t="str">
        <f>CONCATENATE("Series ",D73,"A Bonds (at ",'Interest Rate'!$J$16*100,"% Interest)")</f>
        <v>Series 2051A Bonds (at 4.5% Interest)</v>
      </c>
      <c r="C73" s="480"/>
      <c r="D73" s="492">
        <f t="shared" si="47"/>
        <v>2051</v>
      </c>
      <c r="E73" s="783">
        <f>IF('Incremental Repayments'!$R$22="Debt",IF(AND(E$4&gt;=$D73,E$4&lt;$D73+'Incremental Repayments'!$I$31),-PMT('Interest Rate'!$J$16,'Incremental Repayments'!$I$31,(HLOOKUP($D73,$E$4:$CZ$32,28,FALSE)*'Incremental Repayments'!$I$22)),0),0)</f>
        <v>0</v>
      </c>
      <c r="F73" s="783">
        <f>IF('Incremental Repayments'!$R$22="Debt",IF(AND(F$4&gt;=$D73,F$4&lt;$D73+'Incremental Repayments'!$I$31),-PMT('Interest Rate'!$J$16,'Incremental Repayments'!$I$31,(HLOOKUP($D73,$E$4:$CZ$32,28,FALSE)*'Incremental Repayments'!$I$22)),0),0)</f>
        <v>0</v>
      </c>
      <c r="G73" s="783">
        <f>IF('Incremental Repayments'!$R$22="Debt",IF(AND(G$4&gt;=$D73,G$4&lt;$D73+'Incremental Repayments'!$I$31),-PMT('Interest Rate'!$J$16,'Incremental Repayments'!$I$31,(HLOOKUP($D73,$E$4:$CZ$32,28,FALSE)*'Incremental Repayments'!$I$22)),0),0)</f>
        <v>0</v>
      </c>
      <c r="H73" s="783">
        <f>IF('Incremental Repayments'!$R$22="Debt",IF(AND(H$4&gt;=$D73,H$4&lt;$D73+'Incremental Repayments'!$I$31),-PMT('Interest Rate'!$J$16,'Incremental Repayments'!$I$31,(HLOOKUP($D73,$E$4:$CZ$32,28,FALSE)*'Incremental Repayments'!$I$22)),0),0)</f>
        <v>0</v>
      </c>
      <c r="I73" s="783">
        <f>IF('Incremental Repayments'!$R$22="Debt",IF(AND(I$4&gt;=$D73,I$4&lt;$D73+'Incremental Repayments'!$I$31),-PMT('Interest Rate'!$J$16,'Incremental Repayments'!$I$31,(HLOOKUP($D73,$E$4:$CZ$32,28,FALSE)*'Incremental Repayments'!$I$22)),0),0)</f>
        <v>0</v>
      </c>
      <c r="J73" s="783">
        <f>IF('Incremental Repayments'!$R$22="Debt",IF(AND(J$4&gt;=$D73,J$4&lt;$D73+'Incremental Repayments'!$I$31),-PMT('Interest Rate'!$J$16,'Incremental Repayments'!$I$31,(HLOOKUP($D73,$E$4:$CZ$32,28,FALSE)*'Incremental Repayments'!$I$22)),0),0)</f>
        <v>0</v>
      </c>
      <c r="K73" s="783">
        <f>IF('Incremental Repayments'!$R$22="Debt",IF(AND(K$4&gt;=$D73,K$4&lt;$D73+'Incremental Repayments'!$I$31),-PMT('Interest Rate'!$J$16,'Incremental Repayments'!$I$31,(HLOOKUP($D73,$E$4:$CZ$32,28,FALSE)*'Incremental Repayments'!$I$22)),0),0)</f>
        <v>0</v>
      </c>
      <c r="L73" s="783">
        <f>IF('Incremental Repayments'!$R$22="Debt",IF(AND(L$4&gt;=$D73,L$4&lt;$D73+'Incremental Repayments'!$I$31),-PMT('Interest Rate'!$J$16,'Incremental Repayments'!$I$31,(HLOOKUP($D73,$E$4:$CZ$32,28,FALSE)*'Incremental Repayments'!$I$22)),0),0)</f>
        <v>0</v>
      </c>
      <c r="M73" s="783">
        <f>IF('Incremental Repayments'!$R$22="Debt",IF(AND(M$4&gt;=$D73,M$4&lt;$D73+'Incremental Repayments'!$I$31),-PMT('Interest Rate'!$J$16,'Incremental Repayments'!$I$31,(HLOOKUP($D73,$E$4:$CZ$32,28,FALSE)*'Incremental Repayments'!$I$22)),0),0)</f>
        <v>0</v>
      </c>
      <c r="N73" s="783">
        <f>IF('Incremental Repayments'!$R$22="Debt",IF(AND(N$4&gt;=$D73,N$4&lt;$D73+'Incremental Repayments'!$I$31),-PMT('Interest Rate'!$J$16,'Incremental Repayments'!$I$31,(HLOOKUP($D73,$E$4:$CZ$32,28,FALSE)*'Incremental Repayments'!$I$22)),0),0)</f>
        <v>0</v>
      </c>
      <c r="O73" s="783">
        <f>IF('Incremental Repayments'!$R$22="Debt",IF(AND(O$4&gt;=$D73,O$4&lt;$D73+'Incremental Repayments'!$I$31),-PMT('Interest Rate'!$J$16,'Incremental Repayments'!$I$31,(HLOOKUP($D73,$E$4:$CZ$32,28,FALSE)*'Incremental Repayments'!$I$22)),0),0)</f>
        <v>0</v>
      </c>
      <c r="P73" s="783">
        <f>IF('Incremental Repayments'!$R$22="Debt",IF(AND(P$4&gt;=$D73,P$4&lt;$D73+'Incremental Repayments'!$I$31),-PMT('Interest Rate'!$J$16,'Incremental Repayments'!$I$31,(HLOOKUP($D73,$E$4:$CZ$32,28,FALSE)*'Incremental Repayments'!$I$22)),0),0)</f>
        <v>0</v>
      </c>
      <c r="Q73" s="783">
        <f>IF('Incremental Repayments'!$R$22="Debt",IF(AND(Q$4&gt;=$D73,Q$4&lt;$D73+'Incremental Repayments'!$I$31),-PMT('Interest Rate'!$J$16,'Incremental Repayments'!$I$31,(HLOOKUP($D73,$E$4:$CZ$32,28,FALSE)*'Incremental Repayments'!$I$22)),0),0)</f>
        <v>0</v>
      </c>
      <c r="R73" s="783">
        <f>IF('Incremental Repayments'!$R$22="Debt",IF(AND(R$4&gt;=$D73,R$4&lt;$D73+'Incremental Repayments'!$I$31),-PMT('Interest Rate'!$J$16,'Incremental Repayments'!$I$31,(HLOOKUP($D73,$E$4:$CZ$32,28,FALSE)*'Incremental Repayments'!$I$22)),0),0)</f>
        <v>0</v>
      </c>
      <c r="S73" s="783">
        <f>IF('Incremental Repayments'!$R$22="Debt",IF(AND(S$4&gt;=$D73,S$4&lt;$D73+'Incremental Repayments'!$I$31),-PMT('Interest Rate'!$J$16,'Incremental Repayments'!$I$31,(HLOOKUP($D73,$E$4:$CZ$32,28,FALSE)*'Incremental Repayments'!$I$22)),0),0)</f>
        <v>0</v>
      </c>
      <c r="T73" s="783">
        <f>IF('Incremental Repayments'!$R$22="Debt",IF(AND(T$4&gt;=$D73,T$4&lt;$D73+'Incremental Repayments'!$I$31),-PMT('Interest Rate'!$J$16,'Incremental Repayments'!$I$31,(HLOOKUP($D73,$E$4:$CZ$32,28,FALSE)*'Incremental Repayments'!$I$22)),0),0)</f>
        <v>0</v>
      </c>
      <c r="U73" s="783">
        <f>IF('Incremental Repayments'!$R$22="Debt",IF(AND(U$4&gt;=$D73,U$4&lt;$D73+'Incremental Repayments'!$I$31),-PMT('Interest Rate'!$J$16,'Incremental Repayments'!$I$31,(HLOOKUP($D73,$E$4:$CZ$32,28,FALSE)*'Incremental Repayments'!$I$22)),0),0)</f>
        <v>0</v>
      </c>
      <c r="V73" s="783">
        <f>IF('Incremental Repayments'!$R$22="Debt",IF(AND(V$4&gt;=$D73,V$4&lt;$D73+'Incremental Repayments'!$I$31),-PMT('Interest Rate'!$J$16,'Incremental Repayments'!$I$31,(HLOOKUP($D73,$E$4:$CZ$32,28,FALSE)*'Incremental Repayments'!$I$22)),0),0)</f>
        <v>0</v>
      </c>
      <c r="W73" s="783">
        <f>IF('Incremental Repayments'!$R$22="Debt",IF(AND(W$4&gt;=$D73,W$4&lt;$D73+'Incremental Repayments'!$I$31),-PMT('Interest Rate'!$J$16,'Incremental Repayments'!$I$31,(HLOOKUP($D73,$E$4:$CZ$32,28,FALSE)*'Incremental Repayments'!$I$22)),0),0)</f>
        <v>0</v>
      </c>
      <c r="X73" s="783">
        <f>IF('Incremental Repayments'!$R$22="Debt",IF(AND(X$4&gt;=$D73,X$4&lt;$D73+'Incremental Repayments'!$I$31),-PMT('Interest Rate'!$J$16,'Incremental Repayments'!$I$31,(HLOOKUP($D73,$E$4:$CZ$32,28,FALSE)*'Incremental Repayments'!$I$22)),0),0)</f>
        <v>0</v>
      </c>
      <c r="Y73" s="783">
        <f>IF('Incremental Repayments'!$R$22="Debt",IF(AND(Y$4&gt;=$D73,Y$4&lt;$D73+'Incremental Repayments'!$I$31),-PMT('Interest Rate'!$J$16,'Incremental Repayments'!$I$31,(HLOOKUP($D73,$E$4:$CZ$32,28,FALSE)*'Incremental Repayments'!$I$22)),0),0)</f>
        <v>0</v>
      </c>
      <c r="Z73" s="783">
        <f>IF('Incremental Repayments'!$R$22="Debt",IF(AND(Z$4&gt;=$D73,Z$4&lt;$D73+'Incremental Repayments'!$I$31),-PMT('Interest Rate'!$J$16,'Incremental Repayments'!$I$31,(HLOOKUP($D73,$E$4:$CZ$32,28,FALSE)*'Incremental Repayments'!$I$22)),0),0)</f>
        <v>0</v>
      </c>
      <c r="AA73" s="783">
        <f>IF('Incremental Repayments'!$R$22="Debt",IF(AND(AA$4&gt;=$D73,AA$4&lt;$D73+'Incremental Repayments'!$I$31),-PMT('Interest Rate'!$J$16,'Incremental Repayments'!$I$31,(HLOOKUP($D73,$E$4:$CZ$32,28,FALSE)*'Incremental Repayments'!$I$22)),0),0)</f>
        <v>0</v>
      </c>
      <c r="AB73" s="783">
        <f>IF('Incremental Repayments'!$R$22="Debt",IF(AND(AB$4&gt;=$D73,AB$4&lt;$D73+'Incremental Repayments'!$I$31),-PMT('Interest Rate'!$J$16,'Incremental Repayments'!$I$31,(HLOOKUP($D73,$E$4:$CZ$32,28,FALSE)*'Incremental Repayments'!$I$22)),0),0)</f>
        <v>0</v>
      </c>
      <c r="AC73" s="783">
        <f>IF('Incremental Repayments'!$R$22="Debt",IF(AND(AC$4&gt;=$D73,AC$4&lt;$D73+'Incremental Repayments'!$I$31),-PMT('Interest Rate'!$J$16,'Incremental Repayments'!$I$31,(HLOOKUP($D73,$E$4:$CZ$32,28,FALSE)*'Incremental Repayments'!$I$22)),0),0)</f>
        <v>0</v>
      </c>
      <c r="AD73" s="783">
        <f>IF('Incremental Repayments'!$R$22="Debt",IF(AND(AD$4&gt;=$D73,AD$4&lt;$D73+'Incremental Repayments'!$I$31),-PMT('Interest Rate'!$J$16,'Incremental Repayments'!$I$31,(HLOOKUP($D73,$E$4:$CZ$32,28,FALSE)*'Incremental Repayments'!$I$22)),0),0)</f>
        <v>0</v>
      </c>
      <c r="AE73" s="783">
        <f>IF('Incremental Repayments'!$R$22="Debt",IF(AND(AE$4&gt;=$D73,AE$4&lt;$D73+'Incremental Repayments'!$I$31),-PMT('Interest Rate'!$J$16,'Incremental Repayments'!$I$31,(HLOOKUP($D73,$E$4:$CZ$32,28,FALSE)*'Incremental Repayments'!$I$22)),0),0)</f>
        <v>0</v>
      </c>
      <c r="AF73" s="783">
        <f>IF('Incremental Repayments'!$R$22="Debt",IF(AND(AF$4&gt;=$D73,AF$4&lt;$D73+'Incremental Repayments'!$I$31),-PMT('Interest Rate'!$J$16,'Incremental Repayments'!$I$31,(HLOOKUP($D73,$E$4:$CZ$32,28,FALSE)*'Incremental Repayments'!$I$22)),0),0)</f>
        <v>0</v>
      </c>
      <c r="AG73" s="783">
        <f>IF('Incremental Repayments'!$R$22="Debt",IF(AND(AG$4&gt;=$D73,AG$4&lt;$D73+'Incremental Repayments'!$I$31),-PMT('Interest Rate'!$J$16,'Incremental Repayments'!$I$31,(HLOOKUP($D73,$E$4:$CZ$32,28,FALSE)*'Incremental Repayments'!$I$22)),0),0)</f>
        <v>0</v>
      </c>
      <c r="AH73" s="783">
        <f>IF('Incremental Repayments'!$R$22="Debt",IF(AND(AH$4&gt;=$D73,AH$4&lt;$D73+'Incremental Repayments'!$I$31),-PMT('Interest Rate'!$J$16,'Incremental Repayments'!$I$31,(HLOOKUP($D73,$E$4:$CZ$32,28,FALSE)*'Incremental Repayments'!$I$22)),0),0)</f>
        <v>0</v>
      </c>
      <c r="AI73" s="783">
        <f>IF('Incremental Repayments'!$R$22="Debt",IF(AND(AI$4&gt;=$D73,AI$4&lt;$D73+'Incremental Repayments'!$I$31),-PMT('Interest Rate'!$J$16,'Incremental Repayments'!$I$31,(HLOOKUP($D73,$E$4:$CZ$32,28,FALSE)*'Incremental Repayments'!$I$22)),0),0)</f>
        <v>0</v>
      </c>
      <c r="AJ73" s="783">
        <f>IF('Incremental Repayments'!$R$22="Debt",IF(AND(AJ$4&gt;=$D73,AJ$4&lt;$D73+'Incremental Repayments'!$I$31),-PMT('Interest Rate'!$J$16,'Incremental Repayments'!$I$31,(HLOOKUP($D73,$E$4:$CZ$32,28,FALSE)*'Incremental Repayments'!$I$22)),0),0)</f>
        <v>0</v>
      </c>
      <c r="AK73" s="783">
        <f>IF('Incremental Repayments'!$R$22="Debt",IF(AND(AK$4&gt;=$D73,AK$4&lt;$D73+'Incremental Repayments'!$I$31),-PMT('Interest Rate'!$J$16,'Incremental Repayments'!$I$31,(HLOOKUP($D73,$E$4:$CZ$32,28,FALSE)*'Incremental Repayments'!$I$22)),0),0)</f>
        <v>0</v>
      </c>
      <c r="AL73" s="783">
        <f>IF('Incremental Repayments'!$R$22="Debt",IF(AND(AL$4&gt;=$D73,AL$4&lt;$D73+'Incremental Repayments'!$I$31),-PMT('Interest Rate'!$J$16,'Incremental Repayments'!$I$31,(HLOOKUP($D73,$E$4:$CZ$32,28,FALSE)*'Incremental Repayments'!$I$22)),0),0)</f>
        <v>0</v>
      </c>
      <c r="AM73" s="783">
        <f>IF('Incremental Repayments'!$R$22="Debt",IF(AND(AM$4&gt;=$D73,AM$4&lt;$D73+'Incremental Repayments'!$I$31),-PMT('Interest Rate'!$J$16,'Incremental Repayments'!$I$31,(HLOOKUP($D73,$E$4:$CZ$32,28,FALSE)*'Incremental Repayments'!$I$22)),0),0)</f>
        <v>0</v>
      </c>
      <c r="AN73" s="783">
        <f>IF('Incremental Repayments'!$R$22="Debt",IF(AND(AN$4&gt;=$D73,AN$4&lt;$D73+'Incremental Repayments'!$I$31),-PMT('Interest Rate'!$J$16,'Incremental Repayments'!$I$31,(HLOOKUP($D73,$E$4:$CZ$32,28,FALSE)*'Incremental Repayments'!$I$22)),0),0)</f>
        <v>0</v>
      </c>
      <c r="AO73" s="783">
        <f>IF('Incremental Repayments'!$R$22="Debt",IF(AND(AO$4&gt;=$D73,AO$4&lt;$D73+'Incremental Repayments'!$I$31),-PMT('Interest Rate'!$J$16,'Incremental Repayments'!$I$31,(HLOOKUP($D73,$E$4:$CZ$32,28,FALSE)*'Incremental Repayments'!$I$22)),0),0)</f>
        <v>0</v>
      </c>
      <c r="AP73" s="783">
        <f>IF('Incremental Repayments'!$R$22="Debt",IF(AND(AP$4&gt;=$D73,AP$4&lt;$D73+'Incremental Repayments'!$I$31),-PMT('Interest Rate'!$J$16,'Incremental Repayments'!$I$31,(HLOOKUP($D73,$E$4:$CZ$32,28,FALSE)*'Incremental Repayments'!$I$22)),0),0)</f>
        <v>234520.25486922037</v>
      </c>
      <c r="AQ73" s="783">
        <f>IF('Incremental Repayments'!$R$22="Debt",IF(AND(AQ$4&gt;=$D73,AQ$4&lt;$D73+'Incremental Repayments'!$I$31),-PMT('Interest Rate'!$J$16,'Incremental Repayments'!$I$31,(HLOOKUP($D73,$E$4:$CZ$32,28,FALSE)*'Incremental Repayments'!$I$22)),0),0)</f>
        <v>234520.25486922037</v>
      </c>
      <c r="AR73" s="783">
        <f>IF('Incremental Repayments'!$R$22="Debt",IF(AND(AR$4&gt;=$D73,AR$4&lt;$D73+'Incremental Repayments'!$I$31),-PMT('Interest Rate'!$J$16,'Incremental Repayments'!$I$31,(HLOOKUP($D73,$E$4:$CZ$32,28,FALSE)*'Incremental Repayments'!$I$22)),0),0)</f>
        <v>234520.25486922037</v>
      </c>
      <c r="AS73" s="783">
        <f>IF('Incremental Repayments'!$R$22="Debt",IF(AND(AS$4&gt;=$D73,AS$4&lt;$D73+'Incremental Repayments'!$I$31),-PMT('Interest Rate'!$J$16,'Incremental Repayments'!$I$31,(HLOOKUP($D73,$E$4:$CZ$32,28,FALSE)*'Incremental Repayments'!$I$22)),0),0)</f>
        <v>234520.25486922037</v>
      </c>
      <c r="AT73" s="783">
        <f>IF('Incremental Repayments'!$R$22="Debt",IF(AND(AT$4&gt;=$D73,AT$4&lt;$D73+'Incremental Repayments'!$I$31),-PMT('Interest Rate'!$J$16,'Incremental Repayments'!$I$31,(HLOOKUP($D73,$E$4:$CZ$32,28,FALSE)*'Incremental Repayments'!$I$22)),0),0)</f>
        <v>234520.25486922037</v>
      </c>
      <c r="AU73" s="783">
        <f>IF('Incremental Repayments'!$R$22="Debt",IF(AND(AU$4&gt;=$D73,AU$4&lt;$D73+'Incremental Repayments'!$I$31),-PMT('Interest Rate'!$J$16,'Incremental Repayments'!$I$31,(HLOOKUP($D73,$E$4:$CZ$32,28,FALSE)*'Incremental Repayments'!$I$22)),0),0)</f>
        <v>234520.25486922037</v>
      </c>
      <c r="AV73" s="783">
        <f>IF('Incremental Repayments'!$R$22="Debt",IF(AND(AV$4&gt;=$D73,AV$4&lt;$D73+'Incremental Repayments'!$I$31),-PMT('Interest Rate'!$J$16,'Incremental Repayments'!$I$31,(HLOOKUP($D73,$E$4:$CZ$32,28,FALSE)*'Incremental Repayments'!$I$22)),0),0)</f>
        <v>234520.25486922037</v>
      </c>
      <c r="AW73" s="783">
        <f>IF('Incremental Repayments'!$R$22="Debt",IF(AND(AW$4&gt;=$D73,AW$4&lt;$D73+'Incremental Repayments'!$I$31),-PMT('Interest Rate'!$J$16,'Incremental Repayments'!$I$31,(HLOOKUP($D73,$E$4:$CZ$32,28,FALSE)*'Incremental Repayments'!$I$22)),0),0)</f>
        <v>234520.25486922037</v>
      </c>
      <c r="AX73" s="783">
        <f>IF('Incremental Repayments'!$R$22="Debt",IF(AND(AX$4&gt;=$D73,AX$4&lt;$D73+'Incremental Repayments'!$I$31),-PMT('Interest Rate'!$J$16,'Incremental Repayments'!$I$31,(HLOOKUP($D73,$E$4:$CZ$32,28,FALSE)*'Incremental Repayments'!$I$22)),0),0)</f>
        <v>234520.25486922037</v>
      </c>
      <c r="AY73" s="783">
        <f>IF('Incremental Repayments'!$R$22="Debt",IF(AND(AY$4&gt;=$D73,AY$4&lt;$D73+'Incremental Repayments'!$I$31),-PMT('Interest Rate'!$J$16,'Incremental Repayments'!$I$31,(HLOOKUP($D73,$E$4:$CZ$32,28,FALSE)*'Incremental Repayments'!$I$22)),0),0)</f>
        <v>234520.25486922037</v>
      </c>
      <c r="AZ73" s="783">
        <f>IF('Incremental Repayments'!$R$22="Debt",IF(AND(AZ$4&gt;=$D73,AZ$4&lt;$D73+'Incremental Repayments'!$I$31),-PMT('Interest Rate'!$J$16,'Incremental Repayments'!$I$31,(HLOOKUP($D73,$E$4:$CZ$32,28,FALSE)*'Incremental Repayments'!$I$22)),0),0)</f>
        <v>234520.25486922037</v>
      </c>
      <c r="BA73" s="783">
        <f>IF('Incremental Repayments'!$R$22="Debt",IF(AND(BA$4&gt;=$D73,BA$4&lt;$D73+'Incremental Repayments'!$I$31),-PMT('Interest Rate'!$J$16,'Incremental Repayments'!$I$31,(HLOOKUP($D73,$E$4:$CZ$32,28,FALSE)*'Incremental Repayments'!$I$22)),0),0)</f>
        <v>234520.25486922037</v>
      </c>
      <c r="BB73" s="783">
        <f>IF('Incremental Repayments'!$R$22="Debt",IF(AND(BB$4&gt;=$D73,BB$4&lt;$D73+'Incremental Repayments'!$I$31),-PMT('Interest Rate'!$J$16,'Incremental Repayments'!$I$31,(HLOOKUP($D73,$E$4:$CZ$32,28,FALSE)*'Incremental Repayments'!$I$22)),0),0)</f>
        <v>234520.25486922037</v>
      </c>
      <c r="BC73" s="783">
        <f>IF('Incremental Repayments'!$R$22="Debt",IF(AND(BC$4&gt;=$D73,BC$4&lt;$D73+'Incremental Repayments'!$I$31),-PMT('Interest Rate'!$J$16,'Incremental Repayments'!$I$31,(HLOOKUP($D73,$E$4:$CZ$32,28,FALSE)*'Incremental Repayments'!$I$22)),0),0)</f>
        <v>234520.25486922037</v>
      </c>
      <c r="BD73" s="783">
        <f>IF('Incremental Repayments'!$R$22="Debt",IF(AND(BD$4&gt;=$D73,BD$4&lt;$D73+'Incremental Repayments'!$I$31),-PMT('Interest Rate'!$J$16,'Incremental Repayments'!$I$31,(HLOOKUP($D73,$E$4:$CZ$32,28,FALSE)*'Incremental Repayments'!$I$22)),0),0)</f>
        <v>234520.25486922037</v>
      </c>
      <c r="BE73" s="783">
        <f>IF('Incremental Repayments'!$R$22="Debt",IF(AND(BE$4&gt;=$D73,BE$4&lt;$D73+'Incremental Repayments'!$I$31),-PMT('Interest Rate'!$J$16,'Incremental Repayments'!$I$31,(HLOOKUP($D73,$E$4:$CZ$32,28,FALSE)*'Incremental Repayments'!$I$22)),0),0)</f>
        <v>234520.25486922037</v>
      </c>
      <c r="BF73" s="783">
        <f>IF('Incremental Repayments'!$R$22="Debt",IF(AND(BF$4&gt;=$D73,BF$4&lt;$D73+'Incremental Repayments'!$I$31),-PMT('Interest Rate'!$J$16,'Incremental Repayments'!$I$31,(HLOOKUP($D73,$E$4:$CZ$32,28,FALSE)*'Incremental Repayments'!$I$22)),0),0)</f>
        <v>234520.25486922037</v>
      </c>
      <c r="BG73" s="783">
        <f>IF('Incremental Repayments'!$R$22="Debt",IF(AND(BG$4&gt;=$D73,BG$4&lt;$D73+'Incremental Repayments'!$I$31),-PMT('Interest Rate'!$J$16,'Incremental Repayments'!$I$31,(HLOOKUP($D73,$E$4:$CZ$32,28,FALSE)*'Incremental Repayments'!$I$22)),0),0)</f>
        <v>234520.25486922037</v>
      </c>
      <c r="BH73" s="783">
        <f>IF('Incremental Repayments'!$R$22="Debt",IF(AND(BH$4&gt;=$D73,BH$4&lt;$D73+'Incremental Repayments'!$I$31),-PMT('Interest Rate'!$J$16,'Incremental Repayments'!$I$31,(HLOOKUP($D73,$E$4:$CZ$32,28,FALSE)*'Incremental Repayments'!$I$22)),0),0)</f>
        <v>234520.25486922037</v>
      </c>
      <c r="BI73" s="783">
        <f>IF('Incremental Repayments'!$R$22="Debt",IF(AND(BI$4&gt;=$D73,BI$4&lt;$D73+'Incremental Repayments'!$I$31),-PMT('Interest Rate'!$J$16,'Incremental Repayments'!$I$31,(HLOOKUP($D73,$E$4:$CZ$32,28,FALSE)*'Incremental Repayments'!$I$22)),0),0)</f>
        <v>234520.25486922037</v>
      </c>
      <c r="BJ73" s="783">
        <f>IF('Incremental Repayments'!$R$22="Debt",IF(AND(BJ$4&gt;=$D73,BJ$4&lt;$D73+'Incremental Repayments'!$I$31),-PMT('Interest Rate'!$J$16,'Incremental Repayments'!$I$31,(HLOOKUP($D73,$E$4:$CZ$32,28,FALSE)*'Incremental Repayments'!$I$22)),0),0)</f>
        <v>234520.25486922037</v>
      </c>
      <c r="BK73" s="783">
        <f>IF('Incremental Repayments'!$R$22="Debt",IF(AND(BK$4&gt;=$D73,BK$4&lt;$D73+'Incremental Repayments'!$I$31),-PMT('Interest Rate'!$J$16,'Incremental Repayments'!$I$31,(HLOOKUP($D73,$E$4:$CZ$32,28,FALSE)*'Incremental Repayments'!$I$22)),0),0)</f>
        <v>234520.25486922037</v>
      </c>
      <c r="BL73" s="783">
        <f>IF('Incremental Repayments'!$R$22="Debt",IF(AND(BL$4&gt;=$D73,BL$4&lt;$D73+'Incremental Repayments'!$I$31),-PMT('Interest Rate'!$J$16,'Incremental Repayments'!$I$31,(HLOOKUP($D73,$E$4:$CZ$32,28,FALSE)*'Incremental Repayments'!$I$22)),0),0)</f>
        <v>234520.25486922037</v>
      </c>
      <c r="BM73" s="783">
        <f>IF('Incremental Repayments'!$R$22="Debt",IF(AND(BM$4&gt;=$D73,BM$4&lt;$D73+'Incremental Repayments'!$I$31),-PMT('Interest Rate'!$J$16,'Incremental Repayments'!$I$31,(HLOOKUP($D73,$E$4:$CZ$32,28,FALSE)*'Incremental Repayments'!$I$22)),0),0)</f>
        <v>234520.25486922037</v>
      </c>
      <c r="BN73" s="783">
        <f>IF('Incremental Repayments'!$R$22="Debt",IF(AND(BN$4&gt;=$D73,BN$4&lt;$D73+'Incremental Repayments'!$I$31),-PMT('Interest Rate'!$J$16,'Incremental Repayments'!$I$31,(HLOOKUP($D73,$E$4:$CZ$32,28,FALSE)*'Incremental Repayments'!$I$22)),0),0)</f>
        <v>234520.25486922037</v>
      </c>
      <c r="BO73" s="783">
        <f>IF('Incremental Repayments'!$R$22="Debt",IF(AND(BO$4&gt;=$D73,BO$4&lt;$D73+'Incremental Repayments'!$I$31),-PMT('Interest Rate'!$J$16,'Incremental Repayments'!$I$31,(HLOOKUP($D73,$E$4:$CZ$32,28,FALSE)*'Incremental Repayments'!$I$22)),0),0)</f>
        <v>234520.25486922037</v>
      </c>
      <c r="BP73" s="783">
        <f>IF('Incremental Repayments'!$R$22="Debt",IF(AND(BP$4&gt;=$D73,BP$4&lt;$D73+'Incremental Repayments'!$I$31),-PMT('Interest Rate'!$J$16,'Incremental Repayments'!$I$31,(HLOOKUP($D73,$E$4:$CZ$32,28,FALSE)*'Incremental Repayments'!$I$22)),0),0)</f>
        <v>234520.25486922037</v>
      </c>
      <c r="BQ73" s="783">
        <f>IF('Incremental Repayments'!$R$22="Debt",IF(AND(BQ$4&gt;=$D73,BQ$4&lt;$D73+'Incremental Repayments'!$I$31),-PMT('Interest Rate'!$J$16,'Incremental Repayments'!$I$31,(HLOOKUP($D73,$E$4:$CZ$32,28,FALSE)*'Incremental Repayments'!$I$22)),0),0)</f>
        <v>234520.25486922037</v>
      </c>
      <c r="BR73" s="783">
        <f>IF('Incremental Repayments'!$R$22="Debt",IF(AND(BR$4&gt;=$D73,BR$4&lt;$D73+'Incremental Repayments'!$I$31),-PMT('Interest Rate'!$J$16,'Incremental Repayments'!$I$31,(HLOOKUP($D73,$E$4:$CZ$32,28,FALSE)*'Incremental Repayments'!$I$22)),0),0)</f>
        <v>234520.25486922037</v>
      </c>
      <c r="BS73" s="783">
        <f>IF('Incremental Repayments'!$R$22="Debt",IF(AND(BS$4&gt;=$D73,BS$4&lt;$D73+'Incremental Repayments'!$I$31),-PMT('Interest Rate'!$J$16,'Incremental Repayments'!$I$31,(HLOOKUP($D73,$E$4:$CZ$32,28,FALSE)*'Incremental Repayments'!$I$22)),0),0)</f>
        <v>234520.25486922037</v>
      </c>
      <c r="BT73" s="783">
        <f>IF('Incremental Repayments'!$R$22="Debt",IF(AND(BT$4&gt;=$D73,BT$4&lt;$D73+'Incremental Repayments'!$I$31),-PMT('Interest Rate'!$J$16,'Incremental Repayments'!$I$31,(HLOOKUP($D73,$E$4:$CZ$32,28,FALSE)*'Incremental Repayments'!$I$22)),0),0)</f>
        <v>0</v>
      </c>
      <c r="BU73" s="783">
        <f>IF('Incremental Repayments'!$R$22="Debt",IF(AND(BU$4&gt;=$D73,BU$4&lt;$D73+'Incremental Repayments'!$I$31),-PMT('Interest Rate'!$J$16,'Incremental Repayments'!$I$31,(HLOOKUP($D73,$E$4:$CZ$32,28,FALSE)*'Incremental Repayments'!$I$22)),0),0)</f>
        <v>0</v>
      </c>
      <c r="BV73" s="783">
        <f>IF('Incremental Repayments'!$R$22="Debt",IF(AND(BV$4&gt;=$D73,BV$4&lt;$D73+'Incremental Repayments'!$I$31),-PMT('Interest Rate'!$J$16,'Incremental Repayments'!$I$31,(HLOOKUP($D73,$E$4:$CZ$32,28,FALSE)*'Incremental Repayments'!$I$22)),0),0)</f>
        <v>0</v>
      </c>
      <c r="BW73" s="783">
        <f>IF('Incremental Repayments'!$R$22="Debt",IF(AND(BW$4&gt;=$D73,BW$4&lt;$D73+'Incremental Repayments'!$I$31),-PMT('Interest Rate'!$J$16,'Incremental Repayments'!$I$31,(HLOOKUP($D73,$E$4:$CZ$32,28,FALSE)*'Incremental Repayments'!$I$22)),0),0)</f>
        <v>0</v>
      </c>
      <c r="BX73" s="783">
        <f>IF('Incremental Repayments'!$R$22="Debt",IF(AND(BX$4&gt;=$D73,BX$4&lt;$D73+'Incremental Repayments'!$I$31),-PMT('Interest Rate'!$J$16,'Incremental Repayments'!$I$31,(HLOOKUP($D73,$E$4:$CZ$32,28,FALSE)*'Incremental Repayments'!$I$22)),0),0)</f>
        <v>0</v>
      </c>
      <c r="BY73" s="783">
        <f>IF('Incremental Repayments'!$R$22="Debt",IF(AND(BY$4&gt;=$D73,BY$4&lt;$D73+'Incremental Repayments'!$I$31),-PMT('Interest Rate'!$J$16,'Incremental Repayments'!$I$31,(HLOOKUP($D73,$E$4:$CZ$32,28,FALSE)*'Incremental Repayments'!$I$22)),0),0)</f>
        <v>0</v>
      </c>
      <c r="BZ73" s="783">
        <f>IF('Incremental Repayments'!$R$22="Debt",IF(AND(BZ$4&gt;=$D73,BZ$4&lt;$D73+'Incremental Repayments'!$I$31),-PMT('Interest Rate'!$J$16,'Incremental Repayments'!$I$31,(HLOOKUP($D73,$E$4:$CZ$32,28,FALSE)*'Incremental Repayments'!$I$22)),0),0)</f>
        <v>0</v>
      </c>
      <c r="CA73" s="783">
        <f>IF('Incremental Repayments'!$R$22="Debt",IF(AND(CA$4&gt;=$D73,CA$4&lt;$D73+'Incremental Repayments'!$I$31),-PMT('Interest Rate'!$J$16,'Incremental Repayments'!$I$31,(HLOOKUP($D73,$E$4:$CZ$32,28,FALSE)*'Incremental Repayments'!$I$22)),0),0)</f>
        <v>0</v>
      </c>
      <c r="CB73" s="783">
        <f>IF('Incremental Repayments'!$R$22="Debt",IF(AND(CB$4&gt;=$D73,CB$4&lt;$D73+'Incremental Repayments'!$I$31),-PMT('Interest Rate'!$J$16,'Incremental Repayments'!$I$31,(HLOOKUP($D73,$E$4:$CZ$32,28,FALSE)*'Incremental Repayments'!$I$22)),0),0)</f>
        <v>0</v>
      </c>
      <c r="CC73" s="783">
        <f>IF('Incremental Repayments'!$R$22="Debt",IF(AND(CC$4&gt;=$D73,CC$4&lt;$D73+'Incremental Repayments'!$I$31),-PMT('Interest Rate'!$J$16,'Incremental Repayments'!$I$31,(HLOOKUP($D73,$E$4:$CZ$32,28,FALSE)*'Incremental Repayments'!$I$22)),0),0)</f>
        <v>0</v>
      </c>
      <c r="CD73" s="783">
        <f>IF('Incremental Repayments'!$R$22="Debt",IF(AND(CD$4&gt;=$D73,CD$4&lt;$D73+'Incremental Repayments'!$I$31),-PMT('Interest Rate'!$J$16,'Incremental Repayments'!$I$31,(HLOOKUP($D73,$E$4:$CZ$32,28,FALSE)*'Incremental Repayments'!$I$22)),0),0)</f>
        <v>0</v>
      </c>
      <c r="CE73" s="783">
        <f>IF('Incremental Repayments'!$R$22="Debt",IF(AND(CE$4&gt;=$D73,CE$4&lt;$D73+'Incremental Repayments'!$I$31),-PMT('Interest Rate'!$J$16,'Incremental Repayments'!$I$31,(HLOOKUP($D73,$E$4:$CZ$32,28,FALSE)*'Incremental Repayments'!$I$22)),0),0)</f>
        <v>0</v>
      </c>
      <c r="CF73" s="783">
        <f>IF('Incremental Repayments'!$R$22="Debt",IF(AND(CF$4&gt;=$D73,CF$4&lt;$D73+'Incremental Repayments'!$I$31),-PMT('Interest Rate'!$J$16,'Incremental Repayments'!$I$31,(HLOOKUP($D73,$E$4:$CZ$32,28,FALSE)*'Incremental Repayments'!$I$22)),0),0)</f>
        <v>0</v>
      </c>
      <c r="CG73" s="783">
        <f>IF('Incremental Repayments'!$R$22="Debt",IF(AND(CG$4&gt;=$D73,CG$4&lt;$D73+'Incremental Repayments'!$I$31),-PMT('Interest Rate'!$J$16,'Incremental Repayments'!$I$31,(HLOOKUP($D73,$E$4:$CZ$32,28,FALSE)*'Incremental Repayments'!$I$22)),0),0)</f>
        <v>0</v>
      </c>
      <c r="CH73" s="783">
        <f>IF('Incremental Repayments'!$R$22="Debt",IF(AND(CH$4&gt;=$D73,CH$4&lt;$D73+'Incremental Repayments'!$I$31),-PMT('Interest Rate'!$J$16,'Incremental Repayments'!$I$31,(HLOOKUP($D73,$E$4:$CZ$32,28,FALSE)*'Incremental Repayments'!$I$22)),0),0)</f>
        <v>0</v>
      </c>
      <c r="CI73" s="783">
        <f>IF('Incremental Repayments'!$R$22="Debt",IF(AND(CI$4&gt;=$D73,CI$4&lt;$D73+'Incremental Repayments'!$I$31),-PMT('Interest Rate'!$J$16,'Incremental Repayments'!$I$31,(HLOOKUP($D73,$E$4:$CZ$32,28,FALSE)*'Incremental Repayments'!$I$22)),0),0)</f>
        <v>0</v>
      </c>
      <c r="CJ73" s="783">
        <f>IF('Incremental Repayments'!$R$22="Debt",IF(AND(CJ$4&gt;=$D73,CJ$4&lt;$D73+'Incremental Repayments'!$I$31),-PMT('Interest Rate'!$J$16,'Incremental Repayments'!$I$31,(HLOOKUP($D73,$E$4:$CZ$32,28,FALSE)*'Incremental Repayments'!$I$22)),0),0)</f>
        <v>0</v>
      </c>
      <c r="CK73" s="783">
        <f>IF('Incremental Repayments'!$R$22="Debt",IF(AND(CK$4&gt;=$D73,CK$4&lt;$D73+'Incremental Repayments'!$I$31),-PMT('Interest Rate'!$J$16,'Incremental Repayments'!$I$31,(HLOOKUP($D73,$E$4:$CZ$32,28,FALSE)*'Incremental Repayments'!$I$22)),0),0)</f>
        <v>0</v>
      </c>
      <c r="CL73" s="783">
        <f>IF('Incremental Repayments'!$R$22="Debt",IF(AND(CL$4&gt;=$D73,CL$4&lt;$D73+'Incremental Repayments'!$I$31),-PMT('Interest Rate'!$J$16,'Incremental Repayments'!$I$31,(HLOOKUP($D73,$E$4:$CZ$32,28,FALSE)*'Incremental Repayments'!$I$22)),0),0)</f>
        <v>0</v>
      </c>
      <c r="CM73" s="783">
        <f>IF('Incremental Repayments'!$R$22="Debt",IF(AND(CM$4&gt;=$D73,CM$4&lt;$D73+'Incremental Repayments'!$I$31),-PMT('Interest Rate'!$J$16,'Incremental Repayments'!$I$31,(HLOOKUP($D73,$E$4:$CZ$32,28,FALSE)*'Incremental Repayments'!$I$22)),0),0)</f>
        <v>0</v>
      </c>
      <c r="CN73" s="783">
        <f>IF('Incremental Repayments'!$R$22="Debt",IF(AND(CN$4&gt;=$D73,CN$4&lt;$D73+'Incremental Repayments'!$I$31),-PMT('Interest Rate'!$J$16,'Incremental Repayments'!$I$31,(HLOOKUP($D73,$E$4:$CZ$32,28,FALSE)*'Incremental Repayments'!$I$22)),0),0)</f>
        <v>0</v>
      </c>
      <c r="CO73" s="783">
        <f>IF('Incremental Repayments'!$R$22="Debt",IF(AND(CO$4&gt;=$D73,CO$4&lt;$D73+'Incremental Repayments'!$I$31),-PMT('Interest Rate'!$J$16,'Incremental Repayments'!$I$31,(HLOOKUP($D73,$E$4:$CZ$32,28,FALSE)*'Incremental Repayments'!$I$22)),0),0)</f>
        <v>0</v>
      </c>
      <c r="CP73" s="783">
        <f>IF('Incremental Repayments'!$R$22="Debt",IF(AND(CP$4&gt;=$D73,CP$4&lt;$D73+'Incremental Repayments'!$I$31),-PMT('Interest Rate'!$J$16,'Incremental Repayments'!$I$31,(HLOOKUP($D73,$E$4:$CZ$32,28,FALSE)*'Incremental Repayments'!$I$22)),0),0)</f>
        <v>0</v>
      </c>
      <c r="CQ73" s="783">
        <f>IF('Incremental Repayments'!$R$22="Debt",IF(AND(CQ$4&gt;=$D73,CQ$4&lt;$D73+'Incremental Repayments'!$I$31),-PMT('Interest Rate'!$J$16,'Incremental Repayments'!$I$31,(HLOOKUP($D73,$E$4:$CZ$32,28,FALSE)*'Incremental Repayments'!$I$22)),0),0)</f>
        <v>0</v>
      </c>
      <c r="CR73" s="783">
        <f>IF('Incremental Repayments'!$R$22="Debt",IF(AND(CR$4&gt;=$D73,CR$4&lt;$D73+'Incremental Repayments'!$I$31),-PMT('Interest Rate'!$J$16,'Incremental Repayments'!$I$31,(HLOOKUP($D73,$E$4:$CZ$32,28,FALSE)*'Incremental Repayments'!$I$22)),0),0)</f>
        <v>0</v>
      </c>
      <c r="CS73" s="783">
        <f>IF('Incremental Repayments'!$R$22="Debt",IF(AND(CS$4&gt;=$D73,CS$4&lt;$D73+'Incremental Repayments'!$I$31),-PMT('Interest Rate'!$J$16,'Incremental Repayments'!$I$31,(HLOOKUP($D73,$E$4:$CZ$32,28,FALSE)*'Incremental Repayments'!$I$22)),0),0)</f>
        <v>0</v>
      </c>
      <c r="CT73" s="783">
        <f>IF('Incremental Repayments'!$R$22="Debt",IF(AND(CT$4&gt;=$D73,CT$4&lt;$D73+'Incremental Repayments'!$I$31),-PMT('Interest Rate'!$J$16,'Incremental Repayments'!$I$31,(HLOOKUP($D73,$E$4:$CZ$32,28,FALSE)*'Incremental Repayments'!$I$22)),0),0)</f>
        <v>0</v>
      </c>
      <c r="CU73" s="783">
        <f>IF('Incremental Repayments'!$R$22="Debt",IF(AND(CU$4&gt;=$D73,CU$4&lt;$D73+'Incremental Repayments'!$I$31),-PMT('Interest Rate'!$J$16,'Incremental Repayments'!$I$31,(HLOOKUP($D73,$E$4:$CZ$32,28,FALSE)*'Incremental Repayments'!$I$22)),0),0)</f>
        <v>0</v>
      </c>
      <c r="CV73" s="783">
        <f>IF('Incremental Repayments'!$R$22="Debt",IF(AND(CV$4&gt;=$D73,CV$4&lt;$D73+'Incremental Repayments'!$I$31),-PMT('Interest Rate'!$J$16,'Incremental Repayments'!$I$31,(HLOOKUP($D73,$E$4:$CZ$32,28,FALSE)*'Incremental Repayments'!$I$22)),0),0)</f>
        <v>0</v>
      </c>
      <c r="CW73" s="783">
        <f>IF('Incremental Repayments'!$R$22="Debt",IF(AND(CW$4&gt;=$D73,CW$4&lt;$D73+'Incremental Repayments'!$I$31),-PMT('Interest Rate'!$J$16,'Incremental Repayments'!$I$31,(HLOOKUP($D73,$E$4:$CZ$32,28,FALSE)*'Incremental Repayments'!$I$22)),0),0)</f>
        <v>0</v>
      </c>
      <c r="CX73" s="783">
        <f>IF('Incremental Repayments'!$R$22="Debt",IF(AND(CX$4&gt;=$D73,CX$4&lt;$D73+'Incremental Repayments'!$I$31),-PMT('Interest Rate'!$J$16,'Incremental Repayments'!$I$31,(HLOOKUP($D73,$E$4:$CZ$32,28,FALSE)*'Incremental Repayments'!$I$22)),0),0)</f>
        <v>0</v>
      </c>
      <c r="CY73" s="783">
        <f>IF('Incremental Repayments'!$R$22="Debt",IF(AND(CY$4&gt;=$D73,CY$4&lt;$D73+'Incremental Repayments'!$I$31),-PMT('Interest Rate'!$J$16,'Incremental Repayments'!$I$31,(HLOOKUP($D73,$E$4:$CZ$32,28,FALSE)*'Incremental Repayments'!$I$22)),0),0)</f>
        <v>0</v>
      </c>
      <c r="CZ73" s="783">
        <f>IF('Incremental Repayments'!$R$22="Debt",IF(AND(CZ$4&gt;=$D73,CZ$4&lt;$D73+'Incremental Repayments'!$I$31),-PMT('Interest Rate'!$J$16,'Incremental Repayments'!$I$31,(HLOOKUP($D73,$E$4:$CZ$32,28,FALSE)*'Incremental Repayments'!$I$22)),0),0)</f>
        <v>0</v>
      </c>
    </row>
    <row r="74" spans="2:104" x14ac:dyDescent="0.25">
      <c r="B74" s="480" t="str">
        <f>CONCATENATE("Series ",D74,"A Bonds (at ",'Interest Rate'!$J$16*100,"% Interest)")</f>
        <v>Series 2052A Bonds (at 4.5% Interest)</v>
      </c>
      <c r="C74" s="480"/>
      <c r="D74" s="492">
        <f t="shared" si="47"/>
        <v>2052</v>
      </c>
      <c r="E74" s="783">
        <f>IF('Incremental Repayments'!$R$22="Debt",IF(AND(E$4&gt;=$D74,E$4&lt;$D74+'Incremental Repayments'!$I$31),-PMT('Interest Rate'!$J$16,'Incremental Repayments'!$I$31,(HLOOKUP($D74,$E$4:$CZ$32,28,FALSE)*'Incremental Repayments'!$I$22)),0),0)</f>
        <v>0</v>
      </c>
      <c r="F74" s="783">
        <f>IF('Incremental Repayments'!$R$22="Debt",IF(AND(F$4&gt;=$D74,F$4&lt;$D74+'Incremental Repayments'!$I$31),-PMT('Interest Rate'!$J$16,'Incremental Repayments'!$I$31,(HLOOKUP($D74,$E$4:$CZ$32,28,FALSE)*'Incremental Repayments'!$I$22)),0),0)</f>
        <v>0</v>
      </c>
      <c r="G74" s="783">
        <f>IF('Incremental Repayments'!$R$22="Debt",IF(AND(G$4&gt;=$D74,G$4&lt;$D74+'Incremental Repayments'!$I$31),-PMT('Interest Rate'!$J$16,'Incremental Repayments'!$I$31,(HLOOKUP($D74,$E$4:$CZ$32,28,FALSE)*'Incremental Repayments'!$I$22)),0),0)</f>
        <v>0</v>
      </c>
      <c r="H74" s="783">
        <f>IF('Incremental Repayments'!$R$22="Debt",IF(AND(H$4&gt;=$D74,H$4&lt;$D74+'Incremental Repayments'!$I$31),-PMT('Interest Rate'!$J$16,'Incremental Repayments'!$I$31,(HLOOKUP($D74,$E$4:$CZ$32,28,FALSE)*'Incremental Repayments'!$I$22)),0),0)</f>
        <v>0</v>
      </c>
      <c r="I74" s="783">
        <f>IF('Incremental Repayments'!$R$22="Debt",IF(AND(I$4&gt;=$D74,I$4&lt;$D74+'Incremental Repayments'!$I$31),-PMT('Interest Rate'!$J$16,'Incremental Repayments'!$I$31,(HLOOKUP($D74,$E$4:$CZ$32,28,FALSE)*'Incremental Repayments'!$I$22)),0),0)</f>
        <v>0</v>
      </c>
      <c r="J74" s="783">
        <f>IF('Incremental Repayments'!$R$22="Debt",IF(AND(J$4&gt;=$D74,J$4&lt;$D74+'Incremental Repayments'!$I$31),-PMT('Interest Rate'!$J$16,'Incremental Repayments'!$I$31,(HLOOKUP($D74,$E$4:$CZ$32,28,FALSE)*'Incremental Repayments'!$I$22)),0),0)</f>
        <v>0</v>
      </c>
      <c r="K74" s="783">
        <f>IF('Incremental Repayments'!$R$22="Debt",IF(AND(K$4&gt;=$D74,K$4&lt;$D74+'Incremental Repayments'!$I$31),-PMT('Interest Rate'!$J$16,'Incremental Repayments'!$I$31,(HLOOKUP($D74,$E$4:$CZ$32,28,FALSE)*'Incremental Repayments'!$I$22)),0),0)</f>
        <v>0</v>
      </c>
      <c r="L74" s="783">
        <f>IF('Incremental Repayments'!$R$22="Debt",IF(AND(L$4&gt;=$D74,L$4&lt;$D74+'Incremental Repayments'!$I$31),-PMT('Interest Rate'!$J$16,'Incremental Repayments'!$I$31,(HLOOKUP($D74,$E$4:$CZ$32,28,FALSE)*'Incremental Repayments'!$I$22)),0),0)</f>
        <v>0</v>
      </c>
      <c r="M74" s="783">
        <f>IF('Incremental Repayments'!$R$22="Debt",IF(AND(M$4&gt;=$D74,M$4&lt;$D74+'Incremental Repayments'!$I$31),-PMT('Interest Rate'!$J$16,'Incremental Repayments'!$I$31,(HLOOKUP($D74,$E$4:$CZ$32,28,FALSE)*'Incremental Repayments'!$I$22)),0),0)</f>
        <v>0</v>
      </c>
      <c r="N74" s="783">
        <f>IF('Incremental Repayments'!$R$22="Debt",IF(AND(N$4&gt;=$D74,N$4&lt;$D74+'Incremental Repayments'!$I$31),-PMT('Interest Rate'!$J$16,'Incremental Repayments'!$I$31,(HLOOKUP($D74,$E$4:$CZ$32,28,FALSE)*'Incremental Repayments'!$I$22)),0),0)</f>
        <v>0</v>
      </c>
      <c r="O74" s="783">
        <f>IF('Incremental Repayments'!$R$22="Debt",IF(AND(O$4&gt;=$D74,O$4&lt;$D74+'Incremental Repayments'!$I$31),-PMT('Interest Rate'!$J$16,'Incremental Repayments'!$I$31,(HLOOKUP($D74,$E$4:$CZ$32,28,FALSE)*'Incremental Repayments'!$I$22)),0),0)</f>
        <v>0</v>
      </c>
      <c r="P74" s="783">
        <f>IF('Incremental Repayments'!$R$22="Debt",IF(AND(P$4&gt;=$D74,P$4&lt;$D74+'Incremental Repayments'!$I$31),-PMT('Interest Rate'!$J$16,'Incremental Repayments'!$I$31,(HLOOKUP($D74,$E$4:$CZ$32,28,FALSE)*'Incremental Repayments'!$I$22)),0),0)</f>
        <v>0</v>
      </c>
      <c r="Q74" s="783">
        <f>IF('Incremental Repayments'!$R$22="Debt",IF(AND(Q$4&gt;=$D74,Q$4&lt;$D74+'Incremental Repayments'!$I$31),-PMT('Interest Rate'!$J$16,'Incremental Repayments'!$I$31,(HLOOKUP($D74,$E$4:$CZ$32,28,FALSE)*'Incremental Repayments'!$I$22)),0),0)</f>
        <v>0</v>
      </c>
      <c r="R74" s="783">
        <f>IF('Incremental Repayments'!$R$22="Debt",IF(AND(R$4&gt;=$D74,R$4&lt;$D74+'Incremental Repayments'!$I$31),-PMT('Interest Rate'!$J$16,'Incremental Repayments'!$I$31,(HLOOKUP($D74,$E$4:$CZ$32,28,FALSE)*'Incremental Repayments'!$I$22)),0),0)</f>
        <v>0</v>
      </c>
      <c r="S74" s="783">
        <f>IF('Incremental Repayments'!$R$22="Debt",IF(AND(S$4&gt;=$D74,S$4&lt;$D74+'Incremental Repayments'!$I$31),-PMT('Interest Rate'!$J$16,'Incremental Repayments'!$I$31,(HLOOKUP($D74,$E$4:$CZ$32,28,FALSE)*'Incremental Repayments'!$I$22)),0),0)</f>
        <v>0</v>
      </c>
      <c r="T74" s="783">
        <f>IF('Incremental Repayments'!$R$22="Debt",IF(AND(T$4&gt;=$D74,T$4&lt;$D74+'Incremental Repayments'!$I$31),-PMT('Interest Rate'!$J$16,'Incremental Repayments'!$I$31,(HLOOKUP($D74,$E$4:$CZ$32,28,FALSE)*'Incremental Repayments'!$I$22)),0),0)</f>
        <v>0</v>
      </c>
      <c r="U74" s="783">
        <f>IF('Incremental Repayments'!$R$22="Debt",IF(AND(U$4&gt;=$D74,U$4&lt;$D74+'Incremental Repayments'!$I$31),-PMT('Interest Rate'!$J$16,'Incremental Repayments'!$I$31,(HLOOKUP($D74,$E$4:$CZ$32,28,FALSE)*'Incremental Repayments'!$I$22)),0),0)</f>
        <v>0</v>
      </c>
      <c r="V74" s="783">
        <f>IF('Incremental Repayments'!$R$22="Debt",IF(AND(V$4&gt;=$D74,V$4&lt;$D74+'Incremental Repayments'!$I$31),-PMT('Interest Rate'!$J$16,'Incremental Repayments'!$I$31,(HLOOKUP($D74,$E$4:$CZ$32,28,FALSE)*'Incremental Repayments'!$I$22)),0),0)</f>
        <v>0</v>
      </c>
      <c r="W74" s="783">
        <f>IF('Incremental Repayments'!$R$22="Debt",IF(AND(W$4&gt;=$D74,W$4&lt;$D74+'Incremental Repayments'!$I$31),-PMT('Interest Rate'!$J$16,'Incremental Repayments'!$I$31,(HLOOKUP($D74,$E$4:$CZ$32,28,FALSE)*'Incremental Repayments'!$I$22)),0),0)</f>
        <v>0</v>
      </c>
      <c r="X74" s="783">
        <f>IF('Incremental Repayments'!$R$22="Debt",IF(AND(X$4&gt;=$D74,X$4&lt;$D74+'Incremental Repayments'!$I$31),-PMT('Interest Rate'!$J$16,'Incremental Repayments'!$I$31,(HLOOKUP($D74,$E$4:$CZ$32,28,FALSE)*'Incremental Repayments'!$I$22)),0),0)</f>
        <v>0</v>
      </c>
      <c r="Y74" s="783">
        <f>IF('Incremental Repayments'!$R$22="Debt",IF(AND(Y$4&gt;=$D74,Y$4&lt;$D74+'Incremental Repayments'!$I$31),-PMT('Interest Rate'!$J$16,'Incremental Repayments'!$I$31,(HLOOKUP($D74,$E$4:$CZ$32,28,FALSE)*'Incremental Repayments'!$I$22)),0),0)</f>
        <v>0</v>
      </c>
      <c r="Z74" s="783">
        <f>IF('Incremental Repayments'!$R$22="Debt",IF(AND(Z$4&gt;=$D74,Z$4&lt;$D74+'Incremental Repayments'!$I$31),-PMT('Interest Rate'!$J$16,'Incremental Repayments'!$I$31,(HLOOKUP($D74,$E$4:$CZ$32,28,FALSE)*'Incremental Repayments'!$I$22)),0),0)</f>
        <v>0</v>
      </c>
      <c r="AA74" s="783">
        <f>IF('Incremental Repayments'!$R$22="Debt",IF(AND(AA$4&gt;=$D74,AA$4&lt;$D74+'Incremental Repayments'!$I$31),-PMT('Interest Rate'!$J$16,'Incremental Repayments'!$I$31,(HLOOKUP($D74,$E$4:$CZ$32,28,FALSE)*'Incremental Repayments'!$I$22)),0),0)</f>
        <v>0</v>
      </c>
      <c r="AB74" s="783">
        <f>IF('Incremental Repayments'!$R$22="Debt",IF(AND(AB$4&gt;=$D74,AB$4&lt;$D74+'Incremental Repayments'!$I$31),-PMT('Interest Rate'!$J$16,'Incremental Repayments'!$I$31,(HLOOKUP($D74,$E$4:$CZ$32,28,FALSE)*'Incremental Repayments'!$I$22)),0),0)</f>
        <v>0</v>
      </c>
      <c r="AC74" s="783">
        <f>IF('Incremental Repayments'!$R$22="Debt",IF(AND(AC$4&gt;=$D74,AC$4&lt;$D74+'Incremental Repayments'!$I$31),-PMT('Interest Rate'!$J$16,'Incremental Repayments'!$I$31,(HLOOKUP($D74,$E$4:$CZ$32,28,FALSE)*'Incremental Repayments'!$I$22)),0),0)</f>
        <v>0</v>
      </c>
      <c r="AD74" s="783">
        <f>IF('Incremental Repayments'!$R$22="Debt",IF(AND(AD$4&gt;=$D74,AD$4&lt;$D74+'Incremental Repayments'!$I$31),-PMT('Interest Rate'!$J$16,'Incremental Repayments'!$I$31,(HLOOKUP($D74,$E$4:$CZ$32,28,FALSE)*'Incremental Repayments'!$I$22)),0),0)</f>
        <v>0</v>
      </c>
      <c r="AE74" s="783">
        <f>IF('Incremental Repayments'!$R$22="Debt",IF(AND(AE$4&gt;=$D74,AE$4&lt;$D74+'Incremental Repayments'!$I$31),-PMT('Interest Rate'!$J$16,'Incremental Repayments'!$I$31,(HLOOKUP($D74,$E$4:$CZ$32,28,FALSE)*'Incremental Repayments'!$I$22)),0),0)</f>
        <v>0</v>
      </c>
      <c r="AF74" s="783">
        <f>IF('Incremental Repayments'!$R$22="Debt",IF(AND(AF$4&gt;=$D74,AF$4&lt;$D74+'Incremental Repayments'!$I$31),-PMT('Interest Rate'!$J$16,'Incremental Repayments'!$I$31,(HLOOKUP($D74,$E$4:$CZ$32,28,FALSE)*'Incremental Repayments'!$I$22)),0),0)</f>
        <v>0</v>
      </c>
      <c r="AG74" s="783">
        <f>IF('Incremental Repayments'!$R$22="Debt",IF(AND(AG$4&gt;=$D74,AG$4&lt;$D74+'Incremental Repayments'!$I$31),-PMT('Interest Rate'!$J$16,'Incremental Repayments'!$I$31,(HLOOKUP($D74,$E$4:$CZ$32,28,FALSE)*'Incremental Repayments'!$I$22)),0),0)</f>
        <v>0</v>
      </c>
      <c r="AH74" s="783">
        <f>IF('Incremental Repayments'!$R$22="Debt",IF(AND(AH$4&gt;=$D74,AH$4&lt;$D74+'Incremental Repayments'!$I$31),-PMT('Interest Rate'!$J$16,'Incremental Repayments'!$I$31,(HLOOKUP($D74,$E$4:$CZ$32,28,FALSE)*'Incremental Repayments'!$I$22)),0),0)</f>
        <v>0</v>
      </c>
      <c r="AI74" s="783">
        <f>IF('Incremental Repayments'!$R$22="Debt",IF(AND(AI$4&gt;=$D74,AI$4&lt;$D74+'Incremental Repayments'!$I$31),-PMT('Interest Rate'!$J$16,'Incremental Repayments'!$I$31,(HLOOKUP($D74,$E$4:$CZ$32,28,FALSE)*'Incremental Repayments'!$I$22)),0),0)</f>
        <v>0</v>
      </c>
      <c r="AJ74" s="783">
        <f>IF('Incremental Repayments'!$R$22="Debt",IF(AND(AJ$4&gt;=$D74,AJ$4&lt;$D74+'Incremental Repayments'!$I$31),-PMT('Interest Rate'!$J$16,'Incremental Repayments'!$I$31,(HLOOKUP($D74,$E$4:$CZ$32,28,FALSE)*'Incremental Repayments'!$I$22)),0),0)</f>
        <v>0</v>
      </c>
      <c r="AK74" s="783">
        <f>IF('Incremental Repayments'!$R$22="Debt",IF(AND(AK$4&gt;=$D74,AK$4&lt;$D74+'Incremental Repayments'!$I$31),-PMT('Interest Rate'!$J$16,'Incremental Repayments'!$I$31,(HLOOKUP($D74,$E$4:$CZ$32,28,FALSE)*'Incremental Repayments'!$I$22)),0),0)</f>
        <v>0</v>
      </c>
      <c r="AL74" s="783">
        <f>IF('Incremental Repayments'!$R$22="Debt",IF(AND(AL$4&gt;=$D74,AL$4&lt;$D74+'Incremental Repayments'!$I$31),-PMT('Interest Rate'!$J$16,'Incremental Repayments'!$I$31,(HLOOKUP($D74,$E$4:$CZ$32,28,FALSE)*'Incremental Repayments'!$I$22)),0),0)</f>
        <v>0</v>
      </c>
      <c r="AM74" s="783">
        <f>IF('Incremental Repayments'!$R$22="Debt",IF(AND(AM$4&gt;=$D74,AM$4&lt;$D74+'Incremental Repayments'!$I$31),-PMT('Interest Rate'!$J$16,'Incremental Repayments'!$I$31,(HLOOKUP($D74,$E$4:$CZ$32,28,FALSE)*'Incremental Repayments'!$I$22)),0),0)</f>
        <v>0</v>
      </c>
      <c r="AN74" s="783">
        <f>IF('Incremental Repayments'!$R$22="Debt",IF(AND(AN$4&gt;=$D74,AN$4&lt;$D74+'Incremental Repayments'!$I$31),-PMT('Interest Rate'!$J$16,'Incremental Repayments'!$I$31,(HLOOKUP($D74,$E$4:$CZ$32,28,FALSE)*'Incremental Repayments'!$I$22)),0),0)</f>
        <v>0</v>
      </c>
      <c r="AO74" s="783">
        <f>IF('Incremental Repayments'!$R$22="Debt",IF(AND(AO$4&gt;=$D74,AO$4&lt;$D74+'Incremental Repayments'!$I$31),-PMT('Interest Rate'!$J$16,'Incremental Repayments'!$I$31,(HLOOKUP($D74,$E$4:$CZ$32,28,FALSE)*'Incremental Repayments'!$I$22)),0),0)</f>
        <v>0</v>
      </c>
      <c r="AP74" s="783">
        <f>IF('Incremental Repayments'!$R$22="Debt",IF(AND(AP$4&gt;=$D74,AP$4&lt;$D74+'Incremental Repayments'!$I$31),-PMT('Interest Rate'!$J$16,'Incremental Repayments'!$I$31,(HLOOKUP($D74,$E$4:$CZ$32,28,FALSE)*'Incremental Repayments'!$I$22)),0),0)</f>
        <v>0</v>
      </c>
      <c r="AQ74" s="783">
        <f>IF('Incremental Repayments'!$R$22="Debt",IF(AND(AQ$4&gt;=$D74,AQ$4&lt;$D74+'Incremental Repayments'!$I$31),-PMT('Interest Rate'!$J$16,'Incremental Repayments'!$I$31,(HLOOKUP($D74,$E$4:$CZ$32,28,FALSE)*'Incremental Repayments'!$I$22)),0),0)</f>
        <v>113930.84013805528</v>
      </c>
      <c r="AR74" s="783">
        <f>IF('Incremental Repayments'!$R$22="Debt",IF(AND(AR$4&gt;=$D74,AR$4&lt;$D74+'Incremental Repayments'!$I$31),-PMT('Interest Rate'!$J$16,'Incremental Repayments'!$I$31,(HLOOKUP($D74,$E$4:$CZ$32,28,FALSE)*'Incremental Repayments'!$I$22)),0),0)</f>
        <v>113930.84013805528</v>
      </c>
      <c r="AS74" s="783">
        <f>IF('Incremental Repayments'!$R$22="Debt",IF(AND(AS$4&gt;=$D74,AS$4&lt;$D74+'Incremental Repayments'!$I$31),-PMT('Interest Rate'!$J$16,'Incremental Repayments'!$I$31,(HLOOKUP($D74,$E$4:$CZ$32,28,FALSE)*'Incremental Repayments'!$I$22)),0),0)</f>
        <v>113930.84013805528</v>
      </c>
      <c r="AT74" s="783">
        <f>IF('Incremental Repayments'!$R$22="Debt",IF(AND(AT$4&gt;=$D74,AT$4&lt;$D74+'Incremental Repayments'!$I$31),-PMT('Interest Rate'!$J$16,'Incremental Repayments'!$I$31,(HLOOKUP($D74,$E$4:$CZ$32,28,FALSE)*'Incremental Repayments'!$I$22)),0),0)</f>
        <v>113930.84013805528</v>
      </c>
      <c r="AU74" s="783">
        <f>IF('Incremental Repayments'!$R$22="Debt",IF(AND(AU$4&gt;=$D74,AU$4&lt;$D74+'Incremental Repayments'!$I$31),-PMT('Interest Rate'!$J$16,'Incremental Repayments'!$I$31,(HLOOKUP($D74,$E$4:$CZ$32,28,FALSE)*'Incremental Repayments'!$I$22)),0),0)</f>
        <v>113930.84013805528</v>
      </c>
      <c r="AV74" s="783">
        <f>IF('Incremental Repayments'!$R$22="Debt",IF(AND(AV$4&gt;=$D74,AV$4&lt;$D74+'Incremental Repayments'!$I$31),-PMT('Interest Rate'!$J$16,'Incremental Repayments'!$I$31,(HLOOKUP($D74,$E$4:$CZ$32,28,FALSE)*'Incremental Repayments'!$I$22)),0),0)</f>
        <v>113930.84013805528</v>
      </c>
      <c r="AW74" s="783">
        <f>IF('Incremental Repayments'!$R$22="Debt",IF(AND(AW$4&gt;=$D74,AW$4&lt;$D74+'Incremental Repayments'!$I$31),-PMT('Interest Rate'!$J$16,'Incremental Repayments'!$I$31,(HLOOKUP($D74,$E$4:$CZ$32,28,FALSE)*'Incremental Repayments'!$I$22)),0),0)</f>
        <v>113930.84013805528</v>
      </c>
      <c r="AX74" s="783">
        <f>IF('Incremental Repayments'!$R$22="Debt",IF(AND(AX$4&gt;=$D74,AX$4&lt;$D74+'Incremental Repayments'!$I$31),-PMT('Interest Rate'!$J$16,'Incremental Repayments'!$I$31,(HLOOKUP($D74,$E$4:$CZ$32,28,FALSE)*'Incremental Repayments'!$I$22)),0),0)</f>
        <v>113930.84013805528</v>
      </c>
      <c r="AY74" s="783">
        <f>IF('Incremental Repayments'!$R$22="Debt",IF(AND(AY$4&gt;=$D74,AY$4&lt;$D74+'Incremental Repayments'!$I$31),-PMT('Interest Rate'!$J$16,'Incremental Repayments'!$I$31,(HLOOKUP($D74,$E$4:$CZ$32,28,FALSE)*'Incremental Repayments'!$I$22)),0),0)</f>
        <v>113930.84013805528</v>
      </c>
      <c r="AZ74" s="783">
        <f>IF('Incremental Repayments'!$R$22="Debt",IF(AND(AZ$4&gt;=$D74,AZ$4&lt;$D74+'Incremental Repayments'!$I$31),-PMT('Interest Rate'!$J$16,'Incremental Repayments'!$I$31,(HLOOKUP($D74,$E$4:$CZ$32,28,FALSE)*'Incremental Repayments'!$I$22)),0),0)</f>
        <v>113930.84013805528</v>
      </c>
      <c r="BA74" s="783">
        <f>IF('Incremental Repayments'!$R$22="Debt",IF(AND(BA$4&gt;=$D74,BA$4&lt;$D74+'Incremental Repayments'!$I$31),-PMT('Interest Rate'!$J$16,'Incremental Repayments'!$I$31,(HLOOKUP($D74,$E$4:$CZ$32,28,FALSE)*'Incremental Repayments'!$I$22)),0),0)</f>
        <v>113930.84013805528</v>
      </c>
      <c r="BB74" s="783">
        <f>IF('Incremental Repayments'!$R$22="Debt",IF(AND(BB$4&gt;=$D74,BB$4&lt;$D74+'Incremental Repayments'!$I$31),-PMT('Interest Rate'!$J$16,'Incremental Repayments'!$I$31,(HLOOKUP($D74,$E$4:$CZ$32,28,FALSE)*'Incremental Repayments'!$I$22)),0),0)</f>
        <v>113930.84013805528</v>
      </c>
      <c r="BC74" s="783">
        <f>IF('Incremental Repayments'!$R$22="Debt",IF(AND(BC$4&gt;=$D74,BC$4&lt;$D74+'Incremental Repayments'!$I$31),-PMT('Interest Rate'!$J$16,'Incremental Repayments'!$I$31,(HLOOKUP($D74,$E$4:$CZ$32,28,FALSE)*'Incremental Repayments'!$I$22)),0),0)</f>
        <v>113930.84013805528</v>
      </c>
      <c r="BD74" s="783">
        <f>IF('Incremental Repayments'!$R$22="Debt",IF(AND(BD$4&gt;=$D74,BD$4&lt;$D74+'Incremental Repayments'!$I$31),-PMT('Interest Rate'!$J$16,'Incremental Repayments'!$I$31,(HLOOKUP($D74,$E$4:$CZ$32,28,FALSE)*'Incremental Repayments'!$I$22)),0),0)</f>
        <v>113930.84013805528</v>
      </c>
      <c r="BE74" s="783">
        <f>IF('Incremental Repayments'!$R$22="Debt",IF(AND(BE$4&gt;=$D74,BE$4&lt;$D74+'Incremental Repayments'!$I$31),-PMT('Interest Rate'!$J$16,'Incremental Repayments'!$I$31,(HLOOKUP($D74,$E$4:$CZ$32,28,FALSE)*'Incremental Repayments'!$I$22)),0),0)</f>
        <v>113930.84013805528</v>
      </c>
      <c r="BF74" s="783">
        <f>IF('Incremental Repayments'!$R$22="Debt",IF(AND(BF$4&gt;=$D74,BF$4&lt;$D74+'Incremental Repayments'!$I$31),-PMT('Interest Rate'!$J$16,'Incremental Repayments'!$I$31,(HLOOKUP($D74,$E$4:$CZ$32,28,FALSE)*'Incremental Repayments'!$I$22)),0),0)</f>
        <v>113930.84013805528</v>
      </c>
      <c r="BG74" s="783">
        <f>IF('Incremental Repayments'!$R$22="Debt",IF(AND(BG$4&gt;=$D74,BG$4&lt;$D74+'Incremental Repayments'!$I$31),-PMT('Interest Rate'!$J$16,'Incremental Repayments'!$I$31,(HLOOKUP($D74,$E$4:$CZ$32,28,FALSE)*'Incremental Repayments'!$I$22)),0),0)</f>
        <v>113930.84013805528</v>
      </c>
      <c r="BH74" s="783">
        <f>IF('Incremental Repayments'!$R$22="Debt",IF(AND(BH$4&gt;=$D74,BH$4&lt;$D74+'Incremental Repayments'!$I$31),-PMT('Interest Rate'!$J$16,'Incremental Repayments'!$I$31,(HLOOKUP($D74,$E$4:$CZ$32,28,FALSE)*'Incremental Repayments'!$I$22)),0),0)</f>
        <v>113930.84013805528</v>
      </c>
      <c r="BI74" s="783">
        <f>IF('Incremental Repayments'!$R$22="Debt",IF(AND(BI$4&gt;=$D74,BI$4&lt;$D74+'Incremental Repayments'!$I$31),-PMT('Interest Rate'!$J$16,'Incremental Repayments'!$I$31,(HLOOKUP($D74,$E$4:$CZ$32,28,FALSE)*'Incremental Repayments'!$I$22)),0),0)</f>
        <v>113930.84013805528</v>
      </c>
      <c r="BJ74" s="783">
        <f>IF('Incremental Repayments'!$R$22="Debt",IF(AND(BJ$4&gt;=$D74,BJ$4&lt;$D74+'Incremental Repayments'!$I$31),-PMT('Interest Rate'!$J$16,'Incremental Repayments'!$I$31,(HLOOKUP($D74,$E$4:$CZ$32,28,FALSE)*'Incremental Repayments'!$I$22)),0),0)</f>
        <v>113930.84013805528</v>
      </c>
      <c r="BK74" s="783">
        <f>IF('Incremental Repayments'!$R$22="Debt",IF(AND(BK$4&gt;=$D74,BK$4&lt;$D74+'Incremental Repayments'!$I$31),-PMT('Interest Rate'!$J$16,'Incremental Repayments'!$I$31,(HLOOKUP($D74,$E$4:$CZ$32,28,FALSE)*'Incremental Repayments'!$I$22)),0),0)</f>
        <v>113930.84013805528</v>
      </c>
      <c r="BL74" s="783">
        <f>IF('Incremental Repayments'!$R$22="Debt",IF(AND(BL$4&gt;=$D74,BL$4&lt;$D74+'Incremental Repayments'!$I$31),-PMT('Interest Rate'!$J$16,'Incremental Repayments'!$I$31,(HLOOKUP($D74,$E$4:$CZ$32,28,FALSE)*'Incremental Repayments'!$I$22)),0),0)</f>
        <v>113930.84013805528</v>
      </c>
      <c r="BM74" s="783">
        <f>IF('Incremental Repayments'!$R$22="Debt",IF(AND(BM$4&gt;=$D74,BM$4&lt;$D74+'Incremental Repayments'!$I$31),-PMT('Interest Rate'!$J$16,'Incremental Repayments'!$I$31,(HLOOKUP($D74,$E$4:$CZ$32,28,FALSE)*'Incremental Repayments'!$I$22)),0),0)</f>
        <v>113930.84013805528</v>
      </c>
      <c r="BN74" s="783">
        <f>IF('Incremental Repayments'!$R$22="Debt",IF(AND(BN$4&gt;=$D74,BN$4&lt;$D74+'Incremental Repayments'!$I$31),-PMT('Interest Rate'!$J$16,'Incremental Repayments'!$I$31,(HLOOKUP($D74,$E$4:$CZ$32,28,FALSE)*'Incremental Repayments'!$I$22)),0),0)</f>
        <v>113930.84013805528</v>
      </c>
      <c r="BO74" s="783">
        <f>IF('Incremental Repayments'!$R$22="Debt",IF(AND(BO$4&gt;=$D74,BO$4&lt;$D74+'Incremental Repayments'!$I$31),-PMT('Interest Rate'!$J$16,'Incremental Repayments'!$I$31,(HLOOKUP($D74,$E$4:$CZ$32,28,FALSE)*'Incremental Repayments'!$I$22)),0),0)</f>
        <v>113930.84013805528</v>
      </c>
      <c r="BP74" s="783">
        <f>IF('Incremental Repayments'!$R$22="Debt",IF(AND(BP$4&gt;=$D74,BP$4&lt;$D74+'Incremental Repayments'!$I$31),-PMT('Interest Rate'!$J$16,'Incremental Repayments'!$I$31,(HLOOKUP($D74,$E$4:$CZ$32,28,FALSE)*'Incremental Repayments'!$I$22)),0),0)</f>
        <v>113930.84013805528</v>
      </c>
      <c r="BQ74" s="783">
        <f>IF('Incremental Repayments'!$R$22="Debt",IF(AND(BQ$4&gt;=$D74,BQ$4&lt;$D74+'Incremental Repayments'!$I$31),-PMT('Interest Rate'!$J$16,'Incremental Repayments'!$I$31,(HLOOKUP($D74,$E$4:$CZ$32,28,FALSE)*'Incremental Repayments'!$I$22)),0),0)</f>
        <v>113930.84013805528</v>
      </c>
      <c r="BR74" s="783">
        <f>IF('Incremental Repayments'!$R$22="Debt",IF(AND(BR$4&gt;=$D74,BR$4&lt;$D74+'Incremental Repayments'!$I$31),-PMT('Interest Rate'!$J$16,'Incremental Repayments'!$I$31,(HLOOKUP($D74,$E$4:$CZ$32,28,FALSE)*'Incremental Repayments'!$I$22)),0),0)</f>
        <v>113930.84013805528</v>
      </c>
      <c r="BS74" s="783">
        <f>IF('Incremental Repayments'!$R$22="Debt",IF(AND(BS$4&gt;=$D74,BS$4&lt;$D74+'Incremental Repayments'!$I$31),-PMT('Interest Rate'!$J$16,'Incremental Repayments'!$I$31,(HLOOKUP($D74,$E$4:$CZ$32,28,FALSE)*'Incremental Repayments'!$I$22)),0),0)</f>
        <v>113930.84013805528</v>
      </c>
      <c r="BT74" s="783">
        <f>IF('Incremental Repayments'!$R$22="Debt",IF(AND(BT$4&gt;=$D74,BT$4&lt;$D74+'Incremental Repayments'!$I$31),-PMT('Interest Rate'!$J$16,'Incremental Repayments'!$I$31,(HLOOKUP($D74,$E$4:$CZ$32,28,FALSE)*'Incremental Repayments'!$I$22)),0),0)</f>
        <v>113930.84013805528</v>
      </c>
      <c r="BU74" s="783">
        <f>IF('Incremental Repayments'!$R$22="Debt",IF(AND(BU$4&gt;=$D74,BU$4&lt;$D74+'Incremental Repayments'!$I$31),-PMT('Interest Rate'!$J$16,'Incremental Repayments'!$I$31,(HLOOKUP($D74,$E$4:$CZ$32,28,FALSE)*'Incremental Repayments'!$I$22)),0),0)</f>
        <v>0</v>
      </c>
      <c r="BV74" s="783">
        <f>IF('Incremental Repayments'!$R$22="Debt",IF(AND(BV$4&gt;=$D74,BV$4&lt;$D74+'Incremental Repayments'!$I$31),-PMT('Interest Rate'!$J$16,'Incremental Repayments'!$I$31,(HLOOKUP($D74,$E$4:$CZ$32,28,FALSE)*'Incremental Repayments'!$I$22)),0),0)</f>
        <v>0</v>
      </c>
      <c r="BW74" s="783">
        <f>IF('Incremental Repayments'!$R$22="Debt",IF(AND(BW$4&gt;=$D74,BW$4&lt;$D74+'Incremental Repayments'!$I$31),-PMT('Interest Rate'!$J$16,'Incremental Repayments'!$I$31,(HLOOKUP($D74,$E$4:$CZ$32,28,FALSE)*'Incremental Repayments'!$I$22)),0),0)</f>
        <v>0</v>
      </c>
      <c r="BX74" s="783">
        <f>IF('Incremental Repayments'!$R$22="Debt",IF(AND(BX$4&gt;=$D74,BX$4&lt;$D74+'Incremental Repayments'!$I$31),-PMT('Interest Rate'!$J$16,'Incremental Repayments'!$I$31,(HLOOKUP($D74,$E$4:$CZ$32,28,FALSE)*'Incremental Repayments'!$I$22)),0),0)</f>
        <v>0</v>
      </c>
      <c r="BY74" s="783">
        <f>IF('Incremental Repayments'!$R$22="Debt",IF(AND(BY$4&gt;=$D74,BY$4&lt;$D74+'Incremental Repayments'!$I$31),-PMT('Interest Rate'!$J$16,'Incremental Repayments'!$I$31,(HLOOKUP($D74,$E$4:$CZ$32,28,FALSE)*'Incremental Repayments'!$I$22)),0),0)</f>
        <v>0</v>
      </c>
      <c r="BZ74" s="783">
        <f>IF('Incremental Repayments'!$R$22="Debt",IF(AND(BZ$4&gt;=$D74,BZ$4&lt;$D74+'Incremental Repayments'!$I$31),-PMT('Interest Rate'!$J$16,'Incremental Repayments'!$I$31,(HLOOKUP($D74,$E$4:$CZ$32,28,FALSE)*'Incremental Repayments'!$I$22)),0),0)</f>
        <v>0</v>
      </c>
      <c r="CA74" s="783">
        <f>IF('Incremental Repayments'!$R$22="Debt",IF(AND(CA$4&gt;=$D74,CA$4&lt;$D74+'Incremental Repayments'!$I$31),-PMT('Interest Rate'!$J$16,'Incremental Repayments'!$I$31,(HLOOKUP($D74,$E$4:$CZ$32,28,FALSE)*'Incremental Repayments'!$I$22)),0),0)</f>
        <v>0</v>
      </c>
      <c r="CB74" s="783">
        <f>IF('Incremental Repayments'!$R$22="Debt",IF(AND(CB$4&gt;=$D74,CB$4&lt;$D74+'Incremental Repayments'!$I$31),-PMT('Interest Rate'!$J$16,'Incremental Repayments'!$I$31,(HLOOKUP($D74,$E$4:$CZ$32,28,FALSE)*'Incremental Repayments'!$I$22)),0),0)</f>
        <v>0</v>
      </c>
      <c r="CC74" s="783">
        <f>IF('Incremental Repayments'!$R$22="Debt",IF(AND(CC$4&gt;=$D74,CC$4&lt;$D74+'Incremental Repayments'!$I$31),-PMT('Interest Rate'!$J$16,'Incremental Repayments'!$I$31,(HLOOKUP($D74,$E$4:$CZ$32,28,FALSE)*'Incremental Repayments'!$I$22)),0),0)</f>
        <v>0</v>
      </c>
      <c r="CD74" s="783">
        <f>IF('Incremental Repayments'!$R$22="Debt",IF(AND(CD$4&gt;=$D74,CD$4&lt;$D74+'Incremental Repayments'!$I$31),-PMT('Interest Rate'!$J$16,'Incremental Repayments'!$I$31,(HLOOKUP($D74,$E$4:$CZ$32,28,FALSE)*'Incremental Repayments'!$I$22)),0),0)</f>
        <v>0</v>
      </c>
      <c r="CE74" s="783">
        <f>IF('Incremental Repayments'!$R$22="Debt",IF(AND(CE$4&gt;=$D74,CE$4&lt;$D74+'Incremental Repayments'!$I$31),-PMT('Interest Rate'!$J$16,'Incremental Repayments'!$I$31,(HLOOKUP($D74,$E$4:$CZ$32,28,FALSE)*'Incremental Repayments'!$I$22)),0),0)</f>
        <v>0</v>
      </c>
      <c r="CF74" s="783">
        <f>IF('Incremental Repayments'!$R$22="Debt",IF(AND(CF$4&gt;=$D74,CF$4&lt;$D74+'Incremental Repayments'!$I$31),-PMT('Interest Rate'!$J$16,'Incremental Repayments'!$I$31,(HLOOKUP($D74,$E$4:$CZ$32,28,FALSE)*'Incremental Repayments'!$I$22)),0),0)</f>
        <v>0</v>
      </c>
      <c r="CG74" s="783">
        <f>IF('Incremental Repayments'!$R$22="Debt",IF(AND(CG$4&gt;=$D74,CG$4&lt;$D74+'Incremental Repayments'!$I$31),-PMT('Interest Rate'!$J$16,'Incremental Repayments'!$I$31,(HLOOKUP($D74,$E$4:$CZ$32,28,FALSE)*'Incremental Repayments'!$I$22)),0),0)</f>
        <v>0</v>
      </c>
      <c r="CH74" s="783">
        <f>IF('Incremental Repayments'!$R$22="Debt",IF(AND(CH$4&gt;=$D74,CH$4&lt;$D74+'Incremental Repayments'!$I$31),-PMT('Interest Rate'!$J$16,'Incremental Repayments'!$I$31,(HLOOKUP($D74,$E$4:$CZ$32,28,FALSE)*'Incremental Repayments'!$I$22)),0),0)</f>
        <v>0</v>
      </c>
      <c r="CI74" s="783">
        <f>IF('Incremental Repayments'!$R$22="Debt",IF(AND(CI$4&gt;=$D74,CI$4&lt;$D74+'Incremental Repayments'!$I$31),-PMT('Interest Rate'!$J$16,'Incremental Repayments'!$I$31,(HLOOKUP($D74,$E$4:$CZ$32,28,FALSE)*'Incremental Repayments'!$I$22)),0),0)</f>
        <v>0</v>
      </c>
      <c r="CJ74" s="783">
        <f>IF('Incremental Repayments'!$R$22="Debt",IF(AND(CJ$4&gt;=$D74,CJ$4&lt;$D74+'Incremental Repayments'!$I$31),-PMT('Interest Rate'!$J$16,'Incremental Repayments'!$I$31,(HLOOKUP($D74,$E$4:$CZ$32,28,FALSE)*'Incremental Repayments'!$I$22)),0),0)</f>
        <v>0</v>
      </c>
      <c r="CK74" s="783">
        <f>IF('Incremental Repayments'!$R$22="Debt",IF(AND(CK$4&gt;=$D74,CK$4&lt;$D74+'Incremental Repayments'!$I$31),-PMT('Interest Rate'!$J$16,'Incremental Repayments'!$I$31,(HLOOKUP($D74,$E$4:$CZ$32,28,FALSE)*'Incremental Repayments'!$I$22)),0),0)</f>
        <v>0</v>
      </c>
      <c r="CL74" s="783">
        <f>IF('Incremental Repayments'!$R$22="Debt",IF(AND(CL$4&gt;=$D74,CL$4&lt;$D74+'Incremental Repayments'!$I$31),-PMT('Interest Rate'!$J$16,'Incremental Repayments'!$I$31,(HLOOKUP($D74,$E$4:$CZ$32,28,FALSE)*'Incremental Repayments'!$I$22)),0),0)</f>
        <v>0</v>
      </c>
      <c r="CM74" s="783">
        <f>IF('Incremental Repayments'!$R$22="Debt",IF(AND(CM$4&gt;=$D74,CM$4&lt;$D74+'Incremental Repayments'!$I$31),-PMT('Interest Rate'!$J$16,'Incremental Repayments'!$I$31,(HLOOKUP($D74,$E$4:$CZ$32,28,FALSE)*'Incremental Repayments'!$I$22)),0),0)</f>
        <v>0</v>
      </c>
      <c r="CN74" s="783">
        <f>IF('Incremental Repayments'!$R$22="Debt",IF(AND(CN$4&gt;=$D74,CN$4&lt;$D74+'Incremental Repayments'!$I$31),-PMT('Interest Rate'!$J$16,'Incremental Repayments'!$I$31,(HLOOKUP($D74,$E$4:$CZ$32,28,FALSE)*'Incremental Repayments'!$I$22)),0),0)</f>
        <v>0</v>
      </c>
      <c r="CO74" s="783">
        <f>IF('Incremental Repayments'!$R$22="Debt",IF(AND(CO$4&gt;=$D74,CO$4&lt;$D74+'Incremental Repayments'!$I$31),-PMT('Interest Rate'!$J$16,'Incremental Repayments'!$I$31,(HLOOKUP($D74,$E$4:$CZ$32,28,FALSE)*'Incremental Repayments'!$I$22)),0),0)</f>
        <v>0</v>
      </c>
      <c r="CP74" s="783">
        <f>IF('Incremental Repayments'!$R$22="Debt",IF(AND(CP$4&gt;=$D74,CP$4&lt;$D74+'Incremental Repayments'!$I$31),-PMT('Interest Rate'!$J$16,'Incremental Repayments'!$I$31,(HLOOKUP($D74,$E$4:$CZ$32,28,FALSE)*'Incremental Repayments'!$I$22)),0),0)</f>
        <v>0</v>
      </c>
      <c r="CQ74" s="783">
        <f>IF('Incremental Repayments'!$R$22="Debt",IF(AND(CQ$4&gt;=$D74,CQ$4&lt;$D74+'Incremental Repayments'!$I$31),-PMT('Interest Rate'!$J$16,'Incremental Repayments'!$I$31,(HLOOKUP($D74,$E$4:$CZ$32,28,FALSE)*'Incremental Repayments'!$I$22)),0),0)</f>
        <v>0</v>
      </c>
      <c r="CR74" s="783">
        <f>IF('Incremental Repayments'!$R$22="Debt",IF(AND(CR$4&gt;=$D74,CR$4&lt;$D74+'Incremental Repayments'!$I$31),-PMT('Interest Rate'!$J$16,'Incremental Repayments'!$I$31,(HLOOKUP($D74,$E$4:$CZ$32,28,FALSE)*'Incremental Repayments'!$I$22)),0),0)</f>
        <v>0</v>
      </c>
      <c r="CS74" s="783">
        <f>IF('Incremental Repayments'!$R$22="Debt",IF(AND(CS$4&gt;=$D74,CS$4&lt;$D74+'Incremental Repayments'!$I$31),-PMT('Interest Rate'!$J$16,'Incremental Repayments'!$I$31,(HLOOKUP($D74,$E$4:$CZ$32,28,FALSE)*'Incremental Repayments'!$I$22)),0),0)</f>
        <v>0</v>
      </c>
      <c r="CT74" s="783">
        <f>IF('Incremental Repayments'!$R$22="Debt",IF(AND(CT$4&gt;=$D74,CT$4&lt;$D74+'Incremental Repayments'!$I$31),-PMT('Interest Rate'!$J$16,'Incremental Repayments'!$I$31,(HLOOKUP($D74,$E$4:$CZ$32,28,FALSE)*'Incremental Repayments'!$I$22)),0),0)</f>
        <v>0</v>
      </c>
      <c r="CU74" s="783">
        <f>IF('Incremental Repayments'!$R$22="Debt",IF(AND(CU$4&gt;=$D74,CU$4&lt;$D74+'Incremental Repayments'!$I$31),-PMT('Interest Rate'!$J$16,'Incremental Repayments'!$I$31,(HLOOKUP($D74,$E$4:$CZ$32,28,FALSE)*'Incremental Repayments'!$I$22)),0),0)</f>
        <v>0</v>
      </c>
      <c r="CV74" s="783">
        <f>IF('Incremental Repayments'!$R$22="Debt",IF(AND(CV$4&gt;=$D74,CV$4&lt;$D74+'Incremental Repayments'!$I$31),-PMT('Interest Rate'!$J$16,'Incremental Repayments'!$I$31,(HLOOKUP($D74,$E$4:$CZ$32,28,FALSE)*'Incremental Repayments'!$I$22)),0),0)</f>
        <v>0</v>
      </c>
      <c r="CW74" s="783">
        <f>IF('Incremental Repayments'!$R$22="Debt",IF(AND(CW$4&gt;=$D74,CW$4&lt;$D74+'Incremental Repayments'!$I$31),-PMT('Interest Rate'!$J$16,'Incremental Repayments'!$I$31,(HLOOKUP($D74,$E$4:$CZ$32,28,FALSE)*'Incremental Repayments'!$I$22)),0),0)</f>
        <v>0</v>
      </c>
      <c r="CX74" s="783">
        <f>IF('Incremental Repayments'!$R$22="Debt",IF(AND(CX$4&gt;=$D74,CX$4&lt;$D74+'Incremental Repayments'!$I$31),-PMT('Interest Rate'!$J$16,'Incremental Repayments'!$I$31,(HLOOKUP($D74,$E$4:$CZ$32,28,FALSE)*'Incremental Repayments'!$I$22)),0),0)</f>
        <v>0</v>
      </c>
      <c r="CY74" s="783">
        <f>IF('Incremental Repayments'!$R$22="Debt",IF(AND(CY$4&gt;=$D74,CY$4&lt;$D74+'Incremental Repayments'!$I$31),-PMT('Interest Rate'!$J$16,'Incremental Repayments'!$I$31,(HLOOKUP($D74,$E$4:$CZ$32,28,FALSE)*'Incremental Repayments'!$I$22)),0),0)</f>
        <v>0</v>
      </c>
      <c r="CZ74" s="783">
        <f>IF('Incremental Repayments'!$R$22="Debt",IF(AND(CZ$4&gt;=$D74,CZ$4&lt;$D74+'Incremental Repayments'!$I$31),-PMT('Interest Rate'!$J$16,'Incremental Repayments'!$I$31,(HLOOKUP($D74,$E$4:$CZ$32,28,FALSE)*'Incremental Repayments'!$I$22)),0),0)</f>
        <v>0</v>
      </c>
    </row>
    <row r="75" spans="2:104" x14ac:dyDescent="0.25">
      <c r="B75" s="480" t="str">
        <f>CONCATENATE("Series ",D75,"A Bonds (at ",'Interest Rate'!$J$16*100,"% Interest)")</f>
        <v>Series 2053A Bonds (at 4.5% Interest)</v>
      </c>
      <c r="C75" s="480"/>
      <c r="D75" s="492">
        <f t="shared" si="47"/>
        <v>2053</v>
      </c>
      <c r="E75" s="783">
        <f>IF('Incremental Repayments'!$R$22="Debt",IF(AND(E$4&gt;=$D75,E$4&lt;$D75+'Incremental Repayments'!$I$31),-PMT('Interest Rate'!$J$16,'Incremental Repayments'!$I$31,(HLOOKUP($D75,$E$4:$CZ$32,28,FALSE)*'Incremental Repayments'!$I$22)),0),0)</f>
        <v>0</v>
      </c>
      <c r="F75" s="783">
        <f>IF('Incremental Repayments'!$R$22="Debt",IF(AND(F$4&gt;=$D75,F$4&lt;$D75+'Incremental Repayments'!$I$31),-PMT('Interest Rate'!$J$16,'Incremental Repayments'!$I$31,(HLOOKUP($D75,$E$4:$CZ$32,28,FALSE)*'Incremental Repayments'!$I$22)),0),0)</f>
        <v>0</v>
      </c>
      <c r="G75" s="783">
        <f>IF('Incremental Repayments'!$R$22="Debt",IF(AND(G$4&gt;=$D75,G$4&lt;$D75+'Incremental Repayments'!$I$31),-PMT('Interest Rate'!$J$16,'Incremental Repayments'!$I$31,(HLOOKUP($D75,$E$4:$CZ$32,28,FALSE)*'Incremental Repayments'!$I$22)),0),0)</f>
        <v>0</v>
      </c>
      <c r="H75" s="783">
        <f>IF('Incremental Repayments'!$R$22="Debt",IF(AND(H$4&gt;=$D75,H$4&lt;$D75+'Incremental Repayments'!$I$31),-PMT('Interest Rate'!$J$16,'Incremental Repayments'!$I$31,(HLOOKUP($D75,$E$4:$CZ$32,28,FALSE)*'Incremental Repayments'!$I$22)),0),0)</f>
        <v>0</v>
      </c>
      <c r="I75" s="783">
        <f>IF('Incremental Repayments'!$R$22="Debt",IF(AND(I$4&gt;=$D75,I$4&lt;$D75+'Incremental Repayments'!$I$31),-PMT('Interest Rate'!$J$16,'Incremental Repayments'!$I$31,(HLOOKUP($D75,$E$4:$CZ$32,28,FALSE)*'Incremental Repayments'!$I$22)),0),0)</f>
        <v>0</v>
      </c>
      <c r="J75" s="783">
        <f>IF('Incremental Repayments'!$R$22="Debt",IF(AND(J$4&gt;=$D75,J$4&lt;$D75+'Incremental Repayments'!$I$31),-PMT('Interest Rate'!$J$16,'Incremental Repayments'!$I$31,(HLOOKUP($D75,$E$4:$CZ$32,28,FALSE)*'Incremental Repayments'!$I$22)),0),0)</f>
        <v>0</v>
      </c>
      <c r="K75" s="783">
        <f>IF('Incremental Repayments'!$R$22="Debt",IF(AND(K$4&gt;=$D75,K$4&lt;$D75+'Incremental Repayments'!$I$31),-PMT('Interest Rate'!$J$16,'Incremental Repayments'!$I$31,(HLOOKUP($D75,$E$4:$CZ$32,28,FALSE)*'Incremental Repayments'!$I$22)),0),0)</f>
        <v>0</v>
      </c>
      <c r="L75" s="783">
        <f>IF('Incremental Repayments'!$R$22="Debt",IF(AND(L$4&gt;=$D75,L$4&lt;$D75+'Incremental Repayments'!$I$31),-PMT('Interest Rate'!$J$16,'Incremental Repayments'!$I$31,(HLOOKUP($D75,$E$4:$CZ$32,28,FALSE)*'Incremental Repayments'!$I$22)),0),0)</f>
        <v>0</v>
      </c>
      <c r="M75" s="783">
        <f>IF('Incremental Repayments'!$R$22="Debt",IF(AND(M$4&gt;=$D75,M$4&lt;$D75+'Incremental Repayments'!$I$31),-PMT('Interest Rate'!$J$16,'Incremental Repayments'!$I$31,(HLOOKUP($D75,$E$4:$CZ$32,28,FALSE)*'Incremental Repayments'!$I$22)),0),0)</f>
        <v>0</v>
      </c>
      <c r="N75" s="783">
        <f>IF('Incremental Repayments'!$R$22="Debt",IF(AND(N$4&gt;=$D75,N$4&lt;$D75+'Incremental Repayments'!$I$31),-PMT('Interest Rate'!$J$16,'Incremental Repayments'!$I$31,(HLOOKUP($D75,$E$4:$CZ$32,28,FALSE)*'Incremental Repayments'!$I$22)),0),0)</f>
        <v>0</v>
      </c>
      <c r="O75" s="783">
        <f>IF('Incremental Repayments'!$R$22="Debt",IF(AND(O$4&gt;=$D75,O$4&lt;$D75+'Incremental Repayments'!$I$31),-PMT('Interest Rate'!$J$16,'Incremental Repayments'!$I$31,(HLOOKUP($D75,$E$4:$CZ$32,28,FALSE)*'Incremental Repayments'!$I$22)),0),0)</f>
        <v>0</v>
      </c>
      <c r="P75" s="783">
        <f>IF('Incremental Repayments'!$R$22="Debt",IF(AND(P$4&gt;=$D75,P$4&lt;$D75+'Incremental Repayments'!$I$31),-PMT('Interest Rate'!$J$16,'Incremental Repayments'!$I$31,(HLOOKUP($D75,$E$4:$CZ$32,28,FALSE)*'Incremental Repayments'!$I$22)),0),0)</f>
        <v>0</v>
      </c>
      <c r="Q75" s="783">
        <f>IF('Incremental Repayments'!$R$22="Debt",IF(AND(Q$4&gt;=$D75,Q$4&lt;$D75+'Incremental Repayments'!$I$31),-PMT('Interest Rate'!$J$16,'Incremental Repayments'!$I$31,(HLOOKUP($D75,$E$4:$CZ$32,28,FALSE)*'Incremental Repayments'!$I$22)),0),0)</f>
        <v>0</v>
      </c>
      <c r="R75" s="783">
        <f>IF('Incremental Repayments'!$R$22="Debt",IF(AND(R$4&gt;=$D75,R$4&lt;$D75+'Incremental Repayments'!$I$31),-PMT('Interest Rate'!$J$16,'Incremental Repayments'!$I$31,(HLOOKUP($D75,$E$4:$CZ$32,28,FALSE)*'Incremental Repayments'!$I$22)),0),0)</f>
        <v>0</v>
      </c>
      <c r="S75" s="783">
        <f>IF('Incremental Repayments'!$R$22="Debt",IF(AND(S$4&gt;=$D75,S$4&lt;$D75+'Incremental Repayments'!$I$31),-PMT('Interest Rate'!$J$16,'Incremental Repayments'!$I$31,(HLOOKUP($D75,$E$4:$CZ$32,28,FALSE)*'Incremental Repayments'!$I$22)),0),0)</f>
        <v>0</v>
      </c>
      <c r="T75" s="783">
        <f>IF('Incremental Repayments'!$R$22="Debt",IF(AND(T$4&gt;=$D75,T$4&lt;$D75+'Incremental Repayments'!$I$31),-PMT('Interest Rate'!$J$16,'Incremental Repayments'!$I$31,(HLOOKUP($D75,$E$4:$CZ$32,28,FALSE)*'Incremental Repayments'!$I$22)),0),0)</f>
        <v>0</v>
      </c>
      <c r="U75" s="783">
        <f>IF('Incremental Repayments'!$R$22="Debt",IF(AND(U$4&gt;=$D75,U$4&lt;$D75+'Incremental Repayments'!$I$31),-PMT('Interest Rate'!$J$16,'Incremental Repayments'!$I$31,(HLOOKUP($D75,$E$4:$CZ$32,28,FALSE)*'Incremental Repayments'!$I$22)),0),0)</f>
        <v>0</v>
      </c>
      <c r="V75" s="783">
        <f>IF('Incremental Repayments'!$R$22="Debt",IF(AND(V$4&gt;=$D75,V$4&lt;$D75+'Incremental Repayments'!$I$31),-PMT('Interest Rate'!$J$16,'Incremental Repayments'!$I$31,(HLOOKUP($D75,$E$4:$CZ$32,28,FALSE)*'Incremental Repayments'!$I$22)),0),0)</f>
        <v>0</v>
      </c>
      <c r="W75" s="783">
        <f>IF('Incremental Repayments'!$R$22="Debt",IF(AND(W$4&gt;=$D75,W$4&lt;$D75+'Incremental Repayments'!$I$31),-PMT('Interest Rate'!$J$16,'Incremental Repayments'!$I$31,(HLOOKUP($D75,$E$4:$CZ$32,28,FALSE)*'Incremental Repayments'!$I$22)),0),0)</f>
        <v>0</v>
      </c>
      <c r="X75" s="783">
        <f>IF('Incremental Repayments'!$R$22="Debt",IF(AND(X$4&gt;=$D75,X$4&lt;$D75+'Incremental Repayments'!$I$31),-PMT('Interest Rate'!$J$16,'Incremental Repayments'!$I$31,(HLOOKUP($D75,$E$4:$CZ$32,28,FALSE)*'Incremental Repayments'!$I$22)),0),0)</f>
        <v>0</v>
      </c>
      <c r="Y75" s="783">
        <f>IF('Incremental Repayments'!$R$22="Debt",IF(AND(Y$4&gt;=$D75,Y$4&lt;$D75+'Incremental Repayments'!$I$31),-PMT('Interest Rate'!$J$16,'Incremental Repayments'!$I$31,(HLOOKUP($D75,$E$4:$CZ$32,28,FALSE)*'Incremental Repayments'!$I$22)),0),0)</f>
        <v>0</v>
      </c>
      <c r="Z75" s="783">
        <f>IF('Incremental Repayments'!$R$22="Debt",IF(AND(Z$4&gt;=$D75,Z$4&lt;$D75+'Incremental Repayments'!$I$31),-PMT('Interest Rate'!$J$16,'Incremental Repayments'!$I$31,(HLOOKUP($D75,$E$4:$CZ$32,28,FALSE)*'Incremental Repayments'!$I$22)),0),0)</f>
        <v>0</v>
      </c>
      <c r="AA75" s="783">
        <f>IF('Incremental Repayments'!$R$22="Debt",IF(AND(AA$4&gt;=$D75,AA$4&lt;$D75+'Incremental Repayments'!$I$31),-PMT('Interest Rate'!$J$16,'Incremental Repayments'!$I$31,(HLOOKUP($D75,$E$4:$CZ$32,28,FALSE)*'Incremental Repayments'!$I$22)),0),0)</f>
        <v>0</v>
      </c>
      <c r="AB75" s="783">
        <f>IF('Incremental Repayments'!$R$22="Debt",IF(AND(AB$4&gt;=$D75,AB$4&lt;$D75+'Incremental Repayments'!$I$31),-PMT('Interest Rate'!$J$16,'Incremental Repayments'!$I$31,(HLOOKUP($D75,$E$4:$CZ$32,28,FALSE)*'Incremental Repayments'!$I$22)),0),0)</f>
        <v>0</v>
      </c>
      <c r="AC75" s="783">
        <f>IF('Incremental Repayments'!$R$22="Debt",IF(AND(AC$4&gt;=$D75,AC$4&lt;$D75+'Incremental Repayments'!$I$31),-PMT('Interest Rate'!$J$16,'Incremental Repayments'!$I$31,(HLOOKUP($D75,$E$4:$CZ$32,28,FALSE)*'Incremental Repayments'!$I$22)),0),0)</f>
        <v>0</v>
      </c>
      <c r="AD75" s="783">
        <f>IF('Incremental Repayments'!$R$22="Debt",IF(AND(AD$4&gt;=$D75,AD$4&lt;$D75+'Incremental Repayments'!$I$31),-PMT('Interest Rate'!$J$16,'Incremental Repayments'!$I$31,(HLOOKUP($D75,$E$4:$CZ$32,28,FALSE)*'Incremental Repayments'!$I$22)),0),0)</f>
        <v>0</v>
      </c>
      <c r="AE75" s="783">
        <f>IF('Incremental Repayments'!$R$22="Debt",IF(AND(AE$4&gt;=$D75,AE$4&lt;$D75+'Incremental Repayments'!$I$31),-PMT('Interest Rate'!$J$16,'Incremental Repayments'!$I$31,(HLOOKUP($D75,$E$4:$CZ$32,28,FALSE)*'Incremental Repayments'!$I$22)),0),0)</f>
        <v>0</v>
      </c>
      <c r="AF75" s="783">
        <f>IF('Incremental Repayments'!$R$22="Debt",IF(AND(AF$4&gt;=$D75,AF$4&lt;$D75+'Incremental Repayments'!$I$31),-PMT('Interest Rate'!$J$16,'Incremental Repayments'!$I$31,(HLOOKUP($D75,$E$4:$CZ$32,28,FALSE)*'Incremental Repayments'!$I$22)),0),0)</f>
        <v>0</v>
      </c>
      <c r="AG75" s="783">
        <f>IF('Incremental Repayments'!$R$22="Debt",IF(AND(AG$4&gt;=$D75,AG$4&lt;$D75+'Incremental Repayments'!$I$31),-PMT('Interest Rate'!$J$16,'Incremental Repayments'!$I$31,(HLOOKUP($D75,$E$4:$CZ$32,28,FALSE)*'Incremental Repayments'!$I$22)),0),0)</f>
        <v>0</v>
      </c>
      <c r="AH75" s="783">
        <f>IF('Incremental Repayments'!$R$22="Debt",IF(AND(AH$4&gt;=$D75,AH$4&lt;$D75+'Incremental Repayments'!$I$31),-PMT('Interest Rate'!$J$16,'Incremental Repayments'!$I$31,(HLOOKUP($D75,$E$4:$CZ$32,28,FALSE)*'Incremental Repayments'!$I$22)),0),0)</f>
        <v>0</v>
      </c>
      <c r="AI75" s="783">
        <f>IF('Incremental Repayments'!$R$22="Debt",IF(AND(AI$4&gt;=$D75,AI$4&lt;$D75+'Incremental Repayments'!$I$31),-PMT('Interest Rate'!$J$16,'Incremental Repayments'!$I$31,(HLOOKUP($D75,$E$4:$CZ$32,28,FALSE)*'Incremental Repayments'!$I$22)),0),0)</f>
        <v>0</v>
      </c>
      <c r="AJ75" s="783">
        <f>IF('Incremental Repayments'!$R$22="Debt",IF(AND(AJ$4&gt;=$D75,AJ$4&lt;$D75+'Incremental Repayments'!$I$31),-PMT('Interest Rate'!$J$16,'Incremental Repayments'!$I$31,(HLOOKUP($D75,$E$4:$CZ$32,28,FALSE)*'Incremental Repayments'!$I$22)),0),0)</f>
        <v>0</v>
      </c>
      <c r="AK75" s="783">
        <f>IF('Incremental Repayments'!$R$22="Debt",IF(AND(AK$4&gt;=$D75,AK$4&lt;$D75+'Incremental Repayments'!$I$31),-PMT('Interest Rate'!$J$16,'Incremental Repayments'!$I$31,(HLOOKUP($D75,$E$4:$CZ$32,28,FALSE)*'Incremental Repayments'!$I$22)),0),0)</f>
        <v>0</v>
      </c>
      <c r="AL75" s="783">
        <f>IF('Incremental Repayments'!$R$22="Debt",IF(AND(AL$4&gt;=$D75,AL$4&lt;$D75+'Incremental Repayments'!$I$31),-PMT('Interest Rate'!$J$16,'Incremental Repayments'!$I$31,(HLOOKUP($D75,$E$4:$CZ$32,28,FALSE)*'Incremental Repayments'!$I$22)),0),0)</f>
        <v>0</v>
      </c>
      <c r="AM75" s="783">
        <f>IF('Incremental Repayments'!$R$22="Debt",IF(AND(AM$4&gt;=$D75,AM$4&lt;$D75+'Incremental Repayments'!$I$31),-PMT('Interest Rate'!$J$16,'Incremental Repayments'!$I$31,(HLOOKUP($D75,$E$4:$CZ$32,28,FALSE)*'Incremental Repayments'!$I$22)),0),0)</f>
        <v>0</v>
      </c>
      <c r="AN75" s="783">
        <f>IF('Incremental Repayments'!$R$22="Debt",IF(AND(AN$4&gt;=$D75,AN$4&lt;$D75+'Incremental Repayments'!$I$31),-PMT('Interest Rate'!$J$16,'Incremental Repayments'!$I$31,(HLOOKUP($D75,$E$4:$CZ$32,28,FALSE)*'Incremental Repayments'!$I$22)),0),0)</f>
        <v>0</v>
      </c>
      <c r="AO75" s="783">
        <f>IF('Incremental Repayments'!$R$22="Debt",IF(AND(AO$4&gt;=$D75,AO$4&lt;$D75+'Incremental Repayments'!$I$31),-PMT('Interest Rate'!$J$16,'Incremental Repayments'!$I$31,(HLOOKUP($D75,$E$4:$CZ$32,28,FALSE)*'Incremental Repayments'!$I$22)),0),0)</f>
        <v>0</v>
      </c>
      <c r="AP75" s="783">
        <f>IF('Incremental Repayments'!$R$22="Debt",IF(AND(AP$4&gt;=$D75,AP$4&lt;$D75+'Incremental Repayments'!$I$31),-PMT('Interest Rate'!$J$16,'Incremental Repayments'!$I$31,(HLOOKUP($D75,$E$4:$CZ$32,28,FALSE)*'Incremental Repayments'!$I$22)),0),0)</f>
        <v>0</v>
      </c>
      <c r="AQ75" s="783">
        <f>IF('Incremental Repayments'!$R$22="Debt",IF(AND(AQ$4&gt;=$D75,AQ$4&lt;$D75+'Incremental Repayments'!$I$31),-PMT('Interest Rate'!$J$16,'Incremental Repayments'!$I$31,(HLOOKUP($D75,$E$4:$CZ$32,28,FALSE)*'Incremental Repayments'!$I$22)),0),0)</f>
        <v>0</v>
      </c>
      <c r="AR75" s="783">
        <f>IF('Incremental Repayments'!$R$22="Debt",IF(AND(AR$4&gt;=$D75,AR$4&lt;$D75+'Incremental Repayments'!$I$31),-PMT('Interest Rate'!$J$16,'Incremental Repayments'!$I$31,(HLOOKUP($D75,$E$4:$CZ$32,28,FALSE)*'Incremental Repayments'!$I$22)),0),0)</f>
        <v>50023.484408034499</v>
      </c>
      <c r="AS75" s="783">
        <f>IF('Incremental Repayments'!$R$22="Debt",IF(AND(AS$4&gt;=$D75,AS$4&lt;$D75+'Incremental Repayments'!$I$31),-PMT('Interest Rate'!$J$16,'Incremental Repayments'!$I$31,(HLOOKUP($D75,$E$4:$CZ$32,28,FALSE)*'Incremental Repayments'!$I$22)),0),0)</f>
        <v>50023.484408034499</v>
      </c>
      <c r="AT75" s="783">
        <f>IF('Incremental Repayments'!$R$22="Debt",IF(AND(AT$4&gt;=$D75,AT$4&lt;$D75+'Incremental Repayments'!$I$31),-PMT('Interest Rate'!$J$16,'Incremental Repayments'!$I$31,(HLOOKUP($D75,$E$4:$CZ$32,28,FALSE)*'Incremental Repayments'!$I$22)),0),0)</f>
        <v>50023.484408034499</v>
      </c>
      <c r="AU75" s="783">
        <f>IF('Incremental Repayments'!$R$22="Debt",IF(AND(AU$4&gt;=$D75,AU$4&lt;$D75+'Incremental Repayments'!$I$31),-PMT('Interest Rate'!$J$16,'Incremental Repayments'!$I$31,(HLOOKUP($D75,$E$4:$CZ$32,28,FALSE)*'Incremental Repayments'!$I$22)),0),0)</f>
        <v>50023.484408034499</v>
      </c>
      <c r="AV75" s="783">
        <f>IF('Incremental Repayments'!$R$22="Debt",IF(AND(AV$4&gt;=$D75,AV$4&lt;$D75+'Incremental Repayments'!$I$31),-PMT('Interest Rate'!$J$16,'Incremental Repayments'!$I$31,(HLOOKUP($D75,$E$4:$CZ$32,28,FALSE)*'Incremental Repayments'!$I$22)),0),0)</f>
        <v>50023.484408034499</v>
      </c>
      <c r="AW75" s="783">
        <f>IF('Incremental Repayments'!$R$22="Debt",IF(AND(AW$4&gt;=$D75,AW$4&lt;$D75+'Incremental Repayments'!$I$31),-PMT('Interest Rate'!$J$16,'Incremental Repayments'!$I$31,(HLOOKUP($D75,$E$4:$CZ$32,28,FALSE)*'Incremental Repayments'!$I$22)),0),0)</f>
        <v>50023.484408034499</v>
      </c>
      <c r="AX75" s="783">
        <f>IF('Incremental Repayments'!$R$22="Debt",IF(AND(AX$4&gt;=$D75,AX$4&lt;$D75+'Incremental Repayments'!$I$31),-PMT('Interest Rate'!$J$16,'Incremental Repayments'!$I$31,(HLOOKUP($D75,$E$4:$CZ$32,28,FALSE)*'Incremental Repayments'!$I$22)),0),0)</f>
        <v>50023.484408034499</v>
      </c>
      <c r="AY75" s="783">
        <f>IF('Incremental Repayments'!$R$22="Debt",IF(AND(AY$4&gt;=$D75,AY$4&lt;$D75+'Incremental Repayments'!$I$31),-PMT('Interest Rate'!$J$16,'Incremental Repayments'!$I$31,(HLOOKUP($D75,$E$4:$CZ$32,28,FALSE)*'Incremental Repayments'!$I$22)),0),0)</f>
        <v>50023.484408034499</v>
      </c>
      <c r="AZ75" s="783">
        <f>IF('Incremental Repayments'!$R$22="Debt",IF(AND(AZ$4&gt;=$D75,AZ$4&lt;$D75+'Incremental Repayments'!$I$31),-PMT('Interest Rate'!$J$16,'Incremental Repayments'!$I$31,(HLOOKUP($D75,$E$4:$CZ$32,28,FALSE)*'Incremental Repayments'!$I$22)),0),0)</f>
        <v>50023.484408034499</v>
      </c>
      <c r="BA75" s="783">
        <f>IF('Incremental Repayments'!$R$22="Debt",IF(AND(BA$4&gt;=$D75,BA$4&lt;$D75+'Incremental Repayments'!$I$31),-PMT('Interest Rate'!$J$16,'Incremental Repayments'!$I$31,(HLOOKUP($D75,$E$4:$CZ$32,28,FALSE)*'Incremental Repayments'!$I$22)),0),0)</f>
        <v>50023.484408034499</v>
      </c>
      <c r="BB75" s="783">
        <f>IF('Incremental Repayments'!$R$22="Debt",IF(AND(BB$4&gt;=$D75,BB$4&lt;$D75+'Incremental Repayments'!$I$31),-PMT('Interest Rate'!$J$16,'Incremental Repayments'!$I$31,(HLOOKUP($D75,$E$4:$CZ$32,28,FALSE)*'Incremental Repayments'!$I$22)),0),0)</f>
        <v>50023.484408034499</v>
      </c>
      <c r="BC75" s="783">
        <f>IF('Incremental Repayments'!$R$22="Debt",IF(AND(BC$4&gt;=$D75,BC$4&lt;$D75+'Incremental Repayments'!$I$31),-PMT('Interest Rate'!$J$16,'Incremental Repayments'!$I$31,(HLOOKUP($D75,$E$4:$CZ$32,28,FALSE)*'Incremental Repayments'!$I$22)),0),0)</f>
        <v>50023.484408034499</v>
      </c>
      <c r="BD75" s="783">
        <f>IF('Incremental Repayments'!$R$22="Debt",IF(AND(BD$4&gt;=$D75,BD$4&lt;$D75+'Incremental Repayments'!$I$31),-PMT('Interest Rate'!$J$16,'Incremental Repayments'!$I$31,(HLOOKUP($D75,$E$4:$CZ$32,28,FALSE)*'Incremental Repayments'!$I$22)),0),0)</f>
        <v>50023.484408034499</v>
      </c>
      <c r="BE75" s="783">
        <f>IF('Incremental Repayments'!$R$22="Debt",IF(AND(BE$4&gt;=$D75,BE$4&lt;$D75+'Incremental Repayments'!$I$31),-PMT('Interest Rate'!$J$16,'Incremental Repayments'!$I$31,(HLOOKUP($D75,$E$4:$CZ$32,28,FALSE)*'Incremental Repayments'!$I$22)),0),0)</f>
        <v>50023.484408034499</v>
      </c>
      <c r="BF75" s="783">
        <f>IF('Incremental Repayments'!$R$22="Debt",IF(AND(BF$4&gt;=$D75,BF$4&lt;$D75+'Incremental Repayments'!$I$31),-PMT('Interest Rate'!$J$16,'Incremental Repayments'!$I$31,(HLOOKUP($D75,$E$4:$CZ$32,28,FALSE)*'Incremental Repayments'!$I$22)),0),0)</f>
        <v>50023.484408034499</v>
      </c>
      <c r="BG75" s="783">
        <f>IF('Incremental Repayments'!$R$22="Debt",IF(AND(BG$4&gt;=$D75,BG$4&lt;$D75+'Incremental Repayments'!$I$31),-PMT('Interest Rate'!$J$16,'Incremental Repayments'!$I$31,(HLOOKUP($D75,$E$4:$CZ$32,28,FALSE)*'Incremental Repayments'!$I$22)),0),0)</f>
        <v>50023.484408034499</v>
      </c>
      <c r="BH75" s="783">
        <f>IF('Incremental Repayments'!$R$22="Debt",IF(AND(BH$4&gt;=$D75,BH$4&lt;$D75+'Incremental Repayments'!$I$31),-PMT('Interest Rate'!$J$16,'Incremental Repayments'!$I$31,(HLOOKUP($D75,$E$4:$CZ$32,28,FALSE)*'Incremental Repayments'!$I$22)),0),0)</f>
        <v>50023.484408034499</v>
      </c>
      <c r="BI75" s="783">
        <f>IF('Incremental Repayments'!$R$22="Debt",IF(AND(BI$4&gt;=$D75,BI$4&lt;$D75+'Incremental Repayments'!$I$31),-PMT('Interest Rate'!$J$16,'Incremental Repayments'!$I$31,(HLOOKUP($D75,$E$4:$CZ$32,28,FALSE)*'Incremental Repayments'!$I$22)),0),0)</f>
        <v>50023.484408034499</v>
      </c>
      <c r="BJ75" s="783">
        <f>IF('Incremental Repayments'!$R$22="Debt",IF(AND(BJ$4&gt;=$D75,BJ$4&lt;$D75+'Incremental Repayments'!$I$31),-PMT('Interest Rate'!$J$16,'Incremental Repayments'!$I$31,(HLOOKUP($D75,$E$4:$CZ$32,28,FALSE)*'Incremental Repayments'!$I$22)),0),0)</f>
        <v>50023.484408034499</v>
      </c>
      <c r="BK75" s="783">
        <f>IF('Incremental Repayments'!$R$22="Debt",IF(AND(BK$4&gt;=$D75,BK$4&lt;$D75+'Incremental Repayments'!$I$31),-PMT('Interest Rate'!$J$16,'Incremental Repayments'!$I$31,(HLOOKUP($D75,$E$4:$CZ$32,28,FALSE)*'Incremental Repayments'!$I$22)),0),0)</f>
        <v>50023.484408034499</v>
      </c>
      <c r="BL75" s="783">
        <f>IF('Incremental Repayments'!$R$22="Debt",IF(AND(BL$4&gt;=$D75,BL$4&lt;$D75+'Incremental Repayments'!$I$31),-PMT('Interest Rate'!$J$16,'Incremental Repayments'!$I$31,(HLOOKUP($D75,$E$4:$CZ$32,28,FALSE)*'Incremental Repayments'!$I$22)),0),0)</f>
        <v>50023.484408034499</v>
      </c>
      <c r="BM75" s="783">
        <f>IF('Incremental Repayments'!$R$22="Debt",IF(AND(BM$4&gt;=$D75,BM$4&lt;$D75+'Incremental Repayments'!$I$31),-PMT('Interest Rate'!$J$16,'Incremental Repayments'!$I$31,(HLOOKUP($D75,$E$4:$CZ$32,28,FALSE)*'Incremental Repayments'!$I$22)),0),0)</f>
        <v>50023.484408034499</v>
      </c>
      <c r="BN75" s="783">
        <f>IF('Incremental Repayments'!$R$22="Debt",IF(AND(BN$4&gt;=$D75,BN$4&lt;$D75+'Incremental Repayments'!$I$31),-PMT('Interest Rate'!$J$16,'Incremental Repayments'!$I$31,(HLOOKUP($D75,$E$4:$CZ$32,28,FALSE)*'Incremental Repayments'!$I$22)),0),0)</f>
        <v>50023.484408034499</v>
      </c>
      <c r="BO75" s="783">
        <f>IF('Incremental Repayments'!$R$22="Debt",IF(AND(BO$4&gt;=$D75,BO$4&lt;$D75+'Incremental Repayments'!$I$31),-PMT('Interest Rate'!$J$16,'Incremental Repayments'!$I$31,(HLOOKUP($D75,$E$4:$CZ$32,28,FALSE)*'Incremental Repayments'!$I$22)),0),0)</f>
        <v>50023.484408034499</v>
      </c>
      <c r="BP75" s="783">
        <f>IF('Incremental Repayments'!$R$22="Debt",IF(AND(BP$4&gt;=$D75,BP$4&lt;$D75+'Incremental Repayments'!$I$31),-PMT('Interest Rate'!$J$16,'Incremental Repayments'!$I$31,(HLOOKUP($D75,$E$4:$CZ$32,28,FALSE)*'Incremental Repayments'!$I$22)),0),0)</f>
        <v>50023.484408034499</v>
      </c>
      <c r="BQ75" s="783">
        <f>IF('Incremental Repayments'!$R$22="Debt",IF(AND(BQ$4&gt;=$D75,BQ$4&lt;$D75+'Incremental Repayments'!$I$31),-PMT('Interest Rate'!$J$16,'Incremental Repayments'!$I$31,(HLOOKUP($D75,$E$4:$CZ$32,28,FALSE)*'Incremental Repayments'!$I$22)),0),0)</f>
        <v>50023.484408034499</v>
      </c>
      <c r="BR75" s="783">
        <f>IF('Incremental Repayments'!$R$22="Debt",IF(AND(BR$4&gt;=$D75,BR$4&lt;$D75+'Incremental Repayments'!$I$31),-PMT('Interest Rate'!$J$16,'Incremental Repayments'!$I$31,(HLOOKUP($D75,$E$4:$CZ$32,28,FALSE)*'Incremental Repayments'!$I$22)),0),0)</f>
        <v>50023.484408034499</v>
      </c>
      <c r="BS75" s="783">
        <f>IF('Incremental Repayments'!$R$22="Debt",IF(AND(BS$4&gt;=$D75,BS$4&lt;$D75+'Incremental Repayments'!$I$31),-PMT('Interest Rate'!$J$16,'Incremental Repayments'!$I$31,(HLOOKUP($D75,$E$4:$CZ$32,28,FALSE)*'Incremental Repayments'!$I$22)),0),0)</f>
        <v>50023.484408034499</v>
      </c>
      <c r="BT75" s="783">
        <f>IF('Incremental Repayments'!$R$22="Debt",IF(AND(BT$4&gt;=$D75,BT$4&lt;$D75+'Incremental Repayments'!$I$31),-PMT('Interest Rate'!$J$16,'Incremental Repayments'!$I$31,(HLOOKUP($D75,$E$4:$CZ$32,28,FALSE)*'Incremental Repayments'!$I$22)),0),0)</f>
        <v>50023.484408034499</v>
      </c>
      <c r="BU75" s="783">
        <f>IF('Incremental Repayments'!$R$22="Debt",IF(AND(BU$4&gt;=$D75,BU$4&lt;$D75+'Incremental Repayments'!$I$31),-PMT('Interest Rate'!$J$16,'Incremental Repayments'!$I$31,(HLOOKUP($D75,$E$4:$CZ$32,28,FALSE)*'Incremental Repayments'!$I$22)),0),0)</f>
        <v>50023.484408034499</v>
      </c>
      <c r="BV75" s="783">
        <f>IF('Incremental Repayments'!$R$22="Debt",IF(AND(BV$4&gt;=$D75,BV$4&lt;$D75+'Incremental Repayments'!$I$31),-PMT('Interest Rate'!$J$16,'Incremental Repayments'!$I$31,(HLOOKUP($D75,$E$4:$CZ$32,28,FALSE)*'Incremental Repayments'!$I$22)),0),0)</f>
        <v>0</v>
      </c>
      <c r="BW75" s="783">
        <f>IF('Incremental Repayments'!$R$22="Debt",IF(AND(BW$4&gt;=$D75,BW$4&lt;$D75+'Incremental Repayments'!$I$31),-PMT('Interest Rate'!$J$16,'Incremental Repayments'!$I$31,(HLOOKUP($D75,$E$4:$CZ$32,28,FALSE)*'Incremental Repayments'!$I$22)),0),0)</f>
        <v>0</v>
      </c>
      <c r="BX75" s="783">
        <f>IF('Incremental Repayments'!$R$22="Debt",IF(AND(BX$4&gt;=$D75,BX$4&lt;$D75+'Incremental Repayments'!$I$31),-PMT('Interest Rate'!$J$16,'Incremental Repayments'!$I$31,(HLOOKUP($D75,$E$4:$CZ$32,28,FALSE)*'Incremental Repayments'!$I$22)),0),0)</f>
        <v>0</v>
      </c>
      <c r="BY75" s="783">
        <f>IF('Incremental Repayments'!$R$22="Debt",IF(AND(BY$4&gt;=$D75,BY$4&lt;$D75+'Incremental Repayments'!$I$31),-PMT('Interest Rate'!$J$16,'Incremental Repayments'!$I$31,(HLOOKUP($D75,$E$4:$CZ$32,28,FALSE)*'Incremental Repayments'!$I$22)),0),0)</f>
        <v>0</v>
      </c>
      <c r="BZ75" s="783">
        <f>IF('Incremental Repayments'!$R$22="Debt",IF(AND(BZ$4&gt;=$D75,BZ$4&lt;$D75+'Incremental Repayments'!$I$31),-PMT('Interest Rate'!$J$16,'Incremental Repayments'!$I$31,(HLOOKUP($D75,$E$4:$CZ$32,28,FALSE)*'Incremental Repayments'!$I$22)),0),0)</f>
        <v>0</v>
      </c>
      <c r="CA75" s="783">
        <f>IF('Incremental Repayments'!$R$22="Debt",IF(AND(CA$4&gt;=$D75,CA$4&lt;$D75+'Incremental Repayments'!$I$31),-PMT('Interest Rate'!$J$16,'Incremental Repayments'!$I$31,(HLOOKUP($D75,$E$4:$CZ$32,28,FALSE)*'Incremental Repayments'!$I$22)),0),0)</f>
        <v>0</v>
      </c>
      <c r="CB75" s="783">
        <f>IF('Incremental Repayments'!$R$22="Debt",IF(AND(CB$4&gt;=$D75,CB$4&lt;$D75+'Incremental Repayments'!$I$31),-PMT('Interest Rate'!$J$16,'Incremental Repayments'!$I$31,(HLOOKUP($D75,$E$4:$CZ$32,28,FALSE)*'Incremental Repayments'!$I$22)),0),0)</f>
        <v>0</v>
      </c>
      <c r="CC75" s="783">
        <f>IF('Incremental Repayments'!$R$22="Debt",IF(AND(CC$4&gt;=$D75,CC$4&lt;$D75+'Incremental Repayments'!$I$31),-PMT('Interest Rate'!$J$16,'Incremental Repayments'!$I$31,(HLOOKUP($D75,$E$4:$CZ$32,28,FALSE)*'Incremental Repayments'!$I$22)),0),0)</f>
        <v>0</v>
      </c>
      <c r="CD75" s="783">
        <f>IF('Incremental Repayments'!$R$22="Debt",IF(AND(CD$4&gt;=$D75,CD$4&lt;$D75+'Incremental Repayments'!$I$31),-PMT('Interest Rate'!$J$16,'Incremental Repayments'!$I$31,(HLOOKUP($D75,$E$4:$CZ$32,28,FALSE)*'Incremental Repayments'!$I$22)),0),0)</f>
        <v>0</v>
      </c>
      <c r="CE75" s="783">
        <f>IF('Incremental Repayments'!$R$22="Debt",IF(AND(CE$4&gt;=$D75,CE$4&lt;$D75+'Incremental Repayments'!$I$31),-PMT('Interest Rate'!$J$16,'Incremental Repayments'!$I$31,(HLOOKUP($D75,$E$4:$CZ$32,28,FALSE)*'Incremental Repayments'!$I$22)),0),0)</f>
        <v>0</v>
      </c>
      <c r="CF75" s="783">
        <f>IF('Incremental Repayments'!$R$22="Debt",IF(AND(CF$4&gt;=$D75,CF$4&lt;$D75+'Incremental Repayments'!$I$31),-PMT('Interest Rate'!$J$16,'Incremental Repayments'!$I$31,(HLOOKUP($D75,$E$4:$CZ$32,28,FALSE)*'Incremental Repayments'!$I$22)),0),0)</f>
        <v>0</v>
      </c>
      <c r="CG75" s="783">
        <f>IF('Incremental Repayments'!$R$22="Debt",IF(AND(CG$4&gt;=$D75,CG$4&lt;$D75+'Incremental Repayments'!$I$31),-PMT('Interest Rate'!$J$16,'Incremental Repayments'!$I$31,(HLOOKUP($D75,$E$4:$CZ$32,28,FALSE)*'Incremental Repayments'!$I$22)),0),0)</f>
        <v>0</v>
      </c>
      <c r="CH75" s="783">
        <f>IF('Incremental Repayments'!$R$22="Debt",IF(AND(CH$4&gt;=$D75,CH$4&lt;$D75+'Incremental Repayments'!$I$31),-PMT('Interest Rate'!$J$16,'Incremental Repayments'!$I$31,(HLOOKUP($D75,$E$4:$CZ$32,28,FALSE)*'Incremental Repayments'!$I$22)),0),0)</f>
        <v>0</v>
      </c>
      <c r="CI75" s="783">
        <f>IF('Incremental Repayments'!$R$22="Debt",IF(AND(CI$4&gt;=$D75,CI$4&lt;$D75+'Incremental Repayments'!$I$31),-PMT('Interest Rate'!$J$16,'Incremental Repayments'!$I$31,(HLOOKUP($D75,$E$4:$CZ$32,28,FALSE)*'Incremental Repayments'!$I$22)),0),0)</f>
        <v>0</v>
      </c>
      <c r="CJ75" s="783">
        <f>IF('Incremental Repayments'!$R$22="Debt",IF(AND(CJ$4&gt;=$D75,CJ$4&lt;$D75+'Incremental Repayments'!$I$31),-PMT('Interest Rate'!$J$16,'Incremental Repayments'!$I$31,(HLOOKUP($D75,$E$4:$CZ$32,28,FALSE)*'Incremental Repayments'!$I$22)),0),0)</f>
        <v>0</v>
      </c>
      <c r="CK75" s="783">
        <f>IF('Incremental Repayments'!$R$22="Debt",IF(AND(CK$4&gt;=$D75,CK$4&lt;$D75+'Incremental Repayments'!$I$31),-PMT('Interest Rate'!$J$16,'Incremental Repayments'!$I$31,(HLOOKUP($D75,$E$4:$CZ$32,28,FALSE)*'Incremental Repayments'!$I$22)),0),0)</f>
        <v>0</v>
      </c>
      <c r="CL75" s="783">
        <f>IF('Incremental Repayments'!$R$22="Debt",IF(AND(CL$4&gt;=$D75,CL$4&lt;$D75+'Incremental Repayments'!$I$31),-PMT('Interest Rate'!$J$16,'Incremental Repayments'!$I$31,(HLOOKUP($D75,$E$4:$CZ$32,28,FALSE)*'Incremental Repayments'!$I$22)),0),0)</f>
        <v>0</v>
      </c>
      <c r="CM75" s="783">
        <f>IF('Incremental Repayments'!$R$22="Debt",IF(AND(CM$4&gt;=$D75,CM$4&lt;$D75+'Incremental Repayments'!$I$31),-PMT('Interest Rate'!$J$16,'Incremental Repayments'!$I$31,(HLOOKUP($D75,$E$4:$CZ$32,28,FALSE)*'Incremental Repayments'!$I$22)),0),0)</f>
        <v>0</v>
      </c>
      <c r="CN75" s="783">
        <f>IF('Incremental Repayments'!$R$22="Debt",IF(AND(CN$4&gt;=$D75,CN$4&lt;$D75+'Incremental Repayments'!$I$31),-PMT('Interest Rate'!$J$16,'Incremental Repayments'!$I$31,(HLOOKUP($D75,$E$4:$CZ$32,28,FALSE)*'Incremental Repayments'!$I$22)),0),0)</f>
        <v>0</v>
      </c>
      <c r="CO75" s="783">
        <f>IF('Incremental Repayments'!$R$22="Debt",IF(AND(CO$4&gt;=$D75,CO$4&lt;$D75+'Incremental Repayments'!$I$31),-PMT('Interest Rate'!$J$16,'Incremental Repayments'!$I$31,(HLOOKUP($D75,$E$4:$CZ$32,28,FALSE)*'Incremental Repayments'!$I$22)),0),0)</f>
        <v>0</v>
      </c>
      <c r="CP75" s="783">
        <f>IF('Incremental Repayments'!$R$22="Debt",IF(AND(CP$4&gt;=$D75,CP$4&lt;$D75+'Incremental Repayments'!$I$31),-PMT('Interest Rate'!$J$16,'Incremental Repayments'!$I$31,(HLOOKUP($D75,$E$4:$CZ$32,28,FALSE)*'Incremental Repayments'!$I$22)),0),0)</f>
        <v>0</v>
      </c>
      <c r="CQ75" s="783">
        <f>IF('Incremental Repayments'!$R$22="Debt",IF(AND(CQ$4&gt;=$D75,CQ$4&lt;$D75+'Incremental Repayments'!$I$31),-PMT('Interest Rate'!$J$16,'Incremental Repayments'!$I$31,(HLOOKUP($D75,$E$4:$CZ$32,28,FALSE)*'Incremental Repayments'!$I$22)),0),0)</f>
        <v>0</v>
      </c>
      <c r="CR75" s="783">
        <f>IF('Incremental Repayments'!$R$22="Debt",IF(AND(CR$4&gt;=$D75,CR$4&lt;$D75+'Incremental Repayments'!$I$31),-PMT('Interest Rate'!$J$16,'Incremental Repayments'!$I$31,(HLOOKUP($D75,$E$4:$CZ$32,28,FALSE)*'Incremental Repayments'!$I$22)),0),0)</f>
        <v>0</v>
      </c>
      <c r="CS75" s="783">
        <f>IF('Incremental Repayments'!$R$22="Debt",IF(AND(CS$4&gt;=$D75,CS$4&lt;$D75+'Incremental Repayments'!$I$31),-PMT('Interest Rate'!$J$16,'Incremental Repayments'!$I$31,(HLOOKUP($D75,$E$4:$CZ$32,28,FALSE)*'Incremental Repayments'!$I$22)),0),0)</f>
        <v>0</v>
      </c>
      <c r="CT75" s="783">
        <f>IF('Incremental Repayments'!$R$22="Debt",IF(AND(CT$4&gt;=$D75,CT$4&lt;$D75+'Incremental Repayments'!$I$31),-PMT('Interest Rate'!$J$16,'Incremental Repayments'!$I$31,(HLOOKUP($D75,$E$4:$CZ$32,28,FALSE)*'Incremental Repayments'!$I$22)),0),0)</f>
        <v>0</v>
      </c>
      <c r="CU75" s="783">
        <f>IF('Incremental Repayments'!$R$22="Debt",IF(AND(CU$4&gt;=$D75,CU$4&lt;$D75+'Incremental Repayments'!$I$31),-PMT('Interest Rate'!$J$16,'Incremental Repayments'!$I$31,(HLOOKUP($D75,$E$4:$CZ$32,28,FALSE)*'Incremental Repayments'!$I$22)),0),0)</f>
        <v>0</v>
      </c>
      <c r="CV75" s="783">
        <f>IF('Incremental Repayments'!$R$22="Debt",IF(AND(CV$4&gt;=$D75,CV$4&lt;$D75+'Incremental Repayments'!$I$31),-PMT('Interest Rate'!$J$16,'Incremental Repayments'!$I$31,(HLOOKUP($D75,$E$4:$CZ$32,28,FALSE)*'Incremental Repayments'!$I$22)),0),0)</f>
        <v>0</v>
      </c>
      <c r="CW75" s="783">
        <f>IF('Incremental Repayments'!$R$22="Debt",IF(AND(CW$4&gt;=$D75,CW$4&lt;$D75+'Incremental Repayments'!$I$31),-PMT('Interest Rate'!$J$16,'Incremental Repayments'!$I$31,(HLOOKUP($D75,$E$4:$CZ$32,28,FALSE)*'Incremental Repayments'!$I$22)),0),0)</f>
        <v>0</v>
      </c>
      <c r="CX75" s="783">
        <f>IF('Incremental Repayments'!$R$22="Debt",IF(AND(CX$4&gt;=$D75,CX$4&lt;$D75+'Incremental Repayments'!$I$31),-PMT('Interest Rate'!$J$16,'Incremental Repayments'!$I$31,(HLOOKUP($D75,$E$4:$CZ$32,28,FALSE)*'Incremental Repayments'!$I$22)),0),0)</f>
        <v>0</v>
      </c>
      <c r="CY75" s="783">
        <f>IF('Incremental Repayments'!$R$22="Debt",IF(AND(CY$4&gt;=$D75,CY$4&lt;$D75+'Incremental Repayments'!$I$31),-PMT('Interest Rate'!$J$16,'Incremental Repayments'!$I$31,(HLOOKUP($D75,$E$4:$CZ$32,28,FALSE)*'Incremental Repayments'!$I$22)),0),0)</f>
        <v>0</v>
      </c>
      <c r="CZ75" s="783">
        <f>IF('Incremental Repayments'!$R$22="Debt",IF(AND(CZ$4&gt;=$D75,CZ$4&lt;$D75+'Incremental Repayments'!$I$31),-PMT('Interest Rate'!$J$16,'Incremental Repayments'!$I$31,(HLOOKUP($D75,$E$4:$CZ$32,28,FALSE)*'Incremental Repayments'!$I$22)),0),0)</f>
        <v>0</v>
      </c>
    </row>
    <row r="76" spans="2:104" x14ac:dyDescent="0.25">
      <c r="B76" s="480" t="str">
        <f>CONCATENATE("Series ",D76,"A Bonds (at ",'Interest Rate'!$J$16*100,"% Interest)")</f>
        <v>Series 2054A Bonds (at 4.5% Interest)</v>
      </c>
      <c r="C76" s="480"/>
      <c r="D76" s="492">
        <f t="shared" si="47"/>
        <v>2054</v>
      </c>
      <c r="E76" s="783">
        <f>IF('Incremental Repayments'!$R$22="Debt",IF(AND(E$4&gt;=$D76,E$4&lt;$D76+'Incremental Repayments'!$I$31),-PMT('Interest Rate'!$J$16,'Incremental Repayments'!$I$31,(HLOOKUP($D76,$E$4:$CZ$32,28,FALSE)*'Incremental Repayments'!$I$22)),0),0)</f>
        <v>0</v>
      </c>
      <c r="F76" s="783">
        <f>IF('Incremental Repayments'!$R$22="Debt",IF(AND(F$4&gt;=$D76,F$4&lt;$D76+'Incremental Repayments'!$I$31),-PMT('Interest Rate'!$J$16,'Incremental Repayments'!$I$31,(HLOOKUP($D76,$E$4:$CZ$32,28,FALSE)*'Incremental Repayments'!$I$22)),0),0)</f>
        <v>0</v>
      </c>
      <c r="G76" s="783">
        <f>IF('Incremental Repayments'!$R$22="Debt",IF(AND(G$4&gt;=$D76,G$4&lt;$D76+'Incremental Repayments'!$I$31),-PMT('Interest Rate'!$J$16,'Incremental Repayments'!$I$31,(HLOOKUP($D76,$E$4:$CZ$32,28,FALSE)*'Incremental Repayments'!$I$22)),0),0)</f>
        <v>0</v>
      </c>
      <c r="H76" s="783">
        <f>IF('Incremental Repayments'!$R$22="Debt",IF(AND(H$4&gt;=$D76,H$4&lt;$D76+'Incremental Repayments'!$I$31),-PMT('Interest Rate'!$J$16,'Incremental Repayments'!$I$31,(HLOOKUP($D76,$E$4:$CZ$32,28,FALSE)*'Incremental Repayments'!$I$22)),0),0)</f>
        <v>0</v>
      </c>
      <c r="I76" s="783">
        <f>IF('Incremental Repayments'!$R$22="Debt",IF(AND(I$4&gt;=$D76,I$4&lt;$D76+'Incremental Repayments'!$I$31),-PMT('Interest Rate'!$J$16,'Incremental Repayments'!$I$31,(HLOOKUP($D76,$E$4:$CZ$32,28,FALSE)*'Incremental Repayments'!$I$22)),0),0)</f>
        <v>0</v>
      </c>
      <c r="J76" s="783">
        <f>IF('Incremental Repayments'!$R$22="Debt",IF(AND(J$4&gt;=$D76,J$4&lt;$D76+'Incremental Repayments'!$I$31),-PMT('Interest Rate'!$J$16,'Incremental Repayments'!$I$31,(HLOOKUP($D76,$E$4:$CZ$32,28,FALSE)*'Incremental Repayments'!$I$22)),0),0)</f>
        <v>0</v>
      </c>
      <c r="K76" s="783">
        <f>IF('Incremental Repayments'!$R$22="Debt",IF(AND(K$4&gt;=$D76,K$4&lt;$D76+'Incremental Repayments'!$I$31),-PMT('Interest Rate'!$J$16,'Incremental Repayments'!$I$31,(HLOOKUP($D76,$E$4:$CZ$32,28,FALSE)*'Incremental Repayments'!$I$22)),0),0)</f>
        <v>0</v>
      </c>
      <c r="L76" s="783">
        <f>IF('Incremental Repayments'!$R$22="Debt",IF(AND(L$4&gt;=$D76,L$4&lt;$D76+'Incremental Repayments'!$I$31),-PMT('Interest Rate'!$J$16,'Incremental Repayments'!$I$31,(HLOOKUP($D76,$E$4:$CZ$32,28,FALSE)*'Incremental Repayments'!$I$22)),0),0)</f>
        <v>0</v>
      </c>
      <c r="M76" s="783">
        <f>IF('Incremental Repayments'!$R$22="Debt",IF(AND(M$4&gt;=$D76,M$4&lt;$D76+'Incremental Repayments'!$I$31),-PMT('Interest Rate'!$J$16,'Incremental Repayments'!$I$31,(HLOOKUP($D76,$E$4:$CZ$32,28,FALSE)*'Incremental Repayments'!$I$22)),0),0)</f>
        <v>0</v>
      </c>
      <c r="N76" s="783">
        <f>IF('Incremental Repayments'!$R$22="Debt",IF(AND(N$4&gt;=$D76,N$4&lt;$D76+'Incremental Repayments'!$I$31),-PMT('Interest Rate'!$J$16,'Incremental Repayments'!$I$31,(HLOOKUP($D76,$E$4:$CZ$32,28,FALSE)*'Incremental Repayments'!$I$22)),0),0)</f>
        <v>0</v>
      </c>
      <c r="O76" s="783">
        <f>IF('Incremental Repayments'!$R$22="Debt",IF(AND(O$4&gt;=$D76,O$4&lt;$D76+'Incremental Repayments'!$I$31),-PMT('Interest Rate'!$J$16,'Incremental Repayments'!$I$31,(HLOOKUP($D76,$E$4:$CZ$32,28,FALSE)*'Incremental Repayments'!$I$22)),0),0)</f>
        <v>0</v>
      </c>
      <c r="P76" s="783">
        <f>IF('Incremental Repayments'!$R$22="Debt",IF(AND(P$4&gt;=$D76,P$4&lt;$D76+'Incremental Repayments'!$I$31),-PMT('Interest Rate'!$J$16,'Incremental Repayments'!$I$31,(HLOOKUP($D76,$E$4:$CZ$32,28,FALSE)*'Incremental Repayments'!$I$22)),0),0)</f>
        <v>0</v>
      </c>
      <c r="Q76" s="783">
        <f>IF('Incremental Repayments'!$R$22="Debt",IF(AND(Q$4&gt;=$D76,Q$4&lt;$D76+'Incremental Repayments'!$I$31),-PMT('Interest Rate'!$J$16,'Incremental Repayments'!$I$31,(HLOOKUP($D76,$E$4:$CZ$32,28,FALSE)*'Incremental Repayments'!$I$22)),0),0)</f>
        <v>0</v>
      </c>
      <c r="R76" s="783">
        <f>IF('Incremental Repayments'!$R$22="Debt",IF(AND(R$4&gt;=$D76,R$4&lt;$D76+'Incremental Repayments'!$I$31),-PMT('Interest Rate'!$J$16,'Incremental Repayments'!$I$31,(HLOOKUP($D76,$E$4:$CZ$32,28,FALSE)*'Incremental Repayments'!$I$22)),0),0)</f>
        <v>0</v>
      </c>
      <c r="S76" s="783">
        <f>IF('Incremental Repayments'!$R$22="Debt",IF(AND(S$4&gt;=$D76,S$4&lt;$D76+'Incremental Repayments'!$I$31),-PMT('Interest Rate'!$J$16,'Incremental Repayments'!$I$31,(HLOOKUP($D76,$E$4:$CZ$32,28,FALSE)*'Incremental Repayments'!$I$22)),0),0)</f>
        <v>0</v>
      </c>
      <c r="T76" s="783">
        <f>IF('Incremental Repayments'!$R$22="Debt",IF(AND(T$4&gt;=$D76,T$4&lt;$D76+'Incremental Repayments'!$I$31),-PMT('Interest Rate'!$J$16,'Incremental Repayments'!$I$31,(HLOOKUP($D76,$E$4:$CZ$32,28,FALSE)*'Incremental Repayments'!$I$22)),0),0)</f>
        <v>0</v>
      </c>
      <c r="U76" s="783">
        <f>IF('Incremental Repayments'!$R$22="Debt",IF(AND(U$4&gt;=$D76,U$4&lt;$D76+'Incremental Repayments'!$I$31),-PMT('Interest Rate'!$J$16,'Incremental Repayments'!$I$31,(HLOOKUP($D76,$E$4:$CZ$32,28,FALSE)*'Incremental Repayments'!$I$22)),0),0)</f>
        <v>0</v>
      </c>
      <c r="V76" s="783">
        <f>IF('Incremental Repayments'!$R$22="Debt",IF(AND(V$4&gt;=$D76,V$4&lt;$D76+'Incremental Repayments'!$I$31),-PMT('Interest Rate'!$J$16,'Incremental Repayments'!$I$31,(HLOOKUP($D76,$E$4:$CZ$32,28,FALSE)*'Incremental Repayments'!$I$22)),0),0)</f>
        <v>0</v>
      </c>
      <c r="W76" s="783">
        <f>IF('Incremental Repayments'!$R$22="Debt",IF(AND(W$4&gt;=$D76,W$4&lt;$D76+'Incremental Repayments'!$I$31),-PMT('Interest Rate'!$J$16,'Incremental Repayments'!$I$31,(HLOOKUP($D76,$E$4:$CZ$32,28,FALSE)*'Incremental Repayments'!$I$22)),0),0)</f>
        <v>0</v>
      </c>
      <c r="X76" s="783">
        <f>IF('Incremental Repayments'!$R$22="Debt",IF(AND(X$4&gt;=$D76,X$4&lt;$D76+'Incremental Repayments'!$I$31),-PMT('Interest Rate'!$J$16,'Incremental Repayments'!$I$31,(HLOOKUP($D76,$E$4:$CZ$32,28,FALSE)*'Incremental Repayments'!$I$22)),0),0)</f>
        <v>0</v>
      </c>
      <c r="Y76" s="783">
        <f>IF('Incremental Repayments'!$R$22="Debt",IF(AND(Y$4&gt;=$D76,Y$4&lt;$D76+'Incremental Repayments'!$I$31),-PMT('Interest Rate'!$J$16,'Incremental Repayments'!$I$31,(HLOOKUP($D76,$E$4:$CZ$32,28,FALSE)*'Incremental Repayments'!$I$22)),0),0)</f>
        <v>0</v>
      </c>
      <c r="Z76" s="783">
        <f>IF('Incremental Repayments'!$R$22="Debt",IF(AND(Z$4&gt;=$D76,Z$4&lt;$D76+'Incremental Repayments'!$I$31),-PMT('Interest Rate'!$J$16,'Incremental Repayments'!$I$31,(HLOOKUP($D76,$E$4:$CZ$32,28,FALSE)*'Incremental Repayments'!$I$22)),0),0)</f>
        <v>0</v>
      </c>
      <c r="AA76" s="783">
        <f>IF('Incremental Repayments'!$R$22="Debt",IF(AND(AA$4&gt;=$D76,AA$4&lt;$D76+'Incremental Repayments'!$I$31),-PMT('Interest Rate'!$J$16,'Incremental Repayments'!$I$31,(HLOOKUP($D76,$E$4:$CZ$32,28,FALSE)*'Incremental Repayments'!$I$22)),0),0)</f>
        <v>0</v>
      </c>
      <c r="AB76" s="783">
        <f>IF('Incremental Repayments'!$R$22="Debt",IF(AND(AB$4&gt;=$D76,AB$4&lt;$D76+'Incremental Repayments'!$I$31),-PMT('Interest Rate'!$J$16,'Incremental Repayments'!$I$31,(HLOOKUP($D76,$E$4:$CZ$32,28,FALSE)*'Incremental Repayments'!$I$22)),0),0)</f>
        <v>0</v>
      </c>
      <c r="AC76" s="783">
        <f>IF('Incremental Repayments'!$R$22="Debt",IF(AND(AC$4&gt;=$D76,AC$4&lt;$D76+'Incremental Repayments'!$I$31),-PMT('Interest Rate'!$J$16,'Incremental Repayments'!$I$31,(HLOOKUP($D76,$E$4:$CZ$32,28,FALSE)*'Incremental Repayments'!$I$22)),0),0)</f>
        <v>0</v>
      </c>
      <c r="AD76" s="783">
        <f>IF('Incremental Repayments'!$R$22="Debt",IF(AND(AD$4&gt;=$D76,AD$4&lt;$D76+'Incremental Repayments'!$I$31),-PMT('Interest Rate'!$J$16,'Incremental Repayments'!$I$31,(HLOOKUP($D76,$E$4:$CZ$32,28,FALSE)*'Incremental Repayments'!$I$22)),0),0)</f>
        <v>0</v>
      </c>
      <c r="AE76" s="783">
        <f>IF('Incremental Repayments'!$R$22="Debt",IF(AND(AE$4&gt;=$D76,AE$4&lt;$D76+'Incremental Repayments'!$I$31),-PMT('Interest Rate'!$J$16,'Incremental Repayments'!$I$31,(HLOOKUP($D76,$E$4:$CZ$32,28,FALSE)*'Incremental Repayments'!$I$22)),0),0)</f>
        <v>0</v>
      </c>
      <c r="AF76" s="783">
        <f>IF('Incremental Repayments'!$R$22="Debt",IF(AND(AF$4&gt;=$D76,AF$4&lt;$D76+'Incremental Repayments'!$I$31),-PMT('Interest Rate'!$J$16,'Incremental Repayments'!$I$31,(HLOOKUP($D76,$E$4:$CZ$32,28,FALSE)*'Incremental Repayments'!$I$22)),0),0)</f>
        <v>0</v>
      </c>
      <c r="AG76" s="783">
        <f>IF('Incremental Repayments'!$R$22="Debt",IF(AND(AG$4&gt;=$D76,AG$4&lt;$D76+'Incremental Repayments'!$I$31),-PMT('Interest Rate'!$J$16,'Incremental Repayments'!$I$31,(HLOOKUP($D76,$E$4:$CZ$32,28,FALSE)*'Incremental Repayments'!$I$22)),0),0)</f>
        <v>0</v>
      </c>
      <c r="AH76" s="783">
        <f>IF('Incremental Repayments'!$R$22="Debt",IF(AND(AH$4&gt;=$D76,AH$4&lt;$D76+'Incremental Repayments'!$I$31),-PMT('Interest Rate'!$J$16,'Incremental Repayments'!$I$31,(HLOOKUP($D76,$E$4:$CZ$32,28,FALSE)*'Incremental Repayments'!$I$22)),0),0)</f>
        <v>0</v>
      </c>
      <c r="AI76" s="783">
        <f>IF('Incremental Repayments'!$R$22="Debt",IF(AND(AI$4&gt;=$D76,AI$4&lt;$D76+'Incremental Repayments'!$I$31),-PMT('Interest Rate'!$J$16,'Incremental Repayments'!$I$31,(HLOOKUP($D76,$E$4:$CZ$32,28,FALSE)*'Incremental Repayments'!$I$22)),0),0)</f>
        <v>0</v>
      </c>
      <c r="AJ76" s="783">
        <f>IF('Incremental Repayments'!$R$22="Debt",IF(AND(AJ$4&gt;=$D76,AJ$4&lt;$D76+'Incremental Repayments'!$I$31),-PMT('Interest Rate'!$J$16,'Incremental Repayments'!$I$31,(HLOOKUP($D76,$E$4:$CZ$32,28,FALSE)*'Incremental Repayments'!$I$22)),0),0)</f>
        <v>0</v>
      </c>
      <c r="AK76" s="783">
        <f>IF('Incremental Repayments'!$R$22="Debt",IF(AND(AK$4&gt;=$D76,AK$4&lt;$D76+'Incremental Repayments'!$I$31),-PMT('Interest Rate'!$J$16,'Incremental Repayments'!$I$31,(HLOOKUP($D76,$E$4:$CZ$32,28,FALSE)*'Incremental Repayments'!$I$22)),0),0)</f>
        <v>0</v>
      </c>
      <c r="AL76" s="783">
        <f>IF('Incremental Repayments'!$R$22="Debt",IF(AND(AL$4&gt;=$D76,AL$4&lt;$D76+'Incremental Repayments'!$I$31),-PMT('Interest Rate'!$J$16,'Incremental Repayments'!$I$31,(HLOOKUP($D76,$E$4:$CZ$32,28,FALSE)*'Incremental Repayments'!$I$22)),0),0)</f>
        <v>0</v>
      </c>
      <c r="AM76" s="783">
        <f>IF('Incremental Repayments'!$R$22="Debt",IF(AND(AM$4&gt;=$D76,AM$4&lt;$D76+'Incremental Repayments'!$I$31),-PMT('Interest Rate'!$J$16,'Incremental Repayments'!$I$31,(HLOOKUP($D76,$E$4:$CZ$32,28,FALSE)*'Incremental Repayments'!$I$22)),0),0)</f>
        <v>0</v>
      </c>
      <c r="AN76" s="783">
        <f>IF('Incremental Repayments'!$R$22="Debt",IF(AND(AN$4&gt;=$D76,AN$4&lt;$D76+'Incremental Repayments'!$I$31),-PMT('Interest Rate'!$J$16,'Incremental Repayments'!$I$31,(HLOOKUP($D76,$E$4:$CZ$32,28,FALSE)*'Incremental Repayments'!$I$22)),0),0)</f>
        <v>0</v>
      </c>
      <c r="AO76" s="783">
        <f>IF('Incremental Repayments'!$R$22="Debt",IF(AND(AO$4&gt;=$D76,AO$4&lt;$D76+'Incremental Repayments'!$I$31),-PMT('Interest Rate'!$J$16,'Incremental Repayments'!$I$31,(HLOOKUP($D76,$E$4:$CZ$32,28,FALSE)*'Incremental Repayments'!$I$22)),0),0)</f>
        <v>0</v>
      </c>
      <c r="AP76" s="783">
        <f>IF('Incremental Repayments'!$R$22="Debt",IF(AND(AP$4&gt;=$D76,AP$4&lt;$D76+'Incremental Repayments'!$I$31),-PMT('Interest Rate'!$J$16,'Incremental Repayments'!$I$31,(HLOOKUP($D76,$E$4:$CZ$32,28,FALSE)*'Incremental Repayments'!$I$22)),0),0)</f>
        <v>0</v>
      </c>
      <c r="AQ76" s="783">
        <f>IF('Incremental Repayments'!$R$22="Debt",IF(AND(AQ$4&gt;=$D76,AQ$4&lt;$D76+'Incremental Repayments'!$I$31),-PMT('Interest Rate'!$J$16,'Incremental Repayments'!$I$31,(HLOOKUP($D76,$E$4:$CZ$32,28,FALSE)*'Incremental Repayments'!$I$22)),0),0)</f>
        <v>0</v>
      </c>
      <c r="AR76" s="783">
        <f>IF('Incremental Repayments'!$R$22="Debt",IF(AND(AR$4&gt;=$D76,AR$4&lt;$D76+'Incremental Repayments'!$I$31),-PMT('Interest Rate'!$J$16,'Incremental Repayments'!$I$31,(HLOOKUP($D76,$E$4:$CZ$32,28,FALSE)*'Incremental Repayments'!$I$22)),0),0)</f>
        <v>0</v>
      </c>
      <c r="AS76" s="783">
        <f>IF('Incremental Repayments'!$R$22="Debt",IF(AND(AS$4&gt;=$D76,AS$4&lt;$D76+'Incremental Repayments'!$I$31),-PMT('Interest Rate'!$J$16,'Incremental Repayments'!$I$31,(HLOOKUP($D76,$E$4:$CZ$32,28,FALSE)*'Incremental Repayments'!$I$22)),0),0)</f>
        <v>19579.113341286913</v>
      </c>
      <c r="AT76" s="783">
        <f>IF('Incremental Repayments'!$R$22="Debt",IF(AND(AT$4&gt;=$D76,AT$4&lt;$D76+'Incremental Repayments'!$I$31),-PMT('Interest Rate'!$J$16,'Incremental Repayments'!$I$31,(HLOOKUP($D76,$E$4:$CZ$32,28,FALSE)*'Incremental Repayments'!$I$22)),0),0)</f>
        <v>19579.113341286913</v>
      </c>
      <c r="AU76" s="783">
        <f>IF('Incremental Repayments'!$R$22="Debt",IF(AND(AU$4&gt;=$D76,AU$4&lt;$D76+'Incremental Repayments'!$I$31),-PMT('Interest Rate'!$J$16,'Incremental Repayments'!$I$31,(HLOOKUP($D76,$E$4:$CZ$32,28,FALSE)*'Incremental Repayments'!$I$22)),0),0)</f>
        <v>19579.113341286913</v>
      </c>
      <c r="AV76" s="783">
        <f>IF('Incremental Repayments'!$R$22="Debt",IF(AND(AV$4&gt;=$D76,AV$4&lt;$D76+'Incremental Repayments'!$I$31),-PMT('Interest Rate'!$J$16,'Incremental Repayments'!$I$31,(HLOOKUP($D76,$E$4:$CZ$32,28,FALSE)*'Incremental Repayments'!$I$22)),0),0)</f>
        <v>19579.113341286913</v>
      </c>
      <c r="AW76" s="783">
        <f>IF('Incremental Repayments'!$R$22="Debt",IF(AND(AW$4&gt;=$D76,AW$4&lt;$D76+'Incremental Repayments'!$I$31),-PMT('Interest Rate'!$J$16,'Incremental Repayments'!$I$31,(HLOOKUP($D76,$E$4:$CZ$32,28,FALSE)*'Incremental Repayments'!$I$22)),0),0)</f>
        <v>19579.113341286913</v>
      </c>
      <c r="AX76" s="783">
        <f>IF('Incremental Repayments'!$R$22="Debt",IF(AND(AX$4&gt;=$D76,AX$4&lt;$D76+'Incremental Repayments'!$I$31),-PMT('Interest Rate'!$J$16,'Incremental Repayments'!$I$31,(HLOOKUP($D76,$E$4:$CZ$32,28,FALSE)*'Incremental Repayments'!$I$22)),0),0)</f>
        <v>19579.113341286913</v>
      </c>
      <c r="AY76" s="783">
        <f>IF('Incremental Repayments'!$R$22="Debt",IF(AND(AY$4&gt;=$D76,AY$4&lt;$D76+'Incremental Repayments'!$I$31),-PMT('Interest Rate'!$J$16,'Incremental Repayments'!$I$31,(HLOOKUP($D76,$E$4:$CZ$32,28,FALSE)*'Incremental Repayments'!$I$22)),0),0)</f>
        <v>19579.113341286913</v>
      </c>
      <c r="AZ76" s="783">
        <f>IF('Incremental Repayments'!$R$22="Debt",IF(AND(AZ$4&gt;=$D76,AZ$4&lt;$D76+'Incremental Repayments'!$I$31),-PMT('Interest Rate'!$J$16,'Incremental Repayments'!$I$31,(HLOOKUP($D76,$E$4:$CZ$32,28,FALSE)*'Incremental Repayments'!$I$22)),0),0)</f>
        <v>19579.113341286913</v>
      </c>
      <c r="BA76" s="783">
        <f>IF('Incremental Repayments'!$R$22="Debt",IF(AND(BA$4&gt;=$D76,BA$4&lt;$D76+'Incremental Repayments'!$I$31),-PMT('Interest Rate'!$J$16,'Incremental Repayments'!$I$31,(HLOOKUP($D76,$E$4:$CZ$32,28,FALSE)*'Incremental Repayments'!$I$22)),0),0)</f>
        <v>19579.113341286913</v>
      </c>
      <c r="BB76" s="783">
        <f>IF('Incremental Repayments'!$R$22="Debt",IF(AND(BB$4&gt;=$D76,BB$4&lt;$D76+'Incremental Repayments'!$I$31),-PMT('Interest Rate'!$J$16,'Incremental Repayments'!$I$31,(HLOOKUP($D76,$E$4:$CZ$32,28,FALSE)*'Incremental Repayments'!$I$22)),0),0)</f>
        <v>19579.113341286913</v>
      </c>
      <c r="BC76" s="783">
        <f>IF('Incremental Repayments'!$R$22="Debt",IF(AND(BC$4&gt;=$D76,BC$4&lt;$D76+'Incremental Repayments'!$I$31),-PMT('Interest Rate'!$J$16,'Incremental Repayments'!$I$31,(HLOOKUP($D76,$E$4:$CZ$32,28,FALSE)*'Incremental Repayments'!$I$22)),0),0)</f>
        <v>19579.113341286913</v>
      </c>
      <c r="BD76" s="783">
        <f>IF('Incremental Repayments'!$R$22="Debt",IF(AND(BD$4&gt;=$D76,BD$4&lt;$D76+'Incremental Repayments'!$I$31),-PMT('Interest Rate'!$J$16,'Incremental Repayments'!$I$31,(HLOOKUP($D76,$E$4:$CZ$32,28,FALSE)*'Incremental Repayments'!$I$22)),0),0)</f>
        <v>19579.113341286913</v>
      </c>
      <c r="BE76" s="783">
        <f>IF('Incremental Repayments'!$R$22="Debt",IF(AND(BE$4&gt;=$D76,BE$4&lt;$D76+'Incremental Repayments'!$I$31),-PMT('Interest Rate'!$J$16,'Incremental Repayments'!$I$31,(HLOOKUP($D76,$E$4:$CZ$32,28,FALSE)*'Incremental Repayments'!$I$22)),0),0)</f>
        <v>19579.113341286913</v>
      </c>
      <c r="BF76" s="783">
        <f>IF('Incremental Repayments'!$R$22="Debt",IF(AND(BF$4&gt;=$D76,BF$4&lt;$D76+'Incremental Repayments'!$I$31),-PMT('Interest Rate'!$J$16,'Incremental Repayments'!$I$31,(HLOOKUP($D76,$E$4:$CZ$32,28,FALSE)*'Incremental Repayments'!$I$22)),0),0)</f>
        <v>19579.113341286913</v>
      </c>
      <c r="BG76" s="783">
        <f>IF('Incremental Repayments'!$R$22="Debt",IF(AND(BG$4&gt;=$D76,BG$4&lt;$D76+'Incremental Repayments'!$I$31),-PMT('Interest Rate'!$J$16,'Incremental Repayments'!$I$31,(HLOOKUP($D76,$E$4:$CZ$32,28,FALSE)*'Incremental Repayments'!$I$22)),0),0)</f>
        <v>19579.113341286913</v>
      </c>
      <c r="BH76" s="783">
        <f>IF('Incremental Repayments'!$R$22="Debt",IF(AND(BH$4&gt;=$D76,BH$4&lt;$D76+'Incremental Repayments'!$I$31),-PMT('Interest Rate'!$J$16,'Incremental Repayments'!$I$31,(HLOOKUP($D76,$E$4:$CZ$32,28,FALSE)*'Incremental Repayments'!$I$22)),0),0)</f>
        <v>19579.113341286913</v>
      </c>
      <c r="BI76" s="783">
        <f>IF('Incremental Repayments'!$R$22="Debt",IF(AND(BI$4&gt;=$D76,BI$4&lt;$D76+'Incremental Repayments'!$I$31),-PMT('Interest Rate'!$J$16,'Incremental Repayments'!$I$31,(HLOOKUP($D76,$E$4:$CZ$32,28,FALSE)*'Incremental Repayments'!$I$22)),0),0)</f>
        <v>19579.113341286913</v>
      </c>
      <c r="BJ76" s="783">
        <f>IF('Incremental Repayments'!$R$22="Debt",IF(AND(BJ$4&gt;=$D76,BJ$4&lt;$D76+'Incremental Repayments'!$I$31),-PMT('Interest Rate'!$J$16,'Incremental Repayments'!$I$31,(HLOOKUP($D76,$E$4:$CZ$32,28,FALSE)*'Incremental Repayments'!$I$22)),0),0)</f>
        <v>19579.113341286913</v>
      </c>
      <c r="BK76" s="783">
        <f>IF('Incremental Repayments'!$R$22="Debt",IF(AND(BK$4&gt;=$D76,BK$4&lt;$D76+'Incremental Repayments'!$I$31),-PMT('Interest Rate'!$J$16,'Incremental Repayments'!$I$31,(HLOOKUP($D76,$E$4:$CZ$32,28,FALSE)*'Incremental Repayments'!$I$22)),0),0)</f>
        <v>19579.113341286913</v>
      </c>
      <c r="BL76" s="783">
        <f>IF('Incremental Repayments'!$R$22="Debt",IF(AND(BL$4&gt;=$D76,BL$4&lt;$D76+'Incremental Repayments'!$I$31),-PMT('Interest Rate'!$J$16,'Incremental Repayments'!$I$31,(HLOOKUP($D76,$E$4:$CZ$32,28,FALSE)*'Incremental Repayments'!$I$22)),0),0)</f>
        <v>19579.113341286913</v>
      </c>
      <c r="BM76" s="783">
        <f>IF('Incremental Repayments'!$R$22="Debt",IF(AND(BM$4&gt;=$D76,BM$4&lt;$D76+'Incremental Repayments'!$I$31),-PMT('Interest Rate'!$J$16,'Incremental Repayments'!$I$31,(HLOOKUP($D76,$E$4:$CZ$32,28,FALSE)*'Incremental Repayments'!$I$22)),0),0)</f>
        <v>19579.113341286913</v>
      </c>
      <c r="BN76" s="783">
        <f>IF('Incremental Repayments'!$R$22="Debt",IF(AND(BN$4&gt;=$D76,BN$4&lt;$D76+'Incremental Repayments'!$I$31),-PMT('Interest Rate'!$J$16,'Incremental Repayments'!$I$31,(HLOOKUP($D76,$E$4:$CZ$32,28,FALSE)*'Incremental Repayments'!$I$22)),0),0)</f>
        <v>19579.113341286913</v>
      </c>
      <c r="BO76" s="783">
        <f>IF('Incremental Repayments'!$R$22="Debt",IF(AND(BO$4&gt;=$D76,BO$4&lt;$D76+'Incremental Repayments'!$I$31),-PMT('Interest Rate'!$J$16,'Incremental Repayments'!$I$31,(HLOOKUP($D76,$E$4:$CZ$32,28,FALSE)*'Incremental Repayments'!$I$22)),0),0)</f>
        <v>19579.113341286913</v>
      </c>
      <c r="BP76" s="783">
        <f>IF('Incremental Repayments'!$R$22="Debt",IF(AND(BP$4&gt;=$D76,BP$4&lt;$D76+'Incremental Repayments'!$I$31),-PMT('Interest Rate'!$J$16,'Incremental Repayments'!$I$31,(HLOOKUP($D76,$E$4:$CZ$32,28,FALSE)*'Incremental Repayments'!$I$22)),0),0)</f>
        <v>19579.113341286913</v>
      </c>
      <c r="BQ76" s="783">
        <f>IF('Incremental Repayments'!$R$22="Debt",IF(AND(BQ$4&gt;=$D76,BQ$4&lt;$D76+'Incremental Repayments'!$I$31),-PMT('Interest Rate'!$J$16,'Incremental Repayments'!$I$31,(HLOOKUP($D76,$E$4:$CZ$32,28,FALSE)*'Incremental Repayments'!$I$22)),0),0)</f>
        <v>19579.113341286913</v>
      </c>
      <c r="BR76" s="783">
        <f>IF('Incremental Repayments'!$R$22="Debt",IF(AND(BR$4&gt;=$D76,BR$4&lt;$D76+'Incremental Repayments'!$I$31),-PMT('Interest Rate'!$J$16,'Incremental Repayments'!$I$31,(HLOOKUP($D76,$E$4:$CZ$32,28,FALSE)*'Incremental Repayments'!$I$22)),0),0)</f>
        <v>19579.113341286913</v>
      </c>
      <c r="BS76" s="783">
        <f>IF('Incremental Repayments'!$R$22="Debt",IF(AND(BS$4&gt;=$D76,BS$4&lt;$D76+'Incremental Repayments'!$I$31),-PMT('Interest Rate'!$J$16,'Incremental Repayments'!$I$31,(HLOOKUP($D76,$E$4:$CZ$32,28,FALSE)*'Incremental Repayments'!$I$22)),0),0)</f>
        <v>19579.113341286913</v>
      </c>
      <c r="BT76" s="783">
        <f>IF('Incremental Repayments'!$R$22="Debt",IF(AND(BT$4&gt;=$D76,BT$4&lt;$D76+'Incremental Repayments'!$I$31),-PMT('Interest Rate'!$J$16,'Incremental Repayments'!$I$31,(HLOOKUP($D76,$E$4:$CZ$32,28,FALSE)*'Incremental Repayments'!$I$22)),0),0)</f>
        <v>19579.113341286913</v>
      </c>
      <c r="BU76" s="783">
        <f>IF('Incremental Repayments'!$R$22="Debt",IF(AND(BU$4&gt;=$D76,BU$4&lt;$D76+'Incremental Repayments'!$I$31),-PMT('Interest Rate'!$J$16,'Incremental Repayments'!$I$31,(HLOOKUP($D76,$E$4:$CZ$32,28,FALSE)*'Incremental Repayments'!$I$22)),0),0)</f>
        <v>19579.113341286913</v>
      </c>
      <c r="BV76" s="783">
        <f>IF('Incremental Repayments'!$R$22="Debt",IF(AND(BV$4&gt;=$D76,BV$4&lt;$D76+'Incremental Repayments'!$I$31),-PMT('Interest Rate'!$J$16,'Incremental Repayments'!$I$31,(HLOOKUP($D76,$E$4:$CZ$32,28,FALSE)*'Incremental Repayments'!$I$22)),0),0)</f>
        <v>19579.113341286913</v>
      </c>
      <c r="BW76" s="783">
        <f>IF('Incremental Repayments'!$R$22="Debt",IF(AND(BW$4&gt;=$D76,BW$4&lt;$D76+'Incremental Repayments'!$I$31),-PMT('Interest Rate'!$J$16,'Incremental Repayments'!$I$31,(HLOOKUP($D76,$E$4:$CZ$32,28,FALSE)*'Incremental Repayments'!$I$22)),0),0)</f>
        <v>0</v>
      </c>
      <c r="BX76" s="783">
        <f>IF('Incremental Repayments'!$R$22="Debt",IF(AND(BX$4&gt;=$D76,BX$4&lt;$D76+'Incremental Repayments'!$I$31),-PMT('Interest Rate'!$J$16,'Incremental Repayments'!$I$31,(HLOOKUP($D76,$E$4:$CZ$32,28,FALSE)*'Incremental Repayments'!$I$22)),0),0)</f>
        <v>0</v>
      </c>
      <c r="BY76" s="783">
        <f>IF('Incremental Repayments'!$R$22="Debt",IF(AND(BY$4&gt;=$D76,BY$4&lt;$D76+'Incremental Repayments'!$I$31),-PMT('Interest Rate'!$J$16,'Incremental Repayments'!$I$31,(HLOOKUP($D76,$E$4:$CZ$32,28,FALSE)*'Incremental Repayments'!$I$22)),0),0)</f>
        <v>0</v>
      </c>
      <c r="BZ76" s="783">
        <f>IF('Incremental Repayments'!$R$22="Debt",IF(AND(BZ$4&gt;=$D76,BZ$4&lt;$D76+'Incremental Repayments'!$I$31),-PMT('Interest Rate'!$J$16,'Incremental Repayments'!$I$31,(HLOOKUP($D76,$E$4:$CZ$32,28,FALSE)*'Incremental Repayments'!$I$22)),0),0)</f>
        <v>0</v>
      </c>
      <c r="CA76" s="783">
        <f>IF('Incremental Repayments'!$R$22="Debt",IF(AND(CA$4&gt;=$D76,CA$4&lt;$D76+'Incremental Repayments'!$I$31),-PMT('Interest Rate'!$J$16,'Incremental Repayments'!$I$31,(HLOOKUP($D76,$E$4:$CZ$32,28,FALSE)*'Incremental Repayments'!$I$22)),0),0)</f>
        <v>0</v>
      </c>
      <c r="CB76" s="783">
        <f>IF('Incremental Repayments'!$R$22="Debt",IF(AND(CB$4&gt;=$D76,CB$4&lt;$D76+'Incremental Repayments'!$I$31),-PMT('Interest Rate'!$J$16,'Incremental Repayments'!$I$31,(HLOOKUP($D76,$E$4:$CZ$32,28,FALSE)*'Incremental Repayments'!$I$22)),0),0)</f>
        <v>0</v>
      </c>
      <c r="CC76" s="783">
        <f>IF('Incremental Repayments'!$R$22="Debt",IF(AND(CC$4&gt;=$D76,CC$4&lt;$D76+'Incremental Repayments'!$I$31),-PMT('Interest Rate'!$J$16,'Incremental Repayments'!$I$31,(HLOOKUP($D76,$E$4:$CZ$32,28,FALSE)*'Incremental Repayments'!$I$22)),0),0)</f>
        <v>0</v>
      </c>
      <c r="CD76" s="783">
        <f>IF('Incremental Repayments'!$R$22="Debt",IF(AND(CD$4&gt;=$D76,CD$4&lt;$D76+'Incremental Repayments'!$I$31),-PMT('Interest Rate'!$J$16,'Incremental Repayments'!$I$31,(HLOOKUP($D76,$E$4:$CZ$32,28,FALSE)*'Incremental Repayments'!$I$22)),0),0)</f>
        <v>0</v>
      </c>
      <c r="CE76" s="783">
        <f>IF('Incremental Repayments'!$R$22="Debt",IF(AND(CE$4&gt;=$D76,CE$4&lt;$D76+'Incremental Repayments'!$I$31),-PMT('Interest Rate'!$J$16,'Incremental Repayments'!$I$31,(HLOOKUP($D76,$E$4:$CZ$32,28,FALSE)*'Incremental Repayments'!$I$22)),0),0)</f>
        <v>0</v>
      </c>
      <c r="CF76" s="783">
        <f>IF('Incremental Repayments'!$R$22="Debt",IF(AND(CF$4&gt;=$D76,CF$4&lt;$D76+'Incremental Repayments'!$I$31),-PMT('Interest Rate'!$J$16,'Incremental Repayments'!$I$31,(HLOOKUP($D76,$E$4:$CZ$32,28,FALSE)*'Incremental Repayments'!$I$22)),0),0)</f>
        <v>0</v>
      </c>
      <c r="CG76" s="783">
        <f>IF('Incremental Repayments'!$R$22="Debt",IF(AND(CG$4&gt;=$D76,CG$4&lt;$D76+'Incremental Repayments'!$I$31),-PMT('Interest Rate'!$J$16,'Incremental Repayments'!$I$31,(HLOOKUP($D76,$E$4:$CZ$32,28,FALSE)*'Incremental Repayments'!$I$22)),0),0)</f>
        <v>0</v>
      </c>
      <c r="CH76" s="783">
        <f>IF('Incremental Repayments'!$R$22="Debt",IF(AND(CH$4&gt;=$D76,CH$4&lt;$D76+'Incremental Repayments'!$I$31),-PMT('Interest Rate'!$J$16,'Incremental Repayments'!$I$31,(HLOOKUP($D76,$E$4:$CZ$32,28,FALSE)*'Incremental Repayments'!$I$22)),0),0)</f>
        <v>0</v>
      </c>
      <c r="CI76" s="783">
        <f>IF('Incremental Repayments'!$R$22="Debt",IF(AND(CI$4&gt;=$D76,CI$4&lt;$D76+'Incremental Repayments'!$I$31),-PMT('Interest Rate'!$J$16,'Incremental Repayments'!$I$31,(HLOOKUP($D76,$E$4:$CZ$32,28,FALSE)*'Incremental Repayments'!$I$22)),0),0)</f>
        <v>0</v>
      </c>
      <c r="CJ76" s="783">
        <f>IF('Incremental Repayments'!$R$22="Debt",IF(AND(CJ$4&gt;=$D76,CJ$4&lt;$D76+'Incremental Repayments'!$I$31),-PMT('Interest Rate'!$J$16,'Incremental Repayments'!$I$31,(HLOOKUP($D76,$E$4:$CZ$32,28,FALSE)*'Incremental Repayments'!$I$22)),0),0)</f>
        <v>0</v>
      </c>
      <c r="CK76" s="783">
        <f>IF('Incremental Repayments'!$R$22="Debt",IF(AND(CK$4&gt;=$D76,CK$4&lt;$D76+'Incremental Repayments'!$I$31),-PMT('Interest Rate'!$J$16,'Incremental Repayments'!$I$31,(HLOOKUP($D76,$E$4:$CZ$32,28,FALSE)*'Incremental Repayments'!$I$22)),0),0)</f>
        <v>0</v>
      </c>
      <c r="CL76" s="783">
        <f>IF('Incremental Repayments'!$R$22="Debt",IF(AND(CL$4&gt;=$D76,CL$4&lt;$D76+'Incremental Repayments'!$I$31),-PMT('Interest Rate'!$J$16,'Incremental Repayments'!$I$31,(HLOOKUP($D76,$E$4:$CZ$32,28,FALSE)*'Incremental Repayments'!$I$22)),0),0)</f>
        <v>0</v>
      </c>
      <c r="CM76" s="783">
        <f>IF('Incremental Repayments'!$R$22="Debt",IF(AND(CM$4&gt;=$D76,CM$4&lt;$D76+'Incremental Repayments'!$I$31),-PMT('Interest Rate'!$J$16,'Incremental Repayments'!$I$31,(HLOOKUP($D76,$E$4:$CZ$32,28,FALSE)*'Incremental Repayments'!$I$22)),0),0)</f>
        <v>0</v>
      </c>
      <c r="CN76" s="783">
        <f>IF('Incremental Repayments'!$R$22="Debt",IF(AND(CN$4&gt;=$D76,CN$4&lt;$D76+'Incremental Repayments'!$I$31),-PMT('Interest Rate'!$J$16,'Incremental Repayments'!$I$31,(HLOOKUP($D76,$E$4:$CZ$32,28,FALSE)*'Incremental Repayments'!$I$22)),0),0)</f>
        <v>0</v>
      </c>
      <c r="CO76" s="783">
        <f>IF('Incremental Repayments'!$R$22="Debt",IF(AND(CO$4&gt;=$D76,CO$4&lt;$D76+'Incremental Repayments'!$I$31),-PMT('Interest Rate'!$J$16,'Incremental Repayments'!$I$31,(HLOOKUP($D76,$E$4:$CZ$32,28,FALSE)*'Incremental Repayments'!$I$22)),0),0)</f>
        <v>0</v>
      </c>
      <c r="CP76" s="783">
        <f>IF('Incremental Repayments'!$R$22="Debt",IF(AND(CP$4&gt;=$D76,CP$4&lt;$D76+'Incremental Repayments'!$I$31),-PMT('Interest Rate'!$J$16,'Incremental Repayments'!$I$31,(HLOOKUP($D76,$E$4:$CZ$32,28,FALSE)*'Incremental Repayments'!$I$22)),0),0)</f>
        <v>0</v>
      </c>
      <c r="CQ76" s="783">
        <f>IF('Incremental Repayments'!$R$22="Debt",IF(AND(CQ$4&gt;=$D76,CQ$4&lt;$D76+'Incremental Repayments'!$I$31),-PMT('Interest Rate'!$J$16,'Incremental Repayments'!$I$31,(HLOOKUP($D76,$E$4:$CZ$32,28,FALSE)*'Incremental Repayments'!$I$22)),0),0)</f>
        <v>0</v>
      </c>
      <c r="CR76" s="783">
        <f>IF('Incremental Repayments'!$R$22="Debt",IF(AND(CR$4&gt;=$D76,CR$4&lt;$D76+'Incremental Repayments'!$I$31),-PMT('Interest Rate'!$J$16,'Incremental Repayments'!$I$31,(HLOOKUP($D76,$E$4:$CZ$32,28,FALSE)*'Incremental Repayments'!$I$22)),0),0)</f>
        <v>0</v>
      </c>
      <c r="CS76" s="783">
        <f>IF('Incremental Repayments'!$R$22="Debt",IF(AND(CS$4&gt;=$D76,CS$4&lt;$D76+'Incremental Repayments'!$I$31),-PMT('Interest Rate'!$J$16,'Incremental Repayments'!$I$31,(HLOOKUP($D76,$E$4:$CZ$32,28,FALSE)*'Incremental Repayments'!$I$22)),0),0)</f>
        <v>0</v>
      </c>
      <c r="CT76" s="783">
        <f>IF('Incremental Repayments'!$R$22="Debt",IF(AND(CT$4&gt;=$D76,CT$4&lt;$D76+'Incremental Repayments'!$I$31),-PMT('Interest Rate'!$J$16,'Incremental Repayments'!$I$31,(HLOOKUP($D76,$E$4:$CZ$32,28,FALSE)*'Incremental Repayments'!$I$22)),0),0)</f>
        <v>0</v>
      </c>
      <c r="CU76" s="783">
        <f>IF('Incremental Repayments'!$R$22="Debt",IF(AND(CU$4&gt;=$D76,CU$4&lt;$D76+'Incremental Repayments'!$I$31),-PMT('Interest Rate'!$J$16,'Incremental Repayments'!$I$31,(HLOOKUP($D76,$E$4:$CZ$32,28,FALSE)*'Incremental Repayments'!$I$22)),0),0)</f>
        <v>0</v>
      </c>
      <c r="CV76" s="783">
        <f>IF('Incremental Repayments'!$R$22="Debt",IF(AND(CV$4&gt;=$D76,CV$4&lt;$D76+'Incremental Repayments'!$I$31),-PMT('Interest Rate'!$J$16,'Incremental Repayments'!$I$31,(HLOOKUP($D76,$E$4:$CZ$32,28,FALSE)*'Incremental Repayments'!$I$22)),0),0)</f>
        <v>0</v>
      </c>
      <c r="CW76" s="783">
        <f>IF('Incremental Repayments'!$R$22="Debt",IF(AND(CW$4&gt;=$D76,CW$4&lt;$D76+'Incremental Repayments'!$I$31),-PMT('Interest Rate'!$J$16,'Incremental Repayments'!$I$31,(HLOOKUP($D76,$E$4:$CZ$32,28,FALSE)*'Incremental Repayments'!$I$22)),0),0)</f>
        <v>0</v>
      </c>
      <c r="CX76" s="783">
        <f>IF('Incremental Repayments'!$R$22="Debt",IF(AND(CX$4&gt;=$D76,CX$4&lt;$D76+'Incremental Repayments'!$I$31),-PMT('Interest Rate'!$J$16,'Incremental Repayments'!$I$31,(HLOOKUP($D76,$E$4:$CZ$32,28,FALSE)*'Incremental Repayments'!$I$22)),0),0)</f>
        <v>0</v>
      </c>
      <c r="CY76" s="783">
        <f>IF('Incremental Repayments'!$R$22="Debt",IF(AND(CY$4&gt;=$D76,CY$4&lt;$D76+'Incremental Repayments'!$I$31),-PMT('Interest Rate'!$J$16,'Incremental Repayments'!$I$31,(HLOOKUP($D76,$E$4:$CZ$32,28,FALSE)*'Incremental Repayments'!$I$22)),0),0)</f>
        <v>0</v>
      </c>
      <c r="CZ76" s="783">
        <f>IF('Incremental Repayments'!$R$22="Debt",IF(AND(CZ$4&gt;=$D76,CZ$4&lt;$D76+'Incremental Repayments'!$I$31),-PMT('Interest Rate'!$J$16,'Incremental Repayments'!$I$31,(HLOOKUP($D76,$E$4:$CZ$32,28,FALSE)*'Incremental Repayments'!$I$22)),0),0)</f>
        <v>0</v>
      </c>
    </row>
    <row r="77" spans="2:104" x14ac:dyDescent="0.25">
      <c r="B77" s="480" t="str">
        <f>CONCATENATE("Series ",D77,"A Bonds (at ",'Interest Rate'!$J$16*100,"% Interest)")</f>
        <v>Series 2055A Bonds (at 4.5% Interest)</v>
      </c>
      <c r="C77" s="480"/>
      <c r="D77" s="492">
        <f t="shared" si="47"/>
        <v>2055</v>
      </c>
      <c r="E77" s="783">
        <f>IF('Incremental Repayments'!$R$22="Debt",IF(AND(E$4&gt;=$D77,E$4&lt;$D77+'Incremental Repayments'!$I$31),-PMT('Interest Rate'!$J$16,'Incremental Repayments'!$I$31,(HLOOKUP($D77,$E$4:$CZ$32,28,FALSE)*'Incremental Repayments'!$I$22)),0),0)</f>
        <v>0</v>
      </c>
      <c r="F77" s="783">
        <f>IF('Incremental Repayments'!$R$22="Debt",IF(AND(F$4&gt;=$D77,F$4&lt;$D77+'Incremental Repayments'!$I$31),-PMT('Interest Rate'!$J$16,'Incremental Repayments'!$I$31,(HLOOKUP($D77,$E$4:$CZ$32,28,FALSE)*'Incremental Repayments'!$I$22)),0),0)</f>
        <v>0</v>
      </c>
      <c r="G77" s="783">
        <f>IF('Incremental Repayments'!$R$22="Debt",IF(AND(G$4&gt;=$D77,G$4&lt;$D77+'Incremental Repayments'!$I$31),-PMT('Interest Rate'!$J$16,'Incremental Repayments'!$I$31,(HLOOKUP($D77,$E$4:$CZ$32,28,FALSE)*'Incremental Repayments'!$I$22)),0),0)</f>
        <v>0</v>
      </c>
      <c r="H77" s="783">
        <f>IF('Incremental Repayments'!$R$22="Debt",IF(AND(H$4&gt;=$D77,H$4&lt;$D77+'Incremental Repayments'!$I$31),-PMT('Interest Rate'!$J$16,'Incremental Repayments'!$I$31,(HLOOKUP($D77,$E$4:$CZ$32,28,FALSE)*'Incremental Repayments'!$I$22)),0),0)</f>
        <v>0</v>
      </c>
      <c r="I77" s="783">
        <f>IF('Incremental Repayments'!$R$22="Debt",IF(AND(I$4&gt;=$D77,I$4&lt;$D77+'Incremental Repayments'!$I$31),-PMT('Interest Rate'!$J$16,'Incremental Repayments'!$I$31,(HLOOKUP($D77,$E$4:$CZ$32,28,FALSE)*'Incremental Repayments'!$I$22)),0),0)</f>
        <v>0</v>
      </c>
      <c r="J77" s="783">
        <f>IF('Incremental Repayments'!$R$22="Debt",IF(AND(J$4&gt;=$D77,J$4&lt;$D77+'Incremental Repayments'!$I$31),-PMT('Interest Rate'!$J$16,'Incremental Repayments'!$I$31,(HLOOKUP($D77,$E$4:$CZ$32,28,FALSE)*'Incremental Repayments'!$I$22)),0),0)</f>
        <v>0</v>
      </c>
      <c r="K77" s="783">
        <f>IF('Incremental Repayments'!$R$22="Debt",IF(AND(K$4&gt;=$D77,K$4&lt;$D77+'Incremental Repayments'!$I$31),-PMT('Interest Rate'!$J$16,'Incremental Repayments'!$I$31,(HLOOKUP($D77,$E$4:$CZ$32,28,FALSE)*'Incremental Repayments'!$I$22)),0),0)</f>
        <v>0</v>
      </c>
      <c r="L77" s="783">
        <f>IF('Incremental Repayments'!$R$22="Debt",IF(AND(L$4&gt;=$D77,L$4&lt;$D77+'Incremental Repayments'!$I$31),-PMT('Interest Rate'!$J$16,'Incremental Repayments'!$I$31,(HLOOKUP($D77,$E$4:$CZ$32,28,FALSE)*'Incremental Repayments'!$I$22)),0),0)</f>
        <v>0</v>
      </c>
      <c r="M77" s="783">
        <f>IF('Incremental Repayments'!$R$22="Debt",IF(AND(M$4&gt;=$D77,M$4&lt;$D77+'Incremental Repayments'!$I$31),-PMT('Interest Rate'!$J$16,'Incremental Repayments'!$I$31,(HLOOKUP($D77,$E$4:$CZ$32,28,FALSE)*'Incremental Repayments'!$I$22)),0),0)</f>
        <v>0</v>
      </c>
      <c r="N77" s="783">
        <f>IF('Incremental Repayments'!$R$22="Debt",IF(AND(N$4&gt;=$D77,N$4&lt;$D77+'Incremental Repayments'!$I$31),-PMT('Interest Rate'!$J$16,'Incremental Repayments'!$I$31,(HLOOKUP($D77,$E$4:$CZ$32,28,FALSE)*'Incremental Repayments'!$I$22)),0),0)</f>
        <v>0</v>
      </c>
      <c r="O77" s="783">
        <f>IF('Incremental Repayments'!$R$22="Debt",IF(AND(O$4&gt;=$D77,O$4&lt;$D77+'Incremental Repayments'!$I$31),-PMT('Interest Rate'!$J$16,'Incremental Repayments'!$I$31,(HLOOKUP($D77,$E$4:$CZ$32,28,FALSE)*'Incremental Repayments'!$I$22)),0),0)</f>
        <v>0</v>
      </c>
      <c r="P77" s="783">
        <f>IF('Incremental Repayments'!$R$22="Debt",IF(AND(P$4&gt;=$D77,P$4&lt;$D77+'Incremental Repayments'!$I$31),-PMT('Interest Rate'!$J$16,'Incremental Repayments'!$I$31,(HLOOKUP($D77,$E$4:$CZ$32,28,FALSE)*'Incremental Repayments'!$I$22)),0),0)</f>
        <v>0</v>
      </c>
      <c r="Q77" s="783">
        <f>IF('Incremental Repayments'!$R$22="Debt",IF(AND(Q$4&gt;=$D77,Q$4&lt;$D77+'Incremental Repayments'!$I$31),-PMT('Interest Rate'!$J$16,'Incremental Repayments'!$I$31,(HLOOKUP($D77,$E$4:$CZ$32,28,FALSE)*'Incremental Repayments'!$I$22)),0),0)</f>
        <v>0</v>
      </c>
      <c r="R77" s="783">
        <f>IF('Incremental Repayments'!$R$22="Debt",IF(AND(R$4&gt;=$D77,R$4&lt;$D77+'Incremental Repayments'!$I$31),-PMT('Interest Rate'!$J$16,'Incremental Repayments'!$I$31,(HLOOKUP($D77,$E$4:$CZ$32,28,FALSE)*'Incremental Repayments'!$I$22)),0),0)</f>
        <v>0</v>
      </c>
      <c r="S77" s="783">
        <f>IF('Incremental Repayments'!$R$22="Debt",IF(AND(S$4&gt;=$D77,S$4&lt;$D77+'Incremental Repayments'!$I$31),-PMT('Interest Rate'!$J$16,'Incremental Repayments'!$I$31,(HLOOKUP($D77,$E$4:$CZ$32,28,FALSE)*'Incremental Repayments'!$I$22)),0),0)</f>
        <v>0</v>
      </c>
      <c r="T77" s="783">
        <f>IF('Incremental Repayments'!$R$22="Debt",IF(AND(T$4&gt;=$D77,T$4&lt;$D77+'Incremental Repayments'!$I$31),-PMT('Interest Rate'!$J$16,'Incremental Repayments'!$I$31,(HLOOKUP($D77,$E$4:$CZ$32,28,FALSE)*'Incremental Repayments'!$I$22)),0),0)</f>
        <v>0</v>
      </c>
      <c r="U77" s="783">
        <f>IF('Incremental Repayments'!$R$22="Debt",IF(AND(U$4&gt;=$D77,U$4&lt;$D77+'Incremental Repayments'!$I$31),-PMT('Interest Rate'!$J$16,'Incremental Repayments'!$I$31,(HLOOKUP($D77,$E$4:$CZ$32,28,FALSE)*'Incremental Repayments'!$I$22)),0),0)</f>
        <v>0</v>
      </c>
      <c r="V77" s="783">
        <f>IF('Incremental Repayments'!$R$22="Debt",IF(AND(V$4&gt;=$D77,V$4&lt;$D77+'Incremental Repayments'!$I$31),-PMT('Interest Rate'!$J$16,'Incremental Repayments'!$I$31,(HLOOKUP($D77,$E$4:$CZ$32,28,FALSE)*'Incremental Repayments'!$I$22)),0),0)</f>
        <v>0</v>
      </c>
      <c r="W77" s="783">
        <f>IF('Incremental Repayments'!$R$22="Debt",IF(AND(W$4&gt;=$D77,W$4&lt;$D77+'Incremental Repayments'!$I$31),-PMT('Interest Rate'!$J$16,'Incremental Repayments'!$I$31,(HLOOKUP($D77,$E$4:$CZ$32,28,FALSE)*'Incremental Repayments'!$I$22)),0),0)</f>
        <v>0</v>
      </c>
      <c r="X77" s="783">
        <f>IF('Incremental Repayments'!$R$22="Debt",IF(AND(X$4&gt;=$D77,X$4&lt;$D77+'Incremental Repayments'!$I$31),-PMT('Interest Rate'!$J$16,'Incremental Repayments'!$I$31,(HLOOKUP($D77,$E$4:$CZ$32,28,FALSE)*'Incremental Repayments'!$I$22)),0),0)</f>
        <v>0</v>
      </c>
      <c r="Y77" s="783">
        <f>IF('Incremental Repayments'!$R$22="Debt",IF(AND(Y$4&gt;=$D77,Y$4&lt;$D77+'Incremental Repayments'!$I$31),-PMT('Interest Rate'!$J$16,'Incremental Repayments'!$I$31,(HLOOKUP($D77,$E$4:$CZ$32,28,FALSE)*'Incremental Repayments'!$I$22)),0),0)</f>
        <v>0</v>
      </c>
      <c r="Z77" s="783">
        <f>IF('Incremental Repayments'!$R$22="Debt",IF(AND(Z$4&gt;=$D77,Z$4&lt;$D77+'Incremental Repayments'!$I$31),-PMT('Interest Rate'!$J$16,'Incremental Repayments'!$I$31,(HLOOKUP($D77,$E$4:$CZ$32,28,FALSE)*'Incremental Repayments'!$I$22)),0),0)</f>
        <v>0</v>
      </c>
      <c r="AA77" s="783">
        <f>IF('Incremental Repayments'!$R$22="Debt",IF(AND(AA$4&gt;=$D77,AA$4&lt;$D77+'Incremental Repayments'!$I$31),-PMT('Interest Rate'!$J$16,'Incremental Repayments'!$I$31,(HLOOKUP($D77,$E$4:$CZ$32,28,FALSE)*'Incremental Repayments'!$I$22)),0),0)</f>
        <v>0</v>
      </c>
      <c r="AB77" s="783">
        <f>IF('Incremental Repayments'!$R$22="Debt",IF(AND(AB$4&gt;=$D77,AB$4&lt;$D77+'Incremental Repayments'!$I$31),-PMT('Interest Rate'!$J$16,'Incremental Repayments'!$I$31,(HLOOKUP($D77,$E$4:$CZ$32,28,FALSE)*'Incremental Repayments'!$I$22)),0),0)</f>
        <v>0</v>
      </c>
      <c r="AC77" s="783">
        <f>IF('Incremental Repayments'!$R$22="Debt",IF(AND(AC$4&gt;=$D77,AC$4&lt;$D77+'Incremental Repayments'!$I$31),-PMT('Interest Rate'!$J$16,'Incremental Repayments'!$I$31,(HLOOKUP($D77,$E$4:$CZ$32,28,FALSE)*'Incremental Repayments'!$I$22)),0),0)</f>
        <v>0</v>
      </c>
      <c r="AD77" s="783">
        <f>IF('Incremental Repayments'!$R$22="Debt",IF(AND(AD$4&gt;=$D77,AD$4&lt;$D77+'Incremental Repayments'!$I$31),-PMT('Interest Rate'!$J$16,'Incremental Repayments'!$I$31,(HLOOKUP($D77,$E$4:$CZ$32,28,FALSE)*'Incremental Repayments'!$I$22)),0),0)</f>
        <v>0</v>
      </c>
      <c r="AE77" s="783">
        <f>IF('Incremental Repayments'!$R$22="Debt",IF(AND(AE$4&gt;=$D77,AE$4&lt;$D77+'Incremental Repayments'!$I$31),-PMT('Interest Rate'!$J$16,'Incremental Repayments'!$I$31,(HLOOKUP($D77,$E$4:$CZ$32,28,FALSE)*'Incremental Repayments'!$I$22)),0),0)</f>
        <v>0</v>
      </c>
      <c r="AF77" s="783">
        <f>IF('Incremental Repayments'!$R$22="Debt",IF(AND(AF$4&gt;=$D77,AF$4&lt;$D77+'Incremental Repayments'!$I$31),-PMT('Interest Rate'!$J$16,'Incremental Repayments'!$I$31,(HLOOKUP($D77,$E$4:$CZ$32,28,FALSE)*'Incremental Repayments'!$I$22)),0),0)</f>
        <v>0</v>
      </c>
      <c r="AG77" s="783">
        <f>IF('Incremental Repayments'!$R$22="Debt",IF(AND(AG$4&gt;=$D77,AG$4&lt;$D77+'Incremental Repayments'!$I$31),-PMT('Interest Rate'!$J$16,'Incremental Repayments'!$I$31,(HLOOKUP($D77,$E$4:$CZ$32,28,FALSE)*'Incremental Repayments'!$I$22)),0),0)</f>
        <v>0</v>
      </c>
      <c r="AH77" s="783">
        <f>IF('Incremental Repayments'!$R$22="Debt",IF(AND(AH$4&gt;=$D77,AH$4&lt;$D77+'Incremental Repayments'!$I$31),-PMT('Interest Rate'!$J$16,'Incremental Repayments'!$I$31,(HLOOKUP($D77,$E$4:$CZ$32,28,FALSE)*'Incremental Repayments'!$I$22)),0),0)</f>
        <v>0</v>
      </c>
      <c r="AI77" s="783">
        <f>IF('Incremental Repayments'!$R$22="Debt",IF(AND(AI$4&gt;=$D77,AI$4&lt;$D77+'Incremental Repayments'!$I$31),-PMT('Interest Rate'!$J$16,'Incremental Repayments'!$I$31,(HLOOKUP($D77,$E$4:$CZ$32,28,FALSE)*'Incremental Repayments'!$I$22)),0),0)</f>
        <v>0</v>
      </c>
      <c r="AJ77" s="783">
        <f>IF('Incremental Repayments'!$R$22="Debt",IF(AND(AJ$4&gt;=$D77,AJ$4&lt;$D77+'Incremental Repayments'!$I$31),-PMT('Interest Rate'!$J$16,'Incremental Repayments'!$I$31,(HLOOKUP($D77,$E$4:$CZ$32,28,FALSE)*'Incremental Repayments'!$I$22)),0),0)</f>
        <v>0</v>
      </c>
      <c r="AK77" s="783">
        <f>IF('Incremental Repayments'!$R$22="Debt",IF(AND(AK$4&gt;=$D77,AK$4&lt;$D77+'Incremental Repayments'!$I$31),-PMT('Interest Rate'!$J$16,'Incremental Repayments'!$I$31,(HLOOKUP($D77,$E$4:$CZ$32,28,FALSE)*'Incremental Repayments'!$I$22)),0),0)</f>
        <v>0</v>
      </c>
      <c r="AL77" s="783">
        <f>IF('Incremental Repayments'!$R$22="Debt",IF(AND(AL$4&gt;=$D77,AL$4&lt;$D77+'Incremental Repayments'!$I$31),-PMT('Interest Rate'!$J$16,'Incremental Repayments'!$I$31,(HLOOKUP($D77,$E$4:$CZ$32,28,FALSE)*'Incremental Repayments'!$I$22)),0),0)</f>
        <v>0</v>
      </c>
      <c r="AM77" s="783">
        <f>IF('Incremental Repayments'!$R$22="Debt",IF(AND(AM$4&gt;=$D77,AM$4&lt;$D77+'Incremental Repayments'!$I$31),-PMT('Interest Rate'!$J$16,'Incremental Repayments'!$I$31,(HLOOKUP($D77,$E$4:$CZ$32,28,FALSE)*'Incremental Repayments'!$I$22)),0),0)</f>
        <v>0</v>
      </c>
      <c r="AN77" s="783">
        <f>IF('Incremental Repayments'!$R$22="Debt",IF(AND(AN$4&gt;=$D77,AN$4&lt;$D77+'Incremental Repayments'!$I$31),-PMT('Interest Rate'!$J$16,'Incremental Repayments'!$I$31,(HLOOKUP($D77,$E$4:$CZ$32,28,FALSE)*'Incremental Repayments'!$I$22)),0),0)</f>
        <v>0</v>
      </c>
      <c r="AO77" s="783">
        <f>IF('Incremental Repayments'!$R$22="Debt",IF(AND(AO$4&gt;=$D77,AO$4&lt;$D77+'Incremental Repayments'!$I$31),-PMT('Interest Rate'!$J$16,'Incremental Repayments'!$I$31,(HLOOKUP($D77,$E$4:$CZ$32,28,FALSE)*'Incremental Repayments'!$I$22)),0),0)</f>
        <v>0</v>
      </c>
      <c r="AP77" s="783">
        <f>IF('Incremental Repayments'!$R$22="Debt",IF(AND(AP$4&gt;=$D77,AP$4&lt;$D77+'Incremental Repayments'!$I$31),-PMT('Interest Rate'!$J$16,'Incremental Repayments'!$I$31,(HLOOKUP($D77,$E$4:$CZ$32,28,FALSE)*'Incremental Repayments'!$I$22)),0),0)</f>
        <v>0</v>
      </c>
      <c r="AQ77" s="783">
        <f>IF('Incremental Repayments'!$R$22="Debt",IF(AND(AQ$4&gt;=$D77,AQ$4&lt;$D77+'Incremental Repayments'!$I$31),-PMT('Interest Rate'!$J$16,'Incremental Repayments'!$I$31,(HLOOKUP($D77,$E$4:$CZ$32,28,FALSE)*'Incremental Repayments'!$I$22)),0),0)</f>
        <v>0</v>
      </c>
      <c r="AR77" s="783">
        <f>IF('Incremental Repayments'!$R$22="Debt",IF(AND(AR$4&gt;=$D77,AR$4&lt;$D77+'Incremental Repayments'!$I$31),-PMT('Interest Rate'!$J$16,'Incremental Repayments'!$I$31,(HLOOKUP($D77,$E$4:$CZ$32,28,FALSE)*'Incremental Repayments'!$I$22)),0),0)</f>
        <v>0</v>
      </c>
      <c r="AS77" s="783">
        <f>IF('Incremental Repayments'!$R$22="Debt",IF(AND(AS$4&gt;=$D77,AS$4&lt;$D77+'Incremental Repayments'!$I$31),-PMT('Interest Rate'!$J$16,'Incremental Repayments'!$I$31,(HLOOKUP($D77,$E$4:$CZ$32,28,FALSE)*'Incremental Repayments'!$I$22)),0),0)</f>
        <v>0</v>
      </c>
      <c r="AT77" s="783">
        <f>IF('Incremental Repayments'!$R$22="Debt",IF(AND(AT$4&gt;=$D77,AT$4&lt;$D77+'Incremental Repayments'!$I$31),-PMT('Interest Rate'!$J$16,'Incremental Repayments'!$I$31,(HLOOKUP($D77,$E$4:$CZ$32,28,FALSE)*'Incremental Repayments'!$I$22)),0),0)</f>
        <v>6710.0111667374904</v>
      </c>
      <c r="AU77" s="783">
        <f>IF('Incremental Repayments'!$R$22="Debt",IF(AND(AU$4&gt;=$D77,AU$4&lt;$D77+'Incremental Repayments'!$I$31),-PMT('Interest Rate'!$J$16,'Incremental Repayments'!$I$31,(HLOOKUP($D77,$E$4:$CZ$32,28,FALSE)*'Incremental Repayments'!$I$22)),0),0)</f>
        <v>6710.0111667374904</v>
      </c>
      <c r="AV77" s="783">
        <f>IF('Incremental Repayments'!$R$22="Debt",IF(AND(AV$4&gt;=$D77,AV$4&lt;$D77+'Incremental Repayments'!$I$31),-PMT('Interest Rate'!$J$16,'Incremental Repayments'!$I$31,(HLOOKUP($D77,$E$4:$CZ$32,28,FALSE)*'Incremental Repayments'!$I$22)),0),0)</f>
        <v>6710.0111667374904</v>
      </c>
      <c r="AW77" s="783">
        <f>IF('Incremental Repayments'!$R$22="Debt",IF(AND(AW$4&gt;=$D77,AW$4&lt;$D77+'Incremental Repayments'!$I$31),-PMT('Interest Rate'!$J$16,'Incremental Repayments'!$I$31,(HLOOKUP($D77,$E$4:$CZ$32,28,FALSE)*'Incremental Repayments'!$I$22)),0),0)</f>
        <v>6710.0111667374904</v>
      </c>
      <c r="AX77" s="783">
        <f>IF('Incremental Repayments'!$R$22="Debt",IF(AND(AX$4&gt;=$D77,AX$4&lt;$D77+'Incremental Repayments'!$I$31),-PMT('Interest Rate'!$J$16,'Incremental Repayments'!$I$31,(HLOOKUP($D77,$E$4:$CZ$32,28,FALSE)*'Incremental Repayments'!$I$22)),0),0)</f>
        <v>6710.0111667374904</v>
      </c>
      <c r="AY77" s="783">
        <f>IF('Incremental Repayments'!$R$22="Debt",IF(AND(AY$4&gt;=$D77,AY$4&lt;$D77+'Incremental Repayments'!$I$31),-PMT('Interest Rate'!$J$16,'Incremental Repayments'!$I$31,(HLOOKUP($D77,$E$4:$CZ$32,28,FALSE)*'Incremental Repayments'!$I$22)),0),0)</f>
        <v>6710.0111667374904</v>
      </c>
      <c r="AZ77" s="783">
        <f>IF('Incremental Repayments'!$R$22="Debt",IF(AND(AZ$4&gt;=$D77,AZ$4&lt;$D77+'Incremental Repayments'!$I$31),-PMT('Interest Rate'!$J$16,'Incremental Repayments'!$I$31,(HLOOKUP($D77,$E$4:$CZ$32,28,FALSE)*'Incremental Repayments'!$I$22)),0),0)</f>
        <v>6710.0111667374904</v>
      </c>
      <c r="BA77" s="783">
        <f>IF('Incremental Repayments'!$R$22="Debt",IF(AND(BA$4&gt;=$D77,BA$4&lt;$D77+'Incremental Repayments'!$I$31),-PMT('Interest Rate'!$J$16,'Incremental Repayments'!$I$31,(HLOOKUP($D77,$E$4:$CZ$32,28,FALSE)*'Incremental Repayments'!$I$22)),0),0)</f>
        <v>6710.0111667374904</v>
      </c>
      <c r="BB77" s="783">
        <f>IF('Incremental Repayments'!$R$22="Debt",IF(AND(BB$4&gt;=$D77,BB$4&lt;$D77+'Incremental Repayments'!$I$31),-PMT('Interest Rate'!$J$16,'Incremental Repayments'!$I$31,(HLOOKUP($D77,$E$4:$CZ$32,28,FALSE)*'Incremental Repayments'!$I$22)),0),0)</f>
        <v>6710.0111667374904</v>
      </c>
      <c r="BC77" s="783">
        <f>IF('Incremental Repayments'!$R$22="Debt",IF(AND(BC$4&gt;=$D77,BC$4&lt;$D77+'Incremental Repayments'!$I$31),-PMT('Interest Rate'!$J$16,'Incremental Repayments'!$I$31,(HLOOKUP($D77,$E$4:$CZ$32,28,FALSE)*'Incremental Repayments'!$I$22)),0),0)</f>
        <v>6710.0111667374904</v>
      </c>
      <c r="BD77" s="783">
        <f>IF('Incremental Repayments'!$R$22="Debt",IF(AND(BD$4&gt;=$D77,BD$4&lt;$D77+'Incremental Repayments'!$I$31),-PMT('Interest Rate'!$J$16,'Incremental Repayments'!$I$31,(HLOOKUP($D77,$E$4:$CZ$32,28,FALSE)*'Incremental Repayments'!$I$22)),0),0)</f>
        <v>6710.0111667374904</v>
      </c>
      <c r="BE77" s="783">
        <f>IF('Incremental Repayments'!$R$22="Debt",IF(AND(BE$4&gt;=$D77,BE$4&lt;$D77+'Incremental Repayments'!$I$31),-PMT('Interest Rate'!$J$16,'Incremental Repayments'!$I$31,(HLOOKUP($D77,$E$4:$CZ$32,28,FALSE)*'Incremental Repayments'!$I$22)),0),0)</f>
        <v>6710.0111667374904</v>
      </c>
      <c r="BF77" s="783">
        <f>IF('Incremental Repayments'!$R$22="Debt",IF(AND(BF$4&gt;=$D77,BF$4&lt;$D77+'Incremental Repayments'!$I$31),-PMT('Interest Rate'!$J$16,'Incremental Repayments'!$I$31,(HLOOKUP($D77,$E$4:$CZ$32,28,FALSE)*'Incremental Repayments'!$I$22)),0),0)</f>
        <v>6710.0111667374904</v>
      </c>
      <c r="BG77" s="783">
        <f>IF('Incremental Repayments'!$R$22="Debt",IF(AND(BG$4&gt;=$D77,BG$4&lt;$D77+'Incremental Repayments'!$I$31),-PMT('Interest Rate'!$J$16,'Incremental Repayments'!$I$31,(HLOOKUP($D77,$E$4:$CZ$32,28,FALSE)*'Incremental Repayments'!$I$22)),0),0)</f>
        <v>6710.0111667374904</v>
      </c>
      <c r="BH77" s="783">
        <f>IF('Incremental Repayments'!$R$22="Debt",IF(AND(BH$4&gt;=$D77,BH$4&lt;$D77+'Incremental Repayments'!$I$31),-PMT('Interest Rate'!$J$16,'Incremental Repayments'!$I$31,(HLOOKUP($D77,$E$4:$CZ$32,28,FALSE)*'Incremental Repayments'!$I$22)),0),0)</f>
        <v>6710.0111667374904</v>
      </c>
      <c r="BI77" s="783">
        <f>IF('Incremental Repayments'!$R$22="Debt",IF(AND(BI$4&gt;=$D77,BI$4&lt;$D77+'Incremental Repayments'!$I$31),-PMT('Interest Rate'!$J$16,'Incremental Repayments'!$I$31,(HLOOKUP($D77,$E$4:$CZ$32,28,FALSE)*'Incremental Repayments'!$I$22)),0),0)</f>
        <v>6710.0111667374904</v>
      </c>
      <c r="BJ77" s="783">
        <f>IF('Incremental Repayments'!$R$22="Debt",IF(AND(BJ$4&gt;=$D77,BJ$4&lt;$D77+'Incremental Repayments'!$I$31),-PMT('Interest Rate'!$J$16,'Incremental Repayments'!$I$31,(HLOOKUP($D77,$E$4:$CZ$32,28,FALSE)*'Incremental Repayments'!$I$22)),0),0)</f>
        <v>6710.0111667374904</v>
      </c>
      <c r="BK77" s="783">
        <f>IF('Incremental Repayments'!$R$22="Debt",IF(AND(BK$4&gt;=$D77,BK$4&lt;$D77+'Incremental Repayments'!$I$31),-PMT('Interest Rate'!$J$16,'Incremental Repayments'!$I$31,(HLOOKUP($D77,$E$4:$CZ$32,28,FALSE)*'Incremental Repayments'!$I$22)),0),0)</f>
        <v>6710.0111667374904</v>
      </c>
      <c r="BL77" s="783">
        <f>IF('Incremental Repayments'!$R$22="Debt",IF(AND(BL$4&gt;=$D77,BL$4&lt;$D77+'Incremental Repayments'!$I$31),-PMT('Interest Rate'!$J$16,'Incremental Repayments'!$I$31,(HLOOKUP($D77,$E$4:$CZ$32,28,FALSE)*'Incremental Repayments'!$I$22)),0),0)</f>
        <v>6710.0111667374904</v>
      </c>
      <c r="BM77" s="783">
        <f>IF('Incremental Repayments'!$R$22="Debt",IF(AND(BM$4&gt;=$D77,BM$4&lt;$D77+'Incremental Repayments'!$I$31),-PMT('Interest Rate'!$J$16,'Incremental Repayments'!$I$31,(HLOOKUP($D77,$E$4:$CZ$32,28,FALSE)*'Incremental Repayments'!$I$22)),0),0)</f>
        <v>6710.0111667374904</v>
      </c>
      <c r="BN77" s="783">
        <f>IF('Incremental Repayments'!$R$22="Debt",IF(AND(BN$4&gt;=$D77,BN$4&lt;$D77+'Incremental Repayments'!$I$31),-PMT('Interest Rate'!$J$16,'Incremental Repayments'!$I$31,(HLOOKUP($D77,$E$4:$CZ$32,28,FALSE)*'Incremental Repayments'!$I$22)),0),0)</f>
        <v>6710.0111667374904</v>
      </c>
      <c r="BO77" s="783">
        <f>IF('Incremental Repayments'!$R$22="Debt",IF(AND(BO$4&gt;=$D77,BO$4&lt;$D77+'Incremental Repayments'!$I$31),-PMT('Interest Rate'!$J$16,'Incremental Repayments'!$I$31,(HLOOKUP($D77,$E$4:$CZ$32,28,FALSE)*'Incremental Repayments'!$I$22)),0),0)</f>
        <v>6710.0111667374904</v>
      </c>
      <c r="BP77" s="783">
        <f>IF('Incremental Repayments'!$R$22="Debt",IF(AND(BP$4&gt;=$D77,BP$4&lt;$D77+'Incremental Repayments'!$I$31),-PMT('Interest Rate'!$J$16,'Incremental Repayments'!$I$31,(HLOOKUP($D77,$E$4:$CZ$32,28,FALSE)*'Incremental Repayments'!$I$22)),0),0)</f>
        <v>6710.0111667374904</v>
      </c>
      <c r="BQ77" s="783">
        <f>IF('Incremental Repayments'!$R$22="Debt",IF(AND(BQ$4&gt;=$D77,BQ$4&lt;$D77+'Incremental Repayments'!$I$31),-PMT('Interest Rate'!$J$16,'Incremental Repayments'!$I$31,(HLOOKUP($D77,$E$4:$CZ$32,28,FALSE)*'Incremental Repayments'!$I$22)),0),0)</f>
        <v>6710.0111667374904</v>
      </c>
      <c r="BR77" s="783">
        <f>IF('Incremental Repayments'!$R$22="Debt",IF(AND(BR$4&gt;=$D77,BR$4&lt;$D77+'Incremental Repayments'!$I$31),-PMT('Interest Rate'!$J$16,'Incremental Repayments'!$I$31,(HLOOKUP($D77,$E$4:$CZ$32,28,FALSE)*'Incremental Repayments'!$I$22)),0),0)</f>
        <v>6710.0111667374904</v>
      </c>
      <c r="BS77" s="783">
        <f>IF('Incremental Repayments'!$R$22="Debt",IF(AND(BS$4&gt;=$D77,BS$4&lt;$D77+'Incremental Repayments'!$I$31),-PMT('Interest Rate'!$J$16,'Incremental Repayments'!$I$31,(HLOOKUP($D77,$E$4:$CZ$32,28,FALSE)*'Incremental Repayments'!$I$22)),0),0)</f>
        <v>6710.0111667374904</v>
      </c>
      <c r="BT77" s="783">
        <f>IF('Incremental Repayments'!$R$22="Debt",IF(AND(BT$4&gt;=$D77,BT$4&lt;$D77+'Incremental Repayments'!$I$31),-PMT('Interest Rate'!$J$16,'Incremental Repayments'!$I$31,(HLOOKUP($D77,$E$4:$CZ$32,28,FALSE)*'Incremental Repayments'!$I$22)),0),0)</f>
        <v>6710.0111667374904</v>
      </c>
      <c r="BU77" s="783">
        <f>IF('Incremental Repayments'!$R$22="Debt",IF(AND(BU$4&gt;=$D77,BU$4&lt;$D77+'Incremental Repayments'!$I$31),-PMT('Interest Rate'!$J$16,'Incremental Repayments'!$I$31,(HLOOKUP($D77,$E$4:$CZ$32,28,FALSE)*'Incremental Repayments'!$I$22)),0),0)</f>
        <v>6710.0111667374904</v>
      </c>
      <c r="BV77" s="783">
        <f>IF('Incremental Repayments'!$R$22="Debt",IF(AND(BV$4&gt;=$D77,BV$4&lt;$D77+'Incremental Repayments'!$I$31),-PMT('Interest Rate'!$J$16,'Incremental Repayments'!$I$31,(HLOOKUP($D77,$E$4:$CZ$32,28,FALSE)*'Incremental Repayments'!$I$22)),0),0)</f>
        <v>6710.0111667374904</v>
      </c>
      <c r="BW77" s="783">
        <f>IF('Incremental Repayments'!$R$22="Debt",IF(AND(BW$4&gt;=$D77,BW$4&lt;$D77+'Incremental Repayments'!$I$31),-PMT('Interest Rate'!$J$16,'Incremental Repayments'!$I$31,(HLOOKUP($D77,$E$4:$CZ$32,28,FALSE)*'Incremental Repayments'!$I$22)),0),0)</f>
        <v>6710.0111667374904</v>
      </c>
      <c r="BX77" s="783">
        <f>IF('Incremental Repayments'!$R$22="Debt",IF(AND(BX$4&gt;=$D77,BX$4&lt;$D77+'Incremental Repayments'!$I$31),-PMT('Interest Rate'!$J$16,'Incremental Repayments'!$I$31,(HLOOKUP($D77,$E$4:$CZ$32,28,FALSE)*'Incremental Repayments'!$I$22)),0),0)</f>
        <v>0</v>
      </c>
      <c r="BY77" s="783">
        <f>IF('Incremental Repayments'!$R$22="Debt",IF(AND(BY$4&gt;=$D77,BY$4&lt;$D77+'Incremental Repayments'!$I$31),-PMT('Interest Rate'!$J$16,'Incremental Repayments'!$I$31,(HLOOKUP($D77,$E$4:$CZ$32,28,FALSE)*'Incremental Repayments'!$I$22)),0),0)</f>
        <v>0</v>
      </c>
      <c r="BZ77" s="783">
        <f>IF('Incremental Repayments'!$R$22="Debt",IF(AND(BZ$4&gt;=$D77,BZ$4&lt;$D77+'Incremental Repayments'!$I$31),-PMT('Interest Rate'!$J$16,'Incremental Repayments'!$I$31,(HLOOKUP($D77,$E$4:$CZ$32,28,FALSE)*'Incremental Repayments'!$I$22)),0),0)</f>
        <v>0</v>
      </c>
      <c r="CA77" s="783">
        <f>IF('Incremental Repayments'!$R$22="Debt",IF(AND(CA$4&gt;=$D77,CA$4&lt;$D77+'Incremental Repayments'!$I$31),-PMT('Interest Rate'!$J$16,'Incremental Repayments'!$I$31,(HLOOKUP($D77,$E$4:$CZ$32,28,FALSE)*'Incremental Repayments'!$I$22)),0),0)</f>
        <v>0</v>
      </c>
      <c r="CB77" s="783">
        <f>IF('Incremental Repayments'!$R$22="Debt",IF(AND(CB$4&gt;=$D77,CB$4&lt;$D77+'Incremental Repayments'!$I$31),-PMT('Interest Rate'!$J$16,'Incremental Repayments'!$I$31,(HLOOKUP($D77,$E$4:$CZ$32,28,FALSE)*'Incremental Repayments'!$I$22)),0),0)</f>
        <v>0</v>
      </c>
      <c r="CC77" s="783">
        <f>IF('Incremental Repayments'!$R$22="Debt",IF(AND(CC$4&gt;=$D77,CC$4&lt;$D77+'Incremental Repayments'!$I$31),-PMT('Interest Rate'!$J$16,'Incremental Repayments'!$I$31,(HLOOKUP($D77,$E$4:$CZ$32,28,FALSE)*'Incremental Repayments'!$I$22)),0),0)</f>
        <v>0</v>
      </c>
      <c r="CD77" s="783">
        <f>IF('Incremental Repayments'!$R$22="Debt",IF(AND(CD$4&gt;=$D77,CD$4&lt;$D77+'Incremental Repayments'!$I$31),-PMT('Interest Rate'!$J$16,'Incremental Repayments'!$I$31,(HLOOKUP($D77,$E$4:$CZ$32,28,FALSE)*'Incremental Repayments'!$I$22)),0),0)</f>
        <v>0</v>
      </c>
      <c r="CE77" s="783">
        <f>IF('Incremental Repayments'!$R$22="Debt",IF(AND(CE$4&gt;=$D77,CE$4&lt;$D77+'Incremental Repayments'!$I$31),-PMT('Interest Rate'!$J$16,'Incremental Repayments'!$I$31,(HLOOKUP($D77,$E$4:$CZ$32,28,FALSE)*'Incremental Repayments'!$I$22)),0),0)</f>
        <v>0</v>
      </c>
      <c r="CF77" s="783">
        <f>IF('Incremental Repayments'!$R$22="Debt",IF(AND(CF$4&gt;=$D77,CF$4&lt;$D77+'Incremental Repayments'!$I$31),-PMT('Interest Rate'!$J$16,'Incremental Repayments'!$I$31,(HLOOKUP($D77,$E$4:$CZ$32,28,FALSE)*'Incremental Repayments'!$I$22)),0),0)</f>
        <v>0</v>
      </c>
      <c r="CG77" s="783">
        <f>IF('Incremental Repayments'!$R$22="Debt",IF(AND(CG$4&gt;=$D77,CG$4&lt;$D77+'Incremental Repayments'!$I$31),-PMT('Interest Rate'!$J$16,'Incremental Repayments'!$I$31,(HLOOKUP($D77,$E$4:$CZ$32,28,FALSE)*'Incremental Repayments'!$I$22)),0),0)</f>
        <v>0</v>
      </c>
      <c r="CH77" s="783">
        <f>IF('Incremental Repayments'!$R$22="Debt",IF(AND(CH$4&gt;=$D77,CH$4&lt;$D77+'Incremental Repayments'!$I$31),-PMT('Interest Rate'!$J$16,'Incremental Repayments'!$I$31,(HLOOKUP($D77,$E$4:$CZ$32,28,FALSE)*'Incremental Repayments'!$I$22)),0),0)</f>
        <v>0</v>
      </c>
      <c r="CI77" s="783">
        <f>IF('Incremental Repayments'!$R$22="Debt",IF(AND(CI$4&gt;=$D77,CI$4&lt;$D77+'Incremental Repayments'!$I$31),-PMT('Interest Rate'!$J$16,'Incremental Repayments'!$I$31,(HLOOKUP($D77,$E$4:$CZ$32,28,FALSE)*'Incremental Repayments'!$I$22)),0),0)</f>
        <v>0</v>
      </c>
      <c r="CJ77" s="783">
        <f>IF('Incremental Repayments'!$R$22="Debt",IF(AND(CJ$4&gt;=$D77,CJ$4&lt;$D77+'Incremental Repayments'!$I$31),-PMT('Interest Rate'!$J$16,'Incremental Repayments'!$I$31,(HLOOKUP($D77,$E$4:$CZ$32,28,FALSE)*'Incremental Repayments'!$I$22)),0),0)</f>
        <v>0</v>
      </c>
      <c r="CK77" s="783">
        <f>IF('Incremental Repayments'!$R$22="Debt",IF(AND(CK$4&gt;=$D77,CK$4&lt;$D77+'Incremental Repayments'!$I$31),-PMT('Interest Rate'!$J$16,'Incremental Repayments'!$I$31,(HLOOKUP($D77,$E$4:$CZ$32,28,FALSE)*'Incremental Repayments'!$I$22)),0),0)</f>
        <v>0</v>
      </c>
      <c r="CL77" s="783">
        <f>IF('Incremental Repayments'!$R$22="Debt",IF(AND(CL$4&gt;=$D77,CL$4&lt;$D77+'Incremental Repayments'!$I$31),-PMT('Interest Rate'!$J$16,'Incremental Repayments'!$I$31,(HLOOKUP($D77,$E$4:$CZ$32,28,FALSE)*'Incremental Repayments'!$I$22)),0),0)</f>
        <v>0</v>
      </c>
      <c r="CM77" s="783">
        <f>IF('Incremental Repayments'!$R$22="Debt",IF(AND(CM$4&gt;=$D77,CM$4&lt;$D77+'Incremental Repayments'!$I$31),-PMT('Interest Rate'!$J$16,'Incremental Repayments'!$I$31,(HLOOKUP($D77,$E$4:$CZ$32,28,FALSE)*'Incremental Repayments'!$I$22)),0),0)</f>
        <v>0</v>
      </c>
      <c r="CN77" s="783">
        <f>IF('Incremental Repayments'!$R$22="Debt",IF(AND(CN$4&gt;=$D77,CN$4&lt;$D77+'Incremental Repayments'!$I$31),-PMT('Interest Rate'!$J$16,'Incremental Repayments'!$I$31,(HLOOKUP($D77,$E$4:$CZ$32,28,FALSE)*'Incremental Repayments'!$I$22)),0),0)</f>
        <v>0</v>
      </c>
      <c r="CO77" s="783">
        <f>IF('Incremental Repayments'!$R$22="Debt",IF(AND(CO$4&gt;=$D77,CO$4&lt;$D77+'Incremental Repayments'!$I$31),-PMT('Interest Rate'!$J$16,'Incremental Repayments'!$I$31,(HLOOKUP($D77,$E$4:$CZ$32,28,FALSE)*'Incremental Repayments'!$I$22)),0),0)</f>
        <v>0</v>
      </c>
      <c r="CP77" s="783">
        <f>IF('Incremental Repayments'!$R$22="Debt",IF(AND(CP$4&gt;=$D77,CP$4&lt;$D77+'Incremental Repayments'!$I$31),-PMT('Interest Rate'!$J$16,'Incremental Repayments'!$I$31,(HLOOKUP($D77,$E$4:$CZ$32,28,FALSE)*'Incremental Repayments'!$I$22)),0),0)</f>
        <v>0</v>
      </c>
      <c r="CQ77" s="783">
        <f>IF('Incremental Repayments'!$R$22="Debt",IF(AND(CQ$4&gt;=$D77,CQ$4&lt;$D77+'Incremental Repayments'!$I$31),-PMT('Interest Rate'!$J$16,'Incremental Repayments'!$I$31,(HLOOKUP($D77,$E$4:$CZ$32,28,FALSE)*'Incremental Repayments'!$I$22)),0),0)</f>
        <v>0</v>
      </c>
      <c r="CR77" s="783">
        <f>IF('Incremental Repayments'!$R$22="Debt",IF(AND(CR$4&gt;=$D77,CR$4&lt;$D77+'Incremental Repayments'!$I$31),-PMT('Interest Rate'!$J$16,'Incremental Repayments'!$I$31,(HLOOKUP($D77,$E$4:$CZ$32,28,FALSE)*'Incremental Repayments'!$I$22)),0),0)</f>
        <v>0</v>
      </c>
      <c r="CS77" s="783">
        <f>IF('Incremental Repayments'!$R$22="Debt",IF(AND(CS$4&gt;=$D77,CS$4&lt;$D77+'Incremental Repayments'!$I$31),-PMT('Interest Rate'!$J$16,'Incremental Repayments'!$I$31,(HLOOKUP($D77,$E$4:$CZ$32,28,FALSE)*'Incremental Repayments'!$I$22)),0),0)</f>
        <v>0</v>
      </c>
      <c r="CT77" s="783">
        <f>IF('Incremental Repayments'!$R$22="Debt",IF(AND(CT$4&gt;=$D77,CT$4&lt;$D77+'Incremental Repayments'!$I$31),-PMT('Interest Rate'!$J$16,'Incremental Repayments'!$I$31,(HLOOKUP($D77,$E$4:$CZ$32,28,FALSE)*'Incremental Repayments'!$I$22)),0),0)</f>
        <v>0</v>
      </c>
      <c r="CU77" s="783">
        <f>IF('Incremental Repayments'!$R$22="Debt",IF(AND(CU$4&gt;=$D77,CU$4&lt;$D77+'Incremental Repayments'!$I$31),-PMT('Interest Rate'!$J$16,'Incremental Repayments'!$I$31,(HLOOKUP($D77,$E$4:$CZ$32,28,FALSE)*'Incremental Repayments'!$I$22)),0),0)</f>
        <v>0</v>
      </c>
      <c r="CV77" s="783">
        <f>IF('Incremental Repayments'!$R$22="Debt",IF(AND(CV$4&gt;=$D77,CV$4&lt;$D77+'Incremental Repayments'!$I$31),-PMT('Interest Rate'!$J$16,'Incremental Repayments'!$I$31,(HLOOKUP($D77,$E$4:$CZ$32,28,FALSE)*'Incremental Repayments'!$I$22)),0),0)</f>
        <v>0</v>
      </c>
      <c r="CW77" s="783">
        <f>IF('Incremental Repayments'!$R$22="Debt",IF(AND(CW$4&gt;=$D77,CW$4&lt;$D77+'Incremental Repayments'!$I$31),-PMT('Interest Rate'!$J$16,'Incremental Repayments'!$I$31,(HLOOKUP($D77,$E$4:$CZ$32,28,FALSE)*'Incremental Repayments'!$I$22)),0),0)</f>
        <v>0</v>
      </c>
      <c r="CX77" s="783">
        <f>IF('Incremental Repayments'!$R$22="Debt",IF(AND(CX$4&gt;=$D77,CX$4&lt;$D77+'Incremental Repayments'!$I$31),-PMT('Interest Rate'!$J$16,'Incremental Repayments'!$I$31,(HLOOKUP($D77,$E$4:$CZ$32,28,FALSE)*'Incremental Repayments'!$I$22)),0),0)</f>
        <v>0</v>
      </c>
      <c r="CY77" s="783">
        <f>IF('Incremental Repayments'!$R$22="Debt",IF(AND(CY$4&gt;=$D77,CY$4&lt;$D77+'Incremental Repayments'!$I$31),-PMT('Interest Rate'!$J$16,'Incremental Repayments'!$I$31,(HLOOKUP($D77,$E$4:$CZ$32,28,FALSE)*'Incremental Repayments'!$I$22)),0),0)</f>
        <v>0</v>
      </c>
      <c r="CZ77" s="783">
        <f>IF('Incremental Repayments'!$R$22="Debt",IF(AND(CZ$4&gt;=$D77,CZ$4&lt;$D77+'Incremental Repayments'!$I$31),-PMT('Interest Rate'!$J$16,'Incremental Repayments'!$I$31,(HLOOKUP($D77,$E$4:$CZ$32,28,FALSE)*'Incremental Repayments'!$I$22)),0),0)</f>
        <v>0</v>
      </c>
    </row>
    <row r="78" spans="2:104" x14ac:dyDescent="0.25">
      <c r="B78" s="480" t="str">
        <f>CONCATENATE("Series ",D78,"A Bonds (at ",'Interest Rate'!$J$16*100,"% Interest)")</f>
        <v>Series 2056A Bonds (at 4.5% Interest)</v>
      </c>
      <c r="C78" s="480"/>
      <c r="D78" s="492">
        <f t="shared" si="47"/>
        <v>2056</v>
      </c>
      <c r="E78" s="783">
        <f>IF('Incremental Repayments'!$R$22="Debt",IF(AND(E$4&gt;=$D78,E$4&lt;$D78+'Incremental Repayments'!$I$31),-PMT('Interest Rate'!$J$16,'Incremental Repayments'!$I$31,(HLOOKUP($D78,$E$4:$CZ$32,28,FALSE)*'Incremental Repayments'!$I$22)),0),0)</f>
        <v>0</v>
      </c>
      <c r="F78" s="783">
        <f>IF('Incremental Repayments'!$R$22="Debt",IF(AND(F$4&gt;=$D78,F$4&lt;$D78+'Incremental Repayments'!$I$31),-PMT('Interest Rate'!$J$16,'Incremental Repayments'!$I$31,(HLOOKUP($D78,$E$4:$CZ$32,28,FALSE)*'Incremental Repayments'!$I$22)),0),0)</f>
        <v>0</v>
      </c>
      <c r="G78" s="783">
        <f>IF('Incremental Repayments'!$R$22="Debt",IF(AND(G$4&gt;=$D78,G$4&lt;$D78+'Incremental Repayments'!$I$31),-PMT('Interest Rate'!$J$16,'Incremental Repayments'!$I$31,(HLOOKUP($D78,$E$4:$CZ$32,28,FALSE)*'Incremental Repayments'!$I$22)),0),0)</f>
        <v>0</v>
      </c>
      <c r="H78" s="783">
        <f>IF('Incremental Repayments'!$R$22="Debt",IF(AND(H$4&gt;=$D78,H$4&lt;$D78+'Incremental Repayments'!$I$31),-PMT('Interest Rate'!$J$16,'Incremental Repayments'!$I$31,(HLOOKUP($D78,$E$4:$CZ$32,28,FALSE)*'Incremental Repayments'!$I$22)),0),0)</f>
        <v>0</v>
      </c>
      <c r="I78" s="783">
        <f>IF('Incremental Repayments'!$R$22="Debt",IF(AND(I$4&gt;=$D78,I$4&lt;$D78+'Incremental Repayments'!$I$31),-PMT('Interest Rate'!$J$16,'Incremental Repayments'!$I$31,(HLOOKUP($D78,$E$4:$CZ$32,28,FALSE)*'Incremental Repayments'!$I$22)),0),0)</f>
        <v>0</v>
      </c>
      <c r="J78" s="783">
        <f>IF('Incremental Repayments'!$R$22="Debt",IF(AND(J$4&gt;=$D78,J$4&lt;$D78+'Incremental Repayments'!$I$31),-PMT('Interest Rate'!$J$16,'Incremental Repayments'!$I$31,(HLOOKUP($D78,$E$4:$CZ$32,28,FALSE)*'Incremental Repayments'!$I$22)),0),0)</f>
        <v>0</v>
      </c>
      <c r="K78" s="783">
        <f>IF('Incremental Repayments'!$R$22="Debt",IF(AND(K$4&gt;=$D78,K$4&lt;$D78+'Incremental Repayments'!$I$31),-PMT('Interest Rate'!$J$16,'Incremental Repayments'!$I$31,(HLOOKUP($D78,$E$4:$CZ$32,28,FALSE)*'Incremental Repayments'!$I$22)),0),0)</f>
        <v>0</v>
      </c>
      <c r="L78" s="783">
        <f>IF('Incremental Repayments'!$R$22="Debt",IF(AND(L$4&gt;=$D78,L$4&lt;$D78+'Incremental Repayments'!$I$31),-PMT('Interest Rate'!$J$16,'Incremental Repayments'!$I$31,(HLOOKUP($D78,$E$4:$CZ$32,28,FALSE)*'Incremental Repayments'!$I$22)),0),0)</f>
        <v>0</v>
      </c>
      <c r="M78" s="783">
        <f>IF('Incremental Repayments'!$R$22="Debt",IF(AND(M$4&gt;=$D78,M$4&lt;$D78+'Incremental Repayments'!$I$31),-PMT('Interest Rate'!$J$16,'Incremental Repayments'!$I$31,(HLOOKUP($D78,$E$4:$CZ$32,28,FALSE)*'Incremental Repayments'!$I$22)),0),0)</f>
        <v>0</v>
      </c>
      <c r="N78" s="783">
        <f>IF('Incremental Repayments'!$R$22="Debt",IF(AND(N$4&gt;=$D78,N$4&lt;$D78+'Incremental Repayments'!$I$31),-PMT('Interest Rate'!$J$16,'Incremental Repayments'!$I$31,(HLOOKUP($D78,$E$4:$CZ$32,28,FALSE)*'Incremental Repayments'!$I$22)),0),0)</f>
        <v>0</v>
      </c>
      <c r="O78" s="783">
        <f>IF('Incremental Repayments'!$R$22="Debt",IF(AND(O$4&gt;=$D78,O$4&lt;$D78+'Incremental Repayments'!$I$31),-PMT('Interest Rate'!$J$16,'Incremental Repayments'!$I$31,(HLOOKUP($D78,$E$4:$CZ$32,28,FALSE)*'Incremental Repayments'!$I$22)),0),0)</f>
        <v>0</v>
      </c>
      <c r="P78" s="783">
        <f>IF('Incremental Repayments'!$R$22="Debt",IF(AND(P$4&gt;=$D78,P$4&lt;$D78+'Incremental Repayments'!$I$31),-PMT('Interest Rate'!$J$16,'Incremental Repayments'!$I$31,(HLOOKUP($D78,$E$4:$CZ$32,28,FALSE)*'Incremental Repayments'!$I$22)),0),0)</f>
        <v>0</v>
      </c>
      <c r="Q78" s="783">
        <f>IF('Incremental Repayments'!$R$22="Debt",IF(AND(Q$4&gt;=$D78,Q$4&lt;$D78+'Incremental Repayments'!$I$31),-PMT('Interest Rate'!$J$16,'Incremental Repayments'!$I$31,(HLOOKUP($D78,$E$4:$CZ$32,28,FALSE)*'Incremental Repayments'!$I$22)),0),0)</f>
        <v>0</v>
      </c>
      <c r="R78" s="783">
        <f>IF('Incremental Repayments'!$R$22="Debt",IF(AND(R$4&gt;=$D78,R$4&lt;$D78+'Incremental Repayments'!$I$31),-PMT('Interest Rate'!$J$16,'Incremental Repayments'!$I$31,(HLOOKUP($D78,$E$4:$CZ$32,28,FALSE)*'Incremental Repayments'!$I$22)),0),0)</f>
        <v>0</v>
      </c>
      <c r="S78" s="783">
        <f>IF('Incremental Repayments'!$R$22="Debt",IF(AND(S$4&gt;=$D78,S$4&lt;$D78+'Incremental Repayments'!$I$31),-PMT('Interest Rate'!$J$16,'Incremental Repayments'!$I$31,(HLOOKUP($D78,$E$4:$CZ$32,28,FALSE)*'Incremental Repayments'!$I$22)),0),0)</f>
        <v>0</v>
      </c>
      <c r="T78" s="783">
        <f>IF('Incremental Repayments'!$R$22="Debt",IF(AND(T$4&gt;=$D78,T$4&lt;$D78+'Incremental Repayments'!$I$31),-PMT('Interest Rate'!$J$16,'Incremental Repayments'!$I$31,(HLOOKUP($D78,$E$4:$CZ$32,28,FALSE)*'Incremental Repayments'!$I$22)),0),0)</f>
        <v>0</v>
      </c>
      <c r="U78" s="783">
        <f>IF('Incremental Repayments'!$R$22="Debt",IF(AND(U$4&gt;=$D78,U$4&lt;$D78+'Incremental Repayments'!$I$31),-PMT('Interest Rate'!$J$16,'Incremental Repayments'!$I$31,(HLOOKUP($D78,$E$4:$CZ$32,28,FALSE)*'Incremental Repayments'!$I$22)),0),0)</f>
        <v>0</v>
      </c>
      <c r="V78" s="783">
        <f>IF('Incremental Repayments'!$R$22="Debt",IF(AND(V$4&gt;=$D78,V$4&lt;$D78+'Incremental Repayments'!$I$31),-PMT('Interest Rate'!$J$16,'Incremental Repayments'!$I$31,(HLOOKUP($D78,$E$4:$CZ$32,28,FALSE)*'Incremental Repayments'!$I$22)),0),0)</f>
        <v>0</v>
      </c>
      <c r="W78" s="783">
        <f>IF('Incremental Repayments'!$R$22="Debt",IF(AND(W$4&gt;=$D78,W$4&lt;$D78+'Incremental Repayments'!$I$31),-PMT('Interest Rate'!$J$16,'Incremental Repayments'!$I$31,(HLOOKUP($D78,$E$4:$CZ$32,28,FALSE)*'Incremental Repayments'!$I$22)),0),0)</f>
        <v>0</v>
      </c>
      <c r="X78" s="783">
        <f>IF('Incremental Repayments'!$R$22="Debt",IF(AND(X$4&gt;=$D78,X$4&lt;$D78+'Incremental Repayments'!$I$31),-PMT('Interest Rate'!$J$16,'Incremental Repayments'!$I$31,(HLOOKUP($D78,$E$4:$CZ$32,28,FALSE)*'Incremental Repayments'!$I$22)),0),0)</f>
        <v>0</v>
      </c>
      <c r="Y78" s="783">
        <f>IF('Incremental Repayments'!$R$22="Debt",IF(AND(Y$4&gt;=$D78,Y$4&lt;$D78+'Incremental Repayments'!$I$31),-PMT('Interest Rate'!$J$16,'Incremental Repayments'!$I$31,(HLOOKUP($D78,$E$4:$CZ$32,28,FALSE)*'Incremental Repayments'!$I$22)),0),0)</f>
        <v>0</v>
      </c>
      <c r="Z78" s="783">
        <f>IF('Incremental Repayments'!$R$22="Debt",IF(AND(Z$4&gt;=$D78,Z$4&lt;$D78+'Incremental Repayments'!$I$31),-PMT('Interest Rate'!$J$16,'Incremental Repayments'!$I$31,(HLOOKUP($D78,$E$4:$CZ$32,28,FALSE)*'Incremental Repayments'!$I$22)),0),0)</f>
        <v>0</v>
      </c>
      <c r="AA78" s="783">
        <f>IF('Incremental Repayments'!$R$22="Debt",IF(AND(AA$4&gt;=$D78,AA$4&lt;$D78+'Incremental Repayments'!$I$31),-PMT('Interest Rate'!$J$16,'Incremental Repayments'!$I$31,(HLOOKUP($D78,$E$4:$CZ$32,28,FALSE)*'Incremental Repayments'!$I$22)),0),0)</f>
        <v>0</v>
      </c>
      <c r="AB78" s="783">
        <f>IF('Incremental Repayments'!$R$22="Debt",IF(AND(AB$4&gt;=$D78,AB$4&lt;$D78+'Incremental Repayments'!$I$31),-PMT('Interest Rate'!$J$16,'Incremental Repayments'!$I$31,(HLOOKUP($D78,$E$4:$CZ$32,28,FALSE)*'Incremental Repayments'!$I$22)),0),0)</f>
        <v>0</v>
      </c>
      <c r="AC78" s="783">
        <f>IF('Incremental Repayments'!$R$22="Debt",IF(AND(AC$4&gt;=$D78,AC$4&lt;$D78+'Incremental Repayments'!$I$31),-PMT('Interest Rate'!$J$16,'Incremental Repayments'!$I$31,(HLOOKUP($D78,$E$4:$CZ$32,28,FALSE)*'Incremental Repayments'!$I$22)),0),0)</f>
        <v>0</v>
      </c>
      <c r="AD78" s="783">
        <f>IF('Incremental Repayments'!$R$22="Debt",IF(AND(AD$4&gt;=$D78,AD$4&lt;$D78+'Incremental Repayments'!$I$31),-PMT('Interest Rate'!$J$16,'Incremental Repayments'!$I$31,(HLOOKUP($D78,$E$4:$CZ$32,28,FALSE)*'Incremental Repayments'!$I$22)),0),0)</f>
        <v>0</v>
      </c>
      <c r="AE78" s="783">
        <f>IF('Incremental Repayments'!$R$22="Debt",IF(AND(AE$4&gt;=$D78,AE$4&lt;$D78+'Incremental Repayments'!$I$31),-PMT('Interest Rate'!$J$16,'Incremental Repayments'!$I$31,(HLOOKUP($D78,$E$4:$CZ$32,28,FALSE)*'Incremental Repayments'!$I$22)),0),0)</f>
        <v>0</v>
      </c>
      <c r="AF78" s="783">
        <f>IF('Incremental Repayments'!$R$22="Debt",IF(AND(AF$4&gt;=$D78,AF$4&lt;$D78+'Incremental Repayments'!$I$31),-PMT('Interest Rate'!$J$16,'Incremental Repayments'!$I$31,(HLOOKUP($D78,$E$4:$CZ$32,28,FALSE)*'Incremental Repayments'!$I$22)),0),0)</f>
        <v>0</v>
      </c>
      <c r="AG78" s="783">
        <f>IF('Incremental Repayments'!$R$22="Debt",IF(AND(AG$4&gt;=$D78,AG$4&lt;$D78+'Incremental Repayments'!$I$31),-PMT('Interest Rate'!$J$16,'Incremental Repayments'!$I$31,(HLOOKUP($D78,$E$4:$CZ$32,28,FALSE)*'Incremental Repayments'!$I$22)),0),0)</f>
        <v>0</v>
      </c>
      <c r="AH78" s="783">
        <f>IF('Incremental Repayments'!$R$22="Debt",IF(AND(AH$4&gt;=$D78,AH$4&lt;$D78+'Incremental Repayments'!$I$31),-PMT('Interest Rate'!$J$16,'Incremental Repayments'!$I$31,(HLOOKUP($D78,$E$4:$CZ$32,28,FALSE)*'Incremental Repayments'!$I$22)),0),0)</f>
        <v>0</v>
      </c>
      <c r="AI78" s="783">
        <f>IF('Incremental Repayments'!$R$22="Debt",IF(AND(AI$4&gt;=$D78,AI$4&lt;$D78+'Incremental Repayments'!$I$31),-PMT('Interest Rate'!$J$16,'Incremental Repayments'!$I$31,(HLOOKUP($D78,$E$4:$CZ$32,28,FALSE)*'Incremental Repayments'!$I$22)),0),0)</f>
        <v>0</v>
      </c>
      <c r="AJ78" s="783">
        <f>IF('Incremental Repayments'!$R$22="Debt",IF(AND(AJ$4&gt;=$D78,AJ$4&lt;$D78+'Incremental Repayments'!$I$31),-PMT('Interest Rate'!$J$16,'Incremental Repayments'!$I$31,(HLOOKUP($D78,$E$4:$CZ$32,28,FALSE)*'Incremental Repayments'!$I$22)),0),0)</f>
        <v>0</v>
      </c>
      <c r="AK78" s="783">
        <f>IF('Incremental Repayments'!$R$22="Debt",IF(AND(AK$4&gt;=$D78,AK$4&lt;$D78+'Incremental Repayments'!$I$31),-PMT('Interest Rate'!$J$16,'Incremental Repayments'!$I$31,(HLOOKUP($D78,$E$4:$CZ$32,28,FALSE)*'Incremental Repayments'!$I$22)),0),0)</f>
        <v>0</v>
      </c>
      <c r="AL78" s="783">
        <f>IF('Incremental Repayments'!$R$22="Debt",IF(AND(AL$4&gt;=$D78,AL$4&lt;$D78+'Incremental Repayments'!$I$31),-PMT('Interest Rate'!$J$16,'Incremental Repayments'!$I$31,(HLOOKUP($D78,$E$4:$CZ$32,28,FALSE)*'Incremental Repayments'!$I$22)),0),0)</f>
        <v>0</v>
      </c>
      <c r="AM78" s="783">
        <f>IF('Incremental Repayments'!$R$22="Debt",IF(AND(AM$4&gt;=$D78,AM$4&lt;$D78+'Incremental Repayments'!$I$31),-PMT('Interest Rate'!$J$16,'Incremental Repayments'!$I$31,(HLOOKUP($D78,$E$4:$CZ$32,28,FALSE)*'Incremental Repayments'!$I$22)),0),0)</f>
        <v>0</v>
      </c>
      <c r="AN78" s="783">
        <f>IF('Incremental Repayments'!$R$22="Debt",IF(AND(AN$4&gt;=$D78,AN$4&lt;$D78+'Incremental Repayments'!$I$31),-PMT('Interest Rate'!$J$16,'Incremental Repayments'!$I$31,(HLOOKUP($D78,$E$4:$CZ$32,28,FALSE)*'Incremental Repayments'!$I$22)),0),0)</f>
        <v>0</v>
      </c>
      <c r="AO78" s="783">
        <f>IF('Incremental Repayments'!$R$22="Debt",IF(AND(AO$4&gt;=$D78,AO$4&lt;$D78+'Incremental Repayments'!$I$31),-PMT('Interest Rate'!$J$16,'Incremental Repayments'!$I$31,(HLOOKUP($D78,$E$4:$CZ$32,28,FALSE)*'Incremental Repayments'!$I$22)),0),0)</f>
        <v>0</v>
      </c>
      <c r="AP78" s="783">
        <f>IF('Incremental Repayments'!$R$22="Debt",IF(AND(AP$4&gt;=$D78,AP$4&lt;$D78+'Incremental Repayments'!$I$31),-PMT('Interest Rate'!$J$16,'Incremental Repayments'!$I$31,(HLOOKUP($D78,$E$4:$CZ$32,28,FALSE)*'Incremental Repayments'!$I$22)),0),0)</f>
        <v>0</v>
      </c>
      <c r="AQ78" s="783">
        <f>IF('Incremental Repayments'!$R$22="Debt",IF(AND(AQ$4&gt;=$D78,AQ$4&lt;$D78+'Incremental Repayments'!$I$31),-PMT('Interest Rate'!$J$16,'Incremental Repayments'!$I$31,(HLOOKUP($D78,$E$4:$CZ$32,28,FALSE)*'Incremental Repayments'!$I$22)),0),0)</f>
        <v>0</v>
      </c>
      <c r="AR78" s="783">
        <f>IF('Incremental Repayments'!$R$22="Debt",IF(AND(AR$4&gt;=$D78,AR$4&lt;$D78+'Incremental Repayments'!$I$31),-PMT('Interest Rate'!$J$16,'Incremental Repayments'!$I$31,(HLOOKUP($D78,$E$4:$CZ$32,28,FALSE)*'Incremental Repayments'!$I$22)),0),0)</f>
        <v>0</v>
      </c>
      <c r="AS78" s="783">
        <f>IF('Incremental Repayments'!$R$22="Debt",IF(AND(AS$4&gt;=$D78,AS$4&lt;$D78+'Incremental Repayments'!$I$31),-PMT('Interest Rate'!$J$16,'Incremental Repayments'!$I$31,(HLOOKUP($D78,$E$4:$CZ$32,28,FALSE)*'Incremental Repayments'!$I$22)),0),0)</f>
        <v>0</v>
      </c>
      <c r="AT78" s="783">
        <f>IF('Incremental Repayments'!$R$22="Debt",IF(AND(AT$4&gt;=$D78,AT$4&lt;$D78+'Incremental Repayments'!$I$31),-PMT('Interest Rate'!$J$16,'Incremental Repayments'!$I$31,(HLOOKUP($D78,$E$4:$CZ$32,28,FALSE)*'Incremental Repayments'!$I$22)),0),0)</f>
        <v>0</v>
      </c>
      <c r="AU78" s="783">
        <f>IF('Incremental Repayments'!$R$22="Debt",IF(AND(AU$4&gt;=$D78,AU$4&lt;$D78+'Incremental Repayments'!$I$31),-PMT('Interest Rate'!$J$16,'Incremental Repayments'!$I$31,(HLOOKUP($D78,$E$4:$CZ$32,28,FALSE)*'Incremental Repayments'!$I$22)),0),0)</f>
        <v>1965.6236068454496</v>
      </c>
      <c r="AV78" s="783">
        <f>IF('Incremental Repayments'!$R$22="Debt",IF(AND(AV$4&gt;=$D78,AV$4&lt;$D78+'Incremental Repayments'!$I$31),-PMT('Interest Rate'!$J$16,'Incremental Repayments'!$I$31,(HLOOKUP($D78,$E$4:$CZ$32,28,FALSE)*'Incremental Repayments'!$I$22)),0),0)</f>
        <v>1965.6236068454496</v>
      </c>
      <c r="AW78" s="783">
        <f>IF('Incremental Repayments'!$R$22="Debt",IF(AND(AW$4&gt;=$D78,AW$4&lt;$D78+'Incremental Repayments'!$I$31),-PMT('Interest Rate'!$J$16,'Incremental Repayments'!$I$31,(HLOOKUP($D78,$E$4:$CZ$32,28,FALSE)*'Incremental Repayments'!$I$22)),0),0)</f>
        <v>1965.6236068454496</v>
      </c>
      <c r="AX78" s="783">
        <f>IF('Incremental Repayments'!$R$22="Debt",IF(AND(AX$4&gt;=$D78,AX$4&lt;$D78+'Incremental Repayments'!$I$31),-PMT('Interest Rate'!$J$16,'Incremental Repayments'!$I$31,(HLOOKUP($D78,$E$4:$CZ$32,28,FALSE)*'Incremental Repayments'!$I$22)),0),0)</f>
        <v>1965.6236068454496</v>
      </c>
      <c r="AY78" s="783">
        <f>IF('Incremental Repayments'!$R$22="Debt",IF(AND(AY$4&gt;=$D78,AY$4&lt;$D78+'Incremental Repayments'!$I$31),-PMT('Interest Rate'!$J$16,'Incremental Repayments'!$I$31,(HLOOKUP($D78,$E$4:$CZ$32,28,FALSE)*'Incremental Repayments'!$I$22)),0),0)</f>
        <v>1965.6236068454496</v>
      </c>
      <c r="AZ78" s="783">
        <f>IF('Incremental Repayments'!$R$22="Debt",IF(AND(AZ$4&gt;=$D78,AZ$4&lt;$D78+'Incremental Repayments'!$I$31),-PMT('Interest Rate'!$J$16,'Incremental Repayments'!$I$31,(HLOOKUP($D78,$E$4:$CZ$32,28,FALSE)*'Incremental Repayments'!$I$22)),0),0)</f>
        <v>1965.6236068454496</v>
      </c>
      <c r="BA78" s="783">
        <f>IF('Incremental Repayments'!$R$22="Debt",IF(AND(BA$4&gt;=$D78,BA$4&lt;$D78+'Incremental Repayments'!$I$31),-PMT('Interest Rate'!$J$16,'Incremental Repayments'!$I$31,(HLOOKUP($D78,$E$4:$CZ$32,28,FALSE)*'Incremental Repayments'!$I$22)),0),0)</f>
        <v>1965.6236068454496</v>
      </c>
      <c r="BB78" s="783">
        <f>IF('Incremental Repayments'!$R$22="Debt",IF(AND(BB$4&gt;=$D78,BB$4&lt;$D78+'Incremental Repayments'!$I$31),-PMT('Interest Rate'!$J$16,'Incremental Repayments'!$I$31,(HLOOKUP($D78,$E$4:$CZ$32,28,FALSE)*'Incremental Repayments'!$I$22)),0),0)</f>
        <v>1965.6236068454496</v>
      </c>
      <c r="BC78" s="783">
        <f>IF('Incremental Repayments'!$R$22="Debt",IF(AND(BC$4&gt;=$D78,BC$4&lt;$D78+'Incremental Repayments'!$I$31),-PMT('Interest Rate'!$J$16,'Incremental Repayments'!$I$31,(HLOOKUP($D78,$E$4:$CZ$32,28,FALSE)*'Incremental Repayments'!$I$22)),0),0)</f>
        <v>1965.6236068454496</v>
      </c>
      <c r="BD78" s="783">
        <f>IF('Incremental Repayments'!$R$22="Debt",IF(AND(BD$4&gt;=$D78,BD$4&lt;$D78+'Incremental Repayments'!$I$31),-PMT('Interest Rate'!$J$16,'Incremental Repayments'!$I$31,(HLOOKUP($D78,$E$4:$CZ$32,28,FALSE)*'Incremental Repayments'!$I$22)),0),0)</f>
        <v>1965.6236068454496</v>
      </c>
      <c r="BE78" s="783">
        <f>IF('Incremental Repayments'!$R$22="Debt",IF(AND(BE$4&gt;=$D78,BE$4&lt;$D78+'Incremental Repayments'!$I$31),-PMT('Interest Rate'!$J$16,'Incremental Repayments'!$I$31,(HLOOKUP($D78,$E$4:$CZ$32,28,FALSE)*'Incremental Repayments'!$I$22)),0),0)</f>
        <v>1965.6236068454496</v>
      </c>
      <c r="BF78" s="783">
        <f>IF('Incremental Repayments'!$R$22="Debt",IF(AND(BF$4&gt;=$D78,BF$4&lt;$D78+'Incremental Repayments'!$I$31),-PMT('Interest Rate'!$J$16,'Incremental Repayments'!$I$31,(HLOOKUP($D78,$E$4:$CZ$32,28,FALSE)*'Incremental Repayments'!$I$22)),0),0)</f>
        <v>1965.6236068454496</v>
      </c>
      <c r="BG78" s="783">
        <f>IF('Incremental Repayments'!$R$22="Debt",IF(AND(BG$4&gt;=$D78,BG$4&lt;$D78+'Incremental Repayments'!$I$31),-PMT('Interest Rate'!$J$16,'Incremental Repayments'!$I$31,(HLOOKUP($D78,$E$4:$CZ$32,28,FALSE)*'Incremental Repayments'!$I$22)),0),0)</f>
        <v>1965.6236068454496</v>
      </c>
      <c r="BH78" s="783">
        <f>IF('Incremental Repayments'!$R$22="Debt",IF(AND(BH$4&gt;=$D78,BH$4&lt;$D78+'Incremental Repayments'!$I$31),-PMT('Interest Rate'!$J$16,'Incremental Repayments'!$I$31,(HLOOKUP($D78,$E$4:$CZ$32,28,FALSE)*'Incremental Repayments'!$I$22)),0),0)</f>
        <v>1965.6236068454496</v>
      </c>
      <c r="BI78" s="783">
        <f>IF('Incremental Repayments'!$R$22="Debt",IF(AND(BI$4&gt;=$D78,BI$4&lt;$D78+'Incremental Repayments'!$I$31),-PMT('Interest Rate'!$J$16,'Incremental Repayments'!$I$31,(HLOOKUP($D78,$E$4:$CZ$32,28,FALSE)*'Incremental Repayments'!$I$22)),0),0)</f>
        <v>1965.6236068454496</v>
      </c>
      <c r="BJ78" s="783">
        <f>IF('Incremental Repayments'!$R$22="Debt",IF(AND(BJ$4&gt;=$D78,BJ$4&lt;$D78+'Incremental Repayments'!$I$31),-PMT('Interest Rate'!$J$16,'Incremental Repayments'!$I$31,(HLOOKUP($D78,$E$4:$CZ$32,28,FALSE)*'Incremental Repayments'!$I$22)),0),0)</f>
        <v>1965.6236068454496</v>
      </c>
      <c r="BK78" s="783">
        <f>IF('Incremental Repayments'!$R$22="Debt",IF(AND(BK$4&gt;=$D78,BK$4&lt;$D78+'Incremental Repayments'!$I$31),-PMT('Interest Rate'!$J$16,'Incremental Repayments'!$I$31,(HLOOKUP($D78,$E$4:$CZ$32,28,FALSE)*'Incremental Repayments'!$I$22)),0),0)</f>
        <v>1965.6236068454496</v>
      </c>
      <c r="BL78" s="783">
        <f>IF('Incremental Repayments'!$R$22="Debt",IF(AND(BL$4&gt;=$D78,BL$4&lt;$D78+'Incremental Repayments'!$I$31),-PMT('Interest Rate'!$J$16,'Incremental Repayments'!$I$31,(HLOOKUP($D78,$E$4:$CZ$32,28,FALSE)*'Incremental Repayments'!$I$22)),0),0)</f>
        <v>1965.6236068454496</v>
      </c>
      <c r="BM78" s="783">
        <f>IF('Incremental Repayments'!$R$22="Debt",IF(AND(BM$4&gt;=$D78,BM$4&lt;$D78+'Incremental Repayments'!$I$31),-PMT('Interest Rate'!$J$16,'Incremental Repayments'!$I$31,(HLOOKUP($D78,$E$4:$CZ$32,28,FALSE)*'Incremental Repayments'!$I$22)),0),0)</f>
        <v>1965.6236068454496</v>
      </c>
      <c r="BN78" s="783">
        <f>IF('Incremental Repayments'!$R$22="Debt",IF(AND(BN$4&gt;=$D78,BN$4&lt;$D78+'Incremental Repayments'!$I$31),-PMT('Interest Rate'!$J$16,'Incremental Repayments'!$I$31,(HLOOKUP($D78,$E$4:$CZ$32,28,FALSE)*'Incremental Repayments'!$I$22)),0),0)</f>
        <v>1965.6236068454496</v>
      </c>
      <c r="BO78" s="783">
        <f>IF('Incremental Repayments'!$R$22="Debt",IF(AND(BO$4&gt;=$D78,BO$4&lt;$D78+'Incremental Repayments'!$I$31),-PMT('Interest Rate'!$J$16,'Incremental Repayments'!$I$31,(HLOOKUP($D78,$E$4:$CZ$32,28,FALSE)*'Incremental Repayments'!$I$22)),0),0)</f>
        <v>1965.6236068454496</v>
      </c>
      <c r="BP78" s="783">
        <f>IF('Incremental Repayments'!$R$22="Debt",IF(AND(BP$4&gt;=$D78,BP$4&lt;$D78+'Incremental Repayments'!$I$31),-PMT('Interest Rate'!$J$16,'Incremental Repayments'!$I$31,(HLOOKUP($D78,$E$4:$CZ$32,28,FALSE)*'Incremental Repayments'!$I$22)),0),0)</f>
        <v>1965.6236068454496</v>
      </c>
      <c r="BQ78" s="783">
        <f>IF('Incremental Repayments'!$R$22="Debt",IF(AND(BQ$4&gt;=$D78,BQ$4&lt;$D78+'Incremental Repayments'!$I$31),-PMT('Interest Rate'!$J$16,'Incremental Repayments'!$I$31,(HLOOKUP($D78,$E$4:$CZ$32,28,FALSE)*'Incremental Repayments'!$I$22)),0),0)</f>
        <v>1965.6236068454496</v>
      </c>
      <c r="BR78" s="783">
        <f>IF('Incremental Repayments'!$R$22="Debt",IF(AND(BR$4&gt;=$D78,BR$4&lt;$D78+'Incremental Repayments'!$I$31),-PMT('Interest Rate'!$J$16,'Incremental Repayments'!$I$31,(HLOOKUP($D78,$E$4:$CZ$32,28,FALSE)*'Incremental Repayments'!$I$22)),0),0)</f>
        <v>1965.6236068454496</v>
      </c>
      <c r="BS78" s="783">
        <f>IF('Incremental Repayments'!$R$22="Debt",IF(AND(BS$4&gt;=$D78,BS$4&lt;$D78+'Incremental Repayments'!$I$31),-PMT('Interest Rate'!$J$16,'Incremental Repayments'!$I$31,(HLOOKUP($D78,$E$4:$CZ$32,28,FALSE)*'Incremental Repayments'!$I$22)),0),0)</f>
        <v>1965.6236068454496</v>
      </c>
      <c r="BT78" s="783">
        <f>IF('Incremental Repayments'!$R$22="Debt",IF(AND(BT$4&gt;=$D78,BT$4&lt;$D78+'Incremental Repayments'!$I$31),-PMT('Interest Rate'!$J$16,'Incremental Repayments'!$I$31,(HLOOKUP($D78,$E$4:$CZ$32,28,FALSE)*'Incremental Repayments'!$I$22)),0),0)</f>
        <v>1965.6236068454496</v>
      </c>
      <c r="BU78" s="783">
        <f>IF('Incremental Repayments'!$R$22="Debt",IF(AND(BU$4&gt;=$D78,BU$4&lt;$D78+'Incremental Repayments'!$I$31),-PMT('Interest Rate'!$J$16,'Incremental Repayments'!$I$31,(HLOOKUP($D78,$E$4:$CZ$32,28,FALSE)*'Incremental Repayments'!$I$22)),0),0)</f>
        <v>1965.6236068454496</v>
      </c>
      <c r="BV78" s="783">
        <f>IF('Incremental Repayments'!$R$22="Debt",IF(AND(BV$4&gt;=$D78,BV$4&lt;$D78+'Incremental Repayments'!$I$31),-PMT('Interest Rate'!$J$16,'Incremental Repayments'!$I$31,(HLOOKUP($D78,$E$4:$CZ$32,28,FALSE)*'Incremental Repayments'!$I$22)),0),0)</f>
        <v>1965.6236068454496</v>
      </c>
      <c r="BW78" s="783">
        <f>IF('Incremental Repayments'!$R$22="Debt",IF(AND(BW$4&gt;=$D78,BW$4&lt;$D78+'Incremental Repayments'!$I$31),-PMT('Interest Rate'!$J$16,'Incremental Repayments'!$I$31,(HLOOKUP($D78,$E$4:$CZ$32,28,FALSE)*'Incremental Repayments'!$I$22)),0),0)</f>
        <v>1965.6236068454496</v>
      </c>
      <c r="BX78" s="783">
        <f>IF('Incremental Repayments'!$R$22="Debt",IF(AND(BX$4&gt;=$D78,BX$4&lt;$D78+'Incremental Repayments'!$I$31),-PMT('Interest Rate'!$J$16,'Incremental Repayments'!$I$31,(HLOOKUP($D78,$E$4:$CZ$32,28,FALSE)*'Incremental Repayments'!$I$22)),0),0)</f>
        <v>1965.6236068454496</v>
      </c>
      <c r="BY78" s="783">
        <f>IF('Incremental Repayments'!$R$22="Debt",IF(AND(BY$4&gt;=$D78,BY$4&lt;$D78+'Incremental Repayments'!$I$31),-PMT('Interest Rate'!$J$16,'Incremental Repayments'!$I$31,(HLOOKUP($D78,$E$4:$CZ$32,28,FALSE)*'Incremental Repayments'!$I$22)),0),0)</f>
        <v>0</v>
      </c>
      <c r="BZ78" s="783">
        <f>IF('Incremental Repayments'!$R$22="Debt",IF(AND(BZ$4&gt;=$D78,BZ$4&lt;$D78+'Incremental Repayments'!$I$31),-PMT('Interest Rate'!$J$16,'Incremental Repayments'!$I$31,(HLOOKUP($D78,$E$4:$CZ$32,28,FALSE)*'Incremental Repayments'!$I$22)),0),0)</f>
        <v>0</v>
      </c>
      <c r="CA78" s="783">
        <f>IF('Incremental Repayments'!$R$22="Debt",IF(AND(CA$4&gt;=$D78,CA$4&lt;$D78+'Incremental Repayments'!$I$31),-PMT('Interest Rate'!$J$16,'Incremental Repayments'!$I$31,(HLOOKUP($D78,$E$4:$CZ$32,28,FALSE)*'Incremental Repayments'!$I$22)),0),0)</f>
        <v>0</v>
      </c>
      <c r="CB78" s="783">
        <f>IF('Incremental Repayments'!$R$22="Debt",IF(AND(CB$4&gt;=$D78,CB$4&lt;$D78+'Incremental Repayments'!$I$31),-PMT('Interest Rate'!$J$16,'Incremental Repayments'!$I$31,(HLOOKUP($D78,$E$4:$CZ$32,28,FALSE)*'Incremental Repayments'!$I$22)),0),0)</f>
        <v>0</v>
      </c>
      <c r="CC78" s="783">
        <f>IF('Incremental Repayments'!$R$22="Debt",IF(AND(CC$4&gt;=$D78,CC$4&lt;$D78+'Incremental Repayments'!$I$31),-PMT('Interest Rate'!$J$16,'Incremental Repayments'!$I$31,(HLOOKUP($D78,$E$4:$CZ$32,28,FALSE)*'Incremental Repayments'!$I$22)),0),0)</f>
        <v>0</v>
      </c>
      <c r="CD78" s="783">
        <f>IF('Incremental Repayments'!$R$22="Debt",IF(AND(CD$4&gt;=$D78,CD$4&lt;$D78+'Incremental Repayments'!$I$31),-PMT('Interest Rate'!$J$16,'Incremental Repayments'!$I$31,(HLOOKUP($D78,$E$4:$CZ$32,28,FALSE)*'Incremental Repayments'!$I$22)),0),0)</f>
        <v>0</v>
      </c>
      <c r="CE78" s="783">
        <f>IF('Incremental Repayments'!$R$22="Debt",IF(AND(CE$4&gt;=$D78,CE$4&lt;$D78+'Incremental Repayments'!$I$31),-PMT('Interest Rate'!$J$16,'Incremental Repayments'!$I$31,(HLOOKUP($D78,$E$4:$CZ$32,28,FALSE)*'Incremental Repayments'!$I$22)),0),0)</f>
        <v>0</v>
      </c>
      <c r="CF78" s="783">
        <f>IF('Incremental Repayments'!$R$22="Debt",IF(AND(CF$4&gt;=$D78,CF$4&lt;$D78+'Incremental Repayments'!$I$31),-PMT('Interest Rate'!$J$16,'Incremental Repayments'!$I$31,(HLOOKUP($D78,$E$4:$CZ$32,28,FALSE)*'Incremental Repayments'!$I$22)),0),0)</f>
        <v>0</v>
      </c>
      <c r="CG78" s="783">
        <f>IF('Incremental Repayments'!$R$22="Debt",IF(AND(CG$4&gt;=$D78,CG$4&lt;$D78+'Incremental Repayments'!$I$31),-PMT('Interest Rate'!$J$16,'Incremental Repayments'!$I$31,(HLOOKUP($D78,$E$4:$CZ$32,28,FALSE)*'Incremental Repayments'!$I$22)),0),0)</f>
        <v>0</v>
      </c>
      <c r="CH78" s="783">
        <f>IF('Incremental Repayments'!$R$22="Debt",IF(AND(CH$4&gt;=$D78,CH$4&lt;$D78+'Incremental Repayments'!$I$31),-PMT('Interest Rate'!$J$16,'Incremental Repayments'!$I$31,(HLOOKUP($D78,$E$4:$CZ$32,28,FALSE)*'Incremental Repayments'!$I$22)),0),0)</f>
        <v>0</v>
      </c>
      <c r="CI78" s="783">
        <f>IF('Incremental Repayments'!$R$22="Debt",IF(AND(CI$4&gt;=$D78,CI$4&lt;$D78+'Incremental Repayments'!$I$31),-PMT('Interest Rate'!$J$16,'Incremental Repayments'!$I$31,(HLOOKUP($D78,$E$4:$CZ$32,28,FALSE)*'Incremental Repayments'!$I$22)),0),0)</f>
        <v>0</v>
      </c>
      <c r="CJ78" s="783">
        <f>IF('Incremental Repayments'!$R$22="Debt",IF(AND(CJ$4&gt;=$D78,CJ$4&lt;$D78+'Incremental Repayments'!$I$31),-PMT('Interest Rate'!$J$16,'Incremental Repayments'!$I$31,(HLOOKUP($D78,$E$4:$CZ$32,28,FALSE)*'Incremental Repayments'!$I$22)),0),0)</f>
        <v>0</v>
      </c>
      <c r="CK78" s="783">
        <f>IF('Incremental Repayments'!$R$22="Debt",IF(AND(CK$4&gt;=$D78,CK$4&lt;$D78+'Incremental Repayments'!$I$31),-PMT('Interest Rate'!$J$16,'Incremental Repayments'!$I$31,(HLOOKUP($D78,$E$4:$CZ$32,28,FALSE)*'Incremental Repayments'!$I$22)),0),0)</f>
        <v>0</v>
      </c>
      <c r="CL78" s="783">
        <f>IF('Incremental Repayments'!$R$22="Debt",IF(AND(CL$4&gt;=$D78,CL$4&lt;$D78+'Incremental Repayments'!$I$31),-PMT('Interest Rate'!$J$16,'Incremental Repayments'!$I$31,(HLOOKUP($D78,$E$4:$CZ$32,28,FALSE)*'Incremental Repayments'!$I$22)),0),0)</f>
        <v>0</v>
      </c>
      <c r="CM78" s="783">
        <f>IF('Incremental Repayments'!$R$22="Debt",IF(AND(CM$4&gt;=$D78,CM$4&lt;$D78+'Incremental Repayments'!$I$31),-PMT('Interest Rate'!$J$16,'Incremental Repayments'!$I$31,(HLOOKUP($D78,$E$4:$CZ$32,28,FALSE)*'Incremental Repayments'!$I$22)),0),0)</f>
        <v>0</v>
      </c>
      <c r="CN78" s="783">
        <f>IF('Incremental Repayments'!$R$22="Debt",IF(AND(CN$4&gt;=$D78,CN$4&lt;$D78+'Incremental Repayments'!$I$31),-PMT('Interest Rate'!$J$16,'Incremental Repayments'!$I$31,(HLOOKUP($D78,$E$4:$CZ$32,28,FALSE)*'Incremental Repayments'!$I$22)),0),0)</f>
        <v>0</v>
      </c>
      <c r="CO78" s="783">
        <f>IF('Incremental Repayments'!$R$22="Debt",IF(AND(CO$4&gt;=$D78,CO$4&lt;$D78+'Incremental Repayments'!$I$31),-PMT('Interest Rate'!$J$16,'Incremental Repayments'!$I$31,(HLOOKUP($D78,$E$4:$CZ$32,28,FALSE)*'Incremental Repayments'!$I$22)),0),0)</f>
        <v>0</v>
      </c>
      <c r="CP78" s="783">
        <f>IF('Incremental Repayments'!$R$22="Debt",IF(AND(CP$4&gt;=$D78,CP$4&lt;$D78+'Incremental Repayments'!$I$31),-PMT('Interest Rate'!$J$16,'Incremental Repayments'!$I$31,(HLOOKUP($D78,$E$4:$CZ$32,28,FALSE)*'Incremental Repayments'!$I$22)),0),0)</f>
        <v>0</v>
      </c>
      <c r="CQ78" s="783">
        <f>IF('Incremental Repayments'!$R$22="Debt",IF(AND(CQ$4&gt;=$D78,CQ$4&lt;$D78+'Incremental Repayments'!$I$31),-PMT('Interest Rate'!$J$16,'Incremental Repayments'!$I$31,(HLOOKUP($D78,$E$4:$CZ$32,28,FALSE)*'Incremental Repayments'!$I$22)),0),0)</f>
        <v>0</v>
      </c>
      <c r="CR78" s="783">
        <f>IF('Incremental Repayments'!$R$22="Debt",IF(AND(CR$4&gt;=$D78,CR$4&lt;$D78+'Incremental Repayments'!$I$31),-PMT('Interest Rate'!$J$16,'Incremental Repayments'!$I$31,(HLOOKUP($D78,$E$4:$CZ$32,28,FALSE)*'Incremental Repayments'!$I$22)),0),0)</f>
        <v>0</v>
      </c>
      <c r="CS78" s="783">
        <f>IF('Incremental Repayments'!$R$22="Debt",IF(AND(CS$4&gt;=$D78,CS$4&lt;$D78+'Incremental Repayments'!$I$31),-PMT('Interest Rate'!$J$16,'Incremental Repayments'!$I$31,(HLOOKUP($D78,$E$4:$CZ$32,28,FALSE)*'Incremental Repayments'!$I$22)),0),0)</f>
        <v>0</v>
      </c>
      <c r="CT78" s="783">
        <f>IF('Incremental Repayments'!$R$22="Debt",IF(AND(CT$4&gt;=$D78,CT$4&lt;$D78+'Incremental Repayments'!$I$31),-PMT('Interest Rate'!$J$16,'Incremental Repayments'!$I$31,(HLOOKUP($D78,$E$4:$CZ$32,28,FALSE)*'Incremental Repayments'!$I$22)),0),0)</f>
        <v>0</v>
      </c>
      <c r="CU78" s="783">
        <f>IF('Incremental Repayments'!$R$22="Debt",IF(AND(CU$4&gt;=$D78,CU$4&lt;$D78+'Incremental Repayments'!$I$31),-PMT('Interest Rate'!$J$16,'Incremental Repayments'!$I$31,(HLOOKUP($D78,$E$4:$CZ$32,28,FALSE)*'Incremental Repayments'!$I$22)),0),0)</f>
        <v>0</v>
      </c>
      <c r="CV78" s="783">
        <f>IF('Incremental Repayments'!$R$22="Debt",IF(AND(CV$4&gt;=$D78,CV$4&lt;$D78+'Incremental Repayments'!$I$31),-PMT('Interest Rate'!$J$16,'Incremental Repayments'!$I$31,(HLOOKUP($D78,$E$4:$CZ$32,28,FALSE)*'Incremental Repayments'!$I$22)),0),0)</f>
        <v>0</v>
      </c>
      <c r="CW78" s="783">
        <f>IF('Incremental Repayments'!$R$22="Debt",IF(AND(CW$4&gt;=$D78,CW$4&lt;$D78+'Incremental Repayments'!$I$31),-PMT('Interest Rate'!$J$16,'Incremental Repayments'!$I$31,(HLOOKUP($D78,$E$4:$CZ$32,28,FALSE)*'Incremental Repayments'!$I$22)),0),0)</f>
        <v>0</v>
      </c>
      <c r="CX78" s="783">
        <f>IF('Incremental Repayments'!$R$22="Debt",IF(AND(CX$4&gt;=$D78,CX$4&lt;$D78+'Incremental Repayments'!$I$31),-PMT('Interest Rate'!$J$16,'Incremental Repayments'!$I$31,(HLOOKUP($D78,$E$4:$CZ$32,28,FALSE)*'Incremental Repayments'!$I$22)),0),0)</f>
        <v>0</v>
      </c>
      <c r="CY78" s="783">
        <f>IF('Incremental Repayments'!$R$22="Debt",IF(AND(CY$4&gt;=$D78,CY$4&lt;$D78+'Incremental Repayments'!$I$31),-PMT('Interest Rate'!$J$16,'Incremental Repayments'!$I$31,(HLOOKUP($D78,$E$4:$CZ$32,28,FALSE)*'Incremental Repayments'!$I$22)),0),0)</f>
        <v>0</v>
      </c>
      <c r="CZ78" s="783">
        <f>IF('Incremental Repayments'!$R$22="Debt",IF(AND(CZ$4&gt;=$D78,CZ$4&lt;$D78+'Incremental Repayments'!$I$31),-PMT('Interest Rate'!$J$16,'Incremental Repayments'!$I$31,(HLOOKUP($D78,$E$4:$CZ$32,28,FALSE)*'Incremental Repayments'!$I$22)),0),0)</f>
        <v>0</v>
      </c>
    </row>
    <row r="79" spans="2:104" x14ac:dyDescent="0.25">
      <c r="B79" s="480" t="str">
        <f>CONCATENATE("Series ",D79,"A Bonds (at ",'Interest Rate'!$J$16*100,"% Interest)")</f>
        <v>Series 2057A Bonds (at 4.5% Interest)</v>
      </c>
      <c r="C79" s="480"/>
      <c r="D79" s="492">
        <f t="shared" si="47"/>
        <v>2057</v>
      </c>
      <c r="E79" s="783">
        <f>IF('Incremental Repayments'!$R$22="Debt",IF(AND(E$4&gt;=$D79,E$4&lt;$D79+'Incremental Repayments'!$I$31),-PMT('Interest Rate'!$J$16,'Incremental Repayments'!$I$31,(HLOOKUP($D79,$E$4:$CZ$32,28,FALSE)*'Incremental Repayments'!$I$22)),0),0)</f>
        <v>0</v>
      </c>
      <c r="F79" s="783">
        <f>IF('Incremental Repayments'!$R$22="Debt",IF(AND(F$4&gt;=$D79,F$4&lt;$D79+'Incremental Repayments'!$I$31),-PMT('Interest Rate'!$J$16,'Incremental Repayments'!$I$31,(HLOOKUP($D79,$E$4:$CZ$32,28,FALSE)*'Incremental Repayments'!$I$22)),0),0)</f>
        <v>0</v>
      </c>
      <c r="G79" s="783">
        <f>IF('Incremental Repayments'!$R$22="Debt",IF(AND(G$4&gt;=$D79,G$4&lt;$D79+'Incremental Repayments'!$I$31),-PMT('Interest Rate'!$J$16,'Incremental Repayments'!$I$31,(HLOOKUP($D79,$E$4:$CZ$32,28,FALSE)*'Incremental Repayments'!$I$22)),0),0)</f>
        <v>0</v>
      </c>
      <c r="H79" s="783">
        <f>IF('Incremental Repayments'!$R$22="Debt",IF(AND(H$4&gt;=$D79,H$4&lt;$D79+'Incremental Repayments'!$I$31),-PMT('Interest Rate'!$J$16,'Incremental Repayments'!$I$31,(HLOOKUP($D79,$E$4:$CZ$32,28,FALSE)*'Incremental Repayments'!$I$22)),0),0)</f>
        <v>0</v>
      </c>
      <c r="I79" s="783">
        <f>IF('Incremental Repayments'!$R$22="Debt",IF(AND(I$4&gt;=$D79,I$4&lt;$D79+'Incremental Repayments'!$I$31),-PMT('Interest Rate'!$J$16,'Incremental Repayments'!$I$31,(HLOOKUP($D79,$E$4:$CZ$32,28,FALSE)*'Incremental Repayments'!$I$22)),0),0)</f>
        <v>0</v>
      </c>
      <c r="J79" s="783">
        <f>IF('Incremental Repayments'!$R$22="Debt",IF(AND(J$4&gt;=$D79,J$4&lt;$D79+'Incremental Repayments'!$I$31),-PMT('Interest Rate'!$J$16,'Incremental Repayments'!$I$31,(HLOOKUP($D79,$E$4:$CZ$32,28,FALSE)*'Incremental Repayments'!$I$22)),0),0)</f>
        <v>0</v>
      </c>
      <c r="K79" s="783">
        <f>IF('Incremental Repayments'!$R$22="Debt",IF(AND(K$4&gt;=$D79,K$4&lt;$D79+'Incremental Repayments'!$I$31),-PMT('Interest Rate'!$J$16,'Incremental Repayments'!$I$31,(HLOOKUP($D79,$E$4:$CZ$32,28,FALSE)*'Incremental Repayments'!$I$22)),0),0)</f>
        <v>0</v>
      </c>
      <c r="L79" s="783">
        <f>IF('Incremental Repayments'!$R$22="Debt",IF(AND(L$4&gt;=$D79,L$4&lt;$D79+'Incremental Repayments'!$I$31),-PMT('Interest Rate'!$J$16,'Incremental Repayments'!$I$31,(HLOOKUP($D79,$E$4:$CZ$32,28,FALSE)*'Incremental Repayments'!$I$22)),0),0)</f>
        <v>0</v>
      </c>
      <c r="M79" s="783">
        <f>IF('Incremental Repayments'!$R$22="Debt",IF(AND(M$4&gt;=$D79,M$4&lt;$D79+'Incremental Repayments'!$I$31),-PMT('Interest Rate'!$J$16,'Incremental Repayments'!$I$31,(HLOOKUP($D79,$E$4:$CZ$32,28,FALSE)*'Incremental Repayments'!$I$22)),0),0)</f>
        <v>0</v>
      </c>
      <c r="N79" s="783">
        <f>IF('Incremental Repayments'!$R$22="Debt",IF(AND(N$4&gt;=$D79,N$4&lt;$D79+'Incremental Repayments'!$I$31),-PMT('Interest Rate'!$J$16,'Incremental Repayments'!$I$31,(HLOOKUP($D79,$E$4:$CZ$32,28,FALSE)*'Incremental Repayments'!$I$22)),0),0)</f>
        <v>0</v>
      </c>
      <c r="O79" s="783">
        <f>IF('Incremental Repayments'!$R$22="Debt",IF(AND(O$4&gt;=$D79,O$4&lt;$D79+'Incremental Repayments'!$I$31),-PMT('Interest Rate'!$J$16,'Incremental Repayments'!$I$31,(HLOOKUP($D79,$E$4:$CZ$32,28,FALSE)*'Incremental Repayments'!$I$22)),0),0)</f>
        <v>0</v>
      </c>
      <c r="P79" s="783">
        <f>IF('Incremental Repayments'!$R$22="Debt",IF(AND(P$4&gt;=$D79,P$4&lt;$D79+'Incremental Repayments'!$I$31),-PMT('Interest Rate'!$J$16,'Incremental Repayments'!$I$31,(HLOOKUP($D79,$E$4:$CZ$32,28,FALSE)*'Incremental Repayments'!$I$22)),0),0)</f>
        <v>0</v>
      </c>
      <c r="Q79" s="783">
        <f>IF('Incremental Repayments'!$R$22="Debt",IF(AND(Q$4&gt;=$D79,Q$4&lt;$D79+'Incremental Repayments'!$I$31),-PMT('Interest Rate'!$J$16,'Incremental Repayments'!$I$31,(HLOOKUP($D79,$E$4:$CZ$32,28,FALSE)*'Incremental Repayments'!$I$22)),0),0)</f>
        <v>0</v>
      </c>
      <c r="R79" s="783">
        <f>IF('Incremental Repayments'!$R$22="Debt",IF(AND(R$4&gt;=$D79,R$4&lt;$D79+'Incremental Repayments'!$I$31),-PMT('Interest Rate'!$J$16,'Incremental Repayments'!$I$31,(HLOOKUP($D79,$E$4:$CZ$32,28,FALSE)*'Incremental Repayments'!$I$22)),0),0)</f>
        <v>0</v>
      </c>
      <c r="S79" s="783">
        <f>IF('Incremental Repayments'!$R$22="Debt",IF(AND(S$4&gt;=$D79,S$4&lt;$D79+'Incremental Repayments'!$I$31),-PMT('Interest Rate'!$J$16,'Incremental Repayments'!$I$31,(HLOOKUP($D79,$E$4:$CZ$32,28,FALSE)*'Incremental Repayments'!$I$22)),0),0)</f>
        <v>0</v>
      </c>
      <c r="T79" s="783">
        <f>IF('Incremental Repayments'!$R$22="Debt",IF(AND(T$4&gt;=$D79,T$4&lt;$D79+'Incremental Repayments'!$I$31),-PMT('Interest Rate'!$J$16,'Incremental Repayments'!$I$31,(HLOOKUP($D79,$E$4:$CZ$32,28,FALSE)*'Incremental Repayments'!$I$22)),0),0)</f>
        <v>0</v>
      </c>
      <c r="U79" s="783">
        <f>IF('Incremental Repayments'!$R$22="Debt",IF(AND(U$4&gt;=$D79,U$4&lt;$D79+'Incremental Repayments'!$I$31),-PMT('Interest Rate'!$J$16,'Incremental Repayments'!$I$31,(HLOOKUP($D79,$E$4:$CZ$32,28,FALSE)*'Incremental Repayments'!$I$22)),0),0)</f>
        <v>0</v>
      </c>
      <c r="V79" s="783">
        <f>IF('Incremental Repayments'!$R$22="Debt",IF(AND(V$4&gt;=$D79,V$4&lt;$D79+'Incremental Repayments'!$I$31),-PMT('Interest Rate'!$J$16,'Incremental Repayments'!$I$31,(HLOOKUP($D79,$E$4:$CZ$32,28,FALSE)*'Incremental Repayments'!$I$22)),0),0)</f>
        <v>0</v>
      </c>
      <c r="W79" s="783">
        <f>IF('Incremental Repayments'!$R$22="Debt",IF(AND(W$4&gt;=$D79,W$4&lt;$D79+'Incremental Repayments'!$I$31),-PMT('Interest Rate'!$J$16,'Incremental Repayments'!$I$31,(HLOOKUP($D79,$E$4:$CZ$32,28,FALSE)*'Incremental Repayments'!$I$22)),0),0)</f>
        <v>0</v>
      </c>
      <c r="X79" s="783">
        <f>IF('Incremental Repayments'!$R$22="Debt",IF(AND(X$4&gt;=$D79,X$4&lt;$D79+'Incremental Repayments'!$I$31),-PMT('Interest Rate'!$J$16,'Incremental Repayments'!$I$31,(HLOOKUP($D79,$E$4:$CZ$32,28,FALSE)*'Incremental Repayments'!$I$22)),0),0)</f>
        <v>0</v>
      </c>
      <c r="Y79" s="783">
        <f>IF('Incremental Repayments'!$R$22="Debt",IF(AND(Y$4&gt;=$D79,Y$4&lt;$D79+'Incremental Repayments'!$I$31),-PMT('Interest Rate'!$J$16,'Incremental Repayments'!$I$31,(HLOOKUP($D79,$E$4:$CZ$32,28,FALSE)*'Incremental Repayments'!$I$22)),0),0)</f>
        <v>0</v>
      </c>
      <c r="Z79" s="783">
        <f>IF('Incremental Repayments'!$R$22="Debt",IF(AND(Z$4&gt;=$D79,Z$4&lt;$D79+'Incremental Repayments'!$I$31),-PMT('Interest Rate'!$J$16,'Incremental Repayments'!$I$31,(HLOOKUP($D79,$E$4:$CZ$32,28,FALSE)*'Incremental Repayments'!$I$22)),0),0)</f>
        <v>0</v>
      </c>
      <c r="AA79" s="783">
        <f>IF('Incremental Repayments'!$R$22="Debt",IF(AND(AA$4&gt;=$D79,AA$4&lt;$D79+'Incremental Repayments'!$I$31),-PMT('Interest Rate'!$J$16,'Incremental Repayments'!$I$31,(HLOOKUP($D79,$E$4:$CZ$32,28,FALSE)*'Incremental Repayments'!$I$22)),0),0)</f>
        <v>0</v>
      </c>
      <c r="AB79" s="783">
        <f>IF('Incremental Repayments'!$R$22="Debt",IF(AND(AB$4&gt;=$D79,AB$4&lt;$D79+'Incremental Repayments'!$I$31),-PMT('Interest Rate'!$J$16,'Incremental Repayments'!$I$31,(HLOOKUP($D79,$E$4:$CZ$32,28,FALSE)*'Incremental Repayments'!$I$22)),0),0)</f>
        <v>0</v>
      </c>
      <c r="AC79" s="783">
        <f>IF('Incremental Repayments'!$R$22="Debt",IF(AND(AC$4&gt;=$D79,AC$4&lt;$D79+'Incremental Repayments'!$I$31),-PMT('Interest Rate'!$J$16,'Incremental Repayments'!$I$31,(HLOOKUP($D79,$E$4:$CZ$32,28,FALSE)*'Incremental Repayments'!$I$22)),0),0)</f>
        <v>0</v>
      </c>
      <c r="AD79" s="783">
        <f>IF('Incremental Repayments'!$R$22="Debt",IF(AND(AD$4&gt;=$D79,AD$4&lt;$D79+'Incremental Repayments'!$I$31),-PMT('Interest Rate'!$J$16,'Incremental Repayments'!$I$31,(HLOOKUP($D79,$E$4:$CZ$32,28,FALSE)*'Incremental Repayments'!$I$22)),0),0)</f>
        <v>0</v>
      </c>
      <c r="AE79" s="783">
        <f>IF('Incremental Repayments'!$R$22="Debt",IF(AND(AE$4&gt;=$D79,AE$4&lt;$D79+'Incremental Repayments'!$I$31),-PMT('Interest Rate'!$J$16,'Incremental Repayments'!$I$31,(HLOOKUP($D79,$E$4:$CZ$32,28,FALSE)*'Incremental Repayments'!$I$22)),0),0)</f>
        <v>0</v>
      </c>
      <c r="AF79" s="783">
        <f>IF('Incremental Repayments'!$R$22="Debt",IF(AND(AF$4&gt;=$D79,AF$4&lt;$D79+'Incremental Repayments'!$I$31),-PMT('Interest Rate'!$J$16,'Incremental Repayments'!$I$31,(HLOOKUP($D79,$E$4:$CZ$32,28,FALSE)*'Incremental Repayments'!$I$22)),0),0)</f>
        <v>0</v>
      </c>
      <c r="AG79" s="783">
        <f>IF('Incremental Repayments'!$R$22="Debt",IF(AND(AG$4&gt;=$D79,AG$4&lt;$D79+'Incremental Repayments'!$I$31),-PMT('Interest Rate'!$J$16,'Incremental Repayments'!$I$31,(HLOOKUP($D79,$E$4:$CZ$32,28,FALSE)*'Incremental Repayments'!$I$22)),0),0)</f>
        <v>0</v>
      </c>
      <c r="AH79" s="783">
        <f>IF('Incremental Repayments'!$R$22="Debt",IF(AND(AH$4&gt;=$D79,AH$4&lt;$D79+'Incremental Repayments'!$I$31),-PMT('Interest Rate'!$J$16,'Incremental Repayments'!$I$31,(HLOOKUP($D79,$E$4:$CZ$32,28,FALSE)*'Incremental Repayments'!$I$22)),0),0)</f>
        <v>0</v>
      </c>
      <c r="AI79" s="783">
        <f>IF('Incremental Repayments'!$R$22="Debt",IF(AND(AI$4&gt;=$D79,AI$4&lt;$D79+'Incremental Repayments'!$I$31),-PMT('Interest Rate'!$J$16,'Incremental Repayments'!$I$31,(HLOOKUP($D79,$E$4:$CZ$32,28,FALSE)*'Incremental Repayments'!$I$22)),0),0)</f>
        <v>0</v>
      </c>
      <c r="AJ79" s="783">
        <f>IF('Incremental Repayments'!$R$22="Debt",IF(AND(AJ$4&gt;=$D79,AJ$4&lt;$D79+'Incremental Repayments'!$I$31),-PMT('Interest Rate'!$J$16,'Incremental Repayments'!$I$31,(HLOOKUP($D79,$E$4:$CZ$32,28,FALSE)*'Incremental Repayments'!$I$22)),0),0)</f>
        <v>0</v>
      </c>
      <c r="AK79" s="783">
        <f>IF('Incremental Repayments'!$R$22="Debt",IF(AND(AK$4&gt;=$D79,AK$4&lt;$D79+'Incremental Repayments'!$I$31),-PMT('Interest Rate'!$J$16,'Incremental Repayments'!$I$31,(HLOOKUP($D79,$E$4:$CZ$32,28,FALSE)*'Incremental Repayments'!$I$22)),0),0)</f>
        <v>0</v>
      </c>
      <c r="AL79" s="783">
        <f>IF('Incremental Repayments'!$R$22="Debt",IF(AND(AL$4&gt;=$D79,AL$4&lt;$D79+'Incremental Repayments'!$I$31),-PMT('Interest Rate'!$J$16,'Incremental Repayments'!$I$31,(HLOOKUP($D79,$E$4:$CZ$32,28,FALSE)*'Incremental Repayments'!$I$22)),0),0)</f>
        <v>0</v>
      </c>
      <c r="AM79" s="783">
        <f>IF('Incremental Repayments'!$R$22="Debt",IF(AND(AM$4&gt;=$D79,AM$4&lt;$D79+'Incremental Repayments'!$I$31),-PMT('Interest Rate'!$J$16,'Incremental Repayments'!$I$31,(HLOOKUP($D79,$E$4:$CZ$32,28,FALSE)*'Incremental Repayments'!$I$22)),0),0)</f>
        <v>0</v>
      </c>
      <c r="AN79" s="783">
        <f>IF('Incremental Repayments'!$R$22="Debt",IF(AND(AN$4&gt;=$D79,AN$4&lt;$D79+'Incremental Repayments'!$I$31),-PMT('Interest Rate'!$J$16,'Incremental Repayments'!$I$31,(HLOOKUP($D79,$E$4:$CZ$32,28,FALSE)*'Incremental Repayments'!$I$22)),0),0)</f>
        <v>0</v>
      </c>
      <c r="AO79" s="783">
        <f>IF('Incremental Repayments'!$R$22="Debt",IF(AND(AO$4&gt;=$D79,AO$4&lt;$D79+'Incremental Repayments'!$I$31),-PMT('Interest Rate'!$J$16,'Incremental Repayments'!$I$31,(HLOOKUP($D79,$E$4:$CZ$32,28,FALSE)*'Incremental Repayments'!$I$22)),0),0)</f>
        <v>0</v>
      </c>
      <c r="AP79" s="783">
        <f>IF('Incremental Repayments'!$R$22="Debt",IF(AND(AP$4&gt;=$D79,AP$4&lt;$D79+'Incremental Repayments'!$I$31),-PMT('Interest Rate'!$J$16,'Incremental Repayments'!$I$31,(HLOOKUP($D79,$E$4:$CZ$32,28,FALSE)*'Incremental Repayments'!$I$22)),0),0)</f>
        <v>0</v>
      </c>
      <c r="AQ79" s="783">
        <f>IF('Incremental Repayments'!$R$22="Debt",IF(AND(AQ$4&gt;=$D79,AQ$4&lt;$D79+'Incremental Repayments'!$I$31),-PMT('Interest Rate'!$J$16,'Incremental Repayments'!$I$31,(HLOOKUP($D79,$E$4:$CZ$32,28,FALSE)*'Incremental Repayments'!$I$22)),0),0)</f>
        <v>0</v>
      </c>
      <c r="AR79" s="783">
        <f>IF('Incremental Repayments'!$R$22="Debt",IF(AND(AR$4&gt;=$D79,AR$4&lt;$D79+'Incremental Repayments'!$I$31),-PMT('Interest Rate'!$J$16,'Incremental Repayments'!$I$31,(HLOOKUP($D79,$E$4:$CZ$32,28,FALSE)*'Incremental Repayments'!$I$22)),0),0)</f>
        <v>0</v>
      </c>
      <c r="AS79" s="783">
        <f>IF('Incremental Repayments'!$R$22="Debt",IF(AND(AS$4&gt;=$D79,AS$4&lt;$D79+'Incremental Repayments'!$I$31),-PMT('Interest Rate'!$J$16,'Incremental Repayments'!$I$31,(HLOOKUP($D79,$E$4:$CZ$32,28,FALSE)*'Incremental Repayments'!$I$22)),0),0)</f>
        <v>0</v>
      </c>
      <c r="AT79" s="783">
        <f>IF('Incremental Repayments'!$R$22="Debt",IF(AND(AT$4&gt;=$D79,AT$4&lt;$D79+'Incremental Repayments'!$I$31),-PMT('Interest Rate'!$J$16,'Incremental Repayments'!$I$31,(HLOOKUP($D79,$E$4:$CZ$32,28,FALSE)*'Incremental Repayments'!$I$22)),0),0)</f>
        <v>0</v>
      </c>
      <c r="AU79" s="783">
        <f>IF('Incremental Repayments'!$R$22="Debt",IF(AND(AU$4&gt;=$D79,AU$4&lt;$D79+'Incremental Repayments'!$I$31),-PMT('Interest Rate'!$J$16,'Incremental Repayments'!$I$31,(HLOOKUP($D79,$E$4:$CZ$32,28,FALSE)*'Incremental Repayments'!$I$22)),0),0)</f>
        <v>0</v>
      </c>
      <c r="AV79" s="783">
        <f>IF('Incremental Repayments'!$R$22="Debt",IF(AND(AV$4&gt;=$D79,AV$4&lt;$D79+'Incremental Repayments'!$I$31),-PMT('Interest Rate'!$J$16,'Incremental Repayments'!$I$31,(HLOOKUP($D79,$E$4:$CZ$32,28,FALSE)*'Incremental Repayments'!$I$22)),0),0)</f>
        <v>475.69979640309833</v>
      </c>
      <c r="AW79" s="783">
        <f>IF('Incremental Repayments'!$R$22="Debt",IF(AND(AW$4&gt;=$D79,AW$4&lt;$D79+'Incremental Repayments'!$I$31),-PMT('Interest Rate'!$J$16,'Incremental Repayments'!$I$31,(HLOOKUP($D79,$E$4:$CZ$32,28,FALSE)*'Incremental Repayments'!$I$22)),0),0)</f>
        <v>475.69979640309833</v>
      </c>
      <c r="AX79" s="783">
        <f>IF('Incremental Repayments'!$R$22="Debt",IF(AND(AX$4&gt;=$D79,AX$4&lt;$D79+'Incremental Repayments'!$I$31),-PMT('Interest Rate'!$J$16,'Incremental Repayments'!$I$31,(HLOOKUP($D79,$E$4:$CZ$32,28,FALSE)*'Incremental Repayments'!$I$22)),0),0)</f>
        <v>475.69979640309833</v>
      </c>
      <c r="AY79" s="783">
        <f>IF('Incremental Repayments'!$R$22="Debt",IF(AND(AY$4&gt;=$D79,AY$4&lt;$D79+'Incremental Repayments'!$I$31),-PMT('Interest Rate'!$J$16,'Incremental Repayments'!$I$31,(HLOOKUP($D79,$E$4:$CZ$32,28,FALSE)*'Incremental Repayments'!$I$22)),0),0)</f>
        <v>475.69979640309833</v>
      </c>
      <c r="AZ79" s="783">
        <f>IF('Incremental Repayments'!$R$22="Debt",IF(AND(AZ$4&gt;=$D79,AZ$4&lt;$D79+'Incremental Repayments'!$I$31),-PMT('Interest Rate'!$J$16,'Incremental Repayments'!$I$31,(HLOOKUP($D79,$E$4:$CZ$32,28,FALSE)*'Incremental Repayments'!$I$22)),0),0)</f>
        <v>475.69979640309833</v>
      </c>
      <c r="BA79" s="783">
        <f>IF('Incremental Repayments'!$R$22="Debt",IF(AND(BA$4&gt;=$D79,BA$4&lt;$D79+'Incremental Repayments'!$I$31),-PMT('Interest Rate'!$J$16,'Incremental Repayments'!$I$31,(HLOOKUP($D79,$E$4:$CZ$32,28,FALSE)*'Incremental Repayments'!$I$22)),0),0)</f>
        <v>475.69979640309833</v>
      </c>
      <c r="BB79" s="783">
        <f>IF('Incremental Repayments'!$R$22="Debt",IF(AND(BB$4&gt;=$D79,BB$4&lt;$D79+'Incremental Repayments'!$I$31),-PMT('Interest Rate'!$J$16,'Incremental Repayments'!$I$31,(HLOOKUP($D79,$E$4:$CZ$32,28,FALSE)*'Incremental Repayments'!$I$22)),0),0)</f>
        <v>475.69979640309833</v>
      </c>
      <c r="BC79" s="783">
        <f>IF('Incremental Repayments'!$R$22="Debt",IF(AND(BC$4&gt;=$D79,BC$4&lt;$D79+'Incremental Repayments'!$I$31),-PMT('Interest Rate'!$J$16,'Incremental Repayments'!$I$31,(HLOOKUP($D79,$E$4:$CZ$32,28,FALSE)*'Incremental Repayments'!$I$22)),0),0)</f>
        <v>475.69979640309833</v>
      </c>
      <c r="BD79" s="783">
        <f>IF('Incremental Repayments'!$R$22="Debt",IF(AND(BD$4&gt;=$D79,BD$4&lt;$D79+'Incremental Repayments'!$I$31),-PMT('Interest Rate'!$J$16,'Incremental Repayments'!$I$31,(HLOOKUP($D79,$E$4:$CZ$32,28,FALSE)*'Incremental Repayments'!$I$22)),0),0)</f>
        <v>475.69979640309833</v>
      </c>
      <c r="BE79" s="783">
        <f>IF('Incremental Repayments'!$R$22="Debt",IF(AND(BE$4&gt;=$D79,BE$4&lt;$D79+'Incremental Repayments'!$I$31),-PMT('Interest Rate'!$J$16,'Incremental Repayments'!$I$31,(HLOOKUP($D79,$E$4:$CZ$32,28,FALSE)*'Incremental Repayments'!$I$22)),0),0)</f>
        <v>475.69979640309833</v>
      </c>
      <c r="BF79" s="783">
        <f>IF('Incremental Repayments'!$R$22="Debt",IF(AND(BF$4&gt;=$D79,BF$4&lt;$D79+'Incremental Repayments'!$I$31),-PMT('Interest Rate'!$J$16,'Incremental Repayments'!$I$31,(HLOOKUP($D79,$E$4:$CZ$32,28,FALSE)*'Incremental Repayments'!$I$22)),0),0)</f>
        <v>475.69979640309833</v>
      </c>
      <c r="BG79" s="783">
        <f>IF('Incremental Repayments'!$R$22="Debt",IF(AND(BG$4&gt;=$D79,BG$4&lt;$D79+'Incremental Repayments'!$I$31),-PMT('Interest Rate'!$J$16,'Incremental Repayments'!$I$31,(HLOOKUP($D79,$E$4:$CZ$32,28,FALSE)*'Incremental Repayments'!$I$22)),0),0)</f>
        <v>475.69979640309833</v>
      </c>
      <c r="BH79" s="783">
        <f>IF('Incremental Repayments'!$R$22="Debt",IF(AND(BH$4&gt;=$D79,BH$4&lt;$D79+'Incremental Repayments'!$I$31),-PMT('Interest Rate'!$J$16,'Incremental Repayments'!$I$31,(HLOOKUP($D79,$E$4:$CZ$32,28,FALSE)*'Incremental Repayments'!$I$22)),0),0)</f>
        <v>475.69979640309833</v>
      </c>
      <c r="BI79" s="783">
        <f>IF('Incremental Repayments'!$R$22="Debt",IF(AND(BI$4&gt;=$D79,BI$4&lt;$D79+'Incremental Repayments'!$I$31),-PMT('Interest Rate'!$J$16,'Incremental Repayments'!$I$31,(HLOOKUP($D79,$E$4:$CZ$32,28,FALSE)*'Incremental Repayments'!$I$22)),0),0)</f>
        <v>475.69979640309833</v>
      </c>
      <c r="BJ79" s="783">
        <f>IF('Incremental Repayments'!$R$22="Debt",IF(AND(BJ$4&gt;=$D79,BJ$4&lt;$D79+'Incremental Repayments'!$I$31),-PMT('Interest Rate'!$J$16,'Incremental Repayments'!$I$31,(HLOOKUP($D79,$E$4:$CZ$32,28,FALSE)*'Incremental Repayments'!$I$22)),0),0)</f>
        <v>475.69979640309833</v>
      </c>
      <c r="BK79" s="783">
        <f>IF('Incremental Repayments'!$R$22="Debt",IF(AND(BK$4&gt;=$D79,BK$4&lt;$D79+'Incremental Repayments'!$I$31),-PMT('Interest Rate'!$J$16,'Incremental Repayments'!$I$31,(HLOOKUP($D79,$E$4:$CZ$32,28,FALSE)*'Incremental Repayments'!$I$22)),0),0)</f>
        <v>475.69979640309833</v>
      </c>
      <c r="BL79" s="783">
        <f>IF('Incremental Repayments'!$R$22="Debt",IF(AND(BL$4&gt;=$D79,BL$4&lt;$D79+'Incremental Repayments'!$I$31),-PMT('Interest Rate'!$J$16,'Incremental Repayments'!$I$31,(HLOOKUP($D79,$E$4:$CZ$32,28,FALSE)*'Incremental Repayments'!$I$22)),0),0)</f>
        <v>475.69979640309833</v>
      </c>
      <c r="BM79" s="783">
        <f>IF('Incremental Repayments'!$R$22="Debt",IF(AND(BM$4&gt;=$D79,BM$4&lt;$D79+'Incremental Repayments'!$I$31),-PMT('Interest Rate'!$J$16,'Incremental Repayments'!$I$31,(HLOOKUP($D79,$E$4:$CZ$32,28,FALSE)*'Incremental Repayments'!$I$22)),0),0)</f>
        <v>475.69979640309833</v>
      </c>
      <c r="BN79" s="783">
        <f>IF('Incremental Repayments'!$R$22="Debt",IF(AND(BN$4&gt;=$D79,BN$4&lt;$D79+'Incremental Repayments'!$I$31),-PMT('Interest Rate'!$J$16,'Incremental Repayments'!$I$31,(HLOOKUP($D79,$E$4:$CZ$32,28,FALSE)*'Incremental Repayments'!$I$22)),0),0)</f>
        <v>475.69979640309833</v>
      </c>
      <c r="BO79" s="783">
        <f>IF('Incremental Repayments'!$R$22="Debt",IF(AND(BO$4&gt;=$D79,BO$4&lt;$D79+'Incremental Repayments'!$I$31),-PMT('Interest Rate'!$J$16,'Incremental Repayments'!$I$31,(HLOOKUP($D79,$E$4:$CZ$32,28,FALSE)*'Incremental Repayments'!$I$22)),0),0)</f>
        <v>475.69979640309833</v>
      </c>
      <c r="BP79" s="783">
        <f>IF('Incremental Repayments'!$R$22="Debt",IF(AND(BP$4&gt;=$D79,BP$4&lt;$D79+'Incremental Repayments'!$I$31),-PMT('Interest Rate'!$J$16,'Incremental Repayments'!$I$31,(HLOOKUP($D79,$E$4:$CZ$32,28,FALSE)*'Incremental Repayments'!$I$22)),0),0)</f>
        <v>475.69979640309833</v>
      </c>
      <c r="BQ79" s="783">
        <f>IF('Incremental Repayments'!$R$22="Debt",IF(AND(BQ$4&gt;=$D79,BQ$4&lt;$D79+'Incremental Repayments'!$I$31),-PMT('Interest Rate'!$J$16,'Incremental Repayments'!$I$31,(HLOOKUP($D79,$E$4:$CZ$32,28,FALSE)*'Incremental Repayments'!$I$22)),0),0)</f>
        <v>475.69979640309833</v>
      </c>
      <c r="BR79" s="783">
        <f>IF('Incremental Repayments'!$R$22="Debt",IF(AND(BR$4&gt;=$D79,BR$4&lt;$D79+'Incremental Repayments'!$I$31),-PMT('Interest Rate'!$J$16,'Incremental Repayments'!$I$31,(HLOOKUP($D79,$E$4:$CZ$32,28,FALSE)*'Incremental Repayments'!$I$22)),0),0)</f>
        <v>475.69979640309833</v>
      </c>
      <c r="BS79" s="783">
        <f>IF('Incremental Repayments'!$R$22="Debt",IF(AND(BS$4&gt;=$D79,BS$4&lt;$D79+'Incremental Repayments'!$I$31),-PMT('Interest Rate'!$J$16,'Incremental Repayments'!$I$31,(HLOOKUP($D79,$E$4:$CZ$32,28,FALSE)*'Incremental Repayments'!$I$22)),0),0)</f>
        <v>475.69979640309833</v>
      </c>
      <c r="BT79" s="783">
        <f>IF('Incremental Repayments'!$R$22="Debt",IF(AND(BT$4&gt;=$D79,BT$4&lt;$D79+'Incremental Repayments'!$I$31),-PMT('Interest Rate'!$J$16,'Incremental Repayments'!$I$31,(HLOOKUP($D79,$E$4:$CZ$32,28,FALSE)*'Incremental Repayments'!$I$22)),0),0)</f>
        <v>475.69979640309833</v>
      </c>
      <c r="BU79" s="783">
        <f>IF('Incremental Repayments'!$R$22="Debt",IF(AND(BU$4&gt;=$D79,BU$4&lt;$D79+'Incremental Repayments'!$I$31),-PMT('Interest Rate'!$J$16,'Incremental Repayments'!$I$31,(HLOOKUP($D79,$E$4:$CZ$32,28,FALSE)*'Incremental Repayments'!$I$22)),0),0)</f>
        <v>475.69979640309833</v>
      </c>
      <c r="BV79" s="783">
        <f>IF('Incremental Repayments'!$R$22="Debt",IF(AND(BV$4&gt;=$D79,BV$4&lt;$D79+'Incremental Repayments'!$I$31),-PMT('Interest Rate'!$J$16,'Incremental Repayments'!$I$31,(HLOOKUP($D79,$E$4:$CZ$32,28,FALSE)*'Incremental Repayments'!$I$22)),0),0)</f>
        <v>475.69979640309833</v>
      </c>
      <c r="BW79" s="783">
        <f>IF('Incremental Repayments'!$R$22="Debt",IF(AND(BW$4&gt;=$D79,BW$4&lt;$D79+'Incremental Repayments'!$I$31),-PMT('Interest Rate'!$J$16,'Incremental Repayments'!$I$31,(HLOOKUP($D79,$E$4:$CZ$32,28,FALSE)*'Incremental Repayments'!$I$22)),0),0)</f>
        <v>475.69979640309833</v>
      </c>
      <c r="BX79" s="783">
        <f>IF('Incremental Repayments'!$R$22="Debt",IF(AND(BX$4&gt;=$D79,BX$4&lt;$D79+'Incremental Repayments'!$I$31),-PMT('Interest Rate'!$J$16,'Incremental Repayments'!$I$31,(HLOOKUP($D79,$E$4:$CZ$32,28,FALSE)*'Incremental Repayments'!$I$22)),0),0)</f>
        <v>475.69979640309833</v>
      </c>
      <c r="BY79" s="783">
        <f>IF('Incremental Repayments'!$R$22="Debt",IF(AND(BY$4&gt;=$D79,BY$4&lt;$D79+'Incremental Repayments'!$I$31),-PMT('Interest Rate'!$J$16,'Incremental Repayments'!$I$31,(HLOOKUP($D79,$E$4:$CZ$32,28,FALSE)*'Incremental Repayments'!$I$22)),0),0)</f>
        <v>475.69979640309833</v>
      </c>
      <c r="BZ79" s="783">
        <f>IF('Incremental Repayments'!$R$22="Debt",IF(AND(BZ$4&gt;=$D79,BZ$4&lt;$D79+'Incremental Repayments'!$I$31),-PMT('Interest Rate'!$J$16,'Incremental Repayments'!$I$31,(HLOOKUP($D79,$E$4:$CZ$32,28,FALSE)*'Incremental Repayments'!$I$22)),0),0)</f>
        <v>0</v>
      </c>
      <c r="CA79" s="783">
        <f>IF('Incremental Repayments'!$R$22="Debt",IF(AND(CA$4&gt;=$D79,CA$4&lt;$D79+'Incremental Repayments'!$I$31),-PMT('Interest Rate'!$J$16,'Incremental Repayments'!$I$31,(HLOOKUP($D79,$E$4:$CZ$32,28,FALSE)*'Incremental Repayments'!$I$22)),0),0)</f>
        <v>0</v>
      </c>
      <c r="CB79" s="783">
        <f>IF('Incremental Repayments'!$R$22="Debt",IF(AND(CB$4&gt;=$D79,CB$4&lt;$D79+'Incremental Repayments'!$I$31),-PMT('Interest Rate'!$J$16,'Incremental Repayments'!$I$31,(HLOOKUP($D79,$E$4:$CZ$32,28,FALSE)*'Incremental Repayments'!$I$22)),0),0)</f>
        <v>0</v>
      </c>
      <c r="CC79" s="783">
        <f>IF('Incremental Repayments'!$R$22="Debt",IF(AND(CC$4&gt;=$D79,CC$4&lt;$D79+'Incremental Repayments'!$I$31),-PMT('Interest Rate'!$J$16,'Incremental Repayments'!$I$31,(HLOOKUP($D79,$E$4:$CZ$32,28,FALSE)*'Incremental Repayments'!$I$22)),0),0)</f>
        <v>0</v>
      </c>
      <c r="CD79" s="783">
        <f>IF('Incremental Repayments'!$R$22="Debt",IF(AND(CD$4&gt;=$D79,CD$4&lt;$D79+'Incremental Repayments'!$I$31),-PMT('Interest Rate'!$J$16,'Incremental Repayments'!$I$31,(HLOOKUP($D79,$E$4:$CZ$32,28,FALSE)*'Incremental Repayments'!$I$22)),0),0)</f>
        <v>0</v>
      </c>
      <c r="CE79" s="783">
        <f>IF('Incremental Repayments'!$R$22="Debt",IF(AND(CE$4&gt;=$D79,CE$4&lt;$D79+'Incremental Repayments'!$I$31),-PMT('Interest Rate'!$J$16,'Incremental Repayments'!$I$31,(HLOOKUP($D79,$E$4:$CZ$32,28,FALSE)*'Incremental Repayments'!$I$22)),0),0)</f>
        <v>0</v>
      </c>
      <c r="CF79" s="783">
        <f>IF('Incremental Repayments'!$R$22="Debt",IF(AND(CF$4&gt;=$D79,CF$4&lt;$D79+'Incremental Repayments'!$I$31),-PMT('Interest Rate'!$J$16,'Incremental Repayments'!$I$31,(HLOOKUP($D79,$E$4:$CZ$32,28,FALSE)*'Incremental Repayments'!$I$22)),0),0)</f>
        <v>0</v>
      </c>
      <c r="CG79" s="783">
        <f>IF('Incremental Repayments'!$R$22="Debt",IF(AND(CG$4&gt;=$D79,CG$4&lt;$D79+'Incremental Repayments'!$I$31),-PMT('Interest Rate'!$J$16,'Incremental Repayments'!$I$31,(HLOOKUP($D79,$E$4:$CZ$32,28,FALSE)*'Incremental Repayments'!$I$22)),0),0)</f>
        <v>0</v>
      </c>
      <c r="CH79" s="783">
        <f>IF('Incremental Repayments'!$R$22="Debt",IF(AND(CH$4&gt;=$D79,CH$4&lt;$D79+'Incremental Repayments'!$I$31),-PMT('Interest Rate'!$J$16,'Incremental Repayments'!$I$31,(HLOOKUP($D79,$E$4:$CZ$32,28,FALSE)*'Incremental Repayments'!$I$22)),0),0)</f>
        <v>0</v>
      </c>
      <c r="CI79" s="783">
        <f>IF('Incremental Repayments'!$R$22="Debt",IF(AND(CI$4&gt;=$D79,CI$4&lt;$D79+'Incremental Repayments'!$I$31),-PMT('Interest Rate'!$J$16,'Incremental Repayments'!$I$31,(HLOOKUP($D79,$E$4:$CZ$32,28,FALSE)*'Incremental Repayments'!$I$22)),0),0)</f>
        <v>0</v>
      </c>
      <c r="CJ79" s="783">
        <f>IF('Incremental Repayments'!$R$22="Debt",IF(AND(CJ$4&gt;=$D79,CJ$4&lt;$D79+'Incremental Repayments'!$I$31),-PMT('Interest Rate'!$J$16,'Incremental Repayments'!$I$31,(HLOOKUP($D79,$E$4:$CZ$32,28,FALSE)*'Incremental Repayments'!$I$22)),0),0)</f>
        <v>0</v>
      </c>
      <c r="CK79" s="783">
        <f>IF('Incremental Repayments'!$R$22="Debt",IF(AND(CK$4&gt;=$D79,CK$4&lt;$D79+'Incremental Repayments'!$I$31),-PMT('Interest Rate'!$J$16,'Incremental Repayments'!$I$31,(HLOOKUP($D79,$E$4:$CZ$32,28,FALSE)*'Incremental Repayments'!$I$22)),0),0)</f>
        <v>0</v>
      </c>
      <c r="CL79" s="783">
        <f>IF('Incremental Repayments'!$R$22="Debt",IF(AND(CL$4&gt;=$D79,CL$4&lt;$D79+'Incremental Repayments'!$I$31),-PMT('Interest Rate'!$J$16,'Incremental Repayments'!$I$31,(HLOOKUP($D79,$E$4:$CZ$32,28,FALSE)*'Incremental Repayments'!$I$22)),0),0)</f>
        <v>0</v>
      </c>
      <c r="CM79" s="783">
        <f>IF('Incremental Repayments'!$R$22="Debt",IF(AND(CM$4&gt;=$D79,CM$4&lt;$D79+'Incremental Repayments'!$I$31),-PMT('Interest Rate'!$J$16,'Incremental Repayments'!$I$31,(HLOOKUP($D79,$E$4:$CZ$32,28,FALSE)*'Incremental Repayments'!$I$22)),0),0)</f>
        <v>0</v>
      </c>
      <c r="CN79" s="783">
        <f>IF('Incremental Repayments'!$R$22="Debt",IF(AND(CN$4&gt;=$D79,CN$4&lt;$D79+'Incremental Repayments'!$I$31),-PMT('Interest Rate'!$J$16,'Incremental Repayments'!$I$31,(HLOOKUP($D79,$E$4:$CZ$32,28,FALSE)*'Incremental Repayments'!$I$22)),0),0)</f>
        <v>0</v>
      </c>
      <c r="CO79" s="783">
        <f>IF('Incremental Repayments'!$R$22="Debt",IF(AND(CO$4&gt;=$D79,CO$4&lt;$D79+'Incremental Repayments'!$I$31),-PMT('Interest Rate'!$J$16,'Incremental Repayments'!$I$31,(HLOOKUP($D79,$E$4:$CZ$32,28,FALSE)*'Incremental Repayments'!$I$22)),0),0)</f>
        <v>0</v>
      </c>
      <c r="CP79" s="783">
        <f>IF('Incremental Repayments'!$R$22="Debt",IF(AND(CP$4&gt;=$D79,CP$4&lt;$D79+'Incremental Repayments'!$I$31),-PMT('Interest Rate'!$J$16,'Incremental Repayments'!$I$31,(HLOOKUP($D79,$E$4:$CZ$32,28,FALSE)*'Incremental Repayments'!$I$22)),0),0)</f>
        <v>0</v>
      </c>
      <c r="CQ79" s="783">
        <f>IF('Incremental Repayments'!$R$22="Debt",IF(AND(CQ$4&gt;=$D79,CQ$4&lt;$D79+'Incremental Repayments'!$I$31),-PMT('Interest Rate'!$J$16,'Incremental Repayments'!$I$31,(HLOOKUP($D79,$E$4:$CZ$32,28,FALSE)*'Incremental Repayments'!$I$22)),0),0)</f>
        <v>0</v>
      </c>
      <c r="CR79" s="783">
        <f>IF('Incremental Repayments'!$R$22="Debt",IF(AND(CR$4&gt;=$D79,CR$4&lt;$D79+'Incremental Repayments'!$I$31),-PMT('Interest Rate'!$J$16,'Incremental Repayments'!$I$31,(HLOOKUP($D79,$E$4:$CZ$32,28,FALSE)*'Incremental Repayments'!$I$22)),0),0)</f>
        <v>0</v>
      </c>
      <c r="CS79" s="783">
        <f>IF('Incremental Repayments'!$R$22="Debt",IF(AND(CS$4&gt;=$D79,CS$4&lt;$D79+'Incremental Repayments'!$I$31),-PMT('Interest Rate'!$J$16,'Incremental Repayments'!$I$31,(HLOOKUP($D79,$E$4:$CZ$32,28,FALSE)*'Incremental Repayments'!$I$22)),0),0)</f>
        <v>0</v>
      </c>
      <c r="CT79" s="783">
        <f>IF('Incremental Repayments'!$R$22="Debt",IF(AND(CT$4&gt;=$D79,CT$4&lt;$D79+'Incremental Repayments'!$I$31),-PMT('Interest Rate'!$J$16,'Incremental Repayments'!$I$31,(HLOOKUP($D79,$E$4:$CZ$32,28,FALSE)*'Incremental Repayments'!$I$22)),0),0)</f>
        <v>0</v>
      </c>
      <c r="CU79" s="783">
        <f>IF('Incremental Repayments'!$R$22="Debt",IF(AND(CU$4&gt;=$D79,CU$4&lt;$D79+'Incremental Repayments'!$I$31),-PMT('Interest Rate'!$J$16,'Incremental Repayments'!$I$31,(HLOOKUP($D79,$E$4:$CZ$32,28,FALSE)*'Incremental Repayments'!$I$22)),0),0)</f>
        <v>0</v>
      </c>
      <c r="CV79" s="783">
        <f>IF('Incremental Repayments'!$R$22="Debt",IF(AND(CV$4&gt;=$D79,CV$4&lt;$D79+'Incremental Repayments'!$I$31),-PMT('Interest Rate'!$J$16,'Incremental Repayments'!$I$31,(HLOOKUP($D79,$E$4:$CZ$32,28,FALSE)*'Incremental Repayments'!$I$22)),0),0)</f>
        <v>0</v>
      </c>
      <c r="CW79" s="783">
        <f>IF('Incremental Repayments'!$R$22="Debt",IF(AND(CW$4&gt;=$D79,CW$4&lt;$D79+'Incremental Repayments'!$I$31),-PMT('Interest Rate'!$J$16,'Incremental Repayments'!$I$31,(HLOOKUP($D79,$E$4:$CZ$32,28,FALSE)*'Incremental Repayments'!$I$22)),0),0)</f>
        <v>0</v>
      </c>
      <c r="CX79" s="783">
        <f>IF('Incremental Repayments'!$R$22="Debt",IF(AND(CX$4&gt;=$D79,CX$4&lt;$D79+'Incremental Repayments'!$I$31),-PMT('Interest Rate'!$J$16,'Incremental Repayments'!$I$31,(HLOOKUP($D79,$E$4:$CZ$32,28,FALSE)*'Incremental Repayments'!$I$22)),0),0)</f>
        <v>0</v>
      </c>
      <c r="CY79" s="783">
        <f>IF('Incremental Repayments'!$R$22="Debt",IF(AND(CY$4&gt;=$D79,CY$4&lt;$D79+'Incremental Repayments'!$I$31),-PMT('Interest Rate'!$J$16,'Incremental Repayments'!$I$31,(HLOOKUP($D79,$E$4:$CZ$32,28,FALSE)*'Incremental Repayments'!$I$22)),0),0)</f>
        <v>0</v>
      </c>
      <c r="CZ79" s="783">
        <f>IF('Incremental Repayments'!$R$22="Debt",IF(AND(CZ$4&gt;=$D79,CZ$4&lt;$D79+'Incremental Repayments'!$I$31),-PMT('Interest Rate'!$J$16,'Incremental Repayments'!$I$31,(HLOOKUP($D79,$E$4:$CZ$32,28,FALSE)*'Incremental Repayments'!$I$22)),0),0)</f>
        <v>0</v>
      </c>
    </row>
    <row r="80" spans="2:104" x14ac:dyDescent="0.25">
      <c r="B80" s="480" t="str">
        <f>CONCATENATE("Series ",D80,"A Bonds (at ",'Interest Rate'!$J$16*100,"% Interest)")</f>
        <v>Series 2058A Bonds (at 4.5% Interest)</v>
      </c>
      <c r="C80" s="480"/>
      <c r="D80" s="492">
        <f t="shared" si="47"/>
        <v>2058</v>
      </c>
      <c r="E80" s="783">
        <f>IF('Incremental Repayments'!$R$22="Debt",IF(AND(E$4&gt;=$D80,E$4&lt;$D80+'Incremental Repayments'!$I$31),-PMT('Interest Rate'!$J$16,'Incremental Repayments'!$I$31,(HLOOKUP($D80,$E$4:$CZ$32,28,FALSE)*'Incremental Repayments'!$I$22)),0),0)</f>
        <v>0</v>
      </c>
      <c r="F80" s="783">
        <f>IF('Incremental Repayments'!$R$22="Debt",IF(AND(F$4&gt;=$D80,F$4&lt;$D80+'Incremental Repayments'!$I$31),-PMT('Interest Rate'!$J$16,'Incremental Repayments'!$I$31,(HLOOKUP($D80,$E$4:$CZ$32,28,FALSE)*'Incremental Repayments'!$I$22)),0),0)</f>
        <v>0</v>
      </c>
      <c r="G80" s="783">
        <f>IF('Incremental Repayments'!$R$22="Debt",IF(AND(G$4&gt;=$D80,G$4&lt;$D80+'Incremental Repayments'!$I$31),-PMT('Interest Rate'!$J$16,'Incremental Repayments'!$I$31,(HLOOKUP($D80,$E$4:$CZ$32,28,FALSE)*'Incremental Repayments'!$I$22)),0),0)</f>
        <v>0</v>
      </c>
      <c r="H80" s="783">
        <f>IF('Incremental Repayments'!$R$22="Debt",IF(AND(H$4&gt;=$D80,H$4&lt;$D80+'Incremental Repayments'!$I$31),-PMT('Interest Rate'!$J$16,'Incremental Repayments'!$I$31,(HLOOKUP($D80,$E$4:$CZ$32,28,FALSE)*'Incremental Repayments'!$I$22)),0),0)</f>
        <v>0</v>
      </c>
      <c r="I80" s="783">
        <f>IF('Incremental Repayments'!$R$22="Debt",IF(AND(I$4&gt;=$D80,I$4&lt;$D80+'Incremental Repayments'!$I$31),-PMT('Interest Rate'!$J$16,'Incremental Repayments'!$I$31,(HLOOKUP($D80,$E$4:$CZ$32,28,FALSE)*'Incremental Repayments'!$I$22)),0),0)</f>
        <v>0</v>
      </c>
      <c r="J80" s="783">
        <f>IF('Incremental Repayments'!$R$22="Debt",IF(AND(J$4&gt;=$D80,J$4&lt;$D80+'Incremental Repayments'!$I$31),-PMT('Interest Rate'!$J$16,'Incremental Repayments'!$I$31,(HLOOKUP($D80,$E$4:$CZ$32,28,FALSE)*'Incremental Repayments'!$I$22)),0),0)</f>
        <v>0</v>
      </c>
      <c r="K80" s="783">
        <f>IF('Incremental Repayments'!$R$22="Debt",IF(AND(K$4&gt;=$D80,K$4&lt;$D80+'Incremental Repayments'!$I$31),-PMT('Interest Rate'!$J$16,'Incremental Repayments'!$I$31,(HLOOKUP($D80,$E$4:$CZ$32,28,FALSE)*'Incremental Repayments'!$I$22)),0),0)</f>
        <v>0</v>
      </c>
      <c r="L80" s="783">
        <f>IF('Incremental Repayments'!$R$22="Debt",IF(AND(L$4&gt;=$D80,L$4&lt;$D80+'Incremental Repayments'!$I$31),-PMT('Interest Rate'!$J$16,'Incremental Repayments'!$I$31,(HLOOKUP($D80,$E$4:$CZ$32,28,FALSE)*'Incremental Repayments'!$I$22)),0),0)</f>
        <v>0</v>
      </c>
      <c r="M80" s="783">
        <f>IF('Incremental Repayments'!$R$22="Debt",IF(AND(M$4&gt;=$D80,M$4&lt;$D80+'Incremental Repayments'!$I$31),-PMT('Interest Rate'!$J$16,'Incremental Repayments'!$I$31,(HLOOKUP($D80,$E$4:$CZ$32,28,FALSE)*'Incremental Repayments'!$I$22)),0),0)</f>
        <v>0</v>
      </c>
      <c r="N80" s="783">
        <f>IF('Incremental Repayments'!$R$22="Debt",IF(AND(N$4&gt;=$D80,N$4&lt;$D80+'Incremental Repayments'!$I$31),-PMT('Interest Rate'!$J$16,'Incremental Repayments'!$I$31,(HLOOKUP($D80,$E$4:$CZ$32,28,FALSE)*'Incremental Repayments'!$I$22)),0),0)</f>
        <v>0</v>
      </c>
      <c r="O80" s="783">
        <f>IF('Incremental Repayments'!$R$22="Debt",IF(AND(O$4&gt;=$D80,O$4&lt;$D80+'Incremental Repayments'!$I$31),-PMT('Interest Rate'!$J$16,'Incremental Repayments'!$I$31,(HLOOKUP($D80,$E$4:$CZ$32,28,FALSE)*'Incremental Repayments'!$I$22)),0),0)</f>
        <v>0</v>
      </c>
      <c r="P80" s="783">
        <f>IF('Incremental Repayments'!$R$22="Debt",IF(AND(P$4&gt;=$D80,P$4&lt;$D80+'Incremental Repayments'!$I$31),-PMT('Interest Rate'!$J$16,'Incremental Repayments'!$I$31,(HLOOKUP($D80,$E$4:$CZ$32,28,FALSE)*'Incremental Repayments'!$I$22)),0),0)</f>
        <v>0</v>
      </c>
      <c r="Q80" s="783">
        <f>IF('Incremental Repayments'!$R$22="Debt",IF(AND(Q$4&gt;=$D80,Q$4&lt;$D80+'Incremental Repayments'!$I$31),-PMT('Interest Rate'!$J$16,'Incremental Repayments'!$I$31,(HLOOKUP($D80,$E$4:$CZ$32,28,FALSE)*'Incremental Repayments'!$I$22)),0),0)</f>
        <v>0</v>
      </c>
      <c r="R80" s="783">
        <f>IF('Incremental Repayments'!$R$22="Debt",IF(AND(R$4&gt;=$D80,R$4&lt;$D80+'Incremental Repayments'!$I$31),-PMT('Interest Rate'!$J$16,'Incremental Repayments'!$I$31,(HLOOKUP($D80,$E$4:$CZ$32,28,FALSE)*'Incremental Repayments'!$I$22)),0),0)</f>
        <v>0</v>
      </c>
      <c r="S80" s="783">
        <f>IF('Incremental Repayments'!$R$22="Debt",IF(AND(S$4&gt;=$D80,S$4&lt;$D80+'Incremental Repayments'!$I$31),-PMT('Interest Rate'!$J$16,'Incremental Repayments'!$I$31,(HLOOKUP($D80,$E$4:$CZ$32,28,FALSE)*'Incremental Repayments'!$I$22)),0),0)</f>
        <v>0</v>
      </c>
      <c r="T80" s="783">
        <f>IF('Incremental Repayments'!$R$22="Debt",IF(AND(T$4&gt;=$D80,T$4&lt;$D80+'Incremental Repayments'!$I$31),-PMT('Interest Rate'!$J$16,'Incremental Repayments'!$I$31,(HLOOKUP($D80,$E$4:$CZ$32,28,FALSE)*'Incremental Repayments'!$I$22)),0),0)</f>
        <v>0</v>
      </c>
      <c r="U80" s="783">
        <f>IF('Incremental Repayments'!$R$22="Debt",IF(AND(U$4&gt;=$D80,U$4&lt;$D80+'Incremental Repayments'!$I$31),-PMT('Interest Rate'!$J$16,'Incremental Repayments'!$I$31,(HLOOKUP($D80,$E$4:$CZ$32,28,FALSE)*'Incremental Repayments'!$I$22)),0),0)</f>
        <v>0</v>
      </c>
      <c r="V80" s="783">
        <f>IF('Incremental Repayments'!$R$22="Debt",IF(AND(V$4&gt;=$D80,V$4&lt;$D80+'Incremental Repayments'!$I$31),-PMT('Interest Rate'!$J$16,'Incremental Repayments'!$I$31,(HLOOKUP($D80,$E$4:$CZ$32,28,FALSE)*'Incremental Repayments'!$I$22)),0),0)</f>
        <v>0</v>
      </c>
      <c r="W80" s="783">
        <f>IF('Incremental Repayments'!$R$22="Debt",IF(AND(W$4&gt;=$D80,W$4&lt;$D80+'Incremental Repayments'!$I$31),-PMT('Interest Rate'!$J$16,'Incremental Repayments'!$I$31,(HLOOKUP($D80,$E$4:$CZ$32,28,FALSE)*'Incremental Repayments'!$I$22)),0),0)</f>
        <v>0</v>
      </c>
      <c r="X80" s="783">
        <f>IF('Incremental Repayments'!$R$22="Debt",IF(AND(X$4&gt;=$D80,X$4&lt;$D80+'Incremental Repayments'!$I$31),-PMT('Interest Rate'!$J$16,'Incremental Repayments'!$I$31,(HLOOKUP($D80,$E$4:$CZ$32,28,FALSE)*'Incremental Repayments'!$I$22)),0),0)</f>
        <v>0</v>
      </c>
      <c r="Y80" s="783">
        <f>IF('Incremental Repayments'!$R$22="Debt",IF(AND(Y$4&gt;=$D80,Y$4&lt;$D80+'Incremental Repayments'!$I$31),-PMT('Interest Rate'!$J$16,'Incremental Repayments'!$I$31,(HLOOKUP($D80,$E$4:$CZ$32,28,FALSE)*'Incremental Repayments'!$I$22)),0),0)</f>
        <v>0</v>
      </c>
      <c r="Z80" s="783">
        <f>IF('Incremental Repayments'!$R$22="Debt",IF(AND(Z$4&gt;=$D80,Z$4&lt;$D80+'Incremental Repayments'!$I$31),-PMT('Interest Rate'!$J$16,'Incremental Repayments'!$I$31,(HLOOKUP($D80,$E$4:$CZ$32,28,FALSE)*'Incremental Repayments'!$I$22)),0),0)</f>
        <v>0</v>
      </c>
      <c r="AA80" s="783">
        <f>IF('Incremental Repayments'!$R$22="Debt",IF(AND(AA$4&gt;=$D80,AA$4&lt;$D80+'Incremental Repayments'!$I$31),-PMT('Interest Rate'!$J$16,'Incremental Repayments'!$I$31,(HLOOKUP($D80,$E$4:$CZ$32,28,FALSE)*'Incremental Repayments'!$I$22)),0),0)</f>
        <v>0</v>
      </c>
      <c r="AB80" s="783">
        <f>IF('Incremental Repayments'!$R$22="Debt",IF(AND(AB$4&gt;=$D80,AB$4&lt;$D80+'Incremental Repayments'!$I$31),-PMT('Interest Rate'!$J$16,'Incremental Repayments'!$I$31,(HLOOKUP($D80,$E$4:$CZ$32,28,FALSE)*'Incremental Repayments'!$I$22)),0),0)</f>
        <v>0</v>
      </c>
      <c r="AC80" s="783">
        <f>IF('Incremental Repayments'!$R$22="Debt",IF(AND(AC$4&gt;=$D80,AC$4&lt;$D80+'Incremental Repayments'!$I$31),-PMT('Interest Rate'!$J$16,'Incremental Repayments'!$I$31,(HLOOKUP($D80,$E$4:$CZ$32,28,FALSE)*'Incremental Repayments'!$I$22)),0),0)</f>
        <v>0</v>
      </c>
      <c r="AD80" s="783">
        <f>IF('Incremental Repayments'!$R$22="Debt",IF(AND(AD$4&gt;=$D80,AD$4&lt;$D80+'Incremental Repayments'!$I$31),-PMT('Interest Rate'!$J$16,'Incremental Repayments'!$I$31,(HLOOKUP($D80,$E$4:$CZ$32,28,FALSE)*'Incremental Repayments'!$I$22)),0),0)</f>
        <v>0</v>
      </c>
      <c r="AE80" s="783">
        <f>IF('Incremental Repayments'!$R$22="Debt",IF(AND(AE$4&gt;=$D80,AE$4&lt;$D80+'Incremental Repayments'!$I$31),-PMT('Interest Rate'!$J$16,'Incremental Repayments'!$I$31,(HLOOKUP($D80,$E$4:$CZ$32,28,FALSE)*'Incremental Repayments'!$I$22)),0),0)</f>
        <v>0</v>
      </c>
      <c r="AF80" s="783">
        <f>IF('Incremental Repayments'!$R$22="Debt",IF(AND(AF$4&gt;=$D80,AF$4&lt;$D80+'Incremental Repayments'!$I$31),-PMT('Interest Rate'!$J$16,'Incremental Repayments'!$I$31,(HLOOKUP($D80,$E$4:$CZ$32,28,FALSE)*'Incremental Repayments'!$I$22)),0),0)</f>
        <v>0</v>
      </c>
      <c r="AG80" s="783">
        <f>IF('Incremental Repayments'!$R$22="Debt",IF(AND(AG$4&gt;=$D80,AG$4&lt;$D80+'Incremental Repayments'!$I$31),-PMT('Interest Rate'!$J$16,'Incremental Repayments'!$I$31,(HLOOKUP($D80,$E$4:$CZ$32,28,FALSE)*'Incremental Repayments'!$I$22)),0),0)</f>
        <v>0</v>
      </c>
      <c r="AH80" s="783">
        <f>IF('Incremental Repayments'!$R$22="Debt",IF(AND(AH$4&gt;=$D80,AH$4&lt;$D80+'Incremental Repayments'!$I$31),-PMT('Interest Rate'!$J$16,'Incremental Repayments'!$I$31,(HLOOKUP($D80,$E$4:$CZ$32,28,FALSE)*'Incremental Repayments'!$I$22)),0),0)</f>
        <v>0</v>
      </c>
      <c r="AI80" s="783">
        <f>IF('Incremental Repayments'!$R$22="Debt",IF(AND(AI$4&gt;=$D80,AI$4&lt;$D80+'Incremental Repayments'!$I$31),-PMT('Interest Rate'!$J$16,'Incremental Repayments'!$I$31,(HLOOKUP($D80,$E$4:$CZ$32,28,FALSE)*'Incremental Repayments'!$I$22)),0),0)</f>
        <v>0</v>
      </c>
      <c r="AJ80" s="783">
        <f>IF('Incremental Repayments'!$R$22="Debt",IF(AND(AJ$4&gt;=$D80,AJ$4&lt;$D80+'Incremental Repayments'!$I$31),-PMT('Interest Rate'!$J$16,'Incremental Repayments'!$I$31,(HLOOKUP($D80,$E$4:$CZ$32,28,FALSE)*'Incremental Repayments'!$I$22)),0),0)</f>
        <v>0</v>
      </c>
      <c r="AK80" s="783">
        <f>IF('Incremental Repayments'!$R$22="Debt",IF(AND(AK$4&gt;=$D80,AK$4&lt;$D80+'Incremental Repayments'!$I$31),-PMT('Interest Rate'!$J$16,'Incremental Repayments'!$I$31,(HLOOKUP($D80,$E$4:$CZ$32,28,FALSE)*'Incremental Repayments'!$I$22)),0),0)</f>
        <v>0</v>
      </c>
      <c r="AL80" s="783">
        <f>IF('Incremental Repayments'!$R$22="Debt",IF(AND(AL$4&gt;=$D80,AL$4&lt;$D80+'Incremental Repayments'!$I$31),-PMT('Interest Rate'!$J$16,'Incremental Repayments'!$I$31,(HLOOKUP($D80,$E$4:$CZ$32,28,FALSE)*'Incremental Repayments'!$I$22)),0),0)</f>
        <v>0</v>
      </c>
      <c r="AM80" s="783">
        <f>IF('Incremental Repayments'!$R$22="Debt",IF(AND(AM$4&gt;=$D80,AM$4&lt;$D80+'Incremental Repayments'!$I$31),-PMT('Interest Rate'!$J$16,'Incremental Repayments'!$I$31,(HLOOKUP($D80,$E$4:$CZ$32,28,FALSE)*'Incremental Repayments'!$I$22)),0),0)</f>
        <v>0</v>
      </c>
      <c r="AN80" s="783">
        <f>IF('Incremental Repayments'!$R$22="Debt",IF(AND(AN$4&gt;=$D80,AN$4&lt;$D80+'Incremental Repayments'!$I$31),-PMT('Interest Rate'!$J$16,'Incremental Repayments'!$I$31,(HLOOKUP($D80,$E$4:$CZ$32,28,FALSE)*'Incremental Repayments'!$I$22)),0),0)</f>
        <v>0</v>
      </c>
      <c r="AO80" s="783">
        <f>IF('Incremental Repayments'!$R$22="Debt",IF(AND(AO$4&gt;=$D80,AO$4&lt;$D80+'Incremental Repayments'!$I$31),-PMT('Interest Rate'!$J$16,'Incremental Repayments'!$I$31,(HLOOKUP($D80,$E$4:$CZ$32,28,FALSE)*'Incremental Repayments'!$I$22)),0),0)</f>
        <v>0</v>
      </c>
      <c r="AP80" s="783">
        <f>IF('Incremental Repayments'!$R$22="Debt",IF(AND(AP$4&gt;=$D80,AP$4&lt;$D80+'Incremental Repayments'!$I$31),-PMT('Interest Rate'!$J$16,'Incremental Repayments'!$I$31,(HLOOKUP($D80,$E$4:$CZ$32,28,FALSE)*'Incremental Repayments'!$I$22)),0),0)</f>
        <v>0</v>
      </c>
      <c r="AQ80" s="783">
        <f>IF('Incremental Repayments'!$R$22="Debt",IF(AND(AQ$4&gt;=$D80,AQ$4&lt;$D80+'Incremental Repayments'!$I$31),-PMT('Interest Rate'!$J$16,'Incremental Repayments'!$I$31,(HLOOKUP($D80,$E$4:$CZ$32,28,FALSE)*'Incremental Repayments'!$I$22)),0),0)</f>
        <v>0</v>
      </c>
      <c r="AR80" s="783">
        <f>IF('Incremental Repayments'!$R$22="Debt",IF(AND(AR$4&gt;=$D80,AR$4&lt;$D80+'Incremental Repayments'!$I$31),-PMT('Interest Rate'!$J$16,'Incremental Repayments'!$I$31,(HLOOKUP($D80,$E$4:$CZ$32,28,FALSE)*'Incremental Repayments'!$I$22)),0),0)</f>
        <v>0</v>
      </c>
      <c r="AS80" s="783">
        <f>IF('Incremental Repayments'!$R$22="Debt",IF(AND(AS$4&gt;=$D80,AS$4&lt;$D80+'Incremental Repayments'!$I$31),-PMT('Interest Rate'!$J$16,'Incremental Repayments'!$I$31,(HLOOKUP($D80,$E$4:$CZ$32,28,FALSE)*'Incremental Repayments'!$I$22)),0),0)</f>
        <v>0</v>
      </c>
      <c r="AT80" s="783">
        <f>IF('Incremental Repayments'!$R$22="Debt",IF(AND(AT$4&gt;=$D80,AT$4&lt;$D80+'Incremental Repayments'!$I$31),-PMT('Interest Rate'!$J$16,'Incremental Repayments'!$I$31,(HLOOKUP($D80,$E$4:$CZ$32,28,FALSE)*'Incremental Repayments'!$I$22)),0),0)</f>
        <v>0</v>
      </c>
      <c r="AU80" s="783">
        <f>IF('Incremental Repayments'!$R$22="Debt",IF(AND(AU$4&gt;=$D80,AU$4&lt;$D80+'Incremental Repayments'!$I$31),-PMT('Interest Rate'!$J$16,'Incremental Repayments'!$I$31,(HLOOKUP($D80,$E$4:$CZ$32,28,FALSE)*'Incremental Repayments'!$I$22)),0),0)</f>
        <v>0</v>
      </c>
      <c r="AV80" s="783">
        <f>IF('Incremental Repayments'!$R$22="Debt",IF(AND(AV$4&gt;=$D80,AV$4&lt;$D80+'Incremental Repayments'!$I$31),-PMT('Interest Rate'!$J$16,'Incremental Repayments'!$I$31,(HLOOKUP($D80,$E$4:$CZ$32,28,FALSE)*'Incremental Repayments'!$I$22)),0),0)</f>
        <v>0</v>
      </c>
      <c r="AW80" s="783">
        <f>IF('Incremental Repayments'!$R$22="Debt",IF(AND(AW$4&gt;=$D80,AW$4&lt;$D80+'Incremental Repayments'!$I$31),-PMT('Interest Rate'!$J$16,'Incremental Repayments'!$I$31,(HLOOKUP($D80,$E$4:$CZ$32,28,FALSE)*'Incremental Repayments'!$I$22)),0),0)</f>
        <v>90.316892296408085</v>
      </c>
      <c r="AX80" s="783">
        <f>IF('Incremental Repayments'!$R$22="Debt",IF(AND(AX$4&gt;=$D80,AX$4&lt;$D80+'Incremental Repayments'!$I$31),-PMT('Interest Rate'!$J$16,'Incremental Repayments'!$I$31,(HLOOKUP($D80,$E$4:$CZ$32,28,FALSE)*'Incremental Repayments'!$I$22)),0),0)</f>
        <v>90.316892296408085</v>
      </c>
      <c r="AY80" s="783">
        <f>IF('Incremental Repayments'!$R$22="Debt",IF(AND(AY$4&gt;=$D80,AY$4&lt;$D80+'Incremental Repayments'!$I$31),-PMT('Interest Rate'!$J$16,'Incremental Repayments'!$I$31,(HLOOKUP($D80,$E$4:$CZ$32,28,FALSE)*'Incremental Repayments'!$I$22)),0),0)</f>
        <v>90.316892296408085</v>
      </c>
      <c r="AZ80" s="783">
        <f>IF('Incremental Repayments'!$R$22="Debt",IF(AND(AZ$4&gt;=$D80,AZ$4&lt;$D80+'Incremental Repayments'!$I$31),-PMT('Interest Rate'!$J$16,'Incremental Repayments'!$I$31,(HLOOKUP($D80,$E$4:$CZ$32,28,FALSE)*'Incremental Repayments'!$I$22)),0),0)</f>
        <v>90.316892296408085</v>
      </c>
      <c r="BA80" s="783">
        <f>IF('Incremental Repayments'!$R$22="Debt",IF(AND(BA$4&gt;=$D80,BA$4&lt;$D80+'Incremental Repayments'!$I$31),-PMT('Interest Rate'!$J$16,'Incremental Repayments'!$I$31,(HLOOKUP($D80,$E$4:$CZ$32,28,FALSE)*'Incremental Repayments'!$I$22)),0),0)</f>
        <v>90.316892296408085</v>
      </c>
      <c r="BB80" s="783">
        <f>IF('Incremental Repayments'!$R$22="Debt",IF(AND(BB$4&gt;=$D80,BB$4&lt;$D80+'Incremental Repayments'!$I$31),-PMT('Interest Rate'!$J$16,'Incremental Repayments'!$I$31,(HLOOKUP($D80,$E$4:$CZ$32,28,FALSE)*'Incremental Repayments'!$I$22)),0),0)</f>
        <v>90.316892296408085</v>
      </c>
      <c r="BC80" s="783">
        <f>IF('Incremental Repayments'!$R$22="Debt",IF(AND(BC$4&gt;=$D80,BC$4&lt;$D80+'Incremental Repayments'!$I$31),-PMT('Interest Rate'!$J$16,'Incremental Repayments'!$I$31,(HLOOKUP($D80,$E$4:$CZ$32,28,FALSE)*'Incremental Repayments'!$I$22)),0),0)</f>
        <v>90.316892296408085</v>
      </c>
      <c r="BD80" s="783">
        <f>IF('Incremental Repayments'!$R$22="Debt",IF(AND(BD$4&gt;=$D80,BD$4&lt;$D80+'Incremental Repayments'!$I$31),-PMT('Interest Rate'!$J$16,'Incremental Repayments'!$I$31,(HLOOKUP($D80,$E$4:$CZ$32,28,FALSE)*'Incremental Repayments'!$I$22)),0),0)</f>
        <v>90.316892296408085</v>
      </c>
      <c r="BE80" s="783">
        <f>IF('Incremental Repayments'!$R$22="Debt",IF(AND(BE$4&gt;=$D80,BE$4&lt;$D80+'Incremental Repayments'!$I$31),-PMT('Interest Rate'!$J$16,'Incremental Repayments'!$I$31,(HLOOKUP($D80,$E$4:$CZ$32,28,FALSE)*'Incremental Repayments'!$I$22)),0),0)</f>
        <v>90.316892296408085</v>
      </c>
      <c r="BF80" s="783">
        <f>IF('Incremental Repayments'!$R$22="Debt",IF(AND(BF$4&gt;=$D80,BF$4&lt;$D80+'Incremental Repayments'!$I$31),-PMT('Interest Rate'!$J$16,'Incremental Repayments'!$I$31,(HLOOKUP($D80,$E$4:$CZ$32,28,FALSE)*'Incremental Repayments'!$I$22)),0),0)</f>
        <v>90.316892296408085</v>
      </c>
      <c r="BG80" s="783">
        <f>IF('Incremental Repayments'!$R$22="Debt",IF(AND(BG$4&gt;=$D80,BG$4&lt;$D80+'Incremental Repayments'!$I$31),-PMT('Interest Rate'!$J$16,'Incremental Repayments'!$I$31,(HLOOKUP($D80,$E$4:$CZ$32,28,FALSE)*'Incremental Repayments'!$I$22)),0),0)</f>
        <v>90.316892296408085</v>
      </c>
      <c r="BH80" s="783">
        <f>IF('Incremental Repayments'!$R$22="Debt",IF(AND(BH$4&gt;=$D80,BH$4&lt;$D80+'Incremental Repayments'!$I$31),-PMT('Interest Rate'!$J$16,'Incremental Repayments'!$I$31,(HLOOKUP($D80,$E$4:$CZ$32,28,FALSE)*'Incremental Repayments'!$I$22)),0),0)</f>
        <v>90.316892296408085</v>
      </c>
      <c r="BI80" s="783">
        <f>IF('Incremental Repayments'!$R$22="Debt",IF(AND(BI$4&gt;=$D80,BI$4&lt;$D80+'Incremental Repayments'!$I$31),-PMT('Interest Rate'!$J$16,'Incremental Repayments'!$I$31,(HLOOKUP($D80,$E$4:$CZ$32,28,FALSE)*'Incremental Repayments'!$I$22)),0),0)</f>
        <v>90.316892296408085</v>
      </c>
      <c r="BJ80" s="783">
        <f>IF('Incremental Repayments'!$R$22="Debt",IF(AND(BJ$4&gt;=$D80,BJ$4&lt;$D80+'Incremental Repayments'!$I$31),-PMT('Interest Rate'!$J$16,'Incremental Repayments'!$I$31,(HLOOKUP($D80,$E$4:$CZ$32,28,FALSE)*'Incremental Repayments'!$I$22)),0),0)</f>
        <v>90.316892296408085</v>
      </c>
      <c r="BK80" s="783">
        <f>IF('Incremental Repayments'!$R$22="Debt",IF(AND(BK$4&gt;=$D80,BK$4&lt;$D80+'Incremental Repayments'!$I$31),-PMT('Interest Rate'!$J$16,'Incremental Repayments'!$I$31,(HLOOKUP($D80,$E$4:$CZ$32,28,FALSE)*'Incremental Repayments'!$I$22)),0),0)</f>
        <v>90.316892296408085</v>
      </c>
      <c r="BL80" s="783">
        <f>IF('Incremental Repayments'!$R$22="Debt",IF(AND(BL$4&gt;=$D80,BL$4&lt;$D80+'Incremental Repayments'!$I$31),-PMT('Interest Rate'!$J$16,'Incremental Repayments'!$I$31,(HLOOKUP($D80,$E$4:$CZ$32,28,FALSE)*'Incremental Repayments'!$I$22)),0),0)</f>
        <v>90.316892296408085</v>
      </c>
      <c r="BM80" s="783">
        <f>IF('Incremental Repayments'!$R$22="Debt",IF(AND(BM$4&gt;=$D80,BM$4&lt;$D80+'Incremental Repayments'!$I$31),-PMT('Interest Rate'!$J$16,'Incremental Repayments'!$I$31,(HLOOKUP($D80,$E$4:$CZ$32,28,FALSE)*'Incremental Repayments'!$I$22)),0),0)</f>
        <v>90.316892296408085</v>
      </c>
      <c r="BN80" s="783">
        <f>IF('Incremental Repayments'!$R$22="Debt",IF(AND(BN$4&gt;=$D80,BN$4&lt;$D80+'Incremental Repayments'!$I$31),-PMT('Interest Rate'!$J$16,'Incremental Repayments'!$I$31,(HLOOKUP($D80,$E$4:$CZ$32,28,FALSE)*'Incremental Repayments'!$I$22)),0),0)</f>
        <v>90.316892296408085</v>
      </c>
      <c r="BO80" s="783">
        <f>IF('Incremental Repayments'!$R$22="Debt",IF(AND(BO$4&gt;=$D80,BO$4&lt;$D80+'Incremental Repayments'!$I$31),-PMT('Interest Rate'!$J$16,'Incremental Repayments'!$I$31,(HLOOKUP($D80,$E$4:$CZ$32,28,FALSE)*'Incremental Repayments'!$I$22)),0),0)</f>
        <v>90.316892296408085</v>
      </c>
      <c r="BP80" s="783">
        <f>IF('Incremental Repayments'!$R$22="Debt",IF(AND(BP$4&gt;=$D80,BP$4&lt;$D80+'Incremental Repayments'!$I$31),-PMT('Interest Rate'!$J$16,'Incremental Repayments'!$I$31,(HLOOKUP($D80,$E$4:$CZ$32,28,FALSE)*'Incremental Repayments'!$I$22)),0),0)</f>
        <v>90.316892296408085</v>
      </c>
      <c r="BQ80" s="783">
        <f>IF('Incremental Repayments'!$R$22="Debt",IF(AND(BQ$4&gt;=$D80,BQ$4&lt;$D80+'Incremental Repayments'!$I$31),-PMT('Interest Rate'!$J$16,'Incremental Repayments'!$I$31,(HLOOKUP($D80,$E$4:$CZ$32,28,FALSE)*'Incremental Repayments'!$I$22)),0),0)</f>
        <v>90.316892296408085</v>
      </c>
      <c r="BR80" s="783">
        <f>IF('Incremental Repayments'!$R$22="Debt",IF(AND(BR$4&gt;=$D80,BR$4&lt;$D80+'Incremental Repayments'!$I$31),-PMT('Interest Rate'!$J$16,'Incremental Repayments'!$I$31,(HLOOKUP($D80,$E$4:$CZ$32,28,FALSE)*'Incremental Repayments'!$I$22)),0),0)</f>
        <v>90.316892296408085</v>
      </c>
      <c r="BS80" s="783">
        <f>IF('Incremental Repayments'!$R$22="Debt",IF(AND(BS$4&gt;=$D80,BS$4&lt;$D80+'Incremental Repayments'!$I$31),-PMT('Interest Rate'!$J$16,'Incremental Repayments'!$I$31,(HLOOKUP($D80,$E$4:$CZ$32,28,FALSE)*'Incremental Repayments'!$I$22)),0),0)</f>
        <v>90.316892296408085</v>
      </c>
      <c r="BT80" s="783">
        <f>IF('Incremental Repayments'!$R$22="Debt",IF(AND(BT$4&gt;=$D80,BT$4&lt;$D80+'Incremental Repayments'!$I$31),-PMT('Interest Rate'!$J$16,'Incremental Repayments'!$I$31,(HLOOKUP($D80,$E$4:$CZ$32,28,FALSE)*'Incremental Repayments'!$I$22)),0),0)</f>
        <v>90.316892296408085</v>
      </c>
      <c r="BU80" s="783">
        <f>IF('Incremental Repayments'!$R$22="Debt",IF(AND(BU$4&gt;=$D80,BU$4&lt;$D80+'Incremental Repayments'!$I$31),-PMT('Interest Rate'!$J$16,'Incremental Repayments'!$I$31,(HLOOKUP($D80,$E$4:$CZ$32,28,FALSE)*'Incremental Repayments'!$I$22)),0),0)</f>
        <v>90.316892296408085</v>
      </c>
      <c r="BV80" s="783">
        <f>IF('Incremental Repayments'!$R$22="Debt",IF(AND(BV$4&gt;=$D80,BV$4&lt;$D80+'Incremental Repayments'!$I$31),-PMT('Interest Rate'!$J$16,'Incremental Repayments'!$I$31,(HLOOKUP($D80,$E$4:$CZ$32,28,FALSE)*'Incremental Repayments'!$I$22)),0),0)</f>
        <v>90.316892296408085</v>
      </c>
      <c r="BW80" s="783">
        <f>IF('Incremental Repayments'!$R$22="Debt",IF(AND(BW$4&gt;=$D80,BW$4&lt;$D80+'Incremental Repayments'!$I$31),-PMT('Interest Rate'!$J$16,'Incremental Repayments'!$I$31,(HLOOKUP($D80,$E$4:$CZ$32,28,FALSE)*'Incremental Repayments'!$I$22)),0),0)</f>
        <v>90.316892296408085</v>
      </c>
      <c r="BX80" s="783">
        <f>IF('Incremental Repayments'!$R$22="Debt",IF(AND(BX$4&gt;=$D80,BX$4&lt;$D80+'Incremental Repayments'!$I$31),-PMT('Interest Rate'!$J$16,'Incremental Repayments'!$I$31,(HLOOKUP($D80,$E$4:$CZ$32,28,FALSE)*'Incremental Repayments'!$I$22)),0),0)</f>
        <v>90.316892296408085</v>
      </c>
      <c r="BY80" s="783">
        <f>IF('Incremental Repayments'!$R$22="Debt",IF(AND(BY$4&gt;=$D80,BY$4&lt;$D80+'Incremental Repayments'!$I$31),-PMT('Interest Rate'!$J$16,'Incremental Repayments'!$I$31,(HLOOKUP($D80,$E$4:$CZ$32,28,FALSE)*'Incremental Repayments'!$I$22)),0),0)</f>
        <v>90.316892296408085</v>
      </c>
      <c r="BZ80" s="783">
        <f>IF('Incremental Repayments'!$R$22="Debt",IF(AND(BZ$4&gt;=$D80,BZ$4&lt;$D80+'Incremental Repayments'!$I$31),-PMT('Interest Rate'!$J$16,'Incremental Repayments'!$I$31,(HLOOKUP($D80,$E$4:$CZ$32,28,FALSE)*'Incremental Repayments'!$I$22)),0),0)</f>
        <v>90.316892296408085</v>
      </c>
      <c r="CA80" s="783">
        <f>IF('Incremental Repayments'!$R$22="Debt",IF(AND(CA$4&gt;=$D80,CA$4&lt;$D80+'Incremental Repayments'!$I$31),-PMT('Interest Rate'!$J$16,'Incremental Repayments'!$I$31,(HLOOKUP($D80,$E$4:$CZ$32,28,FALSE)*'Incremental Repayments'!$I$22)),0),0)</f>
        <v>0</v>
      </c>
      <c r="CB80" s="783">
        <f>IF('Incremental Repayments'!$R$22="Debt",IF(AND(CB$4&gt;=$D80,CB$4&lt;$D80+'Incremental Repayments'!$I$31),-PMT('Interest Rate'!$J$16,'Incremental Repayments'!$I$31,(HLOOKUP($D80,$E$4:$CZ$32,28,FALSE)*'Incremental Repayments'!$I$22)),0),0)</f>
        <v>0</v>
      </c>
      <c r="CC80" s="783">
        <f>IF('Incremental Repayments'!$R$22="Debt",IF(AND(CC$4&gt;=$D80,CC$4&lt;$D80+'Incremental Repayments'!$I$31),-PMT('Interest Rate'!$J$16,'Incremental Repayments'!$I$31,(HLOOKUP($D80,$E$4:$CZ$32,28,FALSE)*'Incremental Repayments'!$I$22)),0),0)</f>
        <v>0</v>
      </c>
      <c r="CD80" s="783">
        <f>IF('Incremental Repayments'!$R$22="Debt",IF(AND(CD$4&gt;=$D80,CD$4&lt;$D80+'Incremental Repayments'!$I$31),-PMT('Interest Rate'!$J$16,'Incremental Repayments'!$I$31,(HLOOKUP($D80,$E$4:$CZ$32,28,FALSE)*'Incremental Repayments'!$I$22)),0),0)</f>
        <v>0</v>
      </c>
      <c r="CE80" s="783">
        <f>IF('Incremental Repayments'!$R$22="Debt",IF(AND(CE$4&gt;=$D80,CE$4&lt;$D80+'Incremental Repayments'!$I$31),-PMT('Interest Rate'!$J$16,'Incremental Repayments'!$I$31,(HLOOKUP($D80,$E$4:$CZ$32,28,FALSE)*'Incremental Repayments'!$I$22)),0),0)</f>
        <v>0</v>
      </c>
      <c r="CF80" s="783">
        <f>IF('Incremental Repayments'!$R$22="Debt",IF(AND(CF$4&gt;=$D80,CF$4&lt;$D80+'Incremental Repayments'!$I$31),-PMT('Interest Rate'!$J$16,'Incremental Repayments'!$I$31,(HLOOKUP($D80,$E$4:$CZ$32,28,FALSE)*'Incremental Repayments'!$I$22)),0),0)</f>
        <v>0</v>
      </c>
      <c r="CG80" s="783">
        <f>IF('Incremental Repayments'!$R$22="Debt",IF(AND(CG$4&gt;=$D80,CG$4&lt;$D80+'Incremental Repayments'!$I$31),-PMT('Interest Rate'!$J$16,'Incremental Repayments'!$I$31,(HLOOKUP($D80,$E$4:$CZ$32,28,FALSE)*'Incremental Repayments'!$I$22)),0),0)</f>
        <v>0</v>
      </c>
      <c r="CH80" s="783">
        <f>IF('Incremental Repayments'!$R$22="Debt",IF(AND(CH$4&gt;=$D80,CH$4&lt;$D80+'Incremental Repayments'!$I$31),-PMT('Interest Rate'!$J$16,'Incremental Repayments'!$I$31,(HLOOKUP($D80,$E$4:$CZ$32,28,FALSE)*'Incremental Repayments'!$I$22)),0),0)</f>
        <v>0</v>
      </c>
      <c r="CI80" s="783">
        <f>IF('Incremental Repayments'!$R$22="Debt",IF(AND(CI$4&gt;=$D80,CI$4&lt;$D80+'Incremental Repayments'!$I$31),-PMT('Interest Rate'!$J$16,'Incremental Repayments'!$I$31,(HLOOKUP($D80,$E$4:$CZ$32,28,FALSE)*'Incremental Repayments'!$I$22)),0),0)</f>
        <v>0</v>
      </c>
      <c r="CJ80" s="783">
        <f>IF('Incremental Repayments'!$R$22="Debt",IF(AND(CJ$4&gt;=$D80,CJ$4&lt;$D80+'Incremental Repayments'!$I$31),-PMT('Interest Rate'!$J$16,'Incremental Repayments'!$I$31,(HLOOKUP($D80,$E$4:$CZ$32,28,FALSE)*'Incremental Repayments'!$I$22)),0),0)</f>
        <v>0</v>
      </c>
      <c r="CK80" s="783">
        <f>IF('Incremental Repayments'!$R$22="Debt",IF(AND(CK$4&gt;=$D80,CK$4&lt;$D80+'Incremental Repayments'!$I$31),-PMT('Interest Rate'!$J$16,'Incremental Repayments'!$I$31,(HLOOKUP($D80,$E$4:$CZ$32,28,FALSE)*'Incremental Repayments'!$I$22)),0),0)</f>
        <v>0</v>
      </c>
      <c r="CL80" s="783">
        <f>IF('Incremental Repayments'!$R$22="Debt",IF(AND(CL$4&gt;=$D80,CL$4&lt;$D80+'Incremental Repayments'!$I$31),-PMT('Interest Rate'!$J$16,'Incremental Repayments'!$I$31,(HLOOKUP($D80,$E$4:$CZ$32,28,FALSE)*'Incremental Repayments'!$I$22)),0),0)</f>
        <v>0</v>
      </c>
      <c r="CM80" s="783">
        <f>IF('Incremental Repayments'!$R$22="Debt",IF(AND(CM$4&gt;=$D80,CM$4&lt;$D80+'Incremental Repayments'!$I$31),-PMT('Interest Rate'!$J$16,'Incremental Repayments'!$I$31,(HLOOKUP($D80,$E$4:$CZ$32,28,FALSE)*'Incremental Repayments'!$I$22)),0),0)</f>
        <v>0</v>
      </c>
      <c r="CN80" s="783">
        <f>IF('Incremental Repayments'!$R$22="Debt",IF(AND(CN$4&gt;=$D80,CN$4&lt;$D80+'Incremental Repayments'!$I$31),-PMT('Interest Rate'!$J$16,'Incremental Repayments'!$I$31,(HLOOKUP($D80,$E$4:$CZ$32,28,FALSE)*'Incremental Repayments'!$I$22)),0),0)</f>
        <v>0</v>
      </c>
      <c r="CO80" s="783">
        <f>IF('Incremental Repayments'!$R$22="Debt",IF(AND(CO$4&gt;=$D80,CO$4&lt;$D80+'Incremental Repayments'!$I$31),-PMT('Interest Rate'!$J$16,'Incremental Repayments'!$I$31,(HLOOKUP($D80,$E$4:$CZ$32,28,FALSE)*'Incremental Repayments'!$I$22)),0),0)</f>
        <v>0</v>
      </c>
      <c r="CP80" s="783">
        <f>IF('Incremental Repayments'!$R$22="Debt",IF(AND(CP$4&gt;=$D80,CP$4&lt;$D80+'Incremental Repayments'!$I$31),-PMT('Interest Rate'!$J$16,'Incremental Repayments'!$I$31,(HLOOKUP($D80,$E$4:$CZ$32,28,FALSE)*'Incremental Repayments'!$I$22)),0),0)</f>
        <v>0</v>
      </c>
      <c r="CQ80" s="783">
        <f>IF('Incremental Repayments'!$R$22="Debt",IF(AND(CQ$4&gt;=$D80,CQ$4&lt;$D80+'Incremental Repayments'!$I$31),-PMT('Interest Rate'!$J$16,'Incremental Repayments'!$I$31,(HLOOKUP($D80,$E$4:$CZ$32,28,FALSE)*'Incremental Repayments'!$I$22)),0),0)</f>
        <v>0</v>
      </c>
      <c r="CR80" s="783">
        <f>IF('Incremental Repayments'!$R$22="Debt",IF(AND(CR$4&gt;=$D80,CR$4&lt;$D80+'Incremental Repayments'!$I$31),-PMT('Interest Rate'!$J$16,'Incremental Repayments'!$I$31,(HLOOKUP($D80,$E$4:$CZ$32,28,FALSE)*'Incremental Repayments'!$I$22)),0),0)</f>
        <v>0</v>
      </c>
      <c r="CS80" s="783">
        <f>IF('Incremental Repayments'!$R$22="Debt",IF(AND(CS$4&gt;=$D80,CS$4&lt;$D80+'Incremental Repayments'!$I$31),-PMT('Interest Rate'!$J$16,'Incremental Repayments'!$I$31,(HLOOKUP($D80,$E$4:$CZ$32,28,FALSE)*'Incremental Repayments'!$I$22)),0),0)</f>
        <v>0</v>
      </c>
      <c r="CT80" s="783">
        <f>IF('Incremental Repayments'!$R$22="Debt",IF(AND(CT$4&gt;=$D80,CT$4&lt;$D80+'Incremental Repayments'!$I$31),-PMT('Interest Rate'!$J$16,'Incremental Repayments'!$I$31,(HLOOKUP($D80,$E$4:$CZ$32,28,FALSE)*'Incremental Repayments'!$I$22)),0),0)</f>
        <v>0</v>
      </c>
      <c r="CU80" s="783">
        <f>IF('Incremental Repayments'!$R$22="Debt",IF(AND(CU$4&gt;=$D80,CU$4&lt;$D80+'Incremental Repayments'!$I$31),-PMT('Interest Rate'!$J$16,'Incremental Repayments'!$I$31,(HLOOKUP($D80,$E$4:$CZ$32,28,FALSE)*'Incremental Repayments'!$I$22)),0),0)</f>
        <v>0</v>
      </c>
      <c r="CV80" s="783">
        <f>IF('Incremental Repayments'!$R$22="Debt",IF(AND(CV$4&gt;=$D80,CV$4&lt;$D80+'Incremental Repayments'!$I$31),-PMT('Interest Rate'!$J$16,'Incremental Repayments'!$I$31,(HLOOKUP($D80,$E$4:$CZ$32,28,FALSE)*'Incremental Repayments'!$I$22)),0),0)</f>
        <v>0</v>
      </c>
      <c r="CW80" s="783">
        <f>IF('Incremental Repayments'!$R$22="Debt",IF(AND(CW$4&gt;=$D80,CW$4&lt;$D80+'Incremental Repayments'!$I$31),-PMT('Interest Rate'!$J$16,'Incremental Repayments'!$I$31,(HLOOKUP($D80,$E$4:$CZ$32,28,FALSE)*'Incremental Repayments'!$I$22)),0),0)</f>
        <v>0</v>
      </c>
      <c r="CX80" s="783">
        <f>IF('Incremental Repayments'!$R$22="Debt",IF(AND(CX$4&gt;=$D80,CX$4&lt;$D80+'Incremental Repayments'!$I$31),-PMT('Interest Rate'!$J$16,'Incremental Repayments'!$I$31,(HLOOKUP($D80,$E$4:$CZ$32,28,FALSE)*'Incremental Repayments'!$I$22)),0),0)</f>
        <v>0</v>
      </c>
      <c r="CY80" s="783">
        <f>IF('Incremental Repayments'!$R$22="Debt",IF(AND(CY$4&gt;=$D80,CY$4&lt;$D80+'Incremental Repayments'!$I$31),-PMT('Interest Rate'!$J$16,'Incremental Repayments'!$I$31,(HLOOKUP($D80,$E$4:$CZ$32,28,FALSE)*'Incremental Repayments'!$I$22)),0),0)</f>
        <v>0</v>
      </c>
      <c r="CZ80" s="783">
        <f>IF('Incremental Repayments'!$R$22="Debt",IF(AND(CZ$4&gt;=$D80,CZ$4&lt;$D80+'Incremental Repayments'!$I$31),-PMT('Interest Rate'!$J$16,'Incremental Repayments'!$I$31,(HLOOKUP($D80,$E$4:$CZ$32,28,FALSE)*'Incremental Repayments'!$I$22)),0),0)</f>
        <v>0</v>
      </c>
    </row>
    <row r="81" spans="2:104" x14ac:dyDescent="0.25">
      <c r="B81" s="480" t="str">
        <f>CONCATENATE("Series ",D81,"A Bonds (at ",'Interest Rate'!$J$16*100,"% Interest)")</f>
        <v>Series 2059A Bonds (at 4.5% Interest)</v>
      </c>
      <c r="C81" s="480"/>
      <c r="D81" s="492">
        <f t="shared" si="47"/>
        <v>2059</v>
      </c>
      <c r="E81" s="783">
        <f>IF('Incremental Repayments'!$R$22="Debt",IF(AND(E$4&gt;=$D81,E$4&lt;$D81+'Incremental Repayments'!$I$31),-PMT('Interest Rate'!$J$16,'Incremental Repayments'!$I$31,(HLOOKUP($D81,$E$4:$CZ$32,28,FALSE)*'Incremental Repayments'!$I$22)),0),0)</f>
        <v>0</v>
      </c>
      <c r="F81" s="783">
        <f>IF('Incremental Repayments'!$R$22="Debt",IF(AND(F$4&gt;=$D81,F$4&lt;$D81+'Incremental Repayments'!$I$31),-PMT('Interest Rate'!$J$16,'Incremental Repayments'!$I$31,(HLOOKUP($D81,$E$4:$CZ$32,28,FALSE)*'Incremental Repayments'!$I$22)),0),0)</f>
        <v>0</v>
      </c>
      <c r="G81" s="783">
        <f>IF('Incremental Repayments'!$R$22="Debt",IF(AND(G$4&gt;=$D81,G$4&lt;$D81+'Incremental Repayments'!$I$31),-PMT('Interest Rate'!$J$16,'Incremental Repayments'!$I$31,(HLOOKUP($D81,$E$4:$CZ$32,28,FALSE)*'Incremental Repayments'!$I$22)),0),0)</f>
        <v>0</v>
      </c>
      <c r="H81" s="783">
        <f>IF('Incremental Repayments'!$R$22="Debt",IF(AND(H$4&gt;=$D81,H$4&lt;$D81+'Incremental Repayments'!$I$31),-PMT('Interest Rate'!$J$16,'Incremental Repayments'!$I$31,(HLOOKUP($D81,$E$4:$CZ$32,28,FALSE)*'Incremental Repayments'!$I$22)),0),0)</f>
        <v>0</v>
      </c>
      <c r="I81" s="783">
        <f>IF('Incremental Repayments'!$R$22="Debt",IF(AND(I$4&gt;=$D81,I$4&lt;$D81+'Incremental Repayments'!$I$31),-PMT('Interest Rate'!$J$16,'Incremental Repayments'!$I$31,(HLOOKUP($D81,$E$4:$CZ$32,28,FALSE)*'Incremental Repayments'!$I$22)),0),0)</f>
        <v>0</v>
      </c>
      <c r="J81" s="783">
        <f>IF('Incremental Repayments'!$R$22="Debt",IF(AND(J$4&gt;=$D81,J$4&lt;$D81+'Incremental Repayments'!$I$31),-PMT('Interest Rate'!$J$16,'Incremental Repayments'!$I$31,(HLOOKUP($D81,$E$4:$CZ$32,28,FALSE)*'Incremental Repayments'!$I$22)),0),0)</f>
        <v>0</v>
      </c>
      <c r="K81" s="783">
        <f>IF('Incremental Repayments'!$R$22="Debt",IF(AND(K$4&gt;=$D81,K$4&lt;$D81+'Incremental Repayments'!$I$31),-PMT('Interest Rate'!$J$16,'Incremental Repayments'!$I$31,(HLOOKUP($D81,$E$4:$CZ$32,28,FALSE)*'Incremental Repayments'!$I$22)),0),0)</f>
        <v>0</v>
      </c>
      <c r="L81" s="783">
        <f>IF('Incremental Repayments'!$R$22="Debt",IF(AND(L$4&gt;=$D81,L$4&lt;$D81+'Incremental Repayments'!$I$31),-PMT('Interest Rate'!$J$16,'Incremental Repayments'!$I$31,(HLOOKUP($D81,$E$4:$CZ$32,28,FALSE)*'Incremental Repayments'!$I$22)),0),0)</f>
        <v>0</v>
      </c>
      <c r="M81" s="783">
        <f>IF('Incremental Repayments'!$R$22="Debt",IF(AND(M$4&gt;=$D81,M$4&lt;$D81+'Incremental Repayments'!$I$31),-PMT('Interest Rate'!$J$16,'Incremental Repayments'!$I$31,(HLOOKUP($D81,$E$4:$CZ$32,28,FALSE)*'Incremental Repayments'!$I$22)),0),0)</f>
        <v>0</v>
      </c>
      <c r="N81" s="783">
        <f>IF('Incremental Repayments'!$R$22="Debt",IF(AND(N$4&gt;=$D81,N$4&lt;$D81+'Incremental Repayments'!$I$31),-PMT('Interest Rate'!$J$16,'Incremental Repayments'!$I$31,(HLOOKUP($D81,$E$4:$CZ$32,28,FALSE)*'Incremental Repayments'!$I$22)),0),0)</f>
        <v>0</v>
      </c>
      <c r="O81" s="783">
        <f>IF('Incremental Repayments'!$R$22="Debt",IF(AND(O$4&gt;=$D81,O$4&lt;$D81+'Incremental Repayments'!$I$31),-PMT('Interest Rate'!$J$16,'Incremental Repayments'!$I$31,(HLOOKUP($D81,$E$4:$CZ$32,28,FALSE)*'Incremental Repayments'!$I$22)),0),0)</f>
        <v>0</v>
      </c>
      <c r="P81" s="783">
        <f>IF('Incremental Repayments'!$R$22="Debt",IF(AND(P$4&gt;=$D81,P$4&lt;$D81+'Incremental Repayments'!$I$31),-PMT('Interest Rate'!$J$16,'Incremental Repayments'!$I$31,(HLOOKUP($D81,$E$4:$CZ$32,28,FALSE)*'Incremental Repayments'!$I$22)),0),0)</f>
        <v>0</v>
      </c>
      <c r="Q81" s="783">
        <f>IF('Incremental Repayments'!$R$22="Debt",IF(AND(Q$4&gt;=$D81,Q$4&lt;$D81+'Incremental Repayments'!$I$31),-PMT('Interest Rate'!$J$16,'Incremental Repayments'!$I$31,(HLOOKUP($D81,$E$4:$CZ$32,28,FALSE)*'Incremental Repayments'!$I$22)),0),0)</f>
        <v>0</v>
      </c>
      <c r="R81" s="783">
        <f>IF('Incremental Repayments'!$R$22="Debt",IF(AND(R$4&gt;=$D81,R$4&lt;$D81+'Incremental Repayments'!$I$31),-PMT('Interest Rate'!$J$16,'Incremental Repayments'!$I$31,(HLOOKUP($D81,$E$4:$CZ$32,28,FALSE)*'Incremental Repayments'!$I$22)),0),0)</f>
        <v>0</v>
      </c>
      <c r="S81" s="783">
        <f>IF('Incremental Repayments'!$R$22="Debt",IF(AND(S$4&gt;=$D81,S$4&lt;$D81+'Incremental Repayments'!$I$31),-PMT('Interest Rate'!$J$16,'Incremental Repayments'!$I$31,(HLOOKUP($D81,$E$4:$CZ$32,28,FALSE)*'Incremental Repayments'!$I$22)),0),0)</f>
        <v>0</v>
      </c>
      <c r="T81" s="783">
        <f>IF('Incremental Repayments'!$R$22="Debt",IF(AND(T$4&gt;=$D81,T$4&lt;$D81+'Incremental Repayments'!$I$31),-PMT('Interest Rate'!$J$16,'Incremental Repayments'!$I$31,(HLOOKUP($D81,$E$4:$CZ$32,28,FALSE)*'Incremental Repayments'!$I$22)),0),0)</f>
        <v>0</v>
      </c>
      <c r="U81" s="783">
        <f>IF('Incremental Repayments'!$R$22="Debt",IF(AND(U$4&gt;=$D81,U$4&lt;$D81+'Incremental Repayments'!$I$31),-PMT('Interest Rate'!$J$16,'Incremental Repayments'!$I$31,(HLOOKUP($D81,$E$4:$CZ$32,28,FALSE)*'Incremental Repayments'!$I$22)),0),0)</f>
        <v>0</v>
      </c>
      <c r="V81" s="783">
        <f>IF('Incremental Repayments'!$R$22="Debt",IF(AND(V$4&gt;=$D81,V$4&lt;$D81+'Incremental Repayments'!$I$31),-PMT('Interest Rate'!$J$16,'Incremental Repayments'!$I$31,(HLOOKUP($D81,$E$4:$CZ$32,28,FALSE)*'Incremental Repayments'!$I$22)),0),0)</f>
        <v>0</v>
      </c>
      <c r="W81" s="783">
        <f>IF('Incremental Repayments'!$R$22="Debt",IF(AND(W$4&gt;=$D81,W$4&lt;$D81+'Incremental Repayments'!$I$31),-PMT('Interest Rate'!$J$16,'Incremental Repayments'!$I$31,(HLOOKUP($D81,$E$4:$CZ$32,28,FALSE)*'Incremental Repayments'!$I$22)),0),0)</f>
        <v>0</v>
      </c>
      <c r="X81" s="783">
        <f>IF('Incremental Repayments'!$R$22="Debt",IF(AND(X$4&gt;=$D81,X$4&lt;$D81+'Incremental Repayments'!$I$31),-PMT('Interest Rate'!$J$16,'Incremental Repayments'!$I$31,(HLOOKUP($D81,$E$4:$CZ$32,28,FALSE)*'Incremental Repayments'!$I$22)),0),0)</f>
        <v>0</v>
      </c>
      <c r="Y81" s="783">
        <f>IF('Incremental Repayments'!$R$22="Debt",IF(AND(Y$4&gt;=$D81,Y$4&lt;$D81+'Incremental Repayments'!$I$31),-PMT('Interest Rate'!$J$16,'Incremental Repayments'!$I$31,(HLOOKUP($D81,$E$4:$CZ$32,28,FALSE)*'Incremental Repayments'!$I$22)),0),0)</f>
        <v>0</v>
      </c>
      <c r="Z81" s="783">
        <f>IF('Incremental Repayments'!$R$22="Debt",IF(AND(Z$4&gt;=$D81,Z$4&lt;$D81+'Incremental Repayments'!$I$31),-PMT('Interest Rate'!$J$16,'Incremental Repayments'!$I$31,(HLOOKUP($D81,$E$4:$CZ$32,28,FALSE)*'Incremental Repayments'!$I$22)),0),0)</f>
        <v>0</v>
      </c>
      <c r="AA81" s="783">
        <f>IF('Incremental Repayments'!$R$22="Debt",IF(AND(AA$4&gt;=$D81,AA$4&lt;$D81+'Incremental Repayments'!$I$31),-PMT('Interest Rate'!$J$16,'Incremental Repayments'!$I$31,(HLOOKUP($D81,$E$4:$CZ$32,28,FALSE)*'Incremental Repayments'!$I$22)),0),0)</f>
        <v>0</v>
      </c>
      <c r="AB81" s="783">
        <f>IF('Incremental Repayments'!$R$22="Debt",IF(AND(AB$4&gt;=$D81,AB$4&lt;$D81+'Incremental Repayments'!$I$31),-PMT('Interest Rate'!$J$16,'Incremental Repayments'!$I$31,(HLOOKUP($D81,$E$4:$CZ$32,28,FALSE)*'Incremental Repayments'!$I$22)),0),0)</f>
        <v>0</v>
      </c>
      <c r="AC81" s="783">
        <f>IF('Incremental Repayments'!$R$22="Debt",IF(AND(AC$4&gt;=$D81,AC$4&lt;$D81+'Incremental Repayments'!$I$31),-PMT('Interest Rate'!$J$16,'Incremental Repayments'!$I$31,(HLOOKUP($D81,$E$4:$CZ$32,28,FALSE)*'Incremental Repayments'!$I$22)),0),0)</f>
        <v>0</v>
      </c>
      <c r="AD81" s="783">
        <f>IF('Incremental Repayments'!$R$22="Debt",IF(AND(AD$4&gt;=$D81,AD$4&lt;$D81+'Incremental Repayments'!$I$31),-PMT('Interest Rate'!$J$16,'Incremental Repayments'!$I$31,(HLOOKUP($D81,$E$4:$CZ$32,28,FALSE)*'Incremental Repayments'!$I$22)),0),0)</f>
        <v>0</v>
      </c>
      <c r="AE81" s="783">
        <f>IF('Incremental Repayments'!$R$22="Debt",IF(AND(AE$4&gt;=$D81,AE$4&lt;$D81+'Incremental Repayments'!$I$31),-PMT('Interest Rate'!$J$16,'Incremental Repayments'!$I$31,(HLOOKUP($D81,$E$4:$CZ$32,28,FALSE)*'Incremental Repayments'!$I$22)),0),0)</f>
        <v>0</v>
      </c>
      <c r="AF81" s="783">
        <f>IF('Incremental Repayments'!$R$22="Debt",IF(AND(AF$4&gt;=$D81,AF$4&lt;$D81+'Incremental Repayments'!$I$31),-PMT('Interest Rate'!$J$16,'Incremental Repayments'!$I$31,(HLOOKUP($D81,$E$4:$CZ$32,28,FALSE)*'Incremental Repayments'!$I$22)),0),0)</f>
        <v>0</v>
      </c>
      <c r="AG81" s="783">
        <f>IF('Incremental Repayments'!$R$22="Debt",IF(AND(AG$4&gt;=$D81,AG$4&lt;$D81+'Incremental Repayments'!$I$31),-PMT('Interest Rate'!$J$16,'Incremental Repayments'!$I$31,(HLOOKUP($D81,$E$4:$CZ$32,28,FALSE)*'Incremental Repayments'!$I$22)),0),0)</f>
        <v>0</v>
      </c>
      <c r="AH81" s="783">
        <f>IF('Incremental Repayments'!$R$22="Debt",IF(AND(AH$4&gt;=$D81,AH$4&lt;$D81+'Incremental Repayments'!$I$31),-PMT('Interest Rate'!$J$16,'Incremental Repayments'!$I$31,(HLOOKUP($D81,$E$4:$CZ$32,28,FALSE)*'Incremental Repayments'!$I$22)),0),0)</f>
        <v>0</v>
      </c>
      <c r="AI81" s="783">
        <f>IF('Incremental Repayments'!$R$22="Debt",IF(AND(AI$4&gt;=$D81,AI$4&lt;$D81+'Incremental Repayments'!$I$31),-PMT('Interest Rate'!$J$16,'Incremental Repayments'!$I$31,(HLOOKUP($D81,$E$4:$CZ$32,28,FALSE)*'Incremental Repayments'!$I$22)),0),0)</f>
        <v>0</v>
      </c>
      <c r="AJ81" s="783">
        <f>IF('Incremental Repayments'!$R$22="Debt",IF(AND(AJ$4&gt;=$D81,AJ$4&lt;$D81+'Incremental Repayments'!$I$31),-PMT('Interest Rate'!$J$16,'Incremental Repayments'!$I$31,(HLOOKUP($D81,$E$4:$CZ$32,28,FALSE)*'Incremental Repayments'!$I$22)),0),0)</f>
        <v>0</v>
      </c>
      <c r="AK81" s="783">
        <f>IF('Incremental Repayments'!$R$22="Debt",IF(AND(AK$4&gt;=$D81,AK$4&lt;$D81+'Incremental Repayments'!$I$31),-PMT('Interest Rate'!$J$16,'Incremental Repayments'!$I$31,(HLOOKUP($D81,$E$4:$CZ$32,28,FALSE)*'Incremental Repayments'!$I$22)),0),0)</f>
        <v>0</v>
      </c>
      <c r="AL81" s="783">
        <f>IF('Incremental Repayments'!$R$22="Debt",IF(AND(AL$4&gt;=$D81,AL$4&lt;$D81+'Incremental Repayments'!$I$31),-PMT('Interest Rate'!$J$16,'Incremental Repayments'!$I$31,(HLOOKUP($D81,$E$4:$CZ$32,28,FALSE)*'Incremental Repayments'!$I$22)),0),0)</f>
        <v>0</v>
      </c>
      <c r="AM81" s="783">
        <f>IF('Incremental Repayments'!$R$22="Debt",IF(AND(AM$4&gt;=$D81,AM$4&lt;$D81+'Incremental Repayments'!$I$31),-PMT('Interest Rate'!$J$16,'Incremental Repayments'!$I$31,(HLOOKUP($D81,$E$4:$CZ$32,28,FALSE)*'Incremental Repayments'!$I$22)),0),0)</f>
        <v>0</v>
      </c>
      <c r="AN81" s="783">
        <f>IF('Incremental Repayments'!$R$22="Debt",IF(AND(AN$4&gt;=$D81,AN$4&lt;$D81+'Incremental Repayments'!$I$31),-PMT('Interest Rate'!$J$16,'Incremental Repayments'!$I$31,(HLOOKUP($D81,$E$4:$CZ$32,28,FALSE)*'Incremental Repayments'!$I$22)),0),0)</f>
        <v>0</v>
      </c>
      <c r="AO81" s="783">
        <f>IF('Incremental Repayments'!$R$22="Debt",IF(AND(AO$4&gt;=$D81,AO$4&lt;$D81+'Incremental Repayments'!$I$31),-PMT('Interest Rate'!$J$16,'Incremental Repayments'!$I$31,(HLOOKUP($D81,$E$4:$CZ$32,28,FALSE)*'Incremental Repayments'!$I$22)),0),0)</f>
        <v>0</v>
      </c>
      <c r="AP81" s="783">
        <f>IF('Incremental Repayments'!$R$22="Debt",IF(AND(AP$4&gt;=$D81,AP$4&lt;$D81+'Incremental Repayments'!$I$31),-PMT('Interest Rate'!$J$16,'Incremental Repayments'!$I$31,(HLOOKUP($D81,$E$4:$CZ$32,28,FALSE)*'Incremental Repayments'!$I$22)),0),0)</f>
        <v>0</v>
      </c>
      <c r="AQ81" s="783">
        <f>IF('Incremental Repayments'!$R$22="Debt",IF(AND(AQ$4&gt;=$D81,AQ$4&lt;$D81+'Incremental Repayments'!$I$31),-PMT('Interest Rate'!$J$16,'Incremental Repayments'!$I$31,(HLOOKUP($D81,$E$4:$CZ$32,28,FALSE)*'Incremental Repayments'!$I$22)),0),0)</f>
        <v>0</v>
      </c>
      <c r="AR81" s="783">
        <f>IF('Incremental Repayments'!$R$22="Debt",IF(AND(AR$4&gt;=$D81,AR$4&lt;$D81+'Incremental Repayments'!$I$31),-PMT('Interest Rate'!$J$16,'Incremental Repayments'!$I$31,(HLOOKUP($D81,$E$4:$CZ$32,28,FALSE)*'Incremental Repayments'!$I$22)),0),0)</f>
        <v>0</v>
      </c>
      <c r="AS81" s="783">
        <f>IF('Incremental Repayments'!$R$22="Debt",IF(AND(AS$4&gt;=$D81,AS$4&lt;$D81+'Incremental Repayments'!$I$31),-PMT('Interest Rate'!$J$16,'Incremental Repayments'!$I$31,(HLOOKUP($D81,$E$4:$CZ$32,28,FALSE)*'Incremental Repayments'!$I$22)),0),0)</f>
        <v>0</v>
      </c>
      <c r="AT81" s="783">
        <f>IF('Incremental Repayments'!$R$22="Debt",IF(AND(AT$4&gt;=$D81,AT$4&lt;$D81+'Incremental Repayments'!$I$31),-PMT('Interest Rate'!$J$16,'Incremental Repayments'!$I$31,(HLOOKUP($D81,$E$4:$CZ$32,28,FALSE)*'Incremental Repayments'!$I$22)),0),0)</f>
        <v>0</v>
      </c>
      <c r="AU81" s="783">
        <f>IF('Incremental Repayments'!$R$22="Debt",IF(AND(AU$4&gt;=$D81,AU$4&lt;$D81+'Incremental Repayments'!$I$31),-PMT('Interest Rate'!$J$16,'Incremental Repayments'!$I$31,(HLOOKUP($D81,$E$4:$CZ$32,28,FALSE)*'Incremental Repayments'!$I$22)),0),0)</f>
        <v>0</v>
      </c>
      <c r="AV81" s="783">
        <f>IF('Incremental Repayments'!$R$22="Debt",IF(AND(AV$4&gt;=$D81,AV$4&lt;$D81+'Incremental Repayments'!$I$31),-PMT('Interest Rate'!$J$16,'Incremental Repayments'!$I$31,(HLOOKUP($D81,$E$4:$CZ$32,28,FALSE)*'Incremental Repayments'!$I$22)),0),0)</f>
        <v>0</v>
      </c>
      <c r="AW81" s="783">
        <f>IF('Incremental Repayments'!$R$22="Debt",IF(AND(AW$4&gt;=$D81,AW$4&lt;$D81+'Incremental Repayments'!$I$31),-PMT('Interest Rate'!$J$16,'Incremental Repayments'!$I$31,(HLOOKUP($D81,$E$4:$CZ$32,28,FALSE)*'Incremental Repayments'!$I$22)),0),0)</f>
        <v>0</v>
      </c>
      <c r="AX81" s="783">
        <f>IF('Incremental Repayments'!$R$22="Debt",IF(AND(AX$4&gt;=$D81,AX$4&lt;$D81+'Incremental Repayments'!$I$31),-PMT('Interest Rate'!$J$16,'Incremental Repayments'!$I$31,(HLOOKUP($D81,$E$4:$CZ$32,28,FALSE)*'Incremental Repayments'!$I$22)),0),0)</f>
        <v>12.322183825082384</v>
      </c>
      <c r="AY81" s="783">
        <f>IF('Incremental Repayments'!$R$22="Debt",IF(AND(AY$4&gt;=$D81,AY$4&lt;$D81+'Incremental Repayments'!$I$31),-PMT('Interest Rate'!$J$16,'Incremental Repayments'!$I$31,(HLOOKUP($D81,$E$4:$CZ$32,28,FALSE)*'Incremental Repayments'!$I$22)),0),0)</f>
        <v>12.322183825082384</v>
      </c>
      <c r="AZ81" s="783">
        <f>IF('Incremental Repayments'!$R$22="Debt",IF(AND(AZ$4&gt;=$D81,AZ$4&lt;$D81+'Incremental Repayments'!$I$31),-PMT('Interest Rate'!$J$16,'Incremental Repayments'!$I$31,(HLOOKUP($D81,$E$4:$CZ$32,28,FALSE)*'Incremental Repayments'!$I$22)),0),0)</f>
        <v>12.322183825082384</v>
      </c>
      <c r="BA81" s="783">
        <f>IF('Incremental Repayments'!$R$22="Debt",IF(AND(BA$4&gt;=$D81,BA$4&lt;$D81+'Incremental Repayments'!$I$31),-PMT('Interest Rate'!$J$16,'Incremental Repayments'!$I$31,(HLOOKUP($D81,$E$4:$CZ$32,28,FALSE)*'Incremental Repayments'!$I$22)),0),0)</f>
        <v>12.322183825082384</v>
      </c>
      <c r="BB81" s="783">
        <f>IF('Incremental Repayments'!$R$22="Debt",IF(AND(BB$4&gt;=$D81,BB$4&lt;$D81+'Incremental Repayments'!$I$31),-PMT('Interest Rate'!$J$16,'Incremental Repayments'!$I$31,(HLOOKUP($D81,$E$4:$CZ$32,28,FALSE)*'Incremental Repayments'!$I$22)),0),0)</f>
        <v>12.322183825082384</v>
      </c>
      <c r="BC81" s="783">
        <f>IF('Incremental Repayments'!$R$22="Debt",IF(AND(BC$4&gt;=$D81,BC$4&lt;$D81+'Incremental Repayments'!$I$31),-PMT('Interest Rate'!$J$16,'Incremental Repayments'!$I$31,(HLOOKUP($D81,$E$4:$CZ$32,28,FALSE)*'Incremental Repayments'!$I$22)),0),0)</f>
        <v>12.322183825082384</v>
      </c>
      <c r="BD81" s="783">
        <f>IF('Incremental Repayments'!$R$22="Debt",IF(AND(BD$4&gt;=$D81,BD$4&lt;$D81+'Incremental Repayments'!$I$31),-PMT('Interest Rate'!$J$16,'Incremental Repayments'!$I$31,(HLOOKUP($D81,$E$4:$CZ$32,28,FALSE)*'Incremental Repayments'!$I$22)),0),0)</f>
        <v>12.322183825082384</v>
      </c>
      <c r="BE81" s="783">
        <f>IF('Incremental Repayments'!$R$22="Debt",IF(AND(BE$4&gt;=$D81,BE$4&lt;$D81+'Incremental Repayments'!$I$31),-PMT('Interest Rate'!$J$16,'Incremental Repayments'!$I$31,(HLOOKUP($D81,$E$4:$CZ$32,28,FALSE)*'Incremental Repayments'!$I$22)),0),0)</f>
        <v>12.322183825082384</v>
      </c>
      <c r="BF81" s="783">
        <f>IF('Incremental Repayments'!$R$22="Debt",IF(AND(BF$4&gt;=$D81,BF$4&lt;$D81+'Incremental Repayments'!$I$31),-PMT('Interest Rate'!$J$16,'Incremental Repayments'!$I$31,(HLOOKUP($D81,$E$4:$CZ$32,28,FALSE)*'Incremental Repayments'!$I$22)),0),0)</f>
        <v>12.322183825082384</v>
      </c>
      <c r="BG81" s="783">
        <f>IF('Incremental Repayments'!$R$22="Debt",IF(AND(BG$4&gt;=$D81,BG$4&lt;$D81+'Incremental Repayments'!$I$31),-PMT('Interest Rate'!$J$16,'Incremental Repayments'!$I$31,(HLOOKUP($D81,$E$4:$CZ$32,28,FALSE)*'Incremental Repayments'!$I$22)),0),0)</f>
        <v>12.322183825082384</v>
      </c>
      <c r="BH81" s="783">
        <f>IF('Incremental Repayments'!$R$22="Debt",IF(AND(BH$4&gt;=$D81,BH$4&lt;$D81+'Incremental Repayments'!$I$31),-PMT('Interest Rate'!$J$16,'Incremental Repayments'!$I$31,(HLOOKUP($D81,$E$4:$CZ$32,28,FALSE)*'Incremental Repayments'!$I$22)),0),0)</f>
        <v>12.322183825082384</v>
      </c>
      <c r="BI81" s="783">
        <f>IF('Incremental Repayments'!$R$22="Debt",IF(AND(BI$4&gt;=$D81,BI$4&lt;$D81+'Incremental Repayments'!$I$31),-PMT('Interest Rate'!$J$16,'Incremental Repayments'!$I$31,(HLOOKUP($D81,$E$4:$CZ$32,28,FALSE)*'Incremental Repayments'!$I$22)),0),0)</f>
        <v>12.322183825082384</v>
      </c>
      <c r="BJ81" s="783">
        <f>IF('Incremental Repayments'!$R$22="Debt",IF(AND(BJ$4&gt;=$D81,BJ$4&lt;$D81+'Incremental Repayments'!$I$31),-PMT('Interest Rate'!$J$16,'Incremental Repayments'!$I$31,(HLOOKUP($D81,$E$4:$CZ$32,28,FALSE)*'Incremental Repayments'!$I$22)),0),0)</f>
        <v>12.322183825082384</v>
      </c>
      <c r="BK81" s="783">
        <f>IF('Incremental Repayments'!$R$22="Debt",IF(AND(BK$4&gt;=$D81,BK$4&lt;$D81+'Incremental Repayments'!$I$31),-PMT('Interest Rate'!$J$16,'Incremental Repayments'!$I$31,(HLOOKUP($D81,$E$4:$CZ$32,28,FALSE)*'Incremental Repayments'!$I$22)),0),0)</f>
        <v>12.322183825082384</v>
      </c>
      <c r="BL81" s="783">
        <f>IF('Incremental Repayments'!$R$22="Debt",IF(AND(BL$4&gt;=$D81,BL$4&lt;$D81+'Incremental Repayments'!$I$31),-PMT('Interest Rate'!$J$16,'Incremental Repayments'!$I$31,(HLOOKUP($D81,$E$4:$CZ$32,28,FALSE)*'Incremental Repayments'!$I$22)),0),0)</f>
        <v>12.322183825082384</v>
      </c>
      <c r="BM81" s="783">
        <f>IF('Incremental Repayments'!$R$22="Debt",IF(AND(BM$4&gt;=$D81,BM$4&lt;$D81+'Incremental Repayments'!$I$31),-PMT('Interest Rate'!$J$16,'Incremental Repayments'!$I$31,(HLOOKUP($D81,$E$4:$CZ$32,28,FALSE)*'Incremental Repayments'!$I$22)),0),0)</f>
        <v>12.322183825082384</v>
      </c>
      <c r="BN81" s="783">
        <f>IF('Incremental Repayments'!$R$22="Debt",IF(AND(BN$4&gt;=$D81,BN$4&lt;$D81+'Incremental Repayments'!$I$31),-PMT('Interest Rate'!$J$16,'Incremental Repayments'!$I$31,(HLOOKUP($D81,$E$4:$CZ$32,28,FALSE)*'Incremental Repayments'!$I$22)),0),0)</f>
        <v>12.322183825082384</v>
      </c>
      <c r="BO81" s="783">
        <f>IF('Incremental Repayments'!$R$22="Debt",IF(AND(BO$4&gt;=$D81,BO$4&lt;$D81+'Incremental Repayments'!$I$31),-PMT('Interest Rate'!$J$16,'Incremental Repayments'!$I$31,(HLOOKUP($D81,$E$4:$CZ$32,28,FALSE)*'Incremental Repayments'!$I$22)),0),0)</f>
        <v>12.322183825082384</v>
      </c>
      <c r="BP81" s="783">
        <f>IF('Incremental Repayments'!$R$22="Debt",IF(AND(BP$4&gt;=$D81,BP$4&lt;$D81+'Incremental Repayments'!$I$31),-PMT('Interest Rate'!$J$16,'Incremental Repayments'!$I$31,(HLOOKUP($D81,$E$4:$CZ$32,28,FALSE)*'Incremental Repayments'!$I$22)),0),0)</f>
        <v>12.322183825082384</v>
      </c>
      <c r="BQ81" s="783">
        <f>IF('Incremental Repayments'!$R$22="Debt",IF(AND(BQ$4&gt;=$D81,BQ$4&lt;$D81+'Incremental Repayments'!$I$31),-PMT('Interest Rate'!$J$16,'Incremental Repayments'!$I$31,(HLOOKUP($D81,$E$4:$CZ$32,28,FALSE)*'Incremental Repayments'!$I$22)),0),0)</f>
        <v>12.322183825082384</v>
      </c>
      <c r="BR81" s="783">
        <f>IF('Incremental Repayments'!$R$22="Debt",IF(AND(BR$4&gt;=$D81,BR$4&lt;$D81+'Incremental Repayments'!$I$31),-PMT('Interest Rate'!$J$16,'Incremental Repayments'!$I$31,(HLOOKUP($D81,$E$4:$CZ$32,28,FALSE)*'Incremental Repayments'!$I$22)),0),0)</f>
        <v>12.322183825082384</v>
      </c>
      <c r="BS81" s="783">
        <f>IF('Incremental Repayments'!$R$22="Debt",IF(AND(BS$4&gt;=$D81,BS$4&lt;$D81+'Incremental Repayments'!$I$31),-PMT('Interest Rate'!$J$16,'Incremental Repayments'!$I$31,(HLOOKUP($D81,$E$4:$CZ$32,28,FALSE)*'Incremental Repayments'!$I$22)),0),0)</f>
        <v>12.322183825082384</v>
      </c>
      <c r="BT81" s="783">
        <f>IF('Incremental Repayments'!$R$22="Debt",IF(AND(BT$4&gt;=$D81,BT$4&lt;$D81+'Incremental Repayments'!$I$31),-PMT('Interest Rate'!$J$16,'Incremental Repayments'!$I$31,(HLOOKUP($D81,$E$4:$CZ$32,28,FALSE)*'Incremental Repayments'!$I$22)),0),0)</f>
        <v>12.322183825082384</v>
      </c>
      <c r="BU81" s="783">
        <f>IF('Incremental Repayments'!$R$22="Debt",IF(AND(BU$4&gt;=$D81,BU$4&lt;$D81+'Incremental Repayments'!$I$31),-PMT('Interest Rate'!$J$16,'Incremental Repayments'!$I$31,(HLOOKUP($D81,$E$4:$CZ$32,28,FALSE)*'Incremental Repayments'!$I$22)),0),0)</f>
        <v>12.322183825082384</v>
      </c>
      <c r="BV81" s="783">
        <f>IF('Incremental Repayments'!$R$22="Debt",IF(AND(BV$4&gt;=$D81,BV$4&lt;$D81+'Incremental Repayments'!$I$31),-PMT('Interest Rate'!$J$16,'Incremental Repayments'!$I$31,(HLOOKUP($D81,$E$4:$CZ$32,28,FALSE)*'Incremental Repayments'!$I$22)),0),0)</f>
        <v>12.322183825082384</v>
      </c>
      <c r="BW81" s="783">
        <f>IF('Incremental Repayments'!$R$22="Debt",IF(AND(BW$4&gt;=$D81,BW$4&lt;$D81+'Incremental Repayments'!$I$31),-PMT('Interest Rate'!$J$16,'Incremental Repayments'!$I$31,(HLOOKUP($D81,$E$4:$CZ$32,28,FALSE)*'Incremental Repayments'!$I$22)),0),0)</f>
        <v>12.322183825082384</v>
      </c>
      <c r="BX81" s="783">
        <f>IF('Incremental Repayments'!$R$22="Debt",IF(AND(BX$4&gt;=$D81,BX$4&lt;$D81+'Incremental Repayments'!$I$31),-PMT('Interest Rate'!$J$16,'Incremental Repayments'!$I$31,(HLOOKUP($D81,$E$4:$CZ$32,28,FALSE)*'Incremental Repayments'!$I$22)),0),0)</f>
        <v>12.322183825082384</v>
      </c>
      <c r="BY81" s="783">
        <f>IF('Incremental Repayments'!$R$22="Debt",IF(AND(BY$4&gt;=$D81,BY$4&lt;$D81+'Incremental Repayments'!$I$31),-PMT('Interest Rate'!$J$16,'Incremental Repayments'!$I$31,(HLOOKUP($D81,$E$4:$CZ$32,28,FALSE)*'Incremental Repayments'!$I$22)),0),0)</f>
        <v>12.322183825082384</v>
      </c>
      <c r="BZ81" s="783">
        <f>IF('Incremental Repayments'!$R$22="Debt",IF(AND(BZ$4&gt;=$D81,BZ$4&lt;$D81+'Incremental Repayments'!$I$31),-PMT('Interest Rate'!$J$16,'Incremental Repayments'!$I$31,(HLOOKUP($D81,$E$4:$CZ$32,28,FALSE)*'Incremental Repayments'!$I$22)),0),0)</f>
        <v>12.322183825082384</v>
      </c>
      <c r="CA81" s="783">
        <f>IF('Incremental Repayments'!$R$22="Debt",IF(AND(CA$4&gt;=$D81,CA$4&lt;$D81+'Incremental Repayments'!$I$31),-PMT('Interest Rate'!$J$16,'Incremental Repayments'!$I$31,(HLOOKUP($D81,$E$4:$CZ$32,28,FALSE)*'Incremental Repayments'!$I$22)),0),0)</f>
        <v>12.322183825082384</v>
      </c>
      <c r="CB81" s="783">
        <f>IF('Incremental Repayments'!$R$22="Debt",IF(AND(CB$4&gt;=$D81,CB$4&lt;$D81+'Incremental Repayments'!$I$31),-PMT('Interest Rate'!$J$16,'Incremental Repayments'!$I$31,(HLOOKUP($D81,$E$4:$CZ$32,28,FALSE)*'Incremental Repayments'!$I$22)),0),0)</f>
        <v>0</v>
      </c>
      <c r="CC81" s="783">
        <f>IF('Incremental Repayments'!$R$22="Debt",IF(AND(CC$4&gt;=$D81,CC$4&lt;$D81+'Incremental Repayments'!$I$31),-PMT('Interest Rate'!$J$16,'Incremental Repayments'!$I$31,(HLOOKUP($D81,$E$4:$CZ$32,28,FALSE)*'Incremental Repayments'!$I$22)),0),0)</f>
        <v>0</v>
      </c>
      <c r="CD81" s="783">
        <f>IF('Incremental Repayments'!$R$22="Debt",IF(AND(CD$4&gt;=$D81,CD$4&lt;$D81+'Incremental Repayments'!$I$31),-PMT('Interest Rate'!$J$16,'Incremental Repayments'!$I$31,(HLOOKUP($D81,$E$4:$CZ$32,28,FALSE)*'Incremental Repayments'!$I$22)),0),0)</f>
        <v>0</v>
      </c>
      <c r="CE81" s="783">
        <f>IF('Incremental Repayments'!$R$22="Debt",IF(AND(CE$4&gt;=$D81,CE$4&lt;$D81+'Incremental Repayments'!$I$31),-PMT('Interest Rate'!$J$16,'Incremental Repayments'!$I$31,(HLOOKUP($D81,$E$4:$CZ$32,28,FALSE)*'Incremental Repayments'!$I$22)),0),0)</f>
        <v>0</v>
      </c>
      <c r="CF81" s="783">
        <f>IF('Incremental Repayments'!$R$22="Debt",IF(AND(CF$4&gt;=$D81,CF$4&lt;$D81+'Incremental Repayments'!$I$31),-PMT('Interest Rate'!$J$16,'Incremental Repayments'!$I$31,(HLOOKUP($D81,$E$4:$CZ$32,28,FALSE)*'Incremental Repayments'!$I$22)),0),0)</f>
        <v>0</v>
      </c>
      <c r="CG81" s="783">
        <f>IF('Incremental Repayments'!$R$22="Debt",IF(AND(CG$4&gt;=$D81,CG$4&lt;$D81+'Incremental Repayments'!$I$31),-PMT('Interest Rate'!$J$16,'Incremental Repayments'!$I$31,(HLOOKUP($D81,$E$4:$CZ$32,28,FALSE)*'Incremental Repayments'!$I$22)),0),0)</f>
        <v>0</v>
      </c>
      <c r="CH81" s="783">
        <f>IF('Incremental Repayments'!$R$22="Debt",IF(AND(CH$4&gt;=$D81,CH$4&lt;$D81+'Incremental Repayments'!$I$31),-PMT('Interest Rate'!$J$16,'Incremental Repayments'!$I$31,(HLOOKUP($D81,$E$4:$CZ$32,28,FALSE)*'Incremental Repayments'!$I$22)),0),0)</f>
        <v>0</v>
      </c>
      <c r="CI81" s="783">
        <f>IF('Incremental Repayments'!$R$22="Debt",IF(AND(CI$4&gt;=$D81,CI$4&lt;$D81+'Incremental Repayments'!$I$31),-PMT('Interest Rate'!$J$16,'Incremental Repayments'!$I$31,(HLOOKUP($D81,$E$4:$CZ$32,28,FALSE)*'Incremental Repayments'!$I$22)),0),0)</f>
        <v>0</v>
      </c>
      <c r="CJ81" s="783">
        <f>IF('Incremental Repayments'!$R$22="Debt",IF(AND(CJ$4&gt;=$D81,CJ$4&lt;$D81+'Incremental Repayments'!$I$31),-PMT('Interest Rate'!$J$16,'Incremental Repayments'!$I$31,(HLOOKUP($D81,$E$4:$CZ$32,28,FALSE)*'Incremental Repayments'!$I$22)),0),0)</f>
        <v>0</v>
      </c>
      <c r="CK81" s="783">
        <f>IF('Incremental Repayments'!$R$22="Debt",IF(AND(CK$4&gt;=$D81,CK$4&lt;$D81+'Incremental Repayments'!$I$31),-PMT('Interest Rate'!$J$16,'Incremental Repayments'!$I$31,(HLOOKUP($D81,$E$4:$CZ$32,28,FALSE)*'Incremental Repayments'!$I$22)),0),0)</f>
        <v>0</v>
      </c>
      <c r="CL81" s="783">
        <f>IF('Incremental Repayments'!$R$22="Debt",IF(AND(CL$4&gt;=$D81,CL$4&lt;$D81+'Incremental Repayments'!$I$31),-PMT('Interest Rate'!$J$16,'Incremental Repayments'!$I$31,(HLOOKUP($D81,$E$4:$CZ$32,28,FALSE)*'Incremental Repayments'!$I$22)),0),0)</f>
        <v>0</v>
      </c>
      <c r="CM81" s="783">
        <f>IF('Incremental Repayments'!$R$22="Debt",IF(AND(CM$4&gt;=$D81,CM$4&lt;$D81+'Incremental Repayments'!$I$31),-PMT('Interest Rate'!$J$16,'Incremental Repayments'!$I$31,(HLOOKUP($D81,$E$4:$CZ$32,28,FALSE)*'Incremental Repayments'!$I$22)),0),0)</f>
        <v>0</v>
      </c>
      <c r="CN81" s="783">
        <f>IF('Incremental Repayments'!$R$22="Debt",IF(AND(CN$4&gt;=$D81,CN$4&lt;$D81+'Incremental Repayments'!$I$31),-PMT('Interest Rate'!$J$16,'Incremental Repayments'!$I$31,(HLOOKUP($D81,$E$4:$CZ$32,28,FALSE)*'Incremental Repayments'!$I$22)),0),0)</f>
        <v>0</v>
      </c>
      <c r="CO81" s="783">
        <f>IF('Incremental Repayments'!$R$22="Debt",IF(AND(CO$4&gt;=$D81,CO$4&lt;$D81+'Incremental Repayments'!$I$31),-PMT('Interest Rate'!$J$16,'Incremental Repayments'!$I$31,(HLOOKUP($D81,$E$4:$CZ$32,28,FALSE)*'Incremental Repayments'!$I$22)),0),0)</f>
        <v>0</v>
      </c>
      <c r="CP81" s="783">
        <f>IF('Incremental Repayments'!$R$22="Debt",IF(AND(CP$4&gt;=$D81,CP$4&lt;$D81+'Incremental Repayments'!$I$31),-PMT('Interest Rate'!$J$16,'Incremental Repayments'!$I$31,(HLOOKUP($D81,$E$4:$CZ$32,28,FALSE)*'Incremental Repayments'!$I$22)),0),0)</f>
        <v>0</v>
      </c>
      <c r="CQ81" s="783">
        <f>IF('Incremental Repayments'!$R$22="Debt",IF(AND(CQ$4&gt;=$D81,CQ$4&lt;$D81+'Incremental Repayments'!$I$31),-PMT('Interest Rate'!$J$16,'Incremental Repayments'!$I$31,(HLOOKUP($D81,$E$4:$CZ$32,28,FALSE)*'Incremental Repayments'!$I$22)),0),0)</f>
        <v>0</v>
      </c>
      <c r="CR81" s="783">
        <f>IF('Incremental Repayments'!$R$22="Debt",IF(AND(CR$4&gt;=$D81,CR$4&lt;$D81+'Incremental Repayments'!$I$31),-PMT('Interest Rate'!$J$16,'Incremental Repayments'!$I$31,(HLOOKUP($D81,$E$4:$CZ$32,28,FALSE)*'Incremental Repayments'!$I$22)),0),0)</f>
        <v>0</v>
      </c>
      <c r="CS81" s="783">
        <f>IF('Incremental Repayments'!$R$22="Debt",IF(AND(CS$4&gt;=$D81,CS$4&lt;$D81+'Incremental Repayments'!$I$31),-PMT('Interest Rate'!$J$16,'Incremental Repayments'!$I$31,(HLOOKUP($D81,$E$4:$CZ$32,28,FALSE)*'Incremental Repayments'!$I$22)),0),0)</f>
        <v>0</v>
      </c>
      <c r="CT81" s="783">
        <f>IF('Incremental Repayments'!$R$22="Debt",IF(AND(CT$4&gt;=$D81,CT$4&lt;$D81+'Incremental Repayments'!$I$31),-PMT('Interest Rate'!$J$16,'Incremental Repayments'!$I$31,(HLOOKUP($D81,$E$4:$CZ$32,28,FALSE)*'Incremental Repayments'!$I$22)),0),0)</f>
        <v>0</v>
      </c>
      <c r="CU81" s="783">
        <f>IF('Incremental Repayments'!$R$22="Debt",IF(AND(CU$4&gt;=$D81,CU$4&lt;$D81+'Incremental Repayments'!$I$31),-PMT('Interest Rate'!$J$16,'Incremental Repayments'!$I$31,(HLOOKUP($D81,$E$4:$CZ$32,28,FALSE)*'Incremental Repayments'!$I$22)),0),0)</f>
        <v>0</v>
      </c>
      <c r="CV81" s="783">
        <f>IF('Incremental Repayments'!$R$22="Debt",IF(AND(CV$4&gt;=$D81,CV$4&lt;$D81+'Incremental Repayments'!$I$31),-PMT('Interest Rate'!$J$16,'Incremental Repayments'!$I$31,(HLOOKUP($D81,$E$4:$CZ$32,28,FALSE)*'Incremental Repayments'!$I$22)),0),0)</f>
        <v>0</v>
      </c>
      <c r="CW81" s="783">
        <f>IF('Incremental Repayments'!$R$22="Debt",IF(AND(CW$4&gt;=$D81,CW$4&lt;$D81+'Incremental Repayments'!$I$31),-PMT('Interest Rate'!$J$16,'Incremental Repayments'!$I$31,(HLOOKUP($D81,$E$4:$CZ$32,28,FALSE)*'Incremental Repayments'!$I$22)),0),0)</f>
        <v>0</v>
      </c>
      <c r="CX81" s="783">
        <f>IF('Incremental Repayments'!$R$22="Debt",IF(AND(CX$4&gt;=$D81,CX$4&lt;$D81+'Incremental Repayments'!$I$31),-PMT('Interest Rate'!$J$16,'Incremental Repayments'!$I$31,(HLOOKUP($D81,$E$4:$CZ$32,28,FALSE)*'Incremental Repayments'!$I$22)),0),0)</f>
        <v>0</v>
      </c>
      <c r="CY81" s="783">
        <f>IF('Incremental Repayments'!$R$22="Debt",IF(AND(CY$4&gt;=$D81,CY$4&lt;$D81+'Incremental Repayments'!$I$31),-PMT('Interest Rate'!$J$16,'Incremental Repayments'!$I$31,(HLOOKUP($D81,$E$4:$CZ$32,28,FALSE)*'Incremental Repayments'!$I$22)),0),0)</f>
        <v>0</v>
      </c>
      <c r="CZ81" s="783">
        <f>IF('Incremental Repayments'!$R$22="Debt",IF(AND(CZ$4&gt;=$D81,CZ$4&lt;$D81+'Incremental Repayments'!$I$31),-PMT('Interest Rate'!$J$16,'Incremental Repayments'!$I$31,(HLOOKUP($D81,$E$4:$CZ$32,28,FALSE)*'Incremental Repayments'!$I$22)),0),0)</f>
        <v>0</v>
      </c>
    </row>
    <row r="82" spans="2:104" x14ac:dyDescent="0.25">
      <c r="B82" s="480" t="str">
        <f>CONCATENATE("Series ",D82,"A Bonds (at ",'Interest Rate'!$J$16*100,"% Interest)")</f>
        <v>Series 2060A Bonds (at 4.5% Interest)</v>
      </c>
      <c r="C82" s="480"/>
      <c r="D82" s="492">
        <f t="shared" si="47"/>
        <v>2060</v>
      </c>
      <c r="E82" s="783">
        <f>IF('Incremental Repayments'!$R$22="Debt",IF(AND(E$4&gt;=$D82,E$4&lt;$D82+'Incremental Repayments'!$I$31),-PMT('Interest Rate'!$J$16,'Incremental Repayments'!$I$31,(HLOOKUP($D82,$E$4:$CZ$32,28,FALSE)*'Incremental Repayments'!$I$22)),0),0)</f>
        <v>0</v>
      </c>
      <c r="F82" s="783">
        <f>IF('Incremental Repayments'!$R$22="Debt",IF(AND(F$4&gt;=$D82,F$4&lt;$D82+'Incremental Repayments'!$I$31),-PMT('Interest Rate'!$J$16,'Incremental Repayments'!$I$31,(HLOOKUP($D82,$E$4:$CZ$32,28,FALSE)*'Incremental Repayments'!$I$22)),0),0)</f>
        <v>0</v>
      </c>
      <c r="G82" s="783">
        <f>IF('Incremental Repayments'!$R$22="Debt",IF(AND(G$4&gt;=$D82,G$4&lt;$D82+'Incremental Repayments'!$I$31),-PMT('Interest Rate'!$J$16,'Incremental Repayments'!$I$31,(HLOOKUP($D82,$E$4:$CZ$32,28,FALSE)*'Incremental Repayments'!$I$22)),0),0)</f>
        <v>0</v>
      </c>
      <c r="H82" s="783">
        <f>IF('Incremental Repayments'!$R$22="Debt",IF(AND(H$4&gt;=$D82,H$4&lt;$D82+'Incremental Repayments'!$I$31),-PMT('Interest Rate'!$J$16,'Incremental Repayments'!$I$31,(HLOOKUP($D82,$E$4:$CZ$32,28,FALSE)*'Incremental Repayments'!$I$22)),0),0)</f>
        <v>0</v>
      </c>
      <c r="I82" s="783">
        <f>IF('Incremental Repayments'!$R$22="Debt",IF(AND(I$4&gt;=$D82,I$4&lt;$D82+'Incremental Repayments'!$I$31),-PMT('Interest Rate'!$J$16,'Incremental Repayments'!$I$31,(HLOOKUP($D82,$E$4:$CZ$32,28,FALSE)*'Incremental Repayments'!$I$22)),0),0)</f>
        <v>0</v>
      </c>
      <c r="J82" s="783">
        <f>IF('Incremental Repayments'!$R$22="Debt",IF(AND(J$4&gt;=$D82,J$4&lt;$D82+'Incremental Repayments'!$I$31),-PMT('Interest Rate'!$J$16,'Incremental Repayments'!$I$31,(HLOOKUP($D82,$E$4:$CZ$32,28,FALSE)*'Incremental Repayments'!$I$22)),0),0)</f>
        <v>0</v>
      </c>
      <c r="K82" s="783">
        <f>IF('Incremental Repayments'!$R$22="Debt",IF(AND(K$4&gt;=$D82,K$4&lt;$D82+'Incremental Repayments'!$I$31),-PMT('Interest Rate'!$J$16,'Incremental Repayments'!$I$31,(HLOOKUP($D82,$E$4:$CZ$32,28,FALSE)*'Incremental Repayments'!$I$22)),0),0)</f>
        <v>0</v>
      </c>
      <c r="L82" s="783">
        <f>IF('Incremental Repayments'!$R$22="Debt",IF(AND(L$4&gt;=$D82,L$4&lt;$D82+'Incremental Repayments'!$I$31),-PMT('Interest Rate'!$J$16,'Incremental Repayments'!$I$31,(HLOOKUP($D82,$E$4:$CZ$32,28,FALSE)*'Incremental Repayments'!$I$22)),0),0)</f>
        <v>0</v>
      </c>
      <c r="M82" s="783">
        <f>IF('Incremental Repayments'!$R$22="Debt",IF(AND(M$4&gt;=$D82,M$4&lt;$D82+'Incremental Repayments'!$I$31),-PMT('Interest Rate'!$J$16,'Incremental Repayments'!$I$31,(HLOOKUP($D82,$E$4:$CZ$32,28,FALSE)*'Incremental Repayments'!$I$22)),0),0)</f>
        <v>0</v>
      </c>
      <c r="N82" s="783">
        <f>IF('Incremental Repayments'!$R$22="Debt",IF(AND(N$4&gt;=$D82,N$4&lt;$D82+'Incremental Repayments'!$I$31),-PMT('Interest Rate'!$J$16,'Incremental Repayments'!$I$31,(HLOOKUP($D82,$E$4:$CZ$32,28,FALSE)*'Incremental Repayments'!$I$22)),0),0)</f>
        <v>0</v>
      </c>
      <c r="O82" s="783">
        <f>IF('Incremental Repayments'!$R$22="Debt",IF(AND(O$4&gt;=$D82,O$4&lt;$D82+'Incremental Repayments'!$I$31),-PMT('Interest Rate'!$J$16,'Incremental Repayments'!$I$31,(HLOOKUP($D82,$E$4:$CZ$32,28,FALSE)*'Incremental Repayments'!$I$22)),0),0)</f>
        <v>0</v>
      </c>
      <c r="P82" s="783">
        <f>IF('Incremental Repayments'!$R$22="Debt",IF(AND(P$4&gt;=$D82,P$4&lt;$D82+'Incremental Repayments'!$I$31),-PMT('Interest Rate'!$J$16,'Incremental Repayments'!$I$31,(HLOOKUP($D82,$E$4:$CZ$32,28,FALSE)*'Incremental Repayments'!$I$22)),0),0)</f>
        <v>0</v>
      </c>
      <c r="Q82" s="783">
        <f>IF('Incremental Repayments'!$R$22="Debt",IF(AND(Q$4&gt;=$D82,Q$4&lt;$D82+'Incremental Repayments'!$I$31),-PMT('Interest Rate'!$J$16,'Incremental Repayments'!$I$31,(HLOOKUP($D82,$E$4:$CZ$32,28,FALSE)*'Incremental Repayments'!$I$22)),0),0)</f>
        <v>0</v>
      </c>
      <c r="R82" s="783">
        <f>IF('Incremental Repayments'!$R$22="Debt",IF(AND(R$4&gt;=$D82,R$4&lt;$D82+'Incremental Repayments'!$I$31),-PMT('Interest Rate'!$J$16,'Incremental Repayments'!$I$31,(HLOOKUP($D82,$E$4:$CZ$32,28,FALSE)*'Incremental Repayments'!$I$22)),0),0)</f>
        <v>0</v>
      </c>
      <c r="S82" s="783">
        <f>IF('Incremental Repayments'!$R$22="Debt",IF(AND(S$4&gt;=$D82,S$4&lt;$D82+'Incremental Repayments'!$I$31),-PMT('Interest Rate'!$J$16,'Incremental Repayments'!$I$31,(HLOOKUP($D82,$E$4:$CZ$32,28,FALSE)*'Incremental Repayments'!$I$22)),0),0)</f>
        <v>0</v>
      </c>
      <c r="T82" s="783">
        <f>IF('Incremental Repayments'!$R$22="Debt",IF(AND(T$4&gt;=$D82,T$4&lt;$D82+'Incremental Repayments'!$I$31),-PMT('Interest Rate'!$J$16,'Incremental Repayments'!$I$31,(HLOOKUP($D82,$E$4:$CZ$32,28,FALSE)*'Incremental Repayments'!$I$22)),0),0)</f>
        <v>0</v>
      </c>
      <c r="U82" s="783">
        <f>IF('Incremental Repayments'!$R$22="Debt",IF(AND(U$4&gt;=$D82,U$4&lt;$D82+'Incremental Repayments'!$I$31),-PMT('Interest Rate'!$J$16,'Incremental Repayments'!$I$31,(HLOOKUP($D82,$E$4:$CZ$32,28,FALSE)*'Incremental Repayments'!$I$22)),0),0)</f>
        <v>0</v>
      </c>
      <c r="V82" s="783">
        <f>IF('Incremental Repayments'!$R$22="Debt",IF(AND(V$4&gt;=$D82,V$4&lt;$D82+'Incremental Repayments'!$I$31),-PMT('Interest Rate'!$J$16,'Incremental Repayments'!$I$31,(HLOOKUP($D82,$E$4:$CZ$32,28,FALSE)*'Incremental Repayments'!$I$22)),0),0)</f>
        <v>0</v>
      </c>
      <c r="W82" s="783">
        <f>IF('Incremental Repayments'!$R$22="Debt",IF(AND(W$4&gt;=$D82,W$4&lt;$D82+'Incremental Repayments'!$I$31),-PMT('Interest Rate'!$J$16,'Incremental Repayments'!$I$31,(HLOOKUP($D82,$E$4:$CZ$32,28,FALSE)*'Incremental Repayments'!$I$22)),0),0)</f>
        <v>0</v>
      </c>
      <c r="X82" s="783">
        <f>IF('Incremental Repayments'!$R$22="Debt",IF(AND(X$4&gt;=$D82,X$4&lt;$D82+'Incremental Repayments'!$I$31),-PMT('Interest Rate'!$J$16,'Incremental Repayments'!$I$31,(HLOOKUP($D82,$E$4:$CZ$32,28,FALSE)*'Incremental Repayments'!$I$22)),0),0)</f>
        <v>0</v>
      </c>
      <c r="Y82" s="783">
        <f>IF('Incremental Repayments'!$R$22="Debt",IF(AND(Y$4&gt;=$D82,Y$4&lt;$D82+'Incremental Repayments'!$I$31),-PMT('Interest Rate'!$J$16,'Incremental Repayments'!$I$31,(HLOOKUP($D82,$E$4:$CZ$32,28,FALSE)*'Incremental Repayments'!$I$22)),0),0)</f>
        <v>0</v>
      </c>
      <c r="Z82" s="783">
        <f>IF('Incremental Repayments'!$R$22="Debt",IF(AND(Z$4&gt;=$D82,Z$4&lt;$D82+'Incremental Repayments'!$I$31),-PMT('Interest Rate'!$J$16,'Incremental Repayments'!$I$31,(HLOOKUP($D82,$E$4:$CZ$32,28,FALSE)*'Incremental Repayments'!$I$22)),0),0)</f>
        <v>0</v>
      </c>
      <c r="AA82" s="783">
        <f>IF('Incremental Repayments'!$R$22="Debt",IF(AND(AA$4&gt;=$D82,AA$4&lt;$D82+'Incremental Repayments'!$I$31),-PMT('Interest Rate'!$J$16,'Incremental Repayments'!$I$31,(HLOOKUP($D82,$E$4:$CZ$32,28,FALSE)*'Incremental Repayments'!$I$22)),0),0)</f>
        <v>0</v>
      </c>
      <c r="AB82" s="783">
        <f>IF('Incremental Repayments'!$R$22="Debt",IF(AND(AB$4&gt;=$D82,AB$4&lt;$D82+'Incremental Repayments'!$I$31),-PMT('Interest Rate'!$J$16,'Incremental Repayments'!$I$31,(HLOOKUP($D82,$E$4:$CZ$32,28,FALSE)*'Incremental Repayments'!$I$22)),0),0)</f>
        <v>0</v>
      </c>
      <c r="AC82" s="783">
        <f>IF('Incremental Repayments'!$R$22="Debt",IF(AND(AC$4&gt;=$D82,AC$4&lt;$D82+'Incremental Repayments'!$I$31),-PMT('Interest Rate'!$J$16,'Incremental Repayments'!$I$31,(HLOOKUP($D82,$E$4:$CZ$32,28,FALSE)*'Incremental Repayments'!$I$22)),0),0)</f>
        <v>0</v>
      </c>
      <c r="AD82" s="783">
        <f>IF('Incremental Repayments'!$R$22="Debt",IF(AND(AD$4&gt;=$D82,AD$4&lt;$D82+'Incremental Repayments'!$I$31),-PMT('Interest Rate'!$J$16,'Incremental Repayments'!$I$31,(HLOOKUP($D82,$E$4:$CZ$32,28,FALSE)*'Incremental Repayments'!$I$22)),0),0)</f>
        <v>0</v>
      </c>
      <c r="AE82" s="783">
        <f>IF('Incremental Repayments'!$R$22="Debt",IF(AND(AE$4&gt;=$D82,AE$4&lt;$D82+'Incremental Repayments'!$I$31),-PMT('Interest Rate'!$J$16,'Incremental Repayments'!$I$31,(HLOOKUP($D82,$E$4:$CZ$32,28,FALSE)*'Incremental Repayments'!$I$22)),0),0)</f>
        <v>0</v>
      </c>
      <c r="AF82" s="783">
        <f>IF('Incremental Repayments'!$R$22="Debt",IF(AND(AF$4&gt;=$D82,AF$4&lt;$D82+'Incremental Repayments'!$I$31),-PMT('Interest Rate'!$J$16,'Incremental Repayments'!$I$31,(HLOOKUP($D82,$E$4:$CZ$32,28,FALSE)*'Incremental Repayments'!$I$22)),0),0)</f>
        <v>0</v>
      </c>
      <c r="AG82" s="783">
        <f>IF('Incremental Repayments'!$R$22="Debt",IF(AND(AG$4&gt;=$D82,AG$4&lt;$D82+'Incremental Repayments'!$I$31),-PMT('Interest Rate'!$J$16,'Incremental Repayments'!$I$31,(HLOOKUP($D82,$E$4:$CZ$32,28,FALSE)*'Incremental Repayments'!$I$22)),0),0)</f>
        <v>0</v>
      </c>
      <c r="AH82" s="783">
        <f>IF('Incremental Repayments'!$R$22="Debt",IF(AND(AH$4&gt;=$D82,AH$4&lt;$D82+'Incremental Repayments'!$I$31),-PMT('Interest Rate'!$J$16,'Incremental Repayments'!$I$31,(HLOOKUP($D82,$E$4:$CZ$32,28,FALSE)*'Incremental Repayments'!$I$22)),0),0)</f>
        <v>0</v>
      </c>
      <c r="AI82" s="783">
        <f>IF('Incremental Repayments'!$R$22="Debt",IF(AND(AI$4&gt;=$D82,AI$4&lt;$D82+'Incremental Repayments'!$I$31),-PMT('Interest Rate'!$J$16,'Incremental Repayments'!$I$31,(HLOOKUP($D82,$E$4:$CZ$32,28,FALSE)*'Incremental Repayments'!$I$22)),0),0)</f>
        <v>0</v>
      </c>
      <c r="AJ82" s="783">
        <f>IF('Incremental Repayments'!$R$22="Debt",IF(AND(AJ$4&gt;=$D82,AJ$4&lt;$D82+'Incremental Repayments'!$I$31),-PMT('Interest Rate'!$J$16,'Incremental Repayments'!$I$31,(HLOOKUP($D82,$E$4:$CZ$32,28,FALSE)*'Incremental Repayments'!$I$22)),0),0)</f>
        <v>0</v>
      </c>
      <c r="AK82" s="783">
        <f>IF('Incremental Repayments'!$R$22="Debt",IF(AND(AK$4&gt;=$D82,AK$4&lt;$D82+'Incremental Repayments'!$I$31),-PMT('Interest Rate'!$J$16,'Incremental Repayments'!$I$31,(HLOOKUP($D82,$E$4:$CZ$32,28,FALSE)*'Incremental Repayments'!$I$22)),0),0)</f>
        <v>0</v>
      </c>
      <c r="AL82" s="783">
        <f>IF('Incremental Repayments'!$R$22="Debt",IF(AND(AL$4&gt;=$D82,AL$4&lt;$D82+'Incremental Repayments'!$I$31),-PMT('Interest Rate'!$J$16,'Incremental Repayments'!$I$31,(HLOOKUP($D82,$E$4:$CZ$32,28,FALSE)*'Incremental Repayments'!$I$22)),0),0)</f>
        <v>0</v>
      </c>
      <c r="AM82" s="783">
        <f>IF('Incremental Repayments'!$R$22="Debt",IF(AND(AM$4&gt;=$D82,AM$4&lt;$D82+'Incremental Repayments'!$I$31),-PMT('Interest Rate'!$J$16,'Incremental Repayments'!$I$31,(HLOOKUP($D82,$E$4:$CZ$32,28,FALSE)*'Incremental Repayments'!$I$22)),0),0)</f>
        <v>0</v>
      </c>
      <c r="AN82" s="783">
        <f>IF('Incremental Repayments'!$R$22="Debt",IF(AND(AN$4&gt;=$D82,AN$4&lt;$D82+'Incremental Repayments'!$I$31),-PMT('Interest Rate'!$J$16,'Incremental Repayments'!$I$31,(HLOOKUP($D82,$E$4:$CZ$32,28,FALSE)*'Incremental Repayments'!$I$22)),0),0)</f>
        <v>0</v>
      </c>
      <c r="AO82" s="783">
        <f>IF('Incremental Repayments'!$R$22="Debt",IF(AND(AO$4&gt;=$D82,AO$4&lt;$D82+'Incremental Repayments'!$I$31),-PMT('Interest Rate'!$J$16,'Incremental Repayments'!$I$31,(HLOOKUP($D82,$E$4:$CZ$32,28,FALSE)*'Incremental Repayments'!$I$22)),0),0)</f>
        <v>0</v>
      </c>
      <c r="AP82" s="783">
        <f>IF('Incremental Repayments'!$R$22="Debt",IF(AND(AP$4&gt;=$D82,AP$4&lt;$D82+'Incremental Repayments'!$I$31),-PMT('Interest Rate'!$J$16,'Incremental Repayments'!$I$31,(HLOOKUP($D82,$E$4:$CZ$32,28,FALSE)*'Incremental Repayments'!$I$22)),0),0)</f>
        <v>0</v>
      </c>
      <c r="AQ82" s="783">
        <f>IF('Incremental Repayments'!$R$22="Debt",IF(AND(AQ$4&gt;=$D82,AQ$4&lt;$D82+'Incremental Repayments'!$I$31),-PMT('Interest Rate'!$J$16,'Incremental Repayments'!$I$31,(HLOOKUP($D82,$E$4:$CZ$32,28,FALSE)*'Incremental Repayments'!$I$22)),0),0)</f>
        <v>0</v>
      </c>
      <c r="AR82" s="783">
        <f>IF('Incremental Repayments'!$R$22="Debt",IF(AND(AR$4&gt;=$D82,AR$4&lt;$D82+'Incremental Repayments'!$I$31),-PMT('Interest Rate'!$J$16,'Incremental Repayments'!$I$31,(HLOOKUP($D82,$E$4:$CZ$32,28,FALSE)*'Incremental Repayments'!$I$22)),0),0)</f>
        <v>0</v>
      </c>
      <c r="AS82" s="783">
        <f>IF('Incremental Repayments'!$R$22="Debt",IF(AND(AS$4&gt;=$D82,AS$4&lt;$D82+'Incremental Repayments'!$I$31),-PMT('Interest Rate'!$J$16,'Incremental Repayments'!$I$31,(HLOOKUP($D82,$E$4:$CZ$32,28,FALSE)*'Incremental Repayments'!$I$22)),0),0)</f>
        <v>0</v>
      </c>
      <c r="AT82" s="783">
        <f>IF('Incremental Repayments'!$R$22="Debt",IF(AND(AT$4&gt;=$D82,AT$4&lt;$D82+'Incremental Repayments'!$I$31),-PMT('Interest Rate'!$J$16,'Incremental Repayments'!$I$31,(HLOOKUP($D82,$E$4:$CZ$32,28,FALSE)*'Incremental Repayments'!$I$22)),0),0)</f>
        <v>0</v>
      </c>
      <c r="AU82" s="783">
        <f>IF('Incremental Repayments'!$R$22="Debt",IF(AND(AU$4&gt;=$D82,AU$4&lt;$D82+'Incremental Repayments'!$I$31),-PMT('Interest Rate'!$J$16,'Incremental Repayments'!$I$31,(HLOOKUP($D82,$E$4:$CZ$32,28,FALSE)*'Incremental Repayments'!$I$22)),0),0)</f>
        <v>0</v>
      </c>
      <c r="AV82" s="783">
        <f>IF('Incremental Repayments'!$R$22="Debt",IF(AND(AV$4&gt;=$D82,AV$4&lt;$D82+'Incremental Repayments'!$I$31),-PMT('Interest Rate'!$J$16,'Incremental Repayments'!$I$31,(HLOOKUP($D82,$E$4:$CZ$32,28,FALSE)*'Incremental Repayments'!$I$22)),0),0)</f>
        <v>0</v>
      </c>
      <c r="AW82" s="783">
        <f>IF('Incremental Repayments'!$R$22="Debt",IF(AND(AW$4&gt;=$D82,AW$4&lt;$D82+'Incremental Repayments'!$I$31),-PMT('Interest Rate'!$J$16,'Incremental Repayments'!$I$31,(HLOOKUP($D82,$E$4:$CZ$32,28,FALSE)*'Incremental Repayments'!$I$22)),0),0)</f>
        <v>0</v>
      </c>
      <c r="AX82" s="783">
        <f>IF('Incremental Repayments'!$R$22="Debt",IF(AND(AX$4&gt;=$D82,AX$4&lt;$D82+'Incremental Repayments'!$I$31),-PMT('Interest Rate'!$J$16,'Incremental Repayments'!$I$31,(HLOOKUP($D82,$E$4:$CZ$32,28,FALSE)*'Incremental Repayments'!$I$22)),0),0)</f>
        <v>0</v>
      </c>
      <c r="AY82" s="783">
        <f>IF('Incremental Repayments'!$R$22="Debt",IF(AND(AY$4&gt;=$D82,AY$4&lt;$D82+'Incremental Repayments'!$I$31),-PMT('Interest Rate'!$J$16,'Incremental Repayments'!$I$31,(HLOOKUP($D82,$E$4:$CZ$32,28,FALSE)*'Incremental Repayments'!$I$22)),0),0)</f>
        <v>1.0063032726442243</v>
      </c>
      <c r="AZ82" s="783">
        <f>IF('Incremental Repayments'!$R$22="Debt",IF(AND(AZ$4&gt;=$D82,AZ$4&lt;$D82+'Incremental Repayments'!$I$31),-PMT('Interest Rate'!$J$16,'Incremental Repayments'!$I$31,(HLOOKUP($D82,$E$4:$CZ$32,28,FALSE)*'Incremental Repayments'!$I$22)),0),0)</f>
        <v>1.0063032726442243</v>
      </c>
      <c r="BA82" s="783">
        <f>IF('Incremental Repayments'!$R$22="Debt",IF(AND(BA$4&gt;=$D82,BA$4&lt;$D82+'Incremental Repayments'!$I$31),-PMT('Interest Rate'!$J$16,'Incremental Repayments'!$I$31,(HLOOKUP($D82,$E$4:$CZ$32,28,FALSE)*'Incremental Repayments'!$I$22)),0),0)</f>
        <v>1.0063032726442243</v>
      </c>
      <c r="BB82" s="783">
        <f>IF('Incremental Repayments'!$R$22="Debt",IF(AND(BB$4&gt;=$D82,BB$4&lt;$D82+'Incremental Repayments'!$I$31),-PMT('Interest Rate'!$J$16,'Incremental Repayments'!$I$31,(HLOOKUP($D82,$E$4:$CZ$32,28,FALSE)*'Incremental Repayments'!$I$22)),0),0)</f>
        <v>1.0063032726442243</v>
      </c>
      <c r="BC82" s="783">
        <f>IF('Incremental Repayments'!$R$22="Debt",IF(AND(BC$4&gt;=$D82,BC$4&lt;$D82+'Incremental Repayments'!$I$31),-PMT('Interest Rate'!$J$16,'Incremental Repayments'!$I$31,(HLOOKUP($D82,$E$4:$CZ$32,28,FALSE)*'Incremental Repayments'!$I$22)),0),0)</f>
        <v>1.0063032726442243</v>
      </c>
      <c r="BD82" s="783">
        <f>IF('Incremental Repayments'!$R$22="Debt",IF(AND(BD$4&gt;=$D82,BD$4&lt;$D82+'Incremental Repayments'!$I$31),-PMT('Interest Rate'!$J$16,'Incremental Repayments'!$I$31,(HLOOKUP($D82,$E$4:$CZ$32,28,FALSE)*'Incremental Repayments'!$I$22)),0),0)</f>
        <v>1.0063032726442243</v>
      </c>
      <c r="BE82" s="783">
        <f>IF('Incremental Repayments'!$R$22="Debt",IF(AND(BE$4&gt;=$D82,BE$4&lt;$D82+'Incremental Repayments'!$I$31),-PMT('Interest Rate'!$J$16,'Incremental Repayments'!$I$31,(HLOOKUP($D82,$E$4:$CZ$32,28,FALSE)*'Incremental Repayments'!$I$22)),0),0)</f>
        <v>1.0063032726442243</v>
      </c>
      <c r="BF82" s="783">
        <f>IF('Incremental Repayments'!$R$22="Debt",IF(AND(BF$4&gt;=$D82,BF$4&lt;$D82+'Incremental Repayments'!$I$31),-PMT('Interest Rate'!$J$16,'Incremental Repayments'!$I$31,(HLOOKUP($D82,$E$4:$CZ$32,28,FALSE)*'Incremental Repayments'!$I$22)),0),0)</f>
        <v>1.0063032726442243</v>
      </c>
      <c r="BG82" s="783">
        <f>IF('Incremental Repayments'!$R$22="Debt",IF(AND(BG$4&gt;=$D82,BG$4&lt;$D82+'Incremental Repayments'!$I$31),-PMT('Interest Rate'!$J$16,'Incremental Repayments'!$I$31,(HLOOKUP($D82,$E$4:$CZ$32,28,FALSE)*'Incremental Repayments'!$I$22)),0),0)</f>
        <v>1.0063032726442243</v>
      </c>
      <c r="BH82" s="783">
        <f>IF('Incremental Repayments'!$R$22="Debt",IF(AND(BH$4&gt;=$D82,BH$4&lt;$D82+'Incremental Repayments'!$I$31),-PMT('Interest Rate'!$J$16,'Incremental Repayments'!$I$31,(HLOOKUP($D82,$E$4:$CZ$32,28,FALSE)*'Incremental Repayments'!$I$22)),0),0)</f>
        <v>1.0063032726442243</v>
      </c>
      <c r="BI82" s="783">
        <f>IF('Incremental Repayments'!$R$22="Debt",IF(AND(BI$4&gt;=$D82,BI$4&lt;$D82+'Incremental Repayments'!$I$31),-PMT('Interest Rate'!$J$16,'Incremental Repayments'!$I$31,(HLOOKUP($D82,$E$4:$CZ$32,28,FALSE)*'Incremental Repayments'!$I$22)),0),0)</f>
        <v>1.0063032726442243</v>
      </c>
      <c r="BJ82" s="783">
        <f>IF('Incremental Repayments'!$R$22="Debt",IF(AND(BJ$4&gt;=$D82,BJ$4&lt;$D82+'Incremental Repayments'!$I$31),-PMT('Interest Rate'!$J$16,'Incremental Repayments'!$I$31,(HLOOKUP($D82,$E$4:$CZ$32,28,FALSE)*'Incremental Repayments'!$I$22)),0),0)</f>
        <v>1.0063032726442243</v>
      </c>
      <c r="BK82" s="783">
        <f>IF('Incremental Repayments'!$R$22="Debt",IF(AND(BK$4&gt;=$D82,BK$4&lt;$D82+'Incremental Repayments'!$I$31),-PMT('Interest Rate'!$J$16,'Incremental Repayments'!$I$31,(HLOOKUP($D82,$E$4:$CZ$32,28,FALSE)*'Incremental Repayments'!$I$22)),0),0)</f>
        <v>1.0063032726442243</v>
      </c>
      <c r="BL82" s="783">
        <f>IF('Incremental Repayments'!$R$22="Debt",IF(AND(BL$4&gt;=$D82,BL$4&lt;$D82+'Incremental Repayments'!$I$31),-PMT('Interest Rate'!$J$16,'Incremental Repayments'!$I$31,(HLOOKUP($D82,$E$4:$CZ$32,28,FALSE)*'Incremental Repayments'!$I$22)),0),0)</f>
        <v>1.0063032726442243</v>
      </c>
      <c r="BM82" s="783">
        <f>IF('Incremental Repayments'!$R$22="Debt",IF(AND(BM$4&gt;=$D82,BM$4&lt;$D82+'Incremental Repayments'!$I$31),-PMT('Interest Rate'!$J$16,'Incremental Repayments'!$I$31,(HLOOKUP($D82,$E$4:$CZ$32,28,FALSE)*'Incremental Repayments'!$I$22)),0),0)</f>
        <v>1.0063032726442243</v>
      </c>
      <c r="BN82" s="783">
        <f>IF('Incremental Repayments'!$R$22="Debt",IF(AND(BN$4&gt;=$D82,BN$4&lt;$D82+'Incremental Repayments'!$I$31),-PMT('Interest Rate'!$J$16,'Incremental Repayments'!$I$31,(HLOOKUP($D82,$E$4:$CZ$32,28,FALSE)*'Incremental Repayments'!$I$22)),0),0)</f>
        <v>1.0063032726442243</v>
      </c>
      <c r="BO82" s="783">
        <f>IF('Incremental Repayments'!$R$22="Debt",IF(AND(BO$4&gt;=$D82,BO$4&lt;$D82+'Incremental Repayments'!$I$31),-PMT('Interest Rate'!$J$16,'Incremental Repayments'!$I$31,(HLOOKUP($D82,$E$4:$CZ$32,28,FALSE)*'Incremental Repayments'!$I$22)),0),0)</f>
        <v>1.0063032726442243</v>
      </c>
      <c r="BP82" s="783">
        <f>IF('Incremental Repayments'!$R$22="Debt",IF(AND(BP$4&gt;=$D82,BP$4&lt;$D82+'Incremental Repayments'!$I$31),-PMT('Interest Rate'!$J$16,'Incremental Repayments'!$I$31,(HLOOKUP($D82,$E$4:$CZ$32,28,FALSE)*'Incremental Repayments'!$I$22)),0),0)</f>
        <v>1.0063032726442243</v>
      </c>
      <c r="BQ82" s="783">
        <f>IF('Incremental Repayments'!$R$22="Debt",IF(AND(BQ$4&gt;=$D82,BQ$4&lt;$D82+'Incremental Repayments'!$I$31),-PMT('Interest Rate'!$J$16,'Incremental Repayments'!$I$31,(HLOOKUP($D82,$E$4:$CZ$32,28,FALSE)*'Incremental Repayments'!$I$22)),0),0)</f>
        <v>1.0063032726442243</v>
      </c>
      <c r="BR82" s="783">
        <f>IF('Incremental Repayments'!$R$22="Debt",IF(AND(BR$4&gt;=$D82,BR$4&lt;$D82+'Incremental Repayments'!$I$31),-PMT('Interest Rate'!$J$16,'Incremental Repayments'!$I$31,(HLOOKUP($D82,$E$4:$CZ$32,28,FALSE)*'Incremental Repayments'!$I$22)),0),0)</f>
        <v>1.0063032726442243</v>
      </c>
      <c r="BS82" s="783">
        <f>IF('Incremental Repayments'!$R$22="Debt",IF(AND(BS$4&gt;=$D82,BS$4&lt;$D82+'Incremental Repayments'!$I$31),-PMT('Interest Rate'!$J$16,'Incremental Repayments'!$I$31,(HLOOKUP($D82,$E$4:$CZ$32,28,FALSE)*'Incremental Repayments'!$I$22)),0),0)</f>
        <v>1.0063032726442243</v>
      </c>
      <c r="BT82" s="783">
        <f>IF('Incremental Repayments'!$R$22="Debt",IF(AND(BT$4&gt;=$D82,BT$4&lt;$D82+'Incremental Repayments'!$I$31),-PMT('Interest Rate'!$J$16,'Incremental Repayments'!$I$31,(HLOOKUP($D82,$E$4:$CZ$32,28,FALSE)*'Incremental Repayments'!$I$22)),0),0)</f>
        <v>1.0063032726442243</v>
      </c>
      <c r="BU82" s="783">
        <f>IF('Incremental Repayments'!$R$22="Debt",IF(AND(BU$4&gt;=$D82,BU$4&lt;$D82+'Incremental Repayments'!$I$31),-PMT('Interest Rate'!$J$16,'Incremental Repayments'!$I$31,(HLOOKUP($D82,$E$4:$CZ$32,28,FALSE)*'Incremental Repayments'!$I$22)),0),0)</f>
        <v>1.0063032726442243</v>
      </c>
      <c r="BV82" s="783">
        <f>IF('Incremental Repayments'!$R$22="Debt",IF(AND(BV$4&gt;=$D82,BV$4&lt;$D82+'Incremental Repayments'!$I$31),-PMT('Interest Rate'!$J$16,'Incremental Repayments'!$I$31,(HLOOKUP($D82,$E$4:$CZ$32,28,FALSE)*'Incremental Repayments'!$I$22)),0),0)</f>
        <v>1.0063032726442243</v>
      </c>
      <c r="BW82" s="783">
        <f>IF('Incremental Repayments'!$R$22="Debt",IF(AND(BW$4&gt;=$D82,BW$4&lt;$D82+'Incremental Repayments'!$I$31),-PMT('Interest Rate'!$J$16,'Incremental Repayments'!$I$31,(HLOOKUP($D82,$E$4:$CZ$32,28,FALSE)*'Incremental Repayments'!$I$22)),0),0)</f>
        <v>1.0063032726442243</v>
      </c>
      <c r="BX82" s="783">
        <f>IF('Incremental Repayments'!$R$22="Debt",IF(AND(BX$4&gt;=$D82,BX$4&lt;$D82+'Incremental Repayments'!$I$31),-PMT('Interest Rate'!$J$16,'Incremental Repayments'!$I$31,(HLOOKUP($D82,$E$4:$CZ$32,28,FALSE)*'Incremental Repayments'!$I$22)),0),0)</f>
        <v>1.0063032726442243</v>
      </c>
      <c r="BY82" s="783">
        <f>IF('Incremental Repayments'!$R$22="Debt",IF(AND(BY$4&gt;=$D82,BY$4&lt;$D82+'Incremental Repayments'!$I$31),-PMT('Interest Rate'!$J$16,'Incremental Repayments'!$I$31,(HLOOKUP($D82,$E$4:$CZ$32,28,FALSE)*'Incremental Repayments'!$I$22)),0),0)</f>
        <v>1.0063032726442243</v>
      </c>
      <c r="BZ82" s="783">
        <f>IF('Incremental Repayments'!$R$22="Debt",IF(AND(BZ$4&gt;=$D82,BZ$4&lt;$D82+'Incremental Repayments'!$I$31),-PMT('Interest Rate'!$J$16,'Incremental Repayments'!$I$31,(HLOOKUP($D82,$E$4:$CZ$32,28,FALSE)*'Incremental Repayments'!$I$22)),0),0)</f>
        <v>1.0063032726442243</v>
      </c>
      <c r="CA82" s="783">
        <f>IF('Incremental Repayments'!$R$22="Debt",IF(AND(CA$4&gt;=$D82,CA$4&lt;$D82+'Incremental Repayments'!$I$31),-PMT('Interest Rate'!$J$16,'Incremental Repayments'!$I$31,(HLOOKUP($D82,$E$4:$CZ$32,28,FALSE)*'Incremental Repayments'!$I$22)),0),0)</f>
        <v>1.0063032726442243</v>
      </c>
      <c r="CB82" s="783">
        <f>IF('Incremental Repayments'!$R$22="Debt",IF(AND(CB$4&gt;=$D82,CB$4&lt;$D82+'Incremental Repayments'!$I$31),-PMT('Interest Rate'!$J$16,'Incremental Repayments'!$I$31,(HLOOKUP($D82,$E$4:$CZ$32,28,FALSE)*'Incremental Repayments'!$I$22)),0),0)</f>
        <v>1.0063032726442243</v>
      </c>
      <c r="CC82" s="783">
        <f>IF('Incremental Repayments'!$R$22="Debt",IF(AND(CC$4&gt;=$D82,CC$4&lt;$D82+'Incremental Repayments'!$I$31),-PMT('Interest Rate'!$J$16,'Incremental Repayments'!$I$31,(HLOOKUP($D82,$E$4:$CZ$32,28,FALSE)*'Incremental Repayments'!$I$22)),0),0)</f>
        <v>0</v>
      </c>
      <c r="CD82" s="783">
        <f>IF('Incremental Repayments'!$R$22="Debt",IF(AND(CD$4&gt;=$D82,CD$4&lt;$D82+'Incremental Repayments'!$I$31),-PMT('Interest Rate'!$J$16,'Incremental Repayments'!$I$31,(HLOOKUP($D82,$E$4:$CZ$32,28,FALSE)*'Incremental Repayments'!$I$22)),0),0)</f>
        <v>0</v>
      </c>
      <c r="CE82" s="783">
        <f>IF('Incremental Repayments'!$R$22="Debt",IF(AND(CE$4&gt;=$D82,CE$4&lt;$D82+'Incremental Repayments'!$I$31),-PMT('Interest Rate'!$J$16,'Incremental Repayments'!$I$31,(HLOOKUP($D82,$E$4:$CZ$32,28,FALSE)*'Incremental Repayments'!$I$22)),0),0)</f>
        <v>0</v>
      </c>
      <c r="CF82" s="783">
        <f>IF('Incremental Repayments'!$R$22="Debt",IF(AND(CF$4&gt;=$D82,CF$4&lt;$D82+'Incremental Repayments'!$I$31),-PMT('Interest Rate'!$J$16,'Incremental Repayments'!$I$31,(HLOOKUP($D82,$E$4:$CZ$32,28,FALSE)*'Incremental Repayments'!$I$22)),0),0)</f>
        <v>0</v>
      </c>
      <c r="CG82" s="783">
        <f>IF('Incremental Repayments'!$R$22="Debt",IF(AND(CG$4&gt;=$D82,CG$4&lt;$D82+'Incremental Repayments'!$I$31),-PMT('Interest Rate'!$J$16,'Incremental Repayments'!$I$31,(HLOOKUP($D82,$E$4:$CZ$32,28,FALSE)*'Incremental Repayments'!$I$22)),0),0)</f>
        <v>0</v>
      </c>
      <c r="CH82" s="783">
        <f>IF('Incremental Repayments'!$R$22="Debt",IF(AND(CH$4&gt;=$D82,CH$4&lt;$D82+'Incremental Repayments'!$I$31),-PMT('Interest Rate'!$J$16,'Incremental Repayments'!$I$31,(HLOOKUP($D82,$E$4:$CZ$32,28,FALSE)*'Incremental Repayments'!$I$22)),0),0)</f>
        <v>0</v>
      </c>
      <c r="CI82" s="783">
        <f>IF('Incremental Repayments'!$R$22="Debt",IF(AND(CI$4&gt;=$D82,CI$4&lt;$D82+'Incremental Repayments'!$I$31),-PMT('Interest Rate'!$J$16,'Incremental Repayments'!$I$31,(HLOOKUP($D82,$E$4:$CZ$32,28,FALSE)*'Incremental Repayments'!$I$22)),0),0)</f>
        <v>0</v>
      </c>
      <c r="CJ82" s="783">
        <f>IF('Incremental Repayments'!$R$22="Debt",IF(AND(CJ$4&gt;=$D82,CJ$4&lt;$D82+'Incremental Repayments'!$I$31),-PMT('Interest Rate'!$J$16,'Incremental Repayments'!$I$31,(HLOOKUP($D82,$E$4:$CZ$32,28,FALSE)*'Incremental Repayments'!$I$22)),0),0)</f>
        <v>0</v>
      </c>
      <c r="CK82" s="783">
        <f>IF('Incremental Repayments'!$R$22="Debt",IF(AND(CK$4&gt;=$D82,CK$4&lt;$D82+'Incremental Repayments'!$I$31),-PMT('Interest Rate'!$J$16,'Incremental Repayments'!$I$31,(HLOOKUP($D82,$E$4:$CZ$32,28,FALSE)*'Incremental Repayments'!$I$22)),0),0)</f>
        <v>0</v>
      </c>
      <c r="CL82" s="783">
        <f>IF('Incremental Repayments'!$R$22="Debt",IF(AND(CL$4&gt;=$D82,CL$4&lt;$D82+'Incremental Repayments'!$I$31),-PMT('Interest Rate'!$J$16,'Incremental Repayments'!$I$31,(HLOOKUP($D82,$E$4:$CZ$32,28,FALSE)*'Incremental Repayments'!$I$22)),0),0)</f>
        <v>0</v>
      </c>
      <c r="CM82" s="783">
        <f>IF('Incremental Repayments'!$R$22="Debt",IF(AND(CM$4&gt;=$D82,CM$4&lt;$D82+'Incremental Repayments'!$I$31),-PMT('Interest Rate'!$J$16,'Incremental Repayments'!$I$31,(HLOOKUP($D82,$E$4:$CZ$32,28,FALSE)*'Incremental Repayments'!$I$22)),0),0)</f>
        <v>0</v>
      </c>
      <c r="CN82" s="783">
        <f>IF('Incremental Repayments'!$R$22="Debt",IF(AND(CN$4&gt;=$D82,CN$4&lt;$D82+'Incremental Repayments'!$I$31),-PMT('Interest Rate'!$J$16,'Incremental Repayments'!$I$31,(HLOOKUP($D82,$E$4:$CZ$32,28,FALSE)*'Incremental Repayments'!$I$22)),0),0)</f>
        <v>0</v>
      </c>
      <c r="CO82" s="783">
        <f>IF('Incremental Repayments'!$R$22="Debt",IF(AND(CO$4&gt;=$D82,CO$4&lt;$D82+'Incremental Repayments'!$I$31),-PMT('Interest Rate'!$J$16,'Incremental Repayments'!$I$31,(HLOOKUP($D82,$E$4:$CZ$32,28,FALSE)*'Incremental Repayments'!$I$22)),0),0)</f>
        <v>0</v>
      </c>
      <c r="CP82" s="783">
        <f>IF('Incremental Repayments'!$R$22="Debt",IF(AND(CP$4&gt;=$D82,CP$4&lt;$D82+'Incremental Repayments'!$I$31),-PMT('Interest Rate'!$J$16,'Incremental Repayments'!$I$31,(HLOOKUP($D82,$E$4:$CZ$32,28,FALSE)*'Incremental Repayments'!$I$22)),0),0)</f>
        <v>0</v>
      </c>
      <c r="CQ82" s="783">
        <f>IF('Incremental Repayments'!$R$22="Debt",IF(AND(CQ$4&gt;=$D82,CQ$4&lt;$D82+'Incremental Repayments'!$I$31),-PMT('Interest Rate'!$J$16,'Incremental Repayments'!$I$31,(HLOOKUP($D82,$E$4:$CZ$32,28,FALSE)*'Incremental Repayments'!$I$22)),0),0)</f>
        <v>0</v>
      </c>
      <c r="CR82" s="783">
        <f>IF('Incremental Repayments'!$R$22="Debt",IF(AND(CR$4&gt;=$D82,CR$4&lt;$D82+'Incremental Repayments'!$I$31),-PMT('Interest Rate'!$J$16,'Incremental Repayments'!$I$31,(HLOOKUP($D82,$E$4:$CZ$32,28,FALSE)*'Incremental Repayments'!$I$22)),0),0)</f>
        <v>0</v>
      </c>
      <c r="CS82" s="783">
        <f>IF('Incremental Repayments'!$R$22="Debt",IF(AND(CS$4&gt;=$D82,CS$4&lt;$D82+'Incremental Repayments'!$I$31),-PMT('Interest Rate'!$J$16,'Incremental Repayments'!$I$31,(HLOOKUP($D82,$E$4:$CZ$32,28,FALSE)*'Incremental Repayments'!$I$22)),0),0)</f>
        <v>0</v>
      </c>
      <c r="CT82" s="783">
        <f>IF('Incremental Repayments'!$R$22="Debt",IF(AND(CT$4&gt;=$D82,CT$4&lt;$D82+'Incremental Repayments'!$I$31),-PMT('Interest Rate'!$J$16,'Incremental Repayments'!$I$31,(HLOOKUP($D82,$E$4:$CZ$32,28,FALSE)*'Incremental Repayments'!$I$22)),0),0)</f>
        <v>0</v>
      </c>
      <c r="CU82" s="783">
        <f>IF('Incremental Repayments'!$R$22="Debt",IF(AND(CU$4&gt;=$D82,CU$4&lt;$D82+'Incremental Repayments'!$I$31),-PMT('Interest Rate'!$J$16,'Incremental Repayments'!$I$31,(HLOOKUP($D82,$E$4:$CZ$32,28,FALSE)*'Incremental Repayments'!$I$22)),0),0)</f>
        <v>0</v>
      </c>
      <c r="CV82" s="783">
        <f>IF('Incremental Repayments'!$R$22="Debt",IF(AND(CV$4&gt;=$D82,CV$4&lt;$D82+'Incremental Repayments'!$I$31),-PMT('Interest Rate'!$J$16,'Incremental Repayments'!$I$31,(HLOOKUP($D82,$E$4:$CZ$32,28,FALSE)*'Incremental Repayments'!$I$22)),0),0)</f>
        <v>0</v>
      </c>
      <c r="CW82" s="783">
        <f>IF('Incremental Repayments'!$R$22="Debt",IF(AND(CW$4&gt;=$D82,CW$4&lt;$D82+'Incremental Repayments'!$I$31),-PMT('Interest Rate'!$J$16,'Incremental Repayments'!$I$31,(HLOOKUP($D82,$E$4:$CZ$32,28,FALSE)*'Incremental Repayments'!$I$22)),0),0)</f>
        <v>0</v>
      </c>
      <c r="CX82" s="783">
        <f>IF('Incremental Repayments'!$R$22="Debt",IF(AND(CX$4&gt;=$D82,CX$4&lt;$D82+'Incremental Repayments'!$I$31),-PMT('Interest Rate'!$J$16,'Incremental Repayments'!$I$31,(HLOOKUP($D82,$E$4:$CZ$32,28,FALSE)*'Incremental Repayments'!$I$22)),0),0)</f>
        <v>0</v>
      </c>
      <c r="CY82" s="783">
        <f>IF('Incremental Repayments'!$R$22="Debt",IF(AND(CY$4&gt;=$D82,CY$4&lt;$D82+'Incremental Repayments'!$I$31),-PMT('Interest Rate'!$J$16,'Incremental Repayments'!$I$31,(HLOOKUP($D82,$E$4:$CZ$32,28,FALSE)*'Incremental Repayments'!$I$22)),0),0)</f>
        <v>0</v>
      </c>
      <c r="CZ82" s="783">
        <f>IF('Incremental Repayments'!$R$22="Debt",IF(AND(CZ$4&gt;=$D82,CZ$4&lt;$D82+'Incremental Repayments'!$I$31),-PMT('Interest Rate'!$J$16,'Incremental Repayments'!$I$31,(HLOOKUP($D82,$E$4:$CZ$32,28,FALSE)*'Incremental Repayments'!$I$22)),0),0)</f>
        <v>0</v>
      </c>
    </row>
    <row r="83" spans="2:104" x14ac:dyDescent="0.25">
      <c r="B83" s="480" t="str">
        <f>CONCATENATE("Series ",D83,"A Bonds (at ",'Interest Rate'!$J$16*100,"% Interest)")</f>
        <v>Series 2061A Bonds (at 4.5% Interest)</v>
      </c>
      <c r="C83" s="480"/>
      <c r="D83" s="492">
        <f t="shared" si="47"/>
        <v>2061</v>
      </c>
      <c r="E83" s="783">
        <f>IF('Incremental Repayments'!$R$22="Debt",IF(AND(E$4&gt;=$D83,E$4&lt;$D83+'Incremental Repayments'!$I$31),-PMT('Interest Rate'!$J$16,'Incremental Repayments'!$I$31,(HLOOKUP($D83,$E$4:$CZ$32,28,FALSE)*'Incremental Repayments'!$I$22)),0),0)</f>
        <v>0</v>
      </c>
      <c r="F83" s="783">
        <f>IF('Incremental Repayments'!$R$22="Debt",IF(AND(F$4&gt;=$D83,F$4&lt;$D83+'Incremental Repayments'!$I$31),-PMT('Interest Rate'!$J$16,'Incremental Repayments'!$I$31,(HLOOKUP($D83,$E$4:$CZ$32,28,FALSE)*'Incremental Repayments'!$I$22)),0),0)</f>
        <v>0</v>
      </c>
      <c r="G83" s="783">
        <f>IF('Incremental Repayments'!$R$22="Debt",IF(AND(G$4&gt;=$D83,G$4&lt;$D83+'Incremental Repayments'!$I$31),-PMT('Interest Rate'!$J$16,'Incremental Repayments'!$I$31,(HLOOKUP($D83,$E$4:$CZ$32,28,FALSE)*'Incremental Repayments'!$I$22)),0),0)</f>
        <v>0</v>
      </c>
      <c r="H83" s="783">
        <f>IF('Incremental Repayments'!$R$22="Debt",IF(AND(H$4&gt;=$D83,H$4&lt;$D83+'Incremental Repayments'!$I$31),-PMT('Interest Rate'!$J$16,'Incremental Repayments'!$I$31,(HLOOKUP($D83,$E$4:$CZ$32,28,FALSE)*'Incremental Repayments'!$I$22)),0),0)</f>
        <v>0</v>
      </c>
      <c r="I83" s="783">
        <f>IF('Incremental Repayments'!$R$22="Debt",IF(AND(I$4&gt;=$D83,I$4&lt;$D83+'Incremental Repayments'!$I$31),-PMT('Interest Rate'!$J$16,'Incremental Repayments'!$I$31,(HLOOKUP($D83,$E$4:$CZ$32,28,FALSE)*'Incremental Repayments'!$I$22)),0),0)</f>
        <v>0</v>
      </c>
      <c r="J83" s="783">
        <f>IF('Incremental Repayments'!$R$22="Debt",IF(AND(J$4&gt;=$D83,J$4&lt;$D83+'Incremental Repayments'!$I$31),-PMT('Interest Rate'!$J$16,'Incremental Repayments'!$I$31,(HLOOKUP($D83,$E$4:$CZ$32,28,FALSE)*'Incremental Repayments'!$I$22)),0),0)</f>
        <v>0</v>
      </c>
      <c r="K83" s="783">
        <f>IF('Incremental Repayments'!$R$22="Debt",IF(AND(K$4&gt;=$D83,K$4&lt;$D83+'Incremental Repayments'!$I$31),-PMT('Interest Rate'!$J$16,'Incremental Repayments'!$I$31,(HLOOKUP($D83,$E$4:$CZ$32,28,FALSE)*'Incremental Repayments'!$I$22)),0),0)</f>
        <v>0</v>
      </c>
      <c r="L83" s="783">
        <f>IF('Incremental Repayments'!$R$22="Debt",IF(AND(L$4&gt;=$D83,L$4&lt;$D83+'Incremental Repayments'!$I$31),-PMT('Interest Rate'!$J$16,'Incremental Repayments'!$I$31,(HLOOKUP($D83,$E$4:$CZ$32,28,FALSE)*'Incremental Repayments'!$I$22)),0),0)</f>
        <v>0</v>
      </c>
      <c r="M83" s="783">
        <f>IF('Incremental Repayments'!$R$22="Debt",IF(AND(M$4&gt;=$D83,M$4&lt;$D83+'Incremental Repayments'!$I$31),-PMT('Interest Rate'!$J$16,'Incremental Repayments'!$I$31,(HLOOKUP($D83,$E$4:$CZ$32,28,FALSE)*'Incremental Repayments'!$I$22)),0),0)</f>
        <v>0</v>
      </c>
      <c r="N83" s="783">
        <f>IF('Incremental Repayments'!$R$22="Debt",IF(AND(N$4&gt;=$D83,N$4&lt;$D83+'Incremental Repayments'!$I$31),-PMT('Interest Rate'!$J$16,'Incremental Repayments'!$I$31,(HLOOKUP($D83,$E$4:$CZ$32,28,FALSE)*'Incremental Repayments'!$I$22)),0),0)</f>
        <v>0</v>
      </c>
      <c r="O83" s="783">
        <f>IF('Incremental Repayments'!$R$22="Debt",IF(AND(O$4&gt;=$D83,O$4&lt;$D83+'Incremental Repayments'!$I$31),-PMT('Interest Rate'!$J$16,'Incremental Repayments'!$I$31,(HLOOKUP($D83,$E$4:$CZ$32,28,FALSE)*'Incremental Repayments'!$I$22)),0),0)</f>
        <v>0</v>
      </c>
      <c r="P83" s="783">
        <f>IF('Incremental Repayments'!$R$22="Debt",IF(AND(P$4&gt;=$D83,P$4&lt;$D83+'Incremental Repayments'!$I$31),-PMT('Interest Rate'!$J$16,'Incremental Repayments'!$I$31,(HLOOKUP($D83,$E$4:$CZ$32,28,FALSE)*'Incremental Repayments'!$I$22)),0),0)</f>
        <v>0</v>
      </c>
      <c r="Q83" s="783">
        <f>IF('Incremental Repayments'!$R$22="Debt",IF(AND(Q$4&gt;=$D83,Q$4&lt;$D83+'Incremental Repayments'!$I$31),-PMT('Interest Rate'!$J$16,'Incremental Repayments'!$I$31,(HLOOKUP($D83,$E$4:$CZ$32,28,FALSE)*'Incremental Repayments'!$I$22)),0),0)</f>
        <v>0</v>
      </c>
      <c r="R83" s="783">
        <f>IF('Incremental Repayments'!$R$22="Debt",IF(AND(R$4&gt;=$D83,R$4&lt;$D83+'Incremental Repayments'!$I$31),-PMT('Interest Rate'!$J$16,'Incremental Repayments'!$I$31,(HLOOKUP($D83,$E$4:$CZ$32,28,FALSE)*'Incremental Repayments'!$I$22)),0),0)</f>
        <v>0</v>
      </c>
      <c r="S83" s="783">
        <f>IF('Incremental Repayments'!$R$22="Debt",IF(AND(S$4&gt;=$D83,S$4&lt;$D83+'Incremental Repayments'!$I$31),-PMT('Interest Rate'!$J$16,'Incremental Repayments'!$I$31,(HLOOKUP($D83,$E$4:$CZ$32,28,FALSE)*'Incremental Repayments'!$I$22)),0),0)</f>
        <v>0</v>
      </c>
      <c r="T83" s="783">
        <f>IF('Incremental Repayments'!$R$22="Debt",IF(AND(T$4&gt;=$D83,T$4&lt;$D83+'Incremental Repayments'!$I$31),-PMT('Interest Rate'!$J$16,'Incremental Repayments'!$I$31,(HLOOKUP($D83,$E$4:$CZ$32,28,FALSE)*'Incremental Repayments'!$I$22)),0),0)</f>
        <v>0</v>
      </c>
      <c r="U83" s="783">
        <f>IF('Incremental Repayments'!$R$22="Debt",IF(AND(U$4&gt;=$D83,U$4&lt;$D83+'Incremental Repayments'!$I$31),-PMT('Interest Rate'!$J$16,'Incremental Repayments'!$I$31,(HLOOKUP($D83,$E$4:$CZ$32,28,FALSE)*'Incremental Repayments'!$I$22)),0),0)</f>
        <v>0</v>
      </c>
      <c r="V83" s="783">
        <f>IF('Incremental Repayments'!$R$22="Debt",IF(AND(V$4&gt;=$D83,V$4&lt;$D83+'Incremental Repayments'!$I$31),-PMT('Interest Rate'!$J$16,'Incremental Repayments'!$I$31,(HLOOKUP($D83,$E$4:$CZ$32,28,FALSE)*'Incremental Repayments'!$I$22)),0),0)</f>
        <v>0</v>
      </c>
      <c r="W83" s="783">
        <f>IF('Incremental Repayments'!$R$22="Debt",IF(AND(W$4&gt;=$D83,W$4&lt;$D83+'Incremental Repayments'!$I$31),-PMT('Interest Rate'!$J$16,'Incremental Repayments'!$I$31,(HLOOKUP($D83,$E$4:$CZ$32,28,FALSE)*'Incremental Repayments'!$I$22)),0),0)</f>
        <v>0</v>
      </c>
      <c r="X83" s="783">
        <f>IF('Incremental Repayments'!$R$22="Debt",IF(AND(X$4&gt;=$D83,X$4&lt;$D83+'Incremental Repayments'!$I$31),-PMT('Interest Rate'!$J$16,'Incremental Repayments'!$I$31,(HLOOKUP($D83,$E$4:$CZ$32,28,FALSE)*'Incremental Repayments'!$I$22)),0),0)</f>
        <v>0</v>
      </c>
      <c r="Y83" s="783">
        <f>IF('Incremental Repayments'!$R$22="Debt",IF(AND(Y$4&gt;=$D83,Y$4&lt;$D83+'Incremental Repayments'!$I$31),-PMT('Interest Rate'!$J$16,'Incremental Repayments'!$I$31,(HLOOKUP($D83,$E$4:$CZ$32,28,FALSE)*'Incremental Repayments'!$I$22)),0),0)</f>
        <v>0</v>
      </c>
      <c r="Z83" s="783">
        <f>IF('Incremental Repayments'!$R$22="Debt",IF(AND(Z$4&gt;=$D83,Z$4&lt;$D83+'Incremental Repayments'!$I$31),-PMT('Interest Rate'!$J$16,'Incremental Repayments'!$I$31,(HLOOKUP($D83,$E$4:$CZ$32,28,FALSE)*'Incremental Repayments'!$I$22)),0),0)</f>
        <v>0</v>
      </c>
      <c r="AA83" s="783">
        <f>IF('Incremental Repayments'!$R$22="Debt",IF(AND(AA$4&gt;=$D83,AA$4&lt;$D83+'Incremental Repayments'!$I$31),-PMT('Interest Rate'!$J$16,'Incremental Repayments'!$I$31,(HLOOKUP($D83,$E$4:$CZ$32,28,FALSE)*'Incremental Repayments'!$I$22)),0),0)</f>
        <v>0</v>
      </c>
      <c r="AB83" s="783">
        <f>IF('Incremental Repayments'!$R$22="Debt",IF(AND(AB$4&gt;=$D83,AB$4&lt;$D83+'Incremental Repayments'!$I$31),-PMT('Interest Rate'!$J$16,'Incremental Repayments'!$I$31,(HLOOKUP($D83,$E$4:$CZ$32,28,FALSE)*'Incremental Repayments'!$I$22)),0),0)</f>
        <v>0</v>
      </c>
      <c r="AC83" s="783">
        <f>IF('Incremental Repayments'!$R$22="Debt",IF(AND(AC$4&gt;=$D83,AC$4&lt;$D83+'Incremental Repayments'!$I$31),-PMT('Interest Rate'!$J$16,'Incremental Repayments'!$I$31,(HLOOKUP($D83,$E$4:$CZ$32,28,FALSE)*'Incremental Repayments'!$I$22)),0),0)</f>
        <v>0</v>
      </c>
      <c r="AD83" s="783">
        <f>IF('Incremental Repayments'!$R$22="Debt",IF(AND(AD$4&gt;=$D83,AD$4&lt;$D83+'Incremental Repayments'!$I$31),-PMT('Interest Rate'!$J$16,'Incremental Repayments'!$I$31,(HLOOKUP($D83,$E$4:$CZ$32,28,FALSE)*'Incremental Repayments'!$I$22)),0),0)</f>
        <v>0</v>
      </c>
      <c r="AE83" s="783">
        <f>IF('Incremental Repayments'!$R$22="Debt",IF(AND(AE$4&gt;=$D83,AE$4&lt;$D83+'Incremental Repayments'!$I$31),-PMT('Interest Rate'!$J$16,'Incremental Repayments'!$I$31,(HLOOKUP($D83,$E$4:$CZ$32,28,FALSE)*'Incremental Repayments'!$I$22)),0),0)</f>
        <v>0</v>
      </c>
      <c r="AF83" s="783">
        <f>IF('Incremental Repayments'!$R$22="Debt",IF(AND(AF$4&gt;=$D83,AF$4&lt;$D83+'Incremental Repayments'!$I$31),-PMT('Interest Rate'!$J$16,'Incremental Repayments'!$I$31,(HLOOKUP($D83,$E$4:$CZ$32,28,FALSE)*'Incremental Repayments'!$I$22)),0),0)</f>
        <v>0</v>
      </c>
      <c r="AG83" s="783">
        <f>IF('Incremental Repayments'!$R$22="Debt",IF(AND(AG$4&gt;=$D83,AG$4&lt;$D83+'Incremental Repayments'!$I$31),-PMT('Interest Rate'!$J$16,'Incremental Repayments'!$I$31,(HLOOKUP($D83,$E$4:$CZ$32,28,FALSE)*'Incremental Repayments'!$I$22)),0),0)</f>
        <v>0</v>
      </c>
      <c r="AH83" s="783">
        <f>IF('Incremental Repayments'!$R$22="Debt",IF(AND(AH$4&gt;=$D83,AH$4&lt;$D83+'Incremental Repayments'!$I$31),-PMT('Interest Rate'!$J$16,'Incremental Repayments'!$I$31,(HLOOKUP($D83,$E$4:$CZ$32,28,FALSE)*'Incremental Repayments'!$I$22)),0),0)</f>
        <v>0</v>
      </c>
      <c r="AI83" s="783">
        <f>IF('Incremental Repayments'!$R$22="Debt",IF(AND(AI$4&gt;=$D83,AI$4&lt;$D83+'Incremental Repayments'!$I$31),-PMT('Interest Rate'!$J$16,'Incremental Repayments'!$I$31,(HLOOKUP($D83,$E$4:$CZ$32,28,FALSE)*'Incremental Repayments'!$I$22)),0),0)</f>
        <v>0</v>
      </c>
      <c r="AJ83" s="783">
        <f>IF('Incremental Repayments'!$R$22="Debt",IF(AND(AJ$4&gt;=$D83,AJ$4&lt;$D83+'Incremental Repayments'!$I$31),-PMT('Interest Rate'!$J$16,'Incremental Repayments'!$I$31,(HLOOKUP($D83,$E$4:$CZ$32,28,FALSE)*'Incremental Repayments'!$I$22)),0),0)</f>
        <v>0</v>
      </c>
      <c r="AK83" s="783">
        <f>IF('Incremental Repayments'!$R$22="Debt",IF(AND(AK$4&gt;=$D83,AK$4&lt;$D83+'Incremental Repayments'!$I$31),-PMT('Interest Rate'!$J$16,'Incremental Repayments'!$I$31,(HLOOKUP($D83,$E$4:$CZ$32,28,FALSE)*'Incremental Repayments'!$I$22)),0),0)</f>
        <v>0</v>
      </c>
      <c r="AL83" s="783">
        <f>IF('Incremental Repayments'!$R$22="Debt",IF(AND(AL$4&gt;=$D83,AL$4&lt;$D83+'Incremental Repayments'!$I$31),-PMT('Interest Rate'!$J$16,'Incremental Repayments'!$I$31,(HLOOKUP($D83,$E$4:$CZ$32,28,FALSE)*'Incremental Repayments'!$I$22)),0),0)</f>
        <v>0</v>
      </c>
      <c r="AM83" s="783">
        <f>IF('Incremental Repayments'!$R$22="Debt",IF(AND(AM$4&gt;=$D83,AM$4&lt;$D83+'Incremental Repayments'!$I$31),-PMT('Interest Rate'!$J$16,'Incremental Repayments'!$I$31,(HLOOKUP($D83,$E$4:$CZ$32,28,FALSE)*'Incremental Repayments'!$I$22)),0),0)</f>
        <v>0</v>
      </c>
      <c r="AN83" s="783">
        <f>IF('Incremental Repayments'!$R$22="Debt",IF(AND(AN$4&gt;=$D83,AN$4&lt;$D83+'Incremental Repayments'!$I$31),-PMT('Interest Rate'!$J$16,'Incremental Repayments'!$I$31,(HLOOKUP($D83,$E$4:$CZ$32,28,FALSE)*'Incremental Repayments'!$I$22)),0),0)</f>
        <v>0</v>
      </c>
      <c r="AO83" s="783">
        <f>IF('Incremental Repayments'!$R$22="Debt",IF(AND(AO$4&gt;=$D83,AO$4&lt;$D83+'Incremental Repayments'!$I$31),-PMT('Interest Rate'!$J$16,'Incremental Repayments'!$I$31,(HLOOKUP($D83,$E$4:$CZ$32,28,FALSE)*'Incremental Repayments'!$I$22)),0),0)</f>
        <v>0</v>
      </c>
      <c r="AP83" s="783">
        <f>IF('Incremental Repayments'!$R$22="Debt",IF(AND(AP$4&gt;=$D83,AP$4&lt;$D83+'Incremental Repayments'!$I$31),-PMT('Interest Rate'!$J$16,'Incremental Repayments'!$I$31,(HLOOKUP($D83,$E$4:$CZ$32,28,FALSE)*'Incremental Repayments'!$I$22)),0),0)</f>
        <v>0</v>
      </c>
      <c r="AQ83" s="783">
        <f>IF('Incremental Repayments'!$R$22="Debt",IF(AND(AQ$4&gt;=$D83,AQ$4&lt;$D83+'Incremental Repayments'!$I$31),-PMT('Interest Rate'!$J$16,'Incremental Repayments'!$I$31,(HLOOKUP($D83,$E$4:$CZ$32,28,FALSE)*'Incremental Repayments'!$I$22)),0),0)</f>
        <v>0</v>
      </c>
      <c r="AR83" s="783">
        <f>IF('Incremental Repayments'!$R$22="Debt",IF(AND(AR$4&gt;=$D83,AR$4&lt;$D83+'Incremental Repayments'!$I$31),-PMT('Interest Rate'!$J$16,'Incremental Repayments'!$I$31,(HLOOKUP($D83,$E$4:$CZ$32,28,FALSE)*'Incremental Repayments'!$I$22)),0),0)</f>
        <v>0</v>
      </c>
      <c r="AS83" s="783">
        <f>IF('Incremental Repayments'!$R$22="Debt",IF(AND(AS$4&gt;=$D83,AS$4&lt;$D83+'Incremental Repayments'!$I$31),-PMT('Interest Rate'!$J$16,'Incremental Repayments'!$I$31,(HLOOKUP($D83,$E$4:$CZ$32,28,FALSE)*'Incremental Repayments'!$I$22)),0),0)</f>
        <v>0</v>
      </c>
      <c r="AT83" s="783">
        <f>IF('Incremental Repayments'!$R$22="Debt",IF(AND(AT$4&gt;=$D83,AT$4&lt;$D83+'Incremental Repayments'!$I$31),-PMT('Interest Rate'!$J$16,'Incremental Repayments'!$I$31,(HLOOKUP($D83,$E$4:$CZ$32,28,FALSE)*'Incremental Repayments'!$I$22)),0),0)</f>
        <v>0</v>
      </c>
      <c r="AU83" s="783">
        <f>IF('Incremental Repayments'!$R$22="Debt",IF(AND(AU$4&gt;=$D83,AU$4&lt;$D83+'Incremental Repayments'!$I$31),-PMT('Interest Rate'!$J$16,'Incremental Repayments'!$I$31,(HLOOKUP($D83,$E$4:$CZ$32,28,FALSE)*'Incremental Repayments'!$I$22)),0),0)</f>
        <v>0</v>
      </c>
      <c r="AV83" s="783">
        <f>IF('Incremental Repayments'!$R$22="Debt",IF(AND(AV$4&gt;=$D83,AV$4&lt;$D83+'Incremental Repayments'!$I$31),-PMT('Interest Rate'!$J$16,'Incremental Repayments'!$I$31,(HLOOKUP($D83,$E$4:$CZ$32,28,FALSE)*'Incremental Repayments'!$I$22)),0),0)</f>
        <v>0</v>
      </c>
      <c r="AW83" s="783">
        <f>IF('Incremental Repayments'!$R$22="Debt",IF(AND(AW$4&gt;=$D83,AW$4&lt;$D83+'Incremental Repayments'!$I$31),-PMT('Interest Rate'!$J$16,'Incremental Repayments'!$I$31,(HLOOKUP($D83,$E$4:$CZ$32,28,FALSE)*'Incremental Repayments'!$I$22)),0),0)</f>
        <v>0</v>
      </c>
      <c r="AX83" s="783">
        <f>IF('Incremental Repayments'!$R$22="Debt",IF(AND(AX$4&gt;=$D83,AX$4&lt;$D83+'Incremental Repayments'!$I$31),-PMT('Interest Rate'!$J$16,'Incremental Repayments'!$I$31,(HLOOKUP($D83,$E$4:$CZ$32,28,FALSE)*'Incremental Repayments'!$I$22)),0),0)</f>
        <v>0</v>
      </c>
      <c r="AY83" s="783">
        <f>IF('Incremental Repayments'!$R$22="Debt",IF(AND(AY$4&gt;=$D83,AY$4&lt;$D83+'Incremental Repayments'!$I$31),-PMT('Interest Rate'!$J$16,'Incremental Repayments'!$I$31,(HLOOKUP($D83,$E$4:$CZ$32,28,FALSE)*'Incremental Repayments'!$I$22)),0),0)</f>
        <v>0</v>
      </c>
      <c r="AZ83" s="783">
        <f>IF('Incremental Repayments'!$R$22="Debt",IF(AND(AZ$4&gt;=$D83,AZ$4&lt;$D83+'Incremental Repayments'!$I$31),-PMT('Interest Rate'!$J$16,'Incremental Repayments'!$I$31,(HLOOKUP($D83,$E$4:$CZ$32,28,FALSE)*'Incremental Repayments'!$I$22)),0),0)</f>
        <v>2.4936244468260826E-2</v>
      </c>
      <c r="BA83" s="783">
        <f>IF('Incremental Repayments'!$R$22="Debt",IF(AND(BA$4&gt;=$D83,BA$4&lt;$D83+'Incremental Repayments'!$I$31),-PMT('Interest Rate'!$J$16,'Incremental Repayments'!$I$31,(HLOOKUP($D83,$E$4:$CZ$32,28,FALSE)*'Incremental Repayments'!$I$22)),0),0)</f>
        <v>2.4936244468260826E-2</v>
      </c>
      <c r="BB83" s="783">
        <f>IF('Incremental Repayments'!$R$22="Debt",IF(AND(BB$4&gt;=$D83,BB$4&lt;$D83+'Incremental Repayments'!$I$31),-PMT('Interest Rate'!$J$16,'Incremental Repayments'!$I$31,(HLOOKUP($D83,$E$4:$CZ$32,28,FALSE)*'Incremental Repayments'!$I$22)),0),0)</f>
        <v>2.4936244468260826E-2</v>
      </c>
      <c r="BC83" s="783">
        <f>IF('Incremental Repayments'!$R$22="Debt",IF(AND(BC$4&gt;=$D83,BC$4&lt;$D83+'Incremental Repayments'!$I$31),-PMT('Interest Rate'!$J$16,'Incremental Repayments'!$I$31,(HLOOKUP($D83,$E$4:$CZ$32,28,FALSE)*'Incremental Repayments'!$I$22)),0),0)</f>
        <v>2.4936244468260826E-2</v>
      </c>
      <c r="BD83" s="783">
        <f>IF('Incremental Repayments'!$R$22="Debt",IF(AND(BD$4&gt;=$D83,BD$4&lt;$D83+'Incremental Repayments'!$I$31),-PMT('Interest Rate'!$J$16,'Incremental Repayments'!$I$31,(HLOOKUP($D83,$E$4:$CZ$32,28,FALSE)*'Incremental Repayments'!$I$22)),0),0)</f>
        <v>2.4936244468260826E-2</v>
      </c>
      <c r="BE83" s="783">
        <f>IF('Incremental Repayments'!$R$22="Debt",IF(AND(BE$4&gt;=$D83,BE$4&lt;$D83+'Incremental Repayments'!$I$31),-PMT('Interest Rate'!$J$16,'Incremental Repayments'!$I$31,(HLOOKUP($D83,$E$4:$CZ$32,28,FALSE)*'Incremental Repayments'!$I$22)),0),0)</f>
        <v>2.4936244468260826E-2</v>
      </c>
      <c r="BF83" s="783">
        <f>IF('Incremental Repayments'!$R$22="Debt",IF(AND(BF$4&gt;=$D83,BF$4&lt;$D83+'Incremental Repayments'!$I$31),-PMT('Interest Rate'!$J$16,'Incremental Repayments'!$I$31,(HLOOKUP($D83,$E$4:$CZ$32,28,FALSE)*'Incremental Repayments'!$I$22)),0),0)</f>
        <v>2.4936244468260826E-2</v>
      </c>
      <c r="BG83" s="783">
        <f>IF('Incremental Repayments'!$R$22="Debt",IF(AND(BG$4&gt;=$D83,BG$4&lt;$D83+'Incremental Repayments'!$I$31),-PMT('Interest Rate'!$J$16,'Incremental Repayments'!$I$31,(HLOOKUP($D83,$E$4:$CZ$32,28,FALSE)*'Incremental Repayments'!$I$22)),0),0)</f>
        <v>2.4936244468260826E-2</v>
      </c>
      <c r="BH83" s="783">
        <f>IF('Incremental Repayments'!$R$22="Debt",IF(AND(BH$4&gt;=$D83,BH$4&lt;$D83+'Incremental Repayments'!$I$31),-PMT('Interest Rate'!$J$16,'Incremental Repayments'!$I$31,(HLOOKUP($D83,$E$4:$CZ$32,28,FALSE)*'Incremental Repayments'!$I$22)),0),0)</f>
        <v>2.4936244468260826E-2</v>
      </c>
      <c r="BI83" s="783">
        <f>IF('Incremental Repayments'!$R$22="Debt",IF(AND(BI$4&gt;=$D83,BI$4&lt;$D83+'Incremental Repayments'!$I$31),-PMT('Interest Rate'!$J$16,'Incremental Repayments'!$I$31,(HLOOKUP($D83,$E$4:$CZ$32,28,FALSE)*'Incremental Repayments'!$I$22)),0),0)</f>
        <v>2.4936244468260826E-2</v>
      </c>
      <c r="BJ83" s="783">
        <f>IF('Incremental Repayments'!$R$22="Debt",IF(AND(BJ$4&gt;=$D83,BJ$4&lt;$D83+'Incremental Repayments'!$I$31),-PMT('Interest Rate'!$J$16,'Incremental Repayments'!$I$31,(HLOOKUP($D83,$E$4:$CZ$32,28,FALSE)*'Incremental Repayments'!$I$22)),0),0)</f>
        <v>2.4936244468260826E-2</v>
      </c>
      <c r="BK83" s="783">
        <f>IF('Incremental Repayments'!$R$22="Debt",IF(AND(BK$4&gt;=$D83,BK$4&lt;$D83+'Incremental Repayments'!$I$31),-PMT('Interest Rate'!$J$16,'Incremental Repayments'!$I$31,(HLOOKUP($D83,$E$4:$CZ$32,28,FALSE)*'Incremental Repayments'!$I$22)),0),0)</f>
        <v>2.4936244468260826E-2</v>
      </c>
      <c r="BL83" s="783">
        <f>IF('Incremental Repayments'!$R$22="Debt",IF(AND(BL$4&gt;=$D83,BL$4&lt;$D83+'Incremental Repayments'!$I$31),-PMT('Interest Rate'!$J$16,'Incremental Repayments'!$I$31,(HLOOKUP($D83,$E$4:$CZ$32,28,FALSE)*'Incremental Repayments'!$I$22)),0),0)</f>
        <v>2.4936244468260826E-2</v>
      </c>
      <c r="BM83" s="783">
        <f>IF('Incremental Repayments'!$R$22="Debt",IF(AND(BM$4&gt;=$D83,BM$4&lt;$D83+'Incremental Repayments'!$I$31),-PMT('Interest Rate'!$J$16,'Incremental Repayments'!$I$31,(HLOOKUP($D83,$E$4:$CZ$32,28,FALSE)*'Incremental Repayments'!$I$22)),0),0)</f>
        <v>2.4936244468260826E-2</v>
      </c>
      <c r="BN83" s="783">
        <f>IF('Incremental Repayments'!$R$22="Debt",IF(AND(BN$4&gt;=$D83,BN$4&lt;$D83+'Incremental Repayments'!$I$31),-PMT('Interest Rate'!$J$16,'Incremental Repayments'!$I$31,(HLOOKUP($D83,$E$4:$CZ$32,28,FALSE)*'Incremental Repayments'!$I$22)),0),0)</f>
        <v>2.4936244468260826E-2</v>
      </c>
      <c r="BO83" s="783">
        <f>IF('Incremental Repayments'!$R$22="Debt",IF(AND(BO$4&gt;=$D83,BO$4&lt;$D83+'Incremental Repayments'!$I$31),-PMT('Interest Rate'!$J$16,'Incremental Repayments'!$I$31,(HLOOKUP($D83,$E$4:$CZ$32,28,FALSE)*'Incremental Repayments'!$I$22)),0),0)</f>
        <v>2.4936244468260826E-2</v>
      </c>
      <c r="BP83" s="783">
        <f>IF('Incremental Repayments'!$R$22="Debt",IF(AND(BP$4&gt;=$D83,BP$4&lt;$D83+'Incremental Repayments'!$I$31),-PMT('Interest Rate'!$J$16,'Incremental Repayments'!$I$31,(HLOOKUP($D83,$E$4:$CZ$32,28,FALSE)*'Incremental Repayments'!$I$22)),0),0)</f>
        <v>2.4936244468260826E-2</v>
      </c>
      <c r="BQ83" s="783">
        <f>IF('Incremental Repayments'!$R$22="Debt",IF(AND(BQ$4&gt;=$D83,BQ$4&lt;$D83+'Incremental Repayments'!$I$31),-PMT('Interest Rate'!$J$16,'Incremental Repayments'!$I$31,(HLOOKUP($D83,$E$4:$CZ$32,28,FALSE)*'Incremental Repayments'!$I$22)),0),0)</f>
        <v>2.4936244468260826E-2</v>
      </c>
      <c r="BR83" s="783">
        <f>IF('Incremental Repayments'!$R$22="Debt",IF(AND(BR$4&gt;=$D83,BR$4&lt;$D83+'Incremental Repayments'!$I$31),-PMT('Interest Rate'!$J$16,'Incremental Repayments'!$I$31,(HLOOKUP($D83,$E$4:$CZ$32,28,FALSE)*'Incremental Repayments'!$I$22)),0),0)</f>
        <v>2.4936244468260826E-2</v>
      </c>
      <c r="BS83" s="783">
        <f>IF('Incremental Repayments'!$R$22="Debt",IF(AND(BS$4&gt;=$D83,BS$4&lt;$D83+'Incremental Repayments'!$I$31),-PMT('Interest Rate'!$J$16,'Incremental Repayments'!$I$31,(HLOOKUP($D83,$E$4:$CZ$32,28,FALSE)*'Incremental Repayments'!$I$22)),0),0)</f>
        <v>2.4936244468260826E-2</v>
      </c>
      <c r="BT83" s="783">
        <f>IF('Incremental Repayments'!$R$22="Debt",IF(AND(BT$4&gt;=$D83,BT$4&lt;$D83+'Incremental Repayments'!$I$31),-PMT('Interest Rate'!$J$16,'Incremental Repayments'!$I$31,(HLOOKUP($D83,$E$4:$CZ$32,28,FALSE)*'Incremental Repayments'!$I$22)),0),0)</f>
        <v>2.4936244468260826E-2</v>
      </c>
      <c r="BU83" s="783">
        <f>IF('Incremental Repayments'!$R$22="Debt",IF(AND(BU$4&gt;=$D83,BU$4&lt;$D83+'Incremental Repayments'!$I$31),-PMT('Interest Rate'!$J$16,'Incremental Repayments'!$I$31,(HLOOKUP($D83,$E$4:$CZ$32,28,FALSE)*'Incremental Repayments'!$I$22)),0),0)</f>
        <v>2.4936244468260826E-2</v>
      </c>
      <c r="BV83" s="783">
        <f>IF('Incremental Repayments'!$R$22="Debt",IF(AND(BV$4&gt;=$D83,BV$4&lt;$D83+'Incremental Repayments'!$I$31),-PMT('Interest Rate'!$J$16,'Incremental Repayments'!$I$31,(HLOOKUP($D83,$E$4:$CZ$32,28,FALSE)*'Incremental Repayments'!$I$22)),0),0)</f>
        <v>2.4936244468260826E-2</v>
      </c>
      <c r="BW83" s="783">
        <f>IF('Incremental Repayments'!$R$22="Debt",IF(AND(BW$4&gt;=$D83,BW$4&lt;$D83+'Incremental Repayments'!$I$31),-PMT('Interest Rate'!$J$16,'Incremental Repayments'!$I$31,(HLOOKUP($D83,$E$4:$CZ$32,28,FALSE)*'Incremental Repayments'!$I$22)),0),0)</f>
        <v>2.4936244468260826E-2</v>
      </c>
      <c r="BX83" s="783">
        <f>IF('Incremental Repayments'!$R$22="Debt",IF(AND(BX$4&gt;=$D83,BX$4&lt;$D83+'Incremental Repayments'!$I$31),-PMT('Interest Rate'!$J$16,'Incremental Repayments'!$I$31,(HLOOKUP($D83,$E$4:$CZ$32,28,FALSE)*'Incremental Repayments'!$I$22)),0),0)</f>
        <v>2.4936244468260826E-2</v>
      </c>
      <c r="BY83" s="783">
        <f>IF('Incremental Repayments'!$R$22="Debt",IF(AND(BY$4&gt;=$D83,BY$4&lt;$D83+'Incremental Repayments'!$I$31),-PMT('Interest Rate'!$J$16,'Incremental Repayments'!$I$31,(HLOOKUP($D83,$E$4:$CZ$32,28,FALSE)*'Incremental Repayments'!$I$22)),0),0)</f>
        <v>2.4936244468260826E-2</v>
      </c>
      <c r="BZ83" s="783">
        <f>IF('Incremental Repayments'!$R$22="Debt",IF(AND(BZ$4&gt;=$D83,BZ$4&lt;$D83+'Incremental Repayments'!$I$31),-PMT('Interest Rate'!$J$16,'Incremental Repayments'!$I$31,(HLOOKUP($D83,$E$4:$CZ$32,28,FALSE)*'Incremental Repayments'!$I$22)),0),0)</f>
        <v>2.4936244468260826E-2</v>
      </c>
      <c r="CA83" s="783">
        <f>IF('Incremental Repayments'!$R$22="Debt",IF(AND(CA$4&gt;=$D83,CA$4&lt;$D83+'Incremental Repayments'!$I$31),-PMT('Interest Rate'!$J$16,'Incremental Repayments'!$I$31,(HLOOKUP($D83,$E$4:$CZ$32,28,FALSE)*'Incremental Repayments'!$I$22)),0),0)</f>
        <v>2.4936244468260826E-2</v>
      </c>
      <c r="CB83" s="783">
        <f>IF('Incremental Repayments'!$R$22="Debt",IF(AND(CB$4&gt;=$D83,CB$4&lt;$D83+'Incremental Repayments'!$I$31),-PMT('Interest Rate'!$J$16,'Incremental Repayments'!$I$31,(HLOOKUP($D83,$E$4:$CZ$32,28,FALSE)*'Incremental Repayments'!$I$22)),0),0)</f>
        <v>2.4936244468260826E-2</v>
      </c>
      <c r="CC83" s="783">
        <f>IF('Incremental Repayments'!$R$22="Debt",IF(AND(CC$4&gt;=$D83,CC$4&lt;$D83+'Incremental Repayments'!$I$31),-PMT('Interest Rate'!$J$16,'Incremental Repayments'!$I$31,(HLOOKUP($D83,$E$4:$CZ$32,28,FALSE)*'Incremental Repayments'!$I$22)),0),0)</f>
        <v>2.4936244468260826E-2</v>
      </c>
      <c r="CD83" s="783">
        <f>IF('Incremental Repayments'!$R$22="Debt",IF(AND(CD$4&gt;=$D83,CD$4&lt;$D83+'Incremental Repayments'!$I$31),-PMT('Interest Rate'!$J$16,'Incremental Repayments'!$I$31,(HLOOKUP($D83,$E$4:$CZ$32,28,FALSE)*'Incremental Repayments'!$I$22)),0),0)</f>
        <v>0</v>
      </c>
      <c r="CE83" s="783">
        <f>IF('Incremental Repayments'!$R$22="Debt",IF(AND(CE$4&gt;=$D83,CE$4&lt;$D83+'Incremental Repayments'!$I$31),-PMT('Interest Rate'!$J$16,'Incremental Repayments'!$I$31,(HLOOKUP($D83,$E$4:$CZ$32,28,FALSE)*'Incremental Repayments'!$I$22)),0),0)</f>
        <v>0</v>
      </c>
      <c r="CF83" s="783">
        <f>IF('Incremental Repayments'!$R$22="Debt",IF(AND(CF$4&gt;=$D83,CF$4&lt;$D83+'Incremental Repayments'!$I$31),-PMT('Interest Rate'!$J$16,'Incremental Repayments'!$I$31,(HLOOKUP($D83,$E$4:$CZ$32,28,FALSE)*'Incremental Repayments'!$I$22)),0),0)</f>
        <v>0</v>
      </c>
      <c r="CG83" s="783">
        <f>IF('Incremental Repayments'!$R$22="Debt",IF(AND(CG$4&gt;=$D83,CG$4&lt;$D83+'Incremental Repayments'!$I$31),-PMT('Interest Rate'!$J$16,'Incremental Repayments'!$I$31,(HLOOKUP($D83,$E$4:$CZ$32,28,FALSE)*'Incremental Repayments'!$I$22)),0),0)</f>
        <v>0</v>
      </c>
      <c r="CH83" s="783">
        <f>IF('Incremental Repayments'!$R$22="Debt",IF(AND(CH$4&gt;=$D83,CH$4&lt;$D83+'Incremental Repayments'!$I$31),-PMT('Interest Rate'!$J$16,'Incremental Repayments'!$I$31,(HLOOKUP($D83,$E$4:$CZ$32,28,FALSE)*'Incremental Repayments'!$I$22)),0),0)</f>
        <v>0</v>
      </c>
      <c r="CI83" s="783">
        <f>IF('Incremental Repayments'!$R$22="Debt",IF(AND(CI$4&gt;=$D83,CI$4&lt;$D83+'Incremental Repayments'!$I$31),-PMT('Interest Rate'!$J$16,'Incremental Repayments'!$I$31,(HLOOKUP($D83,$E$4:$CZ$32,28,FALSE)*'Incremental Repayments'!$I$22)),0),0)</f>
        <v>0</v>
      </c>
      <c r="CJ83" s="783">
        <f>IF('Incremental Repayments'!$R$22="Debt",IF(AND(CJ$4&gt;=$D83,CJ$4&lt;$D83+'Incremental Repayments'!$I$31),-PMT('Interest Rate'!$J$16,'Incremental Repayments'!$I$31,(HLOOKUP($D83,$E$4:$CZ$32,28,FALSE)*'Incremental Repayments'!$I$22)),0),0)</f>
        <v>0</v>
      </c>
      <c r="CK83" s="783">
        <f>IF('Incremental Repayments'!$R$22="Debt",IF(AND(CK$4&gt;=$D83,CK$4&lt;$D83+'Incremental Repayments'!$I$31),-PMT('Interest Rate'!$J$16,'Incremental Repayments'!$I$31,(HLOOKUP($D83,$E$4:$CZ$32,28,FALSE)*'Incremental Repayments'!$I$22)),0),0)</f>
        <v>0</v>
      </c>
      <c r="CL83" s="783">
        <f>IF('Incremental Repayments'!$R$22="Debt",IF(AND(CL$4&gt;=$D83,CL$4&lt;$D83+'Incremental Repayments'!$I$31),-PMT('Interest Rate'!$J$16,'Incremental Repayments'!$I$31,(HLOOKUP($D83,$E$4:$CZ$32,28,FALSE)*'Incremental Repayments'!$I$22)),0),0)</f>
        <v>0</v>
      </c>
      <c r="CM83" s="783">
        <f>IF('Incremental Repayments'!$R$22="Debt",IF(AND(CM$4&gt;=$D83,CM$4&lt;$D83+'Incremental Repayments'!$I$31),-PMT('Interest Rate'!$J$16,'Incremental Repayments'!$I$31,(HLOOKUP($D83,$E$4:$CZ$32,28,FALSE)*'Incremental Repayments'!$I$22)),0),0)</f>
        <v>0</v>
      </c>
      <c r="CN83" s="783">
        <f>IF('Incremental Repayments'!$R$22="Debt",IF(AND(CN$4&gt;=$D83,CN$4&lt;$D83+'Incremental Repayments'!$I$31),-PMT('Interest Rate'!$J$16,'Incremental Repayments'!$I$31,(HLOOKUP($D83,$E$4:$CZ$32,28,FALSE)*'Incremental Repayments'!$I$22)),0),0)</f>
        <v>0</v>
      </c>
      <c r="CO83" s="783">
        <f>IF('Incremental Repayments'!$R$22="Debt",IF(AND(CO$4&gt;=$D83,CO$4&lt;$D83+'Incremental Repayments'!$I$31),-PMT('Interest Rate'!$J$16,'Incremental Repayments'!$I$31,(HLOOKUP($D83,$E$4:$CZ$32,28,FALSE)*'Incremental Repayments'!$I$22)),0),0)</f>
        <v>0</v>
      </c>
      <c r="CP83" s="783">
        <f>IF('Incremental Repayments'!$R$22="Debt",IF(AND(CP$4&gt;=$D83,CP$4&lt;$D83+'Incremental Repayments'!$I$31),-PMT('Interest Rate'!$J$16,'Incremental Repayments'!$I$31,(HLOOKUP($D83,$E$4:$CZ$32,28,FALSE)*'Incremental Repayments'!$I$22)),0),0)</f>
        <v>0</v>
      </c>
      <c r="CQ83" s="783">
        <f>IF('Incremental Repayments'!$R$22="Debt",IF(AND(CQ$4&gt;=$D83,CQ$4&lt;$D83+'Incremental Repayments'!$I$31),-PMT('Interest Rate'!$J$16,'Incremental Repayments'!$I$31,(HLOOKUP($D83,$E$4:$CZ$32,28,FALSE)*'Incremental Repayments'!$I$22)),0),0)</f>
        <v>0</v>
      </c>
      <c r="CR83" s="783">
        <f>IF('Incremental Repayments'!$R$22="Debt",IF(AND(CR$4&gt;=$D83,CR$4&lt;$D83+'Incremental Repayments'!$I$31),-PMT('Interest Rate'!$J$16,'Incremental Repayments'!$I$31,(HLOOKUP($D83,$E$4:$CZ$32,28,FALSE)*'Incremental Repayments'!$I$22)),0),0)</f>
        <v>0</v>
      </c>
      <c r="CS83" s="783">
        <f>IF('Incremental Repayments'!$R$22="Debt",IF(AND(CS$4&gt;=$D83,CS$4&lt;$D83+'Incremental Repayments'!$I$31),-PMT('Interest Rate'!$J$16,'Incremental Repayments'!$I$31,(HLOOKUP($D83,$E$4:$CZ$32,28,FALSE)*'Incremental Repayments'!$I$22)),0),0)</f>
        <v>0</v>
      </c>
      <c r="CT83" s="783">
        <f>IF('Incremental Repayments'!$R$22="Debt",IF(AND(CT$4&gt;=$D83,CT$4&lt;$D83+'Incremental Repayments'!$I$31),-PMT('Interest Rate'!$J$16,'Incremental Repayments'!$I$31,(HLOOKUP($D83,$E$4:$CZ$32,28,FALSE)*'Incremental Repayments'!$I$22)),0),0)</f>
        <v>0</v>
      </c>
      <c r="CU83" s="783">
        <f>IF('Incremental Repayments'!$R$22="Debt",IF(AND(CU$4&gt;=$D83,CU$4&lt;$D83+'Incremental Repayments'!$I$31),-PMT('Interest Rate'!$J$16,'Incremental Repayments'!$I$31,(HLOOKUP($D83,$E$4:$CZ$32,28,FALSE)*'Incremental Repayments'!$I$22)),0),0)</f>
        <v>0</v>
      </c>
      <c r="CV83" s="783">
        <f>IF('Incremental Repayments'!$R$22="Debt",IF(AND(CV$4&gt;=$D83,CV$4&lt;$D83+'Incremental Repayments'!$I$31),-PMT('Interest Rate'!$J$16,'Incremental Repayments'!$I$31,(HLOOKUP($D83,$E$4:$CZ$32,28,FALSE)*'Incremental Repayments'!$I$22)),0),0)</f>
        <v>0</v>
      </c>
      <c r="CW83" s="783">
        <f>IF('Incremental Repayments'!$R$22="Debt",IF(AND(CW$4&gt;=$D83,CW$4&lt;$D83+'Incremental Repayments'!$I$31),-PMT('Interest Rate'!$J$16,'Incremental Repayments'!$I$31,(HLOOKUP($D83,$E$4:$CZ$32,28,FALSE)*'Incremental Repayments'!$I$22)),0),0)</f>
        <v>0</v>
      </c>
      <c r="CX83" s="783">
        <f>IF('Incremental Repayments'!$R$22="Debt",IF(AND(CX$4&gt;=$D83,CX$4&lt;$D83+'Incremental Repayments'!$I$31),-PMT('Interest Rate'!$J$16,'Incremental Repayments'!$I$31,(HLOOKUP($D83,$E$4:$CZ$32,28,FALSE)*'Incremental Repayments'!$I$22)),0),0)</f>
        <v>0</v>
      </c>
      <c r="CY83" s="783">
        <f>IF('Incremental Repayments'!$R$22="Debt",IF(AND(CY$4&gt;=$D83,CY$4&lt;$D83+'Incremental Repayments'!$I$31),-PMT('Interest Rate'!$J$16,'Incremental Repayments'!$I$31,(HLOOKUP($D83,$E$4:$CZ$32,28,FALSE)*'Incremental Repayments'!$I$22)),0),0)</f>
        <v>0</v>
      </c>
      <c r="CZ83" s="783">
        <f>IF('Incremental Repayments'!$R$22="Debt",IF(AND(CZ$4&gt;=$D83,CZ$4&lt;$D83+'Incremental Repayments'!$I$31),-PMT('Interest Rate'!$J$16,'Incremental Repayments'!$I$31,(HLOOKUP($D83,$E$4:$CZ$32,28,FALSE)*'Incremental Repayments'!$I$22)),0),0)</f>
        <v>0</v>
      </c>
    </row>
    <row r="84" spans="2:104" x14ac:dyDescent="0.25">
      <c r="B84" s="480" t="str">
        <f>CONCATENATE("Series ",D84,"A Bonds (at ",'Interest Rate'!$J$16*100,"% Interest)")</f>
        <v>Series 2062A Bonds (at 4.5% Interest)</v>
      </c>
      <c r="C84" s="480"/>
      <c r="D84" s="492">
        <f t="shared" si="47"/>
        <v>2062</v>
      </c>
      <c r="E84" s="783">
        <f>IF('Incremental Repayments'!$R$22="Debt",IF(AND(E$4&gt;=$D84,E$4&lt;$D84+'Incremental Repayments'!$I$31),-PMT('Interest Rate'!$J$16,'Incremental Repayments'!$I$31,(HLOOKUP($D84,$E$4:$CZ$32,28,FALSE)*'Incremental Repayments'!$I$22)),0),0)</f>
        <v>0</v>
      </c>
      <c r="F84" s="783">
        <f>IF('Incremental Repayments'!$R$22="Debt",IF(AND(F$4&gt;=$D84,F$4&lt;$D84+'Incremental Repayments'!$I$31),-PMT('Interest Rate'!$J$16,'Incremental Repayments'!$I$31,(HLOOKUP($D84,$E$4:$CZ$32,28,FALSE)*'Incremental Repayments'!$I$22)),0),0)</f>
        <v>0</v>
      </c>
      <c r="G84" s="783">
        <f>IF('Incremental Repayments'!$R$22="Debt",IF(AND(G$4&gt;=$D84,G$4&lt;$D84+'Incremental Repayments'!$I$31),-PMT('Interest Rate'!$J$16,'Incremental Repayments'!$I$31,(HLOOKUP($D84,$E$4:$CZ$32,28,FALSE)*'Incremental Repayments'!$I$22)),0),0)</f>
        <v>0</v>
      </c>
      <c r="H84" s="783">
        <f>IF('Incremental Repayments'!$R$22="Debt",IF(AND(H$4&gt;=$D84,H$4&lt;$D84+'Incremental Repayments'!$I$31),-PMT('Interest Rate'!$J$16,'Incremental Repayments'!$I$31,(HLOOKUP($D84,$E$4:$CZ$32,28,FALSE)*'Incremental Repayments'!$I$22)),0),0)</f>
        <v>0</v>
      </c>
      <c r="I84" s="783">
        <f>IF('Incremental Repayments'!$R$22="Debt",IF(AND(I$4&gt;=$D84,I$4&lt;$D84+'Incremental Repayments'!$I$31),-PMT('Interest Rate'!$J$16,'Incremental Repayments'!$I$31,(HLOOKUP($D84,$E$4:$CZ$32,28,FALSE)*'Incremental Repayments'!$I$22)),0),0)</f>
        <v>0</v>
      </c>
      <c r="J84" s="783">
        <f>IF('Incremental Repayments'!$R$22="Debt",IF(AND(J$4&gt;=$D84,J$4&lt;$D84+'Incremental Repayments'!$I$31),-PMT('Interest Rate'!$J$16,'Incremental Repayments'!$I$31,(HLOOKUP($D84,$E$4:$CZ$32,28,FALSE)*'Incremental Repayments'!$I$22)),0),0)</f>
        <v>0</v>
      </c>
      <c r="K84" s="783">
        <f>IF('Incremental Repayments'!$R$22="Debt",IF(AND(K$4&gt;=$D84,K$4&lt;$D84+'Incremental Repayments'!$I$31),-PMT('Interest Rate'!$J$16,'Incremental Repayments'!$I$31,(HLOOKUP($D84,$E$4:$CZ$32,28,FALSE)*'Incremental Repayments'!$I$22)),0),0)</f>
        <v>0</v>
      </c>
      <c r="L84" s="783">
        <f>IF('Incremental Repayments'!$R$22="Debt",IF(AND(L$4&gt;=$D84,L$4&lt;$D84+'Incremental Repayments'!$I$31),-PMT('Interest Rate'!$J$16,'Incremental Repayments'!$I$31,(HLOOKUP($D84,$E$4:$CZ$32,28,FALSE)*'Incremental Repayments'!$I$22)),0),0)</f>
        <v>0</v>
      </c>
      <c r="M84" s="783">
        <f>IF('Incremental Repayments'!$R$22="Debt",IF(AND(M$4&gt;=$D84,M$4&lt;$D84+'Incremental Repayments'!$I$31),-PMT('Interest Rate'!$J$16,'Incremental Repayments'!$I$31,(HLOOKUP($D84,$E$4:$CZ$32,28,FALSE)*'Incremental Repayments'!$I$22)),0),0)</f>
        <v>0</v>
      </c>
      <c r="N84" s="783">
        <f>IF('Incremental Repayments'!$R$22="Debt",IF(AND(N$4&gt;=$D84,N$4&lt;$D84+'Incremental Repayments'!$I$31),-PMT('Interest Rate'!$J$16,'Incremental Repayments'!$I$31,(HLOOKUP($D84,$E$4:$CZ$32,28,FALSE)*'Incremental Repayments'!$I$22)),0),0)</f>
        <v>0</v>
      </c>
      <c r="O84" s="783">
        <f>IF('Incremental Repayments'!$R$22="Debt",IF(AND(O$4&gt;=$D84,O$4&lt;$D84+'Incremental Repayments'!$I$31),-PMT('Interest Rate'!$J$16,'Incremental Repayments'!$I$31,(HLOOKUP($D84,$E$4:$CZ$32,28,FALSE)*'Incremental Repayments'!$I$22)),0),0)</f>
        <v>0</v>
      </c>
      <c r="P84" s="783">
        <f>IF('Incremental Repayments'!$R$22="Debt",IF(AND(P$4&gt;=$D84,P$4&lt;$D84+'Incremental Repayments'!$I$31),-PMT('Interest Rate'!$J$16,'Incremental Repayments'!$I$31,(HLOOKUP($D84,$E$4:$CZ$32,28,FALSE)*'Incremental Repayments'!$I$22)),0),0)</f>
        <v>0</v>
      </c>
      <c r="Q84" s="783">
        <f>IF('Incremental Repayments'!$R$22="Debt",IF(AND(Q$4&gt;=$D84,Q$4&lt;$D84+'Incremental Repayments'!$I$31),-PMT('Interest Rate'!$J$16,'Incremental Repayments'!$I$31,(HLOOKUP($D84,$E$4:$CZ$32,28,FALSE)*'Incremental Repayments'!$I$22)),0),0)</f>
        <v>0</v>
      </c>
      <c r="R84" s="783">
        <f>IF('Incremental Repayments'!$R$22="Debt",IF(AND(R$4&gt;=$D84,R$4&lt;$D84+'Incremental Repayments'!$I$31),-PMT('Interest Rate'!$J$16,'Incremental Repayments'!$I$31,(HLOOKUP($D84,$E$4:$CZ$32,28,FALSE)*'Incremental Repayments'!$I$22)),0),0)</f>
        <v>0</v>
      </c>
      <c r="S84" s="783">
        <f>IF('Incremental Repayments'!$R$22="Debt",IF(AND(S$4&gt;=$D84,S$4&lt;$D84+'Incremental Repayments'!$I$31),-PMT('Interest Rate'!$J$16,'Incremental Repayments'!$I$31,(HLOOKUP($D84,$E$4:$CZ$32,28,FALSE)*'Incremental Repayments'!$I$22)),0),0)</f>
        <v>0</v>
      </c>
      <c r="T84" s="783">
        <f>IF('Incremental Repayments'!$R$22="Debt",IF(AND(T$4&gt;=$D84,T$4&lt;$D84+'Incremental Repayments'!$I$31),-PMT('Interest Rate'!$J$16,'Incremental Repayments'!$I$31,(HLOOKUP($D84,$E$4:$CZ$32,28,FALSE)*'Incremental Repayments'!$I$22)),0),0)</f>
        <v>0</v>
      </c>
      <c r="U84" s="783">
        <f>IF('Incremental Repayments'!$R$22="Debt",IF(AND(U$4&gt;=$D84,U$4&lt;$D84+'Incremental Repayments'!$I$31),-PMT('Interest Rate'!$J$16,'Incremental Repayments'!$I$31,(HLOOKUP($D84,$E$4:$CZ$32,28,FALSE)*'Incremental Repayments'!$I$22)),0),0)</f>
        <v>0</v>
      </c>
      <c r="V84" s="783">
        <f>IF('Incremental Repayments'!$R$22="Debt",IF(AND(V$4&gt;=$D84,V$4&lt;$D84+'Incremental Repayments'!$I$31),-PMT('Interest Rate'!$J$16,'Incremental Repayments'!$I$31,(HLOOKUP($D84,$E$4:$CZ$32,28,FALSE)*'Incremental Repayments'!$I$22)),0),0)</f>
        <v>0</v>
      </c>
      <c r="W84" s="783">
        <f>IF('Incremental Repayments'!$R$22="Debt",IF(AND(W$4&gt;=$D84,W$4&lt;$D84+'Incremental Repayments'!$I$31),-PMT('Interest Rate'!$J$16,'Incremental Repayments'!$I$31,(HLOOKUP($D84,$E$4:$CZ$32,28,FALSE)*'Incremental Repayments'!$I$22)),0),0)</f>
        <v>0</v>
      </c>
      <c r="X84" s="783">
        <f>IF('Incremental Repayments'!$R$22="Debt",IF(AND(X$4&gt;=$D84,X$4&lt;$D84+'Incremental Repayments'!$I$31),-PMT('Interest Rate'!$J$16,'Incremental Repayments'!$I$31,(HLOOKUP($D84,$E$4:$CZ$32,28,FALSE)*'Incremental Repayments'!$I$22)),0),0)</f>
        <v>0</v>
      </c>
      <c r="Y84" s="783">
        <f>IF('Incremental Repayments'!$R$22="Debt",IF(AND(Y$4&gt;=$D84,Y$4&lt;$D84+'Incremental Repayments'!$I$31),-PMT('Interest Rate'!$J$16,'Incremental Repayments'!$I$31,(HLOOKUP($D84,$E$4:$CZ$32,28,FALSE)*'Incremental Repayments'!$I$22)),0),0)</f>
        <v>0</v>
      </c>
      <c r="Z84" s="783">
        <f>IF('Incremental Repayments'!$R$22="Debt",IF(AND(Z$4&gt;=$D84,Z$4&lt;$D84+'Incremental Repayments'!$I$31),-PMT('Interest Rate'!$J$16,'Incremental Repayments'!$I$31,(HLOOKUP($D84,$E$4:$CZ$32,28,FALSE)*'Incremental Repayments'!$I$22)),0),0)</f>
        <v>0</v>
      </c>
      <c r="AA84" s="783">
        <f>IF('Incremental Repayments'!$R$22="Debt",IF(AND(AA$4&gt;=$D84,AA$4&lt;$D84+'Incremental Repayments'!$I$31),-PMT('Interest Rate'!$J$16,'Incremental Repayments'!$I$31,(HLOOKUP($D84,$E$4:$CZ$32,28,FALSE)*'Incremental Repayments'!$I$22)),0),0)</f>
        <v>0</v>
      </c>
      <c r="AB84" s="783">
        <f>IF('Incremental Repayments'!$R$22="Debt",IF(AND(AB$4&gt;=$D84,AB$4&lt;$D84+'Incremental Repayments'!$I$31),-PMT('Interest Rate'!$J$16,'Incremental Repayments'!$I$31,(HLOOKUP($D84,$E$4:$CZ$32,28,FALSE)*'Incremental Repayments'!$I$22)),0),0)</f>
        <v>0</v>
      </c>
      <c r="AC84" s="783">
        <f>IF('Incremental Repayments'!$R$22="Debt",IF(AND(AC$4&gt;=$D84,AC$4&lt;$D84+'Incremental Repayments'!$I$31),-PMT('Interest Rate'!$J$16,'Incremental Repayments'!$I$31,(HLOOKUP($D84,$E$4:$CZ$32,28,FALSE)*'Incremental Repayments'!$I$22)),0),0)</f>
        <v>0</v>
      </c>
      <c r="AD84" s="783">
        <f>IF('Incremental Repayments'!$R$22="Debt",IF(AND(AD$4&gt;=$D84,AD$4&lt;$D84+'Incremental Repayments'!$I$31),-PMT('Interest Rate'!$J$16,'Incremental Repayments'!$I$31,(HLOOKUP($D84,$E$4:$CZ$32,28,FALSE)*'Incremental Repayments'!$I$22)),0),0)</f>
        <v>0</v>
      </c>
      <c r="AE84" s="783">
        <f>IF('Incremental Repayments'!$R$22="Debt",IF(AND(AE$4&gt;=$D84,AE$4&lt;$D84+'Incremental Repayments'!$I$31),-PMT('Interest Rate'!$J$16,'Incremental Repayments'!$I$31,(HLOOKUP($D84,$E$4:$CZ$32,28,FALSE)*'Incremental Repayments'!$I$22)),0),0)</f>
        <v>0</v>
      </c>
      <c r="AF84" s="783">
        <f>IF('Incremental Repayments'!$R$22="Debt",IF(AND(AF$4&gt;=$D84,AF$4&lt;$D84+'Incremental Repayments'!$I$31),-PMT('Interest Rate'!$J$16,'Incremental Repayments'!$I$31,(HLOOKUP($D84,$E$4:$CZ$32,28,FALSE)*'Incremental Repayments'!$I$22)),0),0)</f>
        <v>0</v>
      </c>
      <c r="AG84" s="783">
        <f>IF('Incremental Repayments'!$R$22="Debt",IF(AND(AG$4&gt;=$D84,AG$4&lt;$D84+'Incremental Repayments'!$I$31),-PMT('Interest Rate'!$J$16,'Incremental Repayments'!$I$31,(HLOOKUP($D84,$E$4:$CZ$32,28,FALSE)*'Incremental Repayments'!$I$22)),0),0)</f>
        <v>0</v>
      </c>
      <c r="AH84" s="783">
        <f>IF('Incremental Repayments'!$R$22="Debt",IF(AND(AH$4&gt;=$D84,AH$4&lt;$D84+'Incremental Repayments'!$I$31),-PMT('Interest Rate'!$J$16,'Incremental Repayments'!$I$31,(HLOOKUP($D84,$E$4:$CZ$32,28,FALSE)*'Incremental Repayments'!$I$22)),0),0)</f>
        <v>0</v>
      </c>
      <c r="AI84" s="783">
        <f>IF('Incremental Repayments'!$R$22="Debt",IF(AND(AI$4&gt;=$D84,AI$4&lt;$D84+'Incremental Repayments'!$I$31),-PMT('Interest Rate'!$J$16,'Incremental Repayments'!$I$31,(HLOOKUP($D84,$E$4:$CZ$32,28,FALSE)*'Incremental Repayments'!$I$22)),0),0)</f>
        <v>0</v>
      </c>
      <c r="AJ84" s="783">
        <f>IF('Incremental Repayments'!$R$22="Debt",IF(AND(AJ$4&gt;=$D84,AJ$4&lt;$D84+'Incremental Repayments'!$I$31),-PMT('Interest Rate'!$J$16,'Incremental Repayments'!$I$31,(HLOOKUP($D84,$E$4:$CZ$32,28,FALSE)*'Incremental Repayments'!$I$22)),0),0)</f>
        <v>0</v>
      </c>
      <c r="AK84" s="783">
        <f>IF('Incremental Repayments'!$R$22="Debt",IF(AND(AK$4&gt;=$D84,AK$4&lt;$D84+'Incremental Repayments'!$I$31),-PMT('Interest Rate'!$J$16,'Incremental Repayments'!$I$31,(HLOOKUP($D84,$E$4:$CZ$32,28,FALSE)*'Incremental Repayments'!$I$22)),0),0)</f>
        <v>0</v>
      </c>
      <c r="AL84" s="783">
        <f>IF('Incremental Repayments'!$R$22="Debt",IF(AND(AL$4&gt;=$D84,AL$4&lt;$D84+'Incremental Repayments'!$I$31),-PMT('Interest Rate'!$J$16,'Incremental Repayments'!$I$31,(HLOOKUP($D84,$E$4:$CZ$32,28,FALSE)*'Incremental Repayments'!$I$22)),0),0)</f>
        <v>0</v>
      </c>
      <c r="AM84" s="783">
        <f>IF('Incremental Repayments'!$R$22="Debt",IF(AND(AM$4&gt;=$D84,AM$4&lt;$D84+'Incremental Repayments'!$I$31),-PMT('Interest Rate'!$J$16,'Incremental Repayments'!$I$31,(HLOOKUP($D84,$E$4:$CZ$32,28,FALSE)*'Incremental Repayments'!$I$22)),0),0)</f>
        <v>0</v>
      </c>
      <c r="AN84" s="783">
        <f>IF('Incremental Repayments'!$R$22="Debt",IF(AND(AN$4&gt;=$D84,AN$4&lt;$D84+'Incremental Repayments'!$I$31),-PMT('Interest Rate'!$J$16,'Incremental Repayments'!$I$31,(HLOOKUP($D84,$E$4:$CZ$32,28,FALSE)*'Incremental Repayments'!$I$22)),0),0)</f>
        <v>0</v>
      </c>
      <c r="AO84" s="783">
        <f>IF('Incremental Repayments'!$R$22="Debt",IF(AND(AO$4&gt;=$D84,AO$4&lt;$D84+'Incremental Repayments'!$I$31),-PMT('Interest Rate'!$J$16,'Incremental Repayments'!$I$31,(HLOOKUP($D84,$E$4:$CZ$32,28,FALSE)*'Incremental Repayments'!$I$22)),0),0)</f>
        <v>0</v>
      </c>
      <c r="AP84" s="783">
        <f>IF('Incremental Repayments'!$R$22="Debt",IF(AND(AP$4&gt;=$D84,AP$4&lt;$D84+'Incremental Repayments'!$I$31),-PMT('Interest Rate'!$J$16,'Incremental Repayments'!$I$31,(HLOOKUP($D84,$E$4:$CZ$32,28,FALSE)*'Incremental Repayments'!$I$22)),0),0)</f>
        <v>0</v>
      </c>
      <c r="AQ84" s="783">
        <f>IF('Incremental Repayments'!$R$22="Debt",IF(AND(AQ$4&gt;=$D84,AQ$4&lt;$D84+'Incremental Repayments'!$I$31),-PMT('Interest Rate'!$J$16,'Incremental Repayments'!$I$31,(HLOOKUP($D84,$E$4:$CZ$32,28,FALSE)*'Incremental Repayments'!$I$22)),0),0)</f>
        <v>0</v>
      </c>
      <c r="AR84" s="783">
        <f>IF('Incremental Repayments'!$R$22="Debt",IF(AND(AR$4&gt;=$D84,AR$4&lt;$D84+'Incremental Repayments'!$I$31),-PMT('Interest Rate'!$J$16,'Incremental Repayments'!$I$31,(HLOOKUP($D84,$E$4:$CZ$32,28,FALSE)*'Incremental Repayments'!$I$22)),0),0)</f>
        <v>0</v>
      </c>
      <c r="AS84" s="783">
        <f>IF('Incremental Repayments'!$R$22="Debt",IF(AND(AS$4&gt;=$D84,AS$4&lt;$D84+'Incremental Repayments'!$I$31),-PMT('Interest Rate'!$J$16,'Incremental Repayments'!$I$31,(HLOOKUP($D84,$E$4:$CZ$32,28,FALSE)*'Incremental Repayments'!$I$22)),0),0)</f>
        <v>0</v>
      </c>
      <c r="AT84" s="783">
        <f>IF('Incremental Repayments'!$R$22="Debt",IF(AND(AT$4&gt;=$D84,AT$4&lt;$D84+'Incremental Repayments'!$I$31),-PMT('Interest Rate'!$J$16,'Incremental Repayments'!$I$31,(HLOOKUP($D84,$E$4:$CZ$32,28,FALSE)*'Incremental Repayments'!$I$22)),0),0)</f>
        <v>0</v>
      </c>
      <c r="AU84" s="783">
        <f>IF('Incremental Repayments'!$R$22="Debt",IF(AND(AU$4&gt;=$D84,AU$4&lt;$D84+'Incremental Repayments'!$I$31),-PMT('Interest Rate'!$J$16,'Incremental Repayments'!$I$31,(HLOOKUP($D84,$E$4:$CZ$32,28,FALSE)*'Incremental Repayments'!$I$22)),0),0)</f>
        <v>0</v>
      </c>
      <c r="AV84" s="783">
        <f>IF('Incremental Repayments'!$R$22="Debt",IF(AND(AV$4&gt;=$D84,AV$4&lt;$D84+'Incremental Repayments'!$I$31),-PMT('Interest Rate'!$J$16,'Incremental Repayments'!$I$31,(HLOOKUP($D84,$E$4:$CZ$32,28,FALSE)*'Incremental Repayments'!$I$22)),0),0)</f>
        <v>0</v>
      </c>
      <c r="AW84" s="783">
        <f>IF('Incremental Repayments'!$R$22="Debt",IF(AND(AW$4&gt;=$D84,AW$4&lt;$D84+'Incremental Repayments'!$I$31),-PMT('Interest Rate'!$J$16,'Incremental Repayments'!$I$31,(HLOOKUP($D84,$E$4:$CZ$32,28,FALSE)*'Incremental Repayments'!$I$22)),0),0)</f>
        <v>0</v>
      </c>
      <c r="AX84" s="783">
        <f>IF('Incremental Repayments'!$R$22="Debt",IF(AND(AX$4&gt;=$D84,AX$4&lt;$D84+'Incremental Repayments'!$I$31),-PMT('Interest Rate'!$J$16,'Incremental Repayments'!$I$31,(HLOOKUP($D84,$E$4:$CZ$32,28,FALSE)*'Incremental Repayments'!$I$22)),0),0)</f>
        <v>0</v>
      </c>
      <c r="AY84" s="783">
        <f>IF('Incremental Repayments'!$R$22="Debt",IF(AND(AY$4&gt;=$D84,AY$4&lt;$D84+'Incremental Repayments'!$I$31),-PMT('Interest Rate'!$J$16,'Incremental Repayments'!$I$31,(HLOOKUP($D84,$E$4:$CZ$32,28,FALSE)*'Incremental Repayments'!$I$22)),0),0)</f>
        <v>0</v>
      </c>
      <c r="AZ84" s="783">
        <f>IF('Incremental Repayments'!$R$22="Debt",IF(AND(AZ$4&gt;=$D84,AZ$4&lt;$D84+'Incremental Repayments'!$I$31),-PMT('Interest Rate'!$J$16,'Incremental Repayments'!$I$31,(HLOOKUP($D84,$E$4:$CZ$32,28,FALSE)*'Incremental Repayments'!$I$22)),0),0)</f>
        <v>0</v>
      </c>
      <c r="BA84" s="783">
        <f>IF('Incremental Repayments'!$R$22="Debt",IF(AND(BA$4&gt;=$D84,BA$4&lt;$D84+'Incremental Repayments'!$I$31),-PMT('Interest Rate'!$J$16,'Incremental Repayments'!$I$31,(HLOOKUP($D84,$E$4:$CZ$32,28,FALSE)*'Incremental Repayments'!$I$22)),0),0)</f>
        <v>0</v>
      </c>
      <c r="BB84" s="783">
        <f>IF('Incremental Repayments'!$R$22="Debt",IF(AND(BB$4&gt;=$D84,BB$4&lt;$D84+'Incremental Repayments'!$I$31),-PMT('Interest Rate'!$J$16,'Incremental Repayments'!$I$31,(HLOOKUP($D84,$E$4:$CZ$32,28,FALSE)*'Incremental Repayments'!$I$22)),0),0)</f>
        <v>0</v>
      </c>
      <c r="BC84" s="783">
        <f>IF('Incremental Repayments'!$R$22="Debt",IF(AND(BC$4&gt;=$D84,BC$4&lt;$D84+'Incremental Repayments'!$I$31),-PMT('Interest Rate'!$J$16,'Incremental Repayments'!$I$31,(HLOOKUP($D84,$E$4:$CZ$32,28,FALSE)*'Incremental Repayments'!$I$22)),0),0)</f>
        <v>0</v>
      </c>
      <c r="BD84" s="783">
        <f>IF('Incremental Repayments'!$R$22="Debt",IF(AND(BD$4&gt;=$D84,BD$4&lt;$D84+'Incremental Repayments'!$I$31),-PMT('Interest Rate'!$J$16,'Incremental Repayments'!$I$31,(HLOOKUP($D84,$E$4:$CZ$32,28,FALSE)*'Incremental Repayments'!$I$22)),0),0)</f>
        <v>0</v>
      </c>
      <c r="BE84" s="783">
        <f>IF('Incremental Repayments'!$R$22="Debt",IF(AND(BE$4&gt;=$D84,BE$4&lt;$D84+'Incremental Repayments'!$I$31),-PMT('Interest Rate'!$J$16,'Incremental Repayments'!$I$31,(HLOOKUP($D84,$E$4:$CZ$32,28,FALSE)*'Incremental Repayments'!$I$22)),0),0)</f>
        <v>0</v>
      </c>
      <c r="BF84" s="783">
        <f>IF('Incremental Repayments'!$R$22="Debt",IF(AND(BF$4&gt;=$D84,BF$4&lt;$D84+'Incremental Repayments'!$I$31),-PMT('Interest Rate'!$J$16,'Incremental Repayments'!$I$31,(HLOOKUP($D84,$E$4:$CZ$32,28,FALSE)*'Incremental Repayments'!$I$22)),0),0)</f>
        <v>0</v>
      </c>
      <c r="BG84" s="783">
        <f>IF('Incremental Repayments'!$R$22="Debt",IF(AND(BG$4&gt;=$D84,BG$4&lt;$D84+'Incremental Repayments'!$I$31),-PMT('Interest Rate'!$J$16,'Incremental Repayments'!$I$31,(HLOOKUP($D84,$E$4:$CZ$32,28,FALSE)*'Incremental Repayments'!$I$22)),0),0)</f>
        <v>0</v>
      </c>
      <c r="BH84" s="783">
        <f>IF('Incremental Repayments'!$R$22="Debt",IF(AND(BH$4&gt;=$D84,BH$4&lt;$D84+'Incremental Repayments'!$I$31),-PMT('Interest Rate'!$J$16,'Incremental Repayments'!$I$31,(HLOOKUP($D84,$E$4:$CZ$32,28,FALSE)*'Incremental Repayments'!$I$22)),0),0)</f>
        <v>0</v>
      </c>
      <c r="BI84" s="783">
        <f>IF('Incremental Repayments'!$R$22="Debt",IF(AND(BI$4&gt;=$D84,BI$4&lt;$D84+'Incremental Repayments'!$I$31),-PMT('Interest Rate'!$J$16,'Incremental Repayments'!$I$31,(HLOOKUP($D84,$E$4:$CZ$32,28,FALSE)*'Incremental Repayments'!$I$22)),0),0)</f>
        <v>0</v>
      </c>
      <c r="BJ84" s="783">
        <f>IF('Incremental Repayments'!$R$22="Debt",IF(AND(BJ$4&gt;=$D84,BJ$4&lt;$D84+'Incremental Repayments'!$I$31),-PMT('Interest Rate'!$J$16,'Incremental Repayments'!$I$31,(HLOOKUP($D84,$E$4:$CZ$32,28,FALSE)*'Incremental Repayments'!$I$22)),0),0)</f>
        <v>0</v>
      </c>
      <c r="BK84" s="783">
        <f>IF('Incremental Repayments'!$R$22="Debt",IF(AND(BK$4&gt;=$D84,BK$4&lt;$D84+'Incremental Repayments'!$I$31),-PMT('Interest Rate'!$J$16,'Incremental Repayments'!$I$31,(HLOOKUP($D84,$E$4:$CZ$32,28,FALSE)*'Incremental Repayments'!$I$22)),0),0)</f>
        <v>0</v>
      </c>
      <c r="BL84" s="783">
        <f>IF('Incremental Repayments'!$R$22="Debt",IF(AND(BL$4&gt;=$D84,BL$4&lt;$D84+'Incremental Repayments'!$I$31),-PMT('Interest Rate'!$J$16,'Incremental Repayments'!$I$31,(HLOOKUP($D84,$E$4:$CZ$32,28,FALSE)*'Incremental Repayments'!$I$22)),0),0)</f>
        <v>0</v>
      </c>
      <c r="BM84" s="783">
        <f>IF('Incremental Repayments'!$R$22="Debt",IF(AND(BM$4&gt;=$D84,BM$4&lt;$D84+'Incremental Repayments'!$I$31),-PMT('Interest Rate'!$J$16,'Incremental Repayments'!$I$31,(HLOOKUP($D84,$E$4:$CZ$32,28,FALSE)*'Incremental Repayments'!$I$22)),0),0)</f>
        <v>0</v>
      </c>
      <c r="BN84" s="783">
        <f>IF('Incremental Repayments'!$R$22="Debt",IF(AND(BN$4&gt;=$D84,BN$4&lt;$D84+'Incremental Repayments'!$I$31),-PMT('Interest Rate'!$J$16,'Incremental Repayments'!$I$31,(HLOOKUP($D84,$E$4:$CZ$32,28,FALSE)*'Incremental Repayments'!$I$22)),0),0)</f>
        <v>0</v>
      </c>
      <c r="BO84" s="783">
        <f>IF('Incremental Repayments'!$R$22="Debt",IF(AND(BO$4&gt;=$D84,BO$4&lt;$D84+'Incremental Repayments'!$I$31),-PMT('Interest Rate'!$J$16,'Incremental Repayments'!$I$31,(HLOOKUP($D84,$E$4:$CZ$32,28,FALSE)*'Incremental Repayments'!$I$22)),0),0)</f>
        <v>0</v>
      </c>
      <c r="BP84" s="783">
        <f>IF('Incremental Repayments'!$R$22="Debt",IF(AND(BP$4&gt;=$D84,BP$4&lt;$D84+'Incremental Repayments'!$I$31),-PMT('Interest Rate'!$J$16,'Incremental Repayments'!$I$31,(HLOOKUP($D84,$E$4:$CZ$32,28,FALSE)*'Incremental Repayments'!$I$22)),0),0)</f>
        <v>0</v>
      </c>
      <c r="BQ84" s="783">
        <f>IF('Incremental Repayments'!$R$22="Debt",IF(AND(BQ$4&gt;=$D84,BQ$4&lt;$D84+'Incremental Repayments'!$I$31),-PMT('Interest Rate'!$J$16,'Incremental Repayments'!$I$31,(HLOOKUP($D84,$E$4:$CZ$32,28,FALSE)*'Incremental Repayments'!$I$22)),0),0)</f>
        <v>0</v>
      </c>
      <c r="BR84" s="783">
        <f>IF('Incremental Repayments'!$R$22="Debt",IF(AND(BR$4&gt;=$D84,BR$4&lt;$D84+'Incremental Repayments'!$I$31),-PMT('Interest Rate'!$J$16,'Incremental Repayments'!$I$31,(HLOOKUP($D84,$E$4:$CZ$32,28,FALSE)*'Incremental Repayments'!$I$22)),0),0)</f>
        <v>0</v>
      </c>
      <c r="BS84" s="783">
        <f>IF('Incremental Repayments'!$R$22="Debt",IF(AND(BS$4&gt;=$D84,BS$4&lt;$D84+'Incremental Repayments'!$I$31),-PMT('Interest Rate'!$J$16,'Incremental Repayments'!$I$31,(HLOOKUP($D84,$E$4:$CZ$32,28,FALSE)*'Incremental Repayments'!$I$22)),0),0)</f>
        <v>0</v>
      </c>
      <c r="BT84" s="783">
        <f>IF('Incremental Repayments'!$R$22="Debt",IF(AND(BT$4&gt;=$D84,BT$4&lt;$D84+'Incremental Repayments'!$I$31),-PMT('Interest Rate'!$J$16,'Incremental Repayments'!$I$31,(HLOOKUP($D84,$E$4:$CZ$32,28,FALSE)*'Incremental Repayments'!$I$22)),0),0)</f>
        <v>0</v>
      </c>
      <c r="BU84" s="783">
        <f>IF('Incremental Repayments'!$R$22="Debt",IF(AND(BU$4&gt;=$D84,BU$4&lt;$D84+'Incremental Repayments'!$I$31),-PMT('Interest Rate'!$J$16,'Incremental Repayments'!$I$31,(HLOOKUP($D84,$E$4:$CZ$32,28,FALSE)*'Incremental Repayments'!$I$22)),0),0)</f>
        <v>0</v>
      </c>
      <c r="BV84" s="783">
        <f>IF('Incremental Repayments'!$R$22="Debt",IF(AND(BV$4&gt;=$D84,BV$4&lt;$D84+'Incremental Repayments'!$I$31),-PMT('Interest Rate'!$J$16,'Incremental Repayments'!$I$31,(HLOOKUP($D84,$E$4:$CZ$32,28,FALSE)*'Incremental Repayments'!$I$22)),0),0)</f>
        <v>0</v>
      </c>
      <c r="BW84" s="783">
        <f>IF('Incremental Repayments'!$R$22="Debt",IF(AND(BW$4&gt;=$D84,BW$4&lt;$D84+'Incremental Repayments'!$I$31),-PMT('Interest Rate'!$J$16,'Incremental Repayments'!$I$31,(HLOOKUP($D84,$E$4:$CZ$32,28,FALSE)*'Incremental Repayments'!$I$22)),0),0)</f>
        <v>0</v>
      </c>
      <c r="BX84" s="783">
        <f>IF('Incremental Repayments'!$R$22="Debt",IF(AND(BX$4&gt;=$D84,BX$4&lt;$D84+'Incremental Repayments'!$I$31),-PMT('Interest Rate'!$J$16,'Incremental Repayments'!$I$31,(HLOOKUP($D84,$E$4:$CZ$32,28,FALSE)*'Incremental Repayments'!$I$22)),0),0)</f>
        <v>0</v>
      </c>
      <c r="BY84" s="783">
        <f>IF('Incremental Repayments'!$R$22="Debt",IF(AND(BY$4&gt;=$D84,BY$4&lt;$D84+'Incremental Repayments'!$I$31),-PMT('Interest Rate'!$J$16,'Incremental Repayments'!$I$31,(HLOOKUP($D84,$E$4:$CZ$32,28,FALSE)*'Incremental Repayments'!$I$22)),0),0)</f>
        <v>0</v>
      </c>
      <c r="BZ84" s="783">
        <f>IF('Incremental Repayments'!$R$22="Debt",IF(AND(BZ$4&gt;=$D84,BZ$4&lt;$D84+'Incremental Repayments'!$I$31),-PMT('Interest Rate'!$J$16,'Incremental Repayments'!$I$31,(HLOOKUP($D84,$E$4:$CZ$32,28,FALSE)*'Incremental Repayments'!$I$22)),0),0)</f>
        <v>0</v>
      </c>
      <c r="CA84" s="783">
        <f>IF('Incremental Repayments'!$R$22="Debt",IF(AND(CA$4&gt;=$D84,CA$4&lt;$D84+'Incremental Repayments'!$I$31),-PMT('Interest Rate'!$J$16,'Incremental Repayments'!$I$31,(HLOOKUP($D84,$E$4:$CZ$32,28,FALSE)*'Incremental Repayments'!$I$22)),0),0)</f>
        <v>0</v>
      </c>
      <c r="CB84" s="783">
        <f>IF('Incremental Repayments'!$R$22="Debt",IF(AND(CB$4&gt;=$D84,CB$4&lt;$D84+'Incremental Repayments'!$I$31),-PMT('Interest Rate'!$J$16,'Incremental Repayments'!$I$31,(HLOOKUP($D84,$E$4:$CZ$32,28,FALSE)*'Incremental Repayments'!$I$22)),0),0)</f>
        <v>0</v>
      </c>
      <c r="CC84" s="783">
        <f>IF('Incremental Repayments'!$R$22="Debt",IF(AND(CC$4&gt;=$D84,CC$4&lt;$D84+'Incremental Repayments'!$I$31),-PMT('Interest Rate'!$J$16,'Incremental Repayments'!$I$31,(HLOOKUP($D84,$E$4:$CZ$32,28,FALSE)*'Incremental Repayments'!$I$22)),0),0)</f>
        <v>0</v>
      </c>
      <c r="CD84" s="783">
        <f>IF('Incremental Repayments'!$R$22="Debt",IF(AND(CD$4&gt;=$D84,CD$4&lt;$D84+'Incremental Repayments'!$I$31),-PMT('Interest Rate'!$J$16,'Incremental Repayments'!$I$31,(HLOOKUP($D84,$E$4:$CZ$32,28,FALSE)*'Incremental Repayments'!$I$22)),0),0)</f>
        <v>0</v>
      </c>
      <c r="CE84" s="783">
        <f>IF('Incremental Repayments'!$R$22="Debt",IF(AND(CE$4&gt;=$D84,CE$4&lt;$D84+'Incremental Repayments'!$I$31),-PMT('Interest Rate'!$J$16,'Incremental Repayments'!$I$31,(HLOOKUP($D84,$E$4:$CZ$32,28,FALSE)*'Incremental Repayments'!$I$22)),0),0)</f>
        <v>0</v>
      </c>
      <c r="CF84" s="783">
        <f>IF('Incremental Repayments'!$R$22="Debt",IF(AND(CF$4&gt;=$D84,CF$4&lt;$D84+'Incremental Repayments'!$I$31),-PMT('Interest Rate'!$J$16,'Incremental Repayments'!$I$31,(HLOOKUP($D84,$E$4:$CZ$32,28,FALSE)*'Incremental Repayments'!$I$22)),0),0)</f>
        <v>0</v>
      </c>
      <c r="CG84" s="783">
        <f>IF('Incremental Repayments'!$R$22="Debt",IF(AND(CG$4&gt;=$D84,CG$4&lt;$D84+'Incremental Repayments'!$I$31),-PMT('Interest Rate'!$J$16,'Incremental Repayments'!$I$31,(HLOOKUP($D84,$E$4:$CZ$32,28,FALSE)*'Incremental Repayments'!$I$22)),0),0)</f>
        <v>0</v>
      </c>
      <c r="CH84" s="783">
        <f>IF('Incremental Repayments'!$R$22="Debt",IF(AND(CH$4&gt;=$D84,CH$4&lt;$D84+'Incremental Repayments'!$I$31),-PMT('Interest Rate'!$J$16,'Incremental Repayments'!$I$31,(HLOOKUP($D84,$E$4:$CZ$32,28,FALSE)*'Incremental Repayments'!$I$22)),0),0)</f>
        <v>0</v>
      </c>
      <c r="CI84" s="783">
        <f>IF('Incremental Repayments'!$R$22="Debt",IF(AND(CI$4&gt;=$D84,CI$4&lt;$D84+'Incremental Repayments'!$I$31),-PMT('Interest Rate'!$J$16,'Incremental Repayments'!$I$31,(HLOOKUP($D84,$E$4:$CZ$32,28,FALSE)*'Incremental Repayments'!$I$22)),0),0)</f>
        <v>0</v>
      </c>
      <c r="CJ84" s="783">
        <f>IF('Incremental Repayments'!$R$22="Debt",IF(AND(CJ$4&gt;=$D84,CJ$4&lt;$D84+'Incremental Repayments'!$I$31),-PMT('Interest Rate'!$J$16,'Incremental Repayments'!$I$31,(HLOOKUP($D84,$E$4:$CZ$32,28,FALSE)*'Incremental Repayments'!$I$22)),0),0)</f>
        <v>0</v>
      </c>
      <c r="CK84" s="783">
        <f>IF('Incremental Repayments'!$R$22="Debt",IF(AND(CK$4&gt;=$D84,CK$4&lt;$D84+'Incremental Repayments'!$I$31),-PMT('Interest Rate'!$J$16,'Incremental Repayments'!$I$31,(HLOOKUP($D84,$E$4:$CZ$32,28,FALSE)*'Incremental Repayments'!$I$22)),0),0)</f>
        <v>0</v>
      </c>
      <c r="CL84" s="783">
        <f>IF('Incremental Repayments'!$R$22="Debt",IF(AND(CL$4&gt;=$D84,CL$4&lt;$D84+'Incremental Repayments'!$I$31),-PMT('Interest Rate'!$J$16,'Incremental Repayments'!$I$31,(HLOOKUP($D84,$E$4:$CZ$32,28,FALSE)*'Incremental Repayments'!$I$22)),0),0)</f>
        <v>0</v>
      </c>
      <c r="CM84" s="783">
        <f>IF('Incremental Repayments'!$R$22="Debt",IF(AND(CM$4&gt;=$D84,CM$4&lt;$D84+'Incremental Repayments'!$I$31),-PMT('Interest Rate'!$J$16,'Incremental Repayments'!$I$31,(HLOOKUP($D84,$E$4:$CZ$32,28,FALSE)*'Incremental Repayments'!$I$22)),0),0)</f>
        <v>0</v>
      </c>
      <c r="CN84" s="783">
        <f>IF('Incremental Repayments'!$R$22="Debt",IF(AND(CN$4&gt;=$D84,CN$4&lt;$D84+'Incremental Repayments'!$I$31),-PMT('Interest Rate'!$J$16,'Incremental Repayments'!$I$31,(HLOOKUP($D84,$E$4:$CZ$32,28,FALSE)*'Incremental Repayments'!$I$22)),0),0)</f>
        <v>0</v>
      </c>
      <c r="CO84" s="783">
        <f>IF('Incremental Repayments'!$R$22="Debt",IF(AND(CO$4&gt;=$D84,CO$4&lt;$D84+'Incremental Repayments'!$I$31),-PMT('Interest Rate'!$J$16,'Incremental Repayments'!$I$31,(HLOOKUP($D84,$E$4:$CZ$32,28,FALSE)*'Incremental Repayments'!$I$22)),0),0)</f>
        <v>0</v>
      </c>
      <c r="CP84" s="783">
        <f>IF('Incremental Repayments'!$R$22="Debt",IF(AND(CP$4&gt;=$D84,CP$4&lt;$D84+'Incremental Repayments'!$I$31),-PMT('Interest Rate'!$J$16,'Incremental Repayments'!$I$31,(HLOOKUP($D84,$E$4:$CZ$32,28,FALSE)*'Incremental Repayments'!$I$22)),0),0)</f>
        <v>0</v>
      </c>
      <c r="CQ84" s="783">
        <f>IF('Incremental Repayments'!$R$22="Debt",IF(AND(CQ$4&gt;=$D84,CQ$4&lt;$D84+'Incremental Repayments'!$I$31),-PMT('Interest Rate'!$J$16,'Incremental Repayments'!$I$31,(HLOOKUP($D84,$E$4:$CZ$32,28,FALSE)*'Incremental Repayments'!$I$22)),0),0)</f>
        <v>0</v>
      </c>
      <c r="CR84" s="783">
        <f>IF('Incremental Repayments'!$R$22="Debt",IF(AND(CR$4&gt;=$D84,CR$4&lt;$D84+'Incremental Repayments'!$I$31),-PMT('Interest Rate'!$J$16,'Incremental Repayments'!$I$31,(HLOOKUP($D84,$E$4:$CZ$32,28,FALSE)*'Incremental Repayments'!$I$22)),0),0)</f>
        <v>0</v>
      </c>
      <c r="CS84" s="783">
        <f>IF('Incremental Repayments'!$R$22="Debt",IF(AND(CS$4&gt;=$D84,CS$4&lt;$D84+'Incremental Repayments'!$I$31),-PMT('Interest Rate'!$J$16,'Incremental Repayments'!$I$31,(HLOOKUP($D84,$E$4:$CZ$32,28,FALSE)*'Incremental Repayments'!$I$22)),0),0)</f>
        <v>0</v>
      </c>
      <c r="CT84" s="783">
        <f>IF('Incremental Repayments'!$R$22="Debt",IF(AND(CT$4&gt;=$D84,CT$4&lt;$D84+'Incremental Repayments'!$I$31),-PMT('Interest Rate'!$J$16,'Incremental Repayments'!$I$31,(HLOOKUP($D84,$E$4:$CZ$32,28,FALSE)*'Incremental Repayments'!$I$22)),0),0)</f>
        <v>0</v>
      </c>
      <c r="CU84" s="783">
        <f>IF('Incremental Repayments'!$R$22="Debt",IF(AND(CU$4&gt;=$D84,CU$4&lt;$D84+'Incremental Repayments'!$I$31),-PMT('Interest Rate'!$J$16,'Incremental Repayments'!$I$31,(HLOOKUP($D84,$E$4:$CZ$32,28,FALSE)*'Incremental Repayments'!$I$22)),0),0)</f>
        <v>0</v>
      </c>
      <c r="CV84" s="783">
        <f>IF('Incremental Repayments'!$R$22="Debt",IF(AND(CV$4&gt;=$D84,CV$4&lt;$D84+'Incremental Repayments'!$I$31),-PMT('Interest Rate'!$J$16,'Incremental Repayments'!$I$31,(HLOOKUP($D84,$E$4:$CZ$32,28,FALSE)*'Incremental Repayments'!$I$22)),0),0)</f>
        <v>0</v>
      </c>
      <c r="CW84" s="783">
        <f>IF('Incremental Repayments'!$R$22="Debt",IF(AND(CW$4&gt;=$D84,CW$4&lt;$D84+'Incremental Repayments'!$I$31),-PMT('Interest Rate'!$J$16,'Incremental Repayments'!$I$31,(HLOOKUP($D84,$E$4:$CZ$32,28,FALSE)*'Incremental Repayments'!$I$22)),0),0)</f>
        <v>0</v>
      </c>
      <c r="CX84" s="783">
        <f>IF('Incremental Repayments'!$R$22="Debt",IF(AND(CX$4&gt;=$D84,CX$4&lt;$D84+'Incremental Repayments'!$I$31),-PMT('Interest Rate'!$J$16,'Incremental Repayments'!$I$31,(HLOOKUP($D84,$E$4:$CZ$32,28,FALSE)*'Incremental Repayments'!$I$22)),0),0)</f>
        <v>0</v>
      </c>
      <c r="CY84" s="783">
        <f>IF('Incremental Repayments'!$R$22="Debt",IF(AND(CY$4&gt;=$D84,CY$4&lt;$D84+'Incremental Repayments'!$I$31),-PMT('Interest Rate'!$J$16,'Incremental Repayments'!$I$31,(HLOOKUP($D84,$E$4:$CZ$32,28,FALSE)*'Incremental Repayments'!$I$22)),0),0)</f>
        <v>0</v>
      </c>
      <c r="CZ84" s="783">
        <f>IF('Incremental Repayments'!$R$22="Debt",IF(AND(CZ$4&gt;=$D84,CZ$4&lt;$D84+'Incremental Repayments'!$I$31),-PMT('Interest Rate'!$J$16,'Incremental Repayments'!$I$31,(HLOOKUP($D84,$E$4:$CZ$32,28,FALSE)*'Incremental Repayments'!$I$22)),0),0)</f>
        <v>0</v>
      </c>
    </row>
    <row r="85" spans="2:104" x14ac:dyDescent="0.25">
      <c r="B85" s="480" t="str">
        <f>CONCATENATE("Series ",D85,"A Bonds (at ",'Interest Rate'!$J$16*100,"% Interest)")</f>
        <v>Series 2063A Bonds (at 4.5% Interest)</v>
      </c>
      <c r="C85" s="480"/>
      <c r="D85" s="492">
        <f t="shared" si="47"/>
        <v>2063</v>
      </c>
      <c r="E85" s="783">
        <f>IF('Incremental Repayments'!$R$22="Debt",IF(AND(E$4&gt;=$D85,E$4&lt;$D85+'Incremental Repayments'!$I$31),-PMT('Interest Rate'!$J$16,'Incremental Repayments'!$I$31,(HLOOKUP($D85,$E$4:$CZ$32,28,FALSE)*'Incremental Repayments'!$I$22)),0),0)</f>
        <v>0</v>
      </c>
      <c r="F85" s="783">
        <f>IF('Incremental Repayments'!$R$22="Debt",IF(AND(F$4&gt;=$D85,F$4&lt;$D85+'Incremental Repayments'!$I$31),-PMT('Interest Rate'!$J$16,'Incremental Repayments'!$I$31,(HLOOKUP($D85,$E$4:$CZ$32,28,FALSE)*'Incremental Repayments'!$I$22)),0),0)</f>
        <v>0</v>
      </c>
      <c r="G85" s="783">
        <f>IF('Incremental Repayments'!$R$22="Debt",IF(AND(G$4&gt;=$D85,G$4&lt;$D85+'Incremental Repayments'!$I$31),-PMT('Interest Rate'!$J$16,'Incremental Repayments'!$I$31,(HLOOKUP($D85,$E$4:$CZ$32,28,FALSE)*'Incremental Repayments'!$I$22)),0),0)</f>
        <v>0</v>
      </c>
      <c r="H85" s="783">
        <f>IF('Incremental Repayments'!$R$22="Debt",IF(AND(H$4&gt;=$D85,H$4&lt;$D85+'Incremental Repayments'!$I$31),-PMT('Interest Rate'!$J$16,'Incremental Repayments'!$I$31,(HLOOKUP($D85,$E$4:$CZ$32,28,FALSE)*'Incremental Repayments'!$I$22)),0),0)</f>
        <v>0</v>
      </c>
      <c r="I85" s="783">
        <f>IF('Incremental Repayments'!$R$22="Debt",IF(AND(I$4&gt;=$D85,I$4&lt;$D85+'Incremental Repayments'!$I$31),-PMT('Interest Rate'!$J$16,'Incremental Repayments'!$I$31,(HLOOKUP($D85,$E$4:$CZ$32,28,FALSE)*'Incremental Repayments'!$I$22)),0),0)</f>
        <v>0</v>
      </c>
      <c r="J85" s="783">
        <f>IF('Incremental Repayments'!$R$22="Debt",IF(AND(J$4&gt;=$D85,J$4&lt;$D85+'Incremental Repayments'!$I$31),-PMT('Interest Rate'!$J$16,'Incremental Repayments'!$I$31,(HLOOKUP($D85,$E$4:$CZ$32,28,FALSE)*'Incremental Repayments'!$I$22)),0),0)</f>
        <v>0</v>
      </c>
      <c r="K85" s="783">
        <f>IF('Incremental Repayments'!$R$22="Debt",IF(AND(K$4&gt;=$D85,K$4&lt;$D85+'Incremental Repayments'!$I$31),-PMT('Interest Rate'!$J$16,'Incremental Repayments'!$I$31,(HLOOKUP($D85,$E$4:$CZ$32,28,FALSE)*'Incremental Repayments'!$I$22)),0),0)</f>
        <v>0</v>
      </c>
      <c r="L85" s="783">
        <f>IF('Incremental Repayments'!$R$22="Debt",IF(AND(L$4&gt;=$D85,L$4&lt;$D85+'Incremental Repayments'!$I$31),-PMT('Interest Rate'!$J$16,'Incremental Repayments'!$I$31,(HLOOKUP($D85,$E$4:$CZ$32,28,FALSE)*'Incremental Repayments'!$I$22)),0),0)</f>
        <v>0</v>
      </c>
      <c r="M85" s="783">
        <f>IF('Incremental Repayments'!$R$22="Debt",IF(AND(M$4&gt;=$D85,M$4&lt;$D85+'Incremental Repayments'!$I$31),-PMT('Interest Rate'!$J$16,'Incremental Repayments'!$I$31,(HLOOKUP($D85,$E$4:$CZ$32,28,FALSE)*'Incremental Repayments'!$I$22)),0),0)</f>
        <v>0</v>
      </c>
      <c r="N85" s="783">
        <f>IF('Incremental Repayments'!$R$22="Debt",IF(AND(N$4&gt;=$D85,N$4&lt;$D85+'Incremental Repayments'!$I$31),-PMT('Interest Rate'!$J$16,'Incremental Repayments'!$I$31,(HLOOKUP($D85,$E$4:$CZ$32,28,FALSE)*'Incremental Repayments'!$I$22)),0),0)</f>
        <v>0</v>
      </c>
      <c r="O85" s="783">
        <f>IF('Incremental Repayments'!$R$22="Debt",IF(AND(O$4&gt;=$D85,O$4&lt;$D85+'Incremental Repayments'!$I$31),-PMT('Interest Rate'!$J$16,'Incremental Repayments'!$I$31,(HLOOKUP($D85,$E$4:$CZ$32,28,FALSE)*'Incremental Repayments'!$I$22)),0),0)</f>
        <v>0</v>
      </c>
      <c r="P85" s="783">
        <f>IF('Incremental Repayments'!$R$22="Debt",IF(AND(P$4&gt;=$D85,P$4&lt;$D85+'Incremental Repayments'!$I$31),-PMT('Interest Rate'!$J$16,'Incremental Repayments'!$I$31,(HLOOKUP($D85,$E$4:$CZ$32,28,FALSE)*'Incremental Repayments'!$I$22)),0),0)</f>
        <v>0</v>
      </c>
      <c r="Q85" s="783">
        <f>IF('Incremental Repayments'!$R$22="Debt",IF(AND(Q$4&gt;=$D85,Q$4&lt;$D85+'Incremental Repayments'!$I$31),-PMT('Interest Rate'!$J$16,'Incremental Repayments'!$I$31,(HLOOKUP($D85,$E$4:$CZ$32,28,FALSE)*'Incremental Repayments'!$I$22)),0),0)</f>
        <v>0</v>
      </c>
      <c r="R85" s="783">
        <f>IF('Incremental Repayments'!$R$22="Debt",IF(AND(R$4&gt;=$D85,R$4&lt;$D85+'Incremental Repayments'!$I$31),-PMT('Interest Rate'!$J$16,'Incremental Repayments'!$I$31,(HLOOKUP($D85,$E$4:$CZ$32,28,FALSE)*'Incremental Repayments'!$I$22)),0),0)</f>
        <v>0</v>
      </c>
      <c r="S85" s="783">
        <f>IF('Incremental Repayments'!$R$22="Debt",IF(AND(S$4&gt;=$D85,S$4&lt;$D85+'Incremental Repayments'!$I$31),-PMT('Interest Rate'!$J$16,'Incremental Repayments'!$I$31,(HLOOKUP($D85,$E$4:$CZ$32,28,FALSE)*'Incremental Repayments'!$I$22)),0),0)</f>
        <v>0</v>
      </c>
      <c r="T85" s="783">
        <f>IF('Incremental Repayments'!$R$22="Debt",IF(AND(T$4&gt;=$D85,T$4&lt;$D85+'Incremental Repayments'!$I$31),-PMT('Interest Rate'!$J$16,'Incremental Repayments'!$I$31,(HLOOKUP($D85,$E$4:$CZ$32,28,FALSE)*'Incremental Repayments'!$I$22)),0),0)</f>
        <v>0</v>
      </c>
      <c r="U85" s="783">
        <f>IF('Incremental Repayments'!$R$22="Debt",IF(AND(U$4&gt;=$D85,U$4&lt;$D85+'Incremental Repayments'!$I$31),-PMT('Interest Rate'!$J$16,'Incremental Repayments'!$I$31,(HLOOKUP($D85,$E$4:$CZ$32,28,FALSE)*'Incremental Repayments'!$I$22)),0),0)</f>
        <v>0</v>
      </c>
      <c r="V85" s="783">
        <f>IF('Incremental Repayments'!$R$22="Debt",IF(AND(V$4&gt;=$D85,V$4&lt;$D85+'Incremental Repayments'!$I$31),-PMT('Interest Rate'!$J$16,'Incremental Repayments'!$I$31,(HLOOKUP($D85,$E$4:$CZ$32,28,FALSE)*'Incremental Repayments'!$I$22)),0),0)</f>
        <v>0</v>
      </c>
      <c r="W85" s="783">
        <f>IF('Incremental Repayments'!$R$22="Debt",IF(AND(W$4&gt;=$D85,W$4&lt;$D85+'Incremental Repayments'!$I$31),-PMT('Interest Rate'!$J$16,'Incremental Repayments'!$I$31,(HLOOKUP($D85,$E$4:$CZ$32,28,FALSE)*'Incremental Repayments'!$I$22)),0),0)</f>
        <v>0</v>
      </c>
      <c r="X85" s="783">
        <f>IF('Incremental Repayments'!$R$22="Debt",IF(AND(X$4&gt;=$D85,X$4&lt;$D85+'Incremental Repayments'!$I$31),-PMT('Interest Rate'!$J$16,'Incremental Repayments'!$I$31,(HLOOKUP($D85,$E$4:$CZ$32,28,FALSE)*'Incremental Repayments'!$I$22)),0),0)</f>
        <v>0</v>
      </c>
      <c r="Y85" s="783">
        <f>IF('Incremental Repayments'!$R$22="Debt",IF(AND(Y$4&gt;=$D85,Y$4&lt;$D85+'Incremental Repayments'!$I$31),-PMT('Interest Rate'!$J$16,'Incremental Repayments'!$I$31,(HLOOKUP($D85,$E$4:$CZ$32,28,FALSE)*'Incremental Repayments'!$I$22)),0),0)</f>
        <v>0</v>
      </c>
      <c r="Z85" s="783">
        <f>IF('Incremental Repayments'!$R$22="Debt",IF(AND(Z$4&gt;=$D85,Z$4&lt;$D85+'Incremental Repayments'!$I$31),-PMT('Interest Rate'!$J$16,'Incremental Repayments'!$I$31,(HLOOKUP($D85,$E$4:$CZ$32,28,FALSE)*'Incremental Repayments'!$I$22)),0),0)</f>
        <v>0</v>
      </c>
      <c r="AA85" s="783">
        <f>IF('Incremental Repayments'!$R$22="Debt",IF(AND(AA$4&gt;=$D85,AA$4&lt;$D85+'Incremental Repayments'!$I$31),-PMT('Interest Rate'!$J$16,'Incremental Repayments'!$I$31,(HLOOKUP($D85,$E$4:$CZ$32,28,FALSE)*'Incremental Repayments'!$I$22)),0),0)</f>
        <v>0</v>
      </c>
      <c r="AB85" s="783">
        <f>IF('Incremental Repayments'!$R$22="Debt",IF(AND(AB$4&gt;=$D85,AB$4&lt;$D85+'Incremental Repayments'!$I$31),-PMT('Interest Rate'!$J$16,'Incremental Repayments'!$I$31,(HLOOKUP($D85,$E$4:$CZ$32,28,FALSE)*'Incremental Repayments'!$I$22)),0),0)</f>
        <v>0</v>
      </c>
      <c r="AC85" s="783">
        <f>IF('Incremental Repayments'!$R$22="Debt",IF(AND(AC$4&gt;=$D85,AC$4&lt;$D85+'Incremental Repayments'!$I$31),-PMT('Interest Rate'!$J$16,'Incremental Repayments'!$I$31,(HLOOKUP($D85,$E$4:$CZ$32,28,FALSE)*'Incremental Repayments'!$I$22)),0),0)</f>
        <v>0</v>
      </c>
      <c r="AD85" s="783">
        <f>IF('Incremental Repayments'!$R$22="Debt",IF(AND(AD$4&gt;=$D85,AD$4&lt;$D85+'Incremental Repayments'!$I$31),-PMT('Interest Rate'!$J$16,'Incremental Repayments'!$I$31,(HLOOKUP($D85,$E$4:$CZ$32,28,FALSE)*'Incremental Repayments'!$I$22)),0),0)</f>
        <v>0</v>
      </c>
      <c r="AE85" s="783">
        <f>IF('Incremental Repayments'!$R$22="Debt",IF(AND(AE$4&gt;=$D85,AE$4&lt;$D85+'Incremental Repayments'!$I$31),-PMT('Interest Rate'!$J$16,'Incremental Repayments'!$I$31,(HLOOKUP($D85,$E$4:$CZ$32,28,FALSE)*'Incremental Repayments'!$I$22)),0),0)</f>
        <v>0</v>
      </c>
      <c r="AF85" s="783">
        <f>IF('Incremental Repayments'!$R$22="Debt",IF(AND(AF$4&gt;=$D85,AF$4&lt;$D85+'Incremental Repayments'!$I$31),-PMT('Interest Rate'!$J$16,'Incremental Repayments'!$I$31,(HLOOKUP($D85,$E$4:$CZ$32,28,FALSE)*'Incremental Repayments'!$I$22)),0),0)</f>
        <v>0</v>
      </c>
      <c r="AG85" s="783">
        <f>IF('Incremental Repayments'!$R$22="Debt",IF(AND(AG$4&gt;=$D85,AG$4&lt;$D85+'Incremental Repayments'!$I$31),-PMT('Interest Rate'!$J$16,'Incremental Repayments'!$I$31,(HLOOKUP($D85,$E$4:$CZ$32,28,FALSE)*'Incremental Repayments'!$I$22)),0),0)</f>
        <v>0</v>
      </c>
      <c r="AH85" s="783">
        <f>IF('Incremental Repayments'!$R$22="Debt",IF(AND(AH$4&gt;=$D85,AH$4&lt;$D85+'Incremental Repayments'!$I$31),-PMT('Interest Rate'!$J$16,'Incremental Repayments'!$I$31,(HLOOKUP($D85,$E$4:$CZ$32,28,FALSE)*'Incremental Repayments'!$I$22)),0),0)</f>
        <v>0</v>
      </c>
      <c r="AI85" s="783">
        <f>IF('Incremental Repayments'!$R$22="Debt",IF(AND(AI$4&gt;=$D85,AI$4&lt;$D85+'Incremental Repayments'!$I$31),-PMT('Interest Rate'!$J$16,'Incremental Repayments'!$I$31,(HLOOKUP($D85,$E$4:$CZ$32,28,FALSE)*'Incremental Repayments'!$I$22)),0),0)</f>
        <v>0</v>
      </c>
      <c r="AJ85" s="783">
        <f>IF('Incremental Repayments'!$R$22="Debt",IF(AND(AJ$4&gt;=$D85,AJ$4&lt;$D85+'Incremental Repayments'!$I$31),-PMT('Interest Rate'!$J$16,'Incremental Repayments'!$I$31,(HLOOKUP($D85,$E$4:$CZ$32,28,FALSE)*'Incremental Repayments'!$I$22)),0),0)</f>
        <v>0</v>
      </c>
      <c r="AK85" s="783">
        <f>IF('Incremental Repayments'!$R$22="Debt",IF(AND(AK$4&gt;=$D85,AK$4&lt;$D85+'Incremental Repayments'!$I$31),-PMT('Interest Rate'!$J$16,'Incremental Repayments'!$I$31,(HLOOKUP($D85,$E$4:$CZ$32,28,FALSE)*'Incremental Repayments'!$I$22)),0),0)</f>
        <v>0</v>
      </c>
      <c r="AL85" s="783">
        <f>IF('Incremental Repayments'!$R$22="Debt",IF(AND(AL$4&gt;=$D85,AL$4&lt;$D85+'Incremental Repayments'!$I$31),-PMT('Interest Rate'!$J$16,'Incremental Repayments'!$I$31,(HLOOKUP($D85,$E$4:$CZ$32,28,FALSE)*'Incremental Repayments'!$I$22)),0),0)</f>
        <v>0</v>
      </c>
      <c r="AM85" s="783">
        <f>IF('Incremental Repayments'!$R$22="Debt",IF(AND(AM$4&gt;=$D85,AM$4&lt;$D85+'Incremental Repayments'!$I$31),-PMT('Interest Rate'!$J$16,'Incremental Repayments'!$I$31,(HLOOKUP($D85,$E$4:$CZ$32,28,FALSE)*'Incremental Repayments'!$I$22)),0),0)</f>
        <v>0</v>
      </c>
      <c r="AN85" s="783">
        <f>IF('Incremental Repayments'!$R$22="Debt",IF(AND(AN$4&gt;=$D85,AN$4&lt;$D85+'Incremental Repayments'!$I$31),-PMT('Interest Rate'!$J$16,'Incremental Repayments'!$I$31,(HLOOKUP($D85,$E$4:$CZ$32,28,FALSE)*'Incremental Repayments'!$I$22)),0),0)</f>
        <v>0</v>
      </c>
      <c r="AO85" s="783">
        <f>IF('Incremental Repayments'!$R$22="Debt",IF(AND(AO$4&gt;=$D85,AO$4&lt;$D85+'Incremental Repayments'!$I$31),-PMT('Interest Rate'!$J$16,'Incremental Repayments'!$I$31,(HLOOKUP($D85,$E$4:$CZ$32,28,FALSE)*'Incremental Repayments'!$I$22)),0),0)</f>
        <v>0</v>
      </c>
      <c r="AP85" s="783">
        <f>IF('Incremental Repayments'!$R$22="Debt",IF(AND(AP$4&gt;=$D85,AP$4&lt;$D85+'Incremental Repayments'!$I$31),-PMT('Interest Rate'!$J$16,'Incremental Repayments'!$I$31,(HLOOKUP($D85,$E$4:$CZ$32,28,FALSE)*'Incremental Repayments'!$I$22)),0),0)</f>
        <v>0</v>
      </c>
      <c r="AQ85" s="783">
        <f>IF('Incremental Repayments'!$R$22="Debt",IF(AND(AQ$4&gt;=$D85,AQ$4&lt;$D85+'Incremental Repayments'!$I$31),-PMT('Interest Rate'!$J$16,'Incremental Repayments'!$I$31,(HLOOKUP($D85,$E$4:$CZ$32,28,FALSE)*'Incremental Repayments'!$I$22)),0),0)</f>
        <v>0</v>
      </c>
      <c r="AR85" s="783">
        <f>IF('Incremental Repayments'!$R$22="Debt",IF(AND(AR$4&gt;=$D85,AR$4&lt;$D85+'Incremental Repayments'!$I$31),-PMT('Interest Rate'!$J$16,'Incremental Repayments'!$I$31,(HLOOKUP($D85,$E$4:$CZ$32,28,FALSE)*'Incremental Repayments'!$I$22)),0),0)</f>
        <v>0</v>
      </c>
      <c r="AS85" s="783">
        <f>IF('Incremental Repayments'!$R$22="Debt",IF(AND(AS$4&gt;=$D85,AS$4&lt;$D85+'Incremental Repayments'!$I$31),-PMT('Interest Rate'!$J$16,'Incremental Repayments'!$I$31,(HLOOKUP($D85,$E$4:$CZ$32,28,FALSE)*'Incremental Repayments'!$I$22)),0),0)</f>
        <v>0</v>
      </c>
      <c r="AT85" s="783">
        <f>IF('Incremental Repayments'!$R$22="Debt",IF(AND(AT$4&gt;=$D85,AT$4&lt;$D85+'Incremental Repayments'!$I$31),-PMT('Interest Rate'!$J$16,'Incremental Repayments'!$I$31,(HLOOKUP($D85,$E$4:$CZ$32,28,FALSE)*'Incremental Repayments'!$I$22)),0),0)</f>
        <v>0</v>
      </c>
      <c r="AU85" s="783">
        <f>IF('Incremental Repayments'!$R$22="Debt",IF(AND(AU$4&gt;=$D85,AU$4&lt;$D85+'Incremental Repayments'!$I$31),-PMT('Interest Rate'!$J$16,'Incremental Repayments'!$I$31,(HLOOKUP($D85,$E$4:$CZ$32,28,FALSE)*'Incremental Repayments'!$I$22)),0),0)</f>
        <v>0</v>
      </c>
      <c r="AV85" s="783">
        <f>IF('Incremental Repayments'!$R$22="Debt",IF(AND(AV$4&gt;=$D85,AV$4&lt;$D85+'Incremental Repayments'!$I$31),-PMT('Interest Rate'!$J$16,'Incremental Repayments'!$I$31,(HLOOKUP($D85,$E$4:$CZ$32,28,FALSE)*'Incremental Repayments'!$I$22)),0),0)</f>
        <v>0</v>
      </c>
      <c r="AW85" s="783">
        <f>IF('Incremental Repayments'!$R$22="Debt",IF(AND(AW$4&gt;=$D85,AW$4&lt;$D85+'Incremental Repayments'!$I$31),-PMT('Interest Rate'!$J$16,'Incremental Repayments'!$I$31,(HLOOKUP($D85,$E$4:$CZ$32,28,FALSE)*'Incremental Repayments'!$I$22)),0),0)</f>
        <v>0</v>
      </c>
      <c r="AX85" s="783">
        <f>IF('Incremental Repayments'!$R$22="Debt",IF(AND(AX$4&gt;=$D85,AX$4&lt;$D85+'Incremental Repayments'!$I$31),-PMT('Interest Rate'!$J$16,'Incremental Repayments'!$I$31,(HLOOKUP($D85,$E$4:$CZ$32,28,FALSE)*'Incremental Repayments'!$I$22)),0),0)</f>
        <v>0</v>
      </c>
      <c r="AY85" s="783">
        <f>IF('Incremental Repayments'!$R$22="Debt",IF(AND(AY$4&gt;=$D85,AY$4&lt;$D85+'Incremental Repayments'!$I$31),-PMT('Interest Rate'!$J$16,'Incremental Repayments'!$I$31,(HLOOKUP($D85,$E$4:$CZ$32,28,FALSE)*'Incremental Repayments'!$I$22)),0),0)</f>
        <v>0</v>
      </c>
      <c r="AZ85" s="783">
        <f>IF('Incremental Repayments'!$R$22="Debt",IF(AND(AZ$4&gt;=$D85,AZ$4&lt;$D85+'Incremental Repayments'!$I$31),-PMT('Interest Rate'!$J$16,'Incremental Repayments'!$I$31,(HLOOKUP($D85,$E$4:$CZ$32,28,FALSE)*'Incremental Repayments'!$I$22)),0),0)</f>
        <v>0</v>
      </c>
      <c r="BA85" s="783">
        <f>IF('Incremental Repayments'!$R$22="Debt",IF(AND(BA$4&gt;=$D85,BA$4&lt;$D85+'Incremental Repayments'!$I$31),-PMT('Interest Rate'!$J$16,'Incremental Repayments'!$I$31,(HLOOKUP($D85,$E$4:$CZ$32,28,FALSE)*'Incremental Repayments'!$I$22)),0),0)</f>
        <v>0</v>
      </c>
      <c r="BB85" s="783">
        <f>IF('Incremental Repayments'!$R$22="Debt",IF(AND(BB$4&gt;=$D85,BB$4&lt;$D85+'Incremental Repayments'!$I$31),-PMT('Interest Rate'!$J$16,'Incremental Repayments'!$I$31,(HLOOKUP($D85,$E$4:$CZ$32,28,FALSE)*'Incremental Repayments'!$I$22)),0),0)</f>
        <v>0</v>
      </c>
      <c r="BC85" s="783">
        <f>IF('Incremental Repayments'!$R$22="Debt",IF(AND(BC$4&gt;=$D85,BC$4&lt;$D85+'Incremental Repayments'!$I$31),-PMT('Interest Rate'!$J$16,'Incremental Repayments'!$I$31,(HLOOKUP($D85,$E$4:$CZ$32,28,FALSE)*'Incremental Repayments'!$I$22)),0),0)</f>
        <v>0</v>
      </c>
      <c r="BD85" s="783">
        <f>IF('Incremental Repayments'!$R$22="Debt",IF(AND(BD$4&gt;=$D85,BD$4&lt;$D85+'Incremental Repayments'!$I$31),-PMT('Interest Rate'!$J$16,'Incremental Repayments'!$I$31,(HLOOKUP($D85,$E$4:$CZ$32,28,FALSE)*'Incremental Repayments'!$I$22)),0),0)</f>
        <v>0</v>
      </c>
      <c r="BE85" s="783">
        <f>IF('Incremental Repayments'!$R$22="Debt",IF(AND(BE$4&gt;=$D85,BE$4&lt;$D85+'Incremental Repayments'!$I$31),-PMT('Interest Rate'!$J$16,'Incremental Repayments'!$I$31,(HLOOKUP($D85,$E$4:$CZ$32,28,FALSE)*'Incremental Repayments'!$I$22)),0),0)</f>
        <v>0</v>
      </c>
      <c r="BF85" s="783">
        <f>IF('Incremental Repayments'!$R$22="Debt",IF(AND(BF$4&gt;=$D85,BF$4&lt;$D85+'Incremental Repayments'!$I$31),-PMT('Interest Rate'!$J$16,'Incremental Repayments'!$I$31,(HLOOKUP($D85,$E$4:$CZ$32,28,FALSE)*'Incremental Repayments'!$I$22)),0),0)</f>
        <v>0</v>
      </c>
      <c r="BG85" s="783">
        <f>IF('Incremental Repayments'!$R$22="Debt",IF(AND(BG$4&gt;=$D85,BG$4&lt;$D85+'Incremental Repayments'!$I$31),-PMT('Interest Rate'!$J$16,'Incremental Repayments'!$I$31,(HLOOKUP($D85,$E$4:$CZ$32,28,FALSE)*'Incremental Repayments'!$I$22)),0),0)</f>
        <v>0</v>
      </c>
      <c r="BH85" s="783">
        <f>IF('Incremental Repayments'!$R$22="Debt",IF(AND(BH$4&gt;=$D85,BH$4&lt;$D85+'Incremental Repayments'!$I$31),-PMT('Interest Rate'!$J$16,'Incremental Repayments'!$I$31,(HLOOKUP($D85,$E$4:$CZ$32,28,FALSE)*'Incremental Repayments'!$I$22)),0),0)</f>
        <v>0</v>
      </c>
      <c r="BI85" s="783">
        <f>IF('Incremental Repayments'!$R$22="Debt",IF(AND(BI$4&gt;=$D85,BI$4&lt;$D85+'Incremental Repayments'!$I$31),-PMT('Interest Rate'!$J$16,'Incremental Repayments'!$I$31,(HLOOKUP($D85,$E$4:$CZ$32,28,FALSE)*'Incremental Repayments'!$I$22)),0),0)</f>
        <v>0</v>
      </c>
      <c r="BJ85" s="783">
        <f>IF('Incremental Repayments'!$R$22="Debt",IF(AND(BJ$4&gt;=$D85,BJ$4&lt;$D85+'Incremental Repayments'!$I$31),-PMT('Interest Rate'!$J$16,'Incremental Repayments'!$I$31,(HLOOKUP($D85,$E$4:$CZ$32,28,FALSE)*'Incremental Repayments'!$I$22)),0),0)</f>
        <v>0</v>
      </c>
      <c r="BK85" s="783">
        <f>IF('Incremental Repayments'!$R$22="Debt",IF(AND(BK$4&gt;=$D85,BK$4&lt;$D85+'Incremental Repayments'!$I$31),-PMT('Interest Rate'!$J$16,'Incremental Repayments'!$I$31,(HLOOKUP($D85,$E$4:$CZ$32,28,FALSE)*'Incremental Repayments'!$I$22)),0),0)</f>
        <v>0</v>
      </c>
      <c r="BL85" s="783">
        <f>IF('Incremental Repayments'!$R$22="Debt",IF(AND(BL$4&gt;=$D85,BL$4&lt;$D85+'Incremental Repayments'!$I$31),-PMT('Interest Rate'!$J$16,'Incremental Repayments'!$I$31,(HLOOKUP($D85,$E$4:$CZ$32,28,FALSE)*'Incremental Repayments'!$I$22)),0),0)</f>
        <v>0</v>
      </c>
      <c r="BM85" s="783">
        <f>IF('Incremental Repayments'!$R$22="Debt",IF(AND(BM$4&gt;=$D85,BM$4&lt;$D85+'Incremental Repayments'!$I$31),-PMT('Interest Rate'!$J$16,'Incremental Repayments'!$I$31,(HLOOKUP($D85,$E$4:$CZ$32,28,FALSE)*'Incremental Repayments'!$I$22)),0),0)</f>
        <v>0</v>
      </c>
      <c r="BN85" s="783">
        <f>IF('Incremental Repayments'!$R$22="Debt",IF(AND(BN$4&gt;=$D85,BN$4&lt;$D85+'Incremental Repayments'!$I$31),-PMT('Interest Rate'!$J$16,'Incremental Repayments'!$I$31,(HLOOKUP($D85,$E$4:$CZ$32,28,FALSE)*'Incremental Repayments'!$I$22)),0),0)</f>
        <v>0</v>
      </c>
      <c r="BO85" s="783">
        <f>IF('Incremental Repayments'!$R$22="Debt",IF(AND(BO$4&gt;=$D85,BO$4&lt;$D85+'Incremental Repayments'!$I$31),-PMT('Interest Rate'!$J$16,'Incremental Repayments'!$I$31,(HLOOKUP($D85,$E$4:$CZ$32,28,FALSE)*'Incremental Repayments'!$I$22)),0),0)</f>
        <v>0</v>
      </c>
      <c r="BP85" s="783">
        <f>IF('Incremental Repayments'!$R$22="Debt",IF(AND(BP$4&gt;=$D85,BP$4&lt;$D85+'Incremental Repayments'!$I$31),-PMT('Interest Rate'!$J$16,'Incremental Repayments'!$I$31,(HLOOKUP($D85,$E$4:$CZ$32,28,FALSE)*'Incremental Repayments'!$I$22)),0),0)</f>
        <v>0</v>
      </c>
      <c r="BQ85" s="783">
        <f>IF('Incremental Repayments'!$R$22="Debt",IF(AND(BQ$4&gt;=$D85,BQ$4&lt;$D85+'Incremental Repayments'!$I$31),-PMT('Interest Rate'!$J$16,'Incremental Repayments'!$I$31,(HLOOKUP($D85,$E$4:$CZ$32,28,FALSE)*'Incremental Repayments'!$I$22)),0),0)</f>
        <v>0</v>
      </c>
      <c r="BR85" s="783">
        <f>IF('Incremental Repayments'!$R$22="Debt",IF(AND(BR$4&gt;=$D85,BR$4&lt;$D85+'Incremental Repayments'!$I$31),-PMT('Interest Rate'!$J$16,'Incremental Repayments'!$I$31,(HLOOKUP($D85,$E$4:$CZ$32,28,FALSE)*'Incremental Repayments'!$I$22)),0),0)</f>
        <v>0</v>
      </c>
      <c r="BS85" s="783">
        <f>IF('Incremental Repayments'!$R$22="Debt",IF(AND(BS$4&gt;=$D85,BS$4&lt;$D85+'Incremental Repayments'!$I$31),-PMT('Interest Rate'!$J$16,'Incremental Repayments'!$I$31,(HLOOKUP($D85,$E$4:$CZ$32,28,FALSE)*'Incremental Repayments'!$I$22)),0),0)</f>
        <v>0</v>
      </c>
      <c r="BT85" s="783">
        <f>IF('Incremental Repayments'!$R$22="Debt",IF(AND(BT$4&gt;=$D85,BT$4&lt;$D85+'Incremental Repayments'!$I$31),-PMT('Interest Rate'!$J$16,'Incremental Repayments'!$I$31,(HLOOKUP($D85,$E$4:$CZ$32,28,FALSE)*'Incremental Repayments'!$I$22)),0),0)</f>
        <v>0</v>
      </c>
      <c r="BU85" s="783">
        <f>IF('Incremental Repayments'!$R$22="Debt",IF(AND(BU$4&gt;=$D85,BU$4&lt;$D85+'Incremental Repayments'!$I$31),-PMT('Interest Rate'!$J$16,'Incremental Repayments'!$I$31,(HLOOKUP($D85,$E$4:$CZ$32,28,FALSE)*'Incremental Repayments'!$I$22)),0),0)</f>
        <v>0</v>
      </c>
      <c r="BV85" s="783">
        <f>IF('Incremental Repayments'!$R$22="Debt",IF(AND(BV$4&gt;=$D85,BV$4&lt;$D85+'Incremental Repayments'!$I$31),-PMT('Interest Rate'!$J$16,'Incremental Repayments'!$I$31,(HLOOKUP($D85,$E$4:$CZ$32,28,FALSE)*'Incremental Repayments'!$I$22)),0),0)</f>
        <v>0</v>
      </c>
      <c r="BW85" s="783">
        <f>IF('Incremental Repayments'!$R$22="Debt",IF(AND(BW$4&gt;=$D85,BW$4&lt;$D85+'Incremental Repayments'!$I$31),-PMT('Interest Rate'!$J$16,'Incremental Repayments'!$I$31,(HLOOKUP($D85,$E$4:$CZ$32,28,FALSE)*'Incremental Repayments'!$I$22)),0),0)</f>
        <v>0</v>
      </c>
      <c r="BX85" s="783">
        <f>IF('Incremental Repayments'!$R$22="Debt",IF(AND(BX$4&gt;=$D85,BX$4&lt;$D85+'Incremental Repayments'!$I$31),-PMT('Interest Rate'!$J$16,'Incremental Repayments'!$I$31,(HLOOKUP($D85,$E$4:$CZ$32,28,FALSE)*'Incremental Repayments'!$I$22)),0),0)</f>
        <v>0</v>
      </c>
      <c r="BY85" s="783">
        <f>IF('Incremental Repayments'!$R$22="Debt",IF(AND(BY$4&gt;=$D85,BY$4&lt;$D85+'Incremental Repayments'!$I$31),-PMT('Interest Rate'!$J$16,'Incremental Repayments'!$I$31,(HLOOKUP($D85,$E$4:$CZ$32,28,FALSE)*'Incremental Repayments'!$I$22)),0),0)</f>
        <v>0</v>
      </c>
      <c r="BZ85" s="783">
        <f>IF('Incremental Repayments'!$R$22="Debt",IF(AND(BZ$4&gt;=$D85,BZ$4&lt;$D85+'Incremental Repayments'!$I$31),-PMT('Interest Rate'!$J$16,'Incremental Repayments'!$I$31,(HLOOKUP($D85,$E$4:$CZ$32,28,FALSE)*'Incremental Repayments'!$I$22)),0),0)</f>
        <v>0</v>
      </c>
      <c r="CA85" s="783">
        <f>IF('Incremental Repayments'!$R$22="Debt",IF(AND(CA$4&gt;=$D85,CA$4&lt;$D85+'Incremental Repayments'!$I$31),-PMT('Interest Rate'!$J$16,'Incremental Repayments'!$I$31,(HLOOKUP($D85,$E$4:$CZ$32,28,FALSE)*'Incremental Repayments'!$I$22)),0),0)</f>
        <v>0</v>
      </c>
      <c r="CB85" s="783">
        <f>IF('Incremental Repayments'!$R$22="Debt",IF(AND(CB$4&gt;=$D85,CB$4&lt;$D85+'Incremental Repayments'!$I$31),-PMT('Interest Rate'!$J$16,'Incremental Repayments'!$I$31,(HLOOKUP($D85,$E$4:$CZ$32,28,FALSE)*'Incremental Repayments'!$I$22)),0),0)</f>
        <v>0</v>
      </c>
      <c r="CC85" s="783">
        <f>IF('Incremental Repayments'!$R$22="Debt",IF(AND(CC$4&gt;=$D85,CC$4&lt;$D85+'Incremental Repayments'!$I$31),-PMT('Interest Rate'!$J$16,'Incremental Repayments'!$I$31,(HLOOKUP($D85,$E$4:$CZ$32,28,FALSE)*'Incremental Repayments'!$I$22)),0),0)</f>
        <v>0</v>
      </c>
      <c r="CD85" s="783">
        <f>IF('Incremental Repayments'!$R$22="Debt",IF(AND(CD$4&gt;=$D85,CD$4&lt;$D85+'Incremental Repayments'!$I$31),-PMT('Interest Rate'!$J$16,'Incremental Repayments'!$I$31,(HLOOKUP($D85,$E$4:$CZ$32,28,FALSE)*'Incremental Repayments'!$I$22)),0),0)</f>
        <v>0</v>
      </c>
      <c r="CE85" s="783">
        <f>IF('Incremental Repayments'!$R$22="Debt",IF(AND(CE$4&gt;=$D85,CE$4&lt;$D85+'Incremental Repayments'!$I$31),-PMT('Interest Rate'!$J$16,'Incremental Repayments'!$I$31,(HLOOKUP($D85,$E$4:$CZ$32,28,FALSE)*'Incremental Repayments'!$I$22)),0),0)</f>
        <v>0</v>
      </c>
      <c r="CF85" s="783">
        <f>IF('Incremental Repayments'!$R$22="Debt",IF(AND(CF$4&gt;=$D85,CF$4&lt;$D85+'Incremental Repayments'!$I$31),-PMT('Interest Rate'!$J$16,'Incremental Repayments'!$I$31,(HLOOKUP($D85,$E$4:$CZ$32,28,FALSE)*'Incremental Repayments'!$I$22)),0),0)</f>
        <v>0</v>
      </c>
      <c r="CG85" s="783">
        <f>IF('Incremental Repayments'!$R$22="Debt",IF(AND(CG$4&gt;=$D85,CG$4&lt;$D85+'Incremental Repayments'!$I$31),-PMT('Interest Rate'!$J$16,'Incremental Repayments'!$I$31,(HLOOKUP($D85,$E$4:$CZ$32,28,FALSE)*'Incremental Repayments'!$I$22)),0),0)</f>
        <v>0</v>
      </c>
      <c r="CH85" s="783">
        <f>IF('Incremental Repayments'!$R$22="Debt",IF(AND(CH$4&gt;=$D85,CH$4&lt;$D85+'Incremental Repayments'!$I$31),-PMT('Interest Rate'!$J$16,'Incremental Repayments'!$I$31,(HLOOKUP($D85,$E$4:$CZ$32,28,FALSE)*'Incremental Repayments'!$I$22)),0),0)</f>
        <v>0</v>
      </c>
      <c r="CI85" s="783">
        <f>IF('Incremental Repayments'!$R$22="Debt",IF(AND(CI$4&gt;=$D85,CI$4&lt;$D85+'Incremental Repayments'!$I$31),-PMT('Interest Rate'!$J$16,'Incremental Repayments'!$I$31,(HLOOKUP($D85,$E$4:$CZ$32,28,FALSE)*'Incremental Repayments'!$I$22)),0),0)</f>
        <v>0</v>
      </c>
      <c r="CJ85" s="783">
        <f>IF('Incremental Repayments'!$R$22="Debt",IF(AND(CJ$4&gt;=$D85,CJ$4&lt;$D85+'Incremental Repayments'!$I$31),-PMT('Interest Rate'!$J$16,'Incremental Repayments'!$I$31,(HLOOKUP($D85,$E$4:$CZ$32,28,FALSE)*'Incremental Repayments'!$I$22)),0),0)</f>
        <v>0</v>
      </c>
      <c r="CK85" s="783">
        <f>IF('Incremental Repayments'!$R$22="Debt",IF(AND(CK$4&gt;=$D85,CK$4&lt;$D85+'Incremental Repayments'!$I$31),-PMT('Interest Rate'!$J$16,'Incremental Repayments'!$I$31,(HLOOKUP($D85,$E$4:$CZ$32,28,FALSE)*'Incremental Repayments'!$I$22)),0),0)</f>
        <v>0</v>
      </c>
      <c r="CL85" s="783">
        <f>IF('Incremental Repayments'!$R$22="Debt",IF(AND(CL$4&gt;=$D85,CL$4&lt;$D85+'Incremental Repayments'!$I$31),-PMT('Interest Rate'!$J$16,'Incremental Repayments'!$I$31,(HLOOKUP($D85,$E$4:$CZ$32,28,FALSE)*'Incremental Repayments'!$I$22)),0),0)</f>
        <v>0</v>
      </c>
      <c r="CM85" s="783">
        <f>IF('Incremental Repayments'!$R$22="Debt",IF(AND(CM$4&gt;=$D85,CM$4&lt;$D85+'Incremental Repayments'!$I$31),-PMT('Interest Rate'!$J$16,'Incremental Repayments'!$I$31,(HLOOKUP($D85,$E$4:$CZ$32,28,FALSE)*'Incremental Repayments'!$I$22)),0),0)</f>
        <v>0</v>
      </c>
      <c r="CN85" s="783">
        <f>IF('Incremental Repayments'!$R$22="Debt",IF(AND(CN$4&gt;=$D85,CN$4&lt;$D85+'Incremental Repayments'!$I$31),-PMT('Interest Rate'!$J$16,'Incremental Repayments'!$I$31,(HLOOKUP($D85,$E$4:$CZ$32,28,FALSE)*'Incremental Repayments'!$I$22)),0),0)</f>
        <v>0</v>
      </c>
      <c r="CO85" s="783">
        <f>IF('Incremental Repayments'!$R$22="Debt",IF(AND(CO$4&gt;=$D85,CO$4&lt;$D85+'Incremental Repayments'!$I$31),-PMT('Interest Rate'!$J$16,'Incremental Repayments'!$I$31,(HLOOKUP($D85,$E$4:$CZ$32,28,FALSE)*'Incremental Repayments'!$I$22)),0),0)</f>
        <v>0</v>
      </c>
      <c r="CP85" s="783">
        <f>IF('Incremental Repayments'!$R$22="Debt",IF(AND(CP$4&gt;=$D85,CP$4&lt;$D85+'Incremental Repayments'!$I$31),-PMT('Interest Rate'!$J$16,'Incremental Repayments'!$I$31,(HLOOKUP($D85,$E$4:$CZ$32,28,FALSE)*'Incremental Repayments'!$I$22)),0),0)</f>
        <v>0</v>
      </c>
      <c r="CQ85" s="783">
        <f>IF('Incremental Repayments'!$R$22="Debt",IF(AND(CQ$4&gt;=$D85,CQ$4&lt;$D85+'Incremental Repayments'!$I$31),-PMT('Interest Rate'!$J$16,'Incremental Repayments'!$I$31,(HLOOKUP($D85,$E$4:$CZ$32,28,FALSE)*'Incremental Repayments'!$I$22)),0),0)</f>
        <v>0</v>
      </c>
      <c r="CR85" s="783">
        <f>IF('Incremental Repayments'!$R$22="Debt",IF(AND(CR$4&gt;=$D85,CR$4&lt;$D85+'Incremental Repayments'!$I$31),-PMT('Interest Rate'!$J$16,'Incremental Repayments'!$I$31,(HLOOKUP($D85,$E$4:$CZ$32,28,FALSE)*'Incremental Repayments'!$I$22)),0),0)</f>
        <v>0</v>
      </c>
      <c r="CS85" s="783">
        <f>IF('Incremental Repayments'!$R$22="Debt",IF(AND(CS$4&gt;=$D85,CS$4&lt;$D85+'Incremental Repayments'!$I$31),-PMT('Interest Rate'!$J$16,'Incremental Repayments'!$I$31,(HLOOKUP($D85,$E$4:$CZ$32,28,FALSE)*'Incremental Repayments'!$I$22)),0),0)</f>
        <v>0</v>
      </c>
      <c r="CT85" s="783">
        <f>IF('Incremental Repayments'!$R$22="Debt",IF(AND(CT$4&gt;=$D85,CT$4&lt;$D85+'Incremental Repayments'!$I$31),-PMT('Interest Rate'!$J$16,'Incremental Repayments'!$I$31,(HLOOKUP($D85,$E$4:$CZ$32,28,FALSE)*'Incremental Repayments'!$I$22)),0),0)</f>
        <v>0</v>
      </c>
      <c r="CU85" s="783">
        <f>IF('Incremental Repayments'!$R$22="Debt",IF(AND(CU$4&gt;=$D85,CU$4&lt;$D85+'Incremental Repayments'!$I$31),-PMT('Interest Rate'!$J$16,'Incremental Repayments'!$I$31,(HLOOKUP($D85,$E$4:$CZ$32,28,FALSE)*'Incremental Repayments'!$I$22)),0),0)</f>
        <v>0</v>
      </c>
      <c r="CV85" s="783">
        <f>IF('Incremental Repayments'!$R$22="Debt",IF(AND(CV$4&gt;=$D85,CV$4&lt;$D85+'Incremental Repayments'!$I$31),-PMT('Interest Rate'!$J$16,'Incremental Repayments'!$I$31,(HLOOKUP($D85,$E$4:$CZ$32,28,FALSE)*'Incremental Repayments'!$I$22)),0),0)</f>
        <v>0</v>
      </c>
      <c r="CW85" s="783">
        <f>IF('Incremental Repayments'!$R$22="Debt",IF(AND(CW$4&gt;=$D85,CW$4&lt;$D85+'Incremental Repayments'!$I$31),-PMT('Interest Rate'!$J$16,'Incremental Repayments'!$I$31,(HLOOKUP($D85,$E$4:$CZ$32,28,FALSE)*'Incremental Repayments'!$I$22)),0),0)</f>
        <v>0</v>
      </c>
      <c r="CX85" s="783">
        <f>IF('Incremental Repayments'!$R$22="Debt",IF(AND(CX$4&gt;=$D85,CX$4&lt;$D85+'Incremental Repayments'!$I$31),-PMT('Interest Rate'!$J$16,'Incremental Repayments'!$I$31,(HLOOKUP($D85,$E$4:$CZ$32,28,FALSE)*'Incremental Repayments'!$I$22)),0),0)</f>
        <v>0</v>
      </c>
      <c r="CY85" s="783">
        <f>IF('Incremental Repayments'!$R$22="Debt",IF(AND(CY$4&gt;=$D85,CY$4&lt;$D85+'Incremental Repayments'!$I$31),-PMT('Interest Rate'!$J$16,'Incremental Repayments'!$I$31,(HLOOKUP($D85,$E$4:$CZ$32,28,FALSE)*'Incremental Repayments'!$I$22)),0),0)</f>
        <v>0</v>
      </c>
      <c r="CZ85" s="783">
        <f>IF('Incremental Repayments'!$R$22="Debt",IF(AND(CZ$4&gt;=$D85,CZ$4&lt;$D85+'Incremental Repayments'!$I$31),-PMT('Interest Rate'!$J$16,'Incremental Repayments'!$I$31,(HLOOKUP($D85,$E$4:$CZ$32,28,FALSE)*'Incremental Repayments'!$I$22)),0),0)</f>
        <v>0</v>
      </c>
    </row>
    <row r="86" spans="2:104" x14ac:dyDescent="0.25">
      <c r="B86" s="480" t="str">
        <f>CONCATENATE("Series ",D86,"A Bonds (at ",'Interest Rate'!$J$16*100,"% Interest)")</f>
        <v>Series 2064A Bonds (at 4.5% Interest)</v>
      </c>
      <c r="C86" s="480"/>
      <c r="D86" s="492">
        <f t="shared" si="47"/>
        <v>2064</v>
      </c>
      <c r="E86" s="783">
        <f>IF('Incremental Repayments'!$R$22="Debt",IF(AND(E$4&gt;=$D86,E$4&lt;$D86+'Incremental Repayments'!$I$31),-PMT('Interest Rate'!$J$16,'Incremental Repayments'!$I$31,(HLOOKUP($D86,$E$4:$CZ$32,28,FALSE)*'Incremental Repayments'!$I$22)),0),0)</f>
        <v>0</v>
      </c>
      <c r="F86" s="783">
        <f>IF('Incremental Repayments'!$R$22="Debt",IF(AND(F$4&gt;=$D86,F$4&lt;$D86+'Incremental Repayments'!$I$31),-PMT('Interest Rate'!$J$16,'Incremental Repayments'!$I$31,(HLOOKUP($D86,$E$4:$CZ$32,28,FALSE)*'Incremental Repayments'!$I$22)),0),0)</f>
        <v>0</v>
      </c>
      <c r="G86" s="783">
        <f>IF('Incremental Repayments'!$R$22="Debt",IF(AND(G$4&gt;=$D86,G$4&lt;$D86+'Incremental Repayments'!$I$31),-PMT('Interest Rate'!$J$16,'Incremental Repayments'!$I$31,(HLOOKUP($D86,$E$4:$CZ$32,28,FALSE)*'Incremental Repayments'!$I$22)),0),0)</f>
        <v>0</v>
      </c>
      <c r="H86" s="783">
        <f>IF('Incremental Repayments'!$R$22="Debt",IF(AND(H$4&gt;=$D86,H$4&lt;$D86+'Incremental Repayments'!$I$31),-PMT('Interest Rate'!$J$16,'Incremental Repayments'!$I$31,(HLOOKUP($D86,$E$4:$CZ$32,28,FALSE)*'Incremental Repayments'!$I$22)),0),0)</f>
        <v>0</v>
      </c>
      <c r="I86" s="783">
        <f>IF('Incremental Repayments'!$R$22="Debt",IF(AND(I$4&gt;=$D86,I$4&lt;$D86+'Incremental Repayments'!$I$31),-PMT('Interest Rate'!$J$16,'Incremental Repayments'!$I$31,(HLOOKUP($D86,$E$4:$CZ$32,28,FALSE)*'Incremental Repayments'!$I$22)),0),0)</f>
        <v>0</v>
      </c>
      <c r="J86" s="783">
        <f>IF('Incremental Repayments'!$R$22="Debt",IF(AND(J$4&gt;=$D86,J$4&lt;$D86+'Incremental Repayments'!$I$31),-PMT('Interest Rate'!$J$16,'Incremental Repayments'!$I$31,(HLOOKUP($D86,$E$4:$CZ$32,28,FALSE)*'Incremental Repayments'!$I$22)),0),0)</f>
        <v>0</v>
      </c>
      <c r="K86" s="783">
        <f>IF('Incremental Repayments'!$R$22="Debt",IF(AND(K$4&gt;=$D86,K$4&lt;$D86+'Incremental Repayments'!$I$31),-PMT('Interest Rate'!$J$16,'Incremental Repayments'!$I$31,(HLOOKUP($D86,$E$4:$CZ$32,28,FALSE)*'Incremental Repayments'!$I$22)),0),0)</f>
        <v>0</v>
      </c>
      <c r="L86" s="783">
        <f>IF('Incremental Repayments'!$R$22="Debt",IF(AND(L$4&gt;=$D86,L$4&lt;$D86+'Incremental Repayments'!$I$31),-PMT('Interest Rate'!$J$16,'Incremental Repayments'!$I$31,(HLOOKUP($D86,$E$4:$CZ$32,28,FALSE)*'Incremental Repayments'!$I$22)),0),0)</f>
        <v>0</v>
      </c>
      <c r="M86" s="783">
        <f>IF('Incremental Repayments'!$R$22="Debt",IF(AND(M$4&gt;=$D86,M$4&lt;$D86+'Incremental Repayments'!$I$31),-PMT('Interest Rate'!$J$16,'Incremental Repayments'!$I$31,(HLOOKUP($D86,$E$4:$CZ$32,28,FALSE)*'Incremental Repayments'!$I$22)),0),0)</f>
        <v>0</v>
      </c>
      <c r="N86" s="783">
        <f>IF('Incremental Repayments'!$R$22="Debt",IF(AND(N$4&gt;=$D86,N$4&lt;$D86+'Incremental Repayments'!$I$31),-PMT('Interest Rate'!$J$16,'Incremental Repayments'!$I$31,(HLOOKUP($D86,$E$4:$CZ$32,28,FALSE)*'Incremental Repayments'!$I$22)),0),0)</f>
        <v>0</v>
      </c>
      <c r="O86" s="783">
        <f>IF('Incremental Repayments'!$R$22="Debt",IF(AND(O$4&gt;=$D86,O$4&lt;$D86+'Incremental Repayments'!$I$31),-PMT('Interest Rate'!$J$16,'Incremental Repayments'!$I$31,(HLOOKUP($D86,$E$4:$CZ$32,28,FALSE)*'Incremental Repayments'!$I$22)),0),0)</f>
        <v>0</v>
      </c>
      <c r="P86" s="783">
        <f>IF('Incremental Repayments'!$R$22="Debt",IF(AND(P$4&gt;=$D86,P$4&lt;$D86+'Incremental Repayments'!$I$31),-PMT('Interest Rate'!$J$16,'Incremental Repayments'!$I$31,(HLOOKUP($D86,$E$4:$CZ$32,28,FALSE)*'Incremental Repayments'!$I$22)),0),0)</f>
        <v>0</v>
      </c>
      <c r="Q86" s="783">
        <f>IF('Incremental Repayments'!$R$22="Debt",IF(AND(Q$4&gt;=$D86,Q$4&lt;$D86+'Incremental Repayments'!$I$31),-PMT('Interest Rate'!$J$16,'Incremental Repayments'!$I$31,(HLOOKUP($D86,$E$4:$CZ$32,28,FALSE)*'Incremental Repayments'!$I$22)),0),0)</f>
        <v>0</v>
      </c>
      <c r="R86" s="783">
        <f>IF('Incremental Repayments'!$R$22="Debt",IF(AND(R$4&gt;=$D86,R$4&lt;$D86+'Incremental Repayments'!$I$31),-PMT('Interest Rate'!$J$16,'Incremental Repayments'!$I$31,(HLOOKUP($D86,$E$4:$CZ$32,28,FALSE)*'Incremental Repayments'!$I$22)),0),0)</f>
        <v>0</v>
      </c>
      <c r="S86" s="783">
        <f>IF('Incremental Repayments'!$R$22="Debt",IF(AND(S$4&gt;=$D86,S$4&lt;$D86+'Incremental Repayments'!$I$31),-PMT('Interest Rate'!$J$16,'Incremental Repayments'!$I$31,(HLOOKUP($D86,$E$4:$CZ$32,28,FALSE)*'Incremental Repayments'!$I$22)),0),0)</f>
        <v>0</v>
      </c>
      <c r="T86" s="783">
        <f>IF('Incremental Repayments'!$R$22="Debt",IF(AND(T$4&gt;=$D86,T$4&lt;$D86+'Incremental Repayments'!$I$31),-PMT('Interest Rate'!$J$16,'Incremental Repayments'!$I$31,(HLOOKUP($D86,$E$4:$CZ$32,28,FALSE)*'Incremental Repayments'!$I$22)),0),0)</f>
        <v>0</v>
      </c>
      <c r="U86" s="783">
        <f>IF('Incremental Repayments'!$R$22="Debt",IF(AND(U$4&gt;=$D86,U$4&lt;$D86+'Incremental Repayments'!$I$31),-PMT('Interest Rate'!$J$16,'Incremental Repayments'!$I$31,(HLOOKUP($D86,$E$4:$CZ$32,28,FALSE)*'Incremental Repayments'!$I$22)),0),0)</f>
        <v>0</v>
      </c>
      <c r="V86" s="783">
        <f>IF('Incremental Repayments'!$R$22="Debt",IF(AND(V$4&gt;=$D86,V$4&lt;$D86+'Incremental Repayments'!$I$31),-PMT('Interest Rate'!$J$16,'Incremental Repayments'!$I$31,(HLOOKUP($D86,$E$4:$CZ$32,28,FALSE)*'Incremental Repayments'!$I$22)),0),0)</f>
        <v>0</v>
      </c>
      <c r="W86" s="783">
        <f>IF('Incremental Repayments'!$R$22="Debt",IF(AND(W$4&gt;=$D86,W$4&lt;$D86+'Incremental Repayments'!$I$31),-PMT('Interest Rate'!$J$16,'Incremental Repayments'!$I$31,(HLOOKUP($D86,$E$4:$CZ$32,28,FALSE)*'Incremental Repayments'!$I$22)),0),0)</f>
        <v>0</v>
      </c>
      <c r="X86" s="783">
        <f>IF('Incremental Repayments'!$R$22="Debt",IF(AND(X$4&gt;=$D86,X$4&lt;$D86+'Incremental Repayments'!$I$31),-PMT('Interest Rate'!$J$16,'Incremental Repayments'!$I$31,(HLOOKUP($D86,$E$4:$CZ$32,28,FALSE)*'Incremental Repayments'!$I$22)),0),0)</f>
        <v>0</v>
      </c>
      <c r="Y86" s="783">
        <f>IF('Incremental Repayments'!$R$22="Debt",IF(AND(Y$4&gt;=$D86,Y$4&lt;$D86+'Incremental Repayments'!$I$31),-PMT('Interest Rate'!$J$16,'Incremental Repayments'!$I$31,(HLOOKUP($D86,$E$4:$CZ$32,28,FALSE)*'Incremental Repayments'!$I$22)),0),0)</f>
        <v>0</v>
      </c>
      <c r="Z86" s="783">
        <f>IF('Incremental Repayments'!$R$22="Debt",IF(AND(Z$4&gt;=$D86,Z$4&lt;$D86+'Incremental Repayments'!$I$31),-PMT('Interest Rate'!$J$16,'Incremental Repayments'!$I$31,(HLOOKUP($D86,$E$4:$CZ$32,28,FALSE)*'Incremental Repayments'!$I$22)),0),0)</f>
        <v>0</v>
      </c>
      <c r="AA86" s="783">
        <f>IF('Incremental Repayments'!$R$22="Debt",IF(AND(AA$4&gt;=$D86,AA$4&lt;$D86+'Incremental Repayments'!$I$31),-PMT('Interest Rate'!$J$16,'Incremental Repayments'!$I$31,(HLOOKUP($D86,$E$4:$CZ$32,28,FALSE)*'Incremental Repayments'!$I$22)),0),0)</f>
        <v>0</v>
      </c>
      <c r="AB86" s="783">
        <f>IF('Incremental Repayments'!$R$22="Debt",IF(AND(AB$4&gt;=$D86,AB$4&lt;$D86+'Incremental Repayments'!$I$31),-PMT('Interest Rate'!$J$16,'Incremental Repayments'!$I$31,(HLOOKUP($D86,$E$4:$CZ$32,28,FALSE)*'Incremental Repayments'!$I$22)),0),0)</f>
        <v>0</v>
      </c>
      <c r="AC86" s="783">
        <f>IF('Incremental Repayments'!$R$22="Debt",IF(AND(AC$4&gt;=$D86,AC$4&lt;$D86+'Incremental Repayments'!$I$31),-PMT('Interest Rate'!$J$16,'Incremental Repayments'!$I$31,(HLOOKUP($D86,$E$4:$CZ$32,28,FALSE)*'Incremental Repayments'!$I$22)),0),0)</f>
        <v>0</v>
      </c>
      <c r="AD86" s="783">
        <f>IF('Incremental Repayments'!$R$22="Debt",IF(AND(AD$4&gt;=$D86,AD$4&lt;$D86+'Incremental Repayments'!$I$31),-PMT('Interest Rate'!$J$16,'Incremental Repayments'!$I$31,(HLOOKUP($D86,$E$4:$CZ$32,28,FALSE)*'Incremental Repayments'!$I$22)),0),0)</f>
        <v>0</v>
      </c>
      <c r="AE86" s="783">
        <f>IF('Incremental Repayments'!$R$22="Debt",IF(AND(AE$4&gt;=$D86,AE$4&lt;$D86+'Incremental Repayments'!$I$31),-PMT('Interest Rate'!$J$16,'Incremental Repayments'!$I$31,(HLOOKUP($D86,$E$4:$CZ$32,28,FALSE)*'Incremental Repayments'!$I$22)),0),0)</f>
        <v>0</v>
      </c>
      <c r="AF86" s="783">
        <f>IF('Incremental Repayments'!$R$22="Debt",IF(AND(AF$4&gt;=$D86,AF$4&lt;$D86+'Incremental Repayments'!$I$31),-PMT('Interest Rate'!$J$16,'Incremental Repayments'!$I$31,(HLOOKUP($D86,$E$4:$CZ$32,28,FALSE)*'Incremental Repayments'!$I$22)),0),0)</f>
        <v>0</v>
      </c>
      <c r="AG86" s="783">
        <f>IF('Incremental Repayments'!$R$22="Debt",IF(AND(AG$4&gt;=$D86,AG$4&lt;$D86+'Incremental Repayments'!$I$31),-PMT('Interest Rate'!$J$16,'Incremental Repayments'!$I$31,(HLOOKUP($D86,$E$4:$CZ$32,28,FALSE)*'Incremental Repayments'!$I$22)),0),0)</f>
        <v>0</v>
      </c>
      <c r="AH86" s="783">
        <f>IF('Incremental Repayments'!$R$22="Debt",IF(AND(AH$4&gt;=$D86,AH$4&lt;$D86+'Incremental Repayments'!$I$31),-PMT('Interest Rate'!$J$16,'Incremental Repayments'!$I$31,(HLOOKUP($D86,$E$4:$CZ$32,28,FALSE)*'Incremental Repayments'!$I$22)),0),0)</f>
        <v>0</v>
      </c>
      <c r="AI86" s="783">
        <f>IF('Incremental Repayments'!$R$22="Debt",IF(AND(AI$4&gt;=$D86,AI$4&lt;$D86+'Incremental Repayments'!$I$31),-PMT('Interest Rate'!$J$16,'Incremental Repayments'!$I$31,(HLOOKUP($D86,$E$4:$CZ$32,28,FALSE)*'Incremental Repayments'!$I$22)),0),0)</f>
        <v>0</v>
      </c>
      <c r="AJ86" s="783">
        <f>IF('Incremental Repayments'!$R$22="Debt",IF(AND(AJ$4&gt;=$D86,AJ$4&lt;$D86+'Incremental Repayments'!$I$31),-PMT('Interest Rate'!$J$16,'Incremental Repayments'!$I$31,(HLOOKUP($D86,$E$4:$CZ$32,28,FALSE)*'Incremental Repayments'!$I$22)),0),0)</f>
        <v>0</v>
      </c>
      <c r="AK86" s="783">
        <f>IF('Incremental Repayments'!$R$22="Debt",IF(AND(AK$4&gt;=$D86,AK$4&lt;$D86+'Incremental Repayments'!$I$31),-PMT('Interest Rate'!$J$16,'Incremental Repayments'!$I$31,(HLOOKUP($D86,$E$4:$CZ$32,28,FALSE)*'Incremental Repayments'!$I$22)),0),0)</f>
        <v>0</v>
      </c>
      <c r="AL86" s="783">
        <f>IF('Incremental Repayments'!$R$22="Debt",IF(AND(AL$4&gt;=$D86,AL$4&lt;$D86+'Incremental Repayments'!$I$31),-PMT('Interest Rate'!$J$16,'Incremental Repayments'!$I$31,(HLOOKUP($D86,$E$4:$CZ$32,28,FALSE)*'Incremental Repayments'!$I$22)),0),0)</f>
        <v>0</v>
      </c>
      <c r="AM86" s="783">
        <f>IF('Incremental Repayments'!$R$22="Debt",IF(AND(AM$4&gt;=$D86,AM$4&lt;$D86+'Incremental Repayments'!$I$31),-PMT('Interest Rate'!$J$16,'Incremental Repayments'!$I$31,(HLOOKUP($D86,$E$4:$CZ$32,28,FALSE)*'Incremental Repayments'!$I$22)),0),0)</f>
        <v>0</v>
      </c>
      <c r="AN86" s="783">
        <f>IF('Incremental Repayments'!$R$22="Debt",IF(AND(AN$4&gt;=$D86,AN$4&lt;$D86+'Incremental Repayments'!$I$31),-PMT('Interest Rate'!$J$16,'Incremental Repayments'!$I$31,(HLOOKUP($D86,$E$4:$CZ$32,28,FALSE)*'Incremental Repayments'!$I$22)),0),0)</f>
        <v>0</v>
      </c>
      <c r="AO86" s="783">
        <f>IF('Incremental Repayments'!$R$22="Debt",IF(AND(AO$4&gt;=$D86,AO$4&lt;$D86+'Incremental Repayments'!$I$31),-PMT('Interest Rate'!$J$16,'Incremental Repayments'!$I$31,(HLOOKUP($D86,$E$4:$CZ$32,28,FALSE)*'Incremental Repayments'!$I$22)),0),0)</f>
        <v>0</v>
      </c>
      <c r="AP86" s="783">
        <f>IF('Incremental Repayments'!$R$22="Debt",IF(AND(AP$4&gt;=$D86,AP$4&lt;$D86+'Incremental Repayments'!$I$31),-PMT('Interest Rate'!$J$16,'Incremental Repayments'!$I$31,(HLOOKUP($D86,$E$4:$CZ$32,28,FALSE)*'Incremental Repayments'!$I$22)),0),0)</f>
        <v>0</v>
      </c>
      <c r="AQ86" s="783">
        <f>IF('Incremental Repayments'!$R$22="Debt",IF(AND(AQ$4&gt;=$D86,AQ$4&lt;$D86+'Incremental Repayments'!$I$31),-PMT('Interest Rate'!$J$16,'Incremental Repayments'!$I$31,(HLOOKUP($D86,$E$4:$CZ$32,28,FALSE)*'Incremental Repayments'!$I$22)),0),0)</f>
        <v>0</v>
      </c>
      <c r="AR86" s="783">
        <f>IF('Incremental Repayments'!$R$22="Debt",IF(AND(AR$4&gt;=$D86,AR$4&lt;$D86+'Incremental Repayments'!$I$31),-PMT('Interest Rate'!$J$16,'Incremental Repayments'!$I$31,(HLOOKUP($D86,$E$4:$CZ$32,28,FALSE)*'Incremental Repayments'!$I$22)),0),0)</f>
        <v>0</v>
      </c>
      <c r="AS86" s="783">
        <f>IF('Incremental Repayments'!$R$22="Debt",IF(AND(AS$4&gt;=$D86,AS$4&lt;$D86+'Incremental Repayments'!$I$31),-PMT('Interest Rate'!$J$16,'Incremental Repayments'!$I$31,(HLOOKUP($D86,$E$4:$CZ$32,28,FALSE)*'Incremental Repayments'!$I$22)),0),0)</f>
        <v>0</v>
      </c>
      <c r="AT86" s="783">
        <f>IF('Incremental Repayments'!$R$22="Debt",IF(AND(AT$4&gt;=$D86,AT$4&lt;$D86+'Incremental Repayments'!$I$31),-PMT('Interest Rate'!$J$16,'Incremental Repayments'!$I$31,(HLOOKUP($D86,$E$4:$CZ$32,28,FALSE)*'Incremental Repayments'!$I$22)),0),0)</f>
        <v>0</v>
      </c>
      <c r="AU86" s="783">
        <f>IF('Incremental Repayments'!$R$22="Debt",IF(AND(AU$4&gt;=$D86,AU$4&lt;$D86+'Incremental Repayments'!$I$31),-PMT('Interest Rate'!$J$16,'Incremental Repayments'!$I$31,(HLOOKUP($D86,$E$4:$CZ$32,28,FALSE)*'Incremental Repayments'!$I$22)),0),0)</f>
        <v>0</v>
      </c>
      <c r="AV86" s="783">
        <f>IF('Incremental Repayments'!$R$22="Debt",IF(AND(AV$4&gt;=$D86,AV$4&lt;$D86+'Incremental Repayments'!$I$31),-PMT('Interest Rate'!$J$16,'Incremental Repayments'!$I$31,(HLOOKUP($D86,$E$4:$CZ$32,28,FALSE)*'Incremental Repayments'!$I$22)),0),0)</f>
        <v>0</v>
      </c>
      <c r="AW86" s="783">
        <f>IF('Incremental Repayments'!$R$22="Debt",IF(AND(AW$4&gt;=$D86,AW$4&lt;$D86+'Incremental Repayments'!$I$31),-PMT('Interest Rate'!$J$16,'Incremental Repayments'!$I$31,(HLOOKUP($D86,$E$4:$CZ$32,28,FALSE)*'Incremental Repayments'!$I$22)),0),0)</f>
        <v>0</v>
      </c>
      <c r="AX86" s="783">
        <f>IF('Incremental Repayments'!$R$22="Debt",IF(AND(AX$4&gt;=$D86,AX$4&lt;$D86+'Incremental Repayments'!$I$31),-PMT('Interest Rate'!$J$16,'Incremental Repayments'!$I$31,(HLOOKUP($D86,$E$4:$CZ$32,28,FALSE)*'Incremental Repayments'!$I$22)),0),0)</f>
        <v>0</v>
      </c>
      <c r="AY86" s="783">
        <f>IF('Incremental Repayments'!$R$22="Debt",IF(AND(AY$4&gt;=$D86,AY$4&lt;$D86+'Incremental Repayments'!$I$31),-PMT('Interest Rate'!$J$16,'Incremental Repayments'!$I$31,(HLOOKUP($D86,$E$4:$CZ$32,28,FALSE)*'Incremental Repayments'!$I$22)),0),0)</f>
        <v>0</v>
      </c>
      <c r="AZ86" s="783">
        <f>IF('Incremental Repayments'!$R$22="Debt",IF(AND(AZ$4&gt;=$D86,AZ$4&lt;$D86+'Incremental Repayments'!$I$31),-PMT('Interest Rate'!$J$16,'Incremental Repayments'!$I$31,(HLOOKUP($D86,$E$4:$CZ$32,28,FALSE)*'Incremental Repayments'!$I$22)),0),0)</f>
        <v>0</v>
      </c>
      <c r="BA86" s="783">
        <f>IF('Incremental Repayments'!$R$22="Debt",IF(AND(BA$4&gt;=$D86,BA$4&lt;$D86+'Incremental Repayments'!$I$31),-PMT('Interest Rate'!$J$16,'Incremental Repayments'!$I$31,(HLOOKUP($D86,$E$4:$CZ$32,28,FALSE)*'Incremental Repayments'!$I$22)),0),0)</f>
        <v>0</v>
      </c>
      <c r="BB86" s="783">
        <f>IF('Incremental Repayments'!$R$22="Debt",IF(AND(BB$4&gt;=$D86,BB$4&lt;$D86+'Incremental Repayments'!$I$31),-PMT('Interest Rate'!$J$16,'Incremental Repayments'!$I$31,(HLOOKUP($D86,$E$4:$CZ$32,28,FALSE)*'Incremental Repayments'!$I$22)),0),0)</f>
        <v>0</v>
      </c>
      <c r="BC86" s="783">
        <f>IF('Incremental Repayments'!$R$22="Debt",IF(AND(BC$4&gt;=$D86,BC$4&lt;$D86+'Incremental Repayments'!$I$31),-PMT('Interest Rate'!$J$16,'Incremental Repayments'!$I$31,(HLOOKUP($D86,$E$4:$CZ$32,28,FALSE)*'Incremental Repayments'!$I$22)),0),0)</f>
        <v>0</v>
      </c>
      <c r="BD86" s="783">
        <f>IF('Incremental Repayments'!$R$22="Debt",IF(AND(BD$4&gt;=$D86,BD$4&lt;$D86+'Incremental Repayments'!$I$31),-PMT('Interest Rate'!$J$16,'Incremental Repayments'!$I$31,(HLOOKUP($D86,$E$4:$CZ$32,28,FALSE)*'Incremental Repayments'!$I$22)),0),0)</f>
        <v>0</v>
      </c>
      <c r="BE86" s="783">
        <f>IF('Incremental Repayments'!$R$22="Debt",IF(AND(BE$4&gt;=$D86,BE$4&lt;$D86+'Incremental Repayments'!$I$31),-PMT('Interest Rate'!$J$16,'Incremental Repayments'!$I$31,(HLOOKUP($D86,$E$4:$CZ$32,28,FALSE)*'Incremental Repayments'!$I$22)),0),0)</f>
        <v>0</v>
      </c>
      <c r="BF86" s="783">
        <f>IF('Incremental Repayments'!$R$22="Debt",IF(AND(BF$4&gt;=$D86,BF$4&lt;$D86+'Incremental Repayments'!$I$31),-PMT('Interest Rate'!$J$16,'Incremental Repayments'!$I$31,(HLOOKUP($D86,$E$4:$CZ$32,28,FALSE)*'Incremental Repayments'!$I$22)),0),0)</f>
        <v>0</v>
      </c>
      <c r="BG86" s="783">
        <f>IF('Incremental Repayments'!$R$22="Debt",IF(AND(BG$4&gt;=$D86,BG$4&lt;$D86+'Incremental Repayments'!$I$31),-PMT('Interest Rate'!$J$16,'Incremental Repayments'!$I$31,(HLOOKUP($D86,$E$4:$CZ$32,28,FALSE)*'Incremental Repayments'!$I$22)),0),0)</f>
        <v>0</v>
      </c>
      <c r="BH86" s="783">
        <f>IF('Incremental Repayments'!$R$22="Debt",IF(AND(BH$4&gt;=$D86,BH$4&lt;$D86+'Incremental Repayments'!$I$31),-PMT('Interest Rate'!$J$16,'Incremental Repayments'!$I$31,(HLOOKUP($D86,$E$4:$CZ$32,28,FALSE)*'Incremental Repayments'!$I$22)),0),0)</f>
        <v>0</v>
      </c>
      <c r="BI86" s="783">
        <f>IF('Incremental Repayments'!$R$22="Debt",IF(AND(BI$4&gt;=$D86,BI$4&lt;$D86+'Incremental Repayments'!$I$31),-PMT('Interest Rate'!$J$16,'Incremental Repayments'!$I$31,(HLOOKUP($D86,$E$4:$CZ$32,28,FALSE)*'Incremental Repayments'!$I$22)),0),0)</f>
        <v>0</v>
      </c>
      <c r="BJ86" s="783">
        <f>IF('Incremental Repayments'!$R$22="Debt",IF(AND(BJ$4&gt;=$D86,BJ$4&lt;$D86+'Incremental Repayments'!$I$31),-PMT('Interest Rate'!$J$16,'Incremental Repayments'!$I$31,(HLOOKUP($D86,$E$4:$CZ$32,28,FALSE)*'Incremental Repayments'!$I$22)),0),0)</f>
        <v>0</v>
      </c>
      <c r="BK86" s="783">
        <f>IF('Incremental Repayments'!$R$22="Debt",IF(AND(BK$4&gt;=$D86,BK$4&lt;$D86+'Incremental Repayments'!$I$31),-PMT('Interest Rate'!$J$16,'Incremental Repayments'!$I$31,(HLOOKUP($D86,$E$4:$CZ$32,28,FALSE)*'Incremental Repayments'!$I$22)),0),0)</f>
        <v>0</v>
      </c>
      <c r="BL86" s="783">
        <f>IF('Incremental Repayments'!$R$22="Debt",IF(AND(BL$4&gt;=$D86,BL$4&lt;$D86+'Incremental Repayments'!$I$31),-PMT('Interest Rate'!$J$16,'Incremental Repayments'!$I$31,(HLOOKUP($D86,$E$4:$CZ$32,28,FALSE)*'Incremental Repayments'!$I$22)),0),0)</f>
        <v>0</v>
      </c>
      <c r="BM86" s="783">
        <f>IF('Incremental Repayments'!$R$22="Debt",IF(AND(BM$4&gt;=$D86,BM$4&lt;$D86+'Incremental Repayments'!$I$31),-PMT('Interest Rate'!$J$16,'Incremental Repayments'!$I$31,(HLOOKUP($D86,$E$4:$CZ$32,28,FALSE)*'Incremental Repayments'!$I$22)),0),0)</f>
        <v>0</v>
      </c>
      <c r="BN86" s="783">
        <f>IF('Incremental Repayments'!$R$22="Debt",IF(AND(BN$4&gt;=$D86,BN$4&lt;$D86+'Incremental Repayments'!$I$31),-PMT('Interest Rate'!$J$16,'Incremental Repayments'!$I$31,(HLOOKUP($D86,$E$4:$CZ$32,28,FALSE)*'Incremental Repayments'!$I$22)),0),0)</f>
        <v>0</v>
      </c>
      <c r="BO86" s="783">
        <f>IF('Incremental Repayments'!$R$22="Debt",IF(AND(BO$4&gt;=$D86,BO$4&lt;$D86+'Incremental Repayments'!$I$31),-PMT('Interest Rate'!$J$16,'Incremental Repayments'!$I$31,(HLOOKUP($D86,$E$4:$CZ$32,28,FALSE)*'Incremental Repayments'!$I$22)),0),0)</f>
        <v>0</v>
      </c>
      <c r="BP86" s="783">
        <f>IF('Incremental Repayments'!$R$22="Debt",IF(AND(BP$4&gt;=$D86,BP$4&lt;$D86+'Incremental Repayments'!$I$31),-PMT('Interest Rate'!$J$16,'Incremental Repayments'!$I$31,(HLOOKUP($D86,$E$4:$CZ$32,28,FALSE)*'Incremental Repayments'!$I$22)),0),0)</f>
        <v>0</v>
      </c>
      <c r="BQ86" s="783">
        <f>IF('Incremental Repayments'!$R$22="Debt",IF(AND(BQ$4&gt;=$D86,BQ$4&lt;$D86+'Incremental Repayments'!$I$31),-PMT('Interest Rate'!$J$16,'Incremental Repayments'!$I$31,(HLOOKUP($D86,$E$4:$CZ$32,28,FALSE)*'Incremental Repayments'!$I$22)),0),0)</f>
        <v>0</v>
      </c>
      <c r="BR86" s="783">
        <f>IF('Incremental Repayments'!$R$22="Debt",IF(AND(BR$4&gt;=$D86,BR$4&lt;$D86+'Incremental Repayments'!$I$31),-PMT('Interest Rate'!$J$16,'Incremental Repayments'!$I$31,(HLOOKUP($D86,$E$4:$CZ$32,28,FALSE)*'Incremental Repayments'!$I$22)),0),0)</f>
        <v>0</v>
      </c>
      <c r="BS86" s="783">
        <f>IF('Incremental Repayments'!$R$22="Debt",IF(AND(BS$4&gt;=$D86,BS$4&lt;$D86+'Incremental Repayments'!$I$31),-PMT('Interest Rate'!$J$16,'Incremental Repayments'!$I$31,(HLOOKUP($D86,$E$4:$CZ$32,28,FALSE)*'Incremental Repayments'!$I$22)),0),0)</f>
        <v>0</v>
      </c>
      <c r="BT86" s="783">
        <f>IF('Incremental Repayments'!$R$22="Debt",IF(AND(BT$4&gt;=$D86,BT$4&lt;$D86+'Incremental Repayments'!$I$31),-PMT('Interest Rate'!$J$16,'Incremental Repayments'!$I$31,(HLOOKUP($D86,$E$4:$CZ$32,28,FALSE)*'Incremental Repayments'!$I$22)),0),0)</f>
        <v>0</v>
      </c>
      <c r="BU86" s="783">
        <f>IF('Incremental Repayments'!$R$22="Debt",IF(AND(BU$4&gt;=$D86,BU$4&lt;$D86+'Incremental Repayments'!$I$31),-PMT('Interest Rate'!$J$16,'Incremental Repayments'!$I$31,(HLOOKUP($D86,$E$4:$CZ$32,28,FALSE)*'Incremental Repayments'!$I$22)),0),0)</f>
        <v>0</v>
      </c>
      <c r="BV86" s="783">
        <f>IF('Incremental Repayments'!$R$22="Debt",IF(AND(BV$4&gt;=$D86,BV$4&lt;$D86+'Incremental Repayments'!$I$31),-PMT('Interest Rate'!$J$16,'Incremental Repayments'!$I$31,(HLOOKUP($D86,$E$4:$CZ$32,28,FALSE)*'Incremental Repayments'!$I$22)),0),0)</f>
        <v>0</v>
      </c>
      <c r="BW86" s="783">
        <f>IF('Incremental Repayments'!$R$22="Debt",IF(AND(BW$4&gt;=$D86,BW$4&lt;$D86+'Incremental Repayments'!$I$31),-PMT('Interest Rate'!$J$16,'Incremental Repayments'!$I$31,(HLOOKUP($D86,$E$4:$CZ$32,28,FALSE)*'Incremental Repayments'!$I$22)),0),0)</f>
        <v>0</v>
      </c>
      <c r="BX86" s="783">
        <f>IF('Incremental Repayments'!$R$22="Debt",IF(AND(BX$4&gt;=$D86,BX$4&lt;$D86+'Incremental Repayments'!$I$31),-PMT('Interest Rate'!$J$16,'Incremental Repayments'!$I$31,(HLOOKUP($D86,$E$4:$CZ$32,28,FALSE)*'Incremental Repayments'!$I$22)),0),0)</f>
        <v>0</v>
      </c>
      <c r="BY86" s="783">
        <f>IF('Incremental Repayments'!$R$22="Debt",IF(AND(BY$4&gt;=$D86,BY$4&lt;$D86+'Incremental Repayments'!$I$31),-PMT('Interest Rate'!$J$16,'Incremental Repayments'!$I$31,(HLOOKUP($D86,$E$4:$CZ$32,28,FALSE)*'Incremental Repayments'!$I$22)),0),0)</f>
        <v>0</v>
      </c>
      <c r="BZ86" s="783">
        <f>IF('Incremental Repayments'!$R$22="Debt",IF(AND(BZ$4&gt;=$D86,BZ$4&lt;$D86+'Incremental Repayments'!$I$31),-PMT('Interest Rate'!$J$16,'Incremental Repayments'!$I$31,(HLOOKUP($D86,$E$4:$CZ$32,28,FALSE)*'Incremental Repayments'!$I$22)),0),0)</f>
        <v>0</v>
      </c>
      <c r="CA86" s="783">
        <f>IF('Incremental Repayments'!$R$22="Debt",IF(AND(CA$4&gt;=$D86,CA$4&lt;$D86+'Incremental Repayments'!$I$31),-PMT('Interest Rate'!$J$16,'Incremental Repayments'!$I$31,(HLOOKUP($D86,$E$4:$CZ$32,28,FALSE)*'Incremental Repayments'!$I$22)),0),0)</f>
        <v>0</v>
      </c>
      <c r="CB86" s="783">
        <f>IF('Incremental Repayments'!$R$22="Debt",IF(AND(CB$4&gt;=$D86,CB$4&lt;$D86+'Incremental Repayments'!$I$31),-PMT('Interest Rate'!$J$16,'Incremental Repayments'!$I$31,(HLOOKUP($D86,$E$4:$CZ$32,28,FALSE)*'Incremental Repayments'!$I$22)),0),0)</f>
        <v>0</v>
      </c>
      <c r="CC86" s="783">
        <f>IF('Incremental Repayments'!$R$22="Debt",IF(AND(CC$4&gt;=$D86,CC$4&lt;$D86+'Incremental Repayments'!$I$31),-PMT('Interest Rate'!$J$16,'Incremental Repayments'!$I$31,(HLOOKUP($D86,$E$4:$CZ$32,28,FALSE)*'Incremental Repayments'!$I$22)),0),0)</f>
        <v>0</v>
      </c>
      <c r="CD86" s="783">
        <f>IF('Incremental Repayments'!$R$22="Debt",IF(AND(CD$4&gt;=$D86,CD$4&lt;$D86+'Incremental Repayments'!$I$31),-PMT('Interest Rate'!$J$16,'Incremental Repayments'!$I$31,(HLOOKUP($D86,$E$4:$CZ$32,28,FALSE)*'Incremental Repayments'!$I$22)),0),0)</f>
        <v>0</v>
      </c>
      <c r="CE86" s="783">
        <f>IF('Incremental Repayments'!$R$22="Debt",IF(AND(CE$4&gt;=$D86,CE$4&lt;$D86+'Incremental Repayments'!$I$31),-PMT('Interest Rate'!$J$16,'Incremental Repayments'!$I$31,(HLOOKUP($D86,$E$4:$CZ$32,28,FALSE)*'Incremental Repayments'!$I$22)),0),0)</f>
        <v>0</v>
      </c>
      <c r="CF86" s="783">
        <f>IF('Incremental Repayments'!$R$22="Debt",IF(AND(CF$4&gt;=$D86,CF$4&lt;$D86+'Incremental Repayments'!$I$31),-PMT('Interest Rate'!$J$16,'Incremental Repayments'!$I$31,(HLOOKUP($D86,$E$4:$CZ$32,28,FALSE)*'Incremental Repayments'!$I$22)),0),0)</f>
        <v>0</v>
      </c>
      <c r="CG86" s="783">
        <f>IF('Incremental Repayments'!$R$22="Debt",IF(AND(CG$4&gt;=$D86,CG$4&lt;$D86+'Incremental Repayments'!$I$31),-PMT('Interest Rate'!$J$16,'Incremental Repayments'!$I$31,(HLOOKUP($D86,$E$4:$CZ$32,28,FALSE)*'Incremental Repayments'!$I$22)),0),0)</f>
        <v>0</v>
      </c>
      <c r="CH86" s="783">
        <f>IF('Incremental Repayments'!$R$22="Debt",IF(AND(CH$4&gt;=$D86,CH$4&lt;$D86+'Incremental Repayments'!$I$31),-PMT('Interest Rate'!$J$16,'Incremental Repayments'!$I$31,(HLOOKUP($D86,$E$4:$CZ$32,28,FALSE)*'Incremental Repayments'!$I$22)),0),0)</f>
        <v>0</v>
      </c>
      <c r="CI86" s="783">
        <f>IF('Incremental Repayments'!$R$22="Debt",IF(AND(CI$4&gt;=$D86,CI$4&lt;$D86+'Incremental Repayments'!$I$31),-PMT('Interest Rate'!$J$16,'Incremental Repayments'!$I$31,(HLOOKUP($D86,$E$4:$CZ$32,28,FALSE)*'Incremental Repayments'!$I$22)),0),0)</f>
        <v>0</v>
      </c>
      <c r="CJ86" s="783">
        <f>IF('Incremental Repayments'!$R$22="Debt",IF(AND(CJ$4&gt;=$D86,CJ$4&lt;$D86+'Incremental Repayments'!$I$31),-PMT('Interest Rate'!$J$16,'Incremental Repayments'!$I$31,(HLOOKUP($D86,$E$4:$CZ$32,28,FALSE)*'Incremental Repayments'!$I$22)),0),0)</f>
        <v>0</v>
      </c>
      <c r="CK86" s="783">
        <f>IF('Incremental Repayments'!$R$22="Debt",IF(AND(CK$4&gt;=$D86,CK$4&lt;$D86+'Incremental Repayments'!$I$31),-PMT('Interest Rate'!$J$16,'Incremental Repayments'!$I$31,(HLOOKUP($D86,$E$4:$CZ$32,28,FALSE)*'Incremental Repayments'!$I$22)),0),0)</f>
        <v>0</v>
      </c>
      <c r="CL86" s="783">
        <f>IF('Incremental Repayments'!$R$22="Debt",IF(AND(CL$4&gt;=$D86,CL$4&lt;$D86+'Incremental Repayments'!$I$31),-PMT('Interest Rate'!$J$16,'Incremental Repayments'!$I$31,(HLOOKUP($D86,$E$4:$CZ$32,28,FALSE)*'Incremental Repayments'!$I$22)),0),0)</f>
        <v>0</v>
      </c>
      <c r="CM86" s="783">
        <f>IF('Incremental Repayments'!$R$22="Debt",IF(AND(CM$4&gt;=$D86,CM$4&lt;$D86+'Incremental Repayments'!$I$31),-PMT('Interest Rate'!$J$16,'Incremental Repayments'!$I$31,(HLOOKUP($D86,$E$4:$CZ$32,28,FALSE)*'Incremental Repayments'!$I$22)),0),0)</f>
        <v>0</v>
      </c>
      <c r="CN86" s="783">
        <f>IF('Incremental Repayments'!$R$22="Debt",IF(AND(CN$4&gt;=$D86,CN$4&lt;$D86+'Incremental Repayments'!$I$31),-PMT('Interest Rate'!$J$16,'Incremental Repayments'!$I$31,(HLOOKUP($D86,$E$4:$CZ$32,28,FALSE)*'Incremental Repayments'!$I$22)),0),0)</f>
        <v>0</v>
      </c>
      <c r="CO86" s="783">
        <f>IF('Incremental Repayments'!$R$22="Debt",IF(AND(CO$4&gt;=$D86,CO$4&lt;$D86+'Incremental Repayments'!$I$31),-PMT('Interest Rate'!$J$16,'Incremental Repayments'!$I$31,(HLOOKUP($D86,$E$4:$CZ$32,28,FALSE)*'Incremental Repayments'!$I$22)),0),0)</f>
        <v>0</v>
      </c>
      <c r="CP86" s="783">
        <f>IF('Incremental Repayments'!$R$22="Debt",IF(AND(CP$4&gt;=$D86,CP$4&lt;$D86+'Incremental Repayments'!$I$31),-PMT('Interest Rate'!$J$16,'Incremental Repayments'!$I$31,(HLOOKUP($D86,$E$4:$CZ$32,28,FALSE)*'Incremental Repayments'!$I$22)),0),0)</f>
        <v>0</v>
      </c>
      <c r="CQ86" s="783">
        <f>IF('Incremental Repayments'!$R$22="Debt",IF(AND(CQ$4&gt;=$D86,CQ$4&lt;$D86+'Incremental Repayments'!$I$31),-PMT('Interest Rate'!$J$16,'Incremental Repayments'!$I$31,(HLOOKUP($D86,$E$4:$CZ$32,28,FALSE)*'Incremental Repayments'!$I$22)),0),0)</f>
        <v>0</v>
      </c>
      <c r="CR86" s="783">
        <f>IF('Incremental Repayments'!$R$22="Debt",IF(AND(CR$4&gt;=$D86,CR$4&lt;$D86+'Incremental Repayments'!$I$31),-PMT('Interest Rate'!$J$16,'Incremental Repayments'!$I$31,(HLOOKUP($D86,$E$4:$CZ$32,28,FALSE)*'Incremental Repayments'!$I$22)),0),0)</f>
        <v>0</v>
      </c>
      <c r="CS86" s="783">
        <f>IF('Incremental Repayments'!$R$22="Debt",IF(AND(CS$4&gt;=$D86,CS$4&lt;$D86+'Incremental Repayments'!$I$31),-PMT('Interest Rate'!$J$16,'Incremental Repayments'!$I$31,(HLOOKUP($D86,$E$4:$CZ$32,28,FALSE)*'Incremental Repayments'!$I$22)),0),0)</f>
        <v>0</v>
      </c>
      <c r="CT86" s="783">
        <f>IF('Incremental Repayments'!$R$22="Debt",IF(AND(CT$4&gt;=$D86,CT$4&lt;$D86+'Incremental Repayments'!$I$31),-PMT('Interest Rate'!$J$16,'Incremental Repayments'!$I$31,(HLOOKUP($D86,$E$4:$CZ$32,28,FALSE)*'Incremental Repayments'!$I$22)),0),0)</f>
        <v>0</v>
      </c>
      <c r="CU86" s="783">
        <f>IF('Incremental Repayments'!$R$22="Debt",IF(AND(CU$4&gt;=$D86,CU$4&lt;$D86+'Incremental Repayments'!$I$31),-PMT('Interest Rate'!$J$16,'Incremental Repayments'!$I$31,(HLOOKUP($D86,$E$4:$CZ$32,28,FALSE)*'Incremental Repayments'!$I$22)),0),0)</f>
        <v>0</v>
      </c>
      <c r="CV86" s="783">
        <f>IF('Incremental Repayments'!$R$22="Debt",IF(AND(CV$4&gt;=$D86,CV$4&lt;$D86+'Incremental Repayments'!$I$31),-PMT('Interest Rate'!$J$16,'Incremental Repayments'!$I$31,(HLOOKUP($D86,$E$4:$CZ$32,28,FALSE)*'Incremental Repayments'!$I$22)),0),0)</f>
        <v>0</v>
      </c>
      <c r="CW86" s="783">
        <f>IF('Incremental Repayments'!$R$22="Debt",IF(AND(CW$4&gt;=$D86,CW$4&lt;$D86+'Incremental Repayments'!$I$31),-PMT('Interest Rate'!$J$16,'Incremental Repayments'!$I$31,(HLOOKUP($D86,$E$4:$CZ$32,28,FALSE)*'Incremental Repayments'!$I$22)),0),0)</f>
        <v>0</v>
      </c>
      <c r="CX86" s="783">
        <f>IF('Incremental Repayments'!$R$22="Debt",IF(AND(CX$4&gt;=$D86,CX$4&lt;$D86+'Incremental Repayments'!$I$31),-PMT('Interest Rate'!$J$16,'Incremental Repayments'!$I$31,(HLOOKUP($D86,$E$4:$CZ$32,28,FALSE)*'Incremental Repayments'!$I$22)),0),0)</f>
        <v>0</v>
      </c>
      <c r="CY86" s="783">
        <f>IF('Incremental Repayments'!$R$22="Debt",IF(AND(CY$4&gt;=$D86,CY$4&lt;$D86+'Incremental Repayments'!$I$31),-PMT('Interest Rate'!$J$16,'Incremental Repayments'!$I$31,(HLOOKUP($D86,$E$4:$CZ$32,28,FALSE)*'Incremental Repayments'!$I$22)),0),0)</f>
        <v>0</v>
      </c>
      <c r="CZ86" s="783">
        <f>IF('Incremental Repayments'!$R$22="Debt",IF(AND(CZ$4&gt;=$D86,CZ$4&lt;$D86+'Incremental Repayments'!$I$31),-PMT('Interest Rate'!$J$16,'Incremental Repayments'!$I$31,(HLOOKUP($D86,$E$4:$CZ$32,28,FALSE)*'Incremental Repayments'!$I$22)),0),0)</f>
        <v>0</v>
      </c>
    </row>
    <row r="87" spans="2:104" x14ac:dyDescent="0.25">
      <c r="B87" s="480" t="str">
        <f>CONCATENATE("Series ",D87,"A Bonds (at ",'Interest Rate'!$J$16*100,"% Interest)")</f>
        <v>Series 2065A Bonds (at 4.5% Interest)</v>
      </c>
      <c r="C87" s="480"/>
      <c r="D87" s="492">
        <f t="shared" si="47"/>
        <v>2065</v>
      </c>
      <c r="E87" s="783">
        <f>IF('Incremental Repayments'!$R$22="Debt",IF(AND(E$4&gt;=$D87,E$4&lt;$D87+'Incremental Repayments'!$I$31),-PMT('Interest Rate'!$J$16,'Incremental Repayments'!$I$31,(HLOOKUP($D87,$E$4:$CZ$32,28,FALSE)*'Incremental Repayments'!$I$22)),0),0)</f>
        <v>0</v>
      </c>
      <c r="F87" s="783">
        <f>IF('Incremental Repayments'!$R$22="Debt",IF(AND(F$4&gt;=$D87,F$4&lt;$D87+'Incremental Repayments'!$I$31),-PMT('Interest Rate'!$J$16,'Incremental Repayments'!$I$31,(HLOOKUP($D87,$E$4:$CZ$32,28,FALSE)*'Incremental Repayments'!$I$22)),0),0)</f>
        <v>0</v>
      </c>
      <c r="G87" s="783">
        <f>IF('Incremental Repayments'!$R$22="Debt",IF(AND(G$4&gt;=$D87,G$4&lt;$D87+'Incremental Repayments'!$I$31),-PMT('Interest Rate'!$J$16,'Incremental Repayments'!$I$31,(HLOOKUP($D87,$E$4:$CZ$32,28,FALSE)*'Incremental Repayments'!$I$22)),0),0)</f>
        <v>0</v>
      </c>
      <c r="H87" s="783">
        <f>IF('Incremental Repayments'!$R$22="Debt",IF(AND(H$4&gt;=$D87,H$4&lt;$D87+'Incremental Repayments'!$I$31),-PMT('Interest Rate'!$J$16,'Incremental Repayments'!$I$31,(HLOOKUP($D87,$E$4:$CZ$32,28,FALSE)*'Incremental Repayments'!$I$22)),0),0)</f>
        <v>0</v>
      </c>
      <c r="I87" s="783">
        <f>IF('Incremental Repayments'!$R$22="Debt",IF(AND(I$4&gt;=$D87,I$4&lt;$D87+'Incremental Repayments'!$I$31),-PMT('Interest Rate'!$J$16,'Incremental Repayments'!$I$31,(HLOOKUP($D87,$E$4:$CZ$32,28,FALSE)*'Incremental Repayments'!$I$22)),0),0)</f>
        <v>0</v>
      </c>
      <c r="J87" s="783">
        <f>IF('Incremental Repayments'!$R$22="Debt",IF(AND(J$4&gt;=$D87,J$4&lt;$D87+'Incremental Repayments'!$I$31),-PMT('Interest Rate'!$J$16,'Incremental Repayments'!$I$31,(HLOOKUP($D87,$E$4:$CZ$32,28,FALSE)*'Incremental Repayments'!$I$22)),0),0)</f>
        <v>0</v>
      </c>
      <c r="K87" s="783">
        <f>IF('Incremental Repayments'!$R$22="Debt",IF(AND(K$4&gt;=$D87,K$4&lt;$D87+'Incremental Repayments'!$I$31),-PMT('Interest Rate'!$J$16,'Incremental Repayments'!$I$31,(HLOOKUP($D87,$E$4:$CZ$32,28,FALSE)*'Incremental Repayments'!$I$22)),0),0)</f>
        <v>0</v>
      </c>
      <c r="L87" s="783">
        <f>IF('Incremental Repayments'!$R$22="Debt",IF(AND(L$4&gt;=$D87,L$4&lt;$D87+'Incremental Repayments'!$I$31),-PMT('Interest Rate'!$J$16,'Incremental Repayments'!$I$31,(HLOOKUP($D87,$E$4:$CZ$32,28,FALSE)*'Incremental Repayments'!$I$22)),0),0)</f>
        <v>0</v>
      </c>
      <c r="M87" s="783">
        <f>IF('Incremental Repayments'!$R$22="Debt",IF(AND(M$4&gt;=$D87,M$4&lt;$D87+'Incremental Repayments'!$I$31),-PMT('Interest Rate'!$J$16,'Incremental Repayments'!$I$31,(HLOOKUP($D87,$E$4:$CZ$32,28,FALSE)*'Incremental Repayments'!$I$22)),0),0)</f>
        <v>0</v>
      </c>
      <c r="N87" s="783">
        <f>IF('Incremental Repayments'!$R$22="Debt",IF(AND(N$4&gt;=$D87,N$4&lt;$D87+'Incremental Repayments'!$I$31),-PMT('Interest Rate'!$J$16,'Incremental Repayments'!$I$31,(HLOOKUP($D87,$E$4:$CZ$32,28,FALSE)*'Incremental Repayments'!$I$22)),0),0)</f>
        <v>0</v>
      </c>
      <c r="O87" s="783">
        <f>IF('Incremental Repayments'!$R$22="Debt",IF(AND(O$4&gt;=$D87,O$4&lt;$D87+'Incremental Repayments'!$I$31),-PMT('Interest Rate'!$J$16,'Incremental Repayments'!$I$31,(HLOOKUP($D87,$E$4:$CZ$32,28,FALSE)*'Incremental Repayments'!$I$22)),0),0)</f>
        <v>0</v>
      </c>
      <c r="P87" s="783">
        <f>IF('Incremental Repayments'!$R$22="Debt",IF(AND(P$4&gt;=$D87,P$4&lt;$D87+'Incremental Repayments'!$I$31),-PMT('Interest Rate'!$J$16,'Incremental Repayments'!$I$31,(HLOOKUP($D87,$E$4:$CZ$32,28,FALSE)*'Incremental Repayments'!$I$22)),0),0)</f>
        <v>0</v>
      </c>
      <c r="Q87" s="783">
        <f>IF('Incremental Repayments'!$R$22="Debt",IF(AND(Q$4&gt;=$D87,Q$4&lt;$D87+'Incremental Repayments'!$I$31),-PMT('Interest Rate'!$J$16,'Incremental Repayments'!$I$31,(HLOOKUP($D87,$E$4:$CZ$32,28,FALSE)*'Incremental Repayments'!$I$22)),0),0)</f>
        <v>0</v>
      </c>
      <c r="R87" s="783">
        <f>IF('Incremental Repayments'!$R$22="Debt",IF(AND(R$4&gt;=$D87,R$4&lt;$D87+'Incremental Repayments'!$I$31),-PMT('Interest Rate'!$J$16,'Incremental Repayments'!$I$31,(HLOOKUP($D87,$E$4:$CZ$32,28,FALSE)*'Incremental Repayments'!$I$22)),0),0)</f>
        <v>0</v>
      </c>
      <c r="S87" s="783">
        <f>IF('Incremental Repayments'!$R$22="Debt",IF(AND(S$4&gt;=$D87,S$4&lt;$D87+'Incremental Repayments'!$I$31),-PMT('Interest Rate'!$J$16,'Incremental Repayments'!$I$31,(HLOOKUP($D87,$E$4:$CZ$32,28,FALSE)*'Incremental Repayments'!$I$22)),0),0)</f>
        <v>0</v>
      </c>
      <c r="T87" s="783">
        <f>IF('Incremental Repayments'!$R$22="Debt",IF(AND(T$4&gt;=$D87,T$4&lt;$D87+'Incremental Repayments'!$I$31),-PMT('Interest Rate'!$J$16,'Incremental Repayments'!$I$31,(HLOOKUP($D87,$E$4:$CZ$32,28,FALSE)*'Incremental Repayments'!$I$22)),0),0)</f>
        <v>0</v>
      </c>
      <c r="U87" s="783">
        <f>IF('Incremental Repayments'!$R$22="Debt",IF(AND(U$4&gt;=$D87,U$4&lt;$D87+'Incremental Repayments'!$I$31),-PMT('Interest Rate'!$J$16,'Incremental Repayments'!$I$31,(HLOOKUP($D87,$E$4:$CZ$32,28,FALSE)*'Incremental Repayments'!$I$22)),0),0)</f>
        <v>0</v>
      </c>
      <c r="V87" s="783">
        <f>IF('Incremental Repayments'!$R$22="Debt",IF(AND(V$4&gt;=$D87,V$4&lt;$D87+'Incremental Repayments'!$I$31),-PMT('Interest Rate'!$J$16,'Incremental Repayments'!$I$31,(HLOOKUP($D87,$E$4:$CZ$32,28,FALSE)*'Incremental Repayments'!$I$22)),0),0)</f>
        <v>0</v>
      </c>
      <c r="W87" s="783">
        <f>IF('Incremental Repayments'!$R$22="Debt",IF(AND(W$4&gt;=$D87,W$4&lt;$D87+'Incremental Repayments'!$I$31),-PMT('Interest Rate'!$J$16,'Incremental Repayments'!$I$31,(HLOOKUP($D87,$E$4:$CZ$32,28,FALSE)*'Incremental Repayments'!$I$22)),0),0)</f>
        <v>0</v>
      </c>
      <c r="X87" s="783">
        <f>IF('Incremental Repayments'!$R$22="Debt",IF(AND(X$4&gt;=$D87,X$4&lt;$D87+'Incremental Repayments'!$I$31),-PMT('Interest Rate'!$J$16,'Incremental Repayments'!$I$31,(HLOOKUP($D87,$E$4:$CZ$32,28,FALSE)*'Incremental Repayments'!$I$22)),0),0)</f>
        <v>0</v>
      </c>
      <c r="Y87" s="783">
        <f>IF('Incremental Repayments'!$R$22="Debt",IF(AND(Y$4&gt;=$D87,Y$4&lt;$D87+'Incremental Repayments'!$I$31),-PMT('Interest Rate'!$J$16,'Incremental Repayments'!$I$31,(HLOOKUP($D87,$E$4:$CZ$32,28,FALSE)*'Incremental Repayments'!$I$22)),0),0)</f>
        <v>0</v>
      </c>
      <c r="Z87" s="783">
        <f>IF('Incremental Repayments'!$R$22="Debt",IF(AND(Z$4&gt;=$D87,Z$4&lt;$D87+'Incremental Repayments'!$I$31),-PMT('Interest Rate'!$J$16,'Incremental Repayments'!$I$31,(HLOOKUP($D87,$E$4:$CZ$32,28,FALSE)*'Incremental Repayments'!$I$22)),0),0)</f>
        <v>0</v>
      </c>
      <c r="AA87" s="783">
        <f>IF('Incremental Repayments'!$R$22="Debt",IF(AND(AA$4&gt;=$D87,AA$4&lt;$D87+'Incremental Repayments'!$I$31),-PMT('Interest Rate'!$J$16,'Incremental Repayments'!$I$31,(HLOOKUP($D87,$E$4:$CZ$32,28,FALSE)*'Incremental Repayments'!$I$22)),0),0)</f>
        <v>0</v>
      </c>
      <c r="AB87" s="783">
        <f>IF('Incremental Repayments'!$R$22="Debt",IF(AND(AB$4&gt;=$D87,AB$4&lt;$D87+'Incremental Repayments'!$I$31),-PMT('Interest Rate'!$J$16,'Incremental Repayments'!$I$31,(HLOOKUP($D87,$E$4:$CZ$32,28,FALSE)*'Incremental Repayments'!$I$22)),0),0)</f>
        <v>0</v>
      </c>
      <c r="AC87" s="783">
        <f>IF('Incremental Repayments'!$R$22="Debt",IF(AND(AC$4&gt;=$D87,AC$4&lt;$D87+'Incremental Repayments'!$I$31),-PMT('Interest Rate'!$J$16,'Incremental Repayments'!$I$31,(HLOOKUP($D87,$E$4:$CZ$32,28,FALSE)*'Incremental Repayments'!$I$22)),0),0)</f>
        <v>0</v>
      </c>
      <c r="AD87" s="783">
        <f>IF('Incremental Repayments'!$R$22="Debt",IF(AND(AD$4&gt;=$D87,AD$4&lt;$D87+'Incremental Repayments'!$I$31),-PMT('Interest Rate'!$J$16,'Incremental Repayments'!$I$31,(HLOOKUP($D87,$E$4:$CZ$32,28,FALSE)*'Incremental Repayments'!$I$22)),0),0)</f>
        <v>0</v>
      </c>
      <c r="AE87" s="783">
        <f>IF('Incremental Repayments'!$R$22="Debt",IF(AND(AE$4&gt;=$D87,AE$4&lt;$D87+'Incremental Repayments'!$I$31),-PMT('Interest Rate'!$J$16,'Incremental Repayments'!$I$31,(HLOOKUP($D87,$E$4:$CZ$32,28,FALSE)*'Incremental Repayments'!$I$22)),0),0)</f>
        <v>0</v>
      </c>
      <c r="AF87" s="783">
        <f>IF('Incremental Repayments'!$R$22="Debt",IF(AND(AF$4&gt;=$D87,AF$4&lt;$D87+'Incremental Repayments'!$I$31),-PMT('Interest Rate'!$J$16,'Incremental Repayments'!$I$31,(HLOOKUP($D87,$E$4:$CZ$32,28,FALSE)*'Incremental Repayments'!$I$22)),0),0)</f>
        <v>0</v>
      </c>
      <c r="AG87" s="783">
        <f>IF('Incremental Repayments'!$R$22="Debt",IF(AND(AG$4&gt;=$D87,AG$4&lt;$D87+'Incremental Repayments'!$I$31),-PMT('Interest Rate'!$J$16,'Incremental Repayments'!$I$31,(HLOOKUP($D87,$E$4:$CZ$32,28,FALSE)*'Incremental Repayments'!$I$22)),0),0)</f>
        <v>0</v>
      </c>
      <c r="AH87" s="783">
        <f>IF('Incremental Repayments'!$R$22="Debt",IF(AND(AH$4&gt;=$D87,AH$4&lt;$D87+'Incremental Repayments'!$I$31),-PMT('Interest Rate'!$J$16,'Incremental Repayments'!$I$31,(HLOOKUP($D87,$E$4:$CZ$32,28,FALSE)*'Incremental Repayments'!$I$22)),0),0)</f>
        <v>0</v>
      </c>
      <c r="AI87" s="783">
        <f>IF('Incremental Repayments'!$R$22="Debt",IF(AND(AI$4&gt;=$D87,AI$4&lt;$D87+'Incremental Repayments'!$I$31),-PMT('Interest Rate'!$J$16,'Incremental Repayments'!$I$31,(HLOOKUP($D87,$E$4:$CZ$32,28,FALSE)*'Incremental Repayments'!$I$22)),0),0)</f>
        <v>0</v>
      </c>
      <c r="AJ87" s="783">
        <f>IF('Incremental Repayments'!$R$22="Debt",IF(AND(AJ$4&gt;=$D87,AJ$4&lt;$D87+'Incremental Repayments'!$I$31),-PMT('Interest Rate'!$J$16,'Incremental Repayments'!$I$31,(HLOOKUP($D87,$E$4:$CZ$32,28,FALSE)*'Incremental Repayments'!$I$22)),0),0)</f>
        <v>0</v>
      </c>
      <c r="AK87" s="783">
        <f>IF('Incremental Repayments'!$R$22="Debt",IF(AND(AK$4&gt;=$D87,AK$4&lt;$D87+'Incremental Repayments'!$I$31),-PMT('Interest Rate'!$J$16,'Incremental Repayments'!$I$31,(HLOOKUP($D87,$E$4:$CZ$32,28,FALSE)*'Incremental Repayments'!$I$22)),0),0)</f>
        <v>0</v>
      </c>
      <c r="AL87" s="783">
        <f>IF('Incremental Repayments'!$R$22="Debt",IF(AND(AL$4&gt;=$D87,AL$4&lt;$D87+'Incremental Repayments'!$I$31),-PMT('Interest Rate'!$J$16,'Incremental Repayments'!$I$31,(HLOOKUP($D87,$E$4:$CZ$32,28,FALSE)*'Incremental Repayments'!$I$22)),0),0)</f>
        <v>0</v>
      </c>
      <c r="AM87" s="783">
        <f>IF('Incremental Repayments'!$R$22="Debt",IF(AND(AM$4&gt;=$D87,AM$4&lt;$D87+'Incremental Repayments'!$I$31),-PMT('Interest Rate'!$J$16,'Incremental Repayments'!$I$31,(HLOOKUP($D87,$E$4:$CZ$32,28,FALSE)*'Incremental Repayments'!$I$22)),0),0)</f>
        <v>0</v>
      </c>
      <c r="AN87" s="783">
        <f>IF('Incremental Repayments'!$R$22="Debt",IF(AND(AN$4&gt;=$D87,AN$4&lt;$D87+'Incremental Repayments'!$I$31),-PMT('Interest Rate'!$J$16,'Incremental Repayments'!$I$31,(HLOOKUP($D87,$E$4:$CZ$32,28,FALSE)*'Incremental Repayments'!$I$22)),0),0)</f>
        <v>0</v>
      </c>
      <c r="AO87" s="783">
        <f>IF('Incremental Repayments'!$R$22="Debt",IF(AND(AO$4&gt;=$D87,AO$4&lt;$D87+'Incremental Repayments'!$I$31),-PMT('Interest Rate'!$J$16,'Incremental Repayments'!$I$31,(HLOOKUP($D87,$E$4:$CZ$32,28,FALSE)*'Incremental Repayments'!$I$22)),0),0)</f>
        <v>0</v>
      </c>
      <c r="AP87" s="783">
        <f>IF('Incremental Repayments'!$R$22="Debt",IF(AND(AP$4&gt;=$D87,AP$4&lt;$D87+'Incremental Repayments'!$I$31),-PMT('Interest Rate'!$J$16,'Incremental Repayments'!$I$31,(HLOOKUP($D87,$E$4:$CZ$32,28,FALSE)*'Incremental Repayments'!$I$22)),0),0)</f>
        <v>0</v>
      </c>
      <c r="AQ87" s="783">
        <f>IF('Incremental Repayments'!$R$22="Debt",IF(AND(AQ$4&gt;=$D87,AQ$4&lt;$D87+'Incremental Repayments'!$I$31),-PMT('Interest Rate'!$J$16,'Incremental Repayments'!$I$31,(HLOOKUP($D87,$E$4:$CZ$32,28,FALSE)*'Incremental Repayments'!$I$22)),0),0)</f>
        <v>0</v>
      </c>
      <c r="AR87" s="783">
        <f>IF('Incremental Repayments'!$R$22="Debt",IF(AND(AR$4&gt;=$D87,AR$4&lt;$D87+'Incremental Repayments'!$I$31),-PMT('Interest Rate'!$J$16,'Incremental Repayments'!$I$31,(HLOOKUP($D87,$E$4:$CZ$32,28,FALSE)*'Incremental Repayments'!$I$22)),0),0)</f>
        <v>0</v>
      </c>
      <c r="AS87" s="783">
        <f>IF('Incremental Repayments'!$R$22="Debt",IF(AND(AS$4&gt;=$D87,AS$4&lt;$D87+'Incremental Repayments'!$I$31),-PMT('Interest Rate'!$J$16,'Incremental Repayments'!$I$31,(HLOOKUP($D87,$E$4:$CZ$32,28,FALSE)*'Incremental Repayments'!$I$22)),0),0)</f>
        <v>0</v>
      </c>
      <c r="AT87" s="783">
        <f>IF('Incremental Repayments'!$R$22="Debt",IF(AND(AT$4&gt;=$D87,AT$4&lt;$D87+'Incremental Repayments'!$I$31),-PMT('Interest Rate'!$J$16,'Incremental Repayments'!$I$31,(HLOOKUP($D87,$E$4:$CZ$32,28,FALSE)*'Incremental Repayments'!$I$22)),0),0)</f>
        <v>0</v>
      </c>
      <c r="AU87" s="783">
        <f>IF('Incremental Repayments'!$R$22="Debt",IF(AND(AU$4&gt;=$D87,AU$4&lt;$D87+'Incremental Repayments'!$I$31),-PMT('Interest Rate'!$J$16,'Incremental Repayments'!$I$31,(HLOOKUP($D87,$E$4:$CZ$32,28,FALSE)*'Incremental Repayments'!$I$22)),0),0)</f>
        <v>0</v>
      </c>
      <c r="AV87" s="783">
        <f>IF('Incremental Repayments'!$R$22="Debt",IF(AND(AV$4&gt;=$D87,AV$4&lt;$D87+'Incremental Repayments'!$I$31),-PMT('Interest Rate'!$J$16,'Incremental Repayments'!$I$31,(HLOOKUP($D87,$E$4:$CZ$32,28,FALSE)*'Incremental Repayments'!$I$22)),0),0)</f>
        <v>0</v>
      </c>
      <c r="AW87" s="783">
        <f>IF('Incremental Repayments'!$R$22="Debt",IF(AND(AW$4&gt;=$D87,AW$4&lt;$D87+'Incremental Repayments'!$I$31),-PMT('Interest Rate'!$J$16,'Incremental Repayments'!$I$31,(HLOOKUP($D87,$E$4:$CZ$32,28,FALSE)*'Incremental Repayments'!$I$22)),0),0)</f>
        <v>0</v>
      </c>
      <c r="AX87" s="783">
        <f>IF('Incremental Repayments'!$R$22="Debt",IF(AND(AX$4&gt;=$D87,AX$4&lt;$D87+'Incremental Repayments'!$I$31),-PMT('Interest Rate'!$J$16,'Incremental Repayments'!$I$31,(HLOOKUP($D87,$E$4:$CZ$32,28,FALSE)*'Incremental Repayments'!$I$22)),0),0)</f>
        <v>0</v>
      </c>
      <c r="AY87" s="783">
        <f>IF('Incremental Repayments'!$R$22="Debt",IF(AND(AY$4&gt;=$D87,AY$4&lt;$D87+'Incremental Repayments'!$I$31),-PMT('Interest Rate'!$J$16,'Incremental Repayments'!$I$31,(HLOOKUP($D87,$E$4:$CZ$32,28,FALSE)*'Incremental Repayments'!$I$22)),0),0)</f>
        <v>0</v>
      </c>
      <c r="AZ87" s="783">
        <f>IF('Incremental Repayments'!$R$22="Debt",IF(AND(AZ$4&gt;=$D87,AZ$4&lt;$D87+'Incremental Repayments'!$I$31),-PMT('Interest Rate'!$J$16,'Incremental Repayments'!$I$31,(HLOOKUP($D87,$E$4:$CZ$32,28,FALSE)*'Incremental Repayments'!$I$22)),0),0)</f>
        <v>0</v>
      </c>
      <c r="BA87" s="783">
        <f>IF('Incremental Repayments'!$R$22="Debt",IF(AND(BA$4&gt;=$D87,BA$4&lt;$D87+'Incremental Repayments'!$I$31),-PMT('Interest Rate'!$J$16,'Incremental Repayments'!$I$31,(HLOOKUP($D87,$E$4:$CZ$32,28,FALSE)*'Incremental Repayments'!$I$22)),0),0)</f>
        <v>0</v>
      </c>
      <c r="BB87" s="783">
        <f>IF('Incremental Repayments'!$R$22="Debt",IF(AND(BB$4&gt;=$D87,BB$4&lt;$D87+'Incremental Repayments'!$I$31),-PMT('Interest Rate'!$J$16,'Incremental Repayments'!$I$31,(HLOOKUP($D87,$E$4:$CZ$32,28,FALSE)*'Incremental Repayments'!$I$22)),0),0)</f>
        <v>0</v>
      </c>
      <c r="BC87" s="783">
        <f>IF('Incremental Repayments'!$R$22="Debt",IF(AND(BC$4&gt;=$D87,BC$4&lt;$D87+'Incremental Repayments'!$I$31),-PMT('Interest Rate'!$J$16,'Incremental Repayments'!$I$31,(HLOOKUP($D87,$E$4:$CZ$32,28,FALSE)*'Incremental Repayments'!$I$22)),0),0)</f>
        <v>0</v>
      </c>
      <c r="BD87" s="783">
        <f>IF('Incremental Repayments'!$R$22="Debt",IF(AND(BD$4&gt;=$D87,BD$4&lt;$D87+'Incremental Repayments'!$I$31),-PMT('Interest Rate'!$J$16,'Incremental Repayments'!$I$31,(HLOOKUP($D87,$E$4:$CZ$32,28,FALSE)*'Incremental Repayments'!$I$22)),0),0)</f>
        <v>0</v>
      </c>
      <c r="BE87" s="783">
        <f>IF('Incremental Repayments'!$R$22="Debt",IF(AND(BE$4&gt;=$D87,BE$4&lt;$D87+'Incremental Repayments'!$I$31),-PMT('Interest Rate'!$J$16,'Incremental Repayments'!$I$31,(HLOOKUP($D87,$E$4:$CZ$32,28,FALSE)*'Incremental Repayments'!$I$22)),0),0)</f>
        <v>0</v>
      </c>
      <c r="BF87" s="783">
        <f>IF('Incremental Repayments'!$R$22="Debt",IF(AND(BF$4&gt;=$D87,BF$4&lt;$D87+'Incremental Repayments'!$I$31),-PMT('Interest Rate'!$J$16,'Incremental Repayments'!$I$31,(HLOOKUP($D87,$E$4:$CZ$32,28,FALSE)*'Incremental Repayments'!$I$22)),0),0)</f>
        <v>0</v>
      </c>
      <c r="BG87" s="783">
        <f>IF('Incremental Repayments'!$R$22="Debt",IF(AND(BG$4&gt;=$D87,BG$4&lt;$D87+'Incremental Repayments'!$I$31),-PMT('Interest Rate'!$J$16,'Incremental Repayments'!$I$31,(HLOOKUP($D87,$E$4:$CZ$32,28,FALSE)*'Incremental Repayments'!$I$22)),0),0)</f>
        <v>0</v>
      </c>
      <c r="BH87" s="783">
        <f>IF('Incremental Repayments'!$R$22="Debt",IF(AND(BH$4&gt;=$D87,BH$4&lt;$D87+'Incremental Repayments'!$I$31),-PMT('Interest Rate'!$J$16,'Incremental Repayments'!$I$31,(HLOOKUP($D87,$E$4:$CZ$32,28,FALSE)*'Incremental Repayments'!$I$22)),0),0)</f>
        <v>0</v>
      </c>
      <c r="BI87" s="783">
        <f>IF('Incremental Repayments'!$R$22="Debt",IF(AND(BI$4&gt;=$D87,BI$4&lt;$D87+'Incremental Repayments'!$I$31),-PMT('Interest Rate'!$J$16,'Incremental Repayments'!$I$31,(HLOOKUP($D87,$E$4:$CZ$32,28,FALSE)*'Incremental Repayments'!$I$22)),0),0)</f>
        <v>0</v>
      </c>
      <c r="BJ87" s="783">
        <f>IF('Incremental Repayments'!$R$22="Debt",IF(AND(BJ$4&gt;=$D87,BJ$4&lt;$D87+'Incremental Repayments'!$I$31),-PMT('Interest Rate'!$J$16,'Incremental Repayments'!$I$31,(HLOOKUP($D87,$E$4:$CZ$32,28,FALSE)*'Incremental Repayments'!$I$22)),0),0)</f>
        <v>0</v>
      </c>
      <c r="BK87" s="783">
        <f>IF('Incremental Repayments'!$R$22="Debt",IF(AND(BK$4&gt;=$D87,BK$4&lt;$D87+'Incremental Repayments'!$I$31),-PMT('Interest Rate'!$J$16,'Incremental Repayments'!$I$31,(HLOOKUP($D87,$E$4:$CZ$32,28,FALSE)*'Incremental Repayments'!$I$22)),0),0)</f>
        <v>0</v>
      </c>
      <c r="BL87" s="783">
        <f>IF('Incremental Repayments'!$R$22="Debt",IF(AND(BL$4&gt;=$D87,BL$4&lt;$D87+'Incremental Repayments'!$I$31),-PMT('Interest Rate'!$J$16,'Incremental Repayments'!$I$31,(HLOOKUP($D87,$E$4:$CZ$32,28,FALSE)*'Incremental Repayments'!$I$22)),0),0)</f>
        <v>0</v>
      </c>
      <c r="BM87" s="783">
        <f>IF('Incremental Repayments'!$R$22="Debt",IF(AND(BM$4&gt;=$D87,BM$4&lt;$D87+'Incremental Repayments'!$I$31),-PMT('Interest Rate'!$J$16,'Incremental Repayments'!$I$31,(HLOOKUP($D87,$E$4:$CZ$32,28,FALSE)*'Incremental Repayments'!$I$22)),0),0)</f>
        <v>0</v>
      </c>
      <c r="BN87" s="783">
        <f>IF('Incremental Repayments'!$R$22="Debt",IF(AND(BN$4&gt;=$D87,BN$4&lt;$D87+'Incremental Repayments'!$I$31),-PMT('Interest Rate'!$J$16,'Incremental Repayments'!$I$31,(HLOOKUP($D87,$E$4:$CZ$32,28,FALSE)*'Incremental Repayments'!$I$22)),0),0)</f>
        <v>0</v>
      </c>
      <c r="BO87" s="783">
        <f>IF('Incremental Repayments'!$R$22="Debt",IF(AND(BO$4&gt;=$D87,BO$4&lt;$D87+'Incremental Repayments'!$I$31),-PMT('Interest Rate'!$J$16,'Incremental Repayments'!$I$31,(HLOOKUP($D87,$E$4:$CZ$32,28,FALSE)*'Incremental Repayments'!$I$22)),0),0)</f>
        <v>0</v>
      </c>
      <c r="BP87" s="783">
        <f>IF('Incremental Repayments'!$R$22="Debt",IF(AND(BP$4&gt;=$D87,BP$4&lt;$D87+'Incremental Repayments'!$I$31),-PMT('Interest Rate'!$J$16,'Incremental Repayments'!$I$31,(HLOOKUP($D87,$E$4:$CZ$32,28,FALSE)*'Incremental Repayments'!$I$22)),0),0)</f>
        <v>0</v>
      </c>
      <c r="BQ87" s="783">
        <f>IF('Incremental Repayments'!$R$22="Debt",IF(AND(BQ$4&gt;=$D87,BQ$4&lt;$D87+'Incremental Repayments'!$I$31),-PMT('Interest Rate'!$J$16,'Incremental Repayments'!$I$31,(HLOOKUP($D87,$E$4:$CZ$32,28,FALSE)*'Incremental Repayments'!$I$22)),0),0)</f>
        <v>0</v>
      </c>
      <c r="BR87" s="783">
        <f>IF('Incremental Repayments'!$R$22="Debt",IF(AND(BR$4&gt;=$D87,BR$4&lt;$D87+'Incremental Repayments'!$I$31),-PMT('Interest Rate'!$J$16,'Incremental Repayments'!$I$31,(HLOOKUP($D87,$E$4:$CZ$32,28,FALSE)*'Incremental Repayments'!$I$22)),0),0)</f>
        <v>0</v>
      </c>
      <c r="BS87" s="783">
        <f>IF('Incremental Repayments'!$R$22="Debt",IF(AND(BS$4&gt;=$D87,BS$4&lt;$D87+'Incremental Repayments'!$I$31),-PMT('Interest Rate'!$J$16,'Incremental Repayments'!$I$31,(HLOOKUP($D87,$E$4:$CZ$32,28,FALSE)*'Incremental Repayments'!$I$22)),0),0)</f>
        <v>0</v>
      </c>
      <c r="BT87" s="783">
        <f>IF('Incremental Repayments'!$R$22="Debt",IF(AND(BT$4&gt;=$D87,BT$4&lt;$D87+'Incremental Repayments'!$I$31),-PMT('Interest Rate'!$J$16,'Incremental Repayments'!$I$31,(HLOOKUP($D87,$E$4:$CZ$32,28,FALSE)*'Incremental Repayments'!$I$22)),0),0)</f>
        <v>0</v>
      </c>
      <c r="BU87" s="783">
        <f>IF('Incremental Repayments'!$R$22="Debt",IF(AND(BU$4&gt;=$D87,BU$4&lt;$D87+'Incremental Repayments'!$I$31),-PMT('Interest Rate'!$J$16,'Incremental Repayments'!$I$31,(HLOOKUP($D87,$E$4:$CZ$32,28,FALSE)*'Incremental Repayments'!$I$22)),0),0)</f>
        <v>0</v>
      </c>
      <c r="BV87" s="783">
        <f>IF('Incremental Repayments'!$R$22="Debt",IF(AND(BV$4&gt;=$D87,BV$4&lt;$D87+'Incremental Repayments'!$I$31),-PMT('Interest Rate'!$J$16,'Incremental Repayments'!$I$31,(HLOOKUP($D87,$E$4:$CZ$32,28,FALSE)*'Incremental Repayments'!$I$22)),0),0)</f>
        <v>0</v>
      </c>
      <c r="BW87" s="783">
        <f>IF('Incremental Repayments'!$R$22="Debt",IF(AND(BW$4&gt;=$D87,BW$4&lt;$D87+'Incremental Repayments'!$I$31),-PMT('Interest Rate'!$J$16,'Incremental Repayments'!$I$31,(HLOOKUP($D87,$E$4:$CZ$32,28,FALSE)*'Incremental Repayments'!$I$22)),0),0)</f>
        <v>0</v>
      </c>
      <c r="BX87" s="783">
        <f>IF('Incremental Repayments'!$R$22="Debt",IF(AND(BX$4&gt;=$D87,BX$4&lt;$D87+'Incremental Repayments'!$I$31),-PMT('Interest Rate'!$J$16,'Incremental Repayments'!$I$31,(HLOOKUP($D87,$E$4:$CZ$32,28,FALSE)*'Incremental Repayments'!$I$22)),0),0)</f>
        <v>0</v>
      </c>
      <c r="BY87" s="783">
        <f>IF('Incremental Repayments'!$R$22="Debt",IF(AND(BY$4&gt;=$D87,BY$4&lt;$D87+'Incremental Repayments'!$I$31),-PMT('Interest Rate'!$J$16,'Incremental Repayments'!$I$31,(HLOOKUP($D87,$E$4:$CZ$32,28,FALSE)*'Incremental Repayments'!$I$22)),0),0)</f>
        <v>0</v>
      </c>
      <c r="BZ87" s="783">
        <f>IF('Incremental Repayments'!$R$22="Debt",IF(AND(BZ$4&gt;=$D87,BZ$4&lt;$D87+'Incremental Repayments'!$I$31),-PMT('Interest Rate'!$J$16,'Incremental Repayments'!$I$31,(HLOOKUP($D87,$E$4:$CZ$32,28,FALSE)*'Incremental Repayments'!$I$22)),0),0)</f>
        <v>0</v>
      </c>
      <c r="CA87" s="783">
        <f>IF('Incremental Repayments'!$R$22="Debt",IF(AND(CA$4&gt;=$D87,CA$4&lt;$D87+'Incremental Repayments'!$I$31),-PMT('Interest Rate'!$J$16,'Incremental Repayments'!$I$31,(HLOOKUP($D87,$E$4:$CZ$32,28,FALSE)*'Incremental Repayments'!$I$22)),0),0)</f>
        <v>0</v>
      </c>
      <c r="CB87" s="783">
        <f>IF('Incremental Repayments'!$R$22="Debt",IF(AND(CB$4&gt;=$D87,CB$4&lt;$D87+'Incremental Repayments'!$I$31),-PMT('Interest Rate'!$J$16,'Incremental Repayments'!$I$31,(HLOOKUP($D87,$E$4:$CZ$32,28,FALSE)*'Incremental Repayments'!$I$22)),0),0)</f>
        <v>0</v>
      </c>
      <c r="CC87" s="783">
        <f>IF('Incremental Repayments'!$R$22="Debt",IF(AND(CC$4&gt;=$D87,CC$4&lt;$D87+'Incremental Repayments'!$I$31),-PMT('Interest Rate'!$J$16,'Incremental Repayments'!$I$31,(HLOOKUP($D87,$E$4:$CZ$32,28,FALSE)*'Incremental Repayments'!$I$22)),0),0)</f>
        <v>0</v>
      </c>
      <c r="CD87" s="783">
        <f>IF('Incremental Repayments'!$R$22="Debt",IF(AND(CD$4&gt;=$D87,CD$4&lt;$D87+'Incremental Repayments'!$I$31),-PMT('Interest Rate'!$J$16,'Incremental Repayments'!$I$31,(HLOOKUP($D87,$E$4:$CZ$32,28,FALSE)*'Incremental Repayments'!$I$22)),0),0)</f>
        <v>0</v>
      </c>
      <c r="CE87" s="783">
        <f>IF('Incremental Repayments'!$R$22="Debt",IF(AND(CE$4&gt;=$D87,CE$4&lt;$D87+'Incremental Repayments'!$I$31),-PMT('Interest Rate'!$J$16,'Incremental Repayments'!$I$31,(HLOOKUP($D87,$E$4:$CZ$32,28,FALSE)*'Incremental Repayments'!$I$22)),0),0)</f>
        <v>0</v>
      </c>
      <c r="CF87" s="783">
        <f>IF('Incremental Repayments'!$R$22="Debt",IF(AND(CF$4&gt;=$D87,CF$4&lt;$D87+'Incremental Repayments'!$I$31),-PMT('Interest Rate'!$J$16,'Incremental Repayments'!$I$31,(HLOOKUP($D87,$E$4:$CZ$32,28,FALSE)*'Incremental Repayments'!$I$22)),0),0)</f>
        <v>0</v>
      </c>
      <c r="CG87" s="783">
        <f>IF('Incremental Repayments'!$R$22="Debt",IF(AND(CG$4&gt;=$D87,CG$4&lt;$D87+'Incremental Repayments'!$I$31),-PMT('Interest Rate'!$J$16,'Incremental Repayments'!$I$31,(HLOOKUP($D87,$E$4:$CZ$32,28,FALSE)*'Incremental Repayments'!$I$22)),0),0)</f>
        <v>0</v>
      </c>
      <c r="CH87" s="783">
        <f>IF('Incremental Repayments'!$R$22="Debt",IF(AND(CH$4&gt;=$D87,CH$4&lt;$D87+'Incremental Repayments'!$I$31),-PMT('Interest Rate'!$J$16,'Incremental Repayments'!$I$31,(HLOOKUP($D87,$E$4:$CZ$32,28,FALSE)*'Incremental Repayments'!$I$22)),0),0)</f>
        <v>0</v>
      </c>
      <c r="CI87" s="783">
        <f>IF('Incremental Repayments'!$R$22="Debt",IF(AND(CI$4&gt;=$D87,CI$4&lt;$D87+'Incremental Repayments'!$I$31),-PMT('Interest Rate'!$J$16,'Incremental Repayments'!$I$31,(HLOOKUP($D87,$E$4:$CZ$32,28,FALSE)*'Incremental Repayments'!$I$22)),0),0)</f>
        <v>0</v>
      </c>
      <c r="CJ87" s="783">
        <f>IF('Incremental Repayments'!$R$22="Debt",IF(AND(CJ$4&gt;=$D87,CJ$4&lt;$D87+'Incremental Repayments'!$I$31),-PMT('Interest Rate'!$J$16,'Incremental Repayments'!$I$31,(HLOOKUP($D87,$E$4:$CZ$32,28,FALSE)*'Incremental Repayments'!$I$22)),0),0)</f>
        <v>0</v>
      </c>
      <c r="CK87" s="783">
        <f>IF('Incremental Repayments'!$R$22="Debt",IF(AND(CK$4&gt;=$D87,CK$4&lt;$D87+'Incremental Repayments'!$I$31),-PMT('Interest Rate'!$J$16,'Incremental Repayments'!$I$31,(HLOOKUP($D87,$E$4:$CZ$32,28,FALSE)*'Incremental Repayments'!$I$22)),0),0)</f>
        <v>0</v>
      </c>
      <c r="CL87" s="783">
        <f>IF('Incremental Repayments'!$R$22="Debt",IF(AND(CL$4&gt;=$D87,CL$4&lt;$D87+'Incremental Repayments'!$I$31),-PMT('Interest Rate'!$J$16,'Incremental Repayments'!$I$31,(HLOOKUP($D87,$E$4:$CZ$32,28,FALSE)*'Incremental Repayments'!$I$22)),0),0)</f>
        <v>0</v>
      </c>
      <c r="CM87" s="783">
        <f>IF('Incremental Repayments'!$R$22="Debt",IF(AND(CM$4&gt;=$D87,CM$4&lt;$D87+'Incremental Repayments'!$I$31),-PMT('Interest Rate'!$J$16,'Incremental Repayments'!$I$31,(HLOOKUP($D87,$E$4:$CZ$32,28,FALSE)*'Incremental Repayments'!$I$22)),0),0)</f>
        <v>0</v>
      </c>
      <c r="CN87" s="783">
        <f>IF('Incremental Repayments'!$R$22="Debt",IF(AND(CN$4&gt;=$D87,CN$4&lt;$D87+'Incremental Repayments'!$I$31),-PMT('Interest Rate'!$J$16,'Incremental Repayments'!$I$31,(HLOOKUP($D87,$E$4:$CZ$32,28,FALSE)*'Incremental Repayments'!$I$22)),0),0)</f>
        <v>0</v>
      </c>
      <c r="CO87" s="783">
        <f>IF('Incremental Repayments'!$R$22="Debt",IF(AND(CO$4&gt;=$D87,CO$4&lt;$D87+'Incremental Repayments'!$I$31),-PMT('Interest Rate'!$J$16,'Incremental Repayments'!$I$31,(HLOOKUP($D87,$E$4:$CZ$32,28,FALSE)*'Incremental Repayments'!$I$22)),0),0)</f>
        <v>0</v>
      </c>
      <c r="CP87" s="783">
        <f>IF('Incremental Repayments'!$R$22="Debt",IF(AND(CP$4&gt;=$D87,CP$4&lt;$D87+'Incremental Repayments'!$I$31),-PMT('Interest Rate'!$J$16,'Incremental Repayments'!$I$31,(HLOOKUP($D87,$E$4:$CZ$32,28,FALSE)*'Incremental Repayments'!$I$22)),0),0)</f>
        <v>0</v>
      </c>
      <c r="CQ87" s="783">
        <f>IF('Incremental Repayments'!$R$22="Debt",IF(AND(CQ$4&gt;=$D87,CQ$4&lt;$D87+'Incremental Repayments'!$I$31),-PMT('Interest Rate'!$J$16,'Incremental Repayments'!$I$31,(HLOOKUP($D87,$E$4:$CZ$32,28,FALSE)*'Incremental Repayments'!$I$22)),0),0)</f>
        <v>0</v>
      </c>
      <c r="CR87" s="783">
        <f>IF('Incremental Repayments'!$R$22="Debt",IF(AND(CR$4&gt;=$D87,CR$4&lt;$D87+'Incremental Repayments'!$I$31),-PMT('Interest Rate'!$J$16,'Incremental Repayments'!$I$31,(HLOOKUP($D87,$E$4:$CZ$32,28,FALSE)*'Incremental Repayments'!$I$22)),0),0)</f>
        <v>0</v>
      </c>
      <c r="CS87" s="783">
        <f>IF('Incremental Repayments'!$R$22="Debt",IF(AND(CS$4&gt;=$D87,CS$4&lt;$D87+'Incremental Repayments'!$I$31),-PMT('Interest Rate'!$J$16,'Incremental Repayments'!$I$31,(HLOOKUP($D87,$E$4:$CZ$32,28,FALSE)*'Incremental Repayments'!$I$22)),0),0)</f>
        <v>0</v>
      </c>
      <c r="CT87" s="783">
        <f>IF('Incremental Repayments'!$R$22="Debt",IF(AND(CT$4&gt;=$D87,CT$4&lt;$D87+'Incremental Repayments'!$I$31),-PMT('Interest Rate'!$J$16,'Incremental Repayments'!$I$31,(HLOOKUP($D87,$E$4:$CZ$32,28,FALSE)*'Incremental Repayments'!$I$22)),0),0)</f>
        <v>0</v>
      </c>
      <c r="CU87" s="783">
        <f>IF('Incremental Repayments'!$R$22="Debt",IF(AND(CU$4&gt;=$D87,CU$4&lt;$D87+'Incremental Repayments'!$I$31),-PMT('Interest Rate'!$J$16,'Incremental Repayments'!$I$31,(HLOOKUP($D87,$E$4:$CZ$32,28,FALSE)*'Incremental Repayments'!$I$22)),0),0)</f>
        <v>0</v>
      </c>
      <c r="CV87" s="783">
        <f>IF('Incremental Repayments'!$R$22="Debt",IF(AND(CV$4&gt;=$D87,CV$4&lt;$D87+'Incremental Repayments'!$I$31),-PMT('Interest Rate'!$J$16,'Incremental Repayments'!$I$31,(HLOOKUP($D87,$E$4:$CZ$32,28,FALSE)*'Incremental Repayments'!$I$22)),0),0)</f>
        <v>0</v>
      </c>
      <c r="CW87" s="783">
        <f>IF('Incremental Repayments'!$R$22="Debt",IF(AND(CW$4&gt;=$D87,CW$4&lt;$D87+'Incremental Repayments'!$I$31),-PMT('Interest Rate'!$J$16,'Incremental Repayments'!$I$31,(HLOOKUP($D87,$E$4:$CZ$32,28,FALSE)*'Incremental Repayments'!$I$22)),0),0)</f>
        <v>0</v>
      </c>
      <c r="CX87" s="783">
        <f>IF('Incremental Repayments'!$R$22="Debt",IF(AND(CX$4&gt;=$D87,CX$4&lt;$D87+'Incremental Repayments'!$I$31),-PMT('Interest Rate'!$J$16,'Incremental Repayments'!$I$31,(HLOOKUP($D87,$E$4:$CZ$32,28,FALSE)*'Incremental Repayments'!$I$22)),0),0)</f>
        <v>0</v>
      </c>
      <c r="CY87" s="783">
        <f>IF('Incremental Repayments'!$R$22="Debt",IF(AND(CY$4&gt;=$D87,CY$4&lt;$D87+'Incremental Repayments'!$I$31),-PMT('Interest Rate'!$J$16,'Incremental Repayments'!$I$31,(HLOOKUP($D87,$E$4:$CZ$32,28,FALSE)*'Incremental Repayments'!$I$22)),0),0)</f>
        <v>0</v>
      </c>
      <c r="CZ87" s="783">
        <f>IF('Incremental Repayments'!$R$22="Debt",IF(AND(CZ$4&gt;=$D87,CZ$4&lt;$D87+'Incremental Repayments'!$I$31),-PMT('Interest Rate'!$J$16,'Incremental Repayments'!$I$31,(HLOOKUP($D87,$E$4:$CZ$32,28,FALSE)*'Incremental Repayments'!$I$22)),0),0)</f>
        <v>0</v>
      </c>
    </row>
    <row r="88" spans="2:104" x14ac:dyDescent="0.25">
      <c r="B88" s="480" t="str">
        <f>CONCATENATE("Series ",D88,"A Bonds (at ",'Interest Rate'!$J$16*100,"% Interest)")</f>
        <v>Series 2066A Bonds (at 4.5% Interest)</v>
      </c>
      <c r="C88" s="480"/>
      <c r="D88" s="492">
        <f t="shared" si="47"/>
        <v>2066</v>
      </c>
      <c r="E88" s="783">
        <f>IF('Incremental Repayments'!$R$22="Debt",IF(AND(E$4&gt;=$D88,E$4&lt;$D88+'Incremental Repayments'!$I$31),-PMT('Interest Rate'!$J$16,'Incremental Repayments'!$I$31,(HLOOKUP($D88,$E$4:$CZ$32,28,FALSE)*'Incremental Repayments'!$I$22)),0),0)</f>
        <v>0</v>
      </c>
      <c r="F88" s="783">
        <f>IF('Incremental Repayments'!$R$22="Debt",IF(AND(F$4&gt;=$D88,F$4&lt;$D88+'Incremental Repayments'!$I$31),-PMT('Interest Rate'!$J$16,'Incremental Repayments'!$I$31,(HLOOKUP($D88,$E$4:$CZ$32,28,FALSE)*'Incremental Repayments'!$I$22)),0),0)</f>
        <v>0</v>
      </c>
      <c r="G88" s="783">
        <f>IF('Incremental Repayments'!$R$22="Debt",IF(AND(G$4&gt;=$D88,G$4&lt;$D88+'Incremental Repayments'!$I$31),-PMT('Interest Rate'!$J$16,'Incremental Repayments'!$I$31,(HLOOKUP($D88,$E$4:$CZ$32,28,FALSE)*'Incremental Repayments'!$I$22)),0),0)</f>
        <v>0</v>
      </c>
      <c r="H88" s="783">
        <f>IF('Incremental Repayments'!$R$22="Debt",IF(AND(H$4&gt;=$D88,H$4&lt;$D88+'Incremental Repayments'!$I$31),-PMT('Interest Rate'!$J$16,'Incremental Repayments'!$I$31,(HLOOKUP($D88,$E$4:$CZ$32,28,FALSE)*'Incremental Repayments'!$I$22)),0),0)</f>
        <v>0</v>
      </c>
      <c r="I88" s="783">
        <f>IF('Incremental Repayments'!$R$22="Debt",IF(AND(I$4&gt;=$D88,I$4&lt;$D88+'Incremental Repayments'!$I$31),-PMT('Interest Rate'!$J$16,'Incremental Repayments'!$I$31,(HLOOKUP($D88,$E$4:$CZ$32,28,FALSE)*'Incremental Repayments'!$I$22)),0),0)</f>
        <v>0</v>
      </c>
      <c r="J88" s="783">
        <f>IF('Incremental Repayments'!$R$22="Debt",IF(AND(J$4&gt;=$D88,J$4&lt;$D88+'Incremental Repayments'!$I$31),-PMT('Interest Rate'!$J$16,'Incremental Repayments'!$I$31,(HLOOKUP($D88,$E$4:$CZ$32,28,FALSE)*'Incremental Repayments'!$I$22)),0),0)</f>
        <v>0</v>
      </c>
      <c r="K88" s="783">
        <f>IF('Incremental Repayments'!$R$22="Debt",IF(AND(K$4&gt;=$D88,K$4&lt;$D88+'Incremental Repayments'!$I$31),-PMT('Interest Rate'!$J$16,'Incremental Repayments'!$I$31,(HLOOKUP($D88,$E$4:$CZ$32,28,FALSE)*'Incremental Repayments'!$I$22)),0),0)</f>
        <v>0</v>
      </c>
      <c r="L88" s="783">
        <f>IF('Incremental Repayments'!$R$22="Debt",IF(AND(L$4&gt;=$D88,L$4&lt;$D88+'Incremental Repayments'!$I$31),-PMT('Interest Rate'!$J$16,'Incremental Repayments'!$I$31,(HLOOKUP($D88,$E$4:$CZ$32,28,FALSE)*'Incremental Repayments'!$I$22)),0),0)</f>
        <v>0</v>
      </c>
      <c r="M88" s="783">
        <f>IF('Incremental Repayments'!$R$22="Debt",IF(AND(M$4&gt;=$D88,M$4&lt;$D88+'Incremental Repayments'!$I$31),-PMT('Interest Rate'!$J$16,'Incremental Repayments'!$I$31,(HLOOKUP($D88,$E$4:$CZ$32,28,FALSE)*'Incremental Repayments'!$I$22)),0),0)</f>
        <v>0</v>
      </c>
      <c r="N88" s="783">
        <f>IF('Incremental Repayments'!$R$22="Debt",IF(AND(N$4&gt;=$D88,N$4&lt;$D88+'Incremental Repayments'!$I$31),-PMT('Interest Rate'!$J$16,'Incremental Repayments'!$I$31,(HLOOKUP($D88,$E$4:$CZ$32,28,FALSE)*'Incremental Repayments'!$I$22)),0),0)</f>
        <v>0</v>
      </c>
      <c r="O88" s="783">
        <f>IF('Incremental Repayments'!$R$22="Debt",IF(AND(O$4&gt;=$D88,O$4&lt;$D88+'Incremental Repayments'!$I$31),-PMT('Interest Rate'!$J$16,'Incremental Repayments'!$I$31,(HLOOKUP($D88,$E$4:$CZ$32,28,FALSE)*'Incremental Repayments'!$I$22)),0),0)</f>
        <v>0</v>
      </c>
      <c r="P88" s="783">
        <f>IF('Incremental Repayments'!$R$22="Debt",IF(AND(P$4&gt;=$D88,P$4&lt;$D88+'Incremental Repayments'!$I$31),-PMT('Interest Rate'!$J$16,'Incremental Repayments'!$I$31,(HLOOKUP($D88,$E$4:$CZ$32,28,FALSE)*'Incremental Repayments'!$I$22)),0),0)</f>
        <v>0</v>
      </c>
      <c r="Q88" s="783">
        <f>IF('Incremental Repayments'!$R$22="Debt",IF(AND(Q$4&gt;=$D88,Q$4&lt;$D88+'Incremental Repayments'!$I$31),-PMT('Interest Rate'!$J$16,'Incremental Repayments'!$I$31,(HLOOKUP($D88,$E$4:$CZ$32,28,FALSE)*'Incremental Repayments'!$I$22)),0),0)</f>
        <v>0</v>
      </c>
      <c r="R88" s="783">
        <f>IF('Incremental Repayments'!$R$22="Debt",IF(AND(R$4&gt;=$D88,R$4&lt;$D88+'Incremental Repayments'!$I$31),-PMT('Interest Rate'!$J$16,'Incremental Repayments'!$I$31,(HLOOKUP($D88,$E$4:$CZ$32,28,FALSE)*'Incremental Repayments'!$I$22)),0),0)</f>
        <v>0</v>
      </c>
      <c r="S88" s="783">
        <f>IF('Incremental Repayments'!$R$22="Debt",IF(AND(S$4&gt;=$D88,S$4&lt;$D88+'Incremental Repayments'!$I$31),-PMT('Interest Rate'!$J$16,'Incremental Repayments'!$I$31,(HLOOKUP($D88,$E$4:$CZ$32,28,FALSE)*'Incremental Repayments'!$I$22)),0),0)</f>
        <v>0</v>
      </c>
      <c r="T88" s="783">
        <f>IF('Incremental Repayments'!$R$22="Debt",IF(AND(T$4&gt;=$D88,T$4&lt;$D88+'Incremental Repayments'!$I$31),-PMT('Interest Rate'!$J$16,'Incremental Repayments'!$I$31,(HLOOKUP($D88,$E$4:$CZ$32,28,FALSE)*'Incremental Repayments'!$I$22)),0),0)</f>
        <v>0</v>
      </c>
      <c r="U88" s="783">
        <f>IF('Incremental Repayments'!$R$22="Debt",IF(AND(U$4&gt;=$D88,U$4&lt;$D88+'Incremental Repayments'!$I$31),-PMT('Interest Rate'!$J$16,'Incremental Repayments'!$I$31,(HLOOKUP($D88,$E$4:$CZ$32,28,FALSE)*'Incremental Repayments'!$I$22)),0),0)</f>
        <v>0</v>
      </c>
      <c r="V88" s="783">
        <f>IF('Incremental Repayments'!$R$22="Debt",IF(AND(V$4&gt;=$D88,V$4&lt;$D88+'Incremental Repayments'!$I$31),-PMT('Interest Rate'!$J$16,'Incremental Repayments'!$I$31,(HLOOKUP($D88,$E$4:$CZ$32,28,FALSE)*'Incremental Repayments'!$I$22)),0),0)</f>
        <v>0</v>
      </c>
      <c r="W88" s="783">
        <f>IF('Incremental Repayments'!$R$22="Debt",IF(AND(W$4&gt;=$D88,W$4&lt;$D88+'Incremental Repayments'!$I$31),-PMT('Interest Rate'!$J$16,'Incremental Repayments'!$I$31,(HLOOKUP($D88,$E$4:$CZ$32,28,FALSE)*'Incremental Repayments'!$I$22)),0),0)</f>
        <v>0</v>
      </c>
      <c r="X88" s="783">
        <f>IF('Incremental Repayments'!$R$22="Debt",IF(AND(X$4&gt;=$D88,X$4&lt;$D88+'Incremental Repayments'!$I$31),-PMT('Interest Rate'!$J$16,'Incremental Repayments'!$I$31,(HLOOKUP($D88,$E$4:$CZ$32,28,FALSE)*'Incremental Repayments'!$I$22)),0),0)</f>
        <v>0</v>
      </c>
      <c r="Y88" s="783">
        <f>IF('Incremental Repayments'!$R$22="Debt",IF(AND(Y$4&gt;=$D88,Y$4&lt;$D88+'Incremental Repayments'!$I$31),-PMT('Interest Rate'!$J$16,'Incremental Repayments'!$I$31,(HLOOKUP($D88,$E$4:$CZ$32,28,FALSE)*'Incremental Repayments'!$I$22)),0),0)</f>
        <v>0</v>
      </c>
      <c r="Z88" s="783">
        <f>IF('Incremental Repayments'!$R$22="Debt",IF(AND(Z$4&gt;=$D88,Z$4&lt;$D88+'Incremental Repayments'!$I$31),-PMT('Interest Rate'!$J$16,'Incremental Repayments'!$I$31,(HLOOKUP($D88,$E$4:$CZ$32,28,FALSE)*'Incremental Repayments'!$I$22)),0),0)</f>
        <v>0</v>
      </c>
      <c r="AA88" s="783">
        <f>IF('Incremental Repayments'!$R$22="Debt",IF(AND(AA$4&gt;=$D88,AA$4&lt;$D88+'Incremental Repayments'!$I$31),-PMT('Interest Rate'!$J$16,'Incremental Repayments'!$I$31,(HLOOKUP($D88,$E$4:$CZ$32,28,FALSE)*'Incremental Repayments'!$I$22)),0),0)</f>
        <v>0</v>
      </c>
      <c r="AB88" s="783">
        <f>IF('Incremental Repayments'!$R$22="Debt",IF(AND(AB$4&gt;=$D88,AB$4&lt;$D88+'Incremental Repayments'!$I$31),-PMT('Interest Rate'!$J$16,'Incremental Repayments'!$I$31,(HLOOKUP($D88,$E$4:$CZ$32,28,FALSE)*'Incremental Repayments'!$I$22)),0),0)</f>
        <v>0</v>
      </c>
      <c r="AC88" s="783">
        <f>IF('Incremental Repayments'!$R$22="Debt",IF(AND(AC$4&gt;=$D88,AC$4&lt;$D88+'Incremental Repayments'!$I$31),-PMT('Interest Rate'!$J$16,'Incremental Repayments'!$I$31,(HLOOKUP($D88,$E$4:$CZ$32,28,FALSE)*'Incremental Repayments'!$I$22)),0),0)</f>
        <v>0</v>
      </c>
      <c r="AD88" s="783">
        <f>IF('Incremental Repayments'!$R$22="Debt",IF(AND(AD$4&gt;=$D88,AD$4&lt;$D88+'Incremental Repayments'!$I$31),-PMT('Interest Rate'!$J$16,'Incremental Repayments'!$I$31,(HLOOKUP($D88,$E$4:$CZ$32,28,FALSE)*'Incremental Repayments'!$I$22)),0),0)</f>
        <v>0</v>
      </c>
      <c r="AE88" s="783">
        <f>IF('Incremental Repayments'!$R$22="Debt",IF(AND(AE$4&gt;=$D88,AE$4&lt;$D88+'Incremental Repayments'!$I$31),-PMT('Interest Rate'!$J$16,'Incremental Repayments'!$I$31,(HLOOKUP($D88,$E$4:$CZ$32,28,FALSE)*'Incremental Repayments'!$I$22)),0),0)</f>
        <v>0</v>
      </c>
      <c r="AF88" s="783">
        <f>IF('Incremental Repayments'!$R$22="Debt",IF(AND(AF$4&gt;=$D88,AF$4&lt;$D88+'Incremental Repayments'!$I$31),-PMT('Interest Rate'!$J$16,'Incremental Repayments'!$I$31,(HLOOKUP($D88,$E$4:$CZ$32,28,FALSE)*'Incremental Repayments'!$I$22)),0),0)</f>
        <v>0</v>
      </c>
      <c r="AG88" s="783">
        <f>IF('Incremental Repayments'!$R$22="Debt",IF(AND(AG$4&gt;=$D88,AG$4&lt;$D88+'Incremental Repayments'!$I$31),-PMT('Interest Rate'!$J$16,'Incremental Repayments'!$I$31,(HLOOKUP($D88,$E$4:$CZ$32,28,FALSE)*'Incremental Repayments'!$I$22)),0),0)</f>
        <v>0</v>
      </c>
      <c r="AH88" s="783">
        <f>IF('Incremental Repayments'!$R$22="Debt",IF(AND(AH$4&gt;=$D88,AH$4&lt;$D88+'Incremental Repayments'!$I$31),-PMT('Interest Rate'!$J$16,'Incremental Repayments'!$I$31,(HLOOKUP($D88,$E$4:$CZ$32,28,FALSE)*'Incremental Repayments'!$I$22)),0),0)</f>
        <v>0</v>
      </c>
      <c r="AI88" s="783">
        <f>IF('Incremental Repayments'!$R$22="Debt",IF(AND(AI$4&gt;=$D88,AI$4&lt;$D88+'Incremental Repayments'!$I$31),-PMT('Interest Rate'!$J$16,'Incremental Repayments'!$I$31,(HLOOKUP($D88,$E$4:$CZ$32,28,FALSE)*'Incremental Repayments'!$I$22)),0),0)</f>
        <v>0</v>
      </c>
      <c r="AJ88" s="783">
        <f>IF('Incremental Repayments'!$R$22="Debt",IF(AND(AJ$4&gt;=$D88,AJ$4&lt;$D88+'Incremental Repayments'!$I$31),-PMT('Interest Rate'!$J$16,'Incremental Repayments'!$I$31,(HLOOKUP($D88,$E$4:$CZ$32,28,FALSE)*'Incremental Repayments'!$I$22)),0),0)</f>
        <v>0</v>
      </c>
      <c r="AK88" s="783">
        <f>IF('Incremental Repayments'!$R$22="Debt",IF(AND(AK$4&gt;=$D88,AK$4&lt;$D88+'Incremental Repayments'!$I$31),-PMT('Interest Rate'!$J$16,'Incremental Repayments'!$I$31,(HLOOKUP($D88,$E$4:$CZ$32,28,FALSE)*'Incremental Repayments'!$I$22)),0),0)</f>
        <v>0</v>
      </c>
      <c r="AL88" s="783">
        <f>IF('Incremental Repayments'!$R$22="Debt",IF(AND(AL$4&gt;=$D88,AL$4&lt;$D88+'Incremental Repayments'!$I$31),-PMT('Interest Rate'!$J$16,'Incremental Repayments'!$I$31,(HLOOKUP($D88,$E$4:$CZ$32,28,FALSE)*'Incremental Repayments'!$I$22)),0),0)</f>
        <v>0</v>
      </c>
      <c r="AM88" s="783">
        <f>IF('Incremental Repayments'!$R$22="Debt",IF(AND(AM$4&gt;=$D88,AM$4&lt;$D88+'Incremental Repayments'!$I$31),-PMT('Interest Rate'!$J$16,'Incremental Repayments'!$I$31,(HLOOKUP($D88,$E$4:$CZ$32,28,FALSE)*'Incremental Repayments'!$I$22)),0),0)</f>
        <v>0</v>
      </c>
      <c r="AN88" s="783">
        <f>IF('Incremental Repayments'!$R$22="Debt",IF(AND(AN$4&gt;=$D88,AN$4&lt;$D88+'Incremental Repayments'!$I$31),-PMT('Interest Rate'!$J$16,'Incremental Repayments'!$I$31,(HLOOKUP($D88,$E$4:$CZ$32,28,FALSE)*'Incremental Repayments'!$I$22)),0),0)</f>
        <v>0</v>
      </c>
      <c r="AO88" s="783">
        <f>IF('Incremental Repayments'!$R$22="Debt",IF(AND(AO$4&gt;=$D88,AO$4&lt;$D88+'Incremental Repayments'!$I$31),-PMT('Interest Rate'!$J$16,'Incremental Repayments'!$I$31,(HLOOKUP($D88,$E$4:$CZ$32,28,FALSE)*'Incremental Repayments'!$I$22)),0),0)</f>
        <v>0</v>
      </c>
      <c r="AP88" s="783">
        <f>IF('Incremental Repayments'!$R$22="Debt",IF(AND(AP$4&gt;=$D88,AP$4&lt;$D88+'Incremental Repayments'!$I$31),-PMT('Interest Rate'!$J$16,'Incremental Repayments'!$I$31,(HLOOKUP($D88,$E$4:$CZ$32,28,FALSE)*'Incremental Repayments'!$I$22)),0),0)</f>
        <v>0</v>
      </c>
      <c r="AQ88" s="783">
        <f>IF('Incremental Repayments'!$R$22="Debt",IF(AND(AQ$4&gt;=$D88,AQ$4&lt;$D88+'Incremental Repayments'!$I$31),-PMT('Interest Rate'!$J$16,'Incremental Repayments'!$I$31,(HLOOKUP($D88,$E$4:$CZ$32,28,FALSE)*'Incremental Repayments'!$I$22)),0),0)</f>
        <v>0</v>
      </c>
      <c r="AR88" s="783">
        <f>IF('Incremental Repayments'!$R$22="Debt",IF(AND(AR$4&gt;=$D88,AR$4&lt;$D88+'Incremental Repayments'!$I$31),-PMT('Interest Rate'!$J$16,'Incremental Repayments'!$I$31,(HLOOKUP($D88,$E$4:$CZ$32,28,FALSE)*'Incremental Repayments'!$I$22)),0),0)</f>
        <v>0</v>
      </c>
      <c r="AS88" s="783">
        <f>IF('Incremental Repayments'!$R$22="Debt",IF(AND(AS$4&gt;=$D88,AS$4&lt;$D88+'Incremental Repayments'!$I$31),-PMT('Interest Rate'!$J$16,'Incremental Repayments'!$I$31,(HLOOKUP($D88,$E$4:$CZ$32,28,FALSE)*'Incremental Repayments'!$I$22)),0),0)</f>
        <v>0</v>
      </c>
      <c r="AT88" s="783">
        <f>IF('Incremental Repayments'!$R$22="Debt",IF(AND(AT$4&gt;=$D88,AT$4&lt;$D88+'Incremental Repayments'!$I$31),-PMT('Interest Rate'!$J$16,'Incremental Repayments'!$I$31,(HLOOKUP($D88,$E$4:$CZ$32,28,FALSE)*'Incremental Repayments'!$I$22)),0),0)</f>
        <v>0</v>
      </c>
      <c r="AU88" s="783">
        <f>IF('Incremental Repayments'!$R$22="Debt",IF(AND(AU$4&gt;=$D88,AU$4&lt;$D88+'Incremental Repayments'!$I$31),-PMT('Interest Rate'!$J$16,'Incremental Repayments'!$I$31,(HLOOKUP($D88,$E$4:$CZ$32,28,FALSE)*'Incremental Repayments'!$I$22)),0),0)</f>
        <v>0</v>
      </c>
      <c r="AV88" s="783">
        <f>IF('Incremental Repayments'!$R$22="Debt",IF(AND(AV$4&gt;=$D88,AV$4&lt;$D88+'Incremental Repayments'!$I$31),-PMT('Interest Rate'!$J$16,'Incremental Repayments'!$I$31,(HLOOKUP($D88,$E$4:$CZ$32,28,FALSE)*'Incremental Repayments'!$I$22)),0),0)</f>
        <v>0</v>
      </c>
      <c r="AW88" s="783">
        <f>IF('Incremental Repayments'!$R$22="Debt",IF(AND(AW$4&gt;=$D88,AW$4&lt;$D88+'Incremental Repayments'!$I$31),-PMT('Interest Rate'!$J$16,'Incremental Repayments'!$I$31,(HLOOKUP($D88,$E$4:$CZ$32,28,FALSE)*'Incremental Repayments'!$I$22)),0),0)</f>
        <v>0</v>
      </c>
      <c r="AX88" s="783">
        <f>IF('Incremental Repayments'!$R$22="Debt",IF(AND(AX$4&gt;=$D88,AX$4&lt;$D88+'Incremental Repayments'!$I$31),-PMT('Interest Rate'!$J$16,'Incremental Repayments'!$I$31,(HLOOKUP($D88,$E$4:$CZ$32,28,FALSE)*'Incremental Repayments'!$I$22)),0),0)</f>
        <v>0</v>
      </c>
      <c r="AY88" s="783">
        <f>IF('Incremental Repayments'!$R$22="Debt",IF(AND(AY$4&gt;=$D88,AY$4&lt;$D88+'Incremental Repayments'!$I$31),-PMT('Interest Rate'!$J$16,'Incremental Repayments'!$I$31,(HLOOKUP($D88,$E$4:$CZ$32,28,FALSE)*'Incremental Repayments'!$I$22)),0),0)</f>
        <v>0</v>
      </c>
      <c r="AZ88" s="783">
        <f>IF('Incremental Repayments'!$R$22="Debt",IF(AND(AZ$4&gt;=$D88,AZ$4&lt;$D88+'Incremental Repayments'!$I$31),-PMT('Interest Rate'!$J$16,'Incremental Repayments'!$I$31,(HLOOKUP($D88,$E$4:$CZ$32,28,FALSE)*'Incremental Repayments'!$I$22)),0),0)</f>
        <v>0</v>
      </c>
      <c r="BA88" s="783">
        <f>IF('Incremental Repayments'!$R$22="Debt",IF(AND(BA$4&gt;=$D88,BA$4&lt;$D88+'Incremental Repayments'!$I$31),-PMT('Interest Rate'!$J$16,'Incremental Repayments'!$I$31,(HLOOKUP($D88,$E$4:$CZ$32,28,FALSE)*'Incremental Repayments'!$I$22)),0),0)</f>
        <v>0</v>
      </c>
      <c r="BB88" s="783">
        <f>IF('Incremental Repayments'!$R$22="Debt",IF(AND(BB$4&gt;=$D88,BB$4&lt;$D88+'Incremental Repayments'!$I$31),-PMT('Interest Rate'!$J$16,'Incremental Repayments'!$I$31,(HLOOKUP($D88,$E$4:$CZ$32,28,FALSE)*'Incremental Repayments'!$I$22)),0),0)</f>
        <v>0</v>
      </c>
      <c r="BC88" s="783">
        <f>IF('Incremental Repayments'!$R$22="Debt",IF(AND(BC$4&gt;=$D88,BC$4&lt;$D88+'Incremental Repayments'!$I$31),-PMT('Interest Rate'!$J$16,'Incremental Repayments'!$I$31,(HLOOKUP($D88,$E$4:$CZ$32,28,FALSE)*'Incremental Repayments'!$I$22)),0),0)</f>
        <v>0</v>
      </c>
      <c r="BD88" s="783">
        <f>IF('Incremental Repayments'!$R$22="Debt",IF(AND(BD$4&gt;=$D88,BD$4&lt;$D88+'Incremental Repayments'!$I$31),-PMT('Interest Rate'!$J$16,'Incremental Repayments'!$I$31,(HLOOKUP($D88,$E$4:$CZ$32,28,FALSE)*'Incremental Repayments'!$I$22)),0),0)</f>
        <v>0</v>
      </c>
      <c r="BE88" s="783">
        <f>IF('Incremental Repayments'!$R$22="Debt",IF(AND(BE$4&gt;=$D88,BE$4&lt;$D88+'Incremental Repayments'!$I$31),-PMT('Interest Rate'!$J$16,'Incremental Repayments'!$I$31,(HLOOKUP($D88,$E$4:$CZ$32,28,FALSE)*'Incremental Repayments'!$I$22)),0),0)</f>
        <v>0</v>
      </c>
      <c r="BF88" s="783">
        <f>IF('Incremental Repayments'!$R$22="Debt",IF(AND(BF$4&gt;=$D88,BF$4&lt;$D88+'Incremental Repayments'!$I$31),-PMT('Interest Rate'!$J$16,'Incremental Repayments'!$I$31,(HLOOKUP($D88,$E$4:$CZ$32,28,FALSE)*'Incremental Repayments'!$I$22)),0),0)</f>
        <v>0</v>
      </c>
      <c r="BG88" s="783">
        <f>IF('Incremental Repayments'!$R$22="Debt",IF(AND(BG$4&gt;=$D88,BG$4&lt;$D88+'Incremental Repayments'!$I$31),-PMT('Interest Rate'!$J$16,'Incremental Repayments'!$I$31,(HLOOKUP($D88,$E$4:$CZ$32,28,FALSE)*'Incremental Repayments'!$I$22)),0),0)</f>
        <v>0</v>
      </c>
      <c r="BH88" s="783">
        <f>IF('Incremental Repayments'!$R$22="Debt",IF(AND(BH$4&gt;=$D88,BH$4&lt;$D88+'Incremental Repayments'!$I$31),-PMT('Interest Rate'!$J$16,'Incremental Repayments'!$I$31,(HLOOKUP($D88,$E$4:$CZ$32,28,FALSE)*'Incremental Repayments'!$I$22)),0),0)</f>
        <v>0</v>
      </c>
      <c r="BI88" s="783">
        <f>IF('Incremental Repayments'!$R$22="Debt",IF(AND(BI$4&gt;=$D88,BI$4&lt;$D88+'Incremental Repayments'!$I$31),-PMT('Interest Rate'!$J$16,'Incremental Repayments'!$I$31,(HLOOKUP($D88,$E$4:$CZ$32,28,FALSE)*'Incremental Repayments'!$I$22)),0),0)</f>
        <v>0</v>
      </c>
      <c r="BJ88" s="783">
        <f>IF('Incremental Repayments'!$R$22="Debt",IF(AND(BJ$4&gt;=$D88,BJ$4&lt;$D88+'Incremental Repayments'!$I$31),-PMT('Interest Rate'!$J$16,'Incremental Repayments'!$I$31,(HLOOKUP($D88,$E$4:$CZ$32,28,FALSE)*'Incremental Repayments'!$I$22)),0),0)</f>
        <v>0</v>
      </c>
      <c r="BK88" s="783">
        <f>IF('Incremental Repayments'!$R$22="Debt",IF(AND(BK$4&gt;=$D88,BK$4&lt;$D88+'Incremental Repayments'!$I$31),-PMT('Interest Rate'!$J$16,'Incremental Repayments'!$I$31,(HLOOKUP($D88,$E$4:$CZ$32,28,FALSE)*'Incremental Repayments'!$I$22)),0),0)</f>
        <v>0</v>
      </c>
      <c r="BL88" s="783">
        <f>IF('Incremental Repayments'!$R$22="Debt",IF(AND(BL$4&gt;=$D88,BL$4&lt;$D88+'Incremental Repayments'!$I$31),-PMT('Interest Rate'!$J$16,'Incremental Repayments'!$I$31,(HLOOKUP($D88,$E$4:$CZ$32,28,FALSE)*'Incremental Repayments'!$I$22)),0),0)</f>
        <v>0</v>
      </c>
      <c r="BM88" s="783">
        <f>IF('Incremental Repayments'!$R$22="Debt",IF(AND(BM$4&gt;=$D88,BM$4&lt;$D88+'Incremental Repayments'!$I$31),-PMT('Interest Rate'!$J$16,'Incremental Repayments'!$I$31,(HLOOKUP($D88,$E$4:$CZ$32,28,FALSE)*'Incremental Repayments'!$I$22)),0),0)</f>
        <v>0</v>
      </c>
      <c r="BN88" s="783">
        <f>IF('Incremental Repayments'!$R$22="Debt",IF(AND(BN$4&gt;=$D88,BN$4&lt;$D88+'Incremental Repayments'!$I$31),-PMT('Interest Rate'!$J$16,'Incremental Repayments'!$I$31,(HLOOKUP($D88,$E$4:$CZ$32,28,FALSE)*'Incremental Repayments'!$I$22)),0),0)</f>
        <v>0</v>
      </c>
      <c r="BO88" s="783">
        <f>IF('Incremental Repayments'!$R$22="Debt",IF(AND(BO$4&gt;=$D88,BO$4&lt;$D88+'Incremental Repayments'!$I$31),-PMT('Interest Rate'!$J$16,'Incremental Repayments'!$I$31,(HLOOKUP($D88,$E$4:$CZ$32,28,FALSE)*'Incremental Repayments'!$I$22)),0),0)</f>
        <v>0</v>
      </c>
      <c r="BP88" s="783">
        <f>IF('Incremental Repayments'!$R$22="Debt",IF(AND(BP$4&gt;=$D88,BP$4&lt;$D88+'Incremental Repayments'!$I$31),-PMT('Interest Rate'!$J$16,'Incremental Repayments'!$I$31,(HLOOKUP($D88,$E$4:$CZ$32,28,FALSE)*'Incremental Repayments'!$I$22)),0),0)</f>
        <v>0</v>
      </c>
      <c r="BQ88" s="783">
        <f>IF('Incremental Repayments'!$R$22="Debt",IF(AND(BQ$4&gt;=$D88,BQ$4&lt;$D88+'Incremental Repayments'!$I$31),-PMT('Interest Rate'!$J$16,'Incremental Repayments'!$I$31,(HLOOKUP($D88,$E$4:$CZ$32,28,FALSE)*'Incremental Repayments'!$I$22)),0),0)</f>
        <v>0</v>
      </c>
      <c r="BR88" s="783">
        <f>IF('Incremental Repayments'!$R$22="Debt",IF(AND(BR$4&gt;=$D88,BR$4&lt;$D88+'Incremental Repayments'!$I$31),-PMT('Interest Rate'!$J$16,'Incremental Repayments'!$I$31,(HLOOKUP($D88,$E$4:$CZ$32,28,FALSE)*'Incremental Repayments'!$I$22)),0),0)</f>
        <v>0</v>
      </c>
      <c r="BS88" s="783">
        <f>IF('Incremental Repayments'!$R$22="Debt",IF(AND(BS$4&gt;=$D88,BS$4&lt;$D88+'Incremental Repayments'!$I$31),-PMT('Interest Rate'!$J$16,'Incremental Repayments'!$I$31,(HLOOKUP($D88,$E$4:$CZ$32,28,FALSE)*'Incremental Repayments'!$I$22)),0),0)</f>
        <v>0</v>
      </c>
      <c r="BT88" s="783">
        <f>IF('Incremental Repayments'!$R$22="Debt",IF(AND(BT$4&gt;=$D88,BT$4&lt;$D88+'Incremental Repayments'!$I$31),-PMT('Interest Rate'!$J$16,'Incremental Repayments'!$I$31,(HLOOKUP($D88,$E$4:$CZ$32,28,FALSE)*'Incremental Repayments'!$I$22)),0),0)</f>
        <v>0</v>
      </c>
      <c r="BU88" s="783">
        <f>IF('Incremental Repayments'!$R$22="Debt",IF(AND(BU$4&gt;=$D88,BU$4&lt;$D88+'Incremental Repayments'!$I$31),-PMT('Interest Rate'!$J$16,'Incremental Repayments'!$I$31,(HLOOKUP($D88,$E$4:$CZ$32,28,FALSE)*'Incremental Repayments'!$I$22)),0),0)</f>
        <v>0</v>
      </c>
      <c r="BV88" s="783">
        <f>IF('Incremental Repayments'!$R$22="Debt",IF(AND(BV$4&gt;=$D88,BV$4&lt;$D88+'Incremental Repayments'!$I$31),-PMT('Interest Rate'!$J$16,'Incremental Repayments'!$I$31,(HLOOKUP($D88,$E$4:$CZ$32,28,FALSE)*'Incremental Repayments'!$I$22)),0),0)</f>
        <v>0</v>
      </c>
      <c r="BW88" s="783">
        <f>IF('Incremental Repayments'!$R$22="Debt",IF(AND(BW$4&gt;=$D88,BW$4&lt;$D88+'Incremental Repayments'!$I$31),-PMT('Interest Rate'!$J$16,'Incremental Repayments'!$I$31,(HLOOKUP($D88,$E$4:$CZ$32,28,FALSE)*'Incremental Repayments'!$I$22)),0),0)</f>
        <v>0</v>
      </c>
      <c r="BX88" s="783">
        <f>IF('Incremental Repayments'!$R$22="Debt",IF(AND(BX$4&gt;=$D88,BX$4&lt;$D88+'Incremental Repayments'!$I$31),-PMT('Interest Rate'!$J$16,'Incremental Repayments'!$I$31,(HLOOKUP($D88,$E$4:$CZ$32,28,FALSE)*'Incremental Repayments'!$I$22)),0),0)</f>
        <v>0</v>
      </c>
      <c r="BY88" s="783">
        <f>IF('Incremental Repayments'!$R$22="Debt",IF(AND(BY$4&gt;=$D88,BY$4&lt;$D88+'Incremental Repayments'!$I$31),-PMT('Interest Rate'!$J$16,'Incremental Repayments'!$I$31,(HLOOKUP($D88,$E$4:$CZ$32,28,FALSE)*'Incremental Repayments'!$I$22)),0),0)</f>
        <v>0</v>
      </c>
      <c r="BZ88" s="783">
        <f>IF('Incremental Repayments'!$R$22="Debt",IF(AND(BZ$4&gt;=$D88,BZ$4&lt;$D88+'Incremental Repayments'!$I$31),-PMT('Interest Rate'!$J$16,'Incremental Repayments'!$I$31,(HLOOKUP($D88,$E$4:$CZ$32,28,FALSE)*'Incremental Repayments'!$I$22)),0),0)</f>
        <v>0</v>
      </c>
      <c r="CA88" s="783">
        <f>IF('Incremental Repayments'!$R$22="Debt",IF(AND(CA$4&gt;=$D88,CA$4&lt;$D88+'Incremental Repayments'!$I$31),-PMT('Interest Rate'!$J$16,'Incremental Repayments'!$I$31,(HLOOKUP($D88,$E$4:$CZ$32,28,FALSE)*'Incremental Repayments'!$I$22)),0),0)</f>
        <v>0</v>
      </c>
      <c r="CB88" s="783">
        <f>IF('Incremental Repayments'!$R$22="Debt",IF(AND(CB$4&gt;=$D88,CB$4&lt;$D88+'Incremental Repayments'!$I$31),-PMT('Interest Rate'!$J$16,'Incremental Repayments'!$I$31,(HLOOKUP($D88,$E$4:$CZ$32,28,FALSE)*'Incremental Repayments'!$I$22)),0),0)</f>
        <v>0</v>
      </c>
      <c r="CC88" s="783">
        <f>IF('Incremental Repayments'!$R$22="Debt",IF(AND(CC$4&gt;=$D88,CC$4&lt;$D88+'Incremental Repayments'!$I$31),-PMT('Interest Rate'!$J$16,'Incremental Repayments'!$I$31,(HLOOKUP($D88,$E$4:$CZ$32,28,FALSE)*'Incremental Repayments'!$I$22)),0),0)</f>
        <v>0</v>
      </c>
      <c r="CD88" s="783">
        <f>IF('Incremental Repayments'!$R$22="Debt",IF(AND(CD$4&gt;=$D88,CD$4&lt;$D88+'Incremental Repayments'!$I$31),-PMT('Interest Rate'!$J$16,'Incremental Repayments'!$I$31,(HLOOKUP($D88,$E$4:$CZ$32,28,FALSE)*'Incremental Repayments'!$I$22)),0),0)</f>
        <v>0</v>
      </c>
      <c r="CE88" s="783">
        <f>IF('Incremental Repayments'!$R$22="Debt",IF(AND(CE$4&gt;=$D88,CE$4&lt;$D88+'Incremental Repayments'!$I$31),-PMT('Interest Rate'!$J$16,'Incremental Repayments'!$I$31,(HLOOKUP($D88,$E$4:$CZ$32,28,FALSE)*'Incremental Repayments'!$I$22)),0),0)</f>
        <v>0</v>
      </c>
      <c r="CF88" s="783">
        <f>IF('Incremental Repayments'!$R$22="Debt",IF(AND(CF$4&gt;=$D88,CF$4&lt;$D88+'Incremental Repayments'!$I$31),-PMT('Interest Rate'!$J$16,'Incremental Repayments'!$I$31,(HLOOKUP($D88,$E$4:$CZ$32,28,FALSE)*'Incremental Repayments'!$I$22)),0),0)</f>
        <v>0</v>
      </c>
      <c r="CG88" s="783">
        <f>IF('Incremental Repayments'!$R$22="Debt",IF(AND(CG$4&gt;=$D88,CG$4&lt;$D88+'Incremental Repayments'!$I$31),-PMT('Interest Rate'!$J$16,'Incremental Repayments'!$I$31,(HLOOKUP($D88,$E$4:$CZ$32,28,FALSE)*'Incremental Repayments'!$I$22)),0),0)</f>
        <v>0</v>
      </c>
      <c r="CH88" s="783">
        <f>IF('Incremental Repayments'!$R$22="Debt",IF(AND(CH$4&gt;=$D88,CH$4&lt;$D88+'Incremental Repayments'!$I$31),-PMT('Interest Rate'!$J$16,'Incremental Repayments'!$I$31,(HLOOKUP($D88,$E$4:$CZ$32,28,FALSE)*'Incremental Repayments'!$I$22)),0),0)</f>
        <v>0</v>
      </c>
      <c r="CI88" s="783">
        <f>IF('Incremental Repayments'!$R$22="Debt",IF(AND(CI$4&gt;=$D88,CI$4&lt;$D88+'Incremental Repayments'!$I$31),-PMT('Interest Rate'!$J$16,'Incremental Repayments'!$I$31,(HLOOKUP($D88,$E$4:$CZ$32,28,FALSE)*'Incremental Repayments'!$I$22)),0),0)</f>
        <v>0</v>
      </c>
      <c r="CJ88" s="783">
        <f>IF('Incremental Repayments'!$R$22="Debt",IF(AND(CJ$4&gt;=$D88,CJ$4&lt;$D88+'Incremental Repayments'!$I$31),-PMT('Interest Rate'!$J$16,'Incremental Repayments'!$I$31,(HLOOKUP($D88,$E$4:$CZ$32,28,FALSE)*'Incremental Repayments'!$I$22)),0),0)</f>
        <v>0</v>
      </c>
      <c r="CK88" s="783">
        <f>IF('Incremental Repayments'!$R$22="Debt",IF(AND(CK$4&gt;=$D88,CK$4&lt;$D88+'Incremental Repayments'!$I$31),-PMT('Interest Rate'!$J$16,'Incremental Repayments'!$I$31,(HLOOKUP($D88,$E$4:$CZ$32,28,FALSE)*'Incremental Repayments'!$I$22)),0),0)</f>
        <v>0</v>
      </c>
      <c r="CL88" s="783">
        <f>IF('Incremental Repayments'!$R$22="Debt",IF(AND(CL$4&gt;=$D88,CL$4&lt;$D88+'Incremental Repayments'!$I$31),-PMT('Interest Rate'!$J$16,'Incremental Repayments'!$I$31,(HLOOKUP($D88,$E$4:$CZ$32,28,FALSE)*'Incremental Repayments'!$I$22)),0),0)</f>
        <v>0</v>
      </c>
      <c r="CM88" s="783">
        <f>IF('Incremental Repayments'!$R$22="Debt",IF(AND(CM$4&gt;=$D88,CM$4&lt;$D88+'Incremental Repayments'!$I$31),-PMT('Interest Rate'!$J$16,'Incremental Repayments'!$I$31,(HLOOKUP($D88,$E$4:$CZ$32,28,FALSE)*'Incremental Repayments'!$I$22)),0),0)</f>
        <v>0</v>
      </c>
      <c r="CN88" s="783">
        <f>IF('Incremental Repayments'!$R$22="Debt",IF(AND(CN$4&gt;=$D88,CN$4&lt;$D88+'Incremental Repayments'!$I$31),-PMT('Interest Rate'!$J$16,'Incremental Repayments'!$I$31,(HLOOKUP($D88,$E$4:$CZ$32,28,FALSE)*'Incremental Repayments'!$I$22)),0),0)</f>
        <v>0</v>
      </c>
      <c r="CO88" s="783">
        <f>IF('Incremental Repayments'!$R$22="Debt",IF(AND(CO$4&gt;=$D88,CO$4&lt;$D88+'Incremental Repayments'!$I$31),-PMT('Interest Rate'!$J$16,'Incremental Repayments'!$I$31,(HLOOKUP($D88,$E$4:$CZ$32,28,FALSE)*'Incremental Repayments'!$I$22)),0),0)</f>
        <v>0</v>
      </c>
      <c r="CP88" s="783">
        <f>IF('Incremental Repayments'!$R$22="Debt",IF(AND(CP$4&gt;=$D88,CP$4&lt;$D88+'Incremental Repayments'!$I$31),-PMT('Interest Rate'!$J$16,'Incremental Repayments'!$I$31,(HLOOKUP($D88,$E$4:$CZ$32,28,FALSE)*'Incremental Repayments'!$I$22)),0),0)</f>
        <v>0</v>
      </c>
      <c r="CQ88" s="783">
        <f>IF('Incremental Repayments'!$R$22="Debt",IF(AND(CQ$4&gt;=$D88,CQ$4&lt;$D88+'Incremental Repayments'!$I$31),-PMT('Interest Rate'!$J$16,'Incremental Repayments'!$I$31,(HLOOKUP($D88,$E$4:$CZ$32,28,FALSE)*'Incremental Repayments'!$I$22)),0),0)</f>
        <v>0</v>
      </c>
      <c r="CR88" s="783">
        <f>IF('Incremental Repayments'!$R$22="Debt",IF(AND(CR$4&gt;=$D88,CR$4&lt;$D88+'Incremental Repayments'!$I$31),-PMT('Interest Rate'!$J$16,'Incremental Repayments'!$I$31,(HLOOKUP($D88,$E$4:$CZ$32,28,FALSE)*'Incremental Repayments'!$I$22)),0),0)</f>
        <v>0</v>
      </c>
      <c r="CS88" s="783">
        <f>IF('Incremental Repayments'!$R$22="Debt",IF(AND(CS$4&gt;=$D88,CS$4&lt;$D88+'Incremental Repayments'!$I$31),-PMT('Interest Rate'!$J$16,'Incremental Repayments'!$I$31,(HLOOKUP($D88,$E$4:$CZ$32,28,FALSE)*'Incremental Repayments'!$I$22)),0),0)</f>
        <v>0</v>
      </c>
      <c r="CT88" s="783">
        <f>IF('Incremental Repayments'!$R$22="Debt",IF(AND(CT$4&gt;=$D88,CT$4&lt;$D88+'Incremental Repayments'!$I$31),-PMT('Interest Rate'!$J$16,'Incremental Repayments'!$I$31,(HLOOKUP($D88,$E$4:$CZ$32,28,FALSE)*'Incremental Repayments'!$I$22)),0),0)</f>
        <v>0</v>
      </c>
      <c r="CU88" s="783">
        <f>IF('Incremental Repayments'!$R$22="Debt",IF(AND(CU$4&gt;=$D88,CU$4&lt;$D88+'Incremental Repayments'!$I$31),-PMT('Interest Rate'!$J$16,'Incremental Repayments'!$I$31,(HLOOKUP($D88,$E$4:$CZ$32,28,FALSE)*'Incremental Repayments'!$I$22)),0),0)</f>
        <v>0</v>
      </c>
      <c r="CV88" s="783">
        <f>IF('Incremental Repayments'!$R$22="Debt",IF(AND(CV$4&gt;=$D88,CV$4&lt;$D88+'Incremental Repayments'!$I$31),-PMT('Interest Rate'!$J$16,'Incremental Repayments'!$I$31,(HLOOKUP($D88,$E$4:$CZ$32,28,FALSE)*'Incremental Repayments'!$I$22)),0),0)</f>
        <v>0</v>
      </c>
      <c r="CW88" s="783">
        <f>IF('Incremental Repayments'!$R$22="Debt",IF(AND(CW$4&gt;=$D88,CW$4&lt;$D88+'Incremental Repayments'!$I$31),-PMT('Interest Rate'!$J$16,'Incremental Repayments'!$I$31,(HLOOKUP($D88,$E$4:$CZ$32,28,FALSE)*'Incremental Repayments'!$I$22)),0),0)</f>
        <v>0</v>
      </c>
      <c r="CX88" s="783">
        <f>IF('Incremental Repayments'!$R$22="Debt",IF(AND(CX$4&gt;=$D88,CX$4&lt;$D88+'Incremental Repayments'!$I$31),-PMT('Interest Rate'!$J$16,'Incremental Repayments'!$I$31,(HLOOKUP($D88,$E$4:$CZ$32,28,FALSE)*'Incremental Repayments'!$I$22)),0),0)</f>
        <v>0</v>
      </c>
      <c r="CY88" s="783">
        <f>IF('Incremental Repayments'!$R$22="Debt",IF(AND(CY$4&gt;=$D88,CY$4&lt;$D88+'Incremental Repayments'!$I$31),-PMT('Interest Rate'!$J$16,'Incremental Repayments'!$I$31,(HLOOKUP($D88,$E$4:$CZ$32,28,FALSE)*'Incremental Repayments'!$I$22)),0),0)</f>
        <v>0</v>
      </c>
      <c r="CZ88" s="783">
        <f>IF('Incremental Repayments'!$R$22="Debt",IF(AND(CZ$4&gt;=$D88,CZ$4&lt;$D88+'Incremental Repayments'!$I$31),-PMT('Interest Rate'!$J$16,'Incremental Repayments'!$I$31,(HLOOKUP($D88,$E$4:$CZ$32,28,FALSE)*'Incremental Repayments'!$I$22)),0),0)</f>
        <v>0</v>
      </c>
    </row>
    <row r="89" spans="2:104" x14ac:dyDescent="0.25">
      <c r="B89" s="480" t="str">
        <f>CONCATENATE("Series ",D89,"A Bonds (at ",'Interest Rate'!$J$16*100,"% Interest)")</f>
        <v>Series 2067A Bonds (at 4.5% Interest)</v>
      </c>
      <c r="C89" s="480"/>
      <c r="D89" s="492">
        <f t="shared" si="47"/>
        <v>2067</v>
      </c>
      <c r="E89" s="783">
        <f>IF('Incremental Repayments'!$R$22="Debt",IF(AND(E$4&gt;=$D89,E$4&lt;$D89+'Incremental Repayments'!$I$31),-PMT('Interest Rate'!$J$16,'Incremental Repayments'!$I$31,(HLOOKUP($D89,$E$4:$CZ$32,28,FALSE)*'Incremental Repayments'!$I$22)),0),0)</f>
        <v>0</v>
      </c>
      <c r="F89" s="783">
        <f>IF('Incremental Repayments'!$R$22="Debt",IF(AND(F$4&gt;=$D89,F$4&lt;$D89+'Incremental Repayments'!$I$31),-PMT('Interest Rate'!$J$16,'Incremental Repayments'!$I$31,(HLOOKUP($D89,$E$4:$CZ$32,28,FALSE)*'Incremental Repayments'!$I$22)),0),0)</f>
        <v>0</v>
      </c>
      <c r="G89" s="783">
        <f>IF('Incremental Repayments'!$R$22="Debt",IF(AND(G$4&gt;=$D89,G$4&lt;$D89+'Incremental Repayments'!$I$31),-PMT('Interest Rate'!$J$16,'Incremental Repayments'!$I$31,(HLOOKUP($D89,$E$4:$CZ$32,28,FALSE)*'Incremental Repayments'!$I$22)),0),0)</f>
        <v>0</v>
      </c>
      <c r="H89" s="783">
        <f>IF('Incremental Repayments'!$R$22="Debt",IF(AND(H$4&gt;=$D89,H$4&lt;$D89+'Incremental Repayments'!$I$31),-PMT('Interest Rate'!$J$16,'Incremental Repayments'!$I$31,(HLOOKUP($D89,$E$4:$CZ$32,28,FALSE)*'Incremental Repayments'!$I$22)),0),0)</f>
        <v>0</v>
      </c>
      <c r="I89" s="783">
        <f>IF('Incremental Repayments'!$R$22="Debt",IF(AND(I$4&gt;=$D89,I$4&lt;$D89+'Incremental Repayments'!$I$31),-PMT('Interest Rate'!$J$16,'Incremental Repayments'!$I$31,(HLOOKUP($D89,$E$4:$CZ$32,28,FALSE)*'Incremental Repayments'!$I$22)),0),0)</f>
        <v>0</v>
      </c>
      <c r="J89" s="783">
        <f>IF('Incremental Repayments'!$R$22="Debt",IF(AND(J$4&gt;=$D89,J$4&lt;$D89+'Incremental Repayments'!$I$31),-PMT('Interest Rate'!$J$16,'Incremental Repayments'!$I$31,(HLOOKUP($D89,$E$4:$CZ$32,28,FALSE)*'Incremental Repayments'!$I$22)),0),0)</f>
        <v>0</v>
      </c>
      <c r="K89" s="783">
        <f>IF('Incremental Repayments'!$R$22="Debt",IF(AND(K$4&gt;=$D89,K$4&lt;$D89+'Incremental Repayments'!$I$31),-PMT('Interest Rate'!$J$16,'Incremental Repayments'!$I$31,(HLOOKUP($D89,$E$4:$CZ$32,28,FALSE)*'Incremental Repayments'!$I$22)),0),0)</f>
        <v>0</v>
      </c>
      <c r="L89" s="783">
        <f>IF('Incremental Repayments'!$R$22="Debt",IF(AND(L$4&gt;=$D89,L$4&lt;$D89+'Incremental Repayments'!$I$31),-PMT('Interest Rate'!$J$16,'Incremental Repayments'!$I$31,(HLOOKUP($D89,$E$4:$CZ$32,28,FALSE)*'Incremental Repayments'!$I$22)),0),0)</f>
        <v>0</v>
      </c>
      <c r="M89" s="783">
        <f>IF('Incremental Repayments'!$R$22="Debt",IF(AND(M$4&gt;=$D89,M$4&lt;$D89+'Incremental Repayments'!$I$31),-PMT('Interest Rate'!$J$16,'Incremental Repayments'!$I$31,(HLOOKUP($D89,$E$4:$CZ$32,28,FALSE)*'Incremental Repayments'!$I$22)),0),0)</f>
        <v>0</v>
      </c>
      <c r="N89" s="783">
        <f>IF('Incremental Repayments'!$R$22="Debt",IF(AND(N$4&gt;=$D89,N$4&lt;$D89+'Incremental Repayments'!$I$31),-PMT('Interest Rate'!$J$16,'Incremental Repayments'!$I$31,(HLOOKUP($D89,$E$4:$CZ$32,28,FALSE)*'Incremental Repayments'!$I$22)),0),0)</f>
        <v>0</v>
      </c>
      <c r="O89" s="783">
        <f>IF('Incremental Repayments'!$R$22="Debt",IF(AND(O$4&gt;=$D89,O$4&lt;$D89+'Incremental Repayments'!$I$31),-PMT('Interest Rate'!$J$16,'Incremental Repayments'!$I$31,(HLOOKUP($D89,$E$4:$CZ$32,28,FALSE)*'Incremental Repayments'!$I$22)),0),0)</f>
        <v>0</v>
      </c>
      <c r="P89" s="783">
        <f>IF('Incremental Repayments'!$R$22="Debt",IF(AND(P$4&gt;=$D89,P$4&lt;$D89+'Incremental Repayments'!$I$31),-PMT('Interest Rate'!$J$16,'Incremental Repayments'!$I$31,(HLOOKUP($D89,$E$4:$CZ$32,28,FALSE)*'Incremental Repayments'!$I$22)),0),0)</f>
        <v>0</v>
      </c>
      <c r="Q89" s="783">
        <f>IF('Incremental Repayments'!$R$22="Debt",IF(AND(Q$4&gt;=$D89,Q$4&lt;$D89+'Incremental Repayments'!$I$31),-PMT('Interest Rate'!$J$16,'Incremental Repayments'!$I$31,(HLOOKUP($D89,$E$4:$CZ$32,28,FALSE)*'Incremental Repayments'!$I$22)),0),0)</f>
        <v>0</v>
      </c>
      <c r="R89" s="783">
        <f>IF('Incremental Repayments'!$R$22="Debt",IF(AND(R$4&gt;=$D89,R$4&lt;$D89+'Incremental Repayments'!$I$31),-PMT('Interest Rate'!$J$16,'Incremental Repayments'!$I$31,(HLOOKUP($D89,$E$4:$CZ$32,28,FALSE)*'Incremental Repayments'!$I$22)),0),0)</f>
        <v>0</v>
      </c>
      <c r="S89" s="783">
        <f>IF('Incremental Repayments'!$R$22="Debt",IF(AND(S$4&gt;=$D89,S$4&lt;$D89+'Incremental Repayments'!$I$31),-PMT('Interest Rate'!$J$16,'Incremental Repayments'!$I$31,(HLOOKUP($D89,$E$4:$CZ$32,28,FALSE)*'Incremental Repayments'!$I$22)),0),0)</f>
        <v>0</v>
      </c>
      <c r="T89" s="783">
        <f>IF('Incremental Repayments'!$R$22="Debt",IF(AND(T$4&gt;=$D89,T$4&lt;$D89+'Incremental Repayments'!$I$31),-PMT('Interest Rate'!$J$16,'Incremental Repayments'!$I$31,(HLOOKUP($D89,$E$4:$CZ$32,28,FALSE)*'Incremental Repayments'!$I$22)),0),0)</f>
        <v>0</v>
      </c>
      <c r="U89" s="783">
        <f>IF('Incremental Repayments'!$R$22="Debt",IF(AND(U$4&gt;=$D89,U$4&lt;$D89+'Incremental Repayments'!$I$31),-PMT('Interest Rate'!$J$16,'Incremental Repayments'!$I$31,(HLOOKUP($D89,$E$4:$CZ$32,28,FALSE)*'Incremental Repayments'!$I$22)),0),0)</f>
        <v>0</v>
      </c>
      <c r="V89" s="783">
        <f>IF('Incremental Repayments'!$R$22="Debt",IF(AND(V$4&gt;=$D89,V$4&lt;$D89+'Incremental Repayments'!$I$31),-PMT('Interest Rate'!$J$16,'Incremental Repayments'!$I$31,(HLOOKUP($D89,$E$4:$CZ$32,28,FALSE)*'Incremental Repayments'!$I$22)),0),0)</f>
        <v>0</v>
      </c>
      <c r="W89" s="783">
        <f>IF('Incremental Repayments'!$R$22="Debt",IF(AND(W$4&gt;=$D89,W$4&lt;$D89+'Incremental Repayments'!$I$31),-PMT('Interest Rate'!$J$16,'Incremental Repayments'!$I$31,(HLOOKUP($D89,$E$4:$CZ$32,28,FALSE)*'Incremental Repayments'!$I$22)),0),0)</f>
        <v>0</v>
      </c>
      <c r="X89" s="783">
        <f>IF('Incremental Repayments'!$R$22="Debt",IF(AND(X$4&gt;=$D89,X$4&lt;$D89+'Incremental Repayments'!$I$31),-PMT('Interest Rate'!$J$16,'Incremental Repayments'!$I$31,(HLOOKUP($D89,$E$4:$CZ$32,28,FALSE)*'Incremental Repayments'!$I$22)),0),0)</f>
        <v>0</v>
      </c>
      <c r="Y89" s="783">
        <f>IF('Incremental Repayments'!$R$22="Debt",IF(AND(Y$4&gt;=$D89,Y$4&lt;$D89+'Incremental Repayments'!$I$31),-PMT('Interest Rate'!$J$16,'Incremental Repayments'!$I$31,(HLOOKUP($D89,$E$4:$CZ$32,28,FALSE)*'Incremental Repayments'!$I$22)),0),0)</f>
        <v>0</v>
      </c>
      <c r="Z89" s="783">
        <f>IF('Incremental Repayments'!$R$22="Debt",IF(AND(Z$4&gt;=$D89,Z$4&lt;$D89+'Incremental Repayments'!$I$31),-PMT('Interest Rate'!$J$16,'Incremental Repayments'!$I$31,(HLOOKUP($D89,$E$4:$CZ$32,28,FALSE)*'Incremental Repayments'!$I$22)),0),0)</f>
        <v>0</v>
      </c>
      <c r="AA89" s="783">
        <f>IF('Incremental Repayments'!$R$22="Debt",IF(AND(AA$4&gt;=$D89,AA$4&lt;$D89+'Incremental Repayments'!$I$31),-PMT('Interest Rate'!$J$16,'Incremental Repayments'!$I$31,(HLOOKUP($D89,$E$4:$CZ$32,28,FALSE)*'Incremental Repayments'!$I$22)),0),0)</f>
        <v>0</v>
      </c>
      <c r="AB89" s="783">
        <f>IF('Incremental Repayments'!$R$22="Debt",IF(AND(AB$4&gt;=$D89,AB$4&lt;$D89+'Incremental Repayments'!$I$31),-PMT('Interest Rate'!$J$16,'Incremental Repayments'!$I$31,(HLOOKUP($D89,$E$4:$CZ$32,28,FALSE)*'Incremental Repayments'!$I$22)),0),0)</f>
        <v>0</v>
      </c>
      <c r="AC89" s="783">
        <f>IF('Incremental Repayments'!$R$22="Debt",IF(AND(AC$4&gt;=$D89,AC$4&lt;$D89+'Incremental Repayments'!$I$31),-PMT('Interest Rate'!$J$16,'Incremental Repayments'!$I$31,(HLOOKUP($D89,$E$4:$CZ$32,28,FALSE)*'Incremental Repayments'!$I$22)),0),0)</f>
        <v>0</v>
      </c>
      <c r="AD89" s="783">
        <f>IF('Incremental Repayments'!$R$22="Debt",IF(AND(AD$4&gt;=$D89,AD$4&lt;$D89+'Incremental Repayments'!$I$31),-PMT('Interest Rate'!$J$16,'Incremental Repayments'!$I$31,(HLOOKUP($D89,$E$4:$CZ$32,28,FALSE)*'Incremental Repayments'!$I$22)),0),0)</f>
        <v>0</v>
      </c>
      <c r="AE89" s="783">
        <f>IF('Incremental Repayments'!$R$22="Debt",IF(AND(AE$4&gt;=$D89,AE$4&lt;$D89+'Incremental Repayments'!$I$31),-PMT('Interest Rate'!$J$16,'Incremental Repayments'!$I$31,(HLOOKUP($D89,$E$4:$CZ$32,28,FALSE)*'Incremental Repayments'!$I$22)),0),0)</f>
        <v>0</v>
      </c>
      <c r="AF89" s="783">
        <f>IF('Incremental Repayments'!$R$22="Debt",IF(AND(AF$4&gt;=$D89,AF$4&lt;$D89+'Incremental Repayments'!$I$31),-PMT('Interest Rate'!$J$16,'Incremental Repayments'!$I$31,(HLOOKUP($D89,$E$4:$CZ$32,28,FALSE)*'Incremental Repayments'!$I$22)),0),0)</f>
        <v>0</v>
      </c>
      <c r="AG89" s="783">
        <f>IF('Incremental Repayments'!$R$22="Debt",IF(AND(AG$4&gt;=$D89,AG$4&lt;$D89+'Incremental Repayments'!$I$31),-PMT('Interest Rate'!$J$16,'Incremental Repayments'!$I$31,(HLOOKUP($D89,$E$4:$CZ$32,28,FALSE)*'Incremental Repayments'!$I$22)),0),0)</f>
        <v>0</v>
      </c>
      <c r="AH89" s="783">
        <f>IF('Incremental Repayments'!$R$22="Debt",IF(AND(AH$4&gt;=$D89,AH$4&lt;$D89+'Incremental Repayments'!$I$31),-PMT('Interest Rate'!$J$16,'Incremental Repayments'!$I$31,(HLOOKUP($D89,$E$4:$CZ$32,28,FALSE)*'Incremental Repayments'!$I$22)),0),0)</f>
        <v>0</v>
      </c>
      <c r="AI89" s="783">
        <f>IF('Incremental Repayments'!$R$22="Debt",IF(AND(AI$4&gt;=$D89,AI$4&lt;$D89+'Incremental Repayments'!$I$31),-PMT('Interest Rate'!$J$16,'Incremental Repayments'!$I$31,(HLOOKUP($D89,$E$4:$CZ$32,28,FALSE)*'Incremental Repayments'!$I$22)),0),0)</f>
        <v>0</v>
      </c>
      <c r="AJ89" s="783">
        <f>IF('Incremental Repayments'!$R$22="Debt",IF(AND(AJ$4&gt;=$D89,AJ$4&lt;$D89+'Incremental Repayments'!$I$31),-PMT('Interest Rate'!$J$16,'Incremental Repayments'!$I$31,(HLOOKUP($D89,$E$4:$CZ$32,28,FALSE)*'Incremental Repayments'!$I$22)),0),0)</f>
        <v>0</v>
      </c>
      <c r="AK89" s="783">
        <f>IF('Incremental Repayments'!$R$22="Debt",IF(AND(AK$4&gt;=$D89,AK$4&lt;$D89+'Incremental Repayments'!$I$31),-PMT('Interest Rate'!$J$16,'Incremental Repayments'!$I$31,(HLOOKUP($D89,$E$4:$CZ$32,28,FALSE)*'Incremental Repayments'!$I$22)),0),0)</f>
        <v>0</v>
      </c>
      <c r="AL89" s="783">
        <f>IF('Incremental Repayments'!$R$22="Debt",IF(AND(AL$4&gt;=$D89,AL$4&lt;$D89+'Incremental Repayments'!$I$31),-PMT('Interest Rate'!$J$16,'Incremental Repayments'!$I$31,(HLOOKUP($D89,$E$4:$CZ$32,28,FALSE)*'Incremental Repayments'!$I$22)),0),0)</f>
        <v>0</v>
      </c>
      <c r="AM89" s="783">
        <f>IF('Incremental Repayments'!$R$22="Debt",IF(AND(AM$4&gt;=$D89,AM$4&lt;$D89+'Incremental Repayments'!$I$31),-PMT('Interest Rate'!$J$16,'Incremental Repayments'!$I$31,(HLOOKUP($D89,$E$4:$CZ$32,28,FALSE)*'Incremental Repayments'!$I$22)),0),0)</f>
        <v>0</v>
      </c>
      <c r="AN89" s="783">
        <f>IF('Incremental Repayments'!$R$22="Debt",IF(AND(AN$4&gt;=$D89,AN$4&lt;$D89+'Incremental Repayments'!$I$31),-PMT('Interest Rate'!$J$16,'Incremental Repayments'!$I$31,(HLOOKUP($D89,$E$4:$CZ$32,28,FALSE)*'Incremental Repayments'!$I$22)),0),0)</f>
        <v>0</v>
      </c>
      <c r="AO89" s="783">
        <f>IF('Incremental Repayments'!$R$22="Debt",IF(AND(AO$4&gt;=$D89,AO$4&lt;$D89+'Incremental Repayments'!$I$31),-PMT('Interest Rate'!$J$16,'Incremental Repayments'!$I$31,(HLOOKUP($D89,$E$4:$CZ$32,28,FALSE)*'Incremental Repayments'!$I$22)),0),0)</f>
        <v>0</v>
      </c>
      <c r="AP89" s="783">
        <f>IF('Incremental Repayments'!$R$22="Debt",IF(AND(AP$4&gt;=$D89,AP$4&lt;$D89+'Incremental Repayments'!$I$31),-PMT('Interest Rate'!$J$16,'Incremental Repayments'!$I$31,(HLOOKUP($D89,$E$4:$CZ$32,28,FALSE)*'Incremental Repayments'!$I$22)),0),0)</f>
        <v>0</v>
      </c>
      <c r="AQ89" s="783">
        <f>IF('Incremental Repayments'!$R$22="Debt",IF(AND(AQ$4&gt;=$D89,AQ$4&lt;$D89+'Incremental Repayments'!$I$31),-PMT('Interest Rate'!$J$16,'Incremental Repayments'!$I$31,(HLOOKUP($D89,$E$4:$CZ$32,28,FALSE)*'Incremental Repayments'!$I$22)),0),0)</f>
        <v>0</v>
      </c>
      <c r="AR89" s="783">
        <f>IF('Incremental Repayments'!$R$22="Debt",IF(AND(AR$4&gt;=$D89,AR$4&lt;$D89+'Incremental Repayments'!$I$31),-PMT('Interest Rate'!$J$16,'Incremental Repayments'!$I$31,(HLOOKUP($D89,$E$4:$CZ$32,28,FALSE)*'Incremental Repayments'!$I$22)),0),0)</f>
        <v>0</v>
      </c>
      <c r="AS89" s="783">
        <f>IF('Incremental Repayments'!$R$22="Debt",IF(AND(AS$4&gt;=$D89,AS$4&lt;$D89+'Incremental Repayments'!$I$31),-PMT('Interest Rate'!$J$16,'Incremental Repayments'!$I$31,(HLOOKUP($D89,$E$4:$CZ$32,28,FALSE)*'Incremental Repayments'!$I$22)),0),0)</f>
        <v>0</v>
      </c>
      <c r="AT89" s="783">
        <f>IF('Incremental Repayments'!$R$22="Debt",IF(AND(AT$4&gt;=$D89,AT$4&lt;$D89+'Incremental Repayments'!$I$31),-PMT('Interest Rate'!$J$16,'Incremental Repayments'!$I$31,(HLOOKUP($D89,$E$4:$CZ$32,28,FALSE)*'Incremental Repayments'!$I$22)),0),0)</f>
        <v>0</v>
      </c>
      <c r="AU89" s="783">
        <f>IF('Incremental Repayments'!$R$22="Debt",IF(AND(AU$4&gt;=$D89,AU$4&lt;$D89+'Incremental Repayments'!$I$31),-PMT('Interest Rate'!$J$16,'Incremental Repayments'!$I$31,(HLOOKUP($D89,$E$4:$CZ$32,28,FALSE)*'Incremental Repayments'!$I$22)),0),0)</f>
        <v>0</v>
      </c>
      <c r="AV89" s="783">
        <f>IF('Incremental Repayments'!$R$22="Debt",IF(AND(AV$4&gt;=$D89,AV$4&lt;$D89+'Incremental Repayments'!$I$31),-PMT('Interest Rate'!$J$16,'Incremental Repayments'!$I$31,(HLOOKUP($D89,$E$4:$CZ$32,28,FALSE)*'Incremental Repayments'!$I$22)),0),0)</f>
        <v>0</v>
      </c>
      <c r="AW89" s="783">
        <f>IF('Incremental Repayments'!$R$22="Debt",IF(AND(AW$4&gt;=$D89,AW$4&lt;$D89+'Incremental Repayments'!$I$31),-PMT('Interest Rate'!$J$16,'Incremental Repayments'!$I$31,(HLOOKUP($D89,$E$4:$CZ$32,28,FALSE)*'Incremental Repayments'!$I$22)),0),0)</f>
        <v>0</v>
      </c>
      <c r="AX89" s="783">
        <f>IF('Incremental Repayments'!$R$22="Debt",IF(AND(AX$4&gt;=$D89,AX$4&lt;$D89+'Incremental Repayments'!$I$31),-PMT('Interest Rate'!$J$16,'Incremental Repayments'!$I$31,(HLOOKUP($D89,$E$4:$CZ$32,28,FALSE)*'Incremental Repayments'!$I$22)),0),0)</f>
        <v>0</v>
      </c>
      <c r="AY89" s="783">
        <f>IF('Incremental Repayments'!$R$22="Debt",IF(AND(AY$4&gt;=$D89,AY$4&lt;$D89+'Incremental Repayments'!$I$31),-PMT('Interest Rate'!$J$16,'Incremental Repayments'!$I$31,(HLOOKUP($D89,$E$4:$CZ$32,28,FALSE)*'Incremental Repayments'!$I$22)),0),0)</f>
        <v>0</v>
      </c>
      <c r="AZ89" s="783">
        <f>IF('Incremental Repayments'!$R$22="Debt",IF(AND(AZ$4&gt;=$D89,AZ$4&lt;$D89+'Incremental Repayments'!$I$31),-PMT('Interest Rate'!$J$16,'Incremental Repayments'!$I$31,(HLOOKUP($D89,$E$4:$CZ$32,28,FALSE)*'Incremental Repayments'!$I$22)),0),0)</f>
        <v>0</v>
      </c>
      <c r="BA89" s="783">
        <f>IF('Incremental Repayments'!$R$22="Debt",IF(AND(BA$4&gt;=$D89,BA$4&lt;$D89+'Incremental Repayments'!$I$31),-PMT('Interest Rate'!$J$16,'Incremental Repayments'!$I$31,(HLOOKUP($D89,$E$4:$CZ$32,28,FALSE)*'Incremental Repayments'!$I$22)),0),0)</f>
        <v>0</v>
      </c>
      <c r="BB89" s="783">
        <f>IF('Incremental Repayments'!$R$22="Debt",IF(AND(BB$4&gt;=$D89,BB$4&lt;$D89+'Incremental Repayments'!$I$31),-PMT('Interest Rate'!$J$16,'Incremental Repayments'!$I$31,(HLOOKUP($D89,$E$4:$CZ$32,28,FALSE)*'Incremental Repayments'!$I$22)),0),0)</f>
        <v>0</v>
      </c>
      <c r="BC89" s="783">
        <f>IF('Incremental Repayments'!$R$22="Debt",IF(AND(BC$4&gt;=$D89,BC$4&lt;$D89+'Incremental Repayments'!$I$31),-PMT('Interest Rate'!$J$16,'Incremental Repayments'!$I$31,(HLOOKUP($D89,$E$4:$CZ$32,28,FALSE)*'Incremental Repayments'!$I$22)),0),0)</f>
        <v>0</v>
      </c>
      <c r="BD89" s="783">
        <f>IF('Incremental Repayments'!$R$22="Debt",IF(AND(BD$4&gt;=$D89,BD$4&lt;$D89+'Incremental Repayments'!$I$31),-PMT('Interest Rate'!$J$16,'Incremental Repayments'!$I$31,(HLOOKUP($D89,$E$4:$CZ$32,28,FALSE)*'Incremental Repayments'!$I$22)),0),0)</f>
        <v>0</v>
      </c>
      <c r="BE89" s="783">
        <f>IF('Incremental Repayments'!$R$22="Debt",IF(AND(BE$4&gt;=$D89,BE$4&lt;$D89+'Incremental Repayments'!$I$31),-PMT('Interest Rate'!$J$16,'Incremental Repayments'!$I$31,(HLOOKUP($D89,$E$4:$CZ$32,28,FALSE)*'Incremental Repayments'!$I$22)),0),0)</f>
        <v>0</v>
      </c>
      <c r="BF89" s="783">
        <f>IF('Incremental Repayments'!$R$22="Debt",IF(AND(BF$4&gt;=$D89,BF$4&lt;$D89+'Incremental Repayments'!$I$31),-PMT('Interest Rate'!$J$16,'Incremental Repayments'!$I$31,(HLOOKUP($D89,$E$4:$CZ$32,28,FALSE)*'Incremental Repayments'!$I$22)),0),0)</f>
        <v>0</v>
      </c>
      <c r="BG89" s="783">
        <f>IF('Incremental Repayments'!$R$22="Debt",IF(AND(BG$4&gt;=$D89,BG$4&lt;$D89+'Incremental Repayments'!$I$31),-PMT('Interest Rate'!$J$16,'Incremental Repayments'!$I$31,(HLOOKUP($D89,$E$4:$CZ$32,28,FALSE)*'Incremental Repayments'!$I$22)),0),0)</f>
        <v>0</v>
      </c>
      <c r="BH89" s="783">
        <f>IF('Incremental Repayments'!$R$22="Debt",IF(AND(BH$4&gt;=$D89,BH$4&lt;$D89+'Incremental Repayments'!$I$31),-PMT('Interest Rate'!$J$16,'Incremental Repayments'!$I$31,(HLOOKUP($D89,$E$4:$CZ$32,28,FALSE)*'Incremental Repayments'!$I$22)),0),0)</f>
        <v>0</v>
      </c>
      <c r="BI89" s="783">
        <f>IF('Incremental Repayments'!$R$22="Debt",IF(AND(BI$4&gt;=$D89,BI$4&lt;$D89+'Incremental Repayments'!$I$31),-PMT('Interest Rate'!$J$16,'Incremental Repayments'!$I$31,(HLOOKUP($D89,$E$4:$CZ$32,28,FALSE)*'Incremental Repayments'!$I$22)),0),0)</f>
        <v>0</v>
      </c>
      <c r="BJ89" s="783">
        <f>IF('Incremental Repayments'!$R$22="Debt",IF(AND(BJ$4&gt;=$D89,BJ$4&lt;$D89+'Incremental Repayments'!$I$31),-PMT('Interest Rate'!$J$16,'Incremental Repayments'!$I$31,(HLOOKUP($D89,$E$4:$CZ$32,28,FALSE)*'Incremental Repayments'!$I$22)),0),0)</f>
        <v>0</v>
      </c>
      <c r="BK89" s="783">
        <f>IF('Incremental Repayments'!$R$22="Debt",IF(AND(BK$4&gt;=$D89,BK$4&lt;$D89+'Incremental Repayments'!$I$31),-PMT('Interest Rate'!$J$16,'Incremental Repayments'!$I$31,(HLOOKUP($D89,$E$4:$CZ$32,28,FALSE)*'Incremental Repayments'!$I$22)),0),0)</f>
        <v>0</v>
      </c>
      <c r="BL89" s="783">
        <f>IF('Incremental Repayments'!$R$22="Debt",IF(AND(BL$4&gt;=$D89,BL$4&lt;$D89+'Incremental Repayments'!$I$31),-PMT('Interest Rate'!$J$16,'Incremental Repayments'!$I$31,(HLOOKUP($D89,$E$4:$CZ$32,28,FALSE)*'Incremental Repayments'!$I$22)),0),0)</f>
        <v>0</v>
      </c>
      <c r="BM89" s="783">
        <f>IF('Incremental Repayments'!$R$22="Debt",IF(AND(BM$4&gt;=$D89,BM$4&lt;$D89+'Incremental Repayments'!$I$31),-PMT('Interest Rate'!$J$16,'Incremental Repayments'!$I$31,(HLOOKUP($D89,$E$4:$CZ$32,28,FALSE)*'Incremental Repayments'!$I$22)),0),0)</f>
        <v>0</v>
      </c>
      <c r="BN89" s="783">
        <f>IF('Incremental Repayments'!$R$22="Debt",IF(AND(BN$4&gt;=$D89,BN$4&lt;$D89+'Incremental Repayments'!$I$31),-PMT('Interest Rate'!$J$16,'Incremental Repayments'!$I$31,(HLOOKUP($D89,$E$4:$CZ$32,28,FALSE)*'Incremental Repayments'!$I$22)),0),0)</f>
        <v>0</v>
      </c>
      <c r="BO89" s="783">
        <f>IF('Incremental Repayments'!$R$22="Debt",IF(AND(BO$4&gt;=$D89,BO$4&lt;$D89+'Incremental Repayments'!$I$31),-PMT('Interest Rate'!$J$16,'Incremental Repayments'!$I$31,(HLOOKUP($D89,$E$4:$CZ$32,28,FALSE)*'Incremental Repayments'!$I$22)),0),0)</f>
        <v>0</v>
      </c>
      <c r="BP89" s="783">
        <f>IF('Incremental Repayments'!$R$22="Debt",IF(AND(BP$4&gt;=$D89,BP$4&lt;$D89+'Incremental Repayments'!$I$31),-PMT('Interest Rate'!$J$16,'Incremental Repayments'!$I$31,(HLOOKUP($D89,$E$4:$CZ$32,28,FALSE)*'Incremental Repayments'!$I$22)),0),0)</f>
        <v>0</v>
      </c>
      <c r="BQ89" s="783">
        <f>IF('Incremental Repayments'!$R$22="Debt",IF(AND(BQ$4&gt;=$D89,BQ$4&lt;$D89+'Incremental Repayments'!$I$31),-PMT('Interest Rate'!$J$16,'Incremental Repayments'!$I$31,(HLOOKUP($D89,$E$4:$CZ$32,28,FALSE)*'Incremental Repayments'!$I$22)),0),0)</f>
        <v>0</v>
      </c>
      <c r="BR89" s="783">
        <f>IF('Incremental Repayments'!$R$22="Debt",IF(AND(BR$4&gt;=$D89,BR$4&lt;$D89+'Incremental Repayments'!$I$31),-PMT('Interest Rate'!$J$16,'Incremental Repayments'!$I$31,(HLOOKUP($D89,$E$4:$CZ$32,28,FALSE)*'Incremental Repayments'!$I$22)),0),0)</f>
        <v>0</v>
      </c>
      <c r="BS89" s="783">
        <f>IF('Incremental Repayments'!$R$22="Debt",IF(AND(BS$4&gt;=$D89,BS$4&lt;$D89+'Incremental Repayments'!$I$31),-PMT('Interest Rate'!$J$16,'Incremental Repayments'!$I$31,(HLOOKUP($D89,$E$4:$CZ$32,28,FALSE)*'Incremental Repayments'!$I$22)),0),0)</f>
        <v>0</v>
      </c>
      <c r="BT89" s="783">
        <f>IF('Incremental Repayments'!$R$22="Debt",IF(AND(BT$4&gt;=$D89,BT$4&lt;$D89+'Incremental Repayments'!$I$31),-PMT('Interest Rate'!$J$16,'Incremental Repayments'!$I$31,(HLOOKUP($D89,$E$4:$CZ$32,28,FALSE)*'Incremental Repayments'!$I$22)),0),0)</f>
        <v>0</v>
      </c>
      <c r="BU89" s="783">
        <f>IF('Incremental Repayments'!$R$22="Debt",IF(AND(BU$4&gt;=$D89,BU$4&lt;$D89+'Incremental Repayments'!$I$31),-PMT('Interest Rate'!$J$16,'Incremental Repayments'!$I$31,(HLOOKUP($D89,$E$4:$CZ$32,28,FALSE)*'Incremental Repayments'!$I$22)),0),0)</f>
        <v>0</v>
      </c>
      <c r="BV89" s="783">
        <f>IF('Incremental Repayments'!$R$22="Debt",IF(AND(BV$4&gt;=$D89,BV$4&lt;$D89+'Incremental Repayments'!$I$31),-PMT('Interest Rate'!$J$16,'Incremental Repayments'!$I$31,(HLOOKUP($D89,$E$4:$CZ$32,28,FALSE)*'Incremental Repayments'!$I$22)),0),0)</f>
        <v>0</v>
      </c>
      <c r="BW89" s="783">
        <f>IF('Incremental Repayments'!$R$22="Debt",IF(AND(BW$4&gt;=$D89,BW$4&lt;$D89+'Incremental Repayments'!$I$31),-PMT('Interest Rate'!$J$16,'Incremental Repayments'!$I$31,(HLOOKUP($D89,$E$4:$CZ$32,28,FALSE)*'Incremental Repayments'!$I$22)),0),0)</f>
        <v>0</v>
      </c>
      <c r="BX89" s="783">
        <f>IF('Incremental Repayments'!$R$22="Debt",IF(AND(BX$4&gt;=$D89,BX$4&lt;$D89+'Incremental Repayments'!$I$31),-PMT('Interest Rate'!$J$16,'Incremental Repayments'!$I$31,(HLOOKUP($D89,$E$4:$CZ$32,28,FALSE)*'Incremental Repayments'!$I$22)),0),0)</f>
        <v>0</v>
      </c>
      <c r="BY89" s="783">
        <f>IF('Incremental Repayments'!$R$22="Debt",IF(AND(BY$4&gt;=$D89,BY$4&lt;$D89+'Incremental Repayments'!$I$31),-PMT('Interest Rate'!$J$16,'Incremental Repayments'!$I$31,(HLOOKUP($D89,$E$4:$CZ$32,28,FALSE)*'Incremental Repayments'!$I$22)),0),0)</f>
        <v>0</v>
      </c>
      <c r="BZ89" s="783">
        <f>IF('Incremental Repayments'!$R$22="Debt",IF(AND(BZ$4&gt;=$D89,BZ$4&lt;$D89+'Incremental Repayments'!$I$31),-PMT('Interest Rate'!$J$16,'Incremental Repayments'!$I$31,(HLOOKUP($D89,$E$4:$CZ$32,28,FALSE)*'Incremental Repayments'!$I$22)),0),0)</f>
        <v>0</v>
      </c>
      <c r="CA89" s="783">
        <f>IF('Incremental Repayments'!$R$22="Debt",IF(AND(CA$4&gt;=$D89,CA$4&lt;$D89+'Incremental Repayments'!$I$31),-PMT('Interest Rate'!$J$16,'Incremental Repayments'!$I$31,(HLOOKUP($D89,$E$4:$CZ$32,28,FALSE)*'Incremental Repayments'!$I$22)),0),0)</f>
        <v>0</v>
      </c>
      <c r="CB89" s="783">
        <f>IF('Incremental Repayments'!$R$22="Debt",IF(AND(CB$4&gt;=$D89,CB$4&lt;$D89+'Incremental Repayments'!$I$31),-PMT('Interest Rate'!$J$16,'Incremental Repayments'!$I$31,(HLOOKUP($D89,$E$4:$CZ$32,28,FALSE)*'Incremental Repayments'!$I$22)),0),0)</f>
        <v>0</v>
      </c>
      <c r="CC89" s="783">
        <f>IF('Incremental Repayments'!$R$22="Debt",IF(AND(CC$4&gt;=$D89,CC$4&lt;$D89+'Incremental Repayments'!$I$31),-PMT('Interest Rate'!$J$16,'Incremental Repayments'!$I$31,(HLOOKUP($D89,$E$4:$CZ$32,28,FALSE)*'Incremental Repayments'!$I$22)),0),0)</f>
        <v>0</v>
      </c>
      <c r="CD89" s="783">
        <f>IF('Incremental Repayments'!$R$22="Debt",IF(AND(CD$4&gt;=$D89,CD$4&lt;$D89+'Incremental Repayments'!$I$31),-PMT('Interest Rate'!$J$16,'Incremental Repayments'!$I$31,(HLOOKUP($D89,$E$4:$CZ$32,28,FALSE)*'Incremental Repayments'!$I$22)),0),0)</f>
        <v>0</v>
      </c>
      <c r="CE89" s="783">
        <f>IF('Incremental Repayments'!$R$22="Debt",IF(AND(CE$4&gt;=$D89,CE$4&lt;$D89+'Incremental Repayments'!$I$31),-PMT('Interest Rate'!$J$16,'Incremental Repayments'!$I$31,(HLOOKUP($D89,$E$4:$CZ$32,28,FALSE)*'Incremental Repayments'!$I$22)),0),0)</f>
        <v>0</v>
      </c>
      <c r="CF89" s="783">
        <f>IF('Incremental Repayments'!$R$22="Debt",IF(AND(CF$4&gt;=$D89,CF$4&lt;$D89+'Incremental Repayments'!$I$31),-PMT('Interest Rate'!$J$16,'Incremental Repayments'!$I$31,(HLOOKUP($D89,$E$4:$CZ$32,28,FALSE)*'Incremental Repayments'!$I$22)),0),0)</f>
        <v>0</v>
      </c>
      <c r="CG89" s="783">
        <f>IF('Incremental Repayments'!$R$22="Debt",IF(AND(CG$4&gt;=$D89,CG$4&lt;$D89+'Incremental Repayments'!$I$31),-PMT('Interest Rate'!$J$16,'Incremental Repayments'!$I$31,(HLOOKUP($D89,$E$4:$CZ$32,28,FALSE)*'Incremental Repayments'!$I$22)),0),0)</f>
        <v>0</v>
      </c>
      <c r="CH89" s="783">
        <f>IF('Incremental Repayments'!$R$22="Debt",IF(AND(CH$4&gt;=$D89,CH$4&lt;$D89+'Incremental Repayments'!$I$31),-PMT('Interest Rate'!$J$16,'Incremental Repayments'!$I$31,(HLOOKUP($D89,$E$4:$CZ$32,28,FALSE)*'Incremental Repayments'!$I$22)),0),0)</f>
        <v>0</v>
      </c>
      <c r="CI89" s="783">
        <f>IF('Incremental Repayments'!$R$22="Debt",IF(AND(CI$4&gt;=$D89,CI$4&lt;$D89+'Incremental Repayments'!$I$31),-PMT('Interest Rate'!$J$16,'Incremental Repayments'!$I$31,(HLOOKUP($D89,$E$4:$CZ$32,28,FALSE)*'Incremental Repayments'!$I$22)),0),0)</f>
        <v>0</v>
      </c>
      <c r="CJ89" s="783">
        <f>IF('Incremental Repayments'!$R$22="Debt",IF(AND(CJ$4&gt;=$D89,CJ$4&lt;$D89+'Incremental Repayments'!$I$31),-PMT('Interest Rate'!$J$16,'Incremental Repayments'!$I$31,(HLOOKUP($D89,$E$4:$CZ$32,28,FALSE)*'Incremental Repayments'!$I$22)),0),0)</f>
        <v>0</v>
      </c>
      <c r="CK89" s="783">
        <f>IF('Incremental Repayments'!$R$22="Debt",IF(AND(CK$4&gt;=$D89,CK$4&lt;$D89+'Incremental Repayments'!$I$31),-PMT('Interest Rate'!$J$16,'Incremental Repayments'!$I$31,(HLOOKUP($D89,$E$4:$CZ$32,28,FALSE)*'Incremental Repayments'!$I$22)),0),0)</f>
        <v>0</v>
      </c>
      <c r="CL89" s="783">
        <f>IF('Incremental Repayments'!$R$22="Debt",IF(AND(CL$4&gt;=$D89,CL$4&lt;$D89+'Incremental Repayments'!$I$31),-PMT('Interest Rate'!$J$16,'Incremental Repayments'!$I$31,(HLOOKUP($D89,$E$4:$CZ$32,28,FALSE)*'Incremental Repayments'!$I$22)),0),0)</f>
        <v>0</v>
      </c>
      <c r="CM89" s="783">
        <f>IF('Incremental Repayments'!$R$22="Debt",IF(AND(CM$4&gt;=$D89,CM$4&lt;$D89+'Incremental Repayments'!$I$31),-PMT('Interest Rate'!$J$16,'Incremental Repayments'!$I$31,(HLOOKUP($D89,$E$4:$CZ$32,28,FALSE)*'Incremental Repayments'!$I$22)),0),0)</f>
        <v>0</v>
      </c>
      <c r="CN89" s="783">
        <f>IF('Incremental Repayments'!$R$22="Debt",IF(AND(CN$4&gt;=$D89,CN$4&lt;$D89+'Incremental Repayments'!$I$31),-PMT('Interest Rate'!$J$16,'Incremental Repayments'!$I$31,(HLOOKUP($D89,$E$4:$CZ$32,28,FALSE)*'Incremental Repayments'!$I$22)),0),0)</f>
        <v>0</v>
      </c>
      <c r="CO89" s="783">
        <f>IF('Incremental Repayments'!$R$22="Debt",IF(AND(CO$4&gt;=$D89,CO$4&lt;$D89+'Incremental Repayments'!$I$31),-PMT('Interest Rate'!$J$16,'Incremental Repayments'!$I$31,(HLOOKUP($D89,$E$4:$CZ$32,28,FALSE)*'Incremental Repayments'!$I$22)),0),0)</f>
        <v>0</v>
      </c>
      <c r="CP89" s="783">
        <f>IF('Incremental Repayments'!$R$22="Debt",IF(AND(CP$4&gt;=$D89,CP$4&lt;$D89+'Incremental Repayments'!$I$31),-PMT('Interest Rate'!$J$16,'Incremental Repayments'!$I$31,(HLOOKUP($D89,$E$4:$CZ$32,28,FALSE)*'Incremental Repayments'!$I$22)),0),0)</f>
        <v>0</v>
      </c>
      <c r="CQ89" s="783">
        <f>IF('Incremental Repayments'!$R$22="Debt",IF(AND(CQ$4&gt;=$D89,CQ$4&lt;$D89+'Incremental Repayments'!$I$31),-PMT('Interest Rate'!$J$16,'Incremental Repayments'!$I$31,(HLOOKUP($D89,$E$4:$CZ$32,28,FALSE)*'Incremental Repayments'!$I$22)),0),0)</f>
        <v>0</v>
      </c>
      <c r="CR89" s="783">
        <f>IF('Incremental Repayments'!$R$22="Debt",IF(AND(CR$4&gt;=$D89,CR$4&lt;$D89+'Incremental Repayments'!$I$31),-PMT('Interest Rate'!$J$16,'Incremental Repayments'!$I$31,(HLOOKUP($D89,$E$4:$CZ$32,28,FALSE)*'Incremental Repayments'!$I$22)),0),0)</f>
        <v>0</v>
      </c>
      <c r="CS89" s="783">
        <f>IF('Incremental Repayments'!$R$22="Debt",IF(AND(CS$4&gt;=$D89,CS$4&lt;$D89+'Incremental Repayments'!$I$31),-PMT('Interest Rate'!$J$16,'Incremental Repayments'!$I$31,(HLOOKUP($D89,$E$4:$CZ$32,28,FALSE)*'Incremental Repayments'!$I$22)),0),0)</f>
        <v>0</v>
      </c>
      <c r="CT89" s="783">
        <f>IF('Incremental Repayments'!$R$22="Debt",IF(AND(CT$4&gt;=$D89,CT$4&lt;$D89+'Incremental Repayments'!$I$31),-PMT('Interest Rate'!$J$16,'Incremental Repayments'!$I$31,(HLOOKUP($D89,$E$4:$CZ$32,28,FALSE)*'Incremental Repayments'!$I$22)),0),0)</f>
        <v>0</v>
      </c>
      <c r="CU89" s="783">
        <f>IF('Incremental Repayments'!$R$22="Debt",IF(AND(CU$4&gt;=$D89,CU$4&lt;$D89+'Incremental Repayments'!$I$31),-PMT('Interest Rate'!$J$16,'Incremental Repayments'!$I$31,(HLOOKUP($D89,$E$4:$CZ$32,28,FALSE)*'Incremental Repayments'!$I$22)),0),0)</f>
        <v>0</v>
      </c>
      <c r="CV89" s="783">
        <f>IF('Incremental Repayments'!$R$22="Debt",IF(AND(CV$4&gt;=$D89,CV$4&lt;$D89+'Incremental Repayments'!$I$31),-PMT('Interest Rate'!$J$16,'Incremental Repayments'!$I$31,(HLOOKUP($D89,$E$4:$CZ$32,28,FALSE)*'Incremental Repayments'!$I$22)),0),0)</f>
        <v>0</v>
      </c>
      <c r="CW89" s="783">
        <f>IF('Incremental Repayments'!$R$22="Debt",IF(AND(CW$4&gt;=$D89,CW$4&lt;$D89+'Incremental Repayments'!$I$31),-PMT('Interest Rate'!$J$16,'Incremental Repayments'!$I$31,(HLOOKUP($D89,$E$4:$CZ$32,28,FALSE)*'Incremental Repayments'!$I$22)),0),0)</f>
        <v>0</v>
      </c>
      <c r="CX89" s="783">
        <f>IF('Incremental Repayments'!$R$22="Debt",IF(AND(CX$4&gt;=$D89,CX$4&lt;$D89+'Incremental Repayments'!$I$31),-PMT('Interest Rate'!$J$16,'Incremental Repayments'!$I$31,(HLOOKUP($D89,$E$4:$CZ$32,28,FALSE)*'Incremental Repayments'!$I$22)),0),0)</f>
        <v>0</v>
      </c>
      <c r="CY89" s="783">
        <f>IF('Incremental Repayments'!$R$22="Debt",IF(AND(CY$4&gt;=$D89,CY$4&lt;$D89+'Incremental Repayments'!$I$31),-PMT('Interest Rate'!$J$16,'Incremental Repayments'!$I$31,(HLOOKUP($D89,$E$4:$CZ$32,28,FALSE)*'Incremental Repayments'!$I$22)),0),0)</f>
        <v>0</v>
      </c>
      <c r="CZ89" s="783">
        <f>IF('Incremental Repayments'!$R$22="Debt",IF(AND(CZ$4&gt;=$D89,CZ$4&lt;$D89+'Incremental Repayments'!$I$31),-PMT('Interest Rate'!$J$16,'Incremental Repayments'!$I$31,(HLOOKUP($D89,$E$4:$CZ$32,28,FALSE)*'Incremental Repayments'!$I$22)),0),0)</f>
        <v>0</v>
      </c>
    </row>
    <row r="90" spans="2:104" x14ac:dyDescent="0.25">
      <c r="B90" s="480" t="str">
        <f>CONCATENATE("Series ",D90,"A Bonds (at ",'Interest Rate'!$J$16*100,"% Interest)")</f>
        <v>Series 2068A Bonds (at 4.5% Interest)</v>
      </c>
      <c r="C90" s="480"/>
      <c r="D90" s="492">
        <f t="shared" si="47"/>
        <v>2068</v>
      </c>
      <c r="E90" s="783">
        <f>IF('Incremental Repayments'!$R$22="Debt",IF(AND(E$4&gt;=$D90,E$4&lt;$D90+'Incremental Repayments'!$I$31),-PMT('Interest Rate'!$J$16,'Incremental Repayments'!$I$31,(HLOOKUP($D90,$E$4:$CZ$32,28,FALSE)*'Incremental Repayments'!$I$22)),0),0)</f>
        <v>0</v>
      </c>
      <c r="F90" s="783">
        <f>IF('Incremental Repayments'!$R$22="Debt",IF(AND(F$4&gt;=$D90,F$4&lt;$D90+'Incremental Repayments'!$I$31),-PMT('Interest Rate'!$J$16,'Incremental Repayments'!$I$31,(HLOOKUP($D90,$E$4:$CZ$32,28,FALSE)*'Incremental Repayments'!$I$22)),0),0)</f>
        <v>0</v>
      </c>
      <c r="G90" s="783">
        <f>IF('Incremental Repayments'!$R$22="Debt",IF(AND(G$4&gt;=$D90,G$4&lt;$D90+'Incremental Repayments'!$I$31),-PMT('Interest Rate'!$J$16,'Incremental Repayments'!$I$31,(HLOOKUP($D90,$E$4:$CZ$32,28,FALSE)*'Incremental Repayments'!$I$22)),0),0)</f>
        <v>0</v>
      </c>
      <c r="H90" s="783">
        <f>IF('Incremental Repayments'!$R$22="Debt",IF(AND(H$4&gt;=$D90,H$4&lt;$D90+'Incremental Repayments'!$I$31),-PMT('Interest Rate'!$J$16,'Incremental Repayments'!$I$31,(HLOOKUP($D90,$E$4:$CZ$32,28,FALSE)*'Incremental Repayments'!$I$22)),0),0)</f>
        <v>0</v>
      </c>
      <c r="I90" s="783">
        <f>IF('Incremental Repayments'!$R$22="Debt",IF(AND(I$4&gt;=$D90,I$4&lt;$D90+'Incremental Repayments'!$I$31),-PMT('Interest Rate'!$J$16,'Incremental Repayments'!$I$31,(HLOOKUP($D90,$E$4:$CZ$32,28,FALSE)*'Incremental Repayments'!$I$22)),0),0)</f>
        <v>0</v>
      </c>
      <c r="J90" s="783">
        <f>IF('Incremental Repayments'!$R$22="Debt",IF(AND(J$4&gt;=$D90,J$4&lt;$D90+'Incremental Repayments'!$I$31),-PMT('Interest Rate'!$J$16,'Incremental Repayments'!$I$31,(HLOOKUP($D90,$E$4:$CZ$32,28,FALSE)*'Incremental Repayments'!$I$22)),0),0)</f>
        <v>0</v>
      </c>
      <c r="K90" s="783">
        <f>IF('Incremental Repayments'!$R$22="Debt",IF(AND(K$4&gt;=$D90,K$4&lt;$D90+'Incremental Repayments'!$I$31),-PMT('Interest Rate'!$J$16,'Incremental Repayments'!$I$31,(HLOOKUP($D90,$E$4:$CZ$32,28,FALSE)*'Incremental Repayments'!$I$22)),0),0)</f>
        <v>0</v>
      </c>
      <c r="L90" s="783">
        <f>IF('Incremental Repayments'!$R$22="Debt",IF(AND(L$4&gt;=$D90,L$4&lt;$D90+'Incremental Repayments'!$I$31),-PMT('Interest Rate'!$J$16,'Incremental Repayments'!$I$31,(HLOOKUP($D90,$E$4:$CZ$32,28,FALSE)*'Incremental Repayments'!$I$22)),0),0)</f>
        <v>0</v>
      </c>
      <c r="M90" s="783">
        <f>IF('Incremental Repayments'!$R$22="Debt",IF(AND(M$4&gt;=$D90,M$4&lt;$D90+'Incremental Repayments'!$I$31),-PMT('Interest Rate'!$J$16,'Incremental Repayments'!$I$31,(HLOOKUP($D90,$E$4:$CZ$32,28,FALSE)*'Incremental Repayments'!$I$22)),0),0)</f>
        <v>0</v>
      </c>
      <c r="N90" s="783">
        <f>IF('Incremental Repayments'!$R$22="Debt",IF(AND(N$4&gt;=$D90,N$4&lt;$D90+'Incremental Repayments'!$I$31),-PMT('Interest Rate'!$J$16,'Incremental Repayments'!$I$31,(HLOOKUP($D90,$E$4:$CZ$32,28,FALSE)*'Incremental Repayments'!$I$22)),0),0)</f>
        <v>0</v>
      </c>
      <c r="O90" s="783">
        <f>IF('Incremental Repayments'!$R$22="Debt",IF(AND(O$4&gt;=$D90,O$4&lt;$D90+'Incremental Repayments'!$I$31),-PMT('Interest Rate'!$J$16,'Incremental Repayments'!$I$31,(HLOOKUP($D90,$E$4:$CZ$32,28,FALSE)*'Incremental Repayments'!$I$22)),0),0)</f>
        <v>0</v>
      </c>
      <c r="P90" s="783">
        <f>IF('Incremental Repayments'!$R$22="Debt",IF(AND(P$4&gt;=$D90,P$4&lt;$D90+'Incremental Repayments'!$I$31),-PMT('Interest Rate'!$J$16,'Incremental Repayments'!$I$31,(HLOOKUP($D90,$E$4:$CZ$32,28,FALSE)*'Incremental Repayments'!$I$22)),0),0)</f>
        <v>0</v>
      </c>
      <c r="Q90" s="783">
        <f>IF('Incremental Repayments'!$R$22="Debt",IF(AND(Q$4&gt;=$D90,Q$4&lt;$D90+'Incremental Repayments'!$I$31),-PMT('Interest Rate'!$J$16,'Incremental Repayments'!$I$31,(HLOOKUP($D90,$E$4:$CZ$32,28,FALSE)*'Incremental Repayments'!$I$22)),0),0)</f>
        <v>0</v>
      </c>
      <c r="R90" s="783">
        <f>IF('Incremental Repayments'!$R$22="Debt",IF(AND(R$4&gt;=$D90,R$4&lt;$D90+'Incremental Repayments'!$I$31),-PMT('Interest Rate'!$J$16,'Incremental Repayments'!$I$31,(HLOOKUP($D90,$E$4:$CZ$32,28,FALSE)*'Incremental Repayments'!$I$22)),0),0)</f>
        <v>0</v>
      </c>
      <c r="S90" s="783">
        <f>IF('Incremental Repayments'!$R$22="Debt",IF(AND(S$4&gt;=$D90,S$4&lt;$D90+'Incremental Repayments'!$I$31),-PMT('Interest Rate'!$J$16,'Incremental Repayments'!$I$31,(HLOOKUP($D90,$E$4:$CZ$32,28,FALSE)*'Incremental Repayments'!$I$22)),0),0)</f>
        <v>0</v>
      </c>
      <c r="T90" s="783">
        <f>IF('Incremental Repayments'!$R$22="Debt",IF(AND(T$4&gt;=$D90,T$4&lt;$D90+'Incremental Repayments'!$I$31),-PMT('Interest Rate'!$J$16,'Incremental Repayments'!$I$31,(HLOOKUP($D90,$E$4:$CZ$32,28,FALSE)*'Incremental Repayments'!$I$22)),0),0)</f>
        <v>0</v>
      </c>
      <c r="U90" s="783">
        <f>IF('Incremental Repayments'!$R$22="Debt",IF(AND(U$4&gt;=$D90,U$4&lt;$D90+'Incremental Repayments'!$I$31),-PMT('Interest Rate'!$J$16,'Incremental Repayments'!$I$31,(HLOOKUP($D90,$E$4:$CZ$32,28,FALSE)*'Incremental Repayments'!$I$22)),0),0)</f>
        <v>0</v>
      </c>
      <c r="V90" s="783">
        <f>IF('Incremental Repayments'!$R$22="Debt",IF(AND(V$4&gt;=$D90,V$4&lt;$D90+'Incremental Repayments'!$I$31),-PMT('Interest Rate'!$J$16,'Incremental Repayments'!$I$31,(HLOOKUP($D90,$E$4:$CZ$32,28,FALSE)*'Incremental Repayments'!$I$22)),0),0)</f>
        <v>0</v>
      </c>
      <c r="W90" s="783">
        <f>IF('Incremental Repayments'!$R$22="Debt",IF(AND(W$4&gt;=$D90,W$4&lt;$D90+'Incremental Repayments'!$I$31),-PMT('Interest Rate'!$J$16,'Incremental Repayments'!$I$31,(HLOOKUP($D90,$E$4:$CZ$32,28,FALSE)*'Incremental Repayments'!$I$22)),0),0)</f>
        <v>0</v>
      </c>
      <c r="X90" s="783">
        <f>IF('Incremental Repayments'!$R$22="Debt",IF(AND(X$4&gt;=$D90,X$4&lt;$D90+'Incremental Repayments'!$I$31),-PMT('Interest Rate'!$J$16,'Incremental Repayments'!$I$31,(HLOOKUP($D90,$E$4:$CZ$32,28,FALSE)*'Incremental Repayments'!$I$22)),0),0)</f>
        <v>0</v>
      </c>
      <c r="Y90" s="783">
        <f>IF('Incremental Repayments'!$R$22="Debt",IF(AND(Y$4&gt;=$D90,Y$4&lt;$D90+'Incremental Repayments'!$I$31),-PMT('Interest Rate'!$J$16,'Incremental Repayments'!$I$31,(HLOOKUP($D90,$E$4:$CZ$32,28,FALSE)*'Incremental Repayments'!$I$22)),0),0)</f>
        <v>0</v>
      </c>
      <c r="Z90" s="783">
        <f>IF('Incremental Repayments'!$R$22="Debt",IF(AND(Z$4&gt;=$D90,Z$4&lt;$D90+'Incremental Repayments'!$I$31),-PMT('Interest Rate'!$J$16,'Incremental Repayments'!$I$31,(HLOOKUP($D90,$E$4:$CZ$32,28,FALSE)*'Incremental Repayments'!$I$22)),0),0)</f>
        <v>0</v>
      </c>
      <c r="AA90" s="783">
        <f>IF('Incremental Repayments'!$R$22="Debt",IF(AND(AA$4&gt;=$D90,AA$4&lt;$D90+'Incremental Repayments'!$I$31),-PMT('Interest Rate'!$J$16,'Incremental Repayments'!$I$31,(HLOOKUP($D90,$E$4:$CZ$32,28,FALSE)*'Incremental Repayments'!$I$22)),0),0)</f>
        <v>0</v>
      </c>
      <c r="AB90" s="783">
        <f>IF('Incremental Repayments'!$R$22="Debt",IF(AND(AB$4&gt;=$D90,AB$4&lt;$D90+'Incremental Repayments'!$I$31),-PMT('Interest Rate'!$J$16,'Incremental Repayments'!$I$31,(HLOOKUP($D90,$E$4:$CZ$32,28,FALSE)*'Incremental Repayments'!$I$22)),0),0)</f>
        <v>0</v>
      </c>
      <c r="AC90" s="783">
        <f>IF('Incremental Repayments'!$R$22="Debt",IF(AND(AC$4&gt;=$D90,AC$4&lt;$D90+'Incremental Repayments'!$I$31),-PMT('Interest Rate'!$J$16,'Incremental Repayments'!$I$31,(HLOOKUP($D90,$E$4:$CZ$32,28,FALSE)*'Incremental Repayments'!$I$22)),0),0)</f>
        <v>0</v>
      </c>
      <c r="AD90" s="783">
        <f>IF('Incremental Repayments'!$R$22="Debt",IF(AND(AD$4&gt;=$D90,AD$4&lt;$D90+'Incremental Repayments'!$I$31),-PMT('Interest Rate'!$J$16,'Incremental Repayments'!$I$31,(HLOOKUP($D90,$E$4:$CZ$32,28,FALSE)*'Incremental Repayments'!$I$22)),0),0)</f>
        <v>0</v>
      </c>
      <c r="AE90" s="783">
        <f>IF('Incremental Repayments'!$R$22="Debt",IF(AND(AE$4&gt;=$D90,AE$4&lt;$D90+'Incremental Repayments'!$I$31),-PMT('Interest Rate'!$J$16,'Incremental Repayments'!$I$31,(HLOOKUP($D90,$E$4:$CZ$32,28,FALSE)*'Incremental Repayments'!$I$22)),0),0)</f>
        <v>0</v>
      </c>
      <c r="AF90" s="783">
        <f>IF('Incremental Repayments'!$R$22="Debt",IF(AND(AF$4&gt;=$D90,AF$4&lt;$D90+'Incremental Repayments'!$I$31),-PMT('Interest Rate'!$J$16,'Incremental Repayments'!$I$31,(HLOOKUP($D90,$E$4:$CZ$32,28,FALSE)*'Incremental Repayments'!$I$22)),0),0)</f>
        <v>0</v>
      </c>
      <c r="AG90" s="783">
        <f>IF('Incremental Repayments'!$R$22="Debt",IF(AND(AG$4&gt;=$D90,AG$4&lt;$D90+'Incremental Repayments'!$I$31),-PMT('Interest Rate'!$J$16,'Incremental Repayments'!$I$31,(HLOOKUP($D90,$E$4:$CZ$32,28,FALSE)*'Incremental Repayments'!$I$22)),0),0)</f>
        <v>0</v>
      </c>
      <c r="AH90" s="783">
        <f>IF('Incremental Repayments'!$R$22="Debt",IF(AND(AH$4&gt;=$D90,AH$4&lt;$D90+'Incremental Repayments'!$I$31),-PMT('Interest Rate'!$J$16,'Incremental Repayments'!$I$31,(HLOOKUP($D90,$E$4:$CZ$32,28,FALSE)*'Incremental Repayments'!$I$22)),0),0)</f>
        <v>0</v>
      </c>
      <c r="AI90" s="783">
        <f>IF('Incremental Repayments'!$R$22="Debt",IF(AND(AI$4&gt;=$D90,AI$4&lt;$D90+'Incremental Repayments'!$I$31),-PMT('Interest Rate'!$J$16,'Incremental Repayments'!$I$31,(HLOOKUP($D90,$E$4:$CZ$32,28,FALSE)*'Incremental Repayments'!$I$22)),0),0)</f>
        <v>0</v>
      </c>
      <c r="AJ90" s="783">
        <f>IF('Incremental Repayments'!$R$22="Debt",IF(AND(AJ$4&gt;=$D90,AJ$4&lt;$D90+'Incremental Repayments'!$I$31),-PMT('Interest Rate'!$J$16,'Incremental Repayments'!$I$31,(HLOOKUP($D90,$E$4:$CZ$32,28,FALSE)*'Incremental Repayments'!$I$22)),0),0)</f>
        <v>0</v>
      </c>
      <c r="AK90" s="783">
        <f>IF('Incremental Repayments'!$R$22="Debt",IF(AND(AK$4&gt;=$D90,AK$4&lt;$D90+'Incremental Repayments'!$I$31),-PMT('Interest Rate'!$J$16,'Incremental Repayments'!$I$31,(HLOOKUP($D90,$E$4:$CZ$32,28,FALSE)*'Incremental Repayments'!$I$22)),0),0)</f>
        <v>0</v>
      </c>
      <c r="AL90" s="783">
        <f>IF('Incremental Repayments'!$R$22="Debt",IF(AND(AL$4&gt;=$D90,AL$4&lt;$D90+'Incremental Repayments'!$I$31),-PMT('Interest Rate'!$J$16,'Incremental Repayments'!$I$31,(HLOOKUP($D90,$E$4:$CZ$32,28,FALSE)*'Incremental Repayments'!$I$22)),0),0)</f>
        <v>0</v>
      </c>
      <c r="AM90" s="783">
        <f>IF('Incremental Repayments'!$R$22="Debt",IF(AND(AM$4&gt;=$D90,AM$4&lt;$D90+'Incremental Repayments'!$I$31),-PMT('Interest Rate'!$J$16,'Incremental Repayments'!$I$31,(HLOOKUP($D90,$E$4:$CZ$32,28,FALSE)*'Incremental Repayments'!$I$22)),0),0)</f>
        <v>0</v>
      </c>
      <c r="AN90" s="783">
        <f>IF('Incremental Repayments'!$R$22="Debt",IF(AND(AN$4&gt;=$D90,AN$4&lt;$D90+'Incremental Repayments'!$I$31),-PMT('Interest Rate'!$J$16,'Incremental Repayments'!$I$31,(HLOOKUP($D90,$E$4:$CZ$32,28,FALSE)*'Incremental Repayments'!$I$22)),0),0)</f>
        <v>0</v>
      </c>
      <c r="AO90" s="783">
        <f>IF('Incremental Repayments'!$R$22="Debt",IF(AND(AO$4&gt;=$D90,AO$4&lt;$D90+'Incremental Repayments'!$I$31),-PMT('Interest Rate'!$J$16,'Incremental Repayments'!$I$31,(HLOOKUP($D90,$E$4:$CZ$32,28,FALSE)*'Incremental Repayments'!$I$22)),0),0)</f>
        <v>0</v>
      </c>
      <c r="AP90" s="783">
        <f>IF('Incremental Repayments'!$R$22="Debt",IF(AND(AP$4&gt;=$D90,AP$4&lt;$D90+'Incremental Repayments'!$I$31),-PMT('Interest Rate'!$J$16,'Incremental Repayments'!$I$31,(HLOOKUP($D90,$E$4:$CZ$32,28,FALSE)*'Incremental Repayments'!$I$22)),0),0)</f>
        <v>0</v>
      </c>
      <c r="AQ90" s="783">
        <f>IF('Incremental Repayments'!$R$22="Debt",IF(AND(AQ$4&gt;=$D90,AQ$4&lt;$D90+'Incremental Repayments'!$I$31),-PMT('Interest Rate'!$J$16,'Incremental Repayments'!$I$31,(HLOOKUP($D90,$E$4:$CZ$32,28,FALSE)*'Incremental Repayments'!$I$22)),0),0)</f>
        <v>0</v>
      </c>
      <c r="AR90" s="783">
        <f>IF('Incremental Repayments'!$R$22="Debt",IF(AND(AR$4&gt;=$D90,AR$4&lt;$D90+'Incremental Repayments'!$I$31),-PMT('Interest Rate'!$J$16,'Incremental Repayments'!$I$31,(HLOOKUP($D90,$E$4:$CZ$32,28,FALSE)*'Incremental Repayments'!$I$22)),0),0)</f>
        <v>0</v>
      </c>
      <c r="AS90" s="783">
        <f>IF('Incremental Repayments'!$R$22="Debt",IF(AND(AS$4&gt;=$D90,AS$4&lt;$D90+'Incremental Repayments'!$I$31),-PMT('Interest Rate'!$J$16,'Incremental Repayments'!$I$31,(HLOOKUP($D90,$E$4:$CZ$32,28,FALSE)*'Incremental Repayments'!$I$22)),0),0)</f>
        <v>0</v>
      </c>
      <c r="AT90" s="783">
        <f>IF('Incremental Repayments'!$R$22="Debt",IF(AND(AT$4&gt;=$D90,AT$4&lt;$D90+'Incremental Repayments'!$I$31),-PMT('Interest Rate'!$J$16,'Incremental Repayments'!$I$31,(HLOOKUP($D90,$E$4:$CZ$32,28,FALSE)*'Incremental Repayments'!$I$22)),0),0)</f>
        <v>0</v>
      </c>
      <c r="AU90" s="783">
        <f>IF('Incremental Repayments'!$R$22="Debt",IF(AND(AU$4&gt;=$D90,AU$4&lt;$D90+'Incremental Repayments'!$I$31),-PMT('Interest Rate'!$J$16,'Incremental Repayments'!$I$31,(HLOOKUP($D90,$E$4:$CZ$32,28,FALSE)*'Incremental Repayments'!$I$22)),0),0)</f>
        <v>0</v>
      </c>
      <c r="AV90" s="783">
        <f>IF('Incremental Repayments'!$R$22="Debt",IF(AND(AV$4&gt;=$D90,AV$4&lt;$D90+'Incremental Repayments'!$I$31),-PMT('Interest Rate'!$J$16,'Incremental Repayments'!$I$31,(HLOOKUP($D90,$E$4:$CZ$32,28,FALSE)*'Incremental Repayments'!$I$22)),0),0)</f>
        <v>0</v>
      </c>
      <c r="AW90" s="783">
        <f>IF('Incremental Repayments'!$R$22="Debt",IF(AND(AW$4&gt;=$D90,AW$4&lt;$D90+'Incremental Repayments'!$I$31),-PMT('Interest Rate'!$J$16,'Incremental Repayments'!$I$31,(HLOOKUP($D90,$E$4:$CZ$32,28,FALSE)*'Incremental Repayments'!$I$22)),0),0)</f>
        <v>0</v>
      </c>
      <c r="AX90" s="783">
        <f>IF('Incremental Repayments'!$R$22="Debt",IF(AND(AX$4&gt;=$D90,AX$4&lt;$D90+'Incremental Repayments'!$I$31),-PMT('Interest Rate'!$J$16,'Incremental Repayments'!$I$31,(HLOOKUP($D90,$E$4:$CZ$32,28,FALSE)*'Incremental Repayments'!$I$22)),0),0)</f>
        <v>0</v>
      </c>
      <c r="AY90" s="783">
        <f>IF('Incremental Repayments'!$R$22="Debt",IF(AND(AY$4&gt;=$D90,AY$4&lt;$D90+'Incremental Repayments'!$I$31),-PMT('Interest Rate'!$J$16,'Incremental Repayments'!$I$31,(HLOOKUP($D90,$E$4:$CZ$32,28,FALSE)*'Incremental Repayments'!$I$22)),0),0)</f>
        <v>0</v>
      </c>
      <c r="AZ90" s="783">
        <f>IF('Incremental Repayments'!$R$22="Debt",IF(AND(AZ$4&gt;=$D90,AZ$4&lt;$D90+'Incremental Repayments'!$I$31),-PMT('Interest Rate'!$J$16,'Incremental Repayments'!$I$31,(HLOOKUP($D90,$E$4:$CZ$32,28,FALSE)*'Incremental Repayments'!$I$22)),0),0)</f>
        <v>0</v>
      </c>
      <c r="BA90" s="783">
        <f>IF('Incremental Repayments'!$R$22="Debt",IF(AND(BA$4&gt;=$D90,BA$4&lt;$D90+'Incremental Repayments'!$I$31),-PMT('Interest Rate'!$J$16,'Incremental Repayments'!$I$31,(HLOOKUP($D90,$E$4:$CZ$32,28,FALSE)*'Incremental Repayments'!$I$22)),0),0)</f>
        <v>0</v>
      </c>
      <c r="BB90" s="783">
        <f>IF('Incremental Repayments'!$R$22="Debt",IF(AND(BB$4&gt;=$D90,BB$4&lt;$D90+'Incremental Repayments'!$I$31),-PMT('Interest Rate'!$J$16,'Incremental Repayments'!$I$31,(HLOOKUP($D90,$E$4:$CZ$32,28,FALSE)*'Incremental Repayments'!$I$22)),0),0)</f>
        <v>0</v>
      </c>
      <c r="BC90" s="783">
        <f>IF('Incremental Repayments'!$R$22="Debt",IF(AND(BC$4&gt;=$D90,BC$4&lt;$D90+'Incremental Repayments'!$I$31),-PMT('Interest Rate'!$J$16,'Incremental Repayments'!$I$31,(HLOOKUP($D90,$E$4:$CZ$32,28,FALSE)*'Incremental Repayments'!$I$22)),0),0)</f>
        <v>0</v>
      </c>
      <c r="BD90" s="783">
        <f>IF('Incremental Repayments'!$R$22="Debt",IF(AND(BD$4&gt;=$D90,BD$4&lt;$D90+'Incremental Repayments'!$I$31),-PMT('Interest Rate'!$J$16,'Incremental Repayments'!$I$31,(HLOOKUP($D90,$E$4:$CZ$32,28,FALSE)*'Incremental Repayments'!$I$22)),0),0)</f>
        <v>0</v>
      </c>
      <c r="BE90" s="783">
        <f>IF('Incremental Repayments'!$R$22="Debt",IF(AND(BE$4&gt;=$D90,BE$4&lt;$D90+'Incremental Repayments'!$I$31),-PMT('Interest Rate'!$J$16,'Incremental Repayments'!$I$31,(HLOOKUP($D90,$E$4:$CZ$32,28,FALSE)*'Incremental Repayments'!$I$22)),0),0)</f>
        <v>0</v>
      </c>
      <c r="BF90" s="783">
        <f>IF('Incremental Repayments'!$R$22="Debt",IF(AND(BF$4&gt;=$D90,BF$4&lt;$D90+'Incremental Repayments'!$I$31),-PMT('Interest Rate'!$J$16,'Incremental Repayments'!$I$31,(HLOOKUP($D90,$E$4:$CZ$32,28,FALSE)*'Incremental Repayments'!$I$22)),0),0)</f>
        <v>0</v>
      </c>
      <c r="BG90" s="783">
        <f>IF('Incremental Repayments'!$R$22="Debt",IF(AND(BG$4&gt;=$D90,BG$4&lt;$D90+'Incremental Repayments'!$I$31),-PMT('Interest Rate'!$J$16,'Incremental Repayments'!$I$31,(HLOOKUP($D90,$E$4:$CZ$32,28,FALSE)*'Incremental Repayments'!$I$22)),0),0)</f>
        <v>0</v>
      </c>
      <c r="BH90" s="783">
        <f>IF('Incremental Repayments'!$R$22="Debt",IF(AND(BH$4&gt;=$D90,BH$4&lt;$D90+'Incremental Repayments'!$I$31),-PMT('Interest Rate'!$J$16,'Incremental Repayments'!$I$31,(HLOOKUP($D90,$E$4:$CZ$32,28,FALSE)*'Incremental Repayments'!$I$22)),0),0)</f>
        <v>0</v>
      </c>
      <c r="BI90" s="783">
        <f>IF('Incremental Repayments'!$R$22="Debt",IF(AND(BI$4&gt;=$D90,BI$4&lt;$D90+'Incremental Repayments'!$I$31),-PMT('Interest Rate'!$J$16,'Incremental Repayments'!$I$31,(HLOOKUP($D90,$E$4:$CZ$32,28,FALSE)*'Incremental Repayments'!$I$22)),0),0)</f>
        <v>0</v>
      </c>
      <c r="BJ90" s="783">
        <f>IF('Incremental Repayments'!$R$22="Debt",IF(AND(BJ$4&gt;=$D90,BJ$4&lt;$D90+'Incremental Repayments'!$I$31),-PMT('Interest Rate'!$J$16,'Incremental Repayments'!$I$31,(HLOOKUP($D90,$E$4:$CZ$32,28,FALSE)*'Incremental Repayments'!$I$22)),0),0)</f>
        <v>0</v>
      </c>
      <c r="BK90" s="783">
        <f>IF('Incremental Repayments'!$R$22="Debt",IF(AND(BK$4&gt;=$D90,BK$4&lt;$D90+'Incremental Repayments'!$I$31),-PMT('Interest Rate'!$J$16,'Incremental Repayments'!$I$31,(HLOOKUP($D90,$E$4:$CZ$32,28,FALSE)*'Incremental Repayments'!$I$22)),0),0)</f>
        <v>0</v>
      </c>
      <c r="BL90" s="783">
        <f>IF('Incremental Repayments'!$R$22="Debt",IF(AND(BL$4&gt;=$D90,BL$4&lt;$D90+'Incremental Repayments'!$I$31),-PMT('Interest Rate'!$J$16,'Incremental Repayments'!$I$31,(HLOOKUP($D90,$E$4:$CZ$32,28,FALSE)*'Incremental Repayments'!$I$22)),0),0)</f>
        <v>0</v>
      </c>
      <c r="BM90" s="783">
        <f>IF('Incremental Repayments'!$R$22="Debt",IF(AND(BM$4&gt;=$D90,BM$4&lt;$D90+'Incremental Repayments'!$I$31),-PMT('Interest Rate'!$J$16,'Incremental Repayments'!$I$31,(HLOOKUP($D90,$E$4:$CZ$32,28,FALSE)*'Incremental Repayments'!$I$22)),0),0)</f>
        <v>0</v>
      </c>
      <c r="BN90" s="783">
        <f>IF('Incremental Repayments'!$R$22="Debt",IF(AND(BN$4&gt;=$D90,BN$4&lt;$D90+'Incremental Repayments'!$I$31),-PMT('Interest Rate'!$J$16,'Incremental Repayments'!$I$31,(HLOOKUP($D90,$E$4:$CZ$32,28,FALSE)*'Incremental Repayments'!$I$22)),0),0)</f>
        <v>0</v>
      </c>
      <c r="BO90" s="783">
        <f>IF('Incremental Repayments'!$R$22="Debt",IF(AND(BO$4&gt;=$D90,BO$4&lt;$D90+'Incremental Repayments'!$I$31),-PMT('Interest Rate'!$J$16,'Incremental Repayments'!$I$31,(HLOOKUP($D90,$E$4:$CZ$32,28,FALSE)*'Incremental Repayments'!$I$22)),0),0)</f>
        <v>0</v>
      </c>
      <c r="BP90" s="783">
        <f>IF('Incremental Repayments'!$R$22="Debt",IF(AND(BP$4&gt;=$D90,BP$4&lt;$D90+'Incremental Repayments'!$I$31),-PMT('Interest Rate'!$J$16,'Incremental Repayments'!$I$31,(HLOOKUP($D90,$E$4:$CZ$32,28,FALSE)*'Incremental Repayments'!$I$22)),0),0)</f>
        <v>0</v>
      </c>
      <c r="BQ90" s="783">
        <f>IF('Incremental Repayments'!$R$22="Debt",IF(AND(BQ$4&gt;=$D90,BQ$4&lt;$D90+'Incremental Repayments'!$I$31),-PMT('Interest Rate'!$J$16,'Incremental Repayments'!$I$31,(HLOOKUP($D90,$E$4:$CZ$32,28,FALSE)*'Incremental Repayments'!$I$22)),0),0)</f>
        <v>0</v>
      </c>
      <c r="BR90" s="783">
        <f>IF('Incremental Repayments'!$R$22="Debt",IF(AND(BR$4&gt;=$D90,BR$4&lt;$D90+'Incremental Repayments'!$I$31),-PMT('Interest Rate'!$J$16,'Incremental Repayments'!$I$31,(HLOOKUP($D90,$E$4:$CZ$32,28,FALSE)*'Incremental Repayments'!$I$22)),0),0)</f>
        <v>0</v>
      </c>
      <c r="BS90" s="783">
        <f>IF('Incremental Repayments'!$R$22="Debt",IF(AND(BS$4&gt;=$D90,BS$4&lt;$D90+'Incremental Repayments'!$I$31),-PMT('Interest Rate'!$J$16,'Incremental Repayments'!$I$31,(HLOOKUP($D90,$E$4:$CZ$32,28,FALSE)*'Incremental Repayments'!$I$22)),0),0)</f>
        <v>0</v>
      </c>
      <c r="BT90" s="783">
        <f>IF('Incremental Repayments'!$R$22="Debt",IF(AND(BT$4&gt;=$D90,BT$4&lt;$D90+'Incremental Repayments'!$I$31),-PMT('Interest Rate'!$J$16,'Incremental Repayments'!$I$31,(HLOOKUP($D90,$E$4:$CZ$32,28,FALSE)*'Incremental Repayments'!$I$22)),0),0)</f>
        <v>0</v>
      </c>
      <c r="BU90" s="783">
        <f>IF('Incremental Repayments'!$R$22="Debt",IF(AND(BU$4&gt;=$D90,BU$4&lt;$D90+'Incremental Repayments'!$I$31),-PMT('Interest Rate'!$J$16,'Incremental Repayments'!$I$31,(HLOOKUP($D90,$E$4:$CZ$32,28,FALSE)*'Incremental Repayments'!$I$22)),0),0)</f>
        <v>0</v>
      </c>
      <c r="BV90" s="783">
        <f>IF('Incremental Repayments'!$R$22="Debt",IF(AND(BV$4&gt;=$D90,BV$4&lt;$D90+'Incremental Repayments'!$I$31),-PMT('Interest Rate'!$J$16,'Incremental Repayments'!$I$31,(HLOOKUP($D90,$E$4:$CZ$32,28,FALSE)*'Incremental Repayments'!$I$22)),0),0)</f>
        <v>0</v>
      </c>
      <c r="BW90" s="783">
        <f>IF('Incremental Repayments'!$R$22="Debt",IF(AND(BW$4&gt;=$D90,BW$4&lt;$D90+'Incremental Repayments'!$I$31),-PMT('Interest Rate'!$J$16,'Incremental Repayments'!$I$31,(HLOOKUP($D90,$E$4:$CZ$32,28,FALSE)*'Incremental Repayments'!$I$22)),0),0)</f>
        <v>0</v>
      </c>
      <c r="BX90" s="783">
        <f>IF('Incremental Repayments'!$R$22="Debt",IF(AND(BX$4&gt;=$D90,BX$4&lt;$D90+'Incremental Repayments'!$I$31),-PMT('Interest Rate'!$J$16,'Incremental Repayments'!$I$31,(HLOOKUP($D90,$E$4:$CZ$32,28,FALSE)*'Incremental Repayments'!$I$22)),0),0)</f>
        <v>0</v>
      </c>
      <c r="BY90" s="783">
        <f>IF('Incremental Repayments'!$R$22="Debt",IF(AND(BY$4&gt;=$D90,BY$4&lt;$D90+'Incremental Repayments'!$I$31),-PMT('Interest Rate'!$J$16,'Incremental Repayments'!$I$31,(HLOOKUP($D90,$E$4:$CZ$32,28,FALSE)*'Incremental Repayments'!$I$22)),0),0)</f>
        <v>0</v>
      </c>
      <c r="BZ90" s="783">
        <f>IF('Incremental Repayments'!$R$22="Debt",IF(AND(BZ$4&gt;=$D90,BZ$4&lt;$D90+'Incremental Repayments'!$I$31),-PMT('Interest Rate'!$J$16,'Incremental Repayments'!$I$31,(HLOOKUP($D90,$E$4:$CZ$32,28,FALSE)*'Incremental Repayments'!$I$22)),0),0)</f>
        <v>0</v>
      </c>
      <c r="CA90" s="783">
        <f>IF('Incremental Repayments'!$R$22="Debt",IF(AND(CA$4&gt;=$D90,CA$4&lt;$D90+'Incremental Repayments'!$I$31),-PMT('Interest Rate'!$J$16,'Incremental Repayments'!$I$31,(HLOOKUP($D90,$E$4:$CZ$32,28,FALSE)*'Incremental Repayments'!$I$22)),0),0)</f>
        <v>0</v>
      </c>
      <c r="CB90" s="783">
        <f>IF('Incremental Repayments'!$R$22="Debt",IF(AND(CB$4&gt;=$D90,CB$4&lt;$D90+'Incremental Repayments'!$I$31),-PMT('Interest Rate'!$J$16,'Incremental Repayments'!$I$31,(HLOOKUP($D90,$E$4:$CZ$32,28,FALSE)*'Incremental Repayments'!$I$22)),0),0)</f>
        <v>0</v>
      </c>
      <c r="CC90" s="783">
        <f>IF('Incremental Repayments'!$R$22="Debt",IF(AND(CC$4&gt;=$D90,CC$4&lt;$D90+'Incremental Repayments'!$I$31),-PMT('Interest Rate'!$J$16,'Incremental Repayments'!$I$31,(HLOOKUP($D90,$E$4:$CZ$32,28,FALSE)*'Incremental Repayments'!$I$22)),0),0)</f>
        <v>0</v>
      </c>
      <c r="CD90" s="783">
        <f>IF('Incremental Repayments'!$R$22="Debt",IF(AND(CD$4&gt;=$D90,CD$4&lt;$D90+'Incremental Repayments'!$I$31),-PMT('Interest Rate'!$J$16,'Incremental Repayments'!$I$31,(HLOOKUP($D90,$E$4:$CZ$32,28,FALSE)*'Incremental Repayments'!$I$22)),0),0)</f>
        <v>0</v>
      </c>
      <c r="CE90" s="783">
        <f>IF('Incremental Repayments'!$R$22="Debt",IF(AND(CE$4&gt;=$D90,CE$4&lt;$D90+'Incremental Repayments'!$I$31),-PMT('Interest Rate'!$J$16,'Incremental Repayments'!$I$31,(HLOOKUP($D90,$E$4:$CZ$32,28,FALSE)*'Incremental Repayments'!$I$22)),0),0)</f>
        <v>0</v>
      </c>
      <c r="CF90" s="783">
        <f>IF('Incremental Repayments'!$R$22="Debt",IF(AND(CF$4&gt;=$D90,CF$4&lt;$D90+'Incremental Repayments'!$I$31),-PMT('Interest Rate'!$J$16,'Incremental Repayments'!$I$31,(HLOOKUP($D90,$E$4:$CZ$32,28,FALSE)*'Incremental Repayments'!$I$22)),0),0)</f>
        <v>0</v>
      </c>
      <c r="CG90" s="783">
        <f>IF('Incremental Repayments'!$R$22="Debt",IF(AND(CG$4&gt;=$D90,CG$4&lt;$D90+'Incremental Repayments'!$I$31),-PMT('Interest Rate'!$J$16,'Incremental Repayments'!$I$31,(HLOOKUP($D90,$E$4:$CZ$32,28,FALSE)*'Incremental Repayments'!$I$22)),0),0)</f>
        <v>0</v>
      </c>
      <c r="CH90" s="783">
        <f>IF('Incremental Repayments'!$R$22="Debt",IF(AND(CH$4&gt;=$D90,CH$4&lt;$D90+'Incremental Repayments'!$I$31),-PMT('Interest Rate'!$J$16,'Incremental Repayments'!$I$31,(HLOOKUP($D90,$E$4:$CZ$32,28,FALSE)*'Incremental Repayments'!$I$22)),0),0)</f>
        <v>0</v>
      </c>
      <c r="CI90" s="783">
        <f>IF('Incremental Repayments'!$R$22="Debt",IF(AND(CI$4&gt;=$D90,CI$4&lt;$D90+'Incremental Repayments'!$I$31),-PMT('Interest Rate'!$J$16,'Incremental Repayments'!$I$31,(HLOOKUP($D90,$E$4:$CZ$32,28,FALSE)*'Incremental Repayments'!$I$22)),0),0)</f>
        <v>0</v>
      </c>
      <c r="CJ90" s="783">
        <f>IF('Incremental Repayments'!$R$22="Debt",IF(AND(CJ$4&gt;=$D90,CJ$4&lt;$D90+'Incremental Repayments'!$I$31),-PMT('Interest Rate'!$J$16,'Incremental Repayments'!$I$31,(HLOOKUP($D90,$E$4:$CZ$32,28,FALSE)*'Incremental Repayments'!$I$22)),0),0)</f>
        <v>0</v>
      </c>
      <c r="CK90" s="783">
        <f>IF('Incremental Repayments'!$R$22="Debt",IF(AND(CK$4&gt;=$D90,CK$4&lt;$D90+'Incremental Repayments'!$I$31),-PMT('Interest Rate'!$J$16,'Incremental Repayments'!$I$31,(HLOOKUP($D90,$E$4:$CZ$32,28,FALSE)*'Incremental Repayments'!$I$22)),0),0)</f>
        <v>0</v>
      </c>
      <c r="CL90" s="783">
        <f>IF('Incremental Repayments'!$R$22="Debt",IF(AND(CL$4&gt;=$D90,CL$4&lt;$D90+'Incremental Repayments'!$I$31),-PMT('Interest Rate'!$J$16,'Incremental Repayments'!$I$31,(HLOOKUP($D90,$E$4:$CZ$32,28,FALSE)*'Incremental Repayments'!$I$22)),0),0)</f>
        <v>0</v>
      </c>
      <c r="CM90" s="783">
        <f>IF('Incremental Repayments'!$R$22="Debt",IF(AND(CM$4&gt;=$D90,CM$4&lt;$D90+'Incremental Repayments'!$I$31),-PMT('Interest Rate'!$J$16,'Incremental Repayments'!$I$31,(HLOOKUP($D90,$E$4:$CZ$32,28,FALSE)*'Incremental Repayments'!$I$22)),0),0)</f>
        <v>0</v>
      </c>
      <c r="CN90" s="783">
        <f>IF('Incremental Repayments'!$R$22="Debt",IF(AND(CN$4&gt;=$D90,CN$4&lt;$D90+'Incremental Repayments'!$I$31),-PMT('Interest Rate'!$J$16,'Incremental Repayments'!$I$31,(HLOOKUP($D90,$E$4:$CZ$32,28,FALSE)*'Incremental Repayments'!$I$22)),0),0)</f>
        <v>0</v>
      </c>
      <c r="CO90" s="783">
        <f>IF('Incremental Repayments'!$R$22="Debt",IF(AND(CO$4&gt;=$D90,CO$4&lt;$D90+'Incremental Repayments'!$I$31),-PMT('Interest Rate'!$J$16,'Incremental Repayments'!$I$31,(HLOOKUP($D90,$E$4:$CZ$32,28,FALSE)*'Incremental Repayments'!$I$22)),0),0)</f>
        <v>0</v>
      </c>
      <c r="CP90" s="783">
        <f>IF('Incremental Repayments'!$R$22="Debt",IF(AND(CP$4&gt;=$D90,CP$4&lt;$D90+'Incremental Repayments'!$I$31),-PMT('Interest Rate'!$J$16,'Incremental Repayments'!$I$31,(HLOOKUP($D90,$E$4:$CZ$32,28,FALSE)*'Incremental Repayments'!$I$22)),0),0)</f>
        <v>0</v>
      </c>
      <c r="CQ90" s="783">
        <f>IF('Incremental Repayments'!$R$22="Debt",IF(AND(CQ$4&gt;=$D90,CQ$4&lt;$D90+'Incremental Repayments'!$I$31),-PMT('Interest Rate'!$J$16,'Incremental Repayments'!$I$31,(HLOOKUP($D90,$E$4:$CZ$32,28,FALSE)*'Incremental Repayments'!$I$22)),0),0)</f>
        <v>0</v>
      </c>
      <c r="CR90" s="783">
        <f>IF('Incremental Repayments'!$R$22="Debt",IF(AND(CR$4&gt;=$D90,CR$4&lt;$D90+'Incremental Repayments'!$I$31),-PMT('Interest Rate'!$J$16,'Incremental Repayments'!$I$31,(HLOOKUP($D90,$E$4:$CZ$32,28,FALSE)*'Incremental Repayments'!$I$22)),0),0)</f>
        <v>0</v>
      </c>
      <c r="CS90" s="783">
        <f>IF('Incremental Repayments'!$R$22="Debt",IF(AND(CS$4&gt;=$D90,CS$4&lt;$D90+'Incremental Repayments'!$I$31),-PMT('Interest Rate'!$J$16,'Incremental Repayments'!$I$31,(HLOOKUP($D90,$E$4:$CZ$32,28,FALSE)*'Incremental Repayments'!$I$22)),0),0)</f>
        <v>0</v>
      </c>
      <c r="CT90" s="783">
        <f>IF('Incremental Repayments'!$R$22="Debt",IF(AND(CT$4&gt;=$D90,CT$4&lt;$D90+'Incremental Repayments'!$I$31),-PMT('Interest Rate'!$J$16,'Incremental Repayments'!$I$31,(HLOOKUP($D90,$E$4:$CZ$32,28,FALSE)*'Incremental Repayments'!$I$22)),0),0)</f>
        <v>0</v>
      </c>
      <c r="CU90" s="783">
        <f>IF('Incremental Repayments'!$R$22="Debt",IF(AND(CU$4&gt;=$D90,CU$4&lt;$D90+'Incremental Repayments'!$I$31),-PMT('Interest Rate'!$J$16,'Incremental Repayments'!$I$31,(HLOOKUP($D90,$E$4:$CZ$32,28,FALSE)*'Incremental Repayments'!$I$22)),0),0)</f>
        <v>0</v>
      </c>
      <c r="CV90" s="783">
        <f>IF('Incremental Repayments'!$R$22="Debt",IF(AND(CV$4&gt;=$D90,CV$4&lt;$D90+'Incremental Repayments'!$I$31),-PMT('Interest Rate'!$J$16,'Incremental Repayments'!$I$31,(HLOOKUP($D90,$E$4:$CZ$32,28,FALSE)*'Incremental Repayments'!$I$22)),0),0)</f>
        <v>0</v>
      </c>
      <c r="CW90" s="783">
        <f>IF('Incremental Repayments'!$R$22="Debt",IF(AND(CW$4&gt;=$D90,CW$4&lt;$D90+'Incremental Repayments'!$I$31),-PMT('Interest Rate'!$J$16,'Incremental Repayments'!$I$31,(HLOOKUP($D90,$E$4:$CZ$32,28,FALSE)*'Incremental Repayments'!$I$22)),0),0)</f>
        <v>0</v>
      </c>
      <c r="CX90" s="783">
        <f>IF('Incremental Repayments'!$R$22="Debt",IF(AND(CX$4&gt;=$D90,CX$4&lt;$D90+'Incremental Repayments'!$I$31),-PMT('Interest Rate'!$J$16,'Incremental Repayments'!$I$31,(HLOOKUP($D90,$E$4:$CZ$32,28,FALSE)*'Incremental Repayments'!$I$22)),0),0)</f>
        <v>0</v>
      </c>
      <c r="CY90" s="783">
        <f>IF('Incremental Repayments'!$R$22="Debt",IF(AND(CY$4&gt;=$D90,CY$4&lt;$D90+'Incremental Repayments'!$I$31),-PMT('Interest Rate'!$J$16,'Incremental Repayments'!$I$31,(HLOOKUP($D90,$E$4:$CZ$32,28,FALSE)*'Incremental Repayments'!$I$22)),0),0)</f>
        <v>0</v>
      </c>
      <c r="CZ90" s="783">
        <f>IF('Incremental Repayments'!$R$22="Debt",IF(AND(CZ$4&gt;=$D90,CZ$4&lt;$D90+'Incremental Repayments'!$I$31),-PMT('Interest Rate'!$J$16,'Incremental Repayments'!$I$31,(HLOOKUP($D90,$E$4:$CZ$32,28,FALSE)*'Incremental Repayments'!$I$22)),0),0)</f>
        <v>0</v>
      </c>
    </row>
    <row r="91" spans="2:104" x14ac:dyDescent="0.25">
      <c r="B91" s="480" t="str">
        <f>CONCATENATE("Series ",D91,"A Bonds (at ",'Interest Rate'!$J$16*100,"% Interest)")</f>
        <v>Series 2069A Bonds (at 4.5% Interest)</v>
      </c>
      <c r="C91" s="480"/>
      <c r="D91" s="492">
        <f t="shared" si="47"/>
        <v>2069</v>
      </c>
      <c r="E91" s="783">
        <f>IF('Incremental Repayments'!$R$22="Debt",IF(AND(E$4&gt;=$D91,E$4&lt;$D91+'Incremental Repayments'!$I$31),-PMT('Interest Rate'!$J$16,'Incremental Repayments'!$I$31,(HLOOKUP($D91,$E$4:$CZ$32,28,FALSE)*'Incremental Repayments'!$I$22)),0),0)</f>
        <v>0</v>
      </c>
      <c r="F91" s="783">
        <f>IF('Incremental Repayments'!$R$22="Debt",IF(AND(F$4&gt;=$D91,F$4&lt;$D91+'Incremental Repayments'!$I$31),-PMT('Interest Rate'!$J$16,'Incremental Repayments'!$I$31,(HLOOKUP($D91,$E$4:$CZ$32,28,FALSE)*'Incremental Repayments'!$I$22)),0),0)</f>
        <v>0</v>
      </c>
      <c r="G91" s="783">
        <f>IF('Incremental Repayments'!$R$22="Debt",IF(AND(G$4&gt;=$D91,G$4&lt;$D91+'Incremental Repayments'!$I$31),-PMT('Interest Rate'!$J$16,'Incremental Repayments'!$I$31,(HLOOKUP($D91,$E$4:$CZ$32,28,FALSE)*'Incremental Repayments'!$I$22)),0),0)</f>
        <v>0</v>
      </c>
      <c r="H91" s="783">
        <f>IF('Incremental Repayments'!$R$22="Debt",IF(AND(H$4&gt;=$D91,H$4&lt;$D91+'Incremental Repayments'!$I$31),-PMT('Interest Rate'!$J$16,'Incremental Repayments'!$I$31,(HLOOKUP($D91,$E$4:$CZ$32,28,FALSE)*'Incremental Repayments'!$I$22)),0),0)</f>
        <v>0</v>
      </c>
      <c r="I91" s="783">
        <f>IF('Incremental Repayments'!$R$22="Debt",IF(AND(I$4&gt;=$D91,I$4&lt;$D91+'Incremental Repayments'!$I$31),-PMT('Interest Rate'!$J$16,'Incremental Repayments'!$I$31,(HLOOKUP($D91,$E$4:$CZ$32,28,FALSE)*'Incremental Repayments'!$I$22)),0),0)</f>
        <v>0</v>
      </c>
      <c r="J91" s="783">
        <f>IF('Incremental Repayments'!$R$22="Debt",IF(AND(J$4&gt;=$D91,J$4&lt;$D91+'Incremental Repayments'!$I$31),-PMT('Interest Rate'!$J$16,'Incremental Repayments'!$I$31,(HLOOKUP($D91,$E$4:$CZ$32,28,FALSE)*'Incremental Repayments'!$I$22)),0),0)</f>
        <v>0</v>
      </c>
      <c r="K91" s="783">
        <f>IF('Incremental Repayments'!$R$22="Debt",IF(AND(K$4&gt;=$D91,K$4&lt;$D91+'Incremental Repayments'!$I$31),-PMT('Interest Rate'!$J$16,'Incremental Repayments'!$I$31,(HLOOKUP($D91,$E$4:$CZ$32,28,FALSE)*'Incremental Repayments'!$I$22)),0),0)</f>
        <v>0</v>
      </c>
      <c r="L91" s="783">
        <f>IF('Incremental Repayments'!$R$22="Debt",IF(AND(L$4&gt;=$D91,L$4&lt;$D91+'Incremental Repayments'!$I$31),-PMT('Interest Rate'!$J$16,'Incremental Repayments'!$I$31,(HLOOKUP($D91,$E$4:$CZ$32,28,FALSE)*'Incremental Repayments'!$I$22)),0),0)</f>
        <v>0</v>
      </c>
      <c r="M91" s="783">
        <f>IF('Incremental Repayments'!$R$22="Debt",IF(AND(M$4&gt;=$D91,M$4&lt;$D91+'Incremental Repayments'!$I$31),-PMT('Interest Rate'!$J$16,'Incremental Repayments'!$I$31,(HLOOKUP($D91,$E$4:$CZ$32,28,FALSE)*'Incremental Repayments'!$I$22)),0),0)</f>
        <v>0</v>
      </c>
      <c r="N91" s="783">
        <f>IF('Incremental Repayments'!$R$22="Debt",IF(AND(N$4&gt;=$D91,N$4&lt;$D91+'Incremental Repayments'!$I$31),-PMT('Interest Rate'!$J$16,'Incremental Repayments'!$I$31,(HLOOKUP($D91,$E$4:$CZ$32,28,FALSE)*'Incremental Repayments'!$I$22)),0),0)</f>
        <v>0</v>
      </c>
      <c r="O91" s="783">
        <f>IF('Incremental Repayments'!$R$22="Debt",IF(AND(O$4&gt;=$D91,O$4&lt;$D91+'Incremental Repayments'!$I$31),-PMT('Interest Rate'!$J$16,'Incremental Repayments'!$I$31,(HLOOKUP($D91,$E$4:$CZ$32,28,FALSE)*'Incremental Repayments'!$I$22)),0),0)</f>
        <v>0</v>
      </c>
      <c r="P91" s="783">
        <f>IF('Incremental Repayments'!$R$22="Debt",IF(AND(P$4&gt;=$D91,P$4&lt;$D91+'Incremental Repayments'!$I$31),-PMT('Interest Rate'!$J$16,'Incremental Repayments'!$I$31,(HLOOKUP($D91,$E$4:$CZ$32,28,FALSE)*'Incremental Repayments'!$I$22)),0),0)</f>
        <v>0</v>
      </c>
      <c r="Q91" s="783">
        <f>IF('Incremental Repayments'!$R$22="Debt",IF(AND(Q$4&gt;=$D91,Q$4&lt;$D91+'Incremental Repayments'!$I$31),-PMT('Interest Rate'!$J$16,'Incremental Repayments'!$I$31,(HLOOKUP($D91,$E$4:$CZ$32,28,FALSE)*'Incremental Repayments'!$I$22)),0),0)</f>
        <v>0</v>
      </c>
      <c r="R91" s="783">
        <f>IF('Incremental Repayments'!$R$22="Debt",IF(AND(R$4&gt;=$D91,R$4&lt;$D91+'Incremental Repayments'!$I$31),-PMT('Interest Rate'!$J$16,'Incremental Repayments'!$I$31,(HLOOKUP($D91,$E$4:$CZ$32,28,FALSE)*'Incremental Repayments'!$I$22)),0),0)</f>
        <v>0</v>
      </c>
      <c r="S91" s="783">
        <f>IF('Incremental Repayments'!$R$22="Debt",IF(AND(S$4&gt;=$D91,S$4&lt;$D91+'Incremental Repayments'!$I$31),-PMT('Interest Rate'!$J$16,'Incremental Repayments'!$I$31,(HLOOKUP($D91,$E$4:$CZ$32,28,FALSE)*'Incremental Repayments'!$I$22)),0),0)</f>
        <v>0</v>
      </c>
      <c r="T91" s="783">
        <f>IF('Incremental Repayments'!$R$22="Debt",IF(AND(T$4&gt;=$D91,T$4&lt;$D91+'Incremental Repayments'!$I$31),-PMT('Interest Rate'!$J$16,'Incremental Repayments'!$I$31,(HLOOKUP($D91,$E$4:$CZ$32,28,FALSE)*'Incremental Repayments'!$I$22)),0),0)</f>
        <v>0</v>
      </c>
      <c r="U91" s="783">
        <f>IF('Incremental Repayments'!$R$22="Debt",IF(AND(U$4&gt;=$D91,U$4&lt;$D91+'Incremental Repayments'!$I$31),-PMT('Interest Rate'!$J$16,'Incremental Repayments'!$I$31,(HLOOKUP($D91,$E$4:$CZ$32,28,FALSE)*'Incremental Repayments'!$I$22)),0),0)</f>
        <v>0</v>
      </c>
      <c r="V91" s="783">
        <f>IF('Incremental Repayments'!$R$22="Debt",IF(AND(V$4&gt;=$D91,V$4&lt;$D91+'Incremental Repayments'!$I$31),-PMT('Interest Rate'!$J$16,'Incremental Repayments'!$I$31,(HLOOKUP($D91,$E$4:$CZ$32,28,FALSE)*'Incremental Repayments'!$I$22)),0),0)</f>
        <v>0</v>
      </c>
      <c r="W91" s="783">
        <f>IF('Incremental Repayments'!$R$22="Debt",IF(AND(W$4&gt;=$D91,W$4&lt;$D91+'Incremental Repayments'!$I$31),-PMT('Interest Rate'!$J$16,'Incremental Repayments'!$I$31,(HLOOKUP($D91,$E$4:$CZ$32,28,FALSE)*'Incremental Repayments'!$I$22)),0),0)</f>
        <v>0</v>
      </c>
      <c r="X91" s="783">
        <f>IF('Incremental Repayments'!$R$22="Debt",IF(AND(X$4&gt;=$D91,X$4&lt;$D91+'Incremental Repayments'!$I$31),-PMT('Interest Rate'!$J$16,'Incremental Repayments'!$I$31,(HLOOKUP($D91,$E$4:$CZ$32,28,FALSE)*'Incremental Repayments'!$I$22)),0),0)</f>
        <v>0</v>
      </c>
      <c r="Y91" s="783">
        <f>IF('Incremental Repayments'!$R$22="Debt",IF(AND(Y$4&gt;=$D91,Y$4&lt;$D91+'Incremental Repayments'!$I$31),-PMT('Interest Rate'!$J$16,'Incremental Repayments'!$I$31,(HLOOKUP($D91,$E$4:$CZ$32,28,FALSE)*'Incremental Repayments'!$I$22)),0),0)</f>
        <v>0</v>
      </c>
      <c r="Z91" s="783">
        <f>IF('Incremental Repayments'!$R$22="Debt",IF(AND(Z$4&gt;=$D91,Z$4&lt;$D91+'Incremental Repayments'!$I$31),-PMT('Interest Rate'!$J$16,'Incremental Repayments'!$I$31,(HLOOKUP($D91,$E$4:$CZ$32,28,FALSE)*'Incremental Repayments'!$I$22)),0),0)</f>
        <v>0</v>
      </c>
      <c r="AA91" s="783">
        <f>IF('Incremental Repayments'!$R$22="Debt",IF(AND(AA$4&gt;=$D91,AA$4&lt;$D91+'Incremental Repayments'!$I$31),-PMT('Interest Rate'!$J$16,'Incremental Repayments'!$I$31,(HLOOKUP($D91,$E$4:$CZ$32,28,FALSE)*'Incremental Repayments'!$I$22)),0),0)</f>
        <v>0</v>
      </c>
      <c r="AB91" s="783">
        <f>IF('Incremental Repayments'!$R$22="Debt",IF(AND(AB$4&gt;=$D91,AB$4&lt;$D91+'Incremental Repayments'!$I$31),-PMT('Interest Rate'!$J$16,'Incremental Repayments'!$I$31,(HLOOKUP($D91,$E$4:$CZ$32,28,FALSE)*'Incremental Repayments'!$I$22)),0),0)</f>
        <v>0</v>
      </c>
      <c r="AC91" s="783">
        <f>IF('Incremental Repayments'!$R$22="Debt",IF(AND(AC$4&gt;=$D91,AC$4&lt;$D91+'Incremental Repayments'!$I$31),-PMT('Interest Rate'!$J$16,'Incremental Repayments'!$I$31,(HLOOKUP($D91,$E$4:$CZ$32,28,FALSE)*'Incremental Repayments'!$I$22)),0),0)</f>
        <v>0</v>
      </c>
      <c r="AD91" s="783">
        <f>IF('Incremental Repayments'!$R$22="Debt",IF(AND(AD$4&gt;=$D91,AD$4&lt;$D91+'Incremental Repayments'!$I$31),-PMT('Interest Rate'!$J$16,'Incremental Repayments'!$I$31,(HLOOKUP($D91,$E$4:$CZ$32,28,FALSE)*'Incremental Repayments'!$I$22)),0),0)</f>
        <v>0</v>
      </c>
      <c r="AE91" s="783">
        <f>IF('Incremental Repayments'!$R$22="Debt",IF(AND(AE$4&gt;=$D91,AE$4&lt;$D91+'Incremental Repayments'!$I$31),-PMT('Interest Rate'!$J$16,'Incremental Repayments'!$I$31,(HLOOKUP($D91,$E$4:$CZ$32,28,FALSE)*'Incremental Repayments'!$I$22)),0),0)</f>
        <v>0</v>
      </c>
      <c r="AF91" s="783">
        <f>IF('Incremental Repayments'!$R$22="Debt",IF(AND(AF$4&gt;=$D91,AF$4&lt;$D91+'Incremental Repayments'!$I$31),-PMT('Interest Rate'!$J$16,'Incremental Repayments'!$I$31,(HLOOKUP($D91,$E$4:$CZ$32,28,FALSE)*'Incremental Repayments'!$I$22)),0),0)</f>
        <v>0</v>
      </c>
      <c r="AG91" s="783">
        <f>IF('Incremental Repayments'!$R$22="Debt",IF(AND(AG$4&gt;=$D91,AG$4&lt;$D91+'Incremental Repayments'!$I$31),-PMT('Interest Rate'!$J$16,'Incremental Repayments'!$I$31,(HLOOKUP($D91,$E$4:$CZ$32,28,FALSE)*'Incremental Repayments'!$I$22)),0),0)</f>
        <v>0</v>
      </c>
      <c r="AH91" s="783">
        <f>IF('Incremental Repayments'!$R$22="Debt",IF(AND(AH$4&gt;=$D91,AH$4&lt;$D91+'Incremental Repayments'!$I$31),-PMT('Interest Rate'!$J$16,'Incremental Repayments'!$I$31,(HLOOKUP($D91,$E$4:$CZ$32,28,FALSE)*'Incremental Repayments'!$I$22)),0),0)</f>
        <v>0</v>
      </c>
      <c r="AI91" s="783">
        <f>IF('Incremental Repayments'!$R$22="Debt",IF(AND(AI$4&gt;=$D91,AI$4&lt;$D91+'Incremental Repayments'!$I$31),-PMT('Interest Rate'!$J$16,'Incremental Repayments'!$I$31,(HLOOKUP($D91,$E$4:$CZ$32,28,FALSE)*'Incremental Repayments'!$I$22)),0),0)</f>
        <v>0</v>
      </c>
      <c r="AJ91" s="783">
        <f>IF('Incremental Repayments'!$R$22="Debt",IF(AND(AJ$4&gt;=$D91,AJ$4&lt;$D91+'Incremental Repayments'!$I$31),-PMT('Interest Rate'!$J$16,'Incremental Repayments'!$I$31,(HLOOKUP($D91,$E$4:$CZ$32,28,FALSE)*'Incremental Repayments'!$I$22)),0),0)</f>
        <v>0</v>
      </c>
      <c r="AK91" s="783">
        <f>IF('Incremental Repayments'!$R$22="Debt",IF(AND(AK$4&gt;=$D91,AK$4&lt;$D91+'Incremental Repayments'!$I$31),-PMT('Interest Rate'!$J$16,'Incremental Repayments'!$I$31,(HLOOKUP($D91,$E$4:$CZ$32,28,FALSE)*'Incremental Repayments'!$I$22)),0),0)</f>
        <v>0</v>
      </c>
      <c r="AL91" s="783">
        <f>IF('Incremental Repayments'!$R$22="Debt",IF(AND(AL$4&gt;=$D91,AL$4&lt;$D91+'Incremental Repayments'!$I$31),-PMT('Interest Rate'!$J$16,'Incremental Repayments'!$I$31,(HLOOKUP($D91,$E$4:$CZ$32,28,FALSE)*'Incremental Repayments'!$I$22)),0),0)</f>
        <v>0</v>
      </c>
      <c r="AM91" s="783">
        <f>IF('Incremental Repayments'!$R$22="Debt",IF(AND(AM$4&gt;=$D91,AM$4&lt;$D91+'Incremental Repayments'!$I$31),-PMT('Interest Rate'!$J$16,'Incremental Repayments'!$I$31,(HLOOKUP($D91,$E$4:$CZ$32,28,FALSE)*'Incremental Repayments'!$I$22)),0),0)</f>
        <v>0</v>
      </c>
      <c r="AN91" s="783">
        <f>IF('Incremental Repayments'!$R$22="Debt",IF(AND(AN$4&gt;=$D91,AN$4&lt;$D91+'Incremental Repayments'!$I$31),-PMT('Interest Rate'!$J$16,'Incremental Repayments'!$I$31,(HLOOKUP($D91,$E$4:$CZ$32,28,FALSE)*'Incremental Repayments'!$I$22)),0),0)</f>
        <v>0</v>
      </c>
      <c r="AO91" s="783">
        <f>IF('Incremental Repayments'!$R$22="Debt",IF(AND(AO$4&gt;=$D91,AO$4&lt;$D91+'Incremental Repayments'!$I$31),-PMT('Interest Rate'!$J$16,'Incremental Repayments'!$I$31,(HLOOKUP($D91,$E$4:$CZ$32,28,FALSE)*'Incremental Repayments'!$I$22)),0),0)</f>
        <v>0</v>
      </c>
      <c r="AP91" s="783">
        <f>IF('Incremental Repayments'!$R$22="Debt",IF(AND(AP$4&gt;=$D91,AP$4&lt;$D91+'Incremental Repayments'!$I$31),-PMT('Interest Rate'!$J$16,'Incremental Repayments'!$I$31,(HLOOKUP($D91,$E$4:$CZ$32,28,FALSE)*'Incremental Repayments'!$I$22)),0),0)</f>
        <v>0</v>
      </c>
      <c r="AQ91" s="783">
        <f>IF('Incremental Repayments'!$R$22="Debt",IF(AND(AQ$4&gt;=$D91,AQ$4&lt;$D91+'Incremental Repayments'!$I$31),-PMT('Interest Rate'!$J$16,'Incremental Repayments'!$I$31,(HLOOKUP($D91,$E$4:$CZ$32,28,FALSE)*'Incremental Repayments'!$I$22)),0),0)</f>
        <v>0</v>
      </c>
      <c r="AR91" s="783">
        <f>IF('Incremental Repayments'!$R$22="Debt",IF(AND(AR$4&gt;=$D91,AR$4&lt;$D91+'Incremental Repayments'!$I$31),-PMT('Interest Rate'!$J$16,'Incremental Repayments'!$I$31,(HLOOKUP($D91,$E$4:$CZ$32,28,FALSE)*'Incremental Repayments'!$I$22)),0),0)</f>
        <v>0</v>
      </c>
      <c r="AS91" s="783">
        <f>IF('Incremental Repayments'!$R$22="Debt",IF(AND(AS$4&gt;=$D91,AS$4&lt;$D91+'Incremental Repayments'!$I$31),-PMT('Interest Rate'!$J$16,'Incremental Repayments'!$I$31,(HLOOKUP($D91,$E$4:$CZ$32,28,FALSE)*'Incremental Repayments'!$I$22)),0),0)</f>
        <v>0</v>
      </c>
      <c r="AT91" s="783">
        <f>IF('Incremental Repayments'!$R$22="Debt",IF(AND(AT$4&gt;=$D91,AT$4&lt;$D91+'Incremental Repayments'!$I$31),-PMT('Interest Rate'!$J$16,'Incremental Repayments'!$I$31,(HLOOKUP($D91,$E$4:$CZ$32,28,FALSE)*'Incremental Repayments'!$I$22)),0),0)</f>
        <v>0</v>
      </c>
      <c r="AU91" s="783">
        <f>IF('Incremental Repayments'!$R$22="Debt",IF(AND(AU$4&gt;=$D91,AU$4&lt;$D91+'Incremental Repayments'!$I$31),-PMT('Interest Rate'!$J$16,'Incremental Repayments'!$I$31,(HLOOKUP($D91,$E$4:$CZ$32,28,FALSE)*'Incremental Repayments'!$I$22)),0),0)</f>
        <v>0</v>
      </c>
      <c r="AV91" s="783">
        <f>IF('Incremental Repayments'!$R$22="Debt",IF(AND(AV$4&gt;=$D91,AV$4&lt;$D91+'Incremental Repayments'!$I$31),-PMT('Interest Rate'!$J$16,'Incremental Repayments'!$I$31,(HLOOKUP($D91,$E$4:$CZ$32,28,FALSE)*'Incremental Repayments'!$I$22)),0),0)</f>
        <v>0</v>
      </c>
      <c r="AW91" s="783">
        <f>IF('Incremental Repayments'!$R$22="Debt",IF(AND(AW$4&gt;=$D91,AW$4&lt;$D91+'Incremental Repayments'!$I$31),-PMT('Interest Rate'!$J$16,'Incremental Repayments'!$I$31,(HLOOKUP($D91,$E$4:$CZ$32,28,FALSE)*'Incremental Repayments'!$I$22)),0),0)</f>
        <v>0</v>
      </c>
      <c r="AX91" s="783">
        <f>IF('Incremental Repayments'!$R$22="Debt",IF(AND(AX$4&gt;=$D91,AX$4&lt;$D91+'Incremental Repayments'!$I$31),-PMT('Interest Rate'!$J$16,'Incremental Repayments'!$I$31,(HLOOKUP($D91,$E$4:$CZ$32,28,FALSE)*'Incremental Repayments'!$I$22)),0),0)</f>
        <v>0</v>
      </c>
      <c r="AY91" s="783">
        <f>IF('Incremental Repayments'!$R$22="Debt",IF(AND(AY$4&gt;=$D91,AY$4&lt;$D91+'Incremental Repayments'!$I$31),-PMT('Interest Rate'!$J$16,'Incremental Repayments'!$I$31,(HLOOKUP($D91,$E$4:$CZ$32,28,FALSE)*'Incremental Repayments'!$I$22)),0),0)</f>
        <v>0</v>
      </c>
      <c r="AZ91" s="783">
        <f>IF('Incremental Repayments'!$R$22="Debt",IF(AND(AZ$4&gt;=$D91,AZ$4&lt;$D91+'Incremental Repayments'!$I$31),-PMT('Interest Rate'!$J$16,'Incremental Repayments'!$I$31,(HLOOKUP($D91,$E$4:$CZ$32,28,FALSE)*'Incremental Repayments'!$I$22)),0),0)</f>
        <v>0</v>
      </c>
      <c r="BA91" s="783">
        <f>IF('Incremental Repayments'!$R$22="Debt",IF(AND(BA$4&gt;=$D91,BA$4&lt;$D91+'Incremental Repayments'!$I$31),-PMT('Interest Rate'!$J$16,'Incremental Repayments'!$I$31,(HLOOKUP($D91,$E$4:$CZ$32,28,FALSE)*'Incremental Repayments'!$I$22)),0),0)</f>
        <v>0</v>
      </c>
      <c r="BB91" s="783">
        <f>IF('Incremental Repayments'!$R$22="Debt",IF(AND(BB$4&gt;=$D91,BB$4&lt;$D91+'Incremental Repayments'!$I$31),-PMT('Interest Rate'!$J$16,'Incremental Repayments'!$I$31,(HLOOKUP($D91,$E$4:$CZ$32,28,FALSE)*'Incremental Repayments'!$I$22)),0),0)</f>
        <v>0</v>
      </c>
      <c r="BC91" s="783">
        <f>IF('Incremental Repayments'!$R$22="Debt",IF(AND(BC$4&gt;=$D91,BC$4&lt;$D91+'Incremental Repayments'!$I$31),-PMT('Interest Rate'!$J$16,'Incremental Repayments'!$I$31,(HLOOKUP($D91,$E$4:$CZ$32,28,FALSE)*'Incremental Repayments'!$I$22)),0),0)</f>
        <v>0</v>
      </c>
      <c r="BD91" s="783">
        <f>IF('Incremental Repayments'!$R$22="Debt",IF(AND(BD$4&gt;=$D91,BD$4&lt;$D91+'Incremental Repayments'!$I$31),-PMT('Interest Rate'!$J$16,'Incremental Repayments'!$I$31,(HLOOKUP($D91,$E$4:$CZ$32,28,FALSE)*'Incremental Repayments'!$I$22)),0),0)</f>
        <v>0</v>
      </c>
      <c r="BE91" s="783">
        <f>IF('Incremental Repayments'!$R$22="Debt",IF(AND(BE$4&gt;=$D91,BE$4&lt;$D91+'Incremental Repayments'!$I$31),-PMT('Interest Rate'!$J$16,'Incremental Repayments'!$I$31,(HLOOKUP($D91,$E$4:$CZ$32,28,FALSE)*'Incremental Repayments'!$I$22)),0),0)</f>
        <v>0</v>
      </c>
      <c r="BF91" s="783">
        <f>IF('Incremental Repayments'!$R$22="Debt",IF(AND(BF$4&gt;=$D91,BF$4&lt;$D91+'Incremental Repayments'!$I$31),-PMT('Interest Rate'!$J$16,'Incremental Repayments'!$I$31,(HLOOKUP($D91,$E$4:$CZ$32,28,FALSE)*'Incremental Repayments'!$I$22)),0),0)</f>
        <v>0</v>
      </c>
      <c r="BG91" s="783">
        <f>IF('Incremental Repayments'!$R$22="Debt",IF(AND(BG$4&gt;=$D91,BG$4&lt;$D91+'Incremental Repayments'!$I$31),-PMT('Interest Rate'!$J$16,'Incremental Repayments'!$I$31,(HLOOKUP($D91,$E$4:$CZ$32,28,FALSE)*'Incremental Repayments'!$I$22)),0),0)</f>
        <v>0</v>
      </c>
      <c r="BH91" s="783">
        <f>IF('Incremental Repayments'!$R$22="Debt",IF(AND(BH$4&gt;=$D91,BH$4&lt;$D91+'Incremental Repayments'!$I$31),-PMT('Interest Rate'!$J$16,'Incremental Repayments'!$I$31,(HLOOKUP($D91,$E$4:$CZ$32,28,FALSE)*'Incremental Repayments'!$I$22)),0),0)</f>
        <v>0</v>
      </c>
      <c r="BI91" s="783">
        <f>IF('Incremental Repayments'!$R$22="Debt",IF(AND(BI$4&gt;=$D91,BI$4&lt;$D91+'Incremental Repayments'!$I$31),-PMT('Interest Rate'!$J$16,'Incremental Repayments'!$I$31,(HLOOKUP($D91,$E$4:$CZ$32,28,FALSE)*'Incremental Repayments'!$I$22)),0),0)</f>
        <v>0</v>
      </c>
      <c r="BJ91" s="783">
        <f>IF('Incremental Repayments'!$R$22="Debt",IF(AND(BJ$4&gt;=$D91,BJ$4&lt;$D91+'Incremental Repayments'!$I$31),-PMT('Interest Rate'!$J$16,'Incremental Repayments'!$I$31,(HLOOKUP($D91,$E$4:$CZ$32,28,FALSE)*'Incremental Repayments'!$I$22)),0),0)</f>
        <v>0</v>
      </c>
      <c r="BK91" s="783">
        <f>IF('Incremental Repayments'!$R$22="Debt",IF(AND(BK$4&gt;=$D91,BK$4&lt;$D91+'Incremental Repayments'!$I$31),-PMT('Interest Rate'!$J$16,'Incremental Repayments'!$I$31,(HLOOKUP($D91,$E$4:$CZ$32,28,FALSE)*'Incremental Repayments'!$I$22)),0),0)</f>
        <v>0</v>
      </c>
      <c r="BL91" s="783">
        <f>IF('Incremental Repayments'!$R$22="Debt",IF(AND(BL$4&gt;=$D91,BL$4&lt;$D91+'Incremental Repayments'!$I$31),-PMT('Interest Rate'!$J$16,'Incremental Repayments'!$I$31,(HLOOKUP($D91,$E$4:$CZ$32,28,FALSE)*'Incremental Repayments'!$I$22)),0),0)</f>
        <v>0</v>
      </c>
      <c r="BM91" s="783">
        <f>IF('Incremental Repayments'!$R$22="Debt",IF(AND(BM$4&gt;=$D91,BM$4&lt;$D91+'Incremental Repayments'!$I$31),-PMT('Interest Rate'!$J$16,'Incremental Repayments'!$I$31,(HLOOKUP($D91,$E$4:$CZ$32,28,FALSE)*'Incremental Repayments'!$I$22)),0),0)</f>
        <v>0</v>
      </c>
      <c r="BN91" s="783">
        <f>IF('Incremental Repayments'!$R$22="Debt",IF(AND(BN$4&gt;=$D91,BN$4&lt;$D91+'Incremental Repayments'!$I$31),-PMT('Interest Rate'!$J$16,'Incremental Repayments'!$I$31,(HLOOKUP($D91,$E$4:$CZ$32,28,FALSE)*'Incremental Repayments'!$I$22)),0),0)</f>
        <v>0</v>
      </c>
      <c r="BO91" s="783">
        <f>IF('Incremental Repayments'!$R$22="Debt",IF(AND(BO$4&gt;=$D91,BO$4&lt;$D91+'Incremental Repayments'!$I$31),-PMT('Interest Rate'!$J$16,'Incremental Repayments'!$I$31,(HLOOKUP($D91,$E$4:$CZ$32,28,FALSE)*'Incremental Repayments'!$I$22)),0),0)</f>
        <v>0</v>
      </c>
      <c r="BP91" s="783">
        <f>IF('Incremental Repayments'!$R$22="Debt",IF(AND(BP$4&gt;=$D91,BP$4&lt;$D91+'Incremental Repayments'!$I$31),-PMT('Interest Rate'!$J$16,'Incremental Repayments'!$I$31,(HLOOKUP($D91,$E$4:$CZ$32,28,FALSE)*'Incremental Repayments'!$I$22)),0),0)</f>
        <v>0</v>
      </c>
      <c r="BQ91" s="783">
        <f>IF('Incremental Repayments'!$R$22="Debt",IF(AND(BQ$4&gt;=$D91,BQ$4&lt;$D91+'Incremental Repayments'!$I$31),-PMT('Interest Rate'!$J$16,'Incremental Repayments'!$I$31,(HLOOKUP($D91,$E$4:$CZ$32,28,FALSE)*'Incremental Repayments'!$I$22)),0),0)</f>
        <v>0</v>
      </c>
      <c r="BR91" s="783">
        <f>IF('Incremental Repayments'!$R$22="Debt",IF(AND(BR$4&gt;=$D91,BR$4&lt;$D91+'Incremental Repayments'!$I$31),-PMT('Interest Rate'!$J$16,'Incremental Repayments'!$I$31,(HLOOKUP($D91,$E$4:$CZ$32,28,FALSE)*'Incremental Repayments'!$I$22)),0),0)</f>
        <v>0</v>
      </c>
      <c r="BS91" s="783">
        <f>IF('Incremental Repayments'!$R$22="Debt",IF(AND(BS$4&gt;=$D91,BS$4&lt;$D91+'Incremental Repayments'!$I$31),-PMT('Interest Rate'!$J$16,'Incremental Repayments'!$I$31,(HLOOKUP($D91,$E$4:$CZ$32,28,FALSE)*'Incremental Repayments'!$I$22)),0),0)</f>
        <v>0</v>
      </c>
      <c r="BT91" s="783">
        <f>IF('Incremental Repayments'!$R$22="Debt",IF(AND(BT$4&gt;=$D91,BT$4&lt;$D91+'Incremental Repayments'!$I$31),-PMT('Interest Rate'!$J$16,'Incremental Repayments'!$I$31,(HLOOKUP($D91,$E$4:$CZ$32,28,FALSE)*'Incremental Repayments'!$I$22)),0),0)</f>
        <v>0</v>
      </c>
      <c r="BU91" s="783">
        <f>IF('Incremental Repayments'!$R$22="Debt",IF(AND(BU$4&gt;=$D91,BU$4&lt;$D91+'Incremental Repayments'!$I$31),-PMT('Interest Rate'!$J$16,'Incremental Repayments'!$I$31,(HLOOKUP($D91,$E$4:$CZ$32,28,FALSE)*'Incremental Repayments'!$I$22)),0),0)</f>
        <v>0</v>
      </c>
      <c r="BV91" s="783">
        <f>IF('Incremental Repayments'!$R$22="Debt",IF(AND(BV$4&gt;=$D91,BV$4&lt;$D91+'Incremental Repayments'!$I$31),-PMT('Interest Rate'!$J$16,'Incremental Repayments'!$I$31,(HLOOKUP($D91,$E$4:$CZ$32,28,FALSE)*'Incremental Repayments'!$I$22)),0),0)</f>
        <v>0</v>
      </c>
      <c r="BW91" s="783">
        <f>IF('Incremental Repayments'!$R$22="Debt",IF(AND(BW$4&gt;=$D91,BW$4&lt;$D91+'Incremental Repayments'!$I$31),-PMT('Interest Rate'!$J$16,'Incremental Repayments'!$I$31,(HLOOKUP($D91,$E$4:$CZ$32,28,FALSE)*'Incremental Repayments'!$I$22)),0),0)</f>
        <v>0</v>
      </c>
      <c r="BX91" s="783">
        <f>IF('Incremental Repayments'!$R$22="Debt",IF(AND(BX$4&gt;=$D91,BX$4&lt;$D91+'Incremental Repayments'!$I$31),-PMT('Interest Rate'!$J$16,'Incremental Repayments'!$I$31,(HLOOKUP($D91,$E$4:$CZ$32,28,FALSE)*'Incremental Repayments'!$I$22)),0),0)</f>
        <v>0</v>
      </c>
      <c r="BY91" s="783">
        <f>IF('Incremental Repayments'!$R$22="Debt",IF(AND(BY$4&gt;=$D91,BY$4&lt;$D91+'Incremental Repayments'!$I$31),-PMT('Interest Rate'!$J$16,'Incremental Repayments'!$I$31,(HLOOKUP($D91,$E$4:$CZ$32,28,FALSE)*'Incremental Repayments'!$I$22)),0),0)</f>
        <v>0</v>
      </c>
      <c r="BZ91" s="783">
        <f>IF('Incremental Repayments'!$R$22="Debt",IF(AND(BZ$4&gt;=$D91,BZ$4&lt;$D91+'Incremental Repayments'!$I$31),-PMT('Interest Rate'!$J$16,'Incremental Repayments'!$I$31,(HLOOKUP($D91,$E$4:$CZ$32,28,FALSE)*'Incremental Repayments'!$I$22)),0),0)</f>
        <v>0</v>
      </c>
      <c r="CA91" s="783">
        <f>IF('Incremental Repayments'!$R$22="Debt",IF(AND(CA$4&gt;=$D91,CA$4&lt;$D91+'Incremental Repayments'!$I$31),-PMT('Interest Rate'!$J$16,'Incremental Repayments'!$I$31,(HLOOKUP($D91,$E$4:$CZ$32,28,FALSE)*'Incremental Repayments'!$I$22)),0),0)</f>
        <v>0</v>
      </c>
      <c r="CB91" s="783">
        <f>IF('Incremental Repayments'!$R$22="Debt",IF(AND(CB$4&gt;=$D91,CB$4&lt;$D91+'Incremental Repayments'!$I$31),-PMT('Interest Rate'!$J$16,'Incremental Repayments'!$I$31,(HLOOKUP($D91,$E$4:$CZ$32,28,FALSE)*'Incremental Repayments'!$I$22)),0),0)</f>
        <v>0</v>
      </c>
      <c r="CC91" s="783">
        <f>IF('Incremental Repayments'!$R$22="Debt",IF(AND(CC$4&gt;=$D91,CC$4&lt;$D91+'Incremental Repayments'!$I$31),-PMT('Interest Rate'!$J$16,'Incremental Repayments'!$I$31,(HLOOKUP($D91,$E$4:$CZ$32,28,FALSE)*'Incremental Repayments'!$I$22)),0),0)</f>
        <v>0</v>
      </c>
      <c r="CD91" s="783">
        <f>IF('Incremental Repayments'!$R$22="Debt",IF(AND(CD$4&gt;=$D91,CD$4&lt;$D91+'Incremental Repayments'!$I$31),-PMT('Interest Rate'!$J$16,'Incremental Repayments'!$I$31,(HLOOKUP($D91,$E$4:$CZ$32,28,FALSE)*'Incremental Repayments'!$I$22)),0),0)</f>
        <v>0</v>
      </c>
      <c r="CE91" s="783">
        <f>IF('Incremental Repayments'!$R$22="Debt",IF(AND(CE$4&gt;=$D91,CE$4&lt;$D91+'Incremental Repayments'!$I$31),-PMT('Interest Rate'!$J$16,'Incremental Repayments'!$I$31,(HLOOKUP($D91,$E$4:$CZ$32,28,FALSE)*'Incremental Repayments'!$I$22)),0),0)</f>
        <v>0</v>
      </c>
      <c r="CF91" s="783">
        <f>IF('Incremental Repayments'!$R$22="Debt",IF(AND(CF$4&gt;=$D91,CF$4&lt;$D91+'Incremental Repayments'!$I$31),-PMT('Interest Rate'!$J$16,'Incremental Repayments'!$I$31,(HLOOKUP($D91,$E$4:$CZ$32,28,FALSE)*'Incremental Repayments'!$I$22)),0),0)</f>
        <v>0</v>
      </c>
      <c r="CG91" s="783">
        <f>IF('Incremental Repayments'!$R$22="Debt",IF(AND(CG$4&gt;=$D91,CG$4&lt;$D91+'Incremental Repayments'!$I$31),-PMT('Interest Rate'!$J$16,'Incremental Repayments'!$I$31,(HLOOKUP($D91,$E$4:$CZ$32,28,FALSE)*'Incremental Repayments'!$I$22)),0),0)</f>
        <v>0</v>
      </c>
      <c r="CH91" s="783">
        <f>IF('Incremental Repayments'!$R$22="Debt",IF(AND(CH$4&gt;=$D91,CH$4&lt;$D91+'Incremental Repayments'!$I$31),-PMT('Interest Rate'!$J$16,'Incremental Repayments'!$I$31,(HLOOKUP($D91,$E$4:$CZ$32,28,FALSE)*'Incremental Repayments'!$I$22)),0),0)</f>
        <v>0</v>
      </c>
      <c r="CI91" s="783">
        <f>IF('Incremental Repayments'!$R$22="Debt",IF(AND(CI$4&gt;=$D91,CI$4&lt;$D91+'Incremental Repayments'!$I$31),-PMT('Interest Rate'!$J$16,'Incremental Repayments'!$I$31,(HLOOKUP($D91,$E$4:$CZ$32,28,FALSE)*'Incremental Repayments'!$I$22)),0),0)</f>
        <v>0</v>
      </c>
      <c r="CJ91" s="783">
        <f>IF('Incremental Repayments'!$R$22="Debt",IF(AND(CJ$4&gt;=$D91,CJ$4&lt;$D91+'Incremental Repayments'!$I$31),-PMT('Interest Rate'!$J$16,'Incremental Repayments'!$I$31,(HLOOKUP($D91,$E$4:$CZ$32,28,FALSE)*'Incremental Repayments'!$I$22)),0),0)</f>
        <v>0</v>
      </c>
      <c r="CK91" s="783">
        <f>IF('Incremental Repayments'!$R$22="Debt",IF(AND(CK$4&gt;=$D91,CK$4&lt;$D91+'Incremental Repayments'!$I$31),-PMT('Interest Rate'!$J$16,'Incremental Repayments'!$I$31,(HLOOKUP($D91,$E$4:$CZ$32,28,FALSE)*'Incremental Repayments'!$I$22)),0),0)</f>
        <v>0</v>
      </c>
      <c r="CL91" s="783">
        <f>IF('Incremental Repayments'!$R$22="Debt",IF(AND(CL$4&gt;=$D91,CL$4&lt;$D91+'Incremental Repayments'!$I$31),-PMT('Interest Rate'!$J$16,'Incremental Repayments'!$I$31,(HLOOKUP($D91,$E$4:$CZ$32,28,FALSE)*'Incremental Repayments'!$I$22)),0),0)</f>
        <v>0</v>
      </c>
      <c r="CM91" s="783">
        <f>IF('Incremental Repayments'!$R$22="Debt",IF(AND(CM$4&gt;=$D91,CM$4&lt;$D91+'Incremental Repayments'!$I$31),-PMT('Interest Rate'!$J$16,'Incremental Repayments'!$I$31,(HLOOKUP($D91,$E$4:$CZ$32,28,FALSE)*'Incremental Repayments'!$I$22)),0),0)</f>
        <v>0</v>
      </c>
      <c r="CN91" s="783">
        <f>IF('Incremental Repayments'!$R$22="Debt",IF(AND(CN$4&gt;=$D91,CN$4&lt;$D91+'Incremental Repayments'!$I$31),-PMT('Interest Rate'!$J$16,'Incremental Repayments'!$I$31,(HLOOKUP($D91,$E$4:$CZ$32,28,FALSE)*'Incremental Repayments'!$I$22)),0),0)</f>
        <v>0</v>
      </c>
      <c r="CO91" s="783">
        <f>IF('Incremental Repayments'!$R$22="Debt",IF(AND(CO$4&gt;=$D91,CO$4&lt;$D91+'Incremental Repayments'!$I$31),-PMT('Interest Rate'!$J$16,'Incremental Repayments'!$I$31,(HLOOKUP($D91,$E$4:$CZ$32,28,FALSE)*'Incremental Repayments'!$I$22)),0),0)</f>
        <v>0</v>
      </c>
      <c r="CP91" s="783">
        <f>IF('Incremental Repayments'!$R$22="Debt",IF(AND(CP$4&gt;=$D91,CP$4&lt;$D91+'Incremental Repayments'!$I$31),-PMT('Interest Rate'!$J$16,'Incremental Repayments'!$I$31,(HLOOKUP($D91,$E$4:$CZ$32,28,FALSE)*'Incremental Repayments'!$I$22)),0),0)</f>
        <v>0</v>
      </c>
      <c r="CQ91" s="783">
        <f>IF('Incremental Repayments'!$R$22="Debt",IF(AND(CQ$4&gt;=$D91,CQ$4&lt;$D91+'Incremental Repayments'!$I$31),-PMT('Interest Rate'!$J$16,'Incremental Repayments'!$I$31,(HLOOKUP($D91,$E$4:$CZ$32,28,FALSE)*'Incremental Repayments'!$I$22)),0),0)</f>
        <v>0</v>
      </c>
      <c r="CR91" s="783">
        <f>IF('Incremental Repayments'!$R$22="Debt",IF(AND(CR$4&gt;=$D91,CR$4&lt;$D91+'Incremental Repayments'!$I$31),-PMT('Interest Rate'!$J$16,'Incremental Repayments'!$I$31,(HLOOKUP($D91,$E$4:$CZ$32,28,FALSE)*'Incremental Repayments'!$I$22)),0),0)</f>
        <v>0</v>
      </c>
      <c r="CS91" s="783">
        <f>IF('Incremental Repayments'!$R$22="Debt",IF(AND(CS$4&gt;=$D91,CS$4&lt;$D91+'Incremental Repayments'!$I$31),-PMT('Interest Rate'!$J$16,'Incremental Repayments'!$I$31,(HLOOKUP($D91,$E$4:$CZ$32,28,FALSE)*'Incremental Repayments'!$I$22)),0),0)</f>
        <v>0</v>
      </c>
      <c r="CT91" s="783">
        <f>IF('Incremental Repayments'!$R$22="Debt",IF(AND(CT$4&gt;=$D91,CT$4&lt;$D91+'Incremental Repayments'!$I$31),-PMT('Interest Rate'!$J$16,'Incremental Repayments'!$I$31,(HLOOKUP($D91,$E$4:$CZ$32,28,FALSE)*'Incremental Repayments'!$I$22)),0),0)</f>
        <v>0</v>
      </c>
      <c r="CU91" s="783">
        <f>IF('Incremental Repayments'!$R$22="Debt",IF(AND(CU$4&gt;=$D91,CU$4&lt;$D91+'Incremental Repayments'!$I$31),-PMT('Interest Rate'!$J$16,'Incremental Repayments'!$I$31,(HLOOKUP($D91,$E$4:$CZ$32,28,FALSE)*'Incremental Repayments'!$I$22)),0),0)</f>
        <v>0</v>
      </c>
      <c r="CV91" s="783">
        <f>IF('Incremental Repayments'!$R$22="Debt",IF(AND(CV$4&gt;=$D91,CV$4&lt;$D91+'Incremental Repayments'!$I$31),-PMT('Interest Rate'!$J$16,'Incremental Repayments'!$I$31,(HLOOKUP($D91,$E$4:$CZ$32,28,FALSE)*'Incremental Repayments'!$I$22)),0),0)</f>
        <v>0</v>
      </c>
      <c r="CW91" s="783">
        <f>IF('Incremental Repayments'!$R$22="Debt",IF(AND(CW$4&gt;=$D91,CW$4&lt;$D91+'Incremental Repayments'!$I$31),-PMT('Interest Rate'!$J$16,'Incremental Repayments'!$I$31,(HLOOKUP($D91,$E$4:$CZ$32,28,FALSE)*'Incremental Repayments'!$I$22)),0),0)</f>
        <v>0</v>
      </c>
      <c r="CX91" s="783">
        <f>IF('Incremental Repayments'!$R$22="Debt",IF(AND(CX$4&gt;=$D91,CX$4&lt;$D91+'Incremental Repayments'!$I$31),-PMT('Interest Rate'!$J$16,'Incremental Repayments'!$I$31,(HLOOKUP($D91,$E$4:$CZ$32,28,FALSE)*'Incremental Repayments'!$I$22)),0),0)</f>
        <v>0</v>
      </c>
      <c r="CY91" s="783">
        <f>IF('Incremental Repayments'!$R$22="Debt",IF(AND(CY$4&gt;=$D91,CY$4&lt;$D91+'Incremental Repayments'!$I$31),-PMT('Interest Rate'!$J$16,'Incremental Repayments'!$I$31,(HLOOKUP($D91,$E$4:$CZ$32,28,FALSE)*'Incremental Repayments'!$I$22)),0),0)</f>
        <v>0</v>
      </c>
      <c r="CZ91" s="783">
        <f>IF('Incremental Repayments'!$R$22="Debt",IF(AND(CZ$4&gt;=$D91,CZ$4&lt;$D91+'Incremental Repayments'!$I$31),-PMT('Interest Rate'!$J$16,'Incremental Repayments'!$I$31,(HLOOKUP($D91,$E$4:$CZ$32,28,FALSE)*'Incremental Repayments'!$I$22)),0),0)</f>
        <v>0</v>
      </c>
    </row>
    <row r="92" spans="2:104" x14ac:dyDescent="0.25">
      <c r="B92" s="480" t="str">
        <f>CONCATENATE("Series ",D92,"A Bonds (at ",'Interest Rate'!$J$16*100,"% Interest)")</f>
        <v>Series 2070A Bonds (at 4.5% Interest)</v>
      </c>
      <c r="C92" s="480"/>
      <c r="D92" s="492">
        <f t="shared" si="47"/>
        <v>2070</v>
      </c>
      <c r="E92" s="783">
        <f>IF('Incremental Repayments'!$R$22="Debt",IF(AND(E$4&gt;=$D92,E$4&lt;$D92+'Incremental Repayments'!$I$31),-PMT('Interest Rate'!$J$16,'Incremental Repayments'!$I$31,(HLOOKUP($D92,$E$4:$CZ$32,28,FALSE)*'Incremental Repayments'!$I$22)),0),0)</f>
        <v>0</v>
      </c>
      <c r="F92" s="783">
        <f>IF('Incremental Repayments'!$R$22="Debt",IF(AND(F$4&gt;=$D92,F$4&lt;$D92+'Incremental Repayments'!$I$31),-PMT('Interest Rate'!$J$16,'Incremental Repayments'!$I$31,(HLOOKUP($D92,$E$4:$CZ$32,28,FALSE)*'Incremental Repayments'!$I$22)),0),0)</f>
        <v>0</v>
      </c>
      <c r="G92" s="783">
        <f>IF('Incremental Repayments'!$R$22="Debt",IF(AND(G$4&gt;=$D92,G$4&lt;$D92+'Incremental Repayments'!$I$31),-PMT('Interest Rate'!$J$16,'Incremental Repayments'!$I$31,(HLOOKUP($D92,$E$4:$CZ$32,28,FALSE)*'Incremental Repayments'!$I$22)),0),0)</f>
        <v>0</v>
      </c>
      <c r="H92" s="783">
        <f>IF('Incremental Repayments'!$R$22="Debt",IF(AND(H$4&gt;=$D92,H$4&lt;$D92+'Incremental Repayments'!$I$31),-PMT('Interest Rate'!$J$16,'Incremental Repayments'!$I$31,(HLOOKUP($D92,$E$4:$CZ$32,28,FALSE)*'Incremental Repayments'!$I$22)),0),0)</f>
        <v>0</v>
      </c>
      <c r="I92" s="783">
        <f>IF('Incremental Repayments'!$R$22="Debt",IF(AND(I$4&gt;=$D92,I$4&lt;$D92+'Incremental Repayments'!$I$31),-PMT('Interest Rate'!$J$16,'Incremental Repayments'!$I$31,(HLOOKUP($D92,$E$4:$CZ$32,28,FALSE)*'Incremental Repayments'!$I$22)),0),0)</f>
        <v>0</v>
      </c>
      <c r="J92" s="783">
        <f>IF('Incremental Repayments'!$R$22="Debt",IF(AND(J$4&gt;=$D92,J$4&lt;$D92+'Incremental Repayments'!$I$31),-PMT('Interest Rate'!$J$16,'Incremental Repayments'!$I$31,(HLOOKUP($D92,$E$4:$CZ$32,28,FALSE)*'Incremental Repayments'!$I$22)),0),0)</f>
        <v>0</v>
      </c>
      <c r="K92" s="783">
        <f>IF('Incremental Repayments'!$R$22="Debt",IF(AND(K$4&gt;=$D92,K$4&lt;$D92+'Incremental Repayments'!$I$31),-PMT('Interest Rate'!$J$16,'Incremental Repayments'!$I$31,(HLOOKUP($D92,$E$4:$CZ$32,28,FALSE)*'Incremental Repayments'!$I$22)),0),0)</f>
        <v>0</v>
      </c>
      <c r="L92" s="783">
        <f>IF('Incremental Repayments'!$R$22="Debt",IF(AND(L$4&gt;=$D92,L$4&lt;$D92+'Incremental Repayments'!$I$31),-PMT('Interest Rate'!$J$16,'Incremental Repayments'!$I$31,(HLOOKUP($D92,$E$4:$CZ$32,28,FALSE)*'Incremental Repayments'!$I$22)),0),0)</f>
        <v>0</v>
      </c>
      <c r="M92" s="783">
        <f>IF('Incremental Repayments'!$R$22="Debt",IF(AND(M$4&gt;=$D92,M$4&lt;$D92+'Incremental Repayments'!$I$31),-PMT('Interest Rate'!$J$16,'Incremental Repayments'!$I$31,(HLOOKUP($D92,$E$4:$CZ$32,28,FALSE)*'Incremental Repayments'!$I$22)),0),0)</f>
        <v>0</v>
      </c>
      <c r="N92" s="783">
        <f>IF('Incremental Repayments'!$R$22="Debt",IF(AND(N$4&gt;=$D92,N$4&lt;$D92+'Incremental Repayments'!$I$31),-PMT('Interest Rate'!$J$16,'Incremental Repayments'!$I$31,(HLOOKUP($D92,$E$4:$CZ$32,28,FALSE)*'Incremental Repayments'!$I$22)),0),0)</f>
        <v>0</v>
      </c>
      <c r="O92" s="783">
        <f>IF('Incremental Repayments'!$R$22="Debt",IF(AND(O$4&gt;=$D92,O$4&lt;$D92+'Incremental Repayments'!$I$31),-PMT('Interest Rate'!$J$16,'Incremental Repayments'!$I$31,(HLOOKUP($D92,$E$4:$CZ$32,28,FALSE)*'Incremental Repayments'!$I$22)),0),0)</f>
        <v>0</v>
      </c>
      <c r="P92" s="783">
        <f>IF('Incremental Repayments'!$R$22="Debt",IF(AND(P$4&gt;=$D92,P$4&lt;$D92+'Incremental Repayments'!$I$31),-PMT('Interest Rate'!$J$16,'Incremental Repayments'!$I$31,(HLOOKUP($D92,$E$4:$CZ$32,28,FALSE)*'Incremental Repayments'!$I$22)),0),0)</f>
        <v>0</v>
      </c>
      <c r="Q92" s="783">
        <f>IF('Incremental Repayments'!$R$22="Debt",IF(AND(Q$4&gt;=$D92,Q$4&lt;$D92+'Incremental Repayments'!$I$31),-PMT('Interest Rate'!$J$16,'Incremental Repayments'!$I$31,(HLOOKUP($D92,$E$4:$CZ$32,28,FALSE)*'Incremental Repayments'!$I$22)),0),0)</f>
        <v>0</v>
      </c>
      <c r="R92" s="783">
        <f>IF('Incremental Repayments'!$R$22="Debt",IF(AND(R$4&gt;=$D92,R$4&lt;$D92+'Incremental Repayments'!$I$31),-PMT('Interest Rate'!$J$16,'Incremental Repayments'!$I$31,(HLOOKUP($D92,$E$4:$CZ$32,28,FALSE)*'Incremental Repayments'!$I$22)),0),0)</f>
        <v>0</v>
      </c>
      <c r="S92" s="783">
        <f>IF('Incremental Repayments'!$R$22="Debt",IF(AND(S$4&gt;=$D92,S$4&lt;$D92+'Incremental Repayments'!$I$31),-PMT('Interest Rate'!$J$16,'Incremental Repayments'!$I$31,(HLOOKUP($D92,$E$4:$CZ$32,28,FALSE)*'Incremental Repayments'!$I$22)),0),0)</f>
        <v>0</v>
      </c>
      <c r="T92" s="783">
        <f>IF('Incremental Repayments'!$R$22="Debt",IF(AND(T$4&gt;=$D92,T$4&lt;$D92+'Incremental Repayments'!$I$31),-PMT('Interest Rate'!$J$16,'Incremental Repayments'!$I$31,(HLOOKUP($D92,$E$4:$CZ$32,28,FALSE)*'Incremental Repayments'!$I$22)),0),0)</f>
        <v>0</v>
      </c>
      <c r="U92" s="783">
        <f>IF('Incremental Repayments'!$R$22="Debt",IF(AND(U$4&gt;=$D92,U$4&lt;$D92+'Incremental Repayments'!$I$31),-PMT('Interest Rate'!$J$16,'Incremental Repayments'!$I$31,(HLOOKUP($D92,$E$4:$CZ$32,28,FALSE)*'Incremental Repayments'!$I$22)),0),0)</f>
        <v>0</v>
      </c>
      <c r="V92" s="783">
        <f>IF('Incremental Repayments'!$R$22="Debt",IF(AND(V$4&gt;=$D92,V$4&lt;$D92+'Incremental Repayments'!$I$31),-PMT('Interest Rate'!$J$16,'Incremental Repayments'!$I$31,(HLOOKUP($D92,$E$4:$CZ$32,28,FALSE)*'Incremental Repayments'!$I$22)),0),0)</f>
        <v>0</v>
      </c>
      <c r="W92" s="783">
        <f>IF('Incremental Repayments'!$R$22="Debt",IF(AND(W$4&gt;=$D92,W$4&lt;$D92+'Incremental Repayments'!$I$31),-PMT('Interest Rate'!$J$16,'Incremental Repayments'!$I$31,(HLOOKUP($D92,$E$4:$CZ$32,28,FALSE)*'Incremental Repayments'!$I$22)),0),0)</f>
        <v>0</v>
      </c>
      <c r="X92" s="783">
        <f>IF('Incremental Repayments'!$R$22="Debt",IF(AND(X$4&gt;=$D92,X$4&lt;$D92+'Incremental Repayments'!$I$31),-PMT('Interest Rate'!$J$16,'Incremental Repayments'!$I$31,(HLOOKUP($D92,$E$4:$CZ$32,28,FALSE)*'Incremental Repayments'!$I$22)),0),0)</f>
        <v>0</v>
      </c>
      <c r="Y92" s="783">
        <f>IF('Incremental Repayments'!$R$22="Debt",IF(AND(Y$4&gt;=$D92,Y$4&lt;$D92+'Incremental Repayments'!$I$31),-PMT('Interest Rate'!$J$16,'Incremental Repayments'!$I$31,(HLOOKUP($D92,$E$4:$CZ$32,28,FALSE)*'Incremental Repayments'!$I$22)),0),0)</f>
        <v>0</v>
      </c>
      <c r="Z92" s="783">
        <f>IF('Incremental Repayments'!$R$22="Debt",IF(AND(Z$4&gt;=$D92,Z$4&lt;$D92+'Incremental Repayments'!$I$31),-PMT('Interest Rate'!$J$16,'Incremental Repayments'!$I$31,(HLOOKUP($D92,$E$4:$CZ$32,28,FALSE)*'Incremental Repayments'!$I$22)),0),0)</f>
        <v>0</v>
      </c>
      <c r="AA92" s="783">
        <f>IF('Incremental Repayments'!$R$22="Debt",IF(AND(AA$4&gt;=$D92,AA$4&lt;$D92+'Incremental Repayments'!$I$31),-PMT('Interest Rate'!$J$16,'Incremental Repayments'!$I$31,(HLOOKUP($D92,$E$4:$CZ$32,28,FALSE)*'Incremental Repayments'!$I$22)),0),0)</f>
        <v>0</v>
      </c>
      <c r="AB92" s="783">
        <f>IF('Incremental Repayments'!$R$22="Debt",IF(AND(AB$4&gt;=$D92,AB$4&lt;$D92+'Incremental Repayments'!$I$31),-PMT('Interest Rate'!$J$16,'Incremental Repayments'!$I$31,(HLOOKUP($D92,$E$4:$CZ$32,28,FALSE)*'Incremental Repayments'!$I$22)),0),0)</f>
        <v>0</v>
      </c>
      <c r="AC92" s="783">
        <f>IF('Incremental Repayments'!$R$22="Debt",IF(AND(AC$4&gt;=$D92,AC$4&lt;$D92+'Incremental Repayments'!$I$31),-PMT('Interest Rate'!$J$16,'Incremental Repayments'!$I$31,(HLOOKUP($D92,$E$4:$CZ$32,28,FALSE)*'Incremental Repayments'!$I$22)),0),0)</f>
        <v>0</v>
      </c>
      <c r="AD92" s="783">
        <f>IF('Incremental Repayments'!$R$22="Debt",IF(AND(AD$4&gt;=$D92,AD$4&lt;$D92+'Incremental Repayments'!$I$31),-PMT('Interest Rate'!$J$16,'Incremental Repayments'!$I$31,(HLOOKUP($D92,$E$4:$CZ$32,28,FALSE)*'Incremental Repayments'!$I$22)),0),0)</f>
        <v>0</v>
      </c>
      <c r="AE92" s="783">
        <f>IF('Incremental Repayments'!$R$22="Debt",IF(AND(AE$4&gt;=$D92,AE$4&lt;$D92+'Incremental Repayments'!$I$31),-PMT('Interest Rate'!$J$16,'Incremental Repayments'!$I$31,(HLOOKUP($D92,$E$4:$CZ$32,28,FALSE)*'Incremental Repayments'!$I$22)),0),0)</f>
        <v>0</v>
      </c>
      <c r="AF92" s="783">
        <f>IF('Incremental Repayments'!$R$22="Debt",IF(AND(AF$4&gt;=$D92,AF$4&lt;$D92+'Incremental Repayments'!$I$31),-PMT('Interest Rate'!$J$16,'Incremental Repayments'!$I$31,(HLOOKUP($D92,$E$4:$CZ$32,28,FALSE)*'Incremental Repayments'!$I$22)),0),0)</f>
        <v>0</v>
      </c>
      <c r="AG92" s="783">
        <f>IF('Incremental Repayments'!$R$22="Debt",IF(AND(AG$4&gt;=$D92,AG$4&lt;$D92+'Incremental Repayments'!$I$31),-PMT('Interest Rate'!$J$16,'Incremental Repayments'!$I$31,(HLOOKUP($D92,$E$4:$CZ$32,28,FALSE)*'Incremental Repayments'!$I$22)),0),0)</f>
        <v>0</v>
      </c>
      <c r="AH92" s="783">
        <f>IF('Incremental Repayments'!$R$22="Debt",IF(AND(AH$4&gt;=$D92,AH$4&lt;$D92+'Incremental Repayments'!$I$31),-PMT('Interest Rate'!$J$16,'Incremental Repayments'!$I$31,(HLOOKUP($D92,$E$4:$CZ$32,28,FALSE)*'Incremental Repayments'!$I$22)),0),0)</f>
        <v>0</v>
      </c>
      <c r="AI92" s="783">
        <f>IF('Incremental Repayments'!$R$22="Debt",IF(AND(AI$4&gt;=$D92,AI$4&lt;$D92+'Incremental Repayments'!$I$31),-PMT('Interest Rate'!$J$16,'Incremental Repayments'!$I$31,(HLOOKUP($D92,$E$4:$CZ$32,28,FALSE)*'Incremental Repayments'!$I$22)),0),0)</f>
        <v>0</v>
      </c>
      <c r="AJ92" s="783">
        <f>IF('Incremental Repayments'!$R$22="Debt",IF(AND(AJ$4&gt;=$D92,AJ$4&lt;$D92+'Incremental Repayments'!$I$31),-PMT('Interest Rate'!$J$16,'Incremental Repayments'!$I$31,(HLOOKUP($D92,$E$4:$CZ$32,28,FALSE)*'Incremental Repayments'!$I$22)),0),0)</f>
        <v>0</v>
      </c>
      <c r="AK92" s="783">
        <f>IF('Incremental Repayments'!$R$22="Debt",IF(AND(AK$4&gt;=$D92,AK$4&lt;$D92+'Incremental Repayments'!$I$31),-PMT('Interest Rate'!$J$16,'Incremental Repayments'!$I$31,(HLOOKUP($D92,$E$4:$CZ$32,28,FALSE)*'Incremental Repayments'!$I$22)),0),0)</f>
        <v>0</v>
      </c>
      <c r="AL92" s="783">
        <f>IF('Incremental Repayments'!$R$22="Debt",IF(AND(AL$4&gt;=$D92,AL$4&lt;$D92+'Incremental Repayments'!$I$31),-PMT('Interest Rate'!$J$16,'Incremental Repayments'!$I$31,(HLOOKUP($D92,$E$4:$CZ$32,28,FALSE)*'Incremental Repayments'!$I$22)),0),0)</f>
        <v>0</v>
      </c>
      <c r="AM92" s="783">
        <f>IF('Incremental Repayments'!$R$22="Debt",IF(AND(AM$4&gt;=$D92,AM$4&lt;$D92+'Incremental Repayments'!$I$31),-PMT('Interest Rate'!$J$16,'Incremental Repayments'!$I$31,(HLOOKUP($D92,$E$4:$CZ$32,28,FALSE)*'Incremental Repayments'!$I$22)),0),0)</f>
        <v>0</v>
      </c>
      <c r="AN92" s="783">
        <f>IF('Incremental Repayments'!$R$22="Debt",IF(AND(AN$4&gt;=$D92,AN$4&lt;$D92+'Incremental Repayments'!$I$31),-PMT('Interest Rate'!$J$16,'Incremental Repayments'!$I$31,(HLOOKUP($D92,$E$4:$CZ$32,28,FALSE)*'Incremental Repayments'!$I$22)),0),0)</f>
        <v>0</v>
      </c>
      <c r="AO92" s="783">
        <f>IF('Incremental Repayments'!$R$22="Debt",IF(AND(AO$4&gt;=$D92,AO$4&lt;$D92+'Incremental Repayments'!$I$31),-PMT('Interest Rate'!$J$16,'Incremental Repayments'!$I$31,(HLOOKUP($D92,$E$4:$CZ$32,28,FALSE)*'Incremental Repayments'!$I$22)),0),0)</f>
        <v>0</v>
      </c>
      <c r="AP92" s="783">
        <f>IF('Incremental Repayments'!$R$22="Debt",IF(AND(AP$4&gt;=$D92,AP$4&lt;$D92+'Incremental Repayments'!$I$31),-PMT('Interest Rate'!$J$16,'Incremental Repayments'!$I$31,(HLOOKUP($D92,$E$4:$CZ$32,28,FALSE)*'Incremental Repayments'!$I$22)),0),0)</f>
        <v>0</v>
      </c>
      <c r="AQ92" s="783">
        <f>IF('Incremental Repayments'!$R$22="Debt",IF(AND(AQ$4&gt;=$D92,AQ$4&lt;$D92+'Incremental Repayments'!$I$31),-PMT('Interest Rate'!$J$16,'Incremental Repayments'!$I$31,(HLOOKUP($D92,$E$4:$CZ$32,28,FALSE)*'Incremental Repayments'!$I$22)),0),0)</f>
        <v>0</v>
      </c>
      <c r="AR92" s="783">
        <f>IF('Incremental Repayments'!$R$22="Debt",IF(AND(AR$4&gt;=$D92,AR$4&lt;$D92+'Incremental Repayments'!$I$31),-PMT('Interest Rate'!$J$16,'Incremental Repayments'!$I$31,(HLOOKUP($D92,$E$4:$CZ$32,28,FALSE)*'Incremental Repayments'!$I$22)),0),0)</f>
        <v>0</v>
      </c>
      <c r="AS92" s="783">
        <f>IF('Incremental Repayments'!$R$22="Debt",IF(AND(AS$4&gt;=$D92,AS$4&lt;$D92+'Incremental Repayments'!$I$31),-PMT('Interest Rate'!$J$16,'Incremental Repayments'!$I$31,(HLOOKUP($D92,$E$4:$CZ$32,28,FALSE)*'Incremental Repayments'!$I$22)),0),0)</f>
        <v>0</v>
      </c>
      <c r="AT92" s="783">
        <f>IF('Incremental Repayments'!$R$22="Debt",IF(AND(AT$4&gt;=$D92,AT$4&lt;$D92+'Incremental Repayments'!$I$31),-PMT('Interest Rate'!$J$16,'Incremental Repayments'!$I$31,(HLOOKUP($D92,$E$4:$CZ$32,28,FALSE)*'Incremental Repayments'!$I$22)),0),0)</f>
        <v>0</v>
      </c>
      <c r="AU92" s="783">
        <f>IF('Incremental Repayments'!$R$22="Debt",IF(AND(AU$4&gt;=$D92,AU$4&lt;$D92+'Incremental Repayments'!$I$31),-PMT('Interest Rate'!$J$16,'Incremental Repayments'!$I$31,(HLOOKUP($D92,$E$4:$CZ$32,28,FALSE)*'Incremental Repayments'!$I$22)),0),0)</f>
        <v>0</v>
      </c>
      <c r="AV92" s="783">
        <f>IF('Incremental Repayments'!$R$22="Debt",IF(AND(AV$4&gt;=$D92,AV$4&lt;$D92+'Incremental Repayments'!$I$31),-PMT('Interest Rate'!$J$16,'Incremental Repayments'!$I$31,(HLOOKUP($D92,$E$4:$CZ$32,28,FALSE)*'Incremental Repayments'!$I$22)),0),0)</f>
        <v>0</v>
      </c>
      <c r="AW92" s="783">
        <f>IF('Incremental Repayments'!$R$22="Debt",IF(AND(AW$4&gt;=$D92,AW$4&lt;$D92+'Incremental Repayments'!$I$31),-PMT('Interest Rate'!$J$16,'Incremental Repayments'!$I$31,(HLOOKUP($D92,$E$4:$CZ$32,28,FALSE)*'Incremental Repayments'!$I$22)),0),0)</f>
        <v>0</v>
      </c>
      <c r="AX92" s="783">
        <f>IF('Incremental Repayments'!$R$22="Debt",IF(AND(AX$4&gt;=$D92,AX$4&lt;$D92+'Incremental Repayments'!$I$31),-PMT('Interest Rate'!$J$16,'Incremental Repayments'!$I$31,(HLOOKUP($D92,$E$4:$CZ$32,28,FALSE)*'Incremental Repayments'!$I$22)),0),0)</f>
        <v>0</v>
      </c>
      <c r="AY92" s="783">
        <f>IF('Incremental Repayments'!$R$22="Debt",IF(AND(AY$4&gt;=$D92,AY$4&lt;$D92+'Incremental Repayments'!$I$31),-PMT('Interest Rate'!$J$16,'Incremental Repayments'!$I$31,(HLOOKUP($D92,$E$4:$CZ$32,28,FALSE)*'Incremental Repayments'!$I$22)),0),0)</f>
        <v>0</v>
      </c>
      <c r="AZ92" s="783">
        <f>IF('Incremental Repayments'!$R$22="Debt",IF(AND(AZ$4&gt;=$D92,AZ$4&lt;$D92+'Incremental Repayments'!$I$31),-PMT('Interest Rate'!$J$16,'Incremental Repayments'!$I$31,(HLOOKUP($D92,$E$4:$CZ$32,28,FALSE)*'Incremental Repayments'!$I$22)),0),0)</f>
        <v>0</v>
      </c>
      <c r="BA92" s="783">
        <f>IF('Incremental Repayments'!$R$22="Debt",IF(AND(BA$4&gt;=$D92,BA$4&lt;$D92+'Incremental Repayments'!$I$31),-PMT('Interest Rate'!$J$16,'Incremental Repayments'!$I$31,(HLOOKUP($D92,$E$4:$CZ$32,28,FALSE)*'Incremental Repayments'!$I$22)),0),0)</f>
        <v>0</v>
      </c>
      <c r="BB92" s="783">
        <f>IF('Incremental Repayments'!$R$22="Debt",IF(AND(BB$4&gt;=$D92,BB$4&lt;$D92+'Incremental Repayments'!$I$31),-PMT('Interest Rate'!$J$16,'Incremental Repayments'!$I$31,(HLOOKUP($D92,$E$4:$CZ$32,28,FALSE)*'Incremental Repayments'!$I$22)),0),0)</f>
        <v>0</v>
      </c>
      <c r="BC92" s="783">
        <f>IF('Incremental Repayments'!$R$22="Debt",IF(AND(BC$4&gt;=$D92,BC$4&lt;$D92+'Incremental Repayments'!$I$31),-PMT('Interest Rate'!$J$16,'Incremental Repayments'!$I$31,(HLOOKUP($D92,$E$4:$CZ$32,28,FALSE)*'Incremental Repayments'!$I$22)),0),0)</f>
        <v>0</v>
      </c>
      <c r="BD92" s="783">
        <f>IF('Incremental Repayments'!$R$22="Debt",IF(AND(BD$4&gt;=$D92,BD$4&lt;$D92+'Incremental Repayments'!$I$31),-PMT('Interest Rate'!$J$16,'Incremental Repayments'!$I$31,(HLOOKUP($D92,$E$4:$CZ$32,28,FALSE)*'Incremental Repayments'!$I$22)),0),0)</f>
        <v>0</v>
      </c>
      <c r="BE92" s="783">
        <f>IF('Incremental Repayments'!$R$22="Debt",IF(AND(BE$4&gt;=$D92,BE$4&lt;$D92+'Incremental Repayments'!$I$31),-PMT('Interest Rate'!$J$16,'Incremental Repayments'!$I$31,(HLOOKUP($D92,$E$4:$CZ$32,28,FALSE)*'Incremental Repayments'!$I$22)),0),0)</f>
        <v>0</v>
      </c>
      <c r="BF92" s="783">
        <f>IF('Incremental Repayments'!$R$22="Debt",IF(AND(BF$4&gt;=$D92,BF$4&lt;$D92+'Incremental Repayments'!$I$31),-PMT('Interest Rate'!$J$16,'Incremental Repayments'!$I$31,(HLOOKUP($D92,$E$4:$CZ$32,28,FALSE)*'Incremental Repayments'!$I$22)),0),0)</f>
        <v>0</v>
      </c>
      <c r="BG92" s="783">
        <f>IF('Incremental Repayments'!$R$22="Debt",IF(AND(BG$4&gt;=$D92,BG$4&lt;$D92+'Incremental Repayments'!$I$31),-PMT('Interest Rate'!$J$16,'Incremental Repayments'!$I$31,(HLOOKUP($D92,$E$4:$CZ$32,28,FALSE)*'Incremental Repayments'!$I$22)),0),0)</f>
        <v>0</v>
      </c>
      <c r="BH92" s="783">
        <f>IF('Incremental Repayments'!$R$22="Debt",IF(AND(BH$4&gt;=$D92,BH$4&lt;$D92+'Incremental Repayments'!$I$31),-PMT('Interest Rate'!$J$16,'Incremental Repayments'!$I$31,(HLOOKUP($D92,$E$4:$CZ$32,28,FALSE)*'Incremental Repayments'!$I$22)),0),0)</f>
        <v>0</v>
      </c>
      <c r="BI92" s="783">
        <f>IF('Incremental Repayments'!$R$22="Debt",IF(AND(BI$4&gt;=$D92,BI$4&lt;$D92+'Incremental Repayments'!$I$31),-PMT('Interest Rate'!$J$16,'Incremental Repayments'!$I$31,(HLOOKUP($D92,$E$4:$CZ$32,28,FALSE)*'Incremental Repayments'!$I$22)),0),0)</f>
        <v>0</v>
      </c>
      <c r="BJ92" s="783">
        <f>IF('Incremental Repayments'!$R$22="Debt",IF(AND(BJ$4&gt;=$D92,BJ$4&lt;$D92+'Incremental Repayments'!$I$31),-PMT('Interest Rate'!$J$16,'Incremental Repayments'!$I$31,(HLOOKUP($D92,$E$4:$CZ$32,28,FALSE)*'Incremental Repayments'!$I$22)),0),0)</f>
        <v>0</v>
      </c>
      <c r="BK92" s="783">
        <f>IF('Incremental Repayments'!$R$22="Debt",IF(AND(BK$4&gt;=$D92,BK$4&lt;$D92+'Incremental Repayments'!$I$31),-PMT('Interest Rate'!$J$16,'Incremental Repayments'!$I$31,(HLOOKUP($D92,$E$4:$CZ$32,28,FALSE)*'Incremental Repayments'!$I$22)),0),0)</f>
        <v>0</v>
      </c>
      <c r="BL92" s="783">
        <f>IF('Incremental Repayments'!$R$22="Debt",IF(AND(BL$4&gt;=$D92,BL$4&lt;$D92+'Incremental Repayments'!$I$31),-PMT('Interest Rate'!$J$16,'Incremental Repayments'!$I$31,(HLOOKUP($D92,$E$4:$CZ$32,28,FALSE)*'Incremental Repayments'!$I$22)),0),0)</f>
        <v>0</v>
      </c>
      <c r="BM92" s="783">
        <f>IF('Incremental Repayments'!$R$22="Debt",IF(AND(BM$4&gt;=$D92,BM$4&lt;$D92+'Incremental Repayments'!$I$31),-PMT('Interest Rate'!$J$16,'Incremental Repayments'!$I$31,(HLOOKUP($D92,$E$4:$CZ$32,28,FALSE)*'Incremental Repayments'!$I$22)),0),0)</f>
        <v>0</v>
      </c>
      <c r="BN92" s="783">
        <f>IF('Incremental Repayments'!$R$22="Debt",IF(AND(BN$4&gt;=$D92,BN$4&lt;$D92+'Incremental Repayments'!$I$31),-PMT('Interest Rate'!$J$16,'Incremental Repayments'!$I$31,(HLOOKUP($D92,$E$4:$CZ$32,28,FALSE)*'Incremental Repayments'!$I$22)),0),0)</f>
        <v>0</v>
      </c>
      <c r="BO92" s="783">
        <f>IF('Incremental Repayments'!$R$22="Debt",IF(AND(BO$4&gt;=$D92,BO$4&lt;$D92+'Incremental Repayments'!$I$31),-PMT('Interest Rate'!$J$16,'Incremental Repayments'!$I$31,(HLOOKUP($D92,$E$4:$CZ$32,28,FALSE)*'Incremental Repayments'!$I$22)),0),0)</f>
        <v>0</v>
      </c>
      <c r="BP92" s="783">
        <f>IF('Incremental Repayments'!$R$22="Debt",IF(AND(BP$4&gt;=$D92,BP$4&lt;$D92+'Incremental Repayments'!$I$31),-PMT('Interest Rate'!$J$16,'Incremental Repayments'!$I$31,(HLOOKUP($D92,$E$4:$CZ$32,28,FALSE)*'Incremental Repayments'!$I$22)),0),0)</f>
        <v>0</v>
      </c>
      <c r="BQ92" s="783">
        <f>IF('Incremental Repayments'!$R$22="Debt",IF(AND(BQ$4&gt;=$D92,BQ$4&lt;$D92+'Incremental Repayments'!$I$31),-PMT('Interest Rate'!$J$16,'Incremental Repayments'!$I$31,(HLOOKUP($D92,$E$4:$CZ$32,28,FALSE)*'Incremental Repayments'!$I$22)),0),0)</f>
        <v>0</v>
      </c>
      <c r="BR92" s="783">
        <f>IF('Incremental Repayments'!$R$22="Debt",IF(AND(BR$4&gt;=$D92,BR$4&lt;$D92+'Incremental Repayments'!$I$31),-PMT('Interest Rate'!$J$16,'Incremental Repayments'!$I$31,(HLOOKUP($D92,$E$4:$CZ$32,28,FALSE)*'Incremental Repayments'!$I$22)),0),0)</f>
        <v>0</v>
      </c>
      <c r="BS92" s="783">
        <f>IF('Incremental Repayments'!$R$22="Debt",IF(AND(BS$4&gt;=$D92,BS$4&lt;$D92+'Incremental Repayments'!$I$31),-PMT('Interest Rate'!$J$16,'Incremental Repayments'!$I$31,(HLOOKUP($D92,$E$4:$CZ$32,28,FALSE)*'Incremental Repayments'!$I$22)),0),0)</f>
        <v>0</v>
      </c>
      <c r="BT92" s="783">
        <f>IF('Incremental Repayments'!$R$22="Debt",IF(AND(BT$4&gt;=$D92,BT$4&lt;$D92+'Incremental Repayments'!$I$31),-PMT('Interest Rate'!$J$16,'Incremental Repayments'!$I$31,(HLOOKUP($D92,$E$4:$CZ$32,28,FALSE)*'Incremental Repayments'!$I$22)),0),0)</f>
        <v>0</v>
      </c>
      <c r="BU92" s="783">
        <f>IF('Incremental Repayments'!$R$22="Debt",IF(AND(BU$4&gt;=$D92,BU$4&lt;$D92+'Incremental Repayments'!$I$31),-PMT('Interest Rate'!$J$16,'Incremental Repayments'!$I$31,(HLOOKUP($D92,$E$4:$CZ$32,28,FALSE)*'Incremental Repayments'!$I$22)),0),0)</f>
        <v>0</v>
      </c>
      <c r="BV92" s="783">
        <f>IF('Incremental Repayments'!$R$22="Debt",IF(AND(BV$4&gt;=$D92,BV$4&lt;$D92+'Incremental Repayments'!$I$31),-PMT('Interest Rate'!$J$16,'Incremental Repayments'!$I$31,(HLOOKUP($D92,$E$4:$CZ$32,28,FALSE)*'Incremental Repayments'!$I$22)),0),0)</f>
        <v>0</v>
      </c>
      <c r="BW92" s="783">
        <f>IF('Incremental Repayments'!$R$22="Debt",IF(AND(BW$4&gt;=$D92,BW$4&lt;$D92+'Incremental Repayments'!$I$31),-PMT('Interest Rate'!$J$16,'Incremental Repayments'!$I$31,(HLOOKUP($D92,$E$4:$CZ$32,28,FALSE)*'Incremental Repayments'!$I$22)),0),0)</f>
        <v>0</v>
      </c>
      <c r="BX92" s="783">
        <f>IF('Incremental Repayments'!$R$22="Debt",IF(AND(BX$4&gt;=$D92,BX$4&lt;$D92+'Incremental Repayments'!$I$31),-PMT('Interest Rate'!$J$16,'Incremental Repayments'!$I$31,(HLOOKUP($D92,$E$4:$CZ$32,28,FALSE)*'Incremental Repayments'!$I$22)),0),0)</f>
        <v>0</v>
      </c>
      <c r="BY92" s="783">
        <f>IF('Incremental Repayments'!$R$22="Debt",IF(AND(BY$4&gt;=$D92,BY$4&lt;$D92+'Incremental Repayments'!$I$31),-PMT('Interest Rate'!$J$16,'Incremental Repayments'!$I$31,(HLOOKUP($D92,$E$4:$CZ$32,28,FALSE)*'Incremental Repayments'!$I$22)),0),0)</f>
        <v>0</v>
      </c>
      <c r="BZ92" s="783">
        <f>IF('Incremental Repayments'!$R$22="Debt",IF(AND(BZ$4&gt;=$D92,BZ$4&lt;$D92+'Incremental Repayments'!$I$31),-PMT('Interest Rate'!$J$16,'Incremental Repayments'!$I$31,(HLOOKUP($D92,$E$4:$CZ$32,28,FALSE)*'Incremental Repayments'!$I$22)),0),0)</f>
        <v>0</v>
      </c>
      <c r="CA92" s="783">
        <f>IF('Incremental Repayments'!$R$22="Debt",IF(AND(CA$4&gt;=$D92,CA$4&lt;$D92+'Incremental Repayments'!$I$31),-PMT('Interest Rate'!$J$16,'Incremental Repayments'!$I$31,(HLOOKUP($D92,$E$4:$CZ$32,28,FALSE)*'Incremental Repayments'!$I$22)),0),0)</f>
        <v>0</v>
      </c>
      <c r="CB92" s="783">
        <f>IF('Incremental Repayments'!$R$22="Debt",IF(AND(CB$4&gt;=$D92,CB$4&lt;$D92+'Incremental Repayments'!$I$31),-PMT('Interest Rate'!$J$16,'Incremental Repayments'!$I$31,(HLOOKUP($D92,$E$4:$CZ$32,28,FALSE)*'Incremental Repayments'!$I$22)),0),0)</f>
        <v>0</v>
      </c>
      <c r="CC92" s="783">
        <f>IF('Incremental Repayments'!$R$22="Debt",IF(AND(CC$4&gt;=$D92,CC$4&lt;$D92+'Incremental Repayments'!$I$31),-PMT('Interest Rate'!$J$16,'Incremental Repayments'!$I$31,(HLOOKUP($D92,$E$4:$CZ$32,28,FALSE)*'Incremental Repayments'!$I$22)),0),0)</f>
        <v>0</v>
      </c>
      <c r="CD92" s="783">
        <f>IF('Incremental Repayments'!$R$22="Debt",IF(AND(CD$4&gt;=$D92,CD$4&lt;$D92+'Incremental Repayments'!$I$31),-PMT('Interest Rate'!$J$16,'Incremental Repayments'!$I$31,(HLOOKUP($D92,$E$4:$CZ$32,28,FALSE)*'Incremental Repayments'!$I$22)),0),0)</f>
        <v>0</v>
      </c>
      <c r="CE92" s="783">
        <f>IF('Incremental Repayments'!$R$22="Debt",IF(AND(CE$4&gt;=$D92,CE$4&lt;$D92+'Incremental Repayments'!$I$31),-PMT('Interest Rate'!$J$16,'Incremental Repayments'!$I$31,(HLOOKUP($D92,$E$4:$CZ$32,28,FALSE)*'Incremental Repayments'!$I$22)),0),0)</f>
        <v>0</v>
      </c>
      <c r="CF92" s="783">
        <f>IF('Incremental Repayments'!$R$22="Debt",IF(AND(CF$4&gt;=$D92,CF$4&lt;$D92+'Incremental Repayments'!$I$31),-PMT('Interest Rate'!$J$16,'Incremental Repayments'!$I$31,(HLOOKUP($D92,$E$4:$CZ$32,28,FALSE)*'Incremental Repayments'!$I$22)),0),0)</f>
        <v>0</v>
      </c>
      <c r="CG92" s="783">
        <f>IF('Incremental Repayments'!$R$22="Debt",IF(AND(CG$4&gt;=$D92,CG$4&lt;$D92+'Incremental Repayments'!$I$31),-PMT('Interest Rate'!$J$16,'Incremental Repayments'!$I$31,(HLOOKUP($D92,$E$4:$CZ$32,28,FALSE)*'Incremental Repayments'!$I$22)),0),0)</f>
        <v>0</v>
      </c>
      <c r="CH92" s="783">
        <f>IF('Incremental Repayments'!$R$22="Debt",IF(AND(CH$4&gt;=$D92,CH$4&lt;$D92+'Incremental Repayments'!$I$31),-PMT('Interest Rate'!$J$16,'Incremental Repayments'!$I$31,(HLOOKUP($D92,$E$4:$CZ$32,28,FALSE)*'Incremental Repayments'!$I$22)),0),0)</f>
        <v>0</v>
      </c>
      <c r="CI92" s="783">
        <f>IF('Incremental Repayments'!$R$22="Debt",IF(AND(CI$4&gt;=$D92,CI$4&lt;$D92+'Incremental Repayments'!$I$31),-PMT('Interest Rate'!$J$16,'Incremental Repayments'!$I$31,(HLOOKUP($D92,$E$4:$CZ$32,28,FALSE)*'Incremental Repayments'!$I$22)),0),0)</f>
        <v>0</v>
      </c>
      <c r="CJ92" s="783">
        <f>IF('Incremental Repayments'!$R$22="Debt",IF(AND(CJ$4&gt;=$D92,CJ$4&lt;$D92+'Incremental Repayments'!$I$31),-PMT('Interest Rate'!$J$16,'Incremental Repayments'!$I$31,(HLOOKUP($D92,$E$4:$CZ$32,28,FALSE)*'Incremental Repayments'!$I$22)),0),0)</f>
        <v>0</v>
      </c>
      <c r="CK92" s="783">
        <f>IF('Incremental Repayments'!$R$22="Debt",IF(AND(CK$4&gt;=$D92,CK$4&lt;$D92+'Incremental Repayments'!$I$31),-PMT('Interest Rate'!$J$16,'Incremental Repayments'!$I$31,(HLOOKUP($D92,$E$4:$CZ$32,28,FALSE)*'Incremental Repayments'!$I$22)),0),0)</f>
        <v>0</v>
      </c>
      <c r="CL92" s="783">
        <f>IF('Incremental Repayments'!$R$22="Debt",IF(AND(CL$4&gt;=$D92,CL$4&lt;$D92+'Incremental Repayments'!$I$31),-PMT('Interest Rate'!$J$16,'Incremental Repayments'!$I$31,(HLOOKUP($D92,$E$4:$CZ$32,28,FALSE)*'Incremental Repayments'!$I$22)),0),0)</f>
        <v>0</v>
      </c>
      <c r="CM92" s="783">
        <f>IF('Incremental Repayments'!$R$22="Debt",IF(AND(CM$4&gt;=$D92,CM$4&lt;$D92+'Incremental Repayments'!$I$31),-PMT('Interest Rate'!$J$16,'Incremental Repayments'!$I$31,(HLOOKUP($D92,$E$4:$CZ$32,28,FALSE)*'Incremental Repayments'!$I$22)),0),0)</f>
        <v>0</v>
      </c>
      <c r="CN92" s="783">
        <f>IF('Incremental Repayments'!$R$22="Debt",IF(AND(CN$4&gt;=$D92,CN$4&lt;$D92+'Incremental Repayments'!$I$31),-PMT('Interest Rate'!$J$16,'Incremental Repayments'!$I$31,(HLOOKUP($D92,$E$4:$CZ$32,28,FALSE)*'Incremental Repayments'!$I$22)),0),0)</f>
        <v>0</v>
      </c>
      <c r="CO92" s="783">
        <f>IF('Incremental Repayments'!$R$22="Debt",IF(AND(CO$4&gt;=$D92,CO$4&lt;$D92+'Incremental Repayments'!$I$31),-PMT('Interest Rate'!$J$16,'Incremental Repayments'!$I$31,(HLOOKUP($D92,$E$4:$CZ$32,28,FALSE)*'Incremental Repayments'!$I$22)),0),0)</f>
        <v>0</v>
      </c>
      <c r="CP92" s="783">
        <f>IF('Incremental Repayments'!$R$22="Debt",IF(AND(CP$4&gt;=$D92,CP$4&lt;$D92+'Incremental Repayments'!$I$31),-PMT('Interest Rate'!$J$16,'Incremental Repayments'!$I$31,(HLOOKUP($D92,$E$4:$CZ$32,28,FALSE)*'Incremental Repayments'!$I$22)),0),0)</f>
        <v>0</v>
      </c>
      <c r="CQ92" s="783">
        <f>IF('Incremental Repayments'!$R$22="Debt",IF(AND(CQ$4&gt;=$D92,CQ$4&lt;$D92+'Incremental Repayments'!$I$31),-PMT('Interest Rate'!$J$16,'Incremental Repayments'!$I$31,(HLOOKUP($D92,$E$4:$CZ$32,28,FALSE)*'Incremental Repayments'!$I$22)),0),0)</f>
        <v>0</v>
      </c>
      <c r="CR92" s="783">
        <f>IF('Incremental Repayments'!$R$22="Debt",IF(AND(CR$4&gt;=$D92,CR$4&lt;$D92+'Incremental Repayments'!$I$31),-PMT('Interest Rate'!$J$16,'Incremental Repayments'!$I$31,(HLOOKUP($D92,$E$4:$CZ$32,28,FALSE)*'Incremental Repayments'!$I$22)),0),0)</f>
        <v>0</v>
      </c>
      <c r="CS92" s="783">
        <f>IF('Incremental Repayments'!$R$22="Debt",IF(AND(CS$4&gt;=$D92,CS$4&lt;$D92+'Incremental Repayments'!$I$31),-PMT('Interest Rate'!$J$16,'Incremental Repayments'!$I$31,(HLOOKUP($D92,$E$4:$CZ$32,28,FALSE)*'Incremental Repayments'!$I$22)),0),0)</f>
        <v>0</v>
      </c>
      <c r="CT92" s="783">
        <f>IF('Incremental Repayments'!$R$22="Debt",IF(AND(CT$4&gt;=$D92,CT$4&lt;$D92+'Incremental Repayments'!$I$31),-PMT('Interest Rate'!$J$16,'Incremental Repayments'!$I$31,(HLOOKUP($D92,$E$4:$CZ$32,28,FALSE)*'Incremental Repayments'!$I$22)),0),0)</f>
        <v>0</v>
      </c>
      <c r="CU92" s="783">
        <f>IF('Incremental Repayments'!$R$22="Debt",IF(AND(CU$4&gt;=$D92,CU$4&lt;$D92+'Incremental Repayments'!$I$31),-PMT('Interest Rate'!$J$16,'Incremental Repayments'!$I$31,(HLOOKUP($D92,$E$4:$CZ$32,28,FALSE)*'Incremental Repayments'!$I$22)),0),0)</f>
        <v>0</v>
      </c>
      <c r="CV92" s="783">
        <f>IF('Incremental Repayments'!$R$22="Debt",IF(AND(CV$4&gt;=$D92,CV$4&lt;$D92+'Incremental Repayments'!$I$31),-PMT('Interest Rate'!$J$16,'Incremental Repayments'!$I$31,(HLOOKUP($D92,$E$4:$CZ$32,28,FALSE)*'Incremental Repayments'!$I$22)),0),0)</f>
        <v>0</v>
      </c>
      <c r="CW92" s="783">
        <f>IF('Incremental Repayments'!$R$22="Debt",IF(AND(CW$4&gt;=$D92,CW$4&lt;$D92+'Incremental Repayments'!$I$31),-PMT('Interest Rate'!$J$16,'Incremental Repayments'!$I$31,(HLOOKUP($D92,$E$4:$CZ$32,28,FALSE)*'Incremental Repayments'!$I$22)),0),0)</f>
        <v>0</v>
      </c>
      <c r="CX92" s="783">
        <f>IF('Incremental Repayments'!$R$22="Debt",IF(AND(CX$4&gt;=$D92,CX$4&lt;$D92+'Incremental Repayments'!$I$31),-PMT('Interest Rate'!$J$16,'Incremental Repayments'!$I$31,(HLOOKUP($D92,$E$4:$CZ$32,28,FALSE)*'Incremental Repayments'!$I$22)),0),0)</f>
        <v>0</v>
      </c>
      <c r="CY92" s="783">
        <f>IF('Incremental Repayments'!$R$22="Debt",IF(AND(CY$4&gt;=$D92,CY$4&lt;$D92+'Incremental Repayments'!$I$31),-PMT('Interest Rate'!$J$16,'Incremental Repayments'!$I$31,(HLOOKUP($D92,$E$4:$CZ$32,28,FALSE)*'Incremental Repayments'!$I$22)),0),0)</f>
        <v>0</v>
      </c>
      <c r="CZ92" s="783">
        <f>IF('Incremental Repayments'!$R$22="Debt",IF(AND(CZ$4&gt;=$D92,CZ$4&lt;$D92+'Incremental Repayments'!$I$31),-PMT('Interest Rate'!$J$16,'Incremental Repayments'!$I$31,(HLOOKUP($D92,$E$4:$CZ$32,28,FALSE)*'Incremental Repayments'!$I$22)),0),0)</f>
        <v>0</v>
      </c>
    </row>
    <row r="93" spans="2:104" x14ac:dyDescent="0.25">
      <c r="B93" s="480" t="str">
        <f>CONCATENATE("Series ",D93,"A Bonds (at ",'Interest Rate'!$J$16*100,"% Interest)")</f>
        <v>Series 2071A Bonds (at 4.5% Interest)</v>
      </c>
      <c r="C93" s="480"/>
      <c r="D93" s="492">
        <f t="shared" si="47"/>
        <v>2071</v>
      </c>
      <c r="E93" s="783">
        <f>IF('Incremental Repayments'!$R$22="Debt",IF(AND(E$4&gt;=$D93,E$4&lt;$D93+'Incremental Repayments'!$I$31),-PMT('Interest Rate'!$J$16,'Incremental Repayments'!$I$31,(HLOOKUP($D93,$E$4:$CZ$32,28,FALSE)*'Incremental Repayments'!$I$22)),0),0)</f>
        <v>0</v>
      </c>
      <c r="F93" s="783">
        <f>IF('Incremental Repayments'!$R$22="Debt",IF(AND(F$4&gt;=$D93,F$4&lt;$D93+'Incremental Repayments'!$I$31),-PMT('Interest Rate'!$J$16,'Incremental Repayments'!$I$31,(HLOOKUP($D93,$E$4:$CZ$32,28,FALSE)*'Incremental Repayments'!$I$22)),0),0)</f>
        <v>0</v>
      </c>
      <c r="G93" s="783">
        <f>IF('Incremental Repayments'!$R$22="Debt",IF(AND(G$4&gt;=$D93,G$4&lt;$D93+'Incremental Repayments'!$I$31),-PMT('Interest Rate'!$J$16,'Incremental Repayments'!$I$31,(HLOOKUP($D93,$E$4:$CZ$32,28,FALSE)*'Incremental Repayments'!$I$22)),0),0)</f>
        <v>0</v>
      </c>
      <c r="H93" s="783">
        <f>IF('Incremental Repayments'!$R$22="Debt",IF(AND(H$4&gt;=$D93,H$4&lt;$D93+'Incremental Repayments'!$I$31),-PMT('Interest Rate'!$J$16,'Incremental Repayments'!$I$31,(HLOOKUP($D93,$E$4:$CZ$32,28,FALSE)*'Incremental Repayments'!$I$22)),0),0)</f>
        <v>0</v>
      </c>
      <c r="I93" s="783">
        <f>IF('Incremental Repayments'!$R$22="Debt",IF(AND(I$4&gt;=$D93,I$4&lt;$D93+'Incremental Repayments'!$I$31),-PMT('Interest Rate'!$J$16,'Incremental Repayments'!$I$31,(HLOOKUP($D93,$E$4:$CZ$32,28,FALSE)*'Incremental Repayments'!$I$22)),0),0)</f>
        <v>0</v>
      </c>
      <c r="J93" s="783">
        <f>IF('Incremental Repayments'!$R$22="Debt",IF(AND(J$4&gt;=$D93,J$4&lt;$D93+'Incremental Repayments'!$I$31),-PMT('Interest Rate'!$J$16,'Incremental Repayments'!$I$31,(HLOOKUP($D93,$E$4:$CZ$32,28,FALSE)*'Incremental Repayments'!$I$22)),0),0)</f>
        <v>0</v>
      </c>
      <c r="K93" s="783">
        <f>IF('Incremental Repayments'!$R$22="Debt",IF(AND(K$4&gt;=$D93,K$4&lt;$D93+'Incremental Repayments'!$I$31),-PMT('Interest Rate'!$J$16,'Incremental Repayments'!$I$31,(HLOOKUP($D93,$E$4:$CZ$32,28,FALSE)*'Incremental Repayments'!$I$22)),0),0)</f>
        <v>0</v>
      </c>
      <c r="L93" s="783">
        <f>IF('Incremental Repayments'!$R$22="Debt",IF(AND(L$4&gt;=$D93,L$4&lt;$D93+'Incremental Repayments'!$I$31),-PMT('Interest Rate'!$J$16,'Incremental Repayments'!$I$31,(HLOOKUP($D93,$E$4:$CZ$32,28,FALSE)*'Incremental Repayments'!$I$22)),0),0)</f>
        <v>0</v>
      </c>
      <c r="M93" s="783">
        <f>IF('Incremental Repayments'!$R$22="Debt",IF(AND(M$4&gt;=$D93,M$4&lt;$D93+'Incremental Repayments'!$I$31),-PMT('Interest Rate'!$J$16,'Incremental Repayments'!$I$31,(HLOOKUP($D93,$E$4:$CZ$32,28,FALSE)*'Incremental Repayments'!$I$22)),0),0)</f>
        <v>0</v>
      </c>
      <c r="N93" s="783">
        <f>IF('Incremental Repayments'!$R$22="Debt",IF(AND(N$4&gt;=$D93,N$4&lt;$D93+'Incremental Repayments'!$I$31),-PMT('Interest Rate'!$J$16,'Incremental Repayments'!$I$31,(HLOOKUP($D93,$E$4:$CZ$32,28,FALSE)*'Incremental Repayments'!$I$22)),0),0)</f>
        <v>0</v>
      </c>
      <c r="O93" s="783">
        <f>IF('Incremental Repayments'!$R$22="Debt",IF(AND(O$4&gt;=$D93,O$4&lt;$D93+'Incremental Repayments'!$I$31),-PMT('Interest Rate'!$J$16,'Incremental Repayments'!$I$31,(HLOOKUP($D93,$E$4:$CZ$32,28,FALSE)*'Incremental Repayments'!$I$22)),0),0)</f>
        <v>0</v>
      </c>
      <c r="P93" s="783">
        <f>IF('Incremental Repayments'!$R$22="Debt",IF(AND(P$4&gt;=$D93,P$4&lt;$D93+'Incremental Repayments'!$I$31),-PMT('Interest Rate'!$J$16,'Incremental Repayments'!$I$31,(HLOOKUP($D93,$E$4:$CZ$32,28,FALSE)*'Incremental Repayments'!$I$22)),0),0)</f>
        <v>0</v>
      </c>
      <c r="Q93" s="783">
        <f>IF('Incremental Repayments'!$R$22="Debt",IF(AND(Q$4&gt;=$D93,Q$4&lt;$D93+'Incremental Repayments'!$I$31),-PMT('Interest Rate'!$J$16,'Incremental Repayments'!$I$31,(HLOOKUP($D93,$E$4:$CZ$32,28,FALSE)*'Incremental Repayments'!$I$22)),0),0)</f>
        <v>0</v>
      </c>
      <c r="R93" s="783">
        <f>IF('Incremental Repayments'!$R$22="Debt",IF(AND(R$4&gt;=$D93,R$4&lt;$D93+'Incremental Repayments'!$I$31),-PMT('Interest Rate'!$J$16,'Incremental Repayments'!$I$31,(HLOOKUP($D93,$E$4:$CZ$32,28,FALSE)*'Incremental Repayments'!$I$22)),0),0)</f>
        <v>0</v>
      </c>
      <c r="S93" s="783">
        <f>IF('Incremental Repayments'!$R$22="Debt",IF(AND(S$4&gt;=$D93,S$4&lt;$D93+'Incremental Repayments'!$I$31),-PMT('Interest Rate'!$J$16,'Incremental Repayments'!$I$31,(HLOOKUP($D93,$E$4:$CZ$32,28,FALSE)*'Incremental Repayments'!$I$22)),0),0)</f>
        <v>0</v>
      </c>
      <c r="T93" s="783">
        <f>IF('Incremental Repayments'!$R$22="Debt",IF(AND(T$4&gt;=$D93,T$4&lt;$D93+'Incremental Repayments'!$I$31),-PMT('Interest Rate'!$J$16,'Incremental Repayments'!$I$31,(HLOOKUP($D93,$E$4:$CZ$32,28,FALSE)*'Incremental Repayments'!$I$22)),0),0)</f>
        <v>0</v>
      </c>
      <c r="U93" s="783">
        <f>IF('Incremental Repayments'!$R$22="Debt",IF(AND(U$4&gt;=$D93,U$4&lt;$D93+'Incremental Repayments'!$I$31),-PMT('Interest Rate'!$J$16,'Incremental Repayments'!$I$31,(HLOOKUP($D93,$E$4:$CZ$32,28,FALSE)*'Incremental Repayments'!$I$22)),0),0)</f>
        <v>0</v>
      </c>
      <c r="V93" s="783">
        <f>IF('Incremental Repayments'!$R$22="Debt",IF(AND(V$4&gt;=$D93,V$4&lt;$D93+'Incremental Repayments'!$I$31),-PMT('Interest Rate'!$J$16,'Incremental Repayments'!$I$31,(HLOOKUP($D93,$E$4:$CZ$32,28,FALSE)*'Incremental Repayments'!$I$22)),0),0)</f>
        <v>0</v>
      </c>
      <c r="W93" s="783">
        <f>IF('Incremental Repayments'!$R$22="Debt",IF(AND(W$4&gt;=$D93,W$4&lt;$D93+'Incremental Repayments'!$I$31),-PMT('Interest Rate'!$J$16,'Incremental Repayments'!$I$31,(HLOOKUP($D93,$E$4:$CZ$32,28,FALSE)*'Incremental Repayments'!$I$22)),0),0)</f>
        <v>0</v>
      </c>
      <c r="X93" s="783">
        <f>IF('Incremental Repayments'!$R$22="Debt",IF(AND(X$4&gt;=$D93,X$4&lt;$D93+'Incremental Repayments'!$I$31),-PMT('Interest Rate'!$J$16,'Incremental Repayments'!$I$31,(HLOOKUP($D93,$E$4:$CZ$32,28,FALSE)*'Incremental Repayments'!$I$22)),0),0)</f>
        <v>0</v>
      </c>
      <c r="Y93" s="783">
        <f>IF('Incremental Repayments'!$R$22="Debt",IF(AND(Y$4&gt;=$D93,Y$4&lt;$D93+'Incremental Repayments'!$I$31),-PMT('Interest Rate'!$J$16,'Incremental Repayments'!$I$31,(HLOOKUP($D93,$E$4:$CZ$32,28,FALSE)*'Incremental Repayments'!$I$22)),0),0)</f>
        <v>0</v>
      </c>
      <c r="Z93" s="783">
        <f>IF('Incremental Repayments'!$R$22="Debt",IF(AND(Z$4&gt;=$D93,Z$4&lt;$D93+'Incremental Repayments'!$I$31),-PMT('Interest Rate'!$J$16,'Incremental Repayments'!$I$31,(HLOOKUP($D93,$E$4:$CZ$32,28,FALSE)*'Incremental Repayments'!$I$22)),0),0)</f>
        <v>0</v>
      </c>
      <c r="AA93" s="783">
        <f>IF('Incremental Repayments'!$R$22="Debt",IF(AND(AA$4&gt;=$D93,AA$4&lt;$D93+'Incremental Repayments'!$I$31),-PMT('Interest Rate'!$J$16,'Incremental Repayments'!$I$31,(HLOOKUP($D93,$E$4:$CZ$32,28,FALSE)*'Incremental Repayments'!$I$22)),0),0)</f>
        <v>0</v>
      </c>
      <c r="AB93" s="783">
        <f>IF('Incremental Repayments'!$R$22="Debt",IF(AND(AB$4&gt;=$D93,AB$4&lt;$D93+'Incremental Repayments'!$I$31),-PMT('Interest Rate'!$J$16,'Incremental Repayments'!$I$31,(HLOOKUP($D93,$E$4:$CZ$32,28,FALSE)*'Incremental Repayments'!$I$22)),0),0)</f>
        <v>0</v>
      </c>
      <c r="AC93" s="783">
        <f>IF('Incremental Repayments'!$R$22="Debt",IF(AND(AC$4&gt;=$D93,AC$4&lt;$D93+'Incremental Repayments'!$I$31),-PMT('Interest Rate'!$J$16,'Incremental Repayments'!$I$31,(HLOOKUP($D93,$E$4:$CZ$32,28,FALSE)*'Incremental Repayments'!$I$22)),0),0)</f>
        <v>0</v>
      </c>
      <c r="AD93" s="783">
        <f>IF('Incremental Repayments'!$R$22="Debt",IF(AND(AD$4&gt;=$D93,AD$4&lt;$D93+'Incremental Repayments'!$I$31),-PMT('Interest Rate'!$J$16,'Incremental Repayments'!$I$31,(HLOOKUP($D93,$E$4:$CZ$32,28,FALSE)*'Incremental Repayments'!$I$22)),0),0)</f>
        <v>0</v>
      </c>
      <c r="AE93" s="783">
        <f>IF('Incremental Repayments'!$R$22="Debt",IF(AND(AE$4&gt;=$D93,AE$4&lt;$D93+'Incremental Repayments'!$I$31),-PMT('Interest Rate'!$J$16,'Incremental Repayments'!$I$31,(HLOOKUP($D93,$E$4:$CZ$32,28,FALSE)*'Incremental Repayments'!$I$22)),0),0)</f>
        <v>0</v>
      </c>
      <c r="AF93" s="783">
        <f>IF('Incremental Repayments'!$R$22="Debt",IF(AND(AF$4&gt;=$D93,AF$4&lt;$D93+'Incremental Repayments'!$I$31),-PMT('Interest Rate'!$J$16,'Incremental Repayments'!$I$31,(HLOOKUP($D93,$E$4:$CZ$32,28,FALSE)*'Incremental Repayments'!$I$22)),0),0)</f>
        <v>0</v>
      </c>
      <c r="AG93" s="783">
        <f>IF('Incremental Repayments'!$R$22="Debt",IF(AND(AG$4&gt;=$D93,AG$4&lt;$D93+'Incremental Repayments'!$I$31),-PMT('Interest Rate'!$J$16,'Incremental Repayments'!$I$31,(HLOOKUP($D93,$E$4:$CZ$32,28,FALSE)*'Incremental Repayments'!$I$22)),0),0)</f>
        <v>0</v>
      </c>
      <c r="AH93" s="783">
        <f>IF('Incremental Repayments'!$R$22="Debt",IF(AND(AH$4&gt;=$D93,AH$4&lt;$D93+'Incremental Repayments'!$I$31),-PMT('Interest Rate'!$J$16,'Incremental Repayments'!$I$31,(HLOOKUP($D93,$E$4:$CZ$32,28,FALSE)*'Incremental Repayments'!$I$22)),0),0)</f>
        <v>0</v>
      </c>
      <c r="AI93" s="783">
        <f>IF('Incremental Repayments'!$R$22="Debt",IF(AND(AI$4&gt;=$D93,AI$4&lt;$D93+'Incremental Repayments'!$I$31),-PMT('Interest Rate'!$J$16,'Incremental Repayments'!$I$31,(HLOOKUP($D93,$E$4:$CZ$32,28,FALSE)*'Incremental Repayments'!$I$22)),0),0)</f>
        <v>0</v>
      </c>
      <c r="AJ93" s="783">
        <f>IF('Incremental Repayments'!$R$22="Debt",IF(AND(AJ$4&gt;=$D93,AJ$4&lt;$D93+'Incremental Repayments'!$I$31),-PMT('Interest Rate'!$J$16,'Incremental Repayments'!$I$31,(HLOOKUP($D93,$E$4:$CZ$32,28,FALSE)*'Incremental Repayments'!$I$22)),0),0)</f>
        <v>0</v>
      </c>
      <c r="AK93" s="783">
        <f>IF('Incremental Repayments'!$R$22="Debt",IF(AND(AK$4&gt;=$D93,AK$4&lt;$D93+'Incremental Repayments'!$I$31),-PMT('Interest Rate'!$J$16,'Incremental Repayments'!$I$31,(HLOOKUP($D93,$E$4:$CZ$32,28,FALSE)*'Incremental Repayments'!$I$22)),0),0)</f>
        <v>0</v>
      </c>
      <c r="AL93" s="783">
        <f>IF('Incremental Repayments'!$R$22="Debt",IF(AND(AL$4&gt;=$D93,AL$4&lt;$D93+'Incremental Repayments'!$I$31),-PMT('Interest Rate'!$J$16,'Incremental Repayments'!$I$31,(HLOOKUP($D93,$E$4:$CZ$32,28,FALSE)*'Incremental Repayments'!$I$22)),0),0)</f>
        <v>0</v>
      </c>
      <c r="AM93" s="783">
        <f>IF('Incremental Repayments'!$R$22="Debt",IF(AND(AM$4&gt;=$D93,AM$4&lt;$D93+'Incremental Repayments'!$I$31),-PMT('Interest Rate'!$J$16,'Incremental Repayments'!$I$31,(HLOOKUP($D93,$E$4:$CZ$32,28,FALSE)*'Incremental Repayments'!$I$22)),0),0)</f>
        <v>0</v>
      </c>
      <c r="AN93" s="783">
        <f>IF('Incremental Repayments'!$R$22="Debt",IF(AND(AN$4&gt;=$D93,AN$4&lt;$D93+'Incremental Repayments'!$I$31),-PMT('Interest Rate'!$J$16,'Incremental Repayments'!$I$31,(HLOOKUP($D93,$E$4:$CZ$32,28,FALSE)*'Incremental Repayments'!$I$22)),0),0)</f>
        <v>0</v>
      </c>
      <c r="AO93" s="783">
        <f>IF('Incremental Repayments'!$R$22="Debt",IF(AND(AO$4&gt;=$D93,AO$4&lt;$D93+'Incremental Repayments'!$I$31),-PMT('Interest Rate'!$J$16,'Incremental Repayments'!$I$31,(HLOOKUP($D93,$E$4:$CZ$32,28,FALSE)*'Incremental Repayments'!$I$22)),0),0)</f>
        <v>0</v>
      </c>
      <c r="AP93" s="783">
        <f>IF('Incremental Repayments'!$R$22="Debt",IF(AND(AP$4&gt;=$D93,AP$4&lt;$D93+'Incremental Repayments'!$I$31),-PMT('Interest Rate'!$J$16,'Incremental Repayments'!$I$31,(HLOOKUP($D93,$E$4:$CZ$32,28,FALSE)*'Incremental Repayments'!$I$22)),0),0)</f>
        <v>0</v>
      </c>
      <c r="AQ93" s="783">
        <f>IF('Incremental Repayments'!$R$22="Debt",IF(AND(AQ$4&gt;=$D93,AQ$4&lt;$D93+'Incremental Repayments'!$I$31),-PMT('Interest Rate'!$J$16,'Incremental Repayments'!$I$31,(HLOOKUP($D93,$E$4:$CZ$32,28,FALSE)*'Incremental Repayments'!$I$22)),0),0)</f>
        <v>0</v>
      </c>
      <c r="AR93" s="783">
        <f>IF('Incremental Repayments'!$R$22="Debt",IF(AND(AR$4&gt;=$D93,AR$4&lt;$D93+'Incremental Repayments'!$I$31),-PMT('Interest Rate'!$J$16,'Incremental Repayments'!$I$31,(HLOOKUP($D93,$E$4:$CZ$32,28,FALSE)*'Incremental Repayments'!$I$22)),0),0)</f>
        <v>0</v>
      </c>
      <c r="AS93" s="783">
        <f>IF('Incremental Repayments'!$R$22="Debt",IF(AND(AS$4&gt;=$D93,AS$4&lt;$D93+'Incremental Repayments'!$I$31),-PMT('Interest Rate'!$J$16,'Incremental Repayments'!$I$31,(HLOOKUP($D93,$E$4:$CZ$32,28,FALSE)*'Incremental Repayments'!$I$22)),0),0)</f>
        <v>0</v>
      </c>
      <c r="AT93" s="783">
        <f>IF('Incremental Repayments'!$R$22="Debt",IF(AND(AT$4&gt;=$D93,AT$4&lt;$D93+'Incremental Repayments'!$I$31),-PMT('Interest Rate'!$J$16,'Incremental Repayments'!$I$31,(HLOOKUP($D93,$E$4:$CZ$32,28,FALSE)*'Incremental Repayments'!$I$22)),0),0)</f>
        <v>0</v>
      </c>
      <c r="AU93" s="783">
        <f>IF('Incremental Repayments'!$R$22="Debt",IF(AND(AU$4&gt;=$D93,AU$4&lt;$D93+'Incremental Repayments'!$I$31),-PMT('Interest Rate'!$J$16,'Incremental Repayments'!$I$31,(HLOOKUP($D93,$E$4:$CZ$32,28,FALSE)*'Incremental Repayments'!$I$22)),0),0)</f>
        <v>0</v>
      </c>
      <c r="AV93" s="783">
        <f>IF('Incremental Repayments'!$R$22="Debt",IF(AND(AV$4&gt;=$D93,AV$4&lt;$D93+'Incremental Repayments'!$I$31),-PMT('Interest Rate'!$J$16,'Incremental Repayments'!$I$31,(HLOOKUP($D93,$E$4:$CZ$32,28,FALSE)*'Incremental Repayments'!$I$22)),0),0)</f>
        <v>0</v>
      </c>
      <c r="AW93" s="783">
        <f>IF('Incremental Repayments'!$R$22="Debt",IF(AND(AW$4&gt;=$D93,AW$4&lt;$D93+'Incremental Repayments'!$I$31),-PMT('Interest Rate'!$J$16,'Incremental Repayments'!$I$31,(HLOOKUP($D93,$E$4:$CZ$32,28,FALSE)*'Incremental Repayments'!$I$22)),0),0)</f>
        <v>0</v>
      </c>
      <c r="AX93" s="783">
        <f>IF('Incremental Repayments'!$R$22="Debt",IF(AND(AX$4&gt;=$D93,AX$4&lt;$D93+'Incremental Repayments'!$I$31),-PMT('Interest Rate'!$J$16,'Incremental Repayments'!$I$31,(HLOOKUP($D93,$E$4:$CZ$32,28,FALSE)*'Incremental Repayments'!$I$22)),0),0)</f>
        <v>0</v>
      </c>
      <c r="AY93" s="783">
        <f>IF('Incremental Repayments'!$R$22="Debt",IF(AND(AY$4&gt;=$D93,AY$4&lt;$D93+'Incremental Repayments'!$I$31),-PMT('Interest Rate'!$J$16,'Incremental Repayments'!$I$31,(HLOOKUP($D93,$E$4:$CZ$32,28,FALSE)*'Incremental Repayments'!$I$22)),0),0)</f>
        <v>0</v>
      </c>
      <c r="AZ93" s="783">
        <f>IF('Incremental Repayments'!$R$22="Debt",IF(AND(AZ$4&gt;=$D93,AZ$4&lt;$D93+'Incremental Repayments'!$I$31),-PMT('Interest Rate'!$J$16,'Incremental Repayments'!$I$31,(HLOOKUP($D93,$E$4:$CZ$32,28,FALSE)*'Incremental Repayments'!$I$22)),0),0)</f>
        <v>0</v>
      </c>
      <c r="BA93" s="783">
        <f>IF('Incremental Repayments'!$R$22="Debt",IF(AND(BA$4&gt;=$D93,BA$4&lt;$D93+'Incremental Repayments'!$I$31),-PMT('Interest Rate'!$J$16,'Incremental Repayments'!$I$31,(HLOOKUP($D93,$E$4:$CZ$32,28,FALSE)*'Incremental Repayments'!$I$22)),0),0)</f>
        <v>0</v>
      </c>
      <c r="BB93" s="783">
        <f>IF('Incremental Repayments'!$R$22="Debt",IF(AND(BB$4&gt;=$D93,BB$4&lt;$D93+'Incremental Repayments'!$I$31),-PMT('Interest Rate'!$J$16,'Incremental Repayments'!$I$31,(HLOOKUP($D93,$E$4:$CZ$32,28,FALSE)*'Incremental Repayments'!$I$22)),0),0)</f>
        <v>0</v>
      </c>
      <c r="BC93" s="783">
        <f>IF('Incremental Repayments'!$R$22="Debt",IF(AND(BC$4&gt;=$D93,BC$4&lt;$D93+'Incremental Repayments'!$I$31),-PMT('Interest Rate'!$J$16,'Incremental Repayments'!$I$31,(HLOOKUP($D93,$E$4:$CZ$32,28,FALSE)*'Incremental Repayments'!$I$22)),0),0)</f>
        <v>0</v>
      </c>
      <c r="BD93" s="783">
        <f>IF('Incremental Repayments'!$R$22="Debt",IF(AND(BD$4&gt;=$D93,BD$4&lt;$D93+'Incremental Repayments'!$I$31),-PMT('Interest Rate'!$J$16,'Incremental Repayments'!$I$31,(HLOOKUP($D93,$E$4:$CZ$32,28,FALSE)*'Incremental Repayments'!$I$22)),0),0)</f>
        <v>0</v>
      </c>
      <c r="BE93" s="783">
        <f>IF('Incremental Repayments'!$R$22="Debt",IF(AND(BE$4&gt;=$D93,BE$4&lt;$D93+'Incremental Repayments'!$I$31),-PMT('Interest Rate'!$J$16,'Incremental Repayments'!$I$31,(HLOOKUP($D93,$E$4:$CZ$32,28,FALSE)*'Incremental Repayments'!$I$22)),0),0)</f>
        <v>0</v>
      </c>
      <c r="BF93" s="783">
        <f>IF('Incremental Repayments'!$R$22="Debt",IF(AND(BF$4&gt;=$D93,BF$4&lt;$D93+'Incremental Repayments'!$I$31),-PMT('Interest Rate'!$J$16,'Incremental Repayments'!$I$31,(HLOOKUP($D93,$E$4:$CZ$32,28,FALSE)*'Incremental Repayments'!$I$22)),0),0)</f>
        <v>0</v>
      </c>
      <c r="BG93" s="783">
        <f>IF('Incremental Repayments'!$R$22="Debt",IF(AND(BG$4&gt;=$D93,BG$4&lt;$D93+'Incremental Repayments'!$I$31),-PMT('Interest Rate'!$J$16,'Incremental Repayments'!$I$31,(HLOOKUP($D93,$E$4:$CZ$32,28,FALSE)*'Incremental Repayments'!$I$22)),0),0)</f>
        <v>0</v>
      </c>
      <c r="BH93" s="783">
        <f>IF('Incremental Repayments'!$R$22="Debt",IF(AND(BH$4&gt;=$D93,BH$4&lt;$D93+'Incremental Repayments'!$I$31),-PMT('Interest Rate'!$J$16,'Incremental Repayments'!$I$31,(HLOOKUP($D93,$E$4:$CZ$32,28,FALSE)*'Incremental Repayments'!$I$22)),0),0)</f>
        <v>0</v>
      </c>
      <c r="BI93" s="783">
        <f>IF('Incremental Repayments'!$R$22="Debt",IF(AND(BI$4&gt;=$D93,BI$4&lt;$D93+'Incremental Repayments'!$I$31),-PMT('Interest Rate'!$J$16,'Incremental Repayments'!$I$31,(HLOOKUP($D93,$E$4:$CZ$32,28,FALSE)*'Incremental Repayments'!$I$22)),0),0)</f>
        <v>0</v>
      </c>
      <c r="BJ93" s="783">
        <f>IF('Incremental Repayments'!$R$22="Debt",IF(AND(BJ$4&gt;=$D93,BJ$4&lt;$D93+'Incremental Repayments'!$I$31),-PMT('Interest Rate'!$J$16,'Incremental Repayments'!$I$31,(HLOOKUP($D93,$E$4:$CZ$32,28,FALSE)*'Incremental Repayments'!$I$22)),0),0)</f>
        <v>0</v>
      </c>
      <c r="BK93" s="783">
        <f>IF('Incremental Repayments'!$R$22="Debt",IF(AND(BK$4&gt;=$D93,BK$4&lt;$D93+'Incremental Repayments'!$I$31),-PMT('Interest Rate'!$J$16,'Incremental Repayments'!$I$31,(HLOOKUP($D93,$E$4:$CZ$32,28,FALSE)*'Incremental Repayments'!$I$22)),0),0)</f>
        <v>0</v>
      </c>
      <c r="BL93" s="783">
        <f>IF('Incremental Repayments'!$R$22="Debt",IF(AND(BL$4&gt;=$D93,BL$4&lt;$D93+'Incremental Repayments'!$I$31),-PMT('Interest Rate'!$J$16,'Incremental Repayments'!$I$31,(HLOOKUP($D93,$E$4:$CZ$32,28,FALSE)*'Incremental Repayments'!$I$22)),0),0)</f>
        <v>0</v>
      </c>
      <c r="BM93" s="783">
        <f>IF('Incremental Repayments'!$R$22="Debt",IF(AND(BM$4&gt;=$D93,BM$4&lt;$D93+'Incremental Repayments'!$I$31),-PMT('Interest Rate'!$J$16,'Incremental Repayments'!$I$31,(HLOOKUP($D93,$E$4:$CZ$32,28,FALSE)*'Incremental Repayments'!$I$22)),0),0)</f>
        <v>0</v>
      </c>
      <c r="BN93" s="783">
        <f>IF('Incremental Repayments'!$R$22="Debt",IF(AND(BN$4&gt;=$D93,BN$4&lt;$D93+'Incremental Repayments'!$I$31),-PMT('Interest Rate'!$J$16,'Incremental Repayments'!$I$31,(HLOOKUP($D93,$E$4:$CZ$32,28,FALSE)*'Incremental Repayments'!$I$22)),0),0)</f>
        <v>0</v>
      </c>
      <c r="BO93" s="783">
        <f>IF('Incremental Repayments'!$R$22="Debt",IF(AND(BO$4&gt;=$D93,BO$4&lt;$D93+'Incremental Repayments'!$I$31),-PMT('Interest Rate'!$J$16,'Incremental Repayments'!$I$31,(HLOOKUP($D93,$E$4:$CZ$32,28,FALSE)*'Incremental Repayments'!$I$22)),0),0)</f>
        <v>0</v>
      </c>
      <c r="BP93" s="783">
        <f>IF('Incremental Repayments'!$R$22="Debt",IF(AND(BP$4&gt;=$D93,BP$4&lt;$D93+'Incremental Repayments'!$I$31),-PMT('Interest Rate'!$J$16,'Incremental Repayments'!$I$31,(HLOOKUP($D93,$E$4:$CZ$32,28,FALSE)*'Incremental Repayments'!$I$22)),0),0)</f>
        <v>0</v>
      </c>
      <c r="BQ93" s="783">
        <f>IF('Incremental Repayments'!$R$22="Debt",IF(AND(BQ$4&gt;=$D93,BQ$4&lt;$D93+'Incremental Repayments'!$I$31),-PMT('Interest Rate'!$J$16,'Incremental Repayments'!$I$31,(HLOOKUP($D93,$E$4:$CZ$32,28,FALSE)*'Incremental Repayments'!$I$22)),0),0)</f>
        <v>0</v>
      </c>
      <c r="BR93" s="783">
        <f>IF('Incremental Repayments'!$R$22="Debt",IF(AND(BR$4&gt;=$D93,BR$4&lt;$D93+'Incremental Repayments'!$I$31),-PMT('Interest Rate'!$J$16,'Incremental Repayments'!$I$31,(HLOOKUP($D93,$E$4:$CZ$32,28,FALSE)*'Incremental Repayments'!$I$22)),0),0)</f>
        <v>0</v>
      </c>
      <c r="BS93" s="783">
        <f>IF('Incremental Repayments'!$R$22="Debt",IF(AND(BS$4&gt;=$D93,BS$4&lt;$D93+'Incremental Repayments'!$I$31),-PMT('Interest Rate'!$J$16,'Incremental Repayments'!$I$31,(HLOOKUP($D93,$E$4:$CZ$32,28,FALSE)*'Incremental Repayments'!$I$22)),0),0)</f>
        <v>0</v>
      </c>
      <c r="BT93" s="783">
        <f>IF('Incremental Repayments'!$R$22="Debt",IF(AND(BT$4&gt;=$D93,BT$4&lt;$D93+'Incremental Repayments'!$I$31),-PMT('Interest Rate'!$J$16,'Incremental Repayments'!$I$31,(HLOOKUP($D93,$E$4:$CZ$32,28,FALSE)*'Incremental Repayments'!$I$22)),0),0)</f>
        <v>0</v>
      </c>
      <c r="BU93" s="783">
        <f>IF('Incremental Repayments'!$R$22="Debt",IF(AND(BU$4&gt;=$D93,BU$4&lt;$D93+'Incremental Repayments'!$I$31),-PMT('Interest Rate'!$J$16,'Incremental Repayments'!$I$31,(HLOOKUP($D93,$E$4:$CZ$32,28,FALSE)*'Incremental Repayments'!$I$22)),0),0)</f>
        <v>0</v>
      </c>
      <c r="BV93" s="783">
        <f>IF('Incremental Repayments'!$R$22="Debt",IF(AND(BV$4&gt;=$D93,BV$4&lt;$D93+'Incremental Repayments'!$I$31),-PMT('Interest Rate'!$J$16,'Incremental Repayments'!$I$31,(HLOOKUP($D93,$E$4:$CZ$32,28,FALSE)*'Incremental Repayments'!$I$22)),0),0)</f>
        <v>0</v>
      </c>
      <c r="BW93" s="783">
        <f>IF('Incremental Repayments'!$R$22="Debt",IF(AND(BW$4&gt;=$D93,BW$4&lt;$D93+'Incremental Repayments'!$I$31),-PMT('Interest Rate'!$J$16,'Incremental Repayments'!$I$31,(HLOOKUP($D93,$E$4:$CZ$32,28,FALSE)*'Incremental Repayments'!$I$22)),0),0)</f>
        <v>0</v>
      </c>
      <c r="BX93" s="783">
        <f>IF('Incremental Repayments'!$R$22="Debt",IF(AND(BX$4&gt;=$D93,BX$4&lt;$D93+'Incremental Repayments'!$I$31),-PMT('Interest Rate'!$J$16,'Incremental Repayments'!$I$31,(HLOOKUP($D93,$E$4:$CZ$32,28,FALSE)*'Incremental Repayments'!$I$22)),0),0)</f>
        <v>0</v>
      </c>
      <c r="BY93" s="783">
        <f>IF('Incremental Repayments'!$R$22="Debt",IF(AND(BY$4&gt;=$D93,BY$4&lt;$D93+'Incremental Repayments'!$I$31),-PMT('Interest Rate'!$J$16,'Incremental Repayments'!$I$31,(HLOOKUP($D93,$E$4:$CZ$32,28,FALSE)*'Incremental Repayments'!$I$22)),0),0)</f>
        <v>0</v>
      </c>
      <c r="BZ93" s="783">
        <f>IF('Incremental Repayments'!$R$22="Debt",IF(AND(BZ$4&gt;=$D93,BZ$4&lt;$D93+'Incremental Repayments'!$I$31),-PMT('Interest Rate'!$J$16,'Incremental Repayments'!$I$31,(HLOOKUP($D93,$E$4:$CZ$32,28,FALSE)*'Incremental Repayments'!$I$22)),0),0)</f>
        <v>0</v>
      </c>
      <c r="CA93" s="783">
        <f>IF('Incremental Repayments'!$R$22="Debt",IF(AND(CA$4&gt;=$D93,CA$4&lt;$D93+'Incremental Repayments'!$I$31),-PMT('Interest Rate'!$J$16,'Incremental Repayments'!$I$31,(HLOOKUP($D93,$E$4:$CZ$32,28,FALSE)*'Incremental Repayments'!$I$22)),0),0)</f>
        <v>0</v>
      </c>
      <c r="CB93" s="783">
        <f>IF('Incremental Repayments'!$R$22="Debt",IF(AND(CB$4&gt;=$D93,CB$4&lt;$D93+'Incremental Repayments'!$I$31),-PMT('Interest Rate'!$J$16,'Incremental Repayments'!$I$31,(HLOOKUP($D93,$E$4:$CZ$32,28,FALSE)*'Incremental Repayments'!$I$22)),0),0)</f>
        <v>0</v>
      </c>
      <c r="CC93" s="783">
        <f>IF('Incremental Repayments'!$R$22="Debt",IF(AND(CC$4&gt;=$D93,CC$4&lt;$D93+'Incremental Repayments'!$I$31),-PMT('Interest Rate'!$J$16,'Incremental Repayments'!$I$31,(HLOOKUP($D93,$E$4:$CZ$32,28,FALSE)*'Incremental Repayments'!$I$22)),0),0)</f>
        <v>0</v>
      </c>
      <c r="CD93" s="783">
        <f>IF('Incremental Repayments'!$R$22="Debt",IF(AND(CD$4&gt;=$D93,CD$4&lt;$D93+'Incremental Repayments'!$I$31),-PMT('Interest Rate'!$J$16,'Incremental Repayments'!$I$31,(HLOOKUP($D93,$E$4:$CZ$32,28,FALSE)*'Incremental Repayments'!$I$22)),0),0)</f>
        <v>0</v>
      </c>
      <c r="CE93" s="783">
        <f>IF('Incremental Repayments'!$R$22="Debt",IF(AND(CE$4&gt;=$D93,CE$4&lt;$D93+'Incremental Repayments'!$I$31),-PMT('Interest Rate'!$J$16,'Incremental Repayments'!$I$31,(HLOOKUP($D93,$E$4:$CZ$32,28,FALSE)*'Incremental Repayments'!$I$22)),0),0)</f>
        <v>0</v>
      </c>
      <c r="CF93" s="783">
        <f>IF('Incremental Repayments'!$R$22="Debt",IF(AND(CF$4&gt;=$D93,CF$4&lt;$D93+'Incremental Repayments'!$I$31),-PMT('Interest Rate'!$J$16,'Incremental Repayments'!$I$31,(HLOOKUP($D93,$E$4:$CZ$32,28,FALSE)*'Incremental Repayments'!$I$22)),0),0)</f>
        <v>0</v>
      </c>
      <c r="CG93" s="783">
        <f>IF('Incremental Repayments'!$R$22="Debt",IF(AND(CG$4&gt;=$D93,CG$4&lt;$D93+'Incremental Repayments'!$I$31),-PMT('Interest Rate'!$J$16,'Incremental Repayments'!$I$31,(HLOOKUP($D93,$E$4:$CZ$32,28,FALSE)*'Incremental Repayments'!$I$22)),0),0)</f>
        <v>0</v>
      </c>
      <c r="CH93" s="783">
        <f>IF('Incremental Repayments'!$R$22="Debt",IF(AND(CH$4&gt;=$D93,CH$4&lt;$D93+'Incremental Repayments'!$I$31),-PMT('Interest Rate'!$J$16,'Incremental Repayments'!$I$31,(HLOOKUP($D93,$E$4:$CZ$32,28,FALSE)*'Incremental Repayments'!$I$22)),0),0)</f>
        <v>0</v>
      </c>
      <c r="CI93" s="783">
        <f>IF('Incremental Repayments'!$R$22="Debt",IF(AND(CI$4&gt;=$D93,CI$4&lt;$D93+'Incremental Repayments'!$I$31),-PMT('Interest Rate'!$J$16,'Incremental Repayments'!$I$31,(HLOOKUP($D93,$E$4:$CZ$32,28,FALSE)*'Incremental Repayments'!$I$22)),0),0)</f>
        <v>0</v>
      </c>
      <c r="CJ93" s="783">
        <f>IF('Incremental Repayments'!$R$22="Debt",IF(AND(CJ$4&gt;=$D93,CJ$4&lt;$D93+'Incremental Repayments'!$I$31),-PMT('Interest Rate'!$J$16,'Incremental Repayments'!$I$31,(HLOOKUP($D93,$E$4:$CZ$32,28,FALSE)*'Incremental Repayments'!$I$22)),0),0)</f>
        <v>0</v>
      </c>
      <c r="CK93" s="783">
        <f>IF('Incremental Repayments'!$R$22="Debt",IF(AND(CK$4&gt;=$D93,CK$4&lt;$D93+'Incremental Repayments'!$I$31),-PMT('Interest Rate'!$J$16,'Incremental Repayments'!$I$31,(HLOOKUP($D93,$E$4:$CZ$32,28,FALSE)*'Incremental Repayments'!$I$22)),0),0)</f>
        <v>0</v>
      </c>
      <c r="CL93" s="783">
        <f>IF('Incremental Repayments'!$R$22="Debt",IF(AND(CL$4&gt;=$D93,CL$4&lt;$D93+'Incremental Repayments'!$I$31),-PMT('Interest Rate'!$J$16,'Incremental Repayments'!$I$31,(HLOOKUP($D93,$E$4:$CZ$32,28,FALSE)*'Incremental Repayments'!$I$22)),0),0)</f>
        <v>0</v>
      </c>
      <c r="CM93" s="783">
        <f>IF('Incremental Repayments'!$R$22="Debt",IF(AND(CM$4&gt;=$D93,CM$4&lt;$D93+'Incremental Repayments'!$I$31),-PMT('Interest Rate'!$J$16,'Incremental Repayments'!$I$31,(HLOOKUP($D93,$E$4:$CZ$32,28,FALSE)*'Incremental Repayments'!$I$22)),0),0)</f>
        <v>0</v>
      </c>
      <c r="CN93" s="783">
        <f>IF('Incremental Repayments'!$R$22="Debt",IF(AND(CN$4&gt;=$D93,CN$4&lt;$D93+'Incremental Repayments'!$I$31),-PMT('Interest Rate'!$J$16,'Incremental Repayments'!$I$31,(HLOOKUP($D93,$E$4:$CZ$32,28,FALSE)*'Incremental Repayments'!$I$22)),0),0)</f>
        <v>0</v>
      </c>
      <c r="CO93" s="783">
        <f>IF('Incremental Repayments'!$R$22="Debt",IF(AND(CO$4&gt;=$D93,CO$4&lt;$D93+'Incremental Repayments'!$I$31),-PMT('Interest Rate'!$J$16,'Incremental Repayments'!$I$31,(HLOOKUP($D93,$E$4:$CZ$32,28,FALSE)*'Incremental Repayments'!$I$22)),0),0)</f>
        <v>0</v>
      </c>
      <c r="CP93" s="783">
        <f>IF('Incremental Repayments'!$R$22="Debt",IF(AND(CP$4&gt;=$D93,CP$4&lt;$D93+'Incremental Repayments'!$I$31),-PMT('Interest Rate'!$J$16,'Incremental Repayments'!$I$31,(HLOOKUP($D93,$E$4:$CZ$32,28,FALSE)*'Incremental Repayments'!$I$22)),0),0)</f>
        <v>0</v>
      </c>
      <c r="CQ93" s="783">
        <f>IF('Incremental Repayments'!$R$22="Debt",IF(AND(CQ$4&gt;=$D93,CQ$4&lt;$D93+'Incremental Repayments'!$I$31),-PMT('Interest Rate'!$J$16,'Incremental Repayments'!$I$31,(HLOOKUP($D93,$E$4:$CZ$32,28,FALSE)*'Incremental Repayments'!$I$22)),0),0)</f>
        <v>0</v>
      </c>
      <c r="CR93" s="783">
        <f>IF('Incremental Repayments'!$R$22="Debt",IF(AND(CR$4&gt;=$D93,CR$4&lt;$D93+'Incremental Repayments'!$I$31),-PMT('Interest Rate'!$J$16,'Incremental Repayments'!$I$31,(HLOOKUP($D93,$E$4:$CZ$32,28,FALSE)*'Incremental Repayments'!$I$22)),0),0)</f>
        <v>0</v>
      </c>
      <c r="CS93" s="783">
        <f>IF('Incremental Repayments'!$R$22="Debt",IF(AND(CS$4&gt;=$D93,CS$4&lt;$D93+'Incremental Repayments'!$I$31),-PMT('Interest Rate'!$J$16,'Incremental Repayments'!$I$31,(HLOOKUP($D93,$E$4:$CZ$32,28,FALSE)*'Incremental Repayments'!$I$22)),0),0)</f>
        <v>0</v>
      </c>
      <c r="CT93" s="783">
        <f>IF('Incremental Repayments'!$R$22="Debt",IF(AND(CT$4&gt;=$D93,CT$4&lt;$D93+'Incremental Repayments'!$I$31),-PMT('Interest Rate'!$J$16,'Incremental Repayments'!$I$31,(HLOOKUP($D93,$E$4:$CZ$32,28,FALSE)*'Incremental Repayments'!$I$22)),0),0)</f>
        <v>0</v>
      </c>
      <c r="CU93" s="783">
        <f>IF('Incremental Repayments'!$R$22="Debt",IF(AND(CU$4&gt;=$D93,CU$4&lt;$D93+'Incremental Repayments'!$I$31),-PMT('Interest Rate'!$J$16,'Incremental Repayments'!$I$31,(HLOOKUP($D93,$E$4:$CZ$32,28,FALSE)*'Incremental Repayments'!$I$22)),0),0)</f>
        <v>0</v>
      </c>
      <c r="CV93" s="783">
        <f>IF('Incremental Repayments'!$R$22="Debt",IF(AND(CV$4&gt;=$D93,CV$4&lt;$D93+'Incremental Repayments'!$I$31),-PMT('Interest Rate'!$J$16,'Incremental Repayments'!$I$31,(HLOOKUP($D93,$E$4:$CZ$32,28,FALSE)*'Incremental Repayments'!$I$22)),0),0)</f>
        <v>0</v>
      </c>
      <c r="CW93" s="783">
        <f>IF('Incremental Repayments'!$R$22="Debt",IF(AND(CW$4&gt;=$D93,CW$4&lt;$D93+'Incremental Repayments'!$I$31),-PMT('Interest Rate'!$J$16,'Incremental Repayments'!$I$31,(HLOOKUP($D93,$E$4:$CZ$32,28,FALSE)*'Incremental Repayments'!$I$22)),0),0)</f>
        <v>0</v>
      </c>
      <c r="CX93" s="783">
        <f>IF('Incremental Repayments'!$R$22="Debt",IF(AND(CX$4&gt;=$D93,CX$4&lt;$D93+'Incremental Repayments'!$I$31),-PMT('Interest Rate'!$J$16,'Incremental Repayments'!$I$31,(HLOOKUP($D93,$E$4:$CZ$32,28,FALSE)*'Incremental Repayments'!$I$22)),0),0)</f>
        <v>0</v>
      </c>
      <c r="CY93" s="783">
        <f>IF('Incremental Repayments'!$R$22="Debt",IF(AND(CY$4&gt;=$D93,CY$4&lt;$D93+'Incremental Repayments'!$I$31),-PMT('Interest Rate'!$J$16,'Incremental Repayments'!$I$31,(HLOOKUP($D93,$E$4:$CZ$32,28,FALSE)*'Incremental Repayments'!$I$22)),0),0)</f>
        <v>0</v>
      </c>
      <c r="CZ93" s="783">
        <f>IF('Incremental Repayments'!$R$22="Debt",IF(AND(CZ$4&gt;=$D93,CZ$4&lt;$D93+'Incremental Repayments'!$I$31),-PMT('Interest Rate'!$J$16,'Incremental Repayments'!$I$31,(HLOOKUP($D93,$E$4:$CZ$32,28,FALSE)*'Incremental Repayments'!$I$22)),0),0)</f>
        <v>0</v>
      </c>
    </row>
    <row r="94" spans="2:104" x14ac:dyDescent="0.25">
      <c r="B94" s="480" t="str">
        <f>CONCATENATE("Series ",D94,"A Bonds (at ",'Interest Rate'!$J$16*100,"% Interest)")</f>
        <v>Series 2072A Bonds (at 4.5% Interest)</v>
      </c>
      <c r="C94" s="480"/>
      <c r="D94" s="492">
        <f t="shared" si="47"/>
        <v>2072</v>
      </c>
      <c r="E94" s="783">
        <f>IF('Incremental Repayments'!$R$22="Debt",IF(AND(E$4&gt;=$D94,E$4&lt;$D94+'Incremental Repayments'!$I$31),-PMT('Interest Rate'!$J$16,'Incremental Repayments'!$I$31,(HLOOKUP($D94,$E$4:$CZ$32,28,FALSE)*'Incremental Repayments'!$I$22)),0),0)</f>
        <v>0</v>
      </c>
      <c r="F94" s="783">
        <f>IF('Incremental Repayments'!$R$22="Debt",IF(AND(F$4&gt;=$D94,F$4&lt;$D94+'Incremental Repayments'!$I$31),-PMT('Interest Rate'!$J$16,'Incremental Repayments'!$I$31,(HLOOKUP($D94,$E$4:$CZ$32,28,FALSE)*'Incremental Repayments'!$I$22)),0),0)</f>
        <v>0</v>
      </c>
      <c r="G94" s="783">
        <f>IF('Incremental Repayments'!$R$22="Debt",IF(AND(G$4&gt;=$D94,G$4&lt;$D94+'Incremental Repayments'!$I$31),-PMT('Interest Rate'!$J$16,'Incremental Repayments'!$I$31,(HLOOKUP($D94,$E$4:$CZ$32,28,FALSE)*'Incremental Repayments'!$I$22)),0),0)</f>
        <v>0</v>
      </c>
      <c r="H94" s="783">
        <f>IF('Incremental Repayments'!$R$22="Debt",IF(AND(H$4&gt;=$D94,H$4&lt;$D94+'Incremental Repayments'!$I$31),-PMT('Interest Rate'!$J$16,'Incremental Repayments'!$I$31,(HLOOKUP($D94,$E$4:$CZ$32,28,FALSE)*'Incremental Repayments'!$I$22)),0),0)</f>
        <v>0</v>
      </c>
      <c r="I94" s="783">
        <f>IF('Incremental Repayments'!$R$22="Debt",IF(AND(I$4&gt;=$D94,I$4&lt;$D94+'Incremental Repayments'!$I$31),-PMT('Interest Rate'!$J$16,'Incremental Repayments'!$I$31,(HLOOKUP($D94,$E$4:$CZ$32,28,FALSE)*'Incremental Repayments'!$I$22)),0),0)</f>
        <v>0</v>
      </c>
      <c r="J94" s="783">
        <f>IF('Incremental Repayments'!$R$22="Debt",IF(AND(J$4&gt;=$D94,J$4&lt;$D94+'Incremental Repayments'!$I$31),-PMT('Interest Rate'!$J$16,'Incremental Repayments'!$I$31,(HLOOKUP($D94,$E$4:$CZ$32,28,FALSE)*'Incremental Repayments'!$I$22)),0),0)</f>
        <v>0</v>
      </c>
      <c r="K94" s="783">
        <f>IF('Incremental Repayments'!$R$22="Debt",IF(AND(K$4&gt;=$D94,K$4&lt;$D94+'Incremental Repayments'!$I$31),-PMT('Interest Rate'!$J$16,'Incremental Repayments'!$I$31,(HLOOKUP($D94,$E$4:$CZ$32,28,FALSE)*'Incremental Repayments'!$I$22)),0),0)</f>
        <v>0</v>
      </c>
      <c r="L94" s="783">
        <f>IF('Incremental Repayments'!$R$22="Debt",IF(AND(L$4&gt;=$D94,L$4&lt;$D94+'Incremental Repayments'!$I$31),-PMT('Interest Rate'!$J$16,'Incremental Repayments'!$I$31,(HLOOKUP($D94,$E$4:$CZ$32,28,FALSE)*'Incremental Repayments'!$I$22)),0),0)</f>
        <v>0</v>
      </c>
      <c r="M94" s="783">
        <f>IF('Incremental Repayments'!$R$22="Debt",IF(AND(M$4&gt;=$D94,M$4&lt;$D94+'Incremental Repayments'!$I$31),-PMT('Interest Rate'!$J$16,'Incremental Repayments'!$I$31,(HLOOKUP($D94,$E$4:$CZ$32,28,FALSE)*'Incremental Repayments'!$I$22)),0),0)</f>
        <v>0</v>
      </c>
      <c r="N94" s="783">
        <f>IF('Incremental Repayments'!$R$22="Debt",IF(AND(N$4&gt;=$D94,N$4&lt;$D94+'Incremental Repayments'!$I$31),-PMT('Interest Rate'!$J$16,'Incremental Repayments'!$I$31,(HLOOKUP($D94,$E$4:$CZ$32,28,FALSE)*'Incremental Repayments'!$I$22)),0),0)</f>
        <v>0</v>
      </c>
      <c r="O94" s="783">
        <f>IF('Incremental Repayments'!$R$22="Debt",IF(AND(O$4&gt;=$D94,O$4&lt;$D94+'Incremental Repayments'!$I$31),-PMT('Interest Rate'!$J$16,'Incremental Repayments'!$I$31,(HLOOKUP($D94,$E$4:$CZ$32,28,FALSE)*'Incremental Repayments'!$I$22)),0),0)</f>
        <v>0</v>
      </c>
      <c r="P94" s="783">
        <f>IF('Incremental Repayments'!$R$22="Debt",IF(AND(P$4&gt;=$D94,P$4&lt;$D94+'Incremental Repayments'!$I$31),-PMT('Interest Rate'!$J$16,'Incremental Repayments'!$I$31,(HLOOKUP($D94,$E$4:$CZ$32,28,FALSE)*'Incremental Repayments'!$I$22)),0),0)</f>
        <v>0</v>
      </c>
      <c r="Q94" s="783">
        <f>IF('Incremental Repayments'!$R$22="Debt",IF(AND(Q$4&gt;=$D94,Q$4&lt;$D94+'Incremental Repayments'!$I$31),-PMT('Interest Rate'!$J$16,'Incremental Repayments'!$I$31,(HLOOKUP($D94,$E$4:$CZ$32,28,FALSE)*'Incremental Repayments'!$I$22)),0),0)</f>
        <v>0</v>
      </c>
      <c r="R94" s="783">
        <f>IF('Incremental Repayments'!$R$22="Debt",IF(AND(R$4&gt;=$D94,R$4&lt;$D94+'Incremental Repayments'!$I$31),-PMT('Interest Rate'!$J$16,'Incremental Repayments'!$I$31,(HLOOKUP($D94,$E$4:$CZ$32,28,FALSE)*'Incremental Repayments'!$I$22)),0),0)</f>
        <v>0</v>
      </c>
      <c r="S94" s="783">
        <f>IF('Incremental Repayments'!$R$22="Debt",IF(AND(S$4&gt;=$D94,S$4&lt;$D94+'Incremental Repayments'!$I$31),-PMT('Interest Rate'!$J$16,'Incremental Repayments'!$I$31,(HLOOKUP($D94,$E$4:$CZ$32,28,FALSE)*'Incremental Repayments'!$I$22)),0),0)</f>
        <v>0</v>
      </c>
      <c r="T94" s="783">
        <f>IF('Incremental Repayments'!$R$22="Debt",IF(AND(T$4&gt;=$D94,T$4&lt;$D94+'Incremental Repayments'!$I$31),-PMT('Interest Rate'!$J$16,'Incremental Repayments'!$I$31,(HLOOKUP($D94,$E$4:$CZ$32,28,FALSE)*'Incremental Repayments'!$I$22)),0),0)</f>
        <v>0</v>
      </c>
      <c r="U94" s="783">
        <f>IF('Incremental Repayments'!$R$22="Debt",IF(AND(U$4&gt;=$D94,U$4&lt;$D94+'Incremental Repayments'!$I$31),-PMT('Interest Rate'!$J$16,'Incremental Repayments'!$I$31,(HLOOKUP($D94,$E$4:$CZ$32,28,FALSE)*'Incremental Repayments'!$I$22)),0),0)</f>
        <v>0</v>
      </c>
      <c r="V94" s="783">
        <f>IF('Incremental Repayments'!$R$22="Debt",IF(AND(V$4&gt;=$D94,V$4&lt;$D94+'Incremental Repayments'!$I$31),-PMT('Interest Rate'!$J$16,'Incremental Repayments'!$I$31,(HLOOKUP($D94,$E$4:$CZ$32,28,FALSE)*'Incremental Repayments'!$I$22)),0),0)</f>
        <v>0</v>
      </c>
      <c r="W94" s="783">
        <f>IF('Incremental Repayments'!$R$22="Debt",IF(AND(W$4&gt;=$D94,W$4&lt;$D94+'Incremental Repayments'!$I$31),-PMT('Interest Rate'!$J$16,'Incremental Repayments'!$I$31,(HLOOKUP($D94,$E$4:$CZ$32,28,FALSE)*'Incremental Repayments'!$I$22)),0),0)</f>
        <v>0</v>
      </c>
      <c r="X94" s="783">
        <f>IF('Incremental Repayments'!$R$22="Debt",IF(AND(X$4&gt;=$D94,X$4&lt;$D94+'Incremental Repayments'!$I$31),-PMT('Interest Rate'!$J$16,'Incremental Repayments'!$I$31,(HLOOKUP($D94,$E$4:$CZ$32,28,FALSE)*'Incremental Repayments'!$I$22)),0),0)</f>
        <v>0</v>
      </c>
      <c r="Y94" s="783">
        <f>IF('Incremental Repayments'!$R$22="Debt",IF(AND(Y$4&gt;=$D94,Y$4&lt;$D94+'Incremental Repayments'!$I$31),-PMT('Interest Rate'!$J$16,'Incremental Repayments'!$I$31,(HLOOKUP($D94,$E$4:$CZ$32,28,FALSE)*'Incremental Repayments'!$I$22)),0),0)</f>
        <v>0</v>
      </c>
      <c r="Z94" s="783">
        <f>IF('Incremental Repayments'!$R$22="Debt",IF(AND(Z$4&gt;=$D94,Z$4&lt;$D94+'Incremental Repayments'!$I$31),-PMT('Interest Rate'!$J$16,'Incremental Repayments'!$I$31,(HLOOKUP($D94,$E$4:$CZ$32,28,FALSE)*'Incremental Repayments'!$I$22)),0),0)</f>
        <v>0</v>
      </c>
      <c r="AA94" s="783">
        <f>IF('Incremental Repayments'!$R$22="Debt",IF(AND(AA$4&gt;=$D94,AA$4&lt;$D94+'Incremental Repayments'!$I$31),-PMT('Interest Rate'!$J$16,'Incremental Repayments'!$I$31,(HLOOKUP($D94,$E$4:$CZ$32,28,FALSE)*'Incremental Repayments'!$I$22)),0),0)</f>
        <v>0</v>
      </c>
      <c r="AB94" s="783">
        <f>IF('Incremental Repayments'!$R$22="Debt",IF(AND(AB$4&gt;=$D94,AB$4&lt;$D94+'Incremental Repayments'!$I$31),-PMT('Interest Rate'!$J$16,'Incremental Repayments'!$I$31,(HLOOKUP($D94,$E$4:$CZ$32,28,FALSE)*'Incremental Repayments'!$I$22)),0),0)</f>
        <v>0</v>
      </c>
      <c r="AC94" s="783">
        <f>IF('Incremental Repayments'!$R$22="Debt",IF(AND(AC$4&gt;=$D94,AC$4&lt;$D94+'Incremental Repayments'!$I$31),-PMT('Interest Rate'!$J$16,'Incremental Repayments'!$I$31,(HLOOKUP($D94,$E$4:$CZ$32,28,FALSE)*'Incremental Repayments'!$I$22)),0),0)</f>
        <v>0</v>
      </c>
      <c r="AD94" s="783">
        <f>IF('Incremental Repayments'!$R$22="Debt",IF(AND(AD$4&gt;=$D94,AD$4&lt;$D94+'Incremental Repayments'!$I$31),-PMT('Interest Rate'!$J$16,'Incremental Repayments'!$I$31,(HLOOKUP($D94,$E$4:$CZ$32,28,FALSE)*'Incremental Repayments'!$I$22)),0),0)</f>
        <v>0</v>
      </c>
      <c r="AE94" s="783">
        <f>IF('Incremental Repayments'!$R$22="Debt",IF(AND(AE$4&gt;=$D94,AE$4&lt;$D94+'Incremental Repayments'!$I$31),-PMT('Interest Rate'!$J$16,'Incremental Repayments'!$I$31,(HLOOKUP($D94,$E$4:$CZ$32,28,FALSE)*'Incremental Repayments'!$I$22)),0),0)</f>
        <v>0</v>
      </c>
      <c r="AF94" s="783">
        <f>IF('Incremental Repayments'!$R$22="Debt",IF(AND(AF$4&gt;=$D94,AF$4&lt;$D94+'Incremental Repayments'!$I$31),-PMT('Interest Rate'!$J$16,'Incremental Repayments'!$I$31,(HLOOKUP($D94,$E$4:$CZ$32,28,FALSE)*'Incremental Repayments'!$I$22)),0),0)</f>
        <v>0</v>
      </c>
      <c r="AG94" s="783">
        <f>IF('Incremental Repayments'!$R$22="Debt",IF(AND(AG$4&gt;=$D94,AG$4&lt;$D94+'Incremental Repayments'!$I$31),-PMT('Interest Rate'!$J$16,'Incremental Repayments'!$I$31,(HLOOKUP($D94,$E$4:$CZ$32,28,FALSE)*'Incremental Repayments'!$I$22)),0),0)</f>
        <v>0</v>
      </c>
      <c r="AH94" s="783">
        <f>IF('Incremental Repayments'!$R$22="Debt",IF(AND(AH$4&gt;=$D94,AH$4&lt;$D94+'Incremental Repayments'!$I$31),-PMT('Interest Rate'!$J$16,'Incremental Repayments'!$I$31,(HLOOKUP($D94,$E$4:$CZ$32,28,FALSE)*'Incremental Repayments'!$I$22)),0),0)</f>
        <v>0</v>
      </c>
      <c r="AI94" s="783">
        <f>IF('Incremental Repayments'!$R$22="Debt",IF(AND(AI$4&gt;=$D94,AI$4&lt;$D94+'Incremental Repayments'!$I$31),-PMT('Interest Rate'!$J$16,'Incremental Repayments'!$I$31,(HLOOKUP($D94,$E$4:$CZ$32,28,FALSE)*'Incremental Repayments'!$I$22)),0),0)</f>
        <v>0</v>
      </c>
      <c r="AJ94" s="783">
        <f>IF('Incremental Repayments'!$R$22="Debt",IF(AND(AJ$4&gt;=$D94,AJ$4&lt;$D94+'Incremental Repayments'!$I$31),-PMT('Interest Rate'!$J$16,'Incremental Repayments'!$I$31,(HLOOKUP($D94,$E$4:$CZ$32,28,FALSE)*'Incremental Repayments'!$I$22)),0),0)</f>
        <v>0</v>
      </c>
      <c r="AK94" s="783">
        <f>IF('Incremental Repayments'!$R$22="Debt",IF(AND(AK$4&gt;=$D94,AK$4&lt;$D94+'Incremental Repayments'!$I$31),-PMT('Interest Rate'!$J$16,'Incremental Repayments'!$I$31,(HLOOKUP($D94,$E$4:$CZ$32,28,FALSE)*'Incremental Repayments'!$I$22)),0),0)</f>
        <v>0</v>
      </c>
      <c r="AL94" s="783">
        <f>IF('Incremental Repayments'!$R$22="Debt",IF(AND(AL$4&gt;=$D94,AL$4&lt;$D94+'Incremental Repayments'!$I$31),-PMT('Interest Rate'!$J$16,'Incremental Repayments'!$I$31,(HLOOKUP($D94,$E$4:$CZ$32,28,FALSE)*'Incremental Repayments'!$I$22)),0),0)</f>
        <v>0</v>
      </c>
      <c r="AM94" s="783">
        <f>IF('Incremental Repayments'!$R$22="Debt",IF(AND(AM$4&gt;=$D94,AM$4&lt;$D94+'Incremental Repayments'!$I$31),-PMT('Interest Rate'!$J$16,'Incremental Repayments'!$I$31,(HLOOKUP($D94,$E$4:$CZ$32,28,FALSE)*'Incremental Repayments'!$I$22)),0),0)</f>
        <v>0</v>
      </c>
      <c r="AN94" s="783">
        <f>IF('Incremental Repayments'!$R$22="Debt",IF(AND(AN$4&gt;=$D94,AN$4&lt;$D94+'Incremental Repayments'!$I$31),-PMT('Interest Rate'!$J$16,'Incremental Repayments'!$I$31,(HLOOKUP($D94,$E$4:$CZ$32,28,FALSE)*'Incremental Repayments'!$I$22)),0),0)</f>
        <v>0</v>
      </c>
      <c r="AO94" s="783">
        <f>IF('Incremental Repayments'!$R$22="Debt",IF(AND(AO$4&gt;=$D94,AO$4&lt;$D94+'Incremental Repayments'!$I$31),-PMT('Interest Rate'!$J$16,'Incremental Repayments'!$I$31,(HLOOKUP($D94,$E$4:$CZ$32,28,FALSE)*'Incremental Repayments'!$I$22)),0),0)</f>
        <v>0</v>
      </c>
      <c r="AP94" s="783">
        <f>IF('Incremental Repayments'!$R$22="Debt",IF(AND(AP$4&gt;=$D94,AP$4&lt;$D94+'Incremental Repayments'!$I$31),-PMT('Interest Rate'!$J$16,'Incremental Repayments'!$I$31,(HLOOKUP($D94,$E$4:$CZ$32,28,FALSE)*'Incremental Repayments'!$I$22)),0),0)</f>
        <v>0</v>
      </c>
      <c r="AQ94" s="783">
        <f>IF('Incremental Repayments'!$R$22="Debt",IF(AND(AQ$4&gt;=$D94,AQ$4&lt;$D94+'Incremental Repayments'!$I$31),-PMT('Interest Rate'!$J$16,'Incremental Repayments'!$I$31,(HLOOKUP($D94,$E$4:$CZ$32,28,FALSE)*'Incremental Repayments'!$I$22)),0),0)</f>
        <v>0</v>
      </c>
      <c r="AR94" s="783">
        <f>IF('Incremental Repayments'!$R$22="Debt",IF(AND(AR$4&gt;=$D94,AR$4&lt;$D94+'Incremental Repayments'!$I$31),-PMT('Interest Rate'!$J$16,'Incremental Repayments'!$I$31,(HLOOKUP($D94,$E$4:$CZ$32,28,FALSE)*'Incremental Repayments'!$I$22)),0),0)</f>
        <v>0</v>
      </c>
      <c r="AS94" s="783">
        <f>IF('Incremental Repayments'!$R$22="Debt",IF(AND(AS$4&gt;=$D94,AS$4&lt;$D94+'Incremental Repayments'!$I$31),-PMT('Interest Rate'!$J$16,'Incremental Repayments'!$I$31,(HLOOKUP($D94,$E$4:$CZ$32,28,FALSE)*'Incremental Repayments'!$I$22)),0),0)</f>
        <v>0</v>
      </c>
      <c r="AT94" s="783">
        <f>IF('Incremental Repayments'!$R$22="Debt",IF(AND(AT$4&gt;=$D94,AT$4&lt;$D94+'Incremental Repayments'!$I$31),-PMT('Interest Rate'!$J$16,'Incremental Repayments'!$I$31,(HLOOKUP($D94,$E$4:$CZ$32,28,FALSE)*'Incremental Repayments'!$I$22)),0),0)</f>
        <v>0</v>
      </c>
      <c r="AU94" s="783">
        <f>IF('Incremental Repayments'!$R$22="Debt",IF(AND(AU$4&gt;=$D94,AU$4&lt;$D94+'Incremental Repayments'!$I$31),-PMT('Interest Rate'!$J$16,'Incremental Repayments'!$I$31,(HLOOKUP($D94,$E$4:$CZ$32,28,FALSE)*'Incremental Repayments'!$I$22)),0),0)</f>
        <v>0</v>
      </c>
      <c r="AV94" s="783">
        <f>IF('Incremental Repayments'!$R$22="Debt",IF(AND(AV$4&gt;=$D94,AV$4&lt;$D94+'Incremental Repayments'!$I$31),-PMT('Interest Rate'!$J$16,'Incremental Repayments'!$I$31,(HLOOKUP($D94,$E$4:$CZ$32,28,FALSE)*'Incremental Repayments'!$I$22)),0),0)</f>
        <v>0</v>
      </c>
      <c r="AW94" s="783">
        <f>IF('Incremental Repayments'!$R$22="Debt",IF(AND(AW$4&gt;=$D94,AW$4&lt;$D94+'Incremental Repayments'!$I$31),-PMT('Interest Rate'!$J$16,'Incremental Repayments'!$I$31,(HLOOKUP($D94,$E$4:$CZ$32,28,FALSE)*'Incremental Repayments'!$I$22)),0),0)</f>
        <v>0</v>
      </c>
      <c r="AX94" s="783">
        <f>IF('Incremental Repayments'!$R$22="Debt",IF(AND(AX$4&gt;=$D94,AX$4&lt;$D94+'Incremental Repayments'!$I$31),-PMT('Interest Rate'!$J$16,'Incremental Repayments'!$I$31,(HLOOKUP($D94,$E$4:$CZ$32,28,FALSE)*'Incremental Repayments'!$I$22)),0),0)</f>
        <v>0</v>
      </c>
      <c r="AY94" s="783">
        <f>IF('Incremental Repayments'!$R$22="Debt",IF(AND(AY$4&gt;=$D94,AY$4&lt;$D94+'Incremental Repayments'!$I$31),-PMT('Interest Rate'!$J$16,'Incremental Repayments'!$I$31,(HLOOKUP($D94,$E$4:$CZ$32,28,FALSE)*'Incremental Repayments'!$I$22)),0),0)</f>
        <v>0</v>
      </c>
      <c r="AZ94" s="783">
        <f>IF('Incremental Repayments'!$R$22="Debt",IF(AND(AZ$4&gt;=$D94,AZ$4&lt;$D94+'Incremental Repayments'!$I$31),-PMT('Interest Rate'!$J$16,'Incremental Repayments'!$I$31,(HLOOKUP($D94,$E$4:$CZ$32,28,FALSE)*'Incremental Repayments'!$I$22)),0),0)</f>
        <v>0</v>
      </c>
      <c r="BA94" s="783">
        <f>IF('Incremental Repayments'!$R$22="Debt",IF(AND(BA$4&gt;=$D94,BA$4&lt;$D94+'Incremental Repayments'!$I$31),-PMT('Interest Rate'!$J$16,'Incremental Repayments'!$I$31,(HLOOKUP($D94,$E$4:$CZ$32,28,FALSE)*'Incremental Repayments'!$I$22)),0),0)</f>
        <v>0</v>
      </c>
      <c r="BB94" s="783">
        <f>IF('Incremental Repayments'!$R$22="Debt",IF(AND(BB$4&gt;=$D94,BB$4&lt;$D94+'Incremental Repayments'!$I$31),-PMT('Interest Rate'!$J$16,'Incremental Repayments'!$I$31,(HLOOKUP($D94,$E$4:$CZ$32,28,FALSE)*'Incremental Repayments'!$I$22)),0),0)</f>
        <v>0</v>
      </c>
      <c r="BC94" s="783">
        <f>IF('Incremental Repayments'!$R$22="Debt",IF(AND(BC$4&gt;=$D94,BC$4&lt;$D94+'Incremental Repayments'!$I$31),-PMT('Interest Rate'!$J$16,'Incremental Repayments'!$I$31,(HLOOKUP($D94,$E$4:$CZ$32,28,FALSE)*'Incremental Repayments'!$I$22)),0),0)</f>
        <v>0</v>
      </c>
      <c r="BD94" s="783">
        <f>IF('Incremental Repayments'!$R$22="Debt",IF(AND(BD$4&gt;=$D94,BD$4&lt;$D94+'Incremental Repayments'!$I$31),-PMT('Interest Rate'!$J$16,'Incremental Repayments'!$I$31,(HLOOKUP($D94,$E$4:$CZ$32,28,FALSE)*'Incremental Repayments'!$I$22)),0),0)</f>
        <v>0</v>
      </c>
      <c r="BE94" s="783">
        <f>IF('Incremental Repayments'!$R$22="Debt",IF(AND(BE$4&gt;=$D94,BE$4&lt;$D94+'Incremental Repayments'!$I$31),-PMT('Interest Rate'!$J$16,'Incremental Repayments'!$I$31,(HLOOKUP($D94,$E$4:$CZ$32,28,FALSE)*'Incremental Repayments'!$I$22)),0),0)</f>
        <v>0</v>
      </c>
      <c r="BF94" s="783">
        <f>IF('Incremental Repayments'!$R$22="Debt",IF(AND(BF$4&gt;=$D94,BF$4&lt;$D94+'Incremental Repayments'!$I$31),-PMT('Interest Rate'!$J$16,'Incremental Repayments'!$I$31,(HLOOKUP($D94,$E$4:$CZ$32,28,FALSE)*'Incremental Repayments'!$I$22)),0),0)</f>
        <v>0</v>
      </c>
      <c r="BG94" s="783">
        <f>IF('Incremental Repayments'!$R$22="Debt",IF(AND(BG$4&gt;=$D94,BG$4&lt;$D94+'Incremental Repayments'!$I$31),-PMT('Interest Rate'!$J$16,'Incremental Repayments'!$I$31,(HLOOKUP($D94,$E$4:$CZ$32,28,FALSE)*'Incremental Repayments'!$I$22)),0),0)</f>
        <v>0</v>
      </c>
      <c r="BH94" s="783">
        <f>IF('Incremental Repayments'!$R$22="Debt",IF(AND(BH$4&gt;=$D94,BH$4&lt;$D94+'Incremental Repayments'!$I$31),-PMT('Interest Rate'!$J$16,'Incremental Repayments'!$I$31,(HLOOKUP($D94,$E$4:$CZ$32,28,FALSE)*'Incremental Repayments'!$I$22)),0),0)</f>
        <v>0</v>
      </c>
      <c r="BI94" s="783">
        <f>IF('Incremental Repayments'!$R$22="Debt",IF(AND(BI$4&gt;=$D94,BI$4&lt;$D94+'Incremental Repayments'!$I$31),-PMT('Interest Rate'!$J$16,'Incremental Repayments'!$I$31,(HLOOKUP($D94,$E$4:$CZ$32,28,FALSE)*'Incremental Repayments'!$I$22)),0),0)</f>
        <v>0</v>
      </c>
      <c r="BJ94" s="783">
        <f>IF('Incremental Repayments'!$R$22="Debt",IF(AND(BJ$4&gt;=$D94,BJ$4&lt;$D94+'Incremental Repayments'!$I$31),-PMT('Interest Rate'!$J$16,'Incremental Repayments'!$I$31,(HLOOKUP($D94,$E$4:$CZ$32,28,FALSE)*'Incremental Repayments'!$I$22)),0),0)</f>
        <v>0</v>
      </c>
      <c r="BK94" s="783">
        <f>IF('Incremental Repayments'!$R$22="Debt",IF(AND(BK$4&gt;=$D94,BK$4&lt;$D94+'Incremental Repayments'!$I$31),-PMT('Interest Rate'!$J$16,'Incremental Repayments'!$I$31,(HLOOKUP($D94,$E$4:$CZ$32,28,FALSE)*'Incremental Repayments'!$I$22)),0),0)</f>
        <v>0</v>
      </c>
      <c r="BL94" s="783">
        <f>IF('Incremental Repayments'!$R$22="Debt",IF(AND(BL$4&gt;=$D94,BL$4&lt;$D94+'Incremental Repayments'!$I$31),-PMT('Interest Rate'!$J$16,'Incremental Repayments'!$I$31,(HLOOKUP($D94,$E$4:$CZ$32,28,FALSE)*'Incremental Repayments'!$I$22)),0),0)</f>
        <v>0</v>
      </c>
      <c r="BM94" s="783">
        <f>IF('Incremental Repayments'!$R$22="Debt",IF(AND(BM$4&gt;=$D94,BM$4&lt;$D94+'Incremental Repayments'!$I$31),-PMT('Interest Rate'!$J$16,'Incremental Repayments'!$I$31,(HLOOKUP($D94,$E$4:$CZ$32,28,FALSE)*'Incremental Repayments'!$I$22)),0),0)</f>
        <v>0</v>
      </c>
      <c r="BN94" s="783">
        <f>IF('Incremental Repayments'!$R$22="Debt",IF(AND(BN$4&gt;=$D94,BN$4&lt;$D94+'Incremental Repayments'!$I$31),-PMT('Interest Rate'!$J$16,'Incremental Repayments'!$I$31,(HLOOKUP($D94,$E$4:$CZ$32,28,FALSE)*'Incremental Repayments'!$I$22)),0),0)</f>
        <v>0</v>
      </c>
      <c r="BO94" s="783">
        <f>IF('Incremental Repayments'!$R$22="Debt",IF(AND(BO$4&gt;=$D94,BO$4&lt;$D94+'Incremental Repayments'!$I$31),-PMT('Interest Rate'!$J$16,'Incremental Repayments'!$I$31,(HLOOKUP($D94,$E$4:$CZ$32,28,FALSE)*'Incremental Repayments'!$I$22)),0),0)</f>
        <v>0</v>
      </c>
      <c r="BP94" s="783">
        <f>IF('Incremental Repayments'!$R$22="Debt",IF(AND(BP$4&gt;=$D94,BP$4&lt;$D94+'Incremental Repayments'!$I$31),-PMT('Interest Rate'!$J$16,'Incremental Repayments'!$I$31,(HLOOKUP($D94,$E$4:$CZ$32,28,FALSE)*'Incremental Repayments'!$I$22)),0),0)</f>
        <v>0</v>
      </c>
      <c r="BQ94" s="783">
        <f>IF('Incremental Repayments'!$R$22="Debt",IF(AND(BQ$4&gt;=$D94,BQ$4&lt;$D94+'Incremental Repayments'!$I$31),-PMT('Interest Rate'!$J$16,'Incremental Repayments'!$I$31,(HLOOKUP($D94,$E$4:$CZ$32,28,FALSE)*'Incremental Repayments'!$I$22)),0),0)</f>
        <v>0</v>
      </c>
      <c r="BR94" s="783">
        <f>IF('Incremental Repayments'!$R$22="Debt",IF(AND(BR$4&gt;=$D94,BR$4&lt;$D94+'Incremental Repayments'!$I$31),-PMT('Interest Rate'!$J$16,'Incremental Repayments'!$I$31,(HLOOKUP($D94,$E$4:$CZ$32,28,FALSE)*'Incremental Repayments'!$I$22)),0),0)</f>
        <v>0</v>
      </c>
      <c r="BS94" s="783">
        <f>IF('Incremental Repayments'!$R$22="Debt",IF(AND(BS$4&gt;=$D94,BS$4&lt;$D94+'Incremental Repayments'!$I$31),-PMT('Interest Rate'!$J$16,'Incremental Repayments'!$I$31,(HLOOKUP($D94,$E$4:$CZ$32,28,FALSE)*'Incremental Repayments'!$I$22)),0),0)</f>
        <v>0</v>
      </c>
      <c r="BT94" s="783">
        <f>IF('Incremental Repayments'!$R$22="Debt",IF(AND(BT$4&gt;=$D94,BT$4&lt;$D94+'Incremental Repayments'!$I$31),-PMT('Interest Rate'!$J$16,'Incremental Repayments'!$I$31,(HLOOKUP($D94,$E$4:$CZ$32,28,FALSE)*'Incremental Repayments'!$I$22)),0),0)</f>
        <v>0</v>
      </c>
      <c r="BU94" s="783">
        <f>IF('Incremental Repayments'!$R$22="Debt",IF(AND(BU$4&gt;=$D94,BU$4&lt;$D94+'Incremental Repayments'!$I$31),-PMT('Interest Rate'!$J$16,'Incremental Repayments'!$I$31,(HLOOKUP($D94,$E$4:$CZ$32,28,FALSE)*'Incremental Repayments'!$I$22)),0),0)</f>
        <v>0</v>
      </c>
      <c r="BV94" s="783">
        <f>IF('Incremental Repayments'!$R$22="Debt",IF(AND(BV$4&gt;=$D94,BV$4&lt;$D94+'Incremental Repayments'!$I$31),-PMT('Interest Rate'!$J$16,'Incremental Repayments'!$I$31,(HLOOKUP($D94,$E$4:$CZ$32,28,FALSE)*'Incremental Repayments'!$I$22)),0),0)</f>
        <v>0</v>
      </c>
      <c r="BW94" s="783">
        <f>IF('Incremental Repayments'!$R$22="Debt",IF(AND(BW$4&gt;=$D94,BW$4&lt;$D94+'Incremental Repayments'!$I$31),-PMT('Interest Rate'!$J$16,'Incremental Repayments'!$I$31,(HLOOKUP($D94,$E$4:$CZ$32,28,FALSE)*'Incremental Repayments'!$I$22)),0),0)</f>
        <v>0</v>
      </c>
      <c r="BX94" s="783">
        <f>IF('Incremental Repayments'!$R$22="Debt",IF(AND(BX$4&gt;=$D94,BX$4&lt;$D94+'Incremental Repayments'!$I$31),-PMT('Interest Rate'!$J$16,'Incremental Repayments'!$I$31,(HLOOKUP($D94,$E$4:$CZ$32,28,FALSE)*'Incremental Repayments'!$I$22)),0),0)</f>
        <v>0</v>
      </c>
      <c r="BY94" s="783">
        <f>IF('Incremental Repayments'!$R$22="Debt",IF(AND(BY$4&gt;=$D94,BY$4&lt;$D94+'Incremental Repayments'!$I$31),-PMT('Interest Rate'!$J$16,'Incremental Repayments'!$I$31,(HLOOKUP($D94,$E$4:$CZ$32,28,FALSE)*'Incremental Repayments'!$I$22)),0),0)</f>
        <v>0</v>
      </c>
      <c r="BZ94" s="783">
        <f>IF('Incremental Repayments'!$R$22="Debt",IF(AND(BZ$4&gt;=$D94,BZ$4&lt;$D94+'Incremental Repayments'!$I$31),-PMT('Interest Rate'!$J$16,'Incremental Repayments'!$I$31,(HLOOKUP($D94,$E$4:$CZ$32,28,FALSE)*'Incremental Repayments'!$I$22)),0),0)</f>
        <v>0</v>
      </c>
      <c r="CA94" s="783">
        <f>IF('Incremental Repayments'!$R$22="Debt",IF(AND(CA$4&gt;=$D94,CA$4&lt;$D94+'Incremental Repayments'!$I$31),-PMT('Interest Rate'!$J$16,'Incremental Repayments'!$I$31,(HLOOKUP($D94,$E$4:$CZ$32,28,FALSE)*'Incremental Repayments'!$I$22)),0),0)</f>
        <v>0</v>
      </c>
      <c r="CB94" s="783">
        <f>IF('Incremental Repayments'!$R$22="Debt",IF(AND(CB$4&gt;=$D94,CB$4&lt;$D94+'Incremental Repayments'!$I$31),-PMT('Interest Rate'!$J$16,'Incremental Repayments'!$I$31,(HLOOKUP($D94,$E$4:$CZ$32,28,FALSE)*'Incremental Repayments'!$I$22)),0),0)</f>
        <v>0</v>
      </c>
      <c r="CC94" s="783">
        <f>IF('Incremental Repayments'!$R$22="Debt",IF(AND(CC$4&gt;=$D94,CC$4&lt;$D94+'Incremental Repayments'!$I$31),-PMT('Interest Rate'!$J$16,'Incremental Repayments'!$I$31,(HLOOKUP($D94,$E$4:$CZ$32,28,FALSE)*'Incremental Repayments'!$I$22)),0),0)</f>
        <v>0</v>
      </c>
      <c r="CD94" s="783">
        <f>IF('Incremental Repayments'!$R$22="Debt",IF(AND(CD$4&gt;=$D94,CD$4&lt;$D94+'Incremental Repayments'!$I$31),-PMT('Interest Rate'!$J$16,'Incremental Repayments'!$I$31,(HLOOKUP($D94,$E$4:$CZ$32,28,FALSE)*'Incremental Repayments'!$I$22)),0),0)</f>
        <v>0</v>
      </c>
      <c r="CE94" s="783">
        <f>IF('Incremental Repayments'!$R$22="Debt",IF(AND(CE$4&gt;=$D94,CE$4&lt;$D94+'Incremental Repayments'!$I$31),-PMT('Interest Rate'!$J$16,'Incremental Repayments'!$I$31,(HLOOKUP($D94,$E$4:$CZ$32,28,FALSE)*'Incremental Repayments'!$I$22)),0),0)</f>
        <v>0</v>
      </c>
      <c r="CF94" s="783">
        <f>IF('Incremental Repayments'!$R$22="Debt",IF(AND(CF$4&gt;=$D94,CF$4&lt;$D94+'Incremental Repayments'!$I$31),-PMT('Interest Rate'!$J$16,'Incremental Repayments'!$I$31,(HLOOKUP($D94,$E$4:$CZ$32,28,FALSE)*'Incremental Repayments'!$I$22)),0),0)</f>
        <v>0</v>
      </c>
      <c r="CG94" s="783">
        <f>IF('Incremental Repayments'!$R$22="Debt",IF(AND(CG$4&gt;=$D94,CG$4&lt;$D94+'Incremental Repayments'!$I$31),-PMT('Interest Rate'!$J$16,'Incremental Repayments'!$I$31,(HLOOKUP($D94,$E$4:$CZ$32,28,FALSE)*'Incremental Repayments'!$I$22)),0),0)</f>
        <v>0</v>
      </c>
      <c r="CH94" s="783">
        <f>IF('Incremental Repayments'!$R$22="Debt",IF(AND(CH$4&gt;=$D94,CH$4&lt;$D94+'Incremental Repayments'!$I$31),-PMT('Interest Rate'!$J$16,'Incremental Repayments'!$I$31,(HLOOKUP($D94,$E$4:$CZ$32,28,FALSE)*'Incremental Repayments'!$I$22)),0),0)</f>
        <v>0</v>
      </c>
      <c r="CI94" s="783">
        <f>IF('Incremental Repayments'!$R$22="Debt",IF(AND(CI$4&gt;=$D94,CI$4&lt;$D94+'Incremental Repayments'!$I$31),-PMT('Interest Rate'!$J$16,'Incremental Repayments'!$I$31,(HLOOKUP($D94,$E$4:$CZ$32,28,FALSE)*'Incremental Repayments'!$I$22)),0),0)</f>
        <v>0</v>
      </c>
      <c r="CJ94" s="783">
        <f>IF('Incremental Repayments'!$R$22="Debt",IF(AND(CJ$4&gt;=$D94,CJ$4&lt;$D94+'Incremental Repayments'!$I$31),-PMT('Interest Rate'!$J$16,'Incremental Repayments'!$I$31,(HLOOKUP($D94,$E$4:$CZ$32,28,FALSE)*'Incremental Repayments'!$I$22)),0),0)</f>
        <v>0</v>
      </c>
      <c r="CK94" s="783">
        <f>IF('Incremental Repayments'!$R$22="Debt",IF(AND(CK$4&gt;=$D94,CK$4&lt;$D94+'Incremental Repayments'!$I$31),-PMT('Interest Rate'!$J$16,'Incremental Repayments'!$I$31,(HLOOKUP($D94,$E$4:$CZ$32,28,FALSE)*'Incremental Repayments'!$I$22)),0),0)</f>
        <v>0</v>
      </c>
      <c r="CL94" s="783">
        <f>IF('Incremental Repayments'!$R$22="Debt",IF(AND(CL$4&gt;=$D94,CL$4&lt;$D94+'Incremental Repayments'!$I$31),-PMT('Interest Rate'!$J$16,'Incremental Repayments'!$I$31,(HLOOKUP($D94,$E$4:$CZ$32,28,FALSE)*'Incremental Repayments'!$I$22)),0),0)</f>
        <v>0</v>
      </c>
      <c r="CM94" s="783">
        <f>IF('Incremental Repayments'!$R$22="Debt",IF(AND(CM$4&gt;=$D94,CM$4&lt;$D94+'Incremental Repayments'!$I$31),-PMT('Interest Rate'!$J$16,'Incremental Repayments'!$I$31,(HLOOKUP($D94,$E$4:$CZ$32,28,FALSE)*'Incremental Repayments'!$I$22)),0),0)</f>
        <v>0</v>
      </c>
      <c r="CN94" s="783">
        <f>IF('Incremental Repayments'!$R$22="Debt",IF(AND(CN$4&gt;=$D94,CN$4&lt;$D94+'Incremental Repayments'!$I$31),-PMT('Interest Rate'!$J$16,'Incremental Repayments'!$I$31,(HLOOKUP($D94,$E$4:$CZ$32,28,FALSE)*'Incremental Repayments'!$I$22)),0),0)</f>
        <v>0</v>
      </c>
      <c r="CO94" s="783">
        <f>IF('Incremental Repayments'!$R$22="Debt",IF(AND(CO$4&gt;=$D94,CO$4&lt;$D94+'Incremental Repayments'!$I$31),-PMT('Interest Rate'!$J$16,'Incremental Repayments'!$I$31,(HLOOKUP($D94,$E$4:$CZ$32,28,FALSE)*'Incremental Repayments'!$I$22)),0),0)</f>
        <v>0</v>
      </c>
      <c r="CP94" s="783">
        <f>IF('Incremental Repayments'!$R$22="Debt",IF(AND(CP$4&gt;=$D94,CP$4&lt;$D94+'Incremental Repayments'!$I$31),-PMT('Interest Rate'!$J$16,'Incremental Repayments'!$I$31,(HLOOKUP($D94,$E$4:$CZ$32,28,FALSE)*'Incremental Repayments'!$I$22)),0),0)</f>
        <v>0</v>
      </c>
      <c r="CQ94" s="783">
        <f>IF('Incremental Repayments'!$R$22="Debt",IF(AND(CQ$4&gt;=$D94,CQ$4&lt;$D94+'Incremental Repayments'!$I$31),-PMT('Interest Rate'!$J$16,'Incremental Repayments'!$I$31,(HLOOKUP($D94,$E$4:$CZ$32,28,FALSE)*'Incremental Repayments'!$I$22)),0),0)</f>
        <v>0</v>
      </c>
      <c r="CR94" s="783">
        <f>IF('Incremental Repayments'!$R$22="Debt",IF(AND(CR$4&gt;=$D94,CR$4&lt;$D94+'Incremental Repayments'!$I$31),-PMT('Interest Rate'!$J$16,'Incremental Repayments'!$I$31,(HLOOKUP($D94,$E$4:$CZ$32,28,FALSE)*'Incremental Repayments'!$I$22)),0),0)</f>
        <v>0</v>
      </c>
      <c r="CS94" s="783">
        <f>IF('Incremental Repayments'!$R$22="Debt",IF(AND(CS$4&gt;=$D94,CS$4&lt;$D94+'Incremental Repayments'!$I$31),-PMT('Interest Rate'!$J$16,'Incremental Repayments'!$I$31,(HLOOKUP($D94,$E$4:$CZ$32,28,FALSE)*'Incremental Repayments'!$I$22)),0),0)</f>
        <v>0</v>
      </c>
      <c r="CT94" s="783">
        <f>IF('Incremental Repayments'!$R$22="Debt",IF(AND(CT$4&gt;=$D94,CT$4&lt;$D94+'Incremental Repayments'!$I$31),-PMT('Interest Rate'!$J$16,'Incremental Repayments'!$I$31,(HLOOKUP($D94,$E$4:$CZ$32,28,FALSE)*'Incremental Repayments'!$I$22)),0),0)</f>
        <v>0</v>
      </c>
      <c r="CU94" s="783">
        <f>IF('Incremental Repayments'!$R$22="Debt",IF(AND(CU$4&gt;=$D94,CU$4&lt;$D94+'Incremental Repayments'!$I$31),-PMT('Interest Rate'!$J$16,'Incremental Repayments'!$I$31,(HLOOKUP($D94,$E$4:$CZ$32,28,FALSE)*'Incremental Repayments'!$I$22)),0),0)</f>
        <v>0</v>
      </c>
      <c r="CV94" s="783">
        <f>IF('Incremental Repayments'!$R$22="Debt",IF(AND(CV$4&gt;=$D94,CV$4&lt;$D94+'Incremental Repayments'!$I$31),-PMT('Interest Rate'!$J$16,'Incremental Repayments'!$I$31,(HLOOKUP($D94,$E$4:$CZ$32,28,FALSE)*'Incremental Repayments'!$I$22)),0),0)</f>
        <v>0</v>
      </c>
      <c r="CW94" s="783">
        <f>IF('Incremental Repayments'!$R$22="Debt",IF(AND(CW$4&gt;=$D94,CW$4&lt;$D94+'Incremental Repayments'!$I$31),-PMT('Interest Rate'!$J$16,'Incremental Repayments'!$I$31,(HLOOKUP($D94,$E$4:$CZ$32,28,FALSE)*'Incremental Repayments'!$I$22)),0),0)</f>
        <v>0</v>
      </c>
      <c r="CX94" s="783">
        <f>IF('Incremental Repayments'!$R$22="Debt",IF(AND(CX$4&gt;=$D94,CX$4&lt;$D94+'Incremental Repayments'!$I$31),-PMT('Interest Rate'!$J$16,'Incremental Repayments'!$I$31,(HLOOKUP($D94,$E$4:$CZ$32,28,FALSE)*'Incremental Repayments'!$I$22)),0),0)</f>
        <v>0</v>
      </c>
      <c r="CY94" s="783">
        <f>IF('Incremental Repayments'!$R$22="Debt",IF(AND(CY$4&gt;=$D94,CY$4&lt;$D94+'Incremental Repayments'!$I$31),-PMT('Interest Rate'!$J$16,'Incremental Repayments'!$I$31,(HLOOKUP($D94,$E$4:$CZ$32,28,FALSE)*'Incremental Repayments'!$I$22)),0),0)</f>
        <v>0</v>
      </c>
      <c r="CZ94" s="783">
        <f>IF('Incremental Repayments'!$R$22="Debt",IF(AND(CZ$4&gt;=$D94,CZ$4&lt;$D94+'Incremental Repayments'!$I$31),-PMT('Interest Rate'!$J$16,'Incremental Repayments'!$I$31,(HLOOKUP($D94,$E$4:$CZ$32,28,FALSE)*'Incremental Repayments'!$I$22)),0),0)</f>
        <v>0</v>
      </c>
    </row>
    <row r="95" spans="2:104" x14ac:dyDescent="0.25">
      <c r="B95" s="480" t="str">
        <f>CONCATENATE("Series ",D95,"A Bonds (at ",'Interest Rate'!$J$16*100,"% Interest)")</f>
        <v>Series 2073A Bonds (at 4.5% Interest)</v>
      </c>
      <c r="C95" s="480"/>
      <c r="D95" s="492">
        <f t="shared" si="47"/>
        <v>2073</v>
      </c>
      <c r="E95" s="783">
        <f>IF('Incremental Repayments'!$R$22="Debt",IF(AND(E$4&gt;=$D95,E$4&lt;$D95+'Incremental Repayments'!$I$31),-PMT('Interest Rate'!$J$16,'Incremental Repayments'!$I$31,(HLOOKUP($D95,$E$4:$CZ$32,28,FALSE)*'Incremental Repayments'!$I$22)),0),0)</f>
        <v>0</v>
      </c>
      <c r="F95" s="783">
        <f>IF('Incremental Repayments'!$R$22="Debt",IF(AND(F$4&gt;=$D95,F$4&lt;$D95+'Incremental Repayments'!$I$31),-PMT('Interest Rate'!$J$16,'Incremental Repayments'!$I$31,(HLOOKUP($D95,$E$4:$CZ$32,28,FALSE)*'Incremental Repayments'!$I$22)),0),0)</f>
        <v>0</v>
      </c>
      <c r="G95" s="783">
        <f>IF('Incremental Repayments'!$R$22="Debt",IF(AND(G$4&gt;=$D95,G$4&lt;$D95+'Incremental Repayments'!$I$31),-PMT('Interest Rate'!$J$16,'Incremental Repayments'!$I$31,(HLOOKUP($D95,$E$4:$CZ$32,28,FALSE)*'Incremental Repayments'!$I$22)),0),0)</f>
        <v>0</v>
      </c>
      <c r="H95" s="783">
        <f>IF('Incremental Repayments'!$R$22="Debt",IF(AND(H$4&gt;=$D95,H$4&lt;$D95+'Incremental Repayments'!$I$31),-PMT('Interest Rate'!$J$16,'Incremental Repayments'!$I$31,(HLOOKUP($D95,$E$4:$CZ$32,28,FALSE)*'Incremental Repayments'!$I$22)),0),0)</f>
        <v>0</v>
      </c>
      <c r="I95" s="783">
        <f>IF('Incremental Repayments'!$R$22="Debt",IF(AND(I$4&gt;=$D95,I$4&lt;$D95+'Incremental Repayments'!$I$31),-PMT('Interest Rate'!$J$16,'Incremental Repayments'!$I$31,(HLOOKUP($D95,$E$4:$CZ$32,28,FALSE)*'Incremental Repayments'!$I$22)),0),0)</f>
        <v>0</v>
      </c>
      <c r="J95" s="783">
        <f>IF('Incremental Repayments'!$R$22="Debt",IF(AND(J$4&gt;=$D95,J$4&lt;$D95+'Incremental Repayments'!$I$31),-PMT('Interest Rate'!$J$16,'Incremental Repayments'!$I$31,(HLOOKUP($D95,$E$4:$CZ$32,28,FALSE)*'Incremental Repayments'!$I$22)),0),0)</f>
        <v>0</v>
      </c>
      <c r="K95" s="783">
        <f>IF('Incremental Repayments'!$R$22="Debt",IF(AND(K$4&gt;=$D95,K$4&lt;$D95+'Incremental Repayments'!$I$31),-PMT('Interest Rate'!$J$16,'Incremental Repayments'!$I$31,(HLOOKUP($D95,$E$4:$CZ$32,28,FALSE)*'Incremental Repayments'!$I$22)),0),0)</f>
        <v>0</v>
      </c>
      <c r="L95" s="783">
        <f>IF('Incremental Repayments'!$R$22="Debt",IF(AND(L$4&gt;=$D95,L$4&lt;$D95+'Incremental Repayments'!$I$31),-PMT('Interest Rate'!$J$16,'Incremental Repayments'!$I$31,(HLOOKUP($D95,$E$4:$CZ$32,28,FALSE)*'Incremental Repayments'!$I$22)),0),0)</f>
        <v>0</v>
      </c>
      <c r="M95" s="783">
        <f>IF('Incremental Repayments'!$R$22="Debt",IF(AND(M$4&gt;=$D95,M$4&lt;$D95+'Incremental Repayments'!$I$31),-PMT('Interest Rate'!$J$16,'Incremental Repayments'!$I$31,(HLOOKUP($D95,$E$4:$CZ$32,28,FALSE)*'Incremental Repayments'!$I$22)),0),0)</f>
        <v>0</v>
      </c>
      <c r="N95" s="783">
        <f>IF('Incremental Repayments'!$R$22="Debt",IF(AND(N$4&gt;=$D95,N$4&lt;$D95+'Incremental Repayments'!$I$31),-PMT('Interest Rate'!$J$16,'Incremental Repayments'!$I$31,(HLOOKUP($D95,$E$4:$CZ$32,28,FALSE)*'Incremental Repayments'!$I$22)),0),0)</f>
        <v>0</v>
      </c>
      <c r="O95" s="783">
        <f>IF('Incremental Repayments'!$R$22="Debt",IF(AND(O$4&gt;=$D95,O$4&lt;$D95+'Incremental Repayments'!$I$31),-PMT('Interest Rate'!$J$16,'Incremental Repayments'!$I$31,(HLOOKUP($D95,$E$4:$CZ$32,28,FALSE)*'Incremental Repayments'!$I$22)),0),0)</f>
        <v>0</v>
      </c>
      <c r="P95" s="783">
        <f>IF('Incremental Repayments'!$R$22="Debt",IF(AND(P$4&gt;=$D95,P$4&lt;$D95+'Incremental Repayments'!$I$31),-PMT('Interest Rate'!$J$16,'Incremental Repayments'!$I$31,(HLOOKUP($D95,$E$4:$CZ$32,28,FALSE)*'Incremental Repayments'!$I$22)),0),0)</f>
        <v>0</v>
      </c>
      <c r="Q95" s="783">
        <f>IF('Incremental Repayments'!$R$22="Debt",IF(AND(Q$4&gt;=$D95,Q$4&lt;$D95+'Incremental Repayments'!$I$31),-PMT('Interest Rate'!$J$16,'Incremental Repayments'!$I$31,(HLOOKUP($D95,$E$4:$CZ$32,28,FALSE)*'Incremental Repayments'!$I$22)),0),0)</f>
        <v>0</v>
      </c>
      <c r="R95" s="783">
        <f>IF('Incremental Repayments'!$R$22="Debt",IF(AND(R$4&gt;=$D95,R$4&lt;$D95+'Incremental Repayments'!$I$31),-PMT('Interest Rate'!$J$16,'Incremental Repayments'!$I$31,(HLOOKUP($D95,$E$4:$CZ$32,28,FALSE)*'Incremental Repayments'!$I$22)),0),0)</f>
        <v>0</v>
      </c>
      <c r="S95" s="783">
        <f>IF('Incremental Repayments'!$R$22="Debt",IF(AND(S$4&gt;=$D95,S$4&lt;$D95+'Incremental Repayments'!$I$31),-PMT('Interest Rate'!$J$16,'Incremental Repayments'!$I$31,(HLOOKUP($D95,$E$4:$CZ$32,28,FALSE)*'Incremental Repayments'!$I$22)),0),0)</f>
        <v>0</v>
      </c>
      <c r="T95" s="783">
        <f>IF('Incremental Repayments'!$R$22="Debt",IF(AND(T$4&gt;=$D95,T$4&lt;$D95+'Incremental Repayments'!$I$31),-PMT('Interest Rate'!$J$16,'Incremental Repayments'!$I$31,(HLOOKUP($D95,$E$4:$CZ$32,28,FALSE)*'Incremental Repayments'!$I$22)),0),0)</f>
        <v>0</v>
      </c>
      <c r="U95" s="783">
        <f>IF('Incremental Repayments'!$R$22="Debt",IF(AND(U$4&gt;=$D95,U$4&lt;$D95+'Incremental Repayments'!$I$31),-PMT('Interest Rate'!$J$16,'Incremental Repayments'!$I$31,(HLOOKUP($D95,$E$4:$CZ$32,28,FALSE)*'Incremental Repayments'!$I$22)),0),0)</f>
        <v>0</v>
      </c>
      <c r="V95" s="783">
        <f>IF('Incremental Repayments'!$R$22="Debt",IF(AND(V$4&gt;=$D95,V$4&lt;$D95+'Incremental Repayments'!$I$31),-PMT('Interest Rate'!$J$16,'Incremental Repayments'!$I$31,(HLOOKUP($D95,$E$4:$CZ$32,28,FALSE)*'Incremental Repayments'!$I$22)),0),0)</f>
        <v>0</v>
      </c>
      <c r="W95" s="783">
        <f>IF('Incremental Repayments'!$R$22="Debt",IF(AND(W$4&gt;=$D95,W$4&lt;$D95+'Incremental Repayments'!$I$31),-PMT('Interest Rate'!$J$16,'Incremental Repayments'!$I$31,(HLOOKUP($D95,$E$4:$CZ$32,28,FALSE)*'Incremental Repayments'!$I$22)),0),0)</f>
        <v>0</v>
      </c>
      <c r="X95" s="783">
        <f>IF('Incremental Repayments'!$R$22="Debt",IF(AND(X$4&gt;=$D95,X$4&lt;$D95+'Incremental Repayments'!$I$31),-PMT('Interest Rate'!$J$16,'Incremental Repayments'!$I$31,(HLOOKUP($D95,$E$4:$CZ$32,28,FALSE)*'Incremental Repayments'!$I$22)),0),0)</f>
        <v>0</v>
      </c>
      <c r="Y95" s="783">
        <f>IF('Incremental Repayments'!$R$22="Debt",IF(AND(Y$4&gt;=$D95,Y$4&lt;$D95+'Incremental Repayments'!$I$31),-PMT('Interest Rate'!$J$16,'Incremental Repayments'!$I$31,(HLOOKUP($D95,$E$4:$CZ$32,28,FALSE)*'Incremental Repayments'!$I$22)),0),0)</f>
        <v>0</v>
      </c>
      <c r="Z95" s="783">
        <f>IF('Incremental Repayments'!$R$22="Debt",IF(AND(Z$4&gt;=$D95,Z$4&lt;$D95+'Incremental Repayments'!$I$31),-PMT('Interest Rate'!$J$16,'Incremental Repayments'!$I$31,(HLOOKUP($D95,$E$4:$CZ$32,28,FALSE)*'Incremental Repayments'!$I$22)),0),0)</f>
        <v>0</v>
      </c>
      <c r="AA95" s="783">
        <f>IF('Incremental Repayments'!$R$22="Debt",IF(AND(AA$4&gt;=$D95,AA$4&lt;$D95+'Incremental Repayments'!$I$31),-PMT('Interest Rate'!$J$16,'Incremental Repayments'!$I$31,(HLOOKUP($D95,$E$4:$CZ$32,28,FALSE)*'Incremental Repayments'!$I$22)),0),0)</f>
        <v>0</v>
      </c>
      <c r="AB95" s="783">
        <f>IF('Incremental Repayments'!$R$22="Debt",IF(AND(AB$4&gt;=$D95,AB$4&lt;$D95+'Incremental Repayments'!$I$31),-PMT('Interest Rate'!$J$16,'Incremental Repayments'!$I$31,(HLOOKUP($D95,$E$4:$CZ$32,28,FALSE)*'Incremental Repayments'!$I$22)),0),0)</f>
        <v>0</v>
      </c>
      <c r="AC95" s="783">
        <f>IF('Incremental Repayments'!$R$22="Debt",IF(AND(AC$4&gt;=$D95,AC$4&lt;$D95+'Incremental Repayments'!$I$31),-PMT('Interest Rate'!$J$16,'Incremental Repayments'!$I$31,(HLOOKUP($D95,$E$4:$CZ$32,28,FALSE)*'Incremental Repayments'!$I$22)),0),0)</f>
        <v>0</v>
      </c>
      <c r="AD95" s="783">
        <f>IF('Incremental Repayments'!$R$22="Debt",IF(AND(AD$4&gt;=$D95,AD$4&lt;$D95+'Incremental Repayments'!$I$31),-PMT('Interest Rate'!$J$16,'Incremental Repayments'!$I$31,(HLOOKUP($D95,$E$4:$CZ$32,28,FALSE)*'Incremental Repayments'!$I$22)),0),0)</f>
        <v>0</v>
      </c>
      <c r="AE95" s="783">
        <f>IF('Incremental Repayments'!$R$22="Debt",IF(AND(AE$4&gt;=$D95,AE$4&lt;$D95+'Incremental Repayments'!$I$31),-PMT('Interest Rate'!$J$16,'Incremental Repayments'!$I$31,(HLOOKUP($D95,$E$4:$CZ$32,28,FALSE)*'Incremental Repayments'!$I$22)),0),0)</f>
        <v>0</v>
      </c>
      <c r="AF95" s="783">
        <f>IF('Incremental Repayments'!$R$22="Debt",IF(AND(AF$4&gt;=$D95,AF$4&lt;$D95+'Incremental Repayments'!$I$31),-PMT('Interest Rate'!$J$16,'Incremental Repayments'!$I$31,(HLOOKUP($D95,$E$4:$CZ$32,28,FALSE)*'Incremental Repayments'!$I$22)),0),0)</f>
        <v>0</v>
      </c>
      <c r="AG95" s="783">
        <f>IF('Incremental Repayments'!$R$22="Debt",IF(AND(AG$4&gt;=$D95,AG$4&lt;$D95+'Incremental Repayments'!$I$31),-PMT('Interest Rate'!$J$16,'Incremental Repayments'!$I$31,(HLOOKUP($D95,$E$4:$CZ$32,28,FALSE)*'Incremental Repayments'!$I$22)),0),0)</f>
        <v>0</v>
      </c>
      <c r="AH95" s="783">
        <f>IF('Incremental Repayments'!$R$22="Debt",IF(AND(AH$4&gt;=$D95,AH$4&lt;$D95+'Incremental Repayments'!$I$31),-PMT('Interest Rate'!$J$16,'Incremental Repayments'!$I$31,(HLOOKUP($D95,$E$4:$CZ$32,28,FALSE)*'Incremental Repayments'!$I$22)),0),0)</f>
        <v>0</v>
      </c>
      <c r="AI95" s="783">
        <f>IF('Incremental Repayments'!$R$22="Debt",IF(AND(AI$4&gt;=$D95,AI$4&lt;$D95+'Incremental Repayments'!$I$31),-PMT('Interest Rate'!$J$16,'Incremental Repayments'!$I$31,(HLOOKUP($D95,$E$4:$CZ$32,28,FALSE)*'Incremental Repayments'!$I$22)),0),0)</f>
        <v>0</v>
      </c>
      <c r="AJ95" s="783">
        <f>IF('Incremental Repayments'!$R$22="Debt",IF(AND(AJ$4&gt;=$D95,AJ$4&lt;$D95+'Incremental Repayments'!$I$31),-PMT('Interest Rate'!$J$16,'Incremental Repayments'!$I$31,(HLOOKUP($D95,$E$4:$CZ$32,28,FALSE)*'Incremental Repayments'!$I$22)),0),0)</f>
        <v>0</v>
      </c>
      <c r="AK95" s="783">
        <f>IF('Incremental Repayments'!$R$22="Debt",IF(AND(AK$4&gt;=$D95,AK$4&lt;$D95+'Incremental Repayments'!$I$31),-PMT('Interest Rate'!$J$16,'Incremental Repayments'!$I$31,(HLOOKUP($D95,$E$4:$CZ$32,28,FALSE)*'Incremental Repayments'!$I$22)),0),0)</f>
        <v>0</v>
      </c>
      <c r="AL95" s="783">
        <f>IF('Incremental Repayments'!$R$22="Debt",IF(AND(AL$4&gt;=$D95,AL$4&lt;$D95+'Incremental Repayments'!$I$31),-PMT('Interest Rate'!$J$16,'Incremental Repayments'!$I$31,(HLOOKUP($D95,$E$4:$CZ$32,28,FALSE)*'Incremental Repayments'!$I$22)),0),0)</f>
        <v>0</v>
      </c>
      <c r="AM95" s="783">
        <f>IF('Incremental Repayments'!$R$22="Debt",IF(AND(AM$4&gt;=$D95,AM$4&lt;$D95+'Incremental Repayments'!$I$31),-PMT('Interest Rate'!$J$16,'Incremental Repayments'!$I$31,(HLOOKUP($D95,$E$4:$CZ$32,28,FALSE)*'Incremental Repayments'!$I$22)),0),0)</f>
        <v>0</v>
      </c>
      <c r="AN95" s="783">
        <f>IF('Incremental Repayments'!$R$22="Debt",IF(AND(AN$4&gt;=$D95,AN$4&lt;$D95+'Incremental Repayments'!$I$31),-PMT('Interest Rate'!$J$16,'Incremental Repayments'!$I$31,(HLOOKUP($D95,$E$4:$CZ$32,28,FALSE)*'Incremental Repayments'!$I$22)),0),0)</f>
        <v>0</v>
      </c>
      <c r="AO95" s="783">
        <f>IF('Incremental Repayments'!$R$22="Debt",IF(AND(AO$4&gt;=$D95,AO$4&lt;$D95+'Incremental Repayments'!$I$31),-PMT('Interest Rate'!$J$16,'Incremental Repayments'!$I$31,(HLOOKUP($D95,$E$4:$CZ$32,28,FALSE)*'Incremental Repayments'!$I$22)),0),0)</f>
        <v>0</v>
      </c>
      <c r="AP95" s="783">
        <f>IF('Incremental Repayments'!$R$22="Debt",IF(AND(AP$4&gt;=$D95,AP$4&lt;$D95+'Incremental Repayments'!$I$31),-PMT('Interest Rate'!$J$16,'Incremental Repayments'!$I$31,(HLOOKUP($D95,$E$4:$CZ$32,28,FALSE)*'Incremental Repayments'!$I$22)),0),0)</f>
        <v>0</v>
      </c>
      <c r="AQ95" s="783">
        <f>IF('Incremental Repayments'!$R$22="Debt",IF(AND(AQ$4&gt;=$D95,AQ$4&lt;$D95+'Incremental Repayments'!$I$31),-PMT('Interest Rate'!$J$16,'Incremental Repayments'!$I$31,(HLOOKUP($D95,$E$4:$CZ$32,28,FALSE)*'Incremental Repayments'!$I$22)),0),0)</f>
        <v>0</v>
      </c>
      <c r="AR95" s="783">
        <f>IF('Incremental Repayments'!$R$22="Debt",IF(AND(AR$4&gt;=$D95,AR$4&lt;$D95+'Incremental Repayments'!$I$31),-PMT('Interest Rate'!$J$16,'Incremental Repayments'!$I$31,(HLOOKUP($D95,$E$4:$CZ$32,28,FALSE)*'Incremental Repayments'!$I$22)),0),0)</f>
        <v>0</v>
      </c>
      <c r="AS95" s="783">
        <f>IF('Incremental Repayments'!$R$22="Debt",IF(AND(AS$4&gt;=$D95,AS$4&lt;$D95+'Incremental Repayments'!$I$31),-PMT('Interest Rate'!$J$16,'Incremental Repayments'!$I$31,(HLOOKUP($D95,$E$4:$CZ$32,28,FALSE)*'Incremental Repayments'!$I$22)),0),0)</f>
        <v>0</v>
      </c>
      <c r="AT95" s="783">
        <f>IF('Incremental Repayments'!$R$22="Debt",IF(AND(AT$4&gt;=$D95,AT$4&lt;$D95+'Incremental Repayments'!$I$31),-PMT('Interest Rate'!$J$16,'Incremental Repayments'!$I$31,(HLOOKUP($D95,$E$4:$CZ$32,28,FALSE)*'Incremental Repayments'!$I$22)),0),0)</f>
        <v>0</v>
      </c>
      <c r="AU95" s="783">
        <f>IF('Incremental Repayments'!$R$22="Debt",IF(AND(AU$4&gt;=$D95,AU$4&lt;$D95+'Incremental Repayments'!$I$31),-PMT('Interest Rate'!$J$16,'Incremental Repayments'!$I$31,(HLOOKUP($D95,$E$4:$CZ$32,28,FALSE)*'Incremental Repayments'!$I$22)),0),0)</f>
        <v>0</v>
      </c>
      <c r="AV95" s="783">
        <f>IF('Incremental Repayments'!$R$22="Debt",IF(AND(AV$4&gt;=$D95,AV$4&lt;$D95+'Incremental Repayments'!$I$31),-PMT('Interest Rate'!$J$16,'Incremental Repayments'!$I$31,(HLOOKUP($D95,$E$4:$CZ$32,28,FALSE)*'Incremental Repayments'!$I$22)),0),0)</f>
        <v>0</v>
      </c>
      <c r="AW95" s="783">
        <f>IF('Incremental Repayments'!$R$22="Debt",IF(AND(AW$4&gt;=$D95,AW$4&lt;$D95+'Incremental Repayments'!$I$31),-PMT('Interest Rate'!$J$16,'Incremental Repayments'!$I$31,(HLOOKUP($D95,$E$4:$CZ$32,28,FALSE)*'Incremental Repayments'!$I$22)),0),0)</f>
        <v>0</v>
      </c>
      <c r="AX95" s="783">
        <f>IF('Incremental Repayments'!$R$22="Debt",IF(AND(AX$4&gt;=$D95,AX$4&lt;$D95+'Incremental Repayments'!$I$31),-PMT('Interest Rate'!$J$16,'Incremental Repayments'!$I$31,(HLOOKUP($D95,$E$4:$CZ$32,28,FALSE)*'Incremental Repayments'!$I$22)),0),0)</f>
        <v>0</v>
      </c>
      <c r="AY95" s="783">
        <f>IF('Incremental Repayments'!$R$22="Debt",IF(AND(AY$4&gt;=$D95,AY$4&lt;$D95+'Incremental Repayments'!$I$31),-PMT('Interest Rate'!$J$16,'Incremental Repayments'!$I$31,(HLOOKUP($D95,$E$4:$CZ$32,28,FALSE)*'Incremental Repayments'!$I$22)),0),0)</f>
        <v>0</v>
      </c>
      <c r="AZ95" s="783">
        <f>IF('Incremental Repayments'!$R$22="Debt",IF(AND(AZ$4&gt;=$D95,AZ$4&lt;$D95+'Incremental Repayments'!$I$31),-PMT('Interest Rate'!$J$16,'Incremental Repayments'!$I$31,(HLOOKUP($D95,$E$4:$CZ$32,28,FALSE)*'Incremental Repayments'!$I$22)),0),0)</f>
        <v>0</v>
      </c>
      <c r="BA95" s="783">
        <f>IF('Incremental Repayments'!$R$22="Debt",IF(AND(BA$4&gt;=$D95,BA$4&lt;$D95+'Incremental Repayments'!$I$31),-PMT('Interest Rate'!$J$16,'Incremental Repayments'!$I$31,(HLOOKUP($D95,$E$4:$CZ$32,28,FALSE)*'Incremental Repayments'!$I$22)),0),0)</f>
        <v>0</v>
      </c>
      <c r="BB95" s="783">
        <f>IF('Incremental Repayments'!$R$22="Debt",IF(AND(BB$4&gt;=$D95,BB$4&lt;$D95+'Incremental Repayments'!$I$31),-PMT('Interest Rate'!$J$16,'Incremental Repayments'!$I$31,(HLOOKUP($D95,$E$4:$CZ$32,28,FALSE)*'Incremental Repayments'!$I$22)),0),0)</f>
        <v>0</v>
      </c>
      <c r="BC95" s="783">
        <f>IF('Incremental Repayments'!$R$22="Debt",IF(AND(BC$4&gt;=$D95,BC$4&lt;$D95+'Incremental Repayments'!$I$31),-PMT('Interest Rate'!$J$16,'Incremental Repayments'!$I$31,(HLOOKUP($D95,$E$4:$CZ$32,28,FALSE)*'Incremental Repayments'!$I$22)),0),0)</f>
        <v>0</v>
      </c>
      <c r="BD95" s="783">
        <f>IF('Incremental Repayments'!$R$22="Debt",IF(AND(BD$4&gt;=$D95,BD$4&lt;$D95+'Incremental Repayments'!$I$31),-PMT('Interest Rate'!$J$16,'Incremental Repayments'!$I$31,(HLOOKUP($D95,$E$4:$CZ$32,28,FALSE)*'Incremental Repayments'!$I$22)),0),0)</f>
        <v>0</v>
      </c>
      <c r="BE95" s="783">
        <f>IF('Incremental Repayments'!$R$22="Debt",IF(AND(BE$4&gt;=$D95,BE$4&lt;$D95+'Incremental Repayments'!$I$31),-PMT('Interest Rate'!$J$16,'Incremental Repayments'!$I$31,(HLOOKUP($D95,$E$4:$CZ$32,28,FALSE)*'Incremental Repayments'!$I$22)),0),0)</f>
        <v>0</v>
      </c>
      <c r="BF95" s="783">
        <f>IF('Incremental Repayments'!$R$22="Debt",IF(AND(BF$4&gt;=$D95,BF$4&lt;$D95+'Incremental Repayments'!$I$31),-PMT('Interest Rate'!$J$16,'Incremental Repayments'!$I$31,(HLOOKUP($D95,$E$4:$CZ$32,28,FALSE)*'Incremental Repayments'!$I$22)),0),0)</f>
        <v>0</v>
      </c>
      <c r="BG95" s="783">
        <f>IF('Incremental Repayments'!$R$22="Debt",IF(AND(BG$4&gt;=$D95,BG$4&lt;$D95+'Incremental Repayments'!$I$31),-PMT('Interest Rate'!$J$16,'Incremental Repayments'!$I$31,(HLOOKUP($D95,$E$4:$CZ$32,28,FALSE)*'Incremental Repayments'!$I$22)),0),0)</f>
        <v>0</v>
      </c>
      <c r="BH95" s="783">
        <f>IF('Incremental Repayments'!$R$22="Debt",IF(AND(BH$4&gt;=$D95,BH$4&lt;$D95+'Incremental Repayments'!$I$31),-PMT('Interest Rate'!$J$16,'Incremental Repayments'!$I$31,(HLOOKUP($D95,$E$4:$CZ$32,28,FALSE)*'Incremental Repayments'!$I$22)),0),0)</f>
        <v>0</v>
      </c>
      <c r="BI95" s="783">
        <f>IF('Incremental Repayments'!$R$22="Debt",IF(AND(BI$4&gt;=$D95,BI$4&lt;$D95+'Incremental Repayments'!$I$31),-PMT('Interest Rate'!$J$16,'Incremental Repayments'!$I$31,(HLOOKUP($D95,$E$4:$CZ$32,28,FALSE)*'Incremental Repayments'!$I$22)),0),0)</f>
        <v>0</v>
      </c>
      <c r="BJ95" s="783">
        <f>IF('Incremental Repayments'!$R$22="Debt",IF(AND(BJ$4&gt;=$D95,BJ$4&lt;$D95+'Incremental Repayments'!$I$31),-PMT('Interest Rate'!$J$16,'Incremental Repayments'!$I$31,(HLOOKUP($D95,$E$4:$CZ$32,28,FALSE)*'Incremental Repayments'!$I$22)),0),0)</f>
        <v>0</v>
      </c>
      <c r="BK95" s="783">
        <f>IF('Incremental Repayments'!$R$22="Debt",IF(AND(BK$4&gt;=$D95,BK$4&lt;$D95+'Incremental Repayments'!$I$31),-PMT('Interest Rate'!$J$16,'Incremental Repayments'!$I$31,(HLOOKUP($D95,$E$4:$CZ$32,28,FALSE)*'Incremental Repayments'!$I$22)),0),0)</f>
        <v>0</v>
      </c>
      <c r="BL95" s="783">
        <f>IF('Incremental Repayments'!$R$22="Debt",IF(AND(BL$4&gt;=$D95,BL$4&lt;$D95+'Incremental Repayments'!$I$31),-PMT('Interest Rate'!$J$16,'Incremental Repayments'!$I$31,(HLOOKUP($D95,$E$4:$CZ$32,28,FALSE)*'Incremental Repayments'!$I$22)),0),0)</f>
        <v>0</v>
      </c>
      <c r="BM95" s="783">
        <f>IF('Incremental Repayments'!$R$22="Debt",IF(AND(BM$4&gt;=$D95,BM$4&lt;$D95+'Incremental Repayments'!$I$31),-PMT('Interest Rate'!$J$16,'Incremental Repayments'!$I$31,(HLOOKUP($D95,$E$4:$CZ$32,28,FALSE)*'Incremental Repayments'!$I$22)),0),0)</f>
        <v>0</v>
      </c>
      <c r="BN95" s="783">
        <f>IF('Incremental Repayments'!$R$22="Debt",IF(AND(BN$4&gt;=$D95,BN$4&lt;$D95+'Incremental Repayments'!$I$31),-PMT('Interest Rate'!$J$16,'Incremental Repayments'!$I$31,(HLOOKUP($D95,$E$4:$CZ$32,28,FALSE)*'Incremental Repayments'!$I$22)),0),0)</f>
        <v>0</v>
      </c>
      <c r="BO95" s="783">
        <f>IF('Incremental Repayments'!$R$22="Debt",IF(AND(BO$4&gt;=$D95,BO$4&lt;$D95+'Incremental Repayments'!$I$31),-PMT('Interest Rate'!$J$16,'Incremental Repayments'!$I$31,(HLOOKUP($D95,$E$4:$CZ$32,28,FALSE)*'Incremental Repayments'!$I$22)),0),0)</f>
        <v>0</v>
      </c>
      <c r="BP95" s="783">
        <f>IF('Incremental Repayments'!$R$22="Debt",IF(AND(BP$4&gt;=$D95,BP$4&lt;$D95+'Incremental Repayments'!$I$31),-PMT('Interest Rate'!$J$16,'Incremental Repayments'!$I$31,(HLOOKUP($D95,$E$4:$CZ$32,28,FALSE)*'Incremental Repayments'!$I$22)),0),0)</f>
        <v>0</v>
      </c>
      <c r="BQ95" s="783">
        <f>IF('Incremental Repayments'!$R$22="Debt",IF(AND(BQ$4&gt;=$D95,BQ$4&lt;$D95+'Incremental Repayments'!$I$31),-PMT('Interest Rate'!$J$16,'Incremental Repayments'!$I$31,(HLOOKUP($D95,$E$4:$CZ$32,28,FALSE)*'Incremental Repayments'!$I$22)),0),0)</f>
        <v>0</v>
      </c>
      <c r="BR95" s="783">
        <f>IF('Incremental Repayments'!$R$22="Debt",IF(AND(BR$4&gt;=$D95,BR$4&lt;$D95+'Incremental Repayments'!$I$31),-PMT('Interest Rate'!$J$16,'Incremental Repayments'!$I$31,(HLOOKUP($D95,$E$4:$CZ$32,28,FALSE)*'Incremental Repayments'!$I$22)),0),0)</f>
        <v>0</v>
      </c>
      <c r="BS95" s="783">
        <f>IF('Incremental Repayments'!$R$22="Debt",IF(AND(BS$4&gt;=$D95,BS$4&lt;$D95+'Incremental Repayments'!$I$31),-PMT('Interest Rate'!$J$16,'Incremental Repayments'!$I$31,(HLOOKUP($D95,$E$4:$CZ$32,28,FALSE)*'Incremental Repayments'!$I$22)),0),0)</f>
        <v>0</v>
      </c>
      <c r="BT95" s="783">
        <f>IF('Incremental Repayments'!$R$22="Debt",IF(AND(BT$4&gt;=$D95,BT$4&lt;$D95+'Incremental Repayments'!$I$31),-PMT('Interest Rate'!$J$16,'Incremental Repayments'!$I$31,(HLOOKUP($D95,$E$4:$CZ$32,28,FALSE)*'Incremental Repayments'!$I$22)),0),0)</f>
        <v>0</v>
      </c>
      <c r="BU95" s="783">
        <f>IF('Incremental Repayments'!$R$22="Debt",IF(AND(BU$4&gt;=$D95,BU$4&lt;$D95+'Incremental Repayments'!$I$31),-PMT('Interest Rate'!$J$16,'Incremental Repayments'!$I$31,(HLOOKUP($D95,$E$4:$CZ$32,28,FALSE)*'Incremental Repayments'!$I$22)),0),0)</f>
        <v>0</v>
      </c>
      <c r="BV95" s="783">
        <f>IF('Incremental Repayments'!$R$22="Debt",IF(AND(BV$4&gt;=$D95,BV$4&lt;$D95+'Incremental Repayments'!$I$31),-PMT('Interest Rate'!$J$16,'Incremental Repayments'!$I$31,(HLOOKUP($D95,$E$4:$CZ$32,28,FALSE)*'Incremental Repayments'!$I$22)),0),0)</f>
        <v>0</v>
      </c>
      <c r="BW95" s="783">
        <f>IF('Incremental Repayments'!$R$22="Debt",IF(AND(BW$4&gt;=$D95,BW$4&lt;$D95+'Incremental Repayments'!$I$31),-PMT('Interest Rate'!$J$16,'Incremental Repayments'!$I$31,(HLOOKUP($D95,$E$4:$CZ$32,28,FALSE)*'Incremental Repayments'!$I$22)),0),0)</f>
        <v>0</v>
      </c>
      <c r="BX95" s="783">
        <f>IF('Incremental Repayments'!$R$22="Debt",IF(AND(BX$4&gt;=$D95,BX$4&lt;$D95+'Incremental Repayments'!$I$31),-PMT('Interest Rate'!$J$16,'Incremental Repayments'!$I$31,(HLOOKUP($D95,$E$4:$CZ$32,28,FALSE)*'Incremental Repayments'!$I$22)),0),0)</f>
        <v>0</v>
      </c>
      <c r="BY95" s="783">
        <f>IF('Incremental Repayments'!$R$22="Debt",IF(AND(BY$4&gt;=$D95,BY$4&lt;$D95+'Incremental Repayments'!$I$31),-PMT('Interest Rate'!$J$16,'Incremental Repayments'!$I$31,(HLOOKUP($D95,$E$4:$CZ$32,28,FALSE)*'Incremental Repayments'!$I$22)),0),0)</f>
        <v>0</v>
      </c>
      <c r="BZ95" s="783">
        <f>IF('Incremental Repayments'!$R$22="Debt",IF(AND(BZ$4&gt;=$D95,BZ$4&lt;$D95+'Incremental Repayments'!$I$31),-PMT('Interest Rate'!$J$16,'Incremental Repayments'!$I$31,(HLOOKUP($D95,$E$4:$CZ$32,28,FALSE)*'Incremental Repayments'!$I$22)),0),0)</f>
        <v>0</v>
      </c>
      <c r="CA95" s="783">
        <f>IF('Incremental Repayments'!$R$22="Debt",IF(AND(CA$4&gt;=$D95,CA$4&lt;$D95+'Incremental Repayments'!$I$31),-PMT('Interest Rate'!$J$16,'Incremental Repayments'!$I$31,(HLOOKUP($D95,$E$4:$CZ$32,28,FALSE)*'Incremental Repayments'!$I$22)),0),0)</f>
        <v>0</v>
      </c>
      <c r="CB95" s="783">
        <f>IF('Incremental Repayments'!$R$22="Debt",IF(AND(CB$4&gt;=$D95,CB$4&lt;$D95+'Incremental Repayments'!$I$31),-PMT('Interest Rate'!$J$16,'Incremental Repayments'!$I$31,(HLOOKUP($D95,$E$4:$CZ$32,28,FALSE)*'Incremental Repayments'!$I$22)),0),0)</f>
        <v>0</v>
      </c>
      <c r="CC95" s="783">
        <f>IF('Incremental Repayments'!$R$22="Debt",IF(AND(CC$4&gt;=$D95,CC$4&lt;$D95+'Incremental Repayments'!$I$31),-PMT('Interest Rate'!$J$16,'Incremental Repayments'!$I$31,(HLOOKUP($D95,$E$4:$CZ$32,28,FALSE)*'Incremental Repayments'!$I$22)),0),0)</f>
        <v>0</v>
      </c>
      <c r="CD95" s="783">
        <f>IF('Incremental Repayments'!$R$22="Debt",IF(AND(CD$4&gt;=$D95,CD$4&lt;$D95+'Incremental Repayments'!$I$31),-PMT('Interest Rate'!$J$16,'Incremental Repayments'!$I$31,(HLOOKUP($D95,$E$4:$CZ$32,28,FALSE)*'Incremental Repayments'!$I$22)),0),0)</f>
        <v>0</v>
      </c>
      <c r="CE95" s="783">
        <f>IF('Incremental Repayments'!$R$22="Debt",IF(AND(CE$4&gt;=$D95,CE$4&lt;$D95+'Incremental Repayments'!$I$31),-PMT('Interest Rate'!$J$16,'Incremental Repayments'!$I$31,(HLOOKUP($D95,$E$4:$CZ$32,28,FALSE)*'Incremental Repayments'!$I$22)),0),0)</f>
        <v>0</v>
      </c>
      <c r="CF95" s="783">
        <f>IF('Incremental Repayments'!$R$22="Debt",IF(AND(CF$4&gt;=$D95,CF$4&lt;$D95+'Incremental Repayments'!$I$31),-PMT('Interest Rate'!$J$16,'Incremental Repayments'!$I$31,(HLOOKUP($D95,$E$4:$CZ$32,28,FALSE)*'Incremental Repayments'!$I$22)),0),0)</f>
        <v>0</v>
      </c>
      <c r="CG95" s="783">
        <f>IF('Incremental Repayments'!$R$22="Debt",IF(AND(CG$4&gt;=$D95,CG$4&lt;$D95+'Incremental Repayments'!$I$31),-PMT('Interest Rate'!$J$16,'Incremental Repayments'!$I$31,(HLOOKUP($D95,$E$4:$CZ$32,28,FALSE)*'Incremental Repayments'!$I$22)),0),0)</f>
        <v>0</v>
      </c>
      <c r="CH95" s="783">
        <f>IF('Incremental Repayments'!$R$22="Debt",IF(AND(CH$4&gt;=$D95,CH$4&lt;$D95+'Incremental Repayments'!$I$31),-PMT('Interest Rate'!$J$16,'Incremental Repayments'!$I$31,(HLOOKUP($D95,$E$4:$CZ$32,28,FALSE)*'Incremental Repayments'!$I$22)),0),0)</f>
        <v>0</v>
      </c>
      <c r="CI95" s="783">
        <f>IF('Incremental Repayments'!$R$22="Debt",IF(AND(CI$4&gt;=$D95,CI$4&lt;$D95+'Incremental Repayments'!$I$31),-PMT('Interest Rate'!$J$16,'Incremental Repayments'!$I$31,(HLOOKUP($D95,$E$4:$CZ$32,28,FALSE)*'Incremental Repayments'!$I$22)),0),0)</f>
        <v>0</v>
      </c>
      <c r="CJ95" s="783">
        <f>IF('Incremental Repayments'!$R$22="Debt",IF(AND(CJ$4&gt;=$D95,CJ$4&lt;$D95+'Incremental Repayments'!$I$31),-PMT('Interest Rate'!$J$16,'Incremental Repayments'!$I$31,(HLOOKUP($D95,$E$4:$CZ$32,28,FALSE)*'Incremental Repayments'!$I$22)),0),0)</f>
        <v>0</v>
      </c>
      <c r="CK95" s="783">
        <f>IF('Incremental Repayments'!$R$22="Debt",IF(AND(CK$4&gt;=$D95,CK$4&lt;$D95+'Incremental Repayments'!$I$31),-PMT('Interest Rate'!$J$16,'Incremental Repayments'!$I$31,(HLOOKUP($D95,$E$4:$CZ$32,28,FALSE)*'Incremental Repayments'!$I$22)),0),0)</f>
        <v>0</v>
      </c>
      <c r="CL95" s="783">
        <f>IF('Incremental Repayments'!$R$22="Debt",IF(AND(CL$4&gt;=$D95,CL$4&lt;$D95+'Incremental Repayments'!$I$31),-PMT('Interest Rate'!$J$16,'Incremental Repayments'!$I$31,(HLOOKUP($D95,$E$4:$CZ$32,28,FALSE)*'Incremental Repayments'!$I$22)),0),0)</f>
        <v>0</v>
      </c>
      <c r="CM95" s="783">
        <f>IF('Incremental Repayments'!$R$22="Debt",IF(AND(CM$4&gt;=$D95,CM$4&lt;$D95+'Incremental Repayments'!$I$31),-PMT('Interest Rate'!$J$16,'Incremental Repayments'!$I$31,(HLOOKUP($D95,$E$4:$CZ$32,28,FALSE)*'Incremental Repayments'!$I$22)),0),0)</f>
        <v>0</v>
      </c>
      <c r="CN95" s="783">
        <f>IF('Incremental Repayments'!$R$22="Debt",IF(AND(CN$4&gt;=$D95,CN$4&lt;$D95+'Incremental Repayments'!$I$31),-PMT('Interest Rate'!$J$16,'Incremental Repayments'!$I$31,(HLOOKUP($D95,$E$4:$CZ$32,28,FALSE)*'Incremental Repayments'!$I$22)),0),0)</f>
        <v>0</v>
      </c>
      <c r="CO95" s="783">
        <f>IF('Incremental Repayments'!$R$22="Debt",IF(AND(CO$4&gt;=$D95,CO$4&lt;$D95+'Incremental Repayments'!$I$31),-PMT('Interest Rate'!$J$16,'Incremental Repayments'!$I$31,(HLOOKUP($D95,$E$4:$CZ$32,28,FALSE)*'Incremental Repayments'!$I$22)),0),0)</f>
        <v>0</v>
      </c>
      <c r="CP95" s="783">
        <f>IF('Incremental Repayments'!$R$22="Debt",IF(AND(CP$4&gt;=$D95,CP$4&lt;$D95+'Incremental Repayments'!$I$31),-PMT('Interest Rate'!$J$16,'Incremental Repayments'!$I$31,(HLOOKUP($D95,$E$4:$CZ$32,28,FALSE)*'Incremental Repayments'!$I$22)),0),0)</f>
        <v>0</v>
      </c>
      <c r="CQ95" s="783">
        <f>IF('Incremental Repayments'!$R$22="Debt",IF(AND(CQ$4&gt;=$D95,CQ$4&lt;$D95+'Incremental Repayments'!$I$31),-PMT('Interest Rate'!$J$16,'Incremental Repayments'!$I$31,(HLOOKUP($D95,$E$4:$CZ$32,28,FALSE)*'Incremental Repayments'!$I$22)),0),0)</f>
        <v>0</v>
      </c>
      <c r="CR95" s="783">
        <f>IF('Incremental Repayments'!$R$22="Debt",IF(AND(CR$4&gt;=$D95,CR$4&lt;$D95+'Incremental Repayments'!$I$31),-PMT('Interest Rate'!$J$16,'Incremental Repayments'!$I$31,(HLOOKUP($D95,$E$4:$CZ$32,28,FALSE)*'Incremental Repayments'!$I$22)),0),0)</f>
        <v>0</v>
      </c>
      <c r="CS95" s="783">
        <f>IF('Incremental Repayments'!$R$22="Debt",IF(AND(CS$4&gt;=$D95,CS$4&lt;$D95+'Incremental Repayments'!$I$31),-PMT('Interest Rate'!$J$16,'Incremental Repayments'!$I$31,(HLOOKUP($D95,$E$4:$CZ$32,28,FALSE)*'Incremental Repayments'!$I$22)),0),0)</f>
        <v>0</v>
      </c>
      <c r="CT95" s="783">
        <f>IF('Incremental Repayments'!$R$22="Debt",IF(AND(CT$4&gt;=$D95,CT$4&lt;$D95+'Incremental Repayments'!$I$31),-PMT('Interest Rate'!$J$16,'Incremental Repayments'!$I$31,(HLOOKUP($D95,$E$4:$CZ$32,28,FALSE)*'Incremental Repayments'!$I$22)),0),0)</f>
        <v>0</v>
      </c>
      <c r="CU95" s="783">
        <f>IF('Incremental Repayments'!$R$22="Debt",IF(AND(CU$4&gt;=$D95,CU$4&lt;$D95+'Incremental Repayments'!$I$31),-PMT('Interest Rate'!$J$16,'Incremental Repayments'!$I$31,(HLOOKUP($D95,$E$4:$CZ$32,28,FALSE)*'Incremental Repayments'!$I$22)),0),0)</f>
        <v>0</v>
      </c>
      <c r="CV95" s="783">
        <f>IF('Incremental Repayments'!$R$22="Debt",IF(AND(CV$4&gt;=$D95,CV$4&lt;$D95+'Incremental Repayments'!$I$31),-PMT('Interest Rate'!$J$16,'Incremental Repayments'!$I$31,(HLOOKUP($D95,$E$4:$CZ$32,28,FALSE)*'Incremental Repayments'!$I$22)),0),0)</f>
        <v>0</v>
      </c>
      <c r="CW95" s="783">
        <f>IF('Incremental Repayments'!$R$22="Debt",IF(AND(CW$4&gt;=$D95,CW$4&lt;$D95+'Incremental Repayments'!$I$31),-PMT('Interest Rate'!$J$16,'Incremental Repayments'!$I$31,(HLOOKUP($D95,$E$4:$CZ$32,28,FALSE)*'Incremental Repayments'!$I$22)),0),0)</f>
        <v>0</v>
      </c>
      <c r="CX95" s="783">
        <f>IF('Incremental Repayments'!$R$22="Debt",IF(AND(CX$4&gt;=$D95,CX$4&lt;$D95+'Incremental Repayments'!$I$31),-PMT('Interest Rate'!$J$16,'Incremental Repayments'!$I$31,(HLOOKUP($D95,$E$4:$CZ$32,28,FALSE)*'Incremental Repayments'!$I$22)),0),0)</f>
        <v>0</v>
      </c>
      <c r="CY95" s="783">
        <f>IF('Incremental Repayments'!$R$22="Debt",IF(AND(CY$4&gt;=$D95,CY$4&lt;$D95+'Incremental Repayments'!$I$31),-PMT('Interest Rate'!$J$16,'Incremental Repayments'!$I$31,(HLOOKUP($D95,$E$4:$CZ$32,28,FALSE)*'Incremental Repayments'!$I$22)),0),0)</f>
        <v>0</v>
      </c>
      <c r="CZ95" s="783">
        <f>IF('Incremental Repayments'!$R$22="Debt",IF(AND(CZ$4&gt;=$D95,CZ$4&lt;$D95+'Incremental Repayments'!$I$31),-PMT('Interest Rate'!$J$16,'Incremental Repayments'!$I$31,(HLOOKUP($D95,$E$4:$CZ$32,28,FALSE)*'Incremental Repayments'!$I$22)),0),0)</f>
        <v>0</v>
      </c>
    </row>
    <row r="96" spans="2:104" x14ac:dyDescent="0.25">
      <c r="B96" s="480" t="str">
        <f>CONCATENATE("Series ",D96,"A Bonds (at ",'Interest Rate'!$J$16*100,"% Interest)")</f>
        <v>Series 2074A Bonds (at 4.5% Interest)</v>
      </c>
      <c r="C96" s="480"/>
      <c r="D96" s="492">
        <f t="shared" si="47"/>
        <v>2074</v>
      </c>
      <c r="E96" s="783">
        <f>IF('Incremental Repayments'!$R$22="Debt",IF(AND(E$4&gt;=$D96,E$4&lt;$D96+'Incremental Repayments'!$I$31),-PMT('Interest Rate'!$J$16,'Incremental Repayments'!$I$31,(HLOOKUP($D96,$E$4:$CZ$32,28,FALSE)*'Incremental Repayments'!$I$22)),0),0)</f>
        <v>0</v>
      </c>
      <c r="F96" s="783">
        <f>IF('Incremental Repayments'!$R$22="Debt",IF(AND(F$4&gt;=$D96,F$4&lt;$D96+'Incremental Repayments'!$I$31),-PMT('Interest Rate'!$J$16,'Incremental Repayments'!$I$31,(HLOOKUP($D96,$E$4:$CZ$32,28,FALSE)*'Incremental Repayments'!$I$22)),0),0)</f>
        <v>0</v>
      </c>
      <c r="G96" s="783">
        <f>IF('Incremental Repayments'!$R$22="Debt",IF(AND(G$4&gt;=$D96,G$4&lt;$D96+'Incremental Repayments'!$I$31),-PMT('Interest Rate'!$J$16,'Incremental Repayments'!$I$31,(HLOOKUP($D96,$E$4:$CZ$32,28,FALSE)*'Incremental Repayments'!$I$22)),0),0)</f>
        <v>0</v>
      </c>
      <c r="H96" s="783">
        <f>IF('Incremental Repayments'!$R$22="Debt",IF(AND(H$4&gt;=$D96,H$4&lt;$D96+'Incremental Repayments'!$I$31),-PMT('Interest Rate'!$J$16,'Incremental Repayments'!$I$31,(HLOOKUP($D96,$E$4:$CZ$32,28,FALSE)*'Incremental Repayments'!$I$22)),0),0)</f>
        <v>0</v>
      </c>
      <c r="I96" s="783">
        <f>IF('Incremental Repayments'!$R$22="Debt",IF(AND(I$4&gt;=$D96,I$4&lt;$D96+'Incremental Repayments'!$I$31),-PMT('Interest Rate'!$J$16,'Incremental Repayments'!$I$31,(HLOOKUP($D96,$E$4:$CZ$32,28,FALSE)*'Incremental Repayments'!$I$22)),0),0)</f>
        <v>0</v>
      </c>
      <c r="J96" s="783">
        <f>IF('Incremental Repayments'!$R$22="Debt",IF(AND(J$4&gt;=$D96,J$4&lt;$D96+'Incremental Repayments'!$I$31),-PMT('Interest Rate'!$J$16,'Incremental Repayments'!$I$31,(HLOOKUP($D96,$E$4:$CZ$32,28,FALSE)*'Incremental Repayments'!$I$22)),0),0)</f>
        <v>0</v>
      </c>
      <c r="K96" s="783">
        <f>IF('Incremental Repayments'!$R$22="Debt",IF(AND(K$4&gt;=$D96,K$4&lt;$D96+'Incremental Repayments'!$I$31),-PMT('Interest Rate'!$J$16,'Incremental Repayments'!$I$31,(HLOOKUP($D96,$E$4:$CZ$32,28,FALSE)*'Incremental Repayments'!$I$22)),0),0)</f>
        <v>0</v>
      </c>
      <c r="L96" s="783">
        <f>IF('Incremental Repayments'!$R$22="Debt",IF(AND(L$4&gt;=$D96,L$4&lt;$D96+'Incremental Repayments'!$I$31),-PMT('Interest Rate'!$J$16,'Incremental Repayments'!$I$31,(HLOOKUP($D96,$E$4:$CZ$32,28,FALSE)*'Incremental Repayments'!$I$22)),0),0)</f>
        <v>0</v>
      </c>
      <c r="M96" s="783">
        <f>IF('Incremental Repayments'!$R$22="Debt",IF(AND(M$4&gt;=$D96,M$4&lt;$D96+'Incremental Repayments'!$I$31),-PMT('Interest Rate'!$J$16,'Incremental Repayments'!$I$31,(HLOOKUP($D96,$E$4:$CZ$32,28,FALSE)*'Incremental Repayments'!$I$22)),0),0)</f>
        <v>0</v>
      </c>
      <c r="N96" s="783">
        <f>IF('Incremental Repayments'!$R$22="Debt",IF(AND(N$4&gt;=$D96,N$4&lt;$D96+'Incremental Repayments'!$I$31),-PMT('Interest Rate'!$J$16,'Incremental Repayments'!$I$31,(HLOOKUP($D96,$E$4:$CZ$32,28,FALSE)*'Incremental Repayments'!$I$22)),0),0)</f>
        <v>0</v>
      </c>
      <c r="O96" s="783">
        <f>IF('Incremental Repayments'!$R$22="Debt",IF(AND(O$4&gt;=$D96,O$4&lt;$D96+'Incremental Repayments'!$I$31),-PMT('Interest Rate'!$J$16,'Incremental Repayments'!$I$31,(HLOOKUP($D96,$E$4:$CZ$32,28,FALSE)*'Incremental Repayments'!$I$22)),0),0)</f>
        <v>0</v>
      </c>
      <c r="P96" s="783">
        <f>IF('Incremental Repayments'!$R$22="Debt",IF(AND(P$4&gt;=$D96,P$4&lt;$D96+'Incremental Repayments'!$I$31),-PMT('Interest Rate'!$J$16,'Incremental Repayments'!$I$31,(HLOOKUP($D96,$E$4:$CZ$32,28,FALSE)*'Incremental Repayments'!$I$22)),0),0)</f>
        <v>0</v>
      </c>
      <c r="Q96" s="783">
        <f>IF('Incremental Repayments'!$R$22="Debt",IF(AND(Q$4&gt;=$D96,Q$4&lt;$D96+'Incremental Repayments'!$I$31),-PMT('Interest Rate'!$J$16,'Incremental Repayments'!$I$31,(HLOOKUP($D96,$E$4:$CZ$32,28,FALSE)*'Incremental Repayments'!$I$22)),0),0)</f>
        <v>0</v>
      </c>
      <c r="R96" s="783">
        <f>IF('Incremental Repayments'!$R$22="Debt",IF(AND(R$4&gt;=$D96,R$4&lt;$D96+'Incremental Repayments'!$I$31),-PMT('Interest Rate'!$J$16,'Incremental Repayments'!$I$31,(HLOOKUP($D96,$E$4:$CZ$32,28,FALSE)*'Incremental Repayments'!$I$22)),0),0)</f>
        <v>0</v>
      </c>
      <c r="S96" s="783">
        <f>IF('Incremental Repayments'!$R$22="Debt",IF(AND(S$4&gt;=$D96,S$4&lt;$D96+'Incremental Repayments'!$I$31),-PMT('Interest Rate'!$J$16,'Incremental Repayments'!$I$31,(HLOOKUP($D96,$E$4:$CZ$32,28,FALSE)*'Incremental Repayments'!$I$22)),0),0)</f>
        <v>0</v>
      </c>
      <c r="T96" s="783">
        <f>IF('Incremental Repayments'!$R$22="Debt",IF(AND(T$4&gt;=$D96,T$4&lt;$D96+'Incremental Repayments'!$I$31),-PMT('Interest Rate'!$J$16,'Incremental Repayments'!$I$31,(HLOOKUP($D96,$E$4:$CZ$32,28,FALSE)*'Incremental Repayments'!$I$22)),0),0)</f>
        <v>0</v>
      </c>
      <c r="U96" s="783">
        <f>IF('Incremental Repayments'!$R$22="Debt",IF(AND(U$4&gt;=$D96,U$4&lt;$D96+'Incremental Repayments'!$I$31),-PMT('Interest Rate'!$J$16,'Incremental Repayments'!$I$31,(HLOOKUP($D96,$E$4:$CZ$32,28,FALSE)*'Incremental Repayments'!$I$22)),0),0)</f>
        <v>0</v>
      </c>
      <c r="V96" s="783">
        <f>IF('Incremental Repayments'!$R$22="Debt",IF(AND(V$4&gt;=$D96,V$4&lt;$D96+'Incremental Repayments'!$I$31),-PMT('Interest Rate'!$J$16,'Incremental Repayments'!$I$31,(HLOOKUP($D96,$E$4:$CZ$32,28,FALSE)*'Incremental Repayments'!$I$22)),0),0)</f>
        <v>0</v>
      </c>
      <c r="W96" s="783">
        <f>IF('Incremental Repayments'!$R$22="Debt",IF(AND(W$4&gt;=$D96,W$4&lt;$D96+'Incremental Repayments'!$I$31),-PMT('Interest Rate'!$J$16,'Incremental Repayments'!$I$31,(HLOOKUP($D96,$E$4:$CZ$32,28,FALSE)*'Incremental Repayments'!$I$22)),0),0)</f>
        <v>0</v>
      </c>
      <c r="X96" s="783">
        <f>IF('Incremental Repayments'!$R$22="Debt",IF(AND(X$4&gt;=$D96,X$4&lt;$D96+'Incremental Repayments'!$I$31),-PMT('Interest Rate'!$J$16,'Incremental Repayments'!$I$31,(HLOOKUP($D96,$E$4:$CZ$32,28,FALSE)*'Incremental Repayments'!$I$22)),0),0)</f>
        <v>0</v>
      </c>
      <c r="Y96" s="783">
        <f>IF('Incremental Repayments'!$R$22="Debt",IF(AND(Y$4&gt;=$D96,Y$4&lt;$D96+'Incremental Repayments'!$I$31),-PMT('Interest Rate'!$J$16,'Incremental Repayments'!$I$31,(HLOOKUP($D96,$E$4:$CZ$32,28,FALSE)*'Incremental Repayments'!$I$22)),0),0)</f>
        <v>0</v>
      </c>
      <c r="Z96" s="783">
        <f>IF('Incremental Repayments'!$R$22="Debt",IF(AND(Z$4&gt;=$D96,Z$4&lt;$D96+'Incremental Repayments'!$I$31),-PMT('Interest Rate'!$J$16,'Incremental Repayments'!$I$31,(HLOOKUP($D96,$E$4:$CZ$32,28,FALSE)*'Incremental Repayments'!$I$22)),0),0)</f>
        <v>0</v>
      </c>
      <c r="AA96" s="783">
        <f>IF('Incremental Repayments'!$R$22="Debt",IF(AND(AA$4&gt;=$D96,AA$4&lt;$D96+'Incremental Repayments'!$I$31),-PMT('Interest Rate'!$J$16,'Incremental Repayments'!$I$31,(HLOOKUP($D96,$E$4:$CZ$32,28,FALSE)*'Incremental Repayments'!$I$22)),0),0)</f>
        <v>0</v>
      </c>
      <c r="AB96" s="783">
        <f>IF('Incremental Repayments'!$R$22="Debt",IF(AND(AB$4&gt;=$D96,AB$4&lt;$D96+'Incremental Repayments'!$I$31),-PMT('Interest Rate'!$J$16,'Incremental Repayments'!$I$31,(HLOOKUP($D96,$E$4:$CZ$32,28,FALSE)*'Incremental Repayments'!$I$22)),0),0)</f>
        <v>0</v>
      </c>
      <c r="AC96" s="783">
        <f>IF('Incremental Repayments'!$R$22="Debt",IF(AND(AC$4&gt;=$D96,AC$4&lt;$D96+'Incremental Repayments'!$I$31),-PMT('Interest Rate'!$J$16,'Incremental Repayments'!$I$31,(HLOOKUP($D96,$E$4:$CZ$32,28,FALSE)*'Incremental Repayments'!$I$22)),0),0)</f>
        <v>0</v>
      </c>
      <c r="AD96" s="783">
        <f>IF('Incremental Repayments'!$R$22="Debt",IF(AND(AD$4&gt;=$D96,AD$4&lt;$D96+'Incremental Repayments'!$I$31),-PMT('Interest Rate'!$J$16,'Incremental Repayments'!$I$31,(HLOOKUP($D96,$E$4:$CZ$32,28,FALSE)*'Incremental Repayments'!$I$22)),0),0)</f>
        <v>0</v>
      </c>
      <c r="AE96" s="783">
        <f>IF('Incremental Repayments'!$R$22="Debt",IF(AND(AE$4&gt;=$D96,AE$4&lt;$D96+'Incremental Repayments'!$I$31),-PMT('Interest Rate'!$J$16,'Incremental Repayments'!$I$31,(HLOOKUP($D96,$E$4:$CZ$32,28,FALSE)*'Incremental Repayments'!$I$22)),0),0)</f>
        <v>0</v>
      </c>
      <c r="AF96" s="783">
        <f>IF('Incremental Repayments'!$R$22="Debt",IF(AND(AF$4&gt;=$D96,AF$4&lt;$D96+'Incremental Repayments'!$I$31),-PMT('Interest Rate'!$J$16,'Incremental Repayments'!$I$31,(HLOOKUP($D96,$E$4:$CZ$32,28,FALSE)*'Incremental Repayments'!$I$22)),0),0)</f>
        <v>0</v>
      </c>
      <c r="AG96" s="783">
        <f>IF('Incremental Repayments'!$R$22="Debt",IF(AND(AG$4&gt;=$D96,AG$4&lt;$D96+'Incremental Repayments'!$I$31),-PMT('Interest Rate'!$J$16,'Incremental Repayments'!$I$31,(HLOOKUP($D96,$E$4:$CZ$32,28,FALSE)*'Incremental Repayments'!$I$22)),0),0)</f>
        <v>0</v>
      </c>
      <c r="AH96" s="783">
        <f>IF('Incremental Repayments'!$R$22="Debt",IF(AND(AH$4&gt;=$D96,AH$4&lt;$D96+'Incremental Repayments'!$I$31),-PMT('Interest Rate'!$J$16,'Incremental Repayments'!$I$31,(HLOOKUP($D96,$E$4:$CZ$32,28,FALSE)*'Incremental Repayments'!$I$22)),0),0)</f>
        <v>0</v>
      </c>
      <c r="AI96" s="783">
        <f>IF('Incremental Repayments'!$R$22="Debt",IF(AND(AI$4&gt;=$D96,AI$4&lt;$D96+'Incremental Repayments'!$I$31),-PMT('Interest Rate'!$J$16,'Incremental Repayments'!$I$31,(HLOOKUP($D96,$E$4:$CZ$32,28,FALSE)*'Incremental Repayments'!$I$22)),0),0)</f>
        <v>0</v>
      </c>
      <c r="AJ96" s="783">
        <f>IF('Incremental Repayments'!$R$22="Debt",IF(AND(AJ$4&gt;=$D96,AJ$4&lt;$D96+'Incremental Repayments'!$I$31),-PMT('Interest Rate'!$J$16,'Incremental Repayments'!$I$31,(HLOOKUP($D96,$E$4:$CZ$32,28,FALSE)*'Incremental Repayments'!$I$22)),0),0)</f>
        <v>0</v>
      </c>
      <c r="AK96" s="783">
        <f>IF('Incremental Repayments'!$R$22="Debt",IF(AND(AK$4&gt;=$D96,AK$4&lt;$D96+'Incremental Repayments'!$I$31),-PMT('Interest Rate'!$J$16,'Incremental Repayments'!$I$31,(HLOOKUP($D96,$E$4:$CZ$32,28,FALSE)*'Incremental Repayments'!$I$22)),0),0)</f>
        <v>0</v>
      </c>
      <c r="AL96" s="783">
        <f>IF('Incremental Repayments'!$R$22="Debt",IF(AND(AL$4&gt;=$D96,AL$4&lt;$D96+'Incremental Repayments'!$I$31),-PMT('Interest Rate'!$J$16,'Incremental Repayments'!$I$31,(HLOOKUP($D96,$E$4:$CZ$32,28,FALSE)*'Incremental Repayments'!$I$22)),0),0)</f>
        <v>0</v>
      </c>
      <c r="AM96" s="783">
        <f>IF('Incremental Repayments'!$R$22="Debt",IF(AND(AM$4&gt;=$D96,AM$4&lt;$D96+'Incremental Repayments'!$I$31),-PMT('Interest Rate'!$J$16,'Incremental Repayments'!$I$31,(HLOOKUP($D96,$E$4:$CZ$32,28,FALSE)*'Incremental Repayments'!$I$22)),0),0)</f>
        <v>0</v>
      </c>
      <c r="AN96" s="783">
        <f>IF('Incremental Repayments'!$R$22="Debt",IF(AND(AN$4&gt;=$D96,AN$4&lt;$D96+'Incremental Repayments'!$I$31),-PMT('Interest Rate'!$J$16,'Incremental Repayments'!$I$31,(HLOOKUP($D96,$E$4:$CZ$32,28,FALSE)*'Incremental Repayments'!$I$22)),0),0)</f>
        <v>0</v>
      </c>
      <c r="AO96" s="783">
        <f>IF('Incremental Repayments'!$R$22="Debt",IF(AND(AO$4&gt;=$D96,AO$4&lt;$D96+'Incremental Repayments'!$I$31),-PMT('Interest Rate'!$J$16,'Incremental Repayments'!$I$31,(HLOOKUP($D96,$E$4:$CZ$32,28,FALSE)*'Incremental Repayments'!$I$22)),0),0)</f>
        <v>0</v>
      </c>
      <c r="AP96" s="783">
        <f>IF('Incremental Repayments'!$R$22="Debt",IF(AND(AP$4&gt;=$D96,AP$4&lt;$D96+'Incremental Repayments'!$I$31),-PMT('Interest Rate'!$J$16,'Incremental Repayments'!$I$31,(HLOOKUP($D96,$E$4:$CZ$32,28,FALSE)*'Incremental Repayments'!$I$22)),0),0)</f>
        <v>0</v>
      </c>
      <c r="AQ96" s="783">
        <f>IF('Incremental Repayments'!$R$22="Debt",IF(AND(AQ$4&gt;=$D96,AQ$4&lt;$D96+'Incremental Repayments'!$I$31),-PMT('Interest Rate'!$J$16,'Incremental Repayments'!$I$31,(HLOOKUP($D96,$E$4:$CZ$32,28,FALSE)*'Incremental Repayments'!$I$22)),0),0)</f>
        <v>0</v>
      </c>
      <c r="AR96" s="783">
        <f>IF('Incremental Repayments'!$R$22="Debt",IF(AND(AR$4&gt;=$D96,AR$4&lt;$D96+'Incremental Repayments'!$I$31),-PMT('Interest Rate'!$J$16,'Incremental Repayments'!$I$31,(HLOOKUP($D96,$E$4:$CZ$32,28,FALSE)*'Incremental Repayments'!$I$22)),0),0)</f>
        <v>0</v>
      </c>
      <c r="AS96" s="783">
        <f>IF('Incremental Repayments'!$R$22="Debt",IF(AND(AS$4&gt;=$D96,AS$4&lt;$D96+'Incremental Repayments'!$I$31),-PMT('Interest Rate'!$J$16,'Incremental Repayments'!$I$31,(HLOOKUP($D96,$E$4:$CZ$32,28,FALSE)*'Incremental Repayments'!$I$22)),0),0)</f>
        <v>0</v>
      </c>
      <c r="AT96" s="783">
        <f>IF('Incremental Repayments'!$R$22="Debt",IF(AND(AT$4&gt;=$D96,AT$4&lt;$D96+'Incremental Repayments'!$I$31),-PMT('Interest Rate'!$J$16,'Incremental Repayments'!$I$31,(HLOOKUP($D96,$E$4:$CZ$32,28,FALSE)*'Incremental Repayments'!$I$22)),0),0)</f>
        <v>0</v>
      </c>
      <c r="AU96" s="783">
        <f>IF('Incremental Repayments'!$R$22="Debt",IF(AND(AU$4&gt;=$D96,AU$4&lt;$D96+'Incremental Repayments'!$I$31),-PMT('Interest Rate'!$J$16,'Incremental Repayments'!$I$31,(HLOOKUP($D96,$E$4:$CZ$32,28,FALSE)*'Incremental Repayments'!$I$22)),0),0)</f>
        <v>0</v>
      </c>
      <c r="AV96" s="783">
        <f>IF('Incremental Repayments'!$R$22="Debt",IF(AND(AV$4&gt;=$D96,AV$4&lt;$D96+'Incremental Repayments'!$I$31),-PMT('Interest Rate'!$J$16,'Incremental Repayments'!$I$31,(HLOOKUP($D96,$E$4:$CZ$32,28,FALSE)*'Incremental Repayments'!$I$22)),0),0)</f>
        <v>0</v>
      </c>
      <c r="AW96" s="783">
        <f>IF('Incremental Repayments'!$R$22="Debt",IF(AND(AW$4&gt;=$D96,AW$4&lt;$D96+'Incremental Repayments'!$I$31),-PMT('Interest Rate'!$J$16,'Incremental Repayments'!$I$31,(HLOOKUP($D96,$E$4:$CZ$32,28,FALSE)*'Incremental Repayments'!$I$22)),0),0)</f>
        <v>0</v>
      </c>
      <c r="AX96" s="783">
        <f>IF('Incremental Repayments'!$R$22="Debt",IF(AND(AX$4&gt;=$D96,AX$4&lt;$D96+'Incremental Repayments'!$I$31),-PMT('Interest Rate'!$J$16,'Incremental Repayments'!$I$31,(HLOOKUP($D96,$E$4:$CZ$32,28,FALSE)*'Incremental Repayments'!$I$22)),0),0)</f>
        <v>0</v>
      </c>
      <c r="AY96" s="783">
        <f>IF('Incremental Repayments'!$R$22="Debt",IF(AND(AY$4&gt;=$D96,AY$4&lt;$D96+'Incremental Repayments'!$I$31),-PMT('Interest Rate'!$J$16,'Incremental Repayments'!$I$31,(HLOOKUP($D96,$E$4:$CZ$32,28,FALSE)*'Incremental Repayments'!$I$22)),0),0)</f>
        <v>0</v>
      </c>
      <c r="AZ96" s="783">
        <f>IF('Incremental Repayments'!$R$22="Debt",IF(AND(AZ$4&gt;=$D96,AZ$4&lt;$D96+'Incremental Repayments'!$I$31),-PMT('Interest Rate'!$J$16,'Incremental Repayments'!$I$31,(HLOOKUP($D96,$E$4:$CZ$32,28,FALSE)*'Incremental Repayments'!$I$22)),0),0)</f>
        <v>0</v>
      </c>
      <c r="BA96" s="783">
        <f>IF('Incremental Repayments'!$R$22="Debt",IF(AND(BA$4&gt;=$D96,BA$4&lt;$D96+'Incremental Repayments'!$I$31),-PMT('Interest Rate'!$J$16,'Incremental Repayments'!$I$31,(HLOOKUP($D96,$E$4:$CZ$32,28,FALSE)*'Incremental Repayments'!$I$22)),0),0)</f>
        <v>0</v>
      </c>
      <c r="BB96" s="783">
        <f>IF('Incremental Repayments'!$R$22="Debt",IF(AND(BB$4&gt;=$D96,BB$4&lt;$D96+'Incremental Repayments'!$I$31),-PMT('Interest Rate'!$J$16,'Incremental Repayments'!$I$31,(HLOOKUP($D96,$E$4:$CZ$32,28,FALSE)*'Incremental Repayments'!$I$22)),0),0)</f>
        <v>0</v>
      </c>
      <c r="BC96" s="783">
        <f>IF('Incremental Repayments'!$R$22="Debt",IF(AND(BC$4&gt;=$D96,BC$4&lt;$D96+'Incremental Repayments'!$I$31),-PMT('Interest Rate'!$J$16,'Incremental Repayments'!$I$31,(HLOOKUP($D96,$E$4:$CZ$32,28,FALSE)*'Incremental Repayments'!$I$22)),0),0)</f>
        <v>0</v>
      </c>
      <c r="BD96" s="783">
        <f>IF('Incremental Repayments'!$R$22="Debt",IF(AND(BD$4&gt;=$D96,BD$4&lt;$D96+'Incremental Repayments'!$I$31),-PMT('Interest Rate'!$J$16,'Incremental Repayments'!$I$31,(HLOOKUP($D96,$E$4:$CZ$32,28,FALSE)*'Incremental Repayments'!$I$22)),0),0)</f>
        <v>0</v>
      </c>
      <c r="BE96" s="783">
        <f>IF('Incremental Repayments'!$R$22="Debt",IF(AND(BE$4&gt;=$D96,BE$4&lt;$D96+'Incremental Repayments'!$I$31),-PMT('Interest Rate'!$J$16,'Incremental Repayments'!$I$31,(HLOOKUP($D96,$E$4:$CZ$32,28,FALSE)*'Incremental Repayments'!$I$22)),0),0)</f>
        <v>0</v>
      </c>
      <c r="BF96" s="783">
        <f>IF('Incremental Repayments'!$R$22="Debt",IF(AND(BF$4&gt;=$D96,BF$4&lt;$D96+'Incremental Repayments'!$I$31),-PMT('Interest Rate'!$J$16,'Incremental Repayments'!$I$31,(HLOOKUP($D96,$E$4:$CZ$32,28,FALSE)*'Incremental Repayments'!$I$22)),0),0)</f>
        <v>0</v>
      </c>
      <c r="BG96" s="783">
        <f>IF('Incremental Repayments'!$R$22="Debt",IF(AND(BG$4&gt;=$D96,BG$4&lt;$D96+'Incremental Repayments'!$I$31),-PMT('Interest Rate'!$J$16,'Incremental Repayments'!$I$31,(HLOOKUP($D96,$E$4:$CZ$32,28,FALSE)*'Incremental Repayments'!$I$22)),0),0)</f>
        <v>0</v>
      </c>
      <c r="BH96" s="783">
        <f>IF('Incremental Repayments'!$R$22="Debt",IF(AND(BH$4&gt;=$D96,BH$4&lt;$D96+'Incremental Repayments'!$I$31),-PMT('Interest Rate'!$J$16,'Incremental Repayments'!$I$31,(HLOOKUP($D96,$E$4:$CZ$32,28,FALSE)*'Incremental Repayments'!$I$22)),0),0)</f>
        <v>0</v>
      </c>
      <c r="BI96" s="783">
        <f>IF('Incremental Repayments'!$R$22="Debt",IF(AND(BI$4&gt;=$D96,BI$4&lt;$D96+'Incremental Repayments'!$I$31),-PMT('Interest Rate'!$J$16,'Incremental Repayments'!$I$31,(HLOOKUP($D96,$E$4:$CZ$32,28,FALSE)*'Incremental Repayments'!$I$22)),0),0)</f>
        <v>0</v>
      </c>
      <c r="BJ96" s="783">
        <f>IF('Incremental Repayments'!$R$22="Debt",IF(AND(BJ$4&gt;=$D96,BJ$4&lt;$D96+'Incremental Repayments'!$I$31),-PMT('Interest Rate'!$J$16,'Incremental Repayments'!$I$31,(HLOOKUP($D96,$E$4:$CZ$32,28,FALSE)*'Incremental Repayments'!$I$22)),0),0)</f>
        <v>0</v>
      </c>
      <c r="BK96" s="783">
        <f>IF('Incremental Repayments'!$R$22="Debt",IF(AND(BK$4&gt;=$D96,BK$4&lt;$D96+'Incremental Repayments'!$I$31),-PMT('Interest Rate'!$J$16,'Incremental Repayments'!$I$31,(HLOOKUP($D96,$E$4:$CZ$32,28,FALSE)*'Incremental Repayments'!$I$22)),0),0)</f>
        <v>0</v>
      </c>
      <c r="BL96" s="783">
        <f>IF('Incremental Repayments'!$R$22="Debt",IF(AND(BL$4&gt;=$D96,BL$4&lt;$D96+'Incremental Repayments'!$I$31),-PMT('Interest Rate'!$J$16,'Incremental Repayments'!$I$31,(HLOOKUP($D96,$E$4:$CZ$32,28,FALSE)*'Incremental Repayments'!$I$22)),0),0)</f>
        <v>0</v>
      </c>
      <c r="BM96" s="783">
        <f>IF('Incremental Repayments'!$R$22="Debt",IF(AND(BM$4&gt;=$D96,BM$4&lt;$D96+'Incremental Repayments'!$I$31),-PMT('Interest Rate'!$J$16,'Incremental Repayments'!$I$31,(HLOOKUP($D96,$E$4:$CZ$32,28,FALSE)*'Incremental Repayments'!$I$22)),0),0)</f>
        <v>0</v>
      </c>
      <c r="BN96" s="783">
        <f>IF('Incremental Repayments'!$R$22="Debt",IF(AND(BN$4&gt;=$D96,BN$4&lt;$D96+'Incremental Repayments'!$I$31),-PMT('Interest Rate'!$J$16,'Incremental Repayments'!$I$31,(HLOOKUP($D96,$E$4:$CZ$32,28,FALSE)*'Incremental Repayments'!$I$22)),0),0)</f>
        <v>0</v>
      </c>
      <c r="BO96" s="783">
        <f>IF('Incremental Repayments'!$R$22="Debt",IF(AND(BO$4&gt;=$D96,BO$4&lt;$D96+'Incremental Repayments'!$I$31),-PMT('Interest Rate'!$J$16,'Incremental Repayments'!$I$31,(HLOOKUP($D96,$E$4:$CZ$32,28,FALSE)*'Incremental Repayments'!$I$22)),0),0)</f>
        <v>0</v>
      </c>
      <c r="BP96" s="783">
        <f>IF('Incremental Repayments'!$R$22="Debt",IF(AND(BP$4&gt;=$D96,BP$4&lt;$D96+'Incremental Repayments'!$I$31),-PMT('Interest Rate'!$J$16,'Incremental Repayments'!$I$31,(HLOOKUP($D96,$E$4:$CZ$32,28,FALSE)*'Incremental Repayments'!$I$22)),0),0)</f>
        <v>0</v>
      </c>
      <c r="BQ96" s="783">
        <f>IF('Incremental Repayments'!$R$22="Debt",IF(AND(BQ$4&gt;=$D96,BQ$4&lt;$D96+'Incremental Repayments'!$I$31),-PMT('Interest Rate'!$J$16,'Incremental Repayments'!$I$31,(HLOOKUP($D96,$E$4:$CZ$32,28,FALSE)*'Incremental Repayments'!$I$22)),0),0)</f>
        <v>0</v>
      </c>
      <c r="BR96" s="783">
        <f>IF('Incremental Repayments'!$R$22="Debt",IF(AND(BR$4&gt;=$D96,BR$4&lt;$D96+'Incremental Repayments'!$I$31),-PMT('Interest Rate'!$J$16,'Incremental Repayments'!$I$31,(HLOOKUP($D96,$E$4:$CZ$32,28,FALSE)*'Incremental Repayments'!$I$22)),0),0)</f>
        <v>0</v>
      </c>
      <c r="BS96" s="783">
        <f>IF('Incremental Repayments'!$R$22="Debt",IF(AND(BS$4&gt;=$D96,BS$4&lt;$D96+'Incremental Repayments'!$I$31),-PMT('Interest Rate'!$J$16,'Incremental Repayments'!$I$31,(HLOOKUP($D96,$E$4:$CZ$32,28,FALSE)*'Incremental Repayments'!$I$22)),0),0)</f>
        <v>0</v>
      </c>
      <c r="BT96" s="783">
        <f>IF('Incremental Repayments'!$R$22="Debt",IF(AND(BT$4&gt;=$D96,BT$4&lt;$D96+'Incremental Repayments'!$I$31),-PMT('Interest Rate'!$J$16,'Incremental Repayments'!$I$31,(HLOOKUP($D96,$E$4:$CZ$32,28,FALSE)*'Incremental Repayments'!$I$22)),0),0)</f>
        <v>0</v>
      </c>
      <c r="BU96" s="783">
        <f>IF('Incremental Repayments'!$R$22="Debt",IF(AND(BU$4&gt;=$D96,BU$4&lt;$D96+'Incremental Repayments'!$I$31),-PMT('Interest Rate'!$J$16,'Incremental Repayments'!$I$31,(HLOOKUP($D96,$E$4:$CZ$32,28,FALSE)*'Incremental Repayments'!$I$22)),0),0)</f>
        <v>0</v>
      </c>
      <c r="BV96" s="783">
        <f>IF('Incremental Repayments'!$R$22="Debt",IF(AND(BV$4&gt;=$D96,BV$4&lt;$D96+'Incremental Repayments'!$I$31),-PMT('Interest Rate'!$J$16,'Incremental Repayments'!$I$31,(HLOOKUP($D96,$E$4:$CZ$32,28,FALSE)*'Incremental Repayments'!$I$22)),0),0)</f>
        <v>0</v>
      </c>
      <c r="BW96" s="783">
        <f>IF('Incremental Repayments'!$R$22="Debt",IF(AND(BW$4&gt;=$D96,BW$4&lt;$D96+'Incremental Repayments'!$I$31),-PMT('Interest Rate'!$J$16,'Incremental Repayments'!$I$31,(HLOOKUP($D96,$E$4:$CZ$32,28,FALSE)*'Incremental Repayments'!$I$22)),0),0)</f>
        <v>0</v>
      </c>
      <c r="BX96" s="783">
        <f>IF('Incremental Repayments'!$R$22="Debt",IF(AND(BX$4&gt;=$D96,BX$4&lt;$D96+'Incremental Repayments'!$I$31),-PMT('Interest Rate'!$J$16,'Incremental Repayments'!$I$31,(HLOOKUP($D96,$E$4:$CZ$32,28,FALSE)*'Incremental Repayments'!$I$22)),0),0)</f>
        <v>0</v>
      </c>
      <c r="BY96" s="783">
        <f>IF('Incremental Repayments'!$R$22="Debt",IF(AND(BY$4&gt;=$D96,BY$4&lt;$D96+'Incremental Repayments'!$I$31),-PMT('Interest Rate'!$J$16,'Incremental Repayments'!$I$31,(HLOOKUP($D96,$E$4:$CZ$32,28,FALSE)*'Incremental Repayments'!$I$22)),0),0)</f>
        <v>0</v>
      </c>
      <c r="BZ96" s="783">
        <f>IF('Incremental Repayments'!$R$22="Debt",IF(AND(BZ$4&gt;=$D96,BZ$4&lt;$D96+'Incremental Repayments'!$I$31),-PMT('Interest Rate'!$J$16,'Incremental Repayments'!$I$31,(HLOOKUP($D96,$E$4:$CZ$32,28,FALSE)*'Incremental Repayments'!$I$22)),0),0)</f>
        <v>0</v>
      </c>
      <c r="CA96" s="783">
        <f>IF('Incremental Repayments'!$R$22="Debt",IF(AND(CA$4&gt;=$D96,CA$4&lt;$D96+'Incremental Repayments'!$I$31),-PMT('Interest Rate'!$J$16,'Incremental Repayments'!$I$31,(HLOOKUP($D96,$E$4:$CZ$32,28,FALSE)*'Incremental Repayments'!$I$22)),0),0)</f>
        <v>0</v>
      </c>
      <c r="CB96" s="783">
        <f>IF('Incremental Repayments'!$R$22="Debt",IF(AND(CB$4&gt;=$D96,CB$4&lt;$D96+'Incremental Repayments'!$I$31),-PMT('Interest Rate'!$J$16,'Incremental Repayments'!$I$31,(HLOOKUP($D96,$E$4:$CZ$32,28,FALSE)*'Incremental Repayments'!$I$22)),0),0)</f>
        <v>0</v>
      </c>
      <c r="CC96" s="783">
        <f>IF('Incremental Repayments'!$R$22="Debt",IF(AND(CC$4&gt;=$D96,CC$4&lt;$D96+'Incremental Repayments'!$I$31),-PMT('Interest Rate'!$J$16,'Incremental Repayments'!$I$31,(HLOOKUP($D96,$E$4:$CZ$32,28,FALSE)*'Incremental Repayments'!$I$22)),0),0)</f>
        <v>0</v>
      </c>
      <c r="CD96" s="783">
        <f>IF('Incremental Repayments'!$R$22="Debt",IF(AND(CD$4&gt;=$D96,CD$4&lt;$D96+'Incremental Repayments'!$I$31),-PMT('Interest Rate'!$J$16,'Incremental Repayments'!$I$31,(HLOOKUP($D96,$E$4:$CZ$32,28,FALSE)*'Incremental Repayments'!$I$22)),0),0)</f>
        <v>0</v>
      </c>
      <c r="CE96" s="783">
        <f>IF('Incremental Repayments'!$R$22="Debt",IF(AND(CE$4&gt;=$D96,CE$4&lt;$D96+'Incremental Repayments'!$I$31),-PMT('Interest Rate'!$J$16,'Incremental Repayments'!$I$31,(HLOOKUP($D96,$E$4:$CZ$32,28,FALSE)*'Incremental Repayments'!$I$22)),0),0)</f>
        <v>0</v>
      </c>
      <c r="CF96" s="783">
        <f>IF('Incremental Repayments'!$R$22="Debt",IF(AND(CF$4&gt;=$D96,CF$4&lt;$D96+'Incremental Repayments'!$I$31),-PMT('Interest Rate'!$J$16,'Incremental Repayments'!$I$31,(HLOOKUP($D96,$E$4:$CZ$32,28,FALSE)*'Incremental Repayments'!$I$22)),0),0)</f>
        <v>0</v>
      </c>
      <c r="CG96" s="783">
        <f>IF('Incremental Repayments'!$R$22="Debt",IF(AND(CG$4&gt;=$D96,CG$4&lt;$D96+'Incremental Repayments'!$I$31),-PMT('Interest Rate'!$J$16,'Incremental Repayments'!$I$31,(HLOOKUP($D96,$E$4:$CZ$32,28,FALSE)*'Incremental Repayments'!$I$22)),0),0)</f>
        <v>0</v>
      </c>
      <c r="CH96" s="783">
        <f>IF('Incremental Repayments'!$R$22="Debt",IF(AND(CH$4&gt;=$D96,CH$4&lt;$D96+'Incremental Repayments'!$I$31),-PMT('Interest Rate'!$J$16,'Incremental Repayments'!$I$31,(HLOOKUP($D96,$E$4:$CZ$32,28,FALSE)*'Incremental Repayments'!$I$22)),0),0)</f>
        <v>0</v>
      </c>
      <c r="CI96" s="783">
        <f>IF('Incremental Repayments'!$R$22="Debt",IF(AND(CI$4&gt;=$D96,CI$4&lt;$D96+'Incremental Repayments'!$I$31),-PMT('Interest Rate'!$J$16,'Incremental Repayments'!$I$31,(HLOOKUP($D96,$E$4:$CZ$32,28,FALSE)*'Incremental Repayments'!$I$22)),0),0)</f>
        <v>0</v>
      </c>
      <c r="CJ96" s="783">
        <f>IF('Incremental Repayments'!$R$22="Debt",IF(AND(CJ$4&gt;=$D96,CJ$4&lt;$D96+'Incremental Repayments'!$I$31),-PMT('Interest Rate'!$J$16,'Incremental Repayments'!$I$31,(HLOOKUP($D96,$E$4:$CZ$32,28,FALSE)*'Incremental Repayments'!$I$22)),0),0)</f>
        <v>0</v>
      </c>
      <c r="CK96" s="783">
        <f>IF('Incremental Repayments'!$R$22="Debt",IF(AND(CK$4&gt;=$D96,CK$4&lt;$D96+'Incremental Repayments'!$I$31),-PMT('Interest Rate'!$J$16,'Incremental Repayments'!$I$31,(HLOOKUP($D96,$E$4:$CZ$32,28,FALSE)*'Incremental Repayments'!$I$22)),0),0)</f>
        <v>0</v>
      </c>
      <c r="CL96" s="783">
        <f>IF('Incremental Repayments'!$R$22="Debt",IF(AND(CL$4&gt;=$D96,CL$4&lt;$D96+'Incremental Repayments'!$I$31),-PMT('Interest Rate'!$J$16,'Incremental Repayments'!$I$31,(HLOOKUP($D96,$E$4:$CZ$32,28,FALSE)*'Incremental Repayments'!$I$22)),0),0)</f>
        <v>0</v>
      </c>
      <c r="CM96" s="783">
        <f>IF('Incremental Repayments'!$R$22="Debt",IF(AND(CM$4&gt;=$D96,CM$4&lt;$D96+'Incremental Repayments'!$I$31),-PMT('Interest Rate'!$J$16,'Incremental Repayments'!$I$31,(HLOOKUP($D96,$E$4:$CZ$32,28,FALSE)*'Incremental Repayments'!$I$22)),0),0)</f>
        <v>0</v>
      </c>
      <c r="CN96" s="783">
        <f>IF('Incremental Repayments'!$R$22="Debt",IF(AND(CN$4&gt;=$D96,CN$4&lt;$D96+'Incremental Repayments'!$I$31),-PMT('Interest Rate'!$J$16,'Incremental Repayments'!$I$31,(HLOOKUP($D96,$E$4:$CZ$32,28,FALSE)*'Incremental Repayments'!$I$22)),0),0)</f>
        <v>0</v>
      </c>
      <c r="CO96" s="783">
        <f>IF('Incremental Repayments'!$R$22="Debt",IF(AND(CO$4&gt;=$D96,CO$4&lt;$D96+'Incremental Repayments'!$I$31),-PMT('Interest Rate'!$J$16,'Incremental Repayments'!$I$31,(HLOOKUP($D96,$E$4:$CZ$32,28,FALSE)*'Incremental Repayments'!$I$22)),0),0)</f>
        <v>0</v>
      </c>
      <c r="CP96" s="783">
        <f>IF('Incremental Repayments'!$R$22="Debt",IF(AND(CP$4&gt;=$D96,CP$4&lt;$D96+'Incremental Repayments'!$I$31),-PMT('Interest Rate'!$J$16,'Incremental Repayments'!$I$31,(HLOOKUP($D96,$E$4:$CZ$32,28,FALSE)*'Incremental Repayments'!$I$22)),0),0)</f>
        <v>0</v>
      </c>
      <c r="CQ96" s="783">
        <f>IF('Incremental Repayments'!$R$22="Debt",IF(AND(CQ$4&gt;=$D96,CQ$4&lt;$D96+'Incremental Repayments'!$I$31),-PMT('Interest Rate'!$J$16,'Incremental Repayments'!$I$31,(HLOOKUP($D96,$E$4:$CZ$32,28,FALSE)*'Incremental Repayments'!$I$22)),0),0)</f>
        <v>0</v>
      </c>
      <c r="CR96" s="783">
        <f>IF('Incremental Repayments'!$R$22="Debt",IF(AND(CR$4&gt;=$D96,CR$4&lt;$D96+'Incremental Repayments'!$I$31),-PMT('Interest Rate'!$J$16,'Incremental Repayments'!$I$31,(HLOOKUP($D96,$E$4:$CZ$32,28,FALSE)*'Incremental Repayments'!$I$22)),0),0)</f>
        <v>0</v>
      </c>
      <c r="CS96" s="783">
        <f>IF('Incremental Repayments'!$R$22="Debt",IF(AND(CS$4&gt;=$D96,CS$4&lt;$D96+'Incremental Repayments'!$I$31),-PMT('Interest Rate'!$J$16,'Incremental Repayments'!$I$31,(HLOOKUP($D96,$E$4:$CZ$32,28,FALSE)*'Incremental Repayments'!$I$22)),0),0)</f>
        <v>0</v>
      </c>
      <c r="CT96" s="783">
        <f>IF('Incremental Repayments'!$R$22="Debt",IF(AND(CT$4&gt;=$D96,CT$4&lt;$D96+'Incremental Repayments'!$I$31),-PMT('Interest Rate'!$J$16,'Incremental Repayments'!$I$31,(HLOOKUP($D96,$E$4:$CZ$32,28,FALSE)*'Incremental Repayments'!$I$22)),0),0)</f>
        <v>0</v>
      </c>
      <c r="CU96" s="783">
        <f>IF('Incremental Repayments'!$R$22="Debt",IF(AND(CU$4&gt;=$D96,CU$4&lt;$D96+'Incremental Repayments'!$I$31),-PMT('Interest Rate'!$J$16,'Incremental Repayments'!$I$31,(HLOOKUP($D96,$E$4:$CZ$32,28,FALSE)*'Incremental Repayments'!$I$22)),0),0)</f>
        <v>0</v>
      </c>
      <c r="CV96" s="783">
        <f>IF('Incremental Repayments'!$R$22="Debt",IF(AND(CV$4&gt;=$D96,CV$4&lt;$D96+'Incremental Repayments'!$I$31),-PMT('Interest Rate'!$J$16,'Incremental Repayments'!$I$31,(HLOOKUP($D96,$E$4:$CZ$32,28,FALSE)*'Incremental Repayments'!$I$22)),0),0)</f>
        <v>0</v>
      </c>
      <c r="CW96" s="783">
        <f>IF('Incremental Repayments'!$R$22="Debt",IF(AND(CW$4&gt;=$D96,CW$4&lt;$D96+'Incremental Repayments'!$I$31),-PMT('Interest Rate'!$J$16,'Incremental Repayments'!$I$31,(HLOOKUP($D96,$E$4:$CZ$32,28,FALSE)*'Incremental Repayments'!$I$22)),0),0)</f>
        <v>0</v>
      </c>
      <c r="CX96" s="783">
        <f>IF('Incremental Repayments'!$R$22="Debt",IF(AND(CX$4&gt;=$D96,CX$4&lt;$D96+'Incremental Repayments'!$I$31),-PMT('Interest Rate'!$J$16,'Incremental Repayments'!$I$31,(HLOOKUP($D96,$E$4:$CZ$32,28,FALSE)*'Incremental Repayments'!$I$22)),0),0)</f>
        <v>0</v>
      </c>
      <c r="CY96" s="783">
        <f>IF('Incremental Repayments'!$R$22="Debt",IF(AND(CY$4&gt;=$D96,CY$4&lt;$D96+'Incremental Repayments'!$I$31),-PMT('Interest Rate'!$J$16,'Incremental Repayments'!$I$31,(HLOOKUP($D96,$E$4:$CZ$32,28,FALSE)*'Incremental Repayments'!$I$22)),0),0)</f>
        <v>0</v>
      </c>
      <c r="CZ96" s="783">
        <f>IF('Incremental Repayments'!$R$22="Debt",IF(AND(CZ$4&gt;=$D96,CZ$4&lt;$D96+'Incremental Repayments'!$I$31),-PMT('Interest Rate'!$J$16,'Incremental Repayments'!$I$31,(HLOOKUP($D96,$E$4:$CZ$32,28,FALSE)*'Incremental Repayments'!$I$22)),0),0)</f>
        <v>0</v>
      </c>
    </row>
    <row r="97" spans="2:104" x14ac:dyDescent="0.25">
      <c r="B97" s="480" t="str">
        <f>CONCATENATE("Series ",D97,"A Bonds (at ",'Interest Rate'!$J$16*100,"% Interest)")</f>
        <v>Series 2075A Bonds (at 4.5% Interest)</v>
      </c>
      <c r="C97" s="480"/>
      <c r="D97" s="492">
        <f t="shared" si="47"/>
        <v>2075</v>
      </c>
      <c r="E97" s="783">
        <f>IF('Incremental Repayments'!$R$22="Debt",IF(AND(E$4&gt;=$D97,E$4&lt;$D97+'Incremental Repayments'!$I$31),-PMT('Interest Rate'!$J$16,'Incremental Repayments'!$I$31,(HLOOKUP($D97,$E$4:$CZ$32,28,FALSE)*'Incremental Repayments'!$I$22)),0),0)</f>
        <v>0</v>
      </c>
      <c r="F97" s="783">
        <f>IF('Incremental Repayments'!$R$22="Debt",IF(AND(F$4&gt;=$D97,F$4&lt;$D97+'Incremental Repayments'!$I$31),-PMT('Interest Rate'!$J$16,'Incremental Repayments'!$I$31,(HLOOKUP($D97,$E$4:$CZ$32,28,FALSE)*'Incremental Repayments'!$I$22)),0),0)</f>
        <v>0</v>
      </c>
      <c r="G97" s="783">
        <f>IF('Incremental Repayments'!$R$22="Debt",IF(AND(G$4&gt;=$D97,G$4&lt;$D97+'Incremental Repayments'!$I$31),-PMT('Interest Rate'!$J$16,'Incremental Repayments'!$I$31,(HLOOKUP($D97,$E$4:$CZ$32,28,FALSE)*'Incremental Repayments'!$I$22)),0),0)</f>
        <v>0</v>
      </c>
      <c r="H97" s="783">
        <f>IF('Incremental Repayments'!$R$22="Debt",IF(AND(H$4&gt;=$D97,H$4&lt;$D97+'Incremental Repayments'!$I$31),-PMT('Interest Rate'!$J$16,'Incremental Repayments'!$I$31,(HLOOKUP($D97,$E$4:$CZ$32,28,FALSE)*'Incremental Repayments'!$I$22)),0),0)</f>
        <v>0</v>
      </c>
      <c r="I97" s="783">
        <f>IF('Incremental Repayments'!$R$22="Debt",IF(AND(I$4&gt;=$D97,I$4&lt;$D97+'Incremental Repayments'!$I$31),-PMT('Interest Rate'!$J$16,'Incremental Repayments'!$I$31,(HLOOKUP($D97,$E$4:$CZ$32,28,FALSE)*'Incremental Repayments'!$I$22)),0),0)</f>
        <v>0</v>
      </c>
      <c r="J97" s="783">
        <f>IF('Incremental Repayments'!$R$22="Debt",IF(AND(J$4&gt;=$D97,J$4&lt;$D97+'Incremental Repayments'!$I$31),-PMT('Interest Rate'!$J$16,'Incremental Repayments'!$I$31,(HLOOKUP($D97,$E$4:$CZ$32,28,FALSE)*'Incremental Repayments'!$I$22)),0),0)</f>
        <v>0</v>
      </c>
      <c r="K97" s="783">
        <f>IF('Incremental Repayments'!$R$22="Debt",IF(AND(K$4&gt;=$D97,K$4&lt;$D97+'Incremental Repayments'!$I$31),-PMT('Interest Rate'!$J$16,'Incremental Repayments'!$I$31,(HLOOKUP($D97,$E$4:$CZ$32,28,FALSE)*'Incremental Repayments'!$I$22)),0),0)</f>
        <v>0</v>
      </c>
      <c r="L97" s="783">
        <f>IF('Incremental Repayments'!$R$22="Debt",IF(AND(L$4&gt;=$D97,L$4&lt;$D97+'Incremental Repayments'!$I$31),-PMT('Interest Rate'!$J$16,'Incremental Repayments'!$I$31,(HLOOKUP($D97,$E$4:$CZ$32,28,FALSE)*'Incremental Repayments'!$I$22)),0),0)</f>
        <v>0</v>
      </c>
      <c r="M97" s="783">
        <f>IF('Incremental Repayments'!$R$22="Debt",IF(AND(M$4&gt;=$D97,M$4&lt;$D97+'Incremental Repayments'!$I$31),-PMT('Interest Rate'!$J$16,'Incremental Repayments'!$I$31,(HLOOKUP($D97,$E$4:$CZ$32,28,FALSE)*'Incremental Repayments'!$I$22)),0),0)</f>
        <v>0</v>
      </c>
      <c r="N97" s="783">
        <f>IF('Incremental Repayments'!$R$22="Debt",IF(AND(N$4&gt;=$D97,N$4&lt;$D97+'Incremental Repayments'!$I$31),-PMT('Interest Rate'!$J$16,'Incremental Repayments'!$I$31,(HLOOKUP($D97,$E$4:$CZ$32,28,FALSE)*'Incremental Repayments'!$I$22)),0),0)</f>
        <v>0</v>
      </c>
      <c r="O97" s="783">
        <f>IF('Incremental Repayments'!$R$22="Debt",IF(AND(O$4&gt;=$D97,O$4&lt;$D97+'Incremental Repayments'!$I$31),-PMT('Interest Rate'!$J$16,'Incremental Repayments'!$I$31,(HLOOKUP($D97,$E$4:$CZ$32,28,FALSE)*'Incremental Repayments'!$I$22)),0),0)</f>
        <v>0</v>
      </c>
      <c r="P97" s="783">
        <f>IF('Incremental Repayments'!$R$22="Debt",IF(AND(P$4&gt;=$D97,P$4&lt;$D97+'Incremental Repayments'!$I$31),-PMT('Interest Rate'!$J$16,'Incremental Repayments'!$I$31,(HLOOKUP($D97,$E$4:$CZ$32,28,FALSE)*'Incremental Repayments'!$I$22)),0),0)</f>
        <v>0</v>
      </c>
      <c r="Q97" s="783">
        <f>IF('Incremental Repayments'!$R$22="Debt",IF(AND(Q$4&gt;=$D97,Q$4&lt;$D97+'Incremental Repayments'!$I$31),-PMT('Interest Rate'!$J$16,'Incremental Repayments'!$I$31,(HLOOKUP($D97,$E$4:$CZ$32,28,FALSE)*'Incremental Repayments'!$I$22)),0),0)</f>
        <v>0</v>
      </c>
      <c r="R97" s="783">
        <f>IF('Incremental Repayments'!$R$22="Debt",IF(AND(R$4&gt;=$D97,R$4&lt;$D97+'Incremental Repayments'!$I$31),-PMT('Interest Rate'!$J$16,'Incremental Repayments'!$I$31,(HLOOKUP($D97,$E$4:$CZ$32,28,FALSE)*'Incremental Repayments'!$I$22)),0),0)</f>
        <v>0</v>
      </c>
      <c r="S97" s="783">
        <f>IF('Incremental Repayments'!$R$22="Debt",IF(AND(S$4&gt;=$D97,S$4&lt;$D97+'Incremental Repayments'!$I$31),-PMT('Interest Rate'!$J$16,'Incremental Repayments'!$I$31,(HLOOKUP($D97,$E$4:$CZ$32,28,FALSE)*'Incremental Repayments'!$I$22)),0),0)</f>
        <v>0</v>
      </c>
      <c r="T97" s="783">
        <f>IF('Incremental Repayments'!$R$22="Debt",IF(AND(T$4&gt;=$D97,T$4&lt;$D97+'Incremental Repayments'!$I$31),-PMT('Interest Rate'!$J$16,'Incremental Repayments'!$I$31,(HLOOKUP($D97,$E$4:$CZ$32,28,FALSE)*'Incremental Repayments'!$I$22)),0),0)</f>
        <v>0</v>
      </c>
      <c r="U97" s="783">
        <f>IF('Incremental Repayments'!$R$22="Debt",IF(AND(U$4&gt;=$D97,U$4&lt;$D97+'Incremental Repayments'!$I$31),-PMT('Interest Rate'!$J$16,'Incremental Repayments'!$I$31,(HLOOKUP($D97,$E$4:$CZ$32,28,FALSE)*'Incremental Repayments'!$I$22)),0),0)</f>
        <v>0</v>
      </c>
      <c r="V97" s="783">
        <f>IF('Incremental Repayments'!$R$22="Debt",IF(AND(V$4&gt;=$D97,V$4&lt;$D97+'Incremental Repayments'!$I$31),-PMT('Interest Rate'!$J$16,'Incremental Repayments'!$I$31,(HLOOKUP($D97,$E$4:$CZ$32,28,FALSE)*'Incremental Repayments'!$I$22)),0),0)</f>
        <v>0</v>
      </c>
      <c r="W97" s="783">
        <f>IF('Incremental Repayments'!$R$22="Debt",IF(AND(W$4&gt;=$D97,W$4&lt;$D97+'Incremental Repayments'!$I$31),-PMT('Interest Rate'!$J$16,'Incremental Repayments'!$I$31,(HLOOKUP($D97,$E$4:$CZ$32,28,FALSE)*'Incremental Repayments'!$I$22)),0),0)</f>
        <v>0</v>
      </c>
      <c r="X97" s="783">
        <f>IF('Incremental Repayments'!$R$22="Debt",IF(AND(X$4&gt;=$D97,X$4&lt;$D97+'Incremental Repayments'!$I$31),-PMT('Interest Rate'!$J$16,'Incremental Repayments'!$I$31,(HLOOKUP($D97,$E$4:$CZ$32,28,FALSE)*'Incremental Repayments'!$I$22)),0),0)</f>
        <v>0</v>
      </c>
      <c r="Y97" s="783">
        <f>IF('Incremental Repayments'!$R$22="Debt",IF(AND(Y$4&gt;=$D97,Y$4&lt;$D97+'Incremental Repayments'!$I$31),-PMT('Interest Rate'!$J$16,'Incremental Repayments'!$I$31,(HLOOKUP($D97,$E$4:$CZ$32,28,FALSE)*'Incremental Repayments'!$I$22)),0),0)</f>
        <v>0</v>
      </c>
      <c r="Z97" s="783">
        <f>IF('Incremental Repayments'!$R$22="Debt",IF(AND(Z$4&gt;=$D97,Z$4&lt;$D97+'Incremental Repayments'!$I$31),-PMT('Interest Rate'!$J$16,'Incremental Repayments'!$I$31,(HLOOKUP($D97,$E$4:$CZ$32,28,FALSE)*'Incremental Repayments'!$I$22)),0),0)</f>
        <v>0</v>
      </c>
      <c r="AA97" s="783">
        <f>IF('Incremental Repayments'!$R$22="Debt",IF(AND(AA$4&gt;=$D97,AA$4&lt;$D97+'Incremental Repayments'!$I$31),-PMT('Interest Rate'!$J$16,'Incremental Repayments'!$I$31,(HLOOKUP($D97,$E$4:$CZ$32,28,FALSE)*'Incremental Repayments'!$I$22)),0),0)</f>
        <v>0</v>
      </c>
      <c r="AB97" s="783">
        <f>IF('Incremental Repayments'!$R$22="Debt",IF(AND(AB$4&gt;=$D97,AB$4&lt;$D97+'Incremental Repayments'!$I$31),-PMT('Interest Rate'!$J$16,'Incremental Repayments'!$I$31,(HLOOKUP($D97,$E$4:$CZ$32,28,FALSE)*'Incremental Repayments'!$I$22)),0),0)</f>
        <v>0</v>
      </c>
      <c r="AC97" s="783">
        <f>IF('Incremental Repayments'!$R$22="Debt",IF(AND(AC$4&gt;=$D97,AC$4&lt;$D97+'Incremental Repayments'!$I$31),-PMT('Interest Rate'!$J$16,'Incremental Repayments'!$I$31,(HLOOKUP($D97,$E$4:$CZ$32,28,FALSE)*'Incremental Repayments'!$I$22)),0),0)</f>
        <v>0</v>
      </c>
      <c r="AD97" s="783">
        <f>IF('Incremental Repayments'!$R$22="Debt",IF(AND(AD$4&gt;=$D97,AD$4&lt;$D97+'Incremental Repayments'!$I$31),-PMT('Interest Rate'!$J$16,'Incremental Repayments'!$I$31,(HLOOKUP($D97,$E$4:$CZ$32,28,FALSE)*'Incremental Repayments'!$I$22)),0),0)</f>
        <v>0</v>
      </c>
      <c r="AE97" s="783">
        <f>IF('Incremental Repayments'!$R$22="Debt",IF(AND(AE$4&gt;=$D97,AE$4&lt;$D97+'Incremental Repayments'!$I$31),-PMT('Interest Rate'!$J$16,'Incremental Repayments'!$I$31,(HLOOKUP($D97,$E$4:$CZ$32,28,FALSE)*'Incremental Repayments'!$I$22)),0),0)</f>
        <v>0</v>
      </c>
      <c r="AF97" s="783">
        <f>IF('Incremental Repayments'!$R$22="Debt",IF(AND(AF$4&gt;=$D97,AF$4&lt;$D97+'Incremental Repayments'!$I$31),-PMT('Interest Rate'!$J$16,'Incremental Repayments'!$I$31,(HLOOKUP($D97,$E$4:$CZ$32,28,FALSE)*'Incremental Repayments'!$I$22)),0),0)</f>
        <v>0</v>
      </c>
      <c r="AG97" s="783">
        <f>IF('Incremental Repayments'!$R$22="Debt",IF(AND(AG$4&gt;=$D97,AG$4&lt;$D97+'Incremental Repayments'!$I$31),-PMT('Interest Rate'!$J$16,'Incremental Repayments'!$I$31,(HLOOKUP($D97,$E$4:$CZ$32,28,FALSE)*'Incremental Repayments'!$I$22)),0),0)</f>
        <v>0</v>
      </c>
      <c r="AH97" s="783">
        <f>IF('Incremental Repayments'!$R$22="Debt",IF(AND(AH$4&gt;=$D97,AH$4&lt;$D97+'Incremental Repayments'!$I$31),-PMT('Interest Rate'!$J$16,'Incremental Repayments'!$I$31,(HLOOKUP($D97,$E$4:$CZ$32,28,FALSE)*'Incremental Repayments'!$I$22)),0),0)</f>
        <v>0</v>
      </c>
      <c r="AI97" s="783">
        <f>IF('Incremental Repayments'!$R$22="Debt",IF(AND(AI$4&gt;=$D97,AI$4&lt;$D97+'Incremental Repayments'!$I$31),-PMT('Interest Rate'!$J$16,'Incremental Repayments'!$I$31,(HLOOKUP($D97,$E$4:$CZ$32,28,FALSE)*'Incremental Repayments'!$I$22)),0),0)</f>
        <v>0</v>
      </c>
      <c r="AJ97" s="783">
        <f>IF('Incremental Repayments'!$R$22="Debt",IF(AND(AJ$4&gt;=$D97,AJ$4&lt;$D97+'Incremental Repayments'!$I$31),-PMT('Interest Rate'!$J$16,'Incremental Repayments'!$I$31,(HLOOKUP($D97,$E$4:$CZ$32,28,FALSE)*'Incremental Repayments'!$I$22)),0),0)</f>
        <v>0</v>
      </c>
      <c r="AK97" s="783">
        <f>IF('Incremental Repayments'!$R$22="Debt",IF(AND(AK$4&gt;=$D97,AK$4&lt;$D97+'Incremental Repayments'!$I$31),-PMT('Interest Rate'!$J$16,'Incremental Repayments'!$I$31,(HLOOKUP($D97,$E$4:$CZ$32,28,FALSE)*'Incremental Repayments'!$I$22)),0),0)</f>
        <v>0</v>
      </c>
      <c r="AL97" s="783">
        <f>IF('Incremental Repayments'!$R$22="Debt",IF(AND(AL$4&gt;=$D97,AL$4&lt;$D97+'Incremental Repayments'!$I$31),-PMT('Interest Rate'!$J$16,'Incremental Repayments'!$I$31,(HLOOKUP($D97,$E$4:$CZ$32,28,FALSE)*'Incremental Repayments'!$I$22)),0),0)</f>
        <v>0</v>
      </c>
      <c r="AM97" s="783">
        <f>IF('Incremental Repayments'!$R$22="Debt",IF(AND(AM$4&gt;=$D97,AM$4&lt;$D97+'Incremental Repayments'!$I$31),-PMT('Interest Rate'!$J$16,'Incremental Repayments'!$I$31,(HLOOKUP($D97,$E$4:$CZ$32,28,FALSE)*'Incremental Repayments'!$I$22)),0),0)</f>
        <v>0</v>
      </c>
      <c r="AN97" s="783">
        <f>IF('Incremental Repayments'!$R$22="Debt",IF(AND(AN$4&gt;=$D97,AN$4&lt;$D97+'Incremental Repayments'!$I$31),-PMT('Interest Rate'!$J$16,'Incremental Repayments'!$I$31,(HLOOKUP($D97,$E$4:$CZ$32,28,FALSE)*'Incremental Repayments'!$I$22)),0),0)</f>
        <v>0</v>
      </c>
      <c r="AO97" s="783">
        <f>IF('Incremental Repayments'!$R$22="Debt",IF(AND(AO$4&gt;=$D97,AO$4&lt;$D97+'Incremental Repayments'!$I$31),-PMT('Interest Rate'!$J$16,'Incremental Repayments'!$I$31,(HLOOKUP($D97,$E$4:$CZ$32,28,FALSE)*'Incremental Repayments'!$I$22)),0),0)</f>
        <v>0</v>
      </c>
      <c r="AP97" s="783">
        <f>IF('Incremental Repayments'!$R$22="Debt",IF(AND(AP$4&gt;=$D97,AP$4&lt;$D97+'Incremental Repayments'!$I$31),-PMT('Interest Rate'!$J$16,'Incremental Repayments'!$I$31,(HLOOKUP($D97,$E$4:$CZ$32,28,FALSE)*'Incremental Repayments'!$I$22)),0),0)</f>
        <v>0</v>
      </c>
      <c r="AQ97" s="783">
        <f>IF('Incremental Repayments'!$R$22="Debt",IF(AND(AQ$4&gt;=$D97,AQ$4&lt;$D97+'Incremental Repayments'!$I$31),-PMT('Interest Rate'!$J$16,'Incremental Repayments'!$I$31,(HLOOKUP($D97,$E$4:$CZ$32,28,FALSE)*'Incremental Repayments'!$I$22)),0),0)</f>
        <v>0</v>
      </c>
      <c r="AR97" s="783">
        <f>IF('Incremental Repayments'!$R$22="Debt",IF(AND(AR$4&gt;=$D97,AR$4&lt;$D97+'Incremental Repayments'!$I$31),-PMT('Interest Rate'!$J$16,'Incremental Repayments'!$I$31,(HLOOKUP($D97,$E$4:$CZ$32,28,FALSE)*'Incremental Repayments'!$I$22)),0),0)</f>
        <v>0</v>
      </c>
      <c r="AS97" s="783">
        <f>IF('Incremental Repayments'!$R$22="Debt",IF(AND(AS$4&gt;=$D97,AS$4&lt;$D97+'Incremental Repayments'!$I$31),-PMT('Interest Rate'!$J$16,'Incremental Repayments'!$I$31,(HLOOKUP($D97,$E$4:$CZ$32,28,FALSE)*'Incremental Repayments'!$I$22)),0),0)</f>
        <v>0</v>
      </c>
      <c r="AT97" s="783">
        <f>IF('Incremental Repayments'!$R$22="Debt",IF(AND(AT$4&gt;=$D97,AT$4&lt;$D97+'Incremental Repayments'!$I$31),-PMT('Interest Rate'!$J$16,'Incremental Repayments'!$I$31,(HLOOKUP($D97,$E$4:$CZ$32,28,FALSE)*'Incremental Repayments'!$I$22)),0),0)</f>
        <v>0</v>
      </c>
      <c r="AU97" s="783">
        <f>IF('Incremental Repayments'!$R$22="Debt",IF(AND(AU$4&gt;=$D97,AU$4&lt;$D97+'Incremental Repayments'!$I$31),-PMT('Interest Rate'!$J$16,'Incremental Repayments'!$I$31,(HLOOKUP($D97,$E$4:$CZ$32,28,FALSE)*'Incremental Repayments'!$I$22)),0),0)</f>
        <v>0</v>
      </c>
      <c r="AV97" s="783">
        <f>IF('Incremental Repayments'!$R$22="Debt",IF(AND(AV$4&gt;=$D97,AV$4&lt;$D97+'Incremental Repayments'!$I$31),-PMT('Interest Rate'!$J$16,'Incremental Repayments'!$I$31,(HLOOKUP($D97,$E$4:$CZ$32,28,FALSE)*'Incremental Repayments'!$I$22)),0),0)</f>
        <v>0</v>
      </c>
      <c r="AW97" s="783">
        <f>IF('Incremental Repayments'!$R$22="Debt",IF(AND(AW$4&gt;=$D97,AW$4&lt;$D97+'Incremental Repayments'!$I$31),-PMT('Interest Rate'!$J$16,'Incremental Repayments'!$I$31,(HLOOKUP($D97,$E$4:$CZ$32,28,FALSE)*'Incremental Repayments'!$I$22)),0),0)</f>
        <v>0</v>
      </c>
      <c r="AX97" s="783">
        <f>IF('Incremental Repayments'!$R$22="Debt",IF(AND(AX$4&gt;=$D97,AX$4&lt;$D97+'Incremental Repayments'!$I$31),-PMT('Interest Rate'!$J$16,'Incremental Repayments'!$I$31,(HLOOKUP($D97,$E$4:$CZ$32,28,FALSE)*'Incremental Repayments'!$I$22)),0),0)</f>
        <v>0</v>
      </c>
      <c r="AY97" s="783">
        <f>IF('Incremental Repayments'!$R$22="Debt",IF(AND(AY$4&gt;=$D97,AY$4&lt;$D97+'Incremental Repayments'!$I$31),-PMT('Interest Rate'!$J$16,'Incremental Repayments'!$I$31,(HLOOKUP($D97,$E$4:$CZ$32,28,FALSE)*'Incremental Repayments'!$I$22)),0),0)</f>
        <v>0</v>
      </c>
      <c r="AZ97" s="783">
        <f>IF('Incremental Repayments'!$R$22="Debt",IF(AND(AZ$4&gt;=$D97,AZ$4&lt;$D97+'Incremental Repayments'!$I$31),-PMT('Interest Rate'!$J$16,'Incremental Repayments'!$I$31,(HLOOKUP($D97,$E$4:$CZ$32,28,FALSE)*'Incremental Repayments'!$I$22)),0),0)</f>
        <v>0</v>
      </c>
      <c r="BA97" s="783">
        <f>IF('Incremental Repayments'!$R$22="Debt",IF(AND(BA$4&gt;=$D97,BA$4&lt;$D97+'Incremental Repayments'!$I$31),-PMT('Interest Rate'!$J$16,'Incremental Repayments'!$I$31,(HLOOKUP($D97,$E$4:$CZ$32,28,FALSE)*'Incremental Repayments'!$I$22)),0),0)</f>
        <v>0</v>
      </c>
      <c r="BB97" s="783">
        <f>IF('Incremental Repayments'!$R$22="Debt",IF(AND(BB$4&gt;=$D97,BB$4&lt;$D97+'Incremental Repayments'!$I$31),-PMT('Interest Rate'!$J$16,'Incremental Repayments'!$I$31,(HLOOKUP($D97,$E$4:$CZ$32,28,FALSE)*'Incremental Repayments'!$I$22)),0),0)</f>
        <v>0</v>
      </c>
      <c r="BC97" s="783">
        <f>IF('Incremental Repayments'!$R$22="Debt",IF(AND(BC$4&gt;=$D97,BC$4&lt;$D97+'Incremental Repayments'!$I$31),-PMT('Interest Rate'!$J$16,'Incremental Repayments'!$I$31,(HLOOKUP($D97,$E$4:$CZ$32,28,FALSE)*'Incremental Repayments'!$I$22)),0),0)</f>
        <v>0</v>
      </c>
      <c r="BD97" s="783">
        <f>IF('Incremental Repayments'!$R$22="Debt",IF(AND(BD$4&gt;=$D97,BD$4&lt;$D97+'Incremental Repayments'!$I$31),-PMT('Interest Rate'!$J$16,'Incremental Repayments'!$I$31,(HLOOKUP($D97,$E$4:$CZ$32,28,FALSE)*'Incremental Repayments'!$I$22)),0),0)</f>
        <v>0</v>
      </c>
      <c r="BE97" s="783">
        <f>IF('Incremental Repayments'!$R$22="Debt",IF(AND(BE$4&gt;=$D97,BE$4&lt;$D97+'Incremental Repayments'!$I$31),-PMT('Interest Rate'!$J$16,'Incremental Repayments'!$I$31,(HLOOKUP($D97,$E$4:$CZ$32,28,FALSE)*'Incremental Repayments'!$I$22)),0),0)</f>
        <v>0</v>
      </c>
      <c r="BF97" s="783">
        <f>IF('Incremental Repayments'!$R$22="Debt",IF(AND(BF$4&gt;=$D97,BF$4&lt;$D97+'Incremental Repayments'!$I$31),-PMT('Interest Rate'!$J$16,'Incremental Repayments'!$I$31,(HLOOKUP($D97,$E$4:$CZ$32,28,FALSE)*'Incremental Repayments'!$I$22)),0),0)</f>
        <v>0</v>
      </c>
      <c r="BG97" s="783">
        <f>IF('Incremental Repayments'!$R$22="Debt",IF(AND(BG$4&gt;=$D97,BG$4&lt;$D97+'Incremental Repayments'!$I$31),-PMT('Interest Rate'!$J$16,'Incremental Repayments'!$I$31,(HLOOKUP($D97,$E$4:$CZ$32,28,FALSE)*'Incremental Repayments'!$I$22)),0),0)</f>
        <v>0</v>
      </c>
      <c r="BH97" s="783">
        <f>IF('Incremental Repayments'!$R$22="Debt",IF(AND(BH$4&gt;=$D97,BH$4&lt;$D97+'Incremental Repayments'!$I$31),-PMT('Interest Rate'!$J$16,'Incremental Repayments'!$I$31,(HLOOKUP($D97,$E$4:$CZ$32,28,FALSE)*'Incremental Repayments'!$I$22)),0),0)</f>
        <v>0</v>
      </c>
      <c r="BI97" s="783">
        <f>IF('Incremental Repayments'!$R$22="Debt",IF(AND(BI$4&gt;=$D97,BI$4&lt;$D97+'Incremental Repayments'!$I$31),-PMT('Interest Rate'!$J$16,'Incremental Repayments'!$I$31,(HLOOKUP($D97,$E$4:$CZ$32,28,FALSE)*'Incremental Repayments'!$I$22)),0),0)</f>
        <v>0</v>
      </c>
      <c r="BJ97" s="783">
        <f>IF('Incremental Repayments'!$R$22="Debt",IF(AND(BJ$4&gt;=$D97,BJ$4&lt;$D97+'Incremental Repayments'!$I$31),-PMT('Interest Rate'!$J$16,'Incremental Repayments'!$I$31,(HLOOKUP($D97,$E$4:$CZ$32,28,FALSE)*'Incremental Repayments'!$I$22)),0),0)</f>
        <v>0</v>
      </c>
      <c r="BK97" s="783">
        <f>IF('Incremental Repayments'!$R$22="Debt",IF(AND(BK$4&gt;=$D97,BK$4&lt;$D97+'Incremental Repayments'!$I$31),-PMT('Interest Rate'!$J$16,'Incremental Repayments'!$I$31,(HLOOKUP($D97,$E$4:$CZ$32,28,FALSE)*'Incremental Repayments'!$I$22)),0),0)</f>
        <v>0</v>
      </c>
      <c r="BL97" s="783">
        <f>IF('Incremental Repayments'!$R$22="Debt",IF(AND(BL$4&gt;=$D97,BL$4&lt;$D97+'Incremental Repayments'!$I$31),-PMT('Interest Rate'!$J$16,'Incremental Repayments'!$I$31,(HLOOKUP($D97,$E$4:$CZ$32,28,FALSE)*'Incremental Repayments'!$I$22)),0),0)</f>
        <v>0</v>
      </c>
      <c r="BM97" s="783">
        <f>IF('Incremental Repayments'!$R$22="Debt",IF(AND(BM$4&gt;=$D97,BM$4&lt;$D97+'Incremental Repayments'!$I$31),-PMT('Interest Rate'!$J$16,'Incremental Repayments'!$I$31,(HLOOKUP($D97,$E$4:$CZ$32,28,FALSE)*'Incremental Repayments'!$I$22)),0),0)</f>
        <v>0</v>
      </c>
      <c r="BN97" s="783">
        <f>IF('Incremental Repayments'!$R$22="Debt",IF(AND(BN$4&gt;=$D97,BN$4&lt;$D97+'Incremental Repayments'!$I$31),-PMT('Interest Rate'!$J$16,'Incremental Repayments'!$I$31,(HLOOKUP($D97,$E$4:$CZ$32,28,FALSE)*'Incremental Repayments'!$I$22)),0),0)</f>
        <v>0</v>
      </c>
      <c r="BO97" s="783">
        <f>IF('Incremental Repayments'!$R$22="Debt",IF(AND(BO$4&gt;=$D97,BO$4&lt;$D97+'Incremental Repayments'!$I$31),-PMT('Interest Rate'!$J$16,'Incremental Repayments'!$I$31,(HLOOKUP($D97,$E$4:$CZ$32,28,FALSE)*'Incremental Repayments'!$I$22)),0),0)</f>
        <v>0</v>
      </c>
      <c r="BP97" s="783">
        <f>IF('Incremental Repayments'!$R$22="Debt",IF(AND(BP$4&gt;=$D97,BP$4&lt;$D97+'Incremental Repayments'!$I$31),-PMT('Interest Rate'!$J$16,'Incremental Repayments'!$I$31,(HLOOKUP($D97,$E$4:$CZ$32,28,FALSE)*'Incremental Repayments'!$I$22)),0),0)</f>
        <v>0</v>
      </c>
      <c r="BQ97" s="783">
        <f>IF('Incremental Repayments'!$R$22="Debt",IF(AND(BQ$4&gt;=$D97,BQ$4&lt;$D97+'Incremental Repayments'!$I$31),-PMT('Interest Rate'!$J$16,'Incremental Repayments'!$I$31,(HLOOKUP($D97,$E$4:$CZ$32,28,FALSE)*'Incremental Repayments'!$I$22)),0),0)</f>
        <v>0</v>
      </c>
      <c r="BR97" s="783">
        <f>IF('Incremental Repayments'!$R$22="Debt",IF(AND(BR$4&gt;=$D97,BR$4&lt;$D97+'Incremental Repayments'!$I$31),-PMT('Interest Rate'!$J$16,'Incremental Repayments'!$I$31,(HLOOKUP($D97,$E$4:$CZ$32,28,FALSE)*'Incremental Repayments'!$I$22)),0),0)</f>
        <v>0</v>
      </c>
      <c r="BS97" s="783">
        <f>IF('Incremental Repayments'!$R$22="Debt",IF(AND(BS$4&gt;=$D97,BS$4&lt;$D97+'Incremental Repayments'!$I$31),-PMT('Interest Rate'!$J$16,'Incremental Repayments'!$I$31,(HLOOKUP($D97,$E$4:$CZ$32,28,FALSE)*'Incremental Repayments'!$I$22)),0),0)</f>
        <v>0</v>
      </c>
      <c r="BT97" s="783">
        <f>IF('Incremental Repayments'!$R$22="Debt",IF(AND(BT$4&gt;=$D97,BT$4&lt;$D97+'Incremental Repayments'!$I$31),-PMT('Interest Rate'!$J$16,'Incremental Repayments'!$I$31,(HLOOKUP($D97,$E$4:$CZ$32,28,FALSE)*'Incremental Repayments'!$I$22)),0),0)</f>
        <v>0</v>
      </c>
      <c r="BU97" s="783">
        <f>IF('Incremental Repayments'!$R$22="Debt",IF(AND(BU$4&gt;=$D97,BU$4&lt;$D97+'Incremental Repayments'!$I$31),-PMT('Interest Rate'!$J$16,'Incremental Repayments'!$I$31,(HLOOKUP($D97,$E$4:$CZ$32,28,FALSE)*'Incremental Repayments'!$I$22)),0),0)</f>
        <v>0</v>
      </c>
      <c r="BV97" s="783">
        <f>IF('Incremental Repayments'!$R$22="Debt",IF(AND(BV$4&gt;=$D97,BV$4&lt;$D97+'Incremental Repayments'!$I$31),-PMT('Interest Rate'!$J$16,'Incremental Repayments'!$I$31,(HLOOKUP($D97,$E$4:$CZ$32,28,FALSE)*'Incremental Repayments'!$I$22)),0),0)</f>
        <v>0</v>
      </c>
      <c r="BW97" s="783">
        <f>IF('Incremental Repayments'!$R$22="Debt",IF(AND(BW$4&gt;=$D97,BW$4&lt;$D97+'Incremental Repayments'!$I$31),-PMT('Interest Rate'!$J$16,'Incremental Repayments'!$I$31,(HLOOKUP($D97,$E$4:$CZ$32,28,FALSE)*'Incremental Repayments'!$I$22)),0),0)</f>
        <v>0</v>
      </c>
      <c r="BX97" s="783">
        <f>IF('Incremental Repayments'!$R$22="Debt",IF(AND(BX$4&gt;=$D97,BX$4&lt;$D97+'Incremental Repayments'!$I$31),-PMT('Interest Rate'!$J$16,'Incremental Repayments'!$I$31,(HLOOKUP($D97,$E$4:$CZ$32,28,FALSE)*'Incremental Repayments'!$I$22)),0),0)</f>
        <v>0</v>
      </c>
      <c r="BY97" s="783">
        <f>IF('Incremental Repayments'!$R$22="Debt",IF(AND(BY$4&gt;=$D97,BY$4&lt;$D97+'Incremental Repayments'!$I$31),-PMT('Interest Rate'!$J$16,'Incremental Repayments'!$I$31,(HLOOKUP($D97,$E$4:$CZ$32,28,FALSE)*'Incremental Repayments'!$I$22)),0),0)</f>
        <v>0</v>
      </c>
      <c r="BZ97" s="783">
        <f>IF('Incremental Repayments'!$R$22="Debt",IF(AND(BZ$4&gt;=$D97,BZ$4&lt;$D97+'Incremental Repayments'!$I$31),-PMT('Interest Rate'!$J$16,'Incremental Repayments'!$I$31,(HLOOKUP($D97,$E$4:$CZ$32,28,FALSE)*'Incremental Repayments'!$I$22)),0),0)</f>
        <v>0</v>
      </c>
      <c r="CA97" s="783">
        <f>IF('Incremental Repayments'!$R$22="Debt",IF(AND(CA$4&gt;=$D97,CA$4&lt;$D97+'Incremental Repayments'!$I$31),-PMT('Interest Rate'!$J$16,'Incremental Repayments'!$I$31,(HLOOKUP($D97,$E$4:$CZ$32,28,FALSE)*'Incremental Repayments'!$I$22)),0),0)</f>
        <v>0</v>
      </c>
      <c r="CB97" s="783">
        <f>IF('Incremental Repayments'!$R$22="Debt",IF(AND(CB$4&gt;=$D97,CB$4&lt;$D97+'Incremental Repayments'!$I$31),-PMT('Interest Rate'!$J$16,'Incremental Repayments'!$I$31,(HLOOKUP($D97,$E$4:$CZ$32,28,FALSE)*'Incremental Repayments'!$I$22)),0),0)</f>
        <v>0</v>
      </c>
      <c r="CC97" s="783">
        <f>IF('Incremental Repayments'!$R$22="Debt",IF(AND(CC$4&gt;=$D97,CC$4&lt;$D97+'Incremental Repayments'!$I$31),-PMT('Interest Rate'!$J$16,'Incremental Repayments'!$I$31,(HLOOKUP($D97,$E$4:$CZ$32,28,FALSE)*'Incremental Repayments'!$I$22)),0),0)</f>
        <v>0</v>
      </c>
      <c r="CD97" s="783">
        <f>IF('Incremental Repayments'!$R$22="Debt",IF(AND(CD$4&gt;=$D97,CD$4&lt;$D97+'Incremental Repayments'!$I$31),-PMT('Interest Rate'!$J$16,'Incremental Repayments'!$I$31,(HLOOKUP($D97,$E$4:$CZ$32,28,FALSE)*'Incremental Repayments'!$I$22)),0),0)</f>
        <v>0</v>
      </c>
      <c r="CE97" s="783">
        <f>IF('Incremental Repayments'!$R$22="Debt",IF(AND(CE$4&gt;=$D97,CE$4&lt;$D97+'Incremental Repayments'!$I$31),-PMT('Interest Rate'!$J$16,'Incremental Repayments'!$I$31,(HLOOKUP($D97,$E$4:$CZ$32,28,FALSE)*'Incremental Repayments'!$I$22)),0),0)</f>
        <v>0</v>
      </c>
      <c r="CF97" s="783">
        <f>IF('Incremental Repayments'!$R$22="Debt",IF(AND(CF$4&gt;=$D97,CF$4&lt;$D97+'Incremental Repayments'!$I$31),-PMT('Interest Rate'!$J$16,'Incremental Repayments'!$I$31,(HLOOKUP($D97,$E$4:$CZ$32,28,FALSE)*'Incremental Repayments'!$I$22)),0),0)</f>
        <v>0</v>
      </c>
      <c r="CG97" s="783">
        <f>IF('Incremental Repayments'!$R$22="Debt",IF(AND(CG$4&gt;=$D97,CG$4&lt;$D97+'Incremental Repayments'!$I$31),-PMT('Interest Rate'!$J$16,'Incremental Repayments'!$I$31,(HLOOKUP($D97,$E$4:$CZ$32,28,FALSE)*'Incremental Repayments'!$I$22)),0),0)</f>
        <v>0</v>
      </c>
      <c r="CH97" s="783">
        <f>IF('Incremental Repayments'!$R$22="Debt",IF(AND(CH$4&gt;=$D97,CH$4&lt;$D97+'Incremental Repayments'!$I$31),-PMT('Interest Rate'!$J$16,'Incremental Repayments'!$I$31,(HLOOKUP($D97,$E$4:$CZ$32,28,FALSE)*'Incremental Repayments'!$I$22)),0),0)</f>
        <v>0</v>
      </c>
      <c r="CI97" s="783">
        <f>IF('Incremental Repayments'!$R$22="Debt",IF(AND(CI$4&gt;=$D97,CI$4&lt;$D97+'Incremental Repayments'!$I$31),-PMT('Interest Rate'!$J$16,'Incremental Repayments'!$I$31,(HLOOKUP($D97,$E$4:$CZ$32,28,FALSE)*'Incremental Repayments'!$I$22)),0),0)</f>
        <v>0</v>
      </c>
      <c r="CJ97" s="783">
        <f>IF('Incremental Repayments'!$R$22="Debt",IF(AND(CJ$4&gt;=$D97,CJ$4&lt;$D97+'Incremental Repayments'!$I$31),-PMT('Interest Rate'!$J$16,'Incremental Repayments'!$I$31,(HLOOKUP($D97,$E$4:$CZ$32,28,FALSE)*'Incremental Repayments'!$I$22)),0),0)</f>
        <v>0</v>
      </c>
      <c r="CK97" s="783">
        <f>IF('Incremental Repayments'!$R$22="Debt",IF(AND(CK$4&gt;=$D97,CK$4&lt;$D97+'Incremental Repayments'!$I$31),-PMT('Interest Rate'!$J$16,'Incremental Repayments'!$I$31,(HLOOKUP($D97,$E$4:$CZ$32,28,FALSE)*'Incremental Repayments'!$I$22)),0),0)</f>
        <v>0</v>
      </c>
      <c r="CL97" s="783">
        <f>IF('Incremental Repayments'!$R$22="Debt",IF(AND(CL$4&gt;=$D97,CL$4&lt;$D97+'Incremental Repayments'!$I$31),-PMT('Interest Rate'!$J$16,'Incremental Repayments'!$I$31,(HLOOKUP($D97,$E$4:$CZ$32,28,FALSE)*'Incremental Repayments'!$I$22)),0),0)</f>
        <v>0</v>
      </c>
      <c r="CM97" s="783">
        <f>IF('Incremental Repayments'!$R$22="Debt",IF(AND(CM$4&gt;=$D97,CM$4&lt;$D97+'Incremental Repayments'!$I$31),-PMT('Interest Rate'!$J$16,'Incremental Repayments'!$I$31,(HLOOKUP($D97,$E$4:$CZ$32,28,FALSE)*'Incremental Repayments'!$I$22)),0),0)</f>
        <v>0</v>
      </c>
      <c r="CN97" s="783">
        <f>IF('Incremental Repayments'!$R$22="Debt",IF(AND(CN$4&gt;=$D97,CN$4&lt;$D97+'Incremental Repayments'!$I$31),-PMT('Interest Rate'!$J$16,'Incremental Repayments'!$I$31,(HLOOKUP($D97,$E$4:$CZ$32,28,FALSE)*'Incremental Repayments'!$I$22)),0),0)</f>
        <v>0</v>
      </c>
      <c r="CO97" s="783">
        <f>IF('Incremental Repayments'!$R$22="Debt",IF(AND(CO$4&gt;=$D97,CO$4&lt;$D97+'Incremental Repayments'!$I$31),-PMT('Interest Rate'!$J$16,'Incremental Repayments'!$I$31,(HLOOKUP($D97,$E$4:$CZ$32,28,FALSE)*'Incremental Repayments'!$I$22)),0),0)</f>
        <v>0</v>
      </c>
      <c r="CP97" s="783">
        <f>IF('Incremental Repayments'!$R$22="Debt",IF(AND(CP$4&gt;=$D97,CP$4&lt;$D97+'Incremental Repayments'!$I$31),-PMT('Interest Rate'!$J$16,'Incremental Repayments'!$I$31,(HLOOKUP($D97,$E$4:$CZ$32,28,FALSE)*'Incremental Repayments'!$I$22)),0),0)</f>
        <v>0</v>
      </c>
      <c r="CQ97" s="783">
        <f>IF('Incremental Repayments'!$R$22="Debt",IF(AND(CQ$4&gt;=$D97,CQ$4&lt;$D97+'Incremental Repayments'!$I$31),-PMT('Interest Rate'!$J$16,'Incremental Repayments'!$I$31,(HLOOKUP($D97,$E$4:$CZ$32,28,FALSE)*'Incremental Repayments'!$I$22)),0),0)</f>
        <v>0</v>
      </c>
      <c r="CR97" s="783">
        <f>IF('Incremental Repayments'!$R$22="Debt",IF(AND(CR$4&gt;=$D97,CR$4&lt;$D97+'Incremental Repayments'!$I$31),-PMT('Interest Rate'!$J$16,'Incremental Repayments'!$I$31,(HLOOKUP($D97,$E$4:$CZ$32,28,FALSE)*'Incremental Repayments'!$I$22)),0),0)</f>
        <v>0</v>
      </c>
      <c r="CS97" s="783">
        <f>IF('Incremental Repayments'!$R$22="Debt",IF(AND(CS$4&gt;=$D97,CS$4&lt;$D97+'Incremental Repayments'!$I$31),-PMT('Interest Rate'!$J$16,'Incremental Repayments'!$I$31,(HLOOKUP($D97,$E$4:$CZ$32,28,FALSE)*'Incremental Repayments'!$I$22)),0),0)</f>
        <v>0</v>
      </c>
      <c r="CT97" s="783">
        <f>IF('Incremental Repayments'!$R$22="Debt",IF(AND(CT$4&gt;=$D97,CT$4&lt;$D97+'Incremental Repayments'!$I$31),-PMT('Interest Rate'!$J$16,'Incremental Repayments'!$I$31,(HLOOKUP($D97,$E$4:$CZ$32,28,FALSE)*'Incremental Repayments'!$I$22)),0),0)</f>
        <v>0</v>
      </c>
      <c r="CU97" s="783">
        <f>IF('Incremental Repayments'!$R$22="Debt",IF(AND(CU$4&gt;=$D97,CU$4&lt;$D97+'Incremental Repayments'!$I$31),-PMT('Interest Rate'!$J$16,'Incremental Repayments'!$I$31,(HLOOKUP($D97,$E$4:$CZ$32,28,FALSE)*'Incremental Repayments'!$I$22)),0),0)</f>
        <v>0</v>
      </c>
      <c r="CV97" s="783">
        <f>IF('Incremental Repayments'!$R$22="Debt",IF(AND(CV$4&gt;=$D97,CV$4&lt;$D97+'Incremental Repayments'!$I$31),-PMT('Interest Rate'!$J$16,'Incremental Repayments'!$I$31,(HLOOKUP($D97,$E$4:$CZ$32,28,FALSE)*'Incremental Repayments'!$I$22)),0),0)</f>
        <v>0</v>
      </c>
      <c r="CW97" s="783">
        <f>IF('Incremental Repayments'!$R$22="Debt",IF(AND(CW$4&gt;=$D97,CW$4&lt;$D97+'Incremental Repayments'!$I$31),-PMT('Interest Rate'!$J$16,'Incremental Repayments'!$I$31,(HLOOKUP($D97,$E$4:$CZ$32,28,FALSE)*'Incremental Repayments'!$I$22)),0),0)</f>
        <v>0</v>
      </c>
      <c r="CX97" s="783">
        <f>IF('Incremental Repayments'!$R$22="Debt",IF(AND(CX$4&gt;=$D97,CX$4&lt;$D97+'Incremental Repayments'!$I$31),-PMT('Interest Rate'!$J$16,'Incremental Repayments'!$I$31,(HLOOKUP($D97,$E$4:$CZ$32,28,FALSE)*'Incremental Repayments'!$I$22)),0),0)</f>
        <v>0</v>
      </c>
      <c r="CY97" s="783">
        <f>IF('Incremental Repayments'!$R$22="Debt",IF(AND(CY$4&gt;=$D97,CY$4&lt;$D97+'Incremental Repayments'!$I$31),-PMT('Interest Rate'!$J$16,'Incremental Repayments'!$I$31,(HLOOKUP($D97,$E$4:$CZ$32,28,FALSE)*'Incremental Repayments'!$I$22)),0),0)</f>
        <v>0</v>
      </c>
      <c r="CZ97" s="783">
        <f>IF('Incremental Repayments'!$R$22="Debt",IF(AND(CZ$4&gt;=$D97,CZ$4&lt;$D97+'Incremental Repayments'!$I$31),-PMT('Interest Rate'!$J$16,'Incremental Repayments'!$I$31,(HLOOKUP($D97,$E$4:$CZ$32,28,FALSE)*'Incremental Repayments'!$I$22)),0),0)</f>
        <v>0</v>
      </c>
    </row>
    <row r="98" spans="2:104" x14ac:dyDescent="0.25">
      <c r="B98" s="480" t="str">
        <f>CONCATENATE("Series ",D98,"A Bonds (at ",'Interest Rate'!$J$16*100,"% Interest)")</f>
        <v>Series 2076A Bonds (at 4.5% Interest)</v>
      </c>
      <c r="C98" s="480"/>
      <c r="D98" s="492">
        <f t="shared" si="47"/>
        <v>2076</v>
      </c>
      <c r="E98" s="783">
        <f>IF('Incremental Repayments'!$R$22="Debt",IF(AND(E$4&gt;=$D98,E$4&lt;$D98+'Incremental Repayments'!$I$31),-PMT('Interest Rate'!$J$16,'Incremental Repayments'!$I$31,(HLOOKUP($D98,$E$4:$CZ$32,28,FALSE)*'Incremental Repayments'!$I$22)),0),0)</f>
        <v>0</v>
      </c>
      <c r="F98" s="783">
        <f>IF('Incremental Repayments'!$R$22="Debt",IF(AND(F$4&gt;=$D98,F$4&lt;$D98+'Incremental Repayments'!$I$31),-PMT('Interest Rate'!$J$16,'Incremental Repayments'!$I$31,(HLOOKUP($D98,$E$4:$CZ$32,28,FALSE)*'Incremental Repayments'!$I$22)),0),0)</f>
        <v>0</v>
      </c>
      <c r="G98" s="783">
        <f>IF('Incremental Repayments'!$R$22="Debt",IF(AND(G$4&gt;=$D98,G$4&lt;$D98+'Incremental Repayments'!$I$31),-PMT('Interest Rate'!$J$16,'Incremental Repayments'!$I$31,(HLOOKUP($D98,$E$4:$CZ$32,28,FALSE)*'Incremental Repayments'!$I$22)),0),0)</f>
        <v>0</v>
      </c>
      <c r="H98" s="783">
        <f>IF('Incremental Repayments'!$R$22="Debt",IF(AND(H$4&gt;=$D98,H$4&lt;$D98+'Incremental Repayments'!$I$31),-PMT('Interest Rate'!$J$16,'Incremental Repayments'!$I$31,(HLOOKUP($D98,$E$4:$CZ$32,28,FALSE)*'Incremental Repayments'!$I$22)),0),0)</f>
        <v>0</v>
      </c>
      <c r="I98" s="783">
        <f>IF('Incremental Repayments'!$R$22="Debt",IF(AND(I$4&gt;=$D98,I$4&lt;$D98+'Incremental Repayments'!$I$31),-PMT('Interest Rate'!$J$16,'Incremental Repayments'!$I$31,(HLOOKUP($D98,$E$4:$CZ$32,28,FALSE)*'Incremental Repayments'!$I$22)),0),0)</f>
        <v>0</v>
      </c>
      <c r="J98" s="783">
        <f>IF('Incremental Repayments'!$R$22="Debt",IF(AND(J$4&gt;=$D98,J$4&lt;$D98+'Incremental Repayments'!$I$31),-PMT('Interest Rate'!$J$16,'Incremental Repayments'!$I$31,(HLOOKUP($D98,$E$4:$CZ$32,28,FALSE)*'Incremental Repayments'!$I$22)),0),0)</f>
        <v>0</v>
      </c>
      <c r="K98" s="783">
        <f>IF('Incremental Repayments'!$R$22="Debt",IF(AND(K$4&gt;=$D98,K$4&lt;$D98+'Incremental Repayments'!$I$31),-PMT('Interest Rate'!$J$16,'Incremental Repayments'!$I$31,(HLOOKUP($D98,$E$4:$CZ$32,28,FALSE)*'Incremental Repayments'!$I$22)),0),0)</f>
        <v>0</v>
      </c>
      <c r="L98" s="783">
        <f>IF('Incremental Repayments'!$R$22="Debt",IF(AND(L$4&gt;=$D98,L$4&lt;$D98+'Incremental Repayments'!$I$31),-PMT('Interest Rate'!$J$16,'Incremental Repayments'!$I$31,(HLOOKUP($D98,$E$4:$CZ$32,28,FALSE)*'Incremental Repayments'!$I$22)),0),0)</f>
        <v>0</v>
      </c>
      <c r="M98" s="783">
        <f>IF('Incremental Repayments'!$R$22="Debt",IF(AND(M$4&gt;=$D98,M$4&lt;$D98+'Incremental Repayments'!$I$31),-PMT('Interest Rate'!$J$16,'Incremental Repayments'!$I$31,(HLOOKUP($D98,$E$4:$CZ$32,28,FALSE)*'Incremental Repayments'!$I$22)),0),0)</f>
        <v>0</v>
      </c>
      <c r="N98" s="783">
        <f>IF('Incremental Repayments'!$R$22="Debt",IF(AND(N$4&gt;=$D98,N$4&lt;$D98+'Incremental Repayments'!$I$31),-PMT('Interest Rate'!$J$16,'Incremental Repayments'!$I$31,(HLOOKUP($D98,$E$4:$CZ$32,28,FALSE)*'Incremental Repayments'!$I$22)),0),0)</f>
        <v>0</v>
      </c>
      <c r="O98" s="783">
        <f>IF('Incremental Repayments'!$R$22="Debt",IF(AND(O$4&gt;=$D98,O$4&lt;$D98+'Incremental Repayments'!$I$31),-PMT('Interest Rate'!$J$16,'Incremental Repayments'!$I$31,(HLOOKUP($D98,$E$4:$CZ$32,28,FALSE)*'Incremental Repayments'!$I$22)),0),0)</f>
        <v>0</v>
      </c>
      <c r="P98" s="783">
        <f>IF('Incremental Repayments'!$R$22="Debt",IF(AND(P$4&gt;=$D98,P$4&lt;$D98+'Incremental Repayments'!$I$31),-PMT('Interest Rate'!$J$16,'Incremental Repayments'!$I$31,(HLOOKUP($D98,$E$4:$CZ$32,28,FALSE)*'Incremental Repayments'!$I$22)),0),0)</f>
        <v>0</v>
      </c>
      <c r="Q98" s="783">
        <f>IF('Incremental Repayments'!$R$22="Debt",IF(AND(Q$4&gt;=$D98,Q$4&lt;$D98+'Incremental Repayments'!$I$31),-PMT('Interest Rate'!$J$16,'Incremental Repayments'!$I$31,(HLOOKUP($D98,$E$4:$CZ$32,28,FALSE)*'Incremental Repayments'!$I$22)),0),0)</f>
        <v>0</v>
      </c>
      <c r="R98" s="783">
        <f>IF('Incremental Repayments'!$R$22="Debt",IF(AND(R$4&gt;=$D98,R$4&lt;$D98+'Incremental Repayments'!$I$31),-PMT('Interest Rate'!$J$16,'Incremental Repayments'!$I$31,(HLOOKUP($D98,$E$4:$CZ$32,28,FALSE)*'Incremental Repayments'!$I$22)),0),0)</f>
        <v>0</v>
      </c>
      <c r="S98" s="783">
        <f>IF('Incremental Repayments'!$R$22="Debt",IF(AND(S$4&gt;=$D98,S$4&lt;$D98+'Incremental Repayments'!$I$31),-PMT('Interest Rate'!$J$16,'Incremental Repayments'!$I$31,(HLOOKUP($D98,$E$4:$CZ$32,28,FALSE)*'Incremental Repayments'!$I$22)),0),0)</f>
        <v>0</v>
      </c>
      <c r="T98" s="783">
        <f>IF('Incremental Repayments'!$R$22="Debt",IF(AND(T$4&gt;=$D98,T$4&lt;$D98+'Incremental Repayments'!$I$31),-PMT('Interest Rate'!$J$16,'Incremental Repayments'!$I$31,(HLOOKUP($D98,$E$4:$CZ$32,28,FALSE)*'Incremental Repayments'!$I$22)),0),0)</f>
        <v>0</v>
      </c>
      <c r="U98" s="783">
        <f>IF('Incremental Repayments'!$R$22="Debt",IF(AND(U$4&gt;=$D98,U$4&lt;$D98+'Incremental Repayments'!$I$31),-PMT('Interest Rate'!$J$16,'Incremental Repayments'!$I$31,(HLOOKUP($D98,$E$4:$CZ$32,28,FALSE)*'Incremental Repayments'!$I$22)),0),0)</f>
        <v>0</v>
      </c>
      <c r="V98" s="783">
        <f>IF('Incremental Repayments'!$R$22="Debt",IF(AND(V$4&gt;=$D98,V$4&lt;$D98+'Incremental Repayments'!$I$31),-PMT('Interest Rate'!$J$16,'Incremental Repayments'!$I$31,(HLOOKUP($D98,$E$4:$CZ$32,28,FALSE)*'Incremental Repayments'!$I$22)),0),0)</f>
        <v>0</v>
      </c>
      <c r="W98" s="783">
        <f>IF('Incremental Repayments'!$R$22="Debt",IF(AND(W$4&gt;=$D98,W$4&lt;$D98+'Incremental Repayments'!$I$31),-PMT('Interest Rate'!$J$16,'Incremental Repayments'!$I$31,(HLOOKUP($D98,$E$4:$CZ$32,28,FALSE)*'Incremental Repayments'!$I$22)),0),0)</f>
        <v>0</v>
      </c>
      <c r="X98" s="783">
        <f>IF('Incremental Repayments'!$R$22="Debt",IF(AND(X$4&gt;=$D98,X$4&lt;$D98+'Incremental Repayments'!$I$31),-PMT('Interest Rate'!$J$16,'Incremental Repayments'!$I$31,(HLOOKUP($D98,$E$4:$CZ$32,28,FALSE)*'Incremental Repayments'!$I$22)),0),0)</f>
        <v>0</v>
      </c>
      <c r="Y98" s="783">
        <f>IF('Incremental Repayments'!$R$22="Debt",IF(AND(Y$4&gt;=$D98,Y$4&lt;$D98+'Incremental Repayments'!$I$31),-PMT('Interest Rate'!$J$16,'Incremental Repayments'!$I$31,(HLOOKUP($D98,$E$4:$CZ$32,28,FALSE)*'Incremental Repayments'!$I$22)),0),0)</f>
        <v>0</v>
      </c>
      <c r="Z98" s="783">
        <f>IF('Incremental Repayments'!$R$22="Debt",IF(AND(Z$4&gt;=$D98,Z$4&lt;$D98+'Incremental Repayments'!$I$31),-PMT('Interest Rate'!$J$16,'Incremental Repayments'!$I$31,(HLOOKUP($D98,$E$4:$CZ$32,28,FALSE)*'Incremental Repayments'!$I$22)),0),0)</f>
        <v>0</v>
      </c>
      <c r="AA98" s="783">
        <f>IF('Incremental Repayments'!$R$22="Debt",IF(AND(AA$4&gt;=$D98,AA$4&lt;$D98+'Incremental Repayments'!$I$31),-PMT('Interest Rate'!$J$16,'Incremental Repayments'!$I$31,(HLOOKUP($D98,$E$4:$CZ$32,28,FALSE)*'Incremental Repayments'!$I$22)),0),0)</f>
        <v>0</v>
      </c>
      <c r="AB98" s="783">
        <f>IF('Incremental Repayments'!$R$22="Debt",IF(AND(AB$4&gt;=$D98,AB$4&lt;$D98+'Incremental Repayments'!$I$31),-PMT('Interest Rate'!$J$16,'Incremental Repayments'!$I$31,(HLOOKUP($D98,$E$4:$CZ$32,28,FALSE)*'Incremental Repayments'!$I$22)),0),0)</f>
        <v>0</v>
      </c>
      <c r="AC98" s="783">
        <f>IF('Incremental Repayments'!$R$22="Debt",IF(AND(AC$4&gt;=$D98,AC$4&lt;$D98+'Incremental Repayments'!$I$31),-PMT('Interest Rate'!$J$16,'Incremental Repayments'!$I$31,(HLOOKUP($D98,$E$4:$CZ$32,28,FALSE)*'Incremental Repayments'!$I$22)),0),0)</f>
        <v>0</v>
      </c>
      <c r="AD98" s="783">
        <f>IF('Incremental Repayments'!$R$22="Debt",IF(AND(AD$4&gt;=$D98,AD$4&lt;$D98+'Incremental Repayments'!$I$31),-PMT('Interest Rate'!$J$16,'Incremental Repayments'!$I$31,(HLOOKUP($D98,$E$4:$CZ$32,28,FALSE)*'Incremental Repayments'!$I$22)),0),0)</f>
        <v>0</v>
      </c>
      <c r="AE98" s="783">
        <f>IF('Incremental Repayments'!$R$22="Debt",IF(AND(AE$4&gt;=$D98,AE$4&lt;$D98+'Incremental Repayments'!$I$31),-PMT('Interest Rate'!$J$16,'Incremental Repayments'!$I$31,(HLOOKUP($D98,$E$4:$CZ$32,28,FALSE)*'Incremental Repayments'!$I$22)),0),0)</f>
        <v>0</v>
      </c>
      <c r="AF98" s="783">
        <f>IF('Incremental Repayments'!$R$22="Debt",IF(AND(AF$4&gt;=$D98,AF$4&lt;$D98+'Incremental Repayments'!$I$31),-PMT('Interest Rate'!$J$16,'Incremental Repayments'!$I$31,(HLOOKUP($D98,$E$4:$CZ$32,28,FALSE)*'Incremental Repayments'!$I$22)),0),0)</f>
        <v>0</v>
      </c>
      <c r="AG98" s="783">
        <f>IF('Incremental Repayments'!$R$22="Debt",IF(AND(AG$4&gt;=$D98,AG$4&lt;$D98+'Incremental Repayments'!$I$31),-PMT('Interest Rate'!$J$16,'Incremental Repayments'!$I$31,(HLOOKUP($D98,$E$4:$CZ$32,28,FALSE)*'Incremental Repayments'!$I$22)),0),0)</f>
        <v>0</v>
      </c>
      <c r="AH98" s="783">
        <f>IF('Incremental Repayments'!$R$22="Debt",IF(AND(AH$4&gt;=$D98,AH$4&lt;$D98+'Incremental Repayments'!$I$31),-PMT('Interest Rate'!$J$16,'Incremental Repayments'!$I$31,(HLOOKUP($D98,$E$4:$CZ$32,28,FALSE)*'Incremental Repayments'!$I$22)),0),0)</f>
        <v>0</v>
      </c>
      <c r="AI98" s="783">
        <f>IF('Incremental Repayments'!$R$22="Debt",IF(AND(AI$4&gt;=$D98,AI$4&lt;$D98+'Incremental Repayments'!$I$31),-PMT('Interest Rate'!$J$16,'Incremental Repayments'!$I$31,(HLOOKUP($D98,$E$4:$CZ$32,28,FALSE)*'Incremental Repayments'!$I$22)),0),0)</f>
        <v>0</v>
      </c>
      <c r="AJ98" s="783">
        <f>IF('Incremental Repayments'!$R$22="Debt",IF(AND(AJ$4&gt;=$D98,AJ$4&lt;$D98+'Incremental Repayments'!$I$31),-PMT('Interest Rate'!$J$16,'Incremental Repayments'!$I$31,(HLOOKUP($D98,$E$4:$CZ$32,28,FALSE)*'Incremental Repayments'!$I$22)),0),0)</f>
        <v>0</v>
      </c>
      <c r="AK98" s="783">
        <f>IF('Incremental Repayments'!$R$22="Debt",IF(AND(AK$4&gt;=$D98,AK$4&lt;$D98+'Incremental Repayments'!$I$31),-PMT('Interest Rate'!$J$16,'Incremental Repayments'!$I$31,(HLOOKUP($D98,$E$4:$CZ$32,28,FALSE)*'Incremental Repayments'!$I$22)),0),0)</f>
        <v>0</v>
      </c>
      <c r="AL98" s="783">
        <f>IF('Incremental Repayments'!$R$22="Debt",IF(AND(AL$4&gt;=$D98,AL$4&lt;$D98+'Incremental Repayments'!$I$31),-PMT('Interest Rate'!$J$16,'Incremental Repayments'!$I$31,(HLOOKUP($D98,$E$4:$CZ$32,28,FALSE)*'Incremental Repayments'!$I$22)),0),0)</f>
        <v>0</v>
      </c>
      <c r="AM98" s="783">
        <f>IF('Incremental Repayments'!$R$22="Debt",IF(AND(AM$4&gt;=$D98,AM$4&lt;$D98+'Incremental Repayments'!$I$31),-PMT('Interest Rate'!$J$16,'Incremental Repayments'!$I$31,(HLOOKUP($D98,$E$4:$CZ$32,28,FALSE)*'Incremental Repayments'!$I$22)),0),0)</f>
        <v>0</v>
      </c>
      <c r="AN98" s="783">
        <f>IF('Incremental Repayments'!$R$22="Debt",IF(AND(AN$4&gt;=$D98,AN$4&lt;$D98+'Incremental Repayments'!$I$31),-PMT('Interest Rate'!$J$16,'Incremental Repayments'!$I$31,(HLOOKUP($D98,$E$4:$CZ$32,28,FALSE)*'Incremental Repayments'!$I$22)),0),0)</f>
        <v>0</v>
      </c>
      <c r="AO98" s="783">
        <f>IF('Incremental Repayments'!$R$22="Debt",IF(AND(AO$4&gt;=$D98,AO$4&lt;$D98+'Incremental Repayments'!$I$31),-PMT('Interest Rate'!$J$16,'Incremental Repayments'!$I$31,(HLOOKUP($D98,$E$4:$CZ$32,28,FALSE)*'Incremental Repayments'!$I$22)),0),0)</f>
        <v>0</v>
      </c>
      <c r="AP98" s="783">
        <f>IF('Incremental Repayments'!$R$22="Debt",IF(AND(AP$4&gt;=$D98,AP$4&lt;$D98+'Incremental Repayments'!$I$31),-PMT('Interest Rate'!$J$16,'Incremental Repayments'!$I$31,(HLOOKUP($D98,$E$4:$CZ$32,28,FALSE)*'Incremental Repayments'!$I$22)),0),0)</f>
        <v>0</v>
      </c>
      <c r="AQ98" s="783">
        <f>IF('Incremental Repayments'!$R$22="Debt",IF(AND(AQ$4&gt;=$D98,AQ$4&lt;$D98+'Incremental Repayments'!$I$31),-PMT('Interest Rate'!$J$16,'Incremental Repayments'!$I$31,(HLOOKUP($D98,$E$4:$CZ$32,28,FALSE)*'Incremental Repayments'!$I$22)),0),0)</f>
        <v>0</v>
      </c>
      <c r="AR98" s="783">
        <f>IF('Incremental Repayments'!$R$22="Debt",IF(AND(AR$4&gt;=$D98,AR$4&lt;$D98+'Incremental Repayments'!$I$31),-PMT('Interest Rate'!$J$16,'Incremental Repayments'!$I$31,(HLOOKUP($D98,$E$4:$CZ$32,28,FALSE)*'Incremental Repayments'!$I$22)),0),0)</f>
        <v>0</v>
      </c>
      <c r="AS98" s="783">
        <f>IF('Incremental Repayments'!$R$22="Debt",IF(AND(AS$4&gt;=$D98,AS$4&lt;$D98+'Incremental Repayments'!$I$31),-PMT('Interest Rate'!$J$16,'Incremental Repayments'!$I$31,(HLOOKUP($D98,$E$4:$CZ$32,28,FALSE)*'Incremental Repayments'!$I$22)),0),0)</f>
        <v>0</v>
      </c>
      <c r="AT98" s="783">
        <f>IF('Incremental Repayments'!$R$22="Debt",IF(AND(AT$4&gt;=$D98,AT$4&lt;$D98+'Incremental Repayments'!$I$31),-PMT('Interest Rate'!$J$16,'Incremental Repayments'!$I$31,(HLOOKUP($D98,$E$4:$CZ$32,28,FALSE)*'Incremental Repayments'!$I$22)),0),0)</f>
        <v>0</v>
      </c>
      <c r="AU98" s="783">
        <f>IF('Incremental Repayments'!$R$22="Debt",IF(AND(AU$4&gt;=$D98,AU$4&lt;$D98+'Incremental Repayments'!$I$31),-PMT('Interest Rate'!$J$16,'Incremental Repayments'!$I$31,(HLOOKUP($D98,$E$4:$CZ$32,28,FALSE)*'Incremental Repayments'!$I$22)),0),0)</f>
        <v>0</v>
      </c>
      <c r="AV98" s="783">
        <f>IF('Incremental Repayments'!$R$22="Debt",IF(AND(AV$4&gt;=$D98,AV$4&lt;$D98+'Incremental Repayments'!$I$31),-PMT('Interest Rate'!$J$16,'Incremental Repayments'!$I$31,(HLOOKUP($D98,$E$4:$CZ$32,28,FALSE)*'Incremental Repayments'!$I$22)),0),0)</f>
        <v>0</v>
      </c>
      <c r="AW98" s="783">
        <f>IF('Incremental Repayments'!$R$22="Debt",IF(AND(AW$4&gt;=$D98,AW$4&lt;$D98+'Incremental Repayments'!$I$31),-PMT('Interest Rate'!$J$16,'Incremental Repayments'!$I$31,(HLOOKUP($D98,$E$4:$CZ$32,28,FALSE)*'Incremental Repayments'!$I$22)),0),0)</f>
        <v>0</v>
      </c>
      <c r="AX98" s="783">
        <f>IF('Incremental Repayments'!$R$22="Debt",IF(AND(AX$4&gt;=$D98,AX$4&lt;$D98+'Incremental Repayments'!$I$31),-PMT('Interest Rate'!$J$16,'Incremental Repayments'!$I$31,(HLOOKUP($D98,$E$4:$CZ$32,28,FALSE)*'Incremental Repayments'!$I$22)),0),0)</f>
        <v>0</v>
      </c>
      <c r="AY98" s="783">
        <f>IF('Incremental Repayments'!$R$22="Debt",IF(AND(AY$4&gt;=$D98,AY$4&lt;$D98+'Incremental Repayments'!$I$31),-PMT('Interest Rate'!$J$16,'Incremental Repayments'!$I$31,(HLOOKUP($D98,$E$4:$CZ$32,28,FALSE)*'Incremental Repayments'!$I$22)),0),0)</f>
        <v>0</v>
      </c>
      <c r="AZ98" s="783">
        <f>IF('Incremental Repayments'!$R$22="Debt",IF(AND(AZ$4&gt;=$D98,AZ$4&lt;$D98+'Incremental Repayments'!$I$31),-PMT('Interest Rate'!$J$16,'Incremental Repayments'!$I$31,(HLOOKUP($D98,$E$4:$CZ$32,28,FALSE)*'Incremental Repayments'!$I$22)),0),0)</f>
        <v>0</v>
      </c>
      <c r="BA98" s="783">
        <f>IF('Incremental Repayments'!$R$22="Debt",IF(AND(BA$4&gt;=$D98,BA$4&lt;$D98+'Incremental Repayments'!$I$31),-PMT('Interest Rate'!$J$16,'Incremental Repayments'!$I$31,(HLOOKUP($D98,$E$4:$CZ$32,28,FALSE)*'Incremental Repayments'!$I$22)),0),0)</f>
        <v>0</v>
      </c>
      <c r="BB98" s="783">
        <f>IF('Incremental Repayments'!$R$22="Debt",IF(AND(BB$4&gt;=$D98,BB$4&lt;$D98+'Incremental Repayments'!$I$31),-PMT('Interest Rate'!$J$16,'Incremental Repayments'!$I$31,(HLOOKUP($D98,$E$4:$CZ$32,28,FALSE)*'Incremental Repayments'!$I$22)),0),0)</f>
        <v>0</v>
      </c>
      <c r="BC98" s="783">
        <f>IF('Incremental Repayments'!$R$22="Debt",IF(AND(BC$4&gt;=$D98,BC$4&lt;$D98+'Incremental Repayments'!$I$31),-PMT('Interest Rate'!$J$16,'Incremental Repayments'!$I$31,(HLOOKUP($D98,$E$4:$CZ$32,28,FALSE)*'Incremental Repayments'!$I$22)),0),0)</f>
        <v>0</v>
      </c>
      <c r="BD98" s="783">
        <f>IF('Incremental Repayments'!$R$22="Debt",IF(AND(BD$4&gt;=$D98,BD$4&lt;$D98+'Incremental Repayments'!$I$31),-PMT('Interest Rate'!$J$16,'Incremental Repayments'!$I$31,(HLOOKUP($D98,$E$4:$CZ$32,28,FALSE)*'Incremental Repayments'!$I$22)),0),0)</f>
        <v>0</v>
      </c>
      <c r="BE98" s="783">
        <f>IF('Incremental Repayments'!$R$22="Debt",IF(AND(BE$4&gt;=$D98,BE$4&lt;$D98+'Incremental Repayments'!$I$31),-PMT('Interest Rate'!$J$16,'Incremental Repayments'!$I$31,(HLOOKUP($D98,$E$4:$CZ$32,28,FALSE)*'Incremental Repayments'!$I$22)),0),0)</f>
        <v>0</v>
      </c>
      <c r="BF98" s="783">
        <f>IF('Incremental Repayments'!$R$22="Debt",IF(AND(BF$4&gt;=$D98,BF$4&lt;$D98+'Incremental Repayments'!$I$31),-PMT('Interest Rate'!$J$16,'Incremental Repayments'!$I$31,(HLOOKUP($D98,$E$4:$CZ$32,28,FALSE)*'Incremental Repayments'!$I$22)),0),0)</f>
        <v>0</v>
      </c>
      <c r="BG98" s="783">
        <f>IF('Incremental Repayments'!$R$22="Debt",IF(AND(BG$4&gt;=$D98,BG$4&lt;$D98+'Incremental Repayments'!$I$31),-PMT('Interest Rate'!$J$16,'Incremental Repayments'!$I$31,(HLOOKUP($D98,$E$4:$CZ$32,28,FALSE)*'Incremental Repayments'!$I$22)),0),0)</f>
        <v>0</v>
      </c>
      <c r="BH98" s="783">
        <f>IF('Incremental Repayments'!$R$22="Debt",IF(AND(BH$4&gt;=$D98,BH$4&lt;$D98+'Incremental Repayments'!$I$31),-PMT('Interest Rate'!$J$16,'Incremental Repayments'!$I$31,(HLOOKUP($D98,$E$4:$CZ$32,28,FALSE)*'Incremental Repayments'!$I$22)),0),0)</f>
        <v>0</v>
      </c>
      <c r="BI98" s="783">
        <f>IF('Incremental Repayments'!$R$22="Debt",IF(AND(BI$4&gt;=$D98,BI$4&lt;$D98+'Incremental Repayments'!$I$31),-PMT('Interest Rate'!$J$16,'Incremental Repayments'!$I$31,(HLOOKUP($D98,$E$4:$CZ$32,28,FALSE)*'Incremental Repayments'!$I$22)),0),0)</f>
        <v>0</v>
      </c>
      <c r="BJ98" s="783">
        <f>IF('Incremental Repayments'!$R$22="Debt",IF(AND(BJ$4&gt;=$D98,BJ$4&lt;$D98+'Incremental Repayments'!$I$31),-PMT('Interest Rate'!$J$16,'Incremental Repayments'!$I$31,(HLOOKUP($D98,$E$4:$CZ$32,28,FALSE)*'Incremental Repayments'!$I$22)),0),0)</f>
        <v>0</v>
      </c>
      <c r="BK98" s="783">
        <f>IF('Incremental Repayments'!$R$22="Debt",IF(AND(BK$4&gt;=$D98,BK$4&lt;$D98+'Incremental Repayments'!$I$31),-PMT('Interest Rate'!$J$16,'Incremental Repayments'!$I$31,(HLOOKUP($D98,$E$4:$CZ$32,28,FALSE)*'Incremental Repayments'!$I$22)),0),0)</f>
        <v>0</v>
      </c>
      <c r="BL98" s="783">
        <f>IF('Incremental Repayments'!$R$22="Debt",IF(AND(BL$4&gt;=$D98,BL$4&lt;$D98+'Incremental Repayments'!$I$31),-PMT('Interest Rate'!$J$16,'Incremental Repayments'!$I$31,(HLOOKUP($D98,$E$4:$CZ$32,28,FALSE)*'Incremental Repayments'!$I$22)),0),0)</f>
        <v>0</v>
      </c>
      <c r="BM98" s="783">
        <f>IF('Incremental Repayments'!$R$22="Debt",IF(AND(BM$4&gt;=$D98,BM$4&lt;$D98+'Incremental Repayments'!$I$31),-PMT('Interest Rate'!$J$16,'Incremental Repayments'!$I$31,(HLOOKUP($D98,$E$4:$CZ$32,28,FALSE)*'Incremental Repayments'!$I$22)),0),0)</f>
        <v>0</v>
      </c>
      <c r="BN98" s="783">
        <f>IF('Incremental Repayments'!$R$22="Debt",IF(AND(BN$4&gt;=$D98,BN$4&lt;$D98+'Incremental Repayments'!$I$31),-PMT('Interest Rate'!$J$16,'Incremental Repayments'!$I$31,(HLOOKUP($D98,$E$4:$CZ$32,28,FALSE)*'Incremental Repayments'!$I$22)),0),0)</f>
        <v>0</v>
      </c>
      <c r="BO98" s="783">
        <f>IF('Incremental Repayments'!$R$22="Debt",IF(AND(BO$4&gt;=$D98,BO$4&lt;$D98+'Incremental Repayments'!$I$31),-PMT('Interest Rate'!$J$16,'Incremental Repayments'!$I$31,(HLOOKUP($D98,$E$4:$CZ$32,28,FALSE)*'Incremental Repayments'!$I$22)),0),0)</f>
        <v>0</v>
      </c>
      <c r="BP98" s="783">
        <f>IF('Incremental Repayments'!$R$22="Debt",IF(AND(BP$4&gt;=$D98,BP$4&lt;$D98+'Incremental Repayments'!$I$31),-PMT('Interest Rate'!$J$16,'Incremental Repayments'!$I$31,(HLOOKUP($D98,$E$4:$CZ$32,28,FALSE)*'Incremental Repayments'!$I$22)),0),0)</f>
        <v>0</v>
      </c>
      <c r="BQ98" s="783">
        <f>IF('Incremental Repayments'!$R$22="Debt",IF(AND(BQ$4&gt;=$D98,BQ$4&lt;$D98+'Incremental Repayments'!$I$31),-PMT('Interest Rate'!$J$16,'Incremental Repayments'!$I$31,(HLOOKUP($D98,$E$4:$CZ$32,28,FALSE)*'Incremental Repayments'!$I$22)),0),0)</f>
        <v>0</v>
      </c>
      <c r="BR98" s="783">
        <f>IF('Incremental Repayments'!$R$22="Debt",IF(AND(BR$4&gt;=$D98,BR$4&lt;$D98+'Incremental Repayments'!$I$31),-PMT('Interest Rate'!$J$16,'Incremental Repayments'!$I$31,(HLOOKUP($D98,$E$4:$CZ$32,28,FALSE)*'Incremental Repayments'!$I$22)),0),0)</f>
        <v>0</v>
      </c>
      <c r="BS98" s="783">
        <f>IF('Incremental Repayments'!$R$22="Debt",IF(AND(BS$4&gt;=$D98,BS$4&lt;$D98+'Incremental Repayments'!$I$31),-PMT('Interest Rate'!$J$16,'Incremental Repayments'!$I$31,(HLOOKUP($D98,$E$4:$CZ$32,28,FALSE)*'Incremental Repayments'!$I$22)),0),0)</f>
        <v>0</v>
      </c>
      <c r="BT98" s="783">
        <f>IF('Incremental Repayments'!$R$22="Debt",IF(AND(BT$4&gt;=$D98,BT$4&lt;$D98+'Incremental Repayments'!$I$31),-PMT('Interest Rate'!$J$16,'Incremental Repayments'!$I$31,(HLOOKUP($D98,$E$4:$CZ$32,28,FALSE)*'Incremental Repayments'!$I$22)),0),0)</f>
        <v>0</v>
      </c>
      <c r="BU98" s="783">
        <f>IF('Incremental Repayments'!$R$22="Debt",IF(AND(BU$4&gt;=$D98,BU$4&lt;$D98+'Incremental Repayments'!$I$31),-PMT('Interest Rate'!$J$16,'Incremental Repayments'!$I$31,(HLOOKUP($D98,$E$4:$CZ$32,28,FALSE)*'Incremental Repayments'!$I$22)),0),0)</f>
        <v>0</v>
      </c>
      <c r="BV98" s="783">
        <f>IF('Incremental Repayments'!$R$22="Debt",IF(AND(BV$4&gt;=$D98,BV$4&lt;$D98+'Incremental Repayments'!$I$31),-PMT('Interest Rate'!$J$16,'Incremental Repayments'!$I$31,(HLOOKUP($D98,$E$4:$CZ$32,28,FALSE)*'Incremental Repayments'!$I$22)),0),0)</f>
        <v>0</v>
      </c>
      <c r="BW98" s="783">
        <f>IF('Incremental Repayments'!$R$22="Debt",IF(AND(BW$4&gt;=$D98,BW$4&lt;$D98+'Incremental Repayments'!$I$31),-PMT('Interest Rate'!$J$16,'Incremental Repayments'!$I$31,(HLOOKUP($D98,$E$4:$CZ$32,28,FALSE)*'Incremental Repayments'!$I$22)),0),0)</f>
        <v>0</v>
      </c>
      <c r="BX98" s="783">
        <f>IF('Incremental Repayments'!$R$22="Debt",IF(AND(BX$4&gt;=$D98,BX$4&lt;$D98+'Incremental Repayments'!$I$31),-PMT('Interest Rate'!$J$16,'Incremental Repayments'!$I$31,(HLOOKUP($D98,$E$4:$CZ$32,28,FALSE)*'Incremental Repayments'!$I$22)),0),0)</f>
        <v>0</v>
      </c>
      <c r="BY98" s="783">
        <f>IF('Incremental Repayments'!$R$22="Debt",IF(AND(BY$4&gt;=$D98,BY$4&lt;$D98+'Incremental Repayments'!$I$31),-PMT('Interest Rate'!$J$16,'Incremental Repayments'!$I$31,(HLOOKUP($D98,$E$4:$CZ$32,28,FALSE)*'Incremental Repayments'!$I$22)),0),0)</f>
        <v>0</v>
      </c>
      <c r="BZ98" s="783">
        <f>IF('Incremental Repayments'!$R$22="Debt",IF(AND(BZ$4&gt;=$D98,BZ$4&lt;$D98+'Incremental Repayments'!$I$31),-PMT('Interest Rate'!$J$16,'Incremental Repayments'!$I$31,(HLOOKUP($D98,$E$4:$CZ$32,28,FALSE)*'Incremental Repayments'!$I$22)),0),0)</f>
        <v>0</v>
      </c>
      <c r="CA98" s="783">
        <f>IF('Incremental Repayments'!$R$22="Debt",IF(AND(CA$4&gt;=$D98,CA$4&lt;$D98+'Incremental Repayments'!$I$31),-PMT('Interest Rate'!$J$16,'Incremental Repayments'!$I$31,(HLOOKUP($D98,$E$4:$CZ$32,28,FALSE)*'Incremental Repayments'!$I$22)),0),0)</f>
        <v>0</v>
      </c>
      <c r="CB98" s="783">
        <f>IF('Incremental Repayments'!$R$22="Debt",IF(AND(CB$4&gt;=$D98,CB$4&lt;$D98+'Incremental Repayments'!$I$31),-PMT('Interest Rate'!$J$16,'Incremental Repayments'!$I$31,(HLOOKUP($D98,$E$4:$CZ$32,28,FALSE)*'Incremental Repayments'!$I$22)),0),0)</f>
        <v>0</v>
      </c>
      <c r="CC98" s="783">
        <f>IF('Incremental Repayments'!$R$22="Debt",IF(AND(CC$4&gt;=$D98,CC$4&lt;$D98+'Incremental Repayments'!$I$31),-PMT('Interest Rate'!$J$16,'Incremental Repayments'!$I$31,(HLOOKUP($D98,$E$4:$CZ$32,28,FALSE)*'Incremental Repayments'!$I$22)),0),0)</f>
        <v>0</v>
      </c>
      <c r="CD98" s="783">
        <f>IF('Incremental Repayments'!$R$22="Debt",IF(AND(CD$4&gt;=$D98,CD$4&lt;$D98+'Incremental Repayments'!$I$31),-PMT('Interest Rate'!$J$16,'Incremental Repayments'!$I$31,(HLOOKUP($D98,$E$4:$CZ$32,28,FALSE)*'Incremental Repayments'!$I$22)),0),0)</f>
        <v>0</v>
      </c>
      <c r="CE98" s="783">
        <f>IF('Incremental Repayments'!$R$22="Debt",IF(AND(CE$4&gt;=$D98,CE$4&lt;$D98+'Incremental Repayments'!$I$31),-PMT('Interest Rate'!$J$16,'Incremental Repayments'!$I$31,(HLOOKUP($D98,$E$4:$CZ$32,28,FALSE)*'Incremental Repayments'!$I$22)),0),0)</f>
        <v>0</v>
      </c>
      <c r="CF98" s="783">
        <f>IF('Incremental Repayments'!$R$22="Debt",IF(AND(CF$4&gt;=$D98,CF$4&lt;$D98+'Incremental Repayments'!$I$31),-PMT('Interest Rate'!$J$16,'Incremental Repayments'!$I$31,(HLOOKUP($D98,$E$4:$CZ$32,28,FALSE)*'Incremental Repayments'!$I$22)),0),0)</f>
        <v>0</v>
      </c>
      <c r="CG98" s="783">
        <f>IF('Incremental Repayments'!$R$22="Debt",IF(AND(CG$4&gt;=$D98,CG$4&lt;$D98+'Incremental Repayments'!$I$31),-PMT('Interest Rate'!$J$16,'Incremental Repayments'!$I$31,(HLOOKUP($D98,$E$4:$CZ$32,28,FALSE)*'Incremental Repayments'!$I$22)),0),0)</f>
        <v>0</v>
      </c>
      <c r="CH98" s="783">
        <f>IF('Incremental Repayments'!$R$22="Debt",IF(AND(CH$4&gt;=$D98,CH$4&lt;$D98+'Incremental Repayments'!$I$31),-PMT('Interest Rate'!$J$16,'Incremental Repayments'!$I$31,(HLOOKUP($D98,$E$4:$CZ$32,28,FALSE)*'Incremental Repayments'!$I$22)),0),0)</f>
        <v>0</v>
      </c>
      <c r="CI98" s="783">
        <f>IF('Incremental Repayments'!$R$22="Debt",IF(AND(CI$4&gt;=$D98,CI$4&lt;$D98+'Incremental Repayments'!$I$31),-PMT('Interest Rate'!$J$16,'Incremental Repayments'!$I$31,(HLOOKUP($D98,$E$4:$CZ$32,28,FALSE)*'Incremental Repayments'!$I$22)),0),0)</f>
        <v>0</v>
      </c>
      <c r="CJ98" s="783">
        <f>IF('Incremental Repayments'!$R$22="Debt",IF(AND(CJ$4&gt;=$D98,CJ$4&lt;$D98+'Incremental Repayments'!$I$31),-PMT('Interest Rate'!$J$16,'Incremental Repayments'!$I$31,(HLOOKUP($D98,$E$4:$CZ$32,28,FALSE)*'Incremental Repayments'!$I$22)),0),0)</f>
        <v>0</v>
      </c>
      <c r="CK98" s="783">
        <f>IF('Incremental Repayments'!$R$22="Debt",IF(AND(CK$4&gt;=$D98,CK$4&lt;$D98+'Incremental Repayments'!$I$31),-PMT('Interest Rate'!$J$16,'Incremental Repayments'!$I$31,(HLOOKUP($D98,$E$4:$CZ$32,28,FALSE)*'Incremental Repayments'!$I$22)),0),0)</f>
        <v>0</v>
      </c>
      <c r="CL98" s="783">
        <f>IF('Incremental Repayments'!$R$22="Debt",IF(AND(CL$4&gt;=$D98,CL$4&lt;$D98+'Incremental Repayments'!$I$31),-PMT('Interest Rate'!$J$16,'Incremental Repayments'!$I$31,(HLOOKUP($D98,$E$4:$CZ$32,28,FALSE)*'Incremental Repayments'!$I$22)),0),0)</f>
        <v>0</v>
      </c>
      <c r="CM98" s="783">
        <f>IF('Incremental Repayments'!$R$22="Debt",IF(AND(CM$4&gt;=$D98,CM$4&lt;$D98+'Incremental Repayments'!$I$31),-PMT('Interest Rate'!$J$16,'Incremental Repayments'!$I$31,(HLOOKUP($D98,$E$4:$CZ$32,28,FALSE)*'Incremental Repayments'!$I$22)),0),0)</f>
        <v>0</v>
      </c>
      <c r="CN98" s="783">
        <f>IF('Incremental Repayments'!$R$22="Debt",IF(AND(CN$4&gt;=$D98,CN$4&lt;$D98+'Incremental Repayments'!$I$31),-PMT('Interest Rate'!$J$16,'Incremental Repayments'!$I$31,(HLOOKUP($D98,$E$4:$CZ$32,28,FALSE)*'Incremental Repayments'!$I$22)),0),0)</f>
        <v>0</v>
      </c>
      <c r="CO98" s="783">
        <f>IF('Incremental Repayments'!$R$22="Debt",IF(AND(CO$4&gt;=$D98,CO$4&lt;$D98+'Incremental Repayments'!$I$31),-PMT('Interest Rate'!$J$16,'Incremental Repayments'!$I$31,(HLOOKUP($D98,$E$4:$CZ$32,28,FALSE)*'Incremental Repayments'!$I$22)),0),0)</f>
        <v>0</v>
      </c>
      <c r="CP98" s="783">
        <f>IF('Incremental Repayments'!$R$22="Debt",IF(AND(CP$4&gt;=$D98,CP$4&lt;$D98+'Incremental Repayments'!$I$31),-PMT('Interest Rate'!$J$16,'Incremental Repayments'!$I$31,(HLOOKUP($D98,$E$4:$CZ$32,28,FALSE)*'Incremental Repayments'!$I$22)),0),0)</f>
        <v>0</v>
      </c>
      <c r="CQ98" s="783">
        <f>IF('Incremental Repayments'!$R$22="Debt",IF(AND(CQ$4&gt;=$D98,CQ$4&lt;$D98+'Incremental Repayments'!$I$31),-PMT('Interest Rate'!$J$16,'Incremental Repayments'!$I$31,(HLOOKUP($D98,$E$4:$CZ$32,28,FALSE)*'Incremental Repayments'!$I$22)),0),0)</f>
        <v>0</v>
      </c>
      <c r="CR98" s="783">
        <f>IF('Incremental Repayments'!$R$22="Debt",IF(AND(CR$4&gt;=$D98,CR$4&lt;$D98+'Incremental Repayments'!$I$31),-PMT('Interest Rate'!$J$16,'Incremental Repayments'!$I$31,(HLOOKUP($D98,$E$4:$CZ$32,28,FALSE)*'Incremental Repayments'!$I$22)),0),0)</f>
        <v>0</v>
      </c>
      <c r="CS98" s="783">
        <f>IF('Incremental Repayments'!$R$22="Debt",IF(AND(CS$4&gt;=$D98,CS$4&lt;$D98+'Incremental Repayments'!$I$31),-PMT('Interest Rate'!$J$16,'Incremental Repayments'!$I$31,(HLOOKUP($D98,$E$4:$CZ$32,28,FALSE)*'Incremental Repayments'!$I$22)),0),0)</f>
        <v>0</v>
      </c>
      <c r="CT98" s="783">
        <f>IF('Incremental Repayments'!$R$22="Debt",IF(AND(CT$4&gt;=$D98,CT$4&lt;$D98+'Incremental Repayments'!$I$31),-PMT('Interest Rate'!$J$16,'Incremental Repayments'!$I$31,(HLOOKUP($D98,$E$4:$CZ$32,28,FALSE)*'Incremental Repayments'!$I$22)),0),0)</f>
        <v>0</v>
      </c>
      <c r="CU98" s="783">
        <f>IF('Incremental Repayments'!$R$22="Debt",IF(AND(CU$4&gt;=$D98,CU$4&lt;$D98+'Incremental Repayments'!$I$31),-PMT('Interest Rate'!$J$16,'Incremental Repayments'!$I$31,(HLOOKUP($D98,$E$4:$CZ$32,28,FALSE)*'Incremental Repayments'!$I$22)),0),0)</f>
        <v>0</v>
      </c>
      <c r="CV98" s="783">
        <f>IF('Incremental Repayments'!$R$22="Debt",IF(AND(CV$4&gt;=$D98,CV$4&lt;$D98+'Incremental Repayments'!$I$31),-PMT('Interest Rate'!$J$16,'Incremental Repayments'!$I$31,(HLOOKUP($D98,$E$4:$CZ$32,28,FALSE)*'Incremental Repayments'!$I$22)),0),0)</f>
        <v>0</v>
      </c>
      <c r="CW98" s="783">
        <f>IF('Incremental Repayments'!$R$22="Debt",IF(AND(CW$4&gt;=$D98,CW$4&lt;$D98+'Incremental Repayments'!$I$31),-PMT('Interest Rate'!$J$16,'Incremental Repayments'!$I$31,(HLOOKUP($D98,$E$4:$CZ$32,28,FALSE)*'Incremental Repayments'!$I$22)),0),0)</f>
        <v>0</v>
      </c>
      <c r="CX98" s="783">
        <f>IF('Incremental Repayments'!$R$22="Debt",IF(AND(CX$4&gt;=$D98,CX$4&lt;$D98+'Incremental Repayments'!$I$31),-PMT('Interest Rate'!$J$16,'Incremental Repayments'!$I$31,(HLOOKUP($D98,$E$4:$CZ$32,28,FALSE)*'Incremental Repayments'!$I$22)),0),0)</f>
        <v>0</v>
      </c>
      <c r="CY98" s="783">
        <f>IF('Incremental Repayments'!$R$22="Debt",IF(AND(CY$4&gt;=$D98,CY$4&lt;$D98+'Incremental Repayments'!$I$31),-PMT('Interest Rate'!$J$16,'Incremental Repayments'!$I$31,(HLOOKUP($D98,$E$4:$CZ$32,28,FALSE)*'Incremental Repayments'!$I$22)),0),0)</f>
        <v>0</v>
      </c>
      <c r="CZ98" s="783">
        <f>IF('Incremental Repayments'!$R$22="Debt",IF(AND(CZ$4&gt;=$D98,CZ$4&lt;$D98+'Incremental Repayments'!$I$31),-PMT('Interest Rate'!$J$16,'Incremental Repayments'!$I$31,(HLOOKUP($D98,$E$4:$CZ$32,28,FALSE)*'Incremental Repayments'!$I$22)),0),0)</f>
        <v>0</v>
      </c>
    </row>
    <row r="99" spans="2:104" x14ac:dyDescent="0.25">
      <c r="B99" s="480" t="str">
        <f>CONCATENATE("Series ",D99,"A Bonds (at ",'Interest Rate'!$J$16*100,"% Interest)")</f>
        <v>Series 2077A Bonds (at 4.5% Interest)</v>
      </c>
      <c r="C99" s="480"/>
      <c r="D99" s="492">
        <f t="shared" si="47"/>
        <v>2077</v>
      </c>
      <c r="E99" s="783">
        <f>IF('Incremental Repayments'!$R$22="Debt",IF(AND(E$4&gt;=$D99,E$4&lt;$D99+'Incremental Repayments'!$I$31),-PMT('Interest Rate'!$J$16,'Incremental Repayments'!$I$31,(HLOOKUP($D99,$E$4:$CZ$32,28,FALSE)*'Incremental Repayments'!$I$22)),0),0)</f>
        <v>0</v>
      </c>
      <c r="F99" s="783">
        <f>IF('Incremental Repayments'!$R$22="Debt",IF(AND(F$4&gt;=$D99,F$4&lt;$D99+'Incremental Repayments'!$I$31),-PMT('Interest Rate'!$J$16,'Incremental Repayments'!$I$31,(HLOOKUP($D99,$E$4:$CZ$32,28,FALSE)*'Incremental Repayments'!$I$22)),0),0)</f>
        <v>0</v>
      </c>
      <c r="G99" s="783">
        <f>IF('Incremental Repayments'!$R$22="Debt",IF(AND(G$4&gt;=$D99,G$4&lt;$D99+'Incremental Repayments'!$I$31),-PMT('Interest Rate'!$J$16,'Incremental Repayments'!$I$31,(HLOOKUP($D99,$E$4:$CZ$32,28,FALSE)*'Incremental Repayments'!$I$22)),0),0)</f>
        <v>0</v>
      </c>
      <c r="H99" s="783">
        <f>IF('Incremental Repayments'!$R$22="Debt",IF(AND(H$4&gt;=$D99,H$4&lt;$D99+'Incremental Repayments'!$I$31),-PMT('Interest Rate'!$J$16,'Incremental Repayments'!$I$31,(HLOOKUP($D99,$E$4:$CZ$32,28,FALSE)*'Incremental Repayments'!$I$22)),0),0)</f>
        <v>0</v>
      </c>
      <c r="I99" s="783">
        <f>IF('Incremental Repayments'!$R$22="Debt",IF(AND(I$4&gt;=$D99,I$4&lt;$D99+'Incremental Repayments'!$I$31),-PMT('Interest Rate'!$J$16,'Incremental Repayments'!$I$31,(HLOOKUP($D99,$E$4:$CZ$32,28,FALSE)*'Incremental Repayments'!$I$22)),0),0)</f>
        <v>0</v>
      </c>
      <c r="J99" s="783">
        <f>IF('Incremental Repayments'!$R$22="Debt",IF(AND(J$4&gt;=$D99,J$4&lt;$D99+'Incremental Repayments'!$I$31),-PMT('Interest Rate'!$J$16,'Incremental Repayments'!$I$31,(HLOOKUP($D99,$E$4:$CZ$32,28,FALSE)*'Incremental Repayments'!$I$22)),0),0)</f>
        <v>0</v>
      </c>
      <c r="K99" s="783">
        <f>IF('Incremental Repayments'!$R$22="Debt",IF(AND(K$4&gt;=$D99,K$4&lt;$D99+'Incremental Repayments'!$I$31),-PMT('Interest Rate'!$J$16,'Incremental Repayments'!$I$31,(HLOOKUP($D99,$E$4:$CZ$32,28,FALSE)*'Incremental Repayments'!$I$22)),0),0)</f>
        <v>0</v>
      </c>
      <c r="L99" s="783">
        <f>IF('Incremental Repayments'!$R$22="Debt",IF(AND(L$4&gt;=$D99,L$4&lt;$D99+'Incremental Repayments'!$I$31),-PMT('Interest Rate'!$J$16,'Incremental Repayments'!$I$31,(HLOOKUP($D99,$E$4:$CZ$32,28,FALSE)*'Incremental Repayments'!$I$22)),0),0)</f>
        <v>0</v>
      </c>
      <c r="M99" s="783">
        <f>IF('Incremental Repayments'!$R$22="Debt",IF(AND(M$4&gt;=$D99,M$4&lt;$D99+'Incremental Repayments'!$I$31),-PMT('Interest Rate'!$J$16,'Incremental Repayments'!$I$31,(HLOOKUP($D99,$E$4:$CZ$32,28,FALSE)*'Incremental Repayments'!$I$22)),0),0)</f>
        <v>0</v>
      </c>
      <c r="N99" s="783">
        <f>IF('Incremental Repayments'!$R$22="Debt",IF(AND(N$4&gt;=$D99,N$4&lt;$D99+'Incremental Repayments'!$I$31),-PMT('Interest Rate'!$J$16,'Incremental Repayments'!$I$31,(HLOOKUP($D99,$E$4:$CZ$32,28,FALSE)*'Incremental Repayments'!$I$22)),0),0)</f>
        <v>0</v>
      </c>
      <c r="O99" s="783">
        <f>IF('Incremental Repayments'!$R$22="Debt",IF(AND(O$4&gt;=$D99,O$4&lt;$D99+'Incremental Repayments'!$I$31),-PMT('Interest Rate'!$J$16,'Incremental Repayments'!$I$31,(HLOOKUP($D99,$E$4:$CZ$32,28,FALSE)*'Incremental Repayments'!$I$22)),0),0)</f>
        <v>0</v>
      </c>
      <c r="P99" s="783">
        <f>IF('Incremental Repayments'!$R$22="Debt",IF(AND(P$4&gt;=$D99,P$4&lt;$D99+'Incremental Repayments'!$I$31),-PMT('Interest Rate'!$J$16,'Incremental Repayments'!$I$31,(HLOOKUP($D99,$E$4:$CZ$32,28,FALSE)*'Incremental Repayments'!$I$22)),0),0)</f>
        <v>0</v>
      </c>
      <c r="Q99" s="783">
        <f>IF('Incremental Repayments'!$R$22="Debt",IF(AND(Q$4&gt;=$D99,Q$4&lt;$D99+'Incremental Repayments'!$I$31),-PMT('Interest Rate'!$J$16,'Incremental Repayments'!$I$31,(HLOOKUP($D99,$E$4:$CZ$32,28,FALSE)*'Incremental Repayments'!$I$22)),0),0)</f>
        <v>0</v>
      </c>
      <c r="R99" s="783">
        <f>IF('Incremental Repayments'!$R$22="Debt",IF(AND(R$4&gt;=$D99,R$4&lt;$D99+'Incremental Repayments'!$I$31),-PMT('Interest Rate'!$J$16,'Incremental Repayments'!$I$31,(HLOOKUP($D99,$E$4:$CZ$32,28,FALSE)*'Incremental Repayments'!$I$22)),0),0)</f>
        <v>0</v>
      </c>
      <c r="S99" s="783">
        <f>IF('Incremental Repayments'!$R$22="Debt",IF(AND(S$4&gt;=$D99,S$4&lt;$D99+'Incremental Repayments'!$I$31),-PMT('Interest Rate'!$J$16,'Incremental Repayments'!$I$31,(HLOOKUP($D99,$E$4:$CZ$32,28,FALSE)*'Incremental Repayments'!$I$22)),0),0)</f>
        <v>0</v>
      </c>
      <c r="T99" s="783">
        <f>IF('Incremental Repayments'!$R$22="Debt",IF(AND(T$4&gt;=$D99,T$4&lt;$D99+'Incremental Repayments'!$I$31),-PMT('Interest Rate'!$J$16,'Incremental Repayments'!$I$31,(HLOOKUP($D99,$E$4:$CZ$32,28,FALSE)*'Incremental Repayments'!$I$22)),0),0)</f>
        <v>0</v>
      </c>
      <c r="U99" s="783">
        <f>IF('Incremental Repayments'!$R$22="Debt",IF(AND(U$4&gt;=$D99,U$4&lt;$D99+'Incremental Repayments'!$I$31),-PMT('Interest Rate'!$J$16,'Incremental Repayments'!$I$31,(HLOOKUP($D99,$E$4:$CZ$32,28,FALSE)*'Incremental Repayments'!$I$22)),0),0)</f>
        <v>0</v>
      </c>
      <c r="V99" s="783">
        <f>IF('Incremental Repayments'!$R$22="Debt",IF(AND(V$4&gt;=$D99,V$4&lt;$D99+'Incremental Repayments'!$I$31),-PMT('Interest Rate'!$J$16,'Incremental Repayments'!$I$31,(HLOOKUP($D99,$E$4:$CZ$32,28,FALSE)*'Incremental Repayments'!$I$22)),0),0)</f>
        <v>0</v>
      </c>
      <c r="W99" s="783">
        <f>IF('Incremental Repayments'!$R$22="Debt",IF(AND(W$4&gt;=$D99,W$4&lt;$D99+'Incremental Repayments'!$I$31),-PMT('Interest Rate'!$J$16,'Incremental Repayments'!$I$31,(HLOOKUP($D99,$E$4:$CZ$32,28,FALSE)*'Incremental Repayments'!$I$22)),0),0)</f>
        <v>0</v>
      </c>
      <c r="X99" s="783">
        <f>IF('Incremental Repayments'!$R$22="Debt",IF(AND(X$4&gt;=$D99,X$4&lt;$D99+'Incremental Repayments'!$I$31),-PMT('Interest Rate'!$J$16,'Incremental Repayments'!$I$31,(HLOOKUP($D99,$E$4:$CZ$32,28,FALSE)*'Incremental Repayments'!$I$22)),0),0)</f>
        <v>0</v>
      </c>
      <c r="Y99" s="783">
        <f>IF('Incremental Repayments'!$R$22="Debt",IF(AND(Y$4&gt;=$D99,Y$4&lt;$D99+'Incremental Repayments'!$I$31),-PMT('Interest Rate'!$J$16,'Incremental Repayments'!$I$31,(HLOOKUP($D99,$E$4:$CZ$32,28,FALSE)*'Incremental Repayments'!$I$22)),0),0)</f>
        <v>0</v>
      </c>
      <c r="Z99" s="783">
        <f>IF('Incremental Repayments'!$R$22="Debt",IF(AND(Z$4&gt;=$D99,Z$4&lt;$D99+'Incremental Repayments'!$I$31),-PMT('Interest Rate'!$J$16,'Incremental Repayments'!$I$31,(HLOOKUP($D99,$E$4:$CZ$32,28,FALSE)*'Incremental Repayments'!$I$22)),0),0)</f>
        <v>0</v>
      </c>
      <c r="AA99" s="783">
        <f>IF('Incremental Repayments'!$R$22="Debt",IF(AND(AA$4&gt;=$D99,AA$4&lt;$D99+'Incremental Repayments'!$I$31),-PMT('Interest Rate'!$J$16,'Incremental Repayments'!$I$31,(HLOOKUP($D99,$E$4:$CZ$32,28,FALSE)*'Incremental Repayments'!$I$22)),0),0)</f>
        <v>0</v>
      </c>
      <c r="AB99" s="783">
        <f>IF('Incremental Repayments'!$R$22="Debt",IF(AND(AB$4&gt;=$D99,AB$4&lt;$D99+'Incremental Repayments'!$I$31),-PMT('Interest Rate'!$J$16,'Incremental Repayments'!$I$31,(HLOOKUP($D99,$E$4:$CZ$32,28,FALSE)*'Incremental Repayments'!$I$22)),0),0)</f>
        <v>0</v>
      </c>
      <c r="AC99" s="783">
        <f>IF('Incremental Repayments'!$R$22="Debt",IF(AND(AC$4&gt;=$D99,AC$4&lt;$D99+'Incremental Repayments'!$I$31),-PMT('Interest Rate'!$J$16,'Incremental Repayments'!$I$31,(HLOOKUP($D99,$E$4:$CZ$32,28,FALSE)*'Incremental Repayments'!$I$22)),0),0)</f>
        <v>0</v>
      </c>
      <c r="AD99" s="783">
        <f>IF('Incremental Repayments'!$R$22="Debt",IF(AND(AD$4&gt;=$D99,AD$4&lt;$D99+'Incremental Repayments'!$I$31),-PMT('Interest Rate'!$J$16,'Incremental Repayments'!$I$31,(HLOOKUP($D99,$E$4:$CZ$32,28,FALSE)*'Incremental Repayments'!$I$22)),0),0)</f>
        <v>0</v>
      </c>
      <c r="AE99" s="783">
        <f>IF('Incremental Repayments'!$R$22="Debt",IF(AND(AE$4&gt;=$D99,AE$4&lt;$D99+'Incremental Repayments'!$I$31),-PMT('Interest Rate'!$J$16,'Incremental Repayments'!$I$31,(HLOOKUP($D99,$E$4:$CZ$32,28,FALSE)*'Incremental Repayments'!$I$22)),0),0)</f>
        <v>0</v>
      </c>
      <c r="AF99" s="783">
        <f>IF('Incremental Repayments'!$R$22="Debt",IF(AND(AF$4&gt;=$D99,AF$4&lt;$D99+'Incremental Repayments'!$I$31),-PMT('Interest Rate'!$J$16,'Incremental Repayments'!$I$31,(HLOOKUP($D99,$E$4:$CZ$32,28,FALSE)*'Incremental Repayments'!$I$22)),0),0)</f>
        <v>0</v>
      </c>
      <c r="AG99" s="783">
        <f>IF('Incremental Repayments'!$R$22="Debt",IF(AND(AG$4&gt;=$D99,AG$4&lt;$D99+'Incremental Repayments'!$I$31),-PMT('Interest Rate'!$J$16,'Incremental Repayments'!$I$31,(HLOOKUP($D99,$E$4:$CZ$32,28,FALSE)*'Incremental Repayments'!$I$22)),0),0)</f>
        <v>0</v>
      </c>
      <c r="AH99" s="783">
        <f>IF('Incremental Repayments'!$R$22="Debt",IF(AND(AH$4&gt;=$D99,AH$4&lt;$D99+'Incremental Repayments'!$I$31),-PMT('Interest Rate'!$J$16,'Incremental Repayments'!$I$31,(HLOOKUP($D99,$E$4:$CZ$32,28,FALSE)*'Incremental Repayments'!$I$22)),0),0)</f>
        <v>0</v>
      </c>
      <c r="AI99" s="783">
        <f>IF('Incremental Repayments'!$R$22="Debt",IF(AND(AI$4&gt;=$D99,AI$4&lt;$D99+'Incremental Repayments'!$I$31),-PMT('Interest Rate'!$J$16,'Incremental Repayments'!$I$31,(HLOOKUP($D99,$E$4:$CZ$32,28,FALSE)*'Incremental Repayments'!$I$22)),0),0)</f>
        <v>0</v>
      </c>
      <c r="AJ99" s="783">
        <f>IF('Incremental Repayments'!$R$22="Debt",IF(AND(AJ$4&gt;=$D99,AJ$4&lt;$D99+'Incremental Repayments'!$I$31),-PMT('Interest Rate'!$J$16,'Incremental Repayments'!$I$31,(HLOOKUP($D99,$E$4:$CZ$32,28,FALSE)*'Incremental Repayments'!$I$22)),0),0)</f>
        <v>0</v>
      </c>
      <c r="AK99" s="783">
        <f>IF('Incremental Repayments'!$R$22="Debt",IF(AND(AK$4&gt;=$D99,AK$4&lt;$D99+'Incremental Repayments'!$I$31),-PMT('Interest Rate'!$J$16,'Incremental Repayments'!$I$31,(HLOOKUP($D99,$E$4:$CZ$32,28,FALSE)*'Incremental Repayments'!$I$22)),0),0)</f>
        <v>0</v>
      </c>
      <c r="AL99" s="783">
        <f>IF('Incremental Repayments'!$R$22="Debt",IF(AND(AL$4&gt;=$D99,AL$4&lt;$D99+'Incremental Repayments'!$I$31),-PMT('Interest Rate'!$J$16,'Incremental Repayments'!$I$31,(HLOOKUP($D99,$E$4:$CZ$32,28,FALSE)*'Incremental Repayments'!$I$22)),0),0)</f>
        <v>0</v>
      </c>
      <c r="AM99" s="783">
        <f>IF('Incremental Repayments'!$R$22="Debt",IF(AND(AM$4&gt;=$D99,AM$4&lt;$D99+'Incremental Repayments'!$I$31),-PMT('Interest Rate'!$J$16,'Incremental Repayments'!$I$31,(HLOOKUP($D99,$E$4:$CZ$32,28,FALSE)*'Incremental Repayments'!$I$22)),0),0)</f>
        <v>0</v>
      </c>
      <c r="AN99" s="783">
        <f>IF('Incremental Repayments'!$R$22="Debt",IF(AND(AN$4&gt;=$D99,AN$4&lt;$D99+'Incremental Repayments'!$I$31),-PMT('Interest Rate'!$J$16,'Incremental Repayments'!$I$31,(HLOOKUP($D99,$E$4:$CZ$32,28,FALSE)*'Incremental Repayments'!$I$22)),0),0)</f>
        <v>0</v>
      </c>
      <c r="AO99" s="783">
        <f>IF('Incremental Repayments'!$R$22="Debt",IF(AND(AO$4&gt;=$D99,AO$4&lt;$D99+'Incremental Repayments'!$I$31),-PMT('Interest Rate'!$J$16,'Incremental Repayments'!$I$31,(HLOOKUP($D99,$E$4:$CZ$32,28,FALSE)*'Incremental Repayments'!$I$22)),0),0)</f>
        <v>0</v>
      </c>
      <c r="AP99" s="783">
        <f>IF('Incremental Repayments'!$R$22="Debt",IF(AND(AP$4&gt;=$D99,AP$4&lt;$D99+'Incremental Repayments'!$I$31),-PMT('Interest Rate'!$J$16,'Incremental Repayments'!$I$31,(HLOOKUP($D99,$E$4:$CZ$32,28,FALSE)*'Incremental Repayments'!$I$22)),0),0)</f>
        <v>0</v>
      </c>
      <c r="AQ99" s="783">
        <f>IF('Incremental Repayments'!$R$22="Debt",IF(AND(AQ$4&gt;=$D99,AQ$4&lt;$D99+'Incremental Repayments'!$I$31),-PMT('Interest Rate'!$J$16,'Incremental Repayments'!$I$31,(HLOOKUP($D99,$E$4:$CZ$32,28,FALSE)*'Incremental Repayments'!$I$22)),0),0)</f>
        <v>0</v>
      </c>
      <c r="AR99" s="783">
        <f>IF('Incremental Repayments'!$R$22="Debt",IF(AND(AR$4&gt;=$D99,AR$4&lt;$D99+'Incremental Repayments'!$I$31),-PMT('Interest Rate'!$J$16,'Incremental Repayments'!$I$31,(HLOOKUP($D99,$E$4:$CZ$32,28,FALSE)*'Incremental Repayments'!$I$22)),0),0)</f>
        <v>0</v>
      </c>
      <c r="AS99" s="783">
        <f>IF('Incremental Repayments'!$R$22="Debt",IF(AND(AS$4&gt;=$D99,AS$4&lt;$D99+'Incremental Repayments'!$I$31),-PMT('Interest Rate'!$J$16,'Incremental Repayments'!$I$31,(HLOOKUP($D99,$E$4:$CZ$32,28,FALSE)*'Incremental Repayments'!$I$22)),0),0)</f>
        <v>0</v>
      </c>
      <c r="AT99" s="783">
        <f>IF('Incremental Repayments'!$R$22="Debt",IF(AND(AT$4&gt;=$D99,AT$4&lt;$D99+'Incremental Repayments'!$I$31),-PMT('Interest Rate'!$J$16,'Incremental Repayments'!$I$31,(HLOOKUP($D99,$E$4:$CZ$32,28,FALSE)*'Incremental Repayments'!$I$22)),0),0)</f>
        <v>0</v>
      </c>
      <c r="AU99" s="783">
        <f>IF('Incremental Repayments'!$R$22="Debt",IF(AND(AU$4&gt;=$D99,AU$4&lt;$D99+'Incremental Repayments'!$I$31),-PMT('Interest Rate'!$J$16,'Incremental Repayments'!$I$31,(HLOOKUP($D99,$E$4:$CZ$32,28,FALSE)*'Incremental Repayments'!$I$22)),0),0)</f>
        <v>0</v>
      </c>
      <c r="AV99" s="783">
        <f>IF('Incremental Repayments'!$R$22="Debt",IF(AND(AV$4&gt;=$D99,AV$4&lt;$D99+'Incremental Repayments'!$I$31),-PMT('Interest Rate'!$J$16,'Incremental Repayments'!$I$31,(HLOOKUP($D99,$E$4:$CZ$32,28,FALSE)*'Incremental Repayments'!$I$22)),0),0)</f>
        <v>0</v>
      </c>
      <c r="AW99" s="783">
        <f>IF('Incremental Repayments'!$R$22="Debt",IF(AND(AW$4&gt;=$D99,AW$4&lt;$D99+'Incremental Repayments'!$I$31),-PMT('Interest Rate'!$J$16,'Incremental Repayments'!$I$31,(HLOOKUP($D99,$E$4:$CZ$32,28,FALSE)*'Incremental Repayments'!$I$22)),0),0)</f>
        <v>0</v>
      </c>
      <c r="AX99" s="783">
        <f>IF('Incremental Repayments'!$R$22="Debt",IF(AND(AX$4&gt;=$D99,AX$4&lt;$D99+'Incremental Repayments'!$I$31),-PMT('Interest Rate'!$J$16,'Incremental Repayments'!$I$31,(HLOOKUP($D99,$E$4:$CZ$32,28,FALSE)*'Incremental Repayments'!$I$22)),0),0)</f>
        <v>0</v>
      </c>
      <c r="AY99" s="783">
        <f>IF('Incremental Repayments'!$R$22="Debt",IF(AND(AY$4&gt;=$D99,AY$4&lt;$D99+'Incremental Repayments'!$I$31),-PMT('Interest Rate'!$J$16,'Incremental Repayments'!$I$31,(HLOOKUP($D99,$E$4:$CZ$32,28,FALSE)*'Incremental Repayments'!$I$22)),0),0)</f>
        <v>0</v>
      </c>
      <c r="AZ99" s="783">
        <f>IF('Incremental Repayments'!$R$22="Debt",IF(AND(AZ$4&gt;=$D99,AZ$4&lt;$D99+'Incremental Repayments'!$I$31),-PMT('Interest Rate'!$J$16,'Incremental Repayments'!$I$31,(HLOOKUP($D99,$E$4:$CZ$32,28,FALSE)*'Incremental Repayments'!$I$22)),0),0)</f>
        <v>0</v>
      </c>
      <c r="BA99" s="783">
        <f>IF('Incremental Repayments'!$R$22="Debt",IF(AND(BA$4&gt;=$D99,BA$4&lt;$D99+'Incremental Repayments'!$I$31),-PMT('Interest Rate'!$J$16,'Incremental Repayments'!$I$31,(HLOOKUP($D99,$E$4:$CZ$32,28,FALSE)*'Incremental Repayments'!$I$22)),0),0)</f>
        <v>0</v>
      </c>
      <c r="BB99" s="783">
        <f>IF('Incremental Repayments'!$R$22="Debt",IF(AND(BB$4&gt;=$D99,BB$4&lt;$D99+'Incremental Repayments'!$I$31),-PMT('Interest Rate'!$J$16,'Incremental Repayments'!$I$31,(HLOOKUP($D99,$E$4:$CZ$32,28,FALSE)*'Incremental Repayments'!$I$22)),0),0)</f>
        <v>0</v>
      </c>
      <c r="BC99" s="783">
        <f>IF('Incremental Repayments'!$R$22="Debt",IF(AND(BC$4&gt;=$D99,BC$4&lt;$D99+'Incremental Repayments'!$I$31),-PMT('Interest Rate'!$J$16,'Incremental Repayments'!$I$31,(HLOOKUP($D99,$E$4:$CZ$32,28,FALSE)*'Incremental Repayments'!$I$22)),0),0)</f>
        <v>0</v>
      </c>
      <c r="BD99" s="783">
        <f>IF('Incremental Repayments'!$R$22="Debt",IF(AND(BD$4&gt;=$D99,BD$4&lt;$D99+'Incremental Repayments'!$I$31),-PMT('Interest Rate'!$J$16,'Incremental Repayments'!$I$31,(HLOOKUP($D99,$E$4:$CZ$32,28,FALSE)*'Incremental Repayments'!$I$22)),0),0)</f>
        <v>0</v>
      </c>
      <c r="BE99" s="783">
        <f>IF('Incremental Repayments'!$R$22="Debt",IF(AND(BE$4&gt;=$D99,BE$4&lt;$D99+'Incremental Repayments'!$I$31),-PMT('Interest Rate'!$J$16,'Incremental Repayments'!$I$31,(HLOOKUP($D99,$E$4:$CZ$32,28,FALSE)*'Incremental Repayments'!$I$22)),0),0)</f>
        <v>0</v>
      </c>
      <c r="BF99" s="783">
        <f>IF('Incremental Repayments'!$R$22="Debt",IF(AND(BF$4&gt;=$D99,BF$4&lt;$D99+'Incremental Repayments'!$I$31),-PMT('Interest Rate'!$J$16,'Incremental Repayments'!$I$31,(HLOOKUP($D99,$E$4:$CZ$32,28,FALSE)*'Incremental Repayments'!$I$22)),0),0)</f>
        <v>0</v>
      </c>
      <c r="BG99" s="783">
        <f>IF('Incremental Repayments'!$R$22="Debt",IF(AND(BG$4&gt;=$D99,BG$4&lt;$D99+'Incremental Repayments'!$I$31),-PMT('Interest Rate'!$J$16,'Incremental Repayments'!$I$31,(HLOOKUP($D99,$E$4:$CZ$32,28,FALSE)*'Incremental Repayments'!$I$22)),0),0)</f>
        <v>0</v>
      </c>
      <c r="BH99" s="783">
        <f>IF('Incremental Repayments'!$R$22="Debt",IF(AND(BH$4&gt;=$D99,BH$4&lt;$D99+'Incremental Repayments'!$I$31),-PMT('Interest Rate'!$J$16,'Incremental Repayments'!$I$31,(HLOOKUP($D99,$E$4:$CZ$32,28,FALSE)*'Incremental Repayments'!$I$22)),0),0)</f>
        <v>0</v>
      </c>
      <c r="BI99" s="783">
        <f>IF('Incremental Repayments'!$R$22="Debt",IF(AND(BI$4&gt;=$D99,BI$4&lt;$D99+'Incremental Repayments'!$I$31),-PMT('Interest Rate'!$J$16,'Incremental Repayments'!$I$31,(HLOOKUP($D99,$E$4:$CZ$32,28,FALSE)*'Incremental Repayments'!$I$22)),0),0)</f>
        <v>0</v>
      </c>
      <c r="BJ99" s="783">
        <f>IF('Incremental Repayments'!$R$22="Debt",IF(AND(BJ$4&gt;=$D99,BJ$4&lt;$D99+'Incremental Repayments'!$I$31),-PMT('Interest Rate'!$J$16,'Incremental Repayments'!$I$31,(HLOOKUP($D99,$E$4:$CZ$32,28,FALSE)*'Incremental Repayments'!$I$22)),0),0)</f>
        <v>0</v>
      </c>
      <c r="BK99" s="783">
        <f>IF('Incremental Repayments'!$R$22="Debt",IF(AND(BK$4&gt;=$D99,BK$4&lt;$D99+'Incremental Repayments'!$I$31),-PMT('Interest Rate'!$J$16,'Incremental Repayments'!$I$31,(HLOOKUP($D99,$E$4:$CZ$32,28,FALSE)*'Incremental Repayments'!$I$22)),0),0)</f>
        <v>0</v>
      </c>
      <c r="BL99" s="783">
        <f>IF('Incremental Repayments'!$R$22="Debt",IF(AND(BL$4&gt;=$D99,BL$4&lt;$D99+'Incremental Repayments'!$I$31),-PMT('Interest Rate'!$J$16,'Incremental Repayments'!$I$31,(HLOOKUP($D99,$E$4:$CZ$32,28,FALSE)*'Incremental Repayments'!$I$22)),0),0)</f>
        <v>0</v>
      </c>
      <c r="BM99" s="783">
        <f>IF('Incremental Repayments'!$R$22="Debt",IF(AND(BM$4&gt;=$D99,BM$4&lt;$D99+'Incremental Repayments'!$I$31),-PMT('Interest Rate'!$J$16,'Incremental Repayments'!$I$31,(HLOOKUP($D99,$E$4:$CZ$32,28,FALSE)*'Incremental Repayments'!$I$22)),0),0)</f>
        <v>0</v>
      </c>
      <c r="BN99" s="783">
        <f>IF('Incremental Repayments'!$R$22="Debt",IF(AND(BN$4&gt;=$D99,BN$4&lt;$D99+'Incremental Repayments'!$I$31),-PMT('Interest Rate'!$J$16,'Incremental Repayments'!$I$31,(HLOOKUP($D99,$E$4:$CZ$32,28,FALSE)*'Incremental Repayments'!$I$22)),0),0)</f>
        <v>0</v>
      </c>
      <c r="BO99" s="783">
        <f>IF('Incremental Repayments'!$R$22="Debt",IF(AND(BO$4&gt;=$D99,BO$4&lt;$D99+'Incremental Repayments'!$I$31),-PMT('Interest Rate'!$J$16,'Incremental Repayments'!$I$31,(HLOOKUP($D99,$E$4:$CZ$32,28,FALSE)*'Incremental Repayments'!$I$22)),0),0)</f>
        <v>0</v>
      </c>
      <c r="BP99" s="783">
        <f>IF('Incremental Repayments'!$R$22="Debt",IF(AND(BP$4&gt;=$D99,BP$4&lt;$D99+'Incremental Repayments'!$I$31),-PMT('Interest Rate'!$J$16,'Incremental Repayments'!$I$31,(HLOOKUP($D99,$E$4:$CZ$32,28,FALSE)*'Incremental Repayments'!$I$22)),0),0)</f>
        <v>0</v>
      </c>
      <c r="BQ99" s="783">
        <f>IF('Incremental Repayments'!$R$22="Debt",IF(AND(BQ$4&gt;=$D99,BQ$4&lt;$D99+'Incremental Repayments'!$I$31),-PMT('Interest Rate'!$J$16,'Incremental Repayments'!$I$31,(HLOOKUP($D99,$E$4:$CZ$32,28,FALSE)*'Incremental Repayments'!$I$22)),0),0)</f>
        <v>0</v>
      </c>
      <c r="BR99" s="783">
        <f>IF('Incremental Repayments'!$R$22="Debt",IF(AND(BR$4&gt;=$D99,BR$4&lt;$D99+'Incremental Repayments'!$I$31),-PMT('Interest Rate'!$J$16,'Incremental Repayments'!$I$31,(HLOOKUP($D99,$E$4:$CZ$32,28,FALSE)*'Incremental Repayments'!$I$22)),0),0)</f>
        <v>0</v>
      </c>
      <c r="BS99" s="783">
        <f>IF('Incremental Repayments'!$R$22="Debt",IF(AND(BS$4&gt;=$D99,BS$4&lt;$D99+'Incremental Repayments'!$I$31),-PMT('Interest Rate'!$J$16,'Incremental Repayments'!$I$31,(HLOOKUP($D99,$E$4:$CZ$32,28,FALSE)*'Incremental Repayments'!$I$22)),0),0)</f>
        <v>0</v>
      </c>
      <c r="BT99" s="783">
        <f>IF('Incremental Repayments'!$R$22="Debt",IF(AND(BT$4&gt;=$D99,BT$4&lt;$D99+'Incremental Repayments'!$I$31),-PMT('Interest Rate'!$J$16,'Incremental Repayments'!$I$31,(HLOOKUP($D99,$E$4:$CZ$32,28,FALSE)*'Incremental Repayments'!$I$22)),0),0)</f>
        <v>0</v>
      </c>
      <c r="BU99" s="783">
        <f>IF('Incremental Repayments'!$R$22="Debt",IF(AND(BU$4&gt;=$D99,BU$4&lt;$D99+'Incremental Repayments'!$I$31),-PMT('Interest Rate'!$J$16,'Incremental Repayments'!$I$31,(HLOOKUP($D99,$E$4:$CZ$32,28,FALSE)*'Incremental Repayments'!$I$22)),0),0)</f>
        <v>0</v>
      </c>
      <c r="BV99" s="783">
        <f>IF('Incremental Repayments'!$R$22="Debt",IF(AND(BV$4&gt;=$D99,BV$4&lt;$D99+'Incremental Repayments'!$I$31),-PMT('Interest Rate'!$J$16,'Incremental Repayments'!$I$31,(HLOOKUP($D99,$E$4:$CZ$32,28,FALSE)*'Incremental Repayments'!$I$22)),0),0)</f>
        <v>0</v>
      </c>
      <c r="BW99" s="783">
        <f>IF('Incremental Repayments'!$R$22="Debt",IF(AND(BW$4&gt;=$D99,BW$4&lt;$D99+'Incremental Repayments'!$I$31),-PMT('Interest Rate'!$J$16,'Incremental Repayments'!$I$31,(HLOOKUP($D99,$E$4:$CZ$32,28,FALSE)*'Incremental Repayments'!$I$22)),0),0)</f>
        <v>0</v>
      </c>
      <c r="BX99" s="783">
        <f>IF('Incremental Repayments'!$R$22="Debt",IF(AND(BX$4&gt;=$D99,BX$4&lt;$D99+'Incremental Repayments'!$I$31),-PMT('Interest Rate'!$J$16,'Incremental Repayments'!$I$31,(HLOOKUP($D99,$E$4:$CZ$32,28,FALSE)*'Incremental Repayments'!$I$22)),0),0)</f>
        <v>0</v>
      </c>
      <c r="BY99" s="783">
        <f>IF('Incremental Repayments'!$R$22="Debt",IF(AND(BY$4&gt;=$D99,BY$4&lt;$D99+'Incremental Repayments'!$I$31),-PMT('Interest Rate'!$J$16,'Incremental Repayments'!$I$31,(HLOOKUP($D99,$E$4:$CZ$32,28,FALSE)*'Incremental Repayments'!$I$22)),0),0)</f>
        <v>0</v>
      </c>
      <c r="BZ99" s="783">
        <f>IF('Incremental Repayments'!$R$22="Debt",IF(AND(BZ$4&gt;=$D99,BZ$4&lt;$D99+'Incremental Repayments'!$I$31),-PMT('Interest Rate'!$J$16,'Incremental Repayments'!$I$31,(HLOOKUP($D99,$E$4:$CZ$32,28,FALSE)*'Incremental Repayments'!$I$22)),0),0)</f>
        <v>0</v>
      </c>
      <c r="CA99" s="783">
        <f>IF('Incremental Repayments'!$R$22="Debt",IF(AND(CA$4&gt;=$D99,CA$4&lt;$D99+'Incremental Repayments'!$I$31),-PMT('Interest Rate'!$J$16,'Incremental Repayments'!$I$31,(HLOOKUP($D99,$E$4:$CZ$32,28,FALSE)*'Incremental Repayments'!$I$22)),0),0)</f>
        <v>0</v>
      </c>
      <c r="CB99" s="783">
        <f>IF('Incremental Repayments'!$R$22="Debt",IF(AND(CB$4&gt;=$D99,CB$4&lt;$D99+'Incremental Repayments'!$I$31),-PMT('Interest Rate'!$J$16,'Incremental Repayments'!$I$31,(HLOOKUP($D99,$E$4:$CZ$32,28,FALSE)*'Incremental Repayments'!$I$22)),0),0)</f>
        <v>0</v>
      </c>
      <c r="CC99" s="783">
        <f>IF('Incremental Repayments'!$R$22="Debt",IF(AND(CC$4&gt;=$D99,CC$4&lt;$D99+'Incremental Repayments'!$I$31),-PMT('Interest Rate'!$J$16,'Incremental Repayments'!$I$31,(HLOOKUP($D99,$E$4:$CZ$32,28,FALSE)*'Incremental Repayments'!$I$22)),0),0)</f>
        <v>0</v>
      </c>
      <c r="CD99" s="783">
        <f>IF('Incremental Repayments'!$R$22="Debt",IF(AND(CD$4&gt;=$D99,CD$4&lt;$D99+'Incremental Repayments'!$I$31),-PMT('Interest Rate'!$J$16,'Incremental Repayments'!$I$31,(HLOOKUP($D99,$E$4:$CZ$32,28,FALSE)*'Incremental Repayments'!$I$22)),0),0)</f>
        <v>0</v>
      </c>
      <c r="CE99" s="783">
        <f>IF('Incremental Repayments'!$R$22="Debt",IF(AND(CE$4&gt;=$D99,CE$4&lt;$D99+'Incremental Repayments'!$I$31),-PMT('Interest Rate'!$J$16,'Incremental Repayments'!$I$31,(HLOOKUP($D99,$E$4:$CZ$32,28,FALSE)*'Incremental Repayments'!$I$22)),0),0)</f>
        <v>0</v>
      </c>
      <c r="CF99" s="783">
        <f>IF('Incremental Repayments'!$R$22="Debt",IF(AND(CF$4&gt;=$D99,CF$4&lt;$D99+'Incremental Repayments'!$I$31),-PMT('Interest Rate'!$J$16,'Incremental Repayments'!$I$31,(HLOOKUP($D99,$E$4:$CZ$32,28,FALSE)*'Incremental Repayments'!$I$22)),0),0)</f>
        <v>0</v>
      </c>
      <c r="CG99" s="783">
        <f>IF('Incremental Repayments'!$R$22="Debt",IF(AND(CG$4&gt;=$D99,CG$4&lt;$D99+'Incremental Repayments'!$I$31),-PMT('Interest Rate'!$J$16,'Incremental Repayments'!$I$31,(HLOOKUP($D99,$E$4:$CZ$32,28,FALSE)*'Incremental Repayments'!$I$22)),0),0)</f>
        <v>0</v>
      </c>
      <c r="CH99" s="783">
        <f>IF('Incremental Repayments'!$R$22="Debt",IF(AND(CH$4&gt;=$D99,CH$4&lt;$D99+'Incremental Repayments'!$I$31),-PMT('Interest Rate'!$J$16,'Incremental Repayments'!$I$31,(HLOOKUP($D99,$E$4:$CZ$32,28,FALSE)*'Incremental Repayments'!$I$22)),0),0)</f>
        <v>0</v>
      </c>
      <c r="CI99" s="783">
        <f>IF('Incremental Repayments'!$R$22="Debt",IF(AND(CI$4&gt;=$D99,CI$4&lt;$D99+'Incremental Repayments'!$I$31),-PMT('Interest Rate'!$J$16,'Incremental Repayments'!$I$31,(HLOOKUP($D99,$E$4:$CZ$32,28,FALSE)*'Incremental Repayments'!$I$22)),0),0)</f>
        <v>0</v>
      </c>
      <c r="CJ99" s="783">
        <f>IF('Incremental Repayments'!$R$22="Debt",IF(AND(CJ$4&gt;=$D99,CJ$4&lt;$D99+'Incremental Repayments'!$I$31),-PMT('Interest Rate'!$J$16,'Incremental Repayments'!$I$31,(HLOOKUP($D99,$E$4:$CZ$32,28,FALSE)*'Incremental Repayments'!$I$22)),0),0)</f>
        <v>0</v>
      </c>
      <c r="CK99" s="783">
        <f>IF('Incremental Repayments'!$R$22="Debt",IF(AND(CK$4&gt;=$D99,CK$4&lt;$D99+'Incremental Repayments'!$I$31),-PMT('Interest Rate'!$J$16,'Incremental Repayments'!$I$31,(HLOOKUP($D99,$E$4:$CZ$32,28,FALSE)*'Incremental Repayments'!$I$22)),0),0)</f>
        <v>0</v>
      </c>
      <c r="CL99" s="783">
        <f>IF('Incremental Repayments'!$R$22="Debt",IF(AND(CL$4&gt;=$D99,CL$4&lt;$D99+'Incremental Repayments'!$I$31),-PMT('Interest Rate'!$J$16,'Incremental Repayments'!$I$31,(HLOOKUP($D99,$E$4:$CZ$32,28,FALSE)*'Incremental Repayments'!$I$22)),0),0)</f>
        <v>0</v>
      </c>
      <c r="CM99" s="783">
        <f>IF('Incremental Repayments'!$R$22="Debt",IF(AND(CM$4&gt;=$D99,CM$4&lt;$D99+'Incremental Repayments'!$I$31),-PMT('Interest Rate'!$J$16,'Incremental Repayments'!$I$31,(HLOOKUP($D99,$E$4:$CZ$32,28,FALSE)*'Incremental Repayments'!$I$22)),0),0)</f>
        <v>0</v>
      </c>
      <c r="CN99" s="783">
        <f>IF('Incremental Repayments'!$R$22="Debt",IF(AND(CN$4&gt;=$D99,CN$4&lt;$D99+'Incremental Repayments'!$I$31),-PMT('Interest Rate'!$J$16,'Incremental Repayments'!$I$31,(HLOOKUP($D99,$E$4:$CZ$32,28,FALSE)*'Incremental Repayments'!$I$22)),0),0)</f>
        <v>0</v>
      </c>
      <c r="CO99" s="783">
        <f>IF('Incremental Repayments'!$R$22="Debt",IF(AND(CO$4&gt;=$D99,CO$4&lt;$D99+'Incremental Repayments'!$I$31),-PMT('Interest Rate'!$J$16,'Incremental Repayments'!$I$31,(HLOOKUP($D99,$E$4:$CZ$32,28,FALSE)*'Incremental Repayments'!$I$22)),0),0)</f>
        <v>0</v>
      </c>
      <c r="CP99" s="783">
        <f>IF('Incremental Repayments'!$R$22="Debt",IF(AND(CP$4&gt;=$D99,CP$4&lt;$D99+'Incremental Repayments'!$I$31),-PMT('Interest Rate'!$J$16,'Incremental Repayments'!$I$31,(HLOOKUP($D99,$E$4:$CZ$32,28,FALSE)*'Incremental Repayments'!$I$22)),0),0)</f>
        <v>0</v>
      </c>
      <c r="CQ99" s="783">
        <f>IF('Incremental Repayments'!$R$22="Debt",IF(AND(CQ$4&gt;=$D99,CQ$4&lt;$D99+'Incremental Repayments'!$I$31),-PMT('Interest Rate'!$J$16,'Incremental Repayments'!$I$31,(HLOOKUP($D99,$E$4:$CZ$32,28,FALSE)*'Incremental Repayments'!$I$22)),0),0)</f>
        <v>0</v>
      </c>
      <c r="CR99" s="783">
        <f>IF('Incremental Repayments'!$R$22="Debt",IF(AND(CR$4&gt;=$D99,CR$4&lt;$D99+'Incremental Repayments'!$I$31),-PMT('Interest Rate'!$J$16,'Incremental Repayments'!$I$31,(HLOOKUP($D99,$E$4:$CZ$32,28,FALSE)*'Incremental Repayments'!$I$22)),0),0)</f>
        <v>0</v>
      </c>
      <c r="CS99" s="783">
        <f>IF('Incremental Repayments'!$R$22="Debt",IF(AND(CS$4&gt;=$D99,CS$4&lt;$D99+'Incremental Repayments'!$I$31),-PMT('Interest Rate'!$J$16,'Incremental Repayments'!$I$31,(HLOOKUP($D99,$E$4:$CZ$32,28,FALSE)*'Incremental Repayments'!$I$22)),0),0)</f>
        <v>0</v>
      </c>
      <c r="CT99" s="783">
        <f>IF('Incremental Repayments'!$R$22="Debt",IF(AND(CT$4&gt;=$D99,CT$4&lt;$D99+'Incremental Repayments'!$I$31),-PMT('Interest Rate'!$J$16,'Incremental Repayments'!$I$31,(HLOOKUP($D99,$E$4:$CZ$32,28,FALSE)*'Incremental Repayments'!$I$22)),0),0)</f>
        <v>0</v>
      </c>
      <c r="CU99" s="783">
        <f>IF('Incremental Repayments'!$R$22="Debt",IF(AND(CU$4&gt;=$D99,CU$4&lt;$D99+'Incremental Repayments'!$I$31),-PMT('Interest Rate'!$J$16,'Incremental Repayments'!$I$31,(HLOOKUP($D99,$E$4:$CZ$32,28,FALSE)*'Incremental Repayments'!$I$22)),0),0)</f>
        <v>0</v>
      </c>
      <c r="CV99" s="783">
        <f>IF('Incremental Repayments'!$R$22="Debt",IF(AND(CV$4&gt;=$D99,CV$4&lt;$D99+'Incremental Repayments'!$I$31),-PMT('Interest Rate'!$J$16,'Incremental Repayments'!$I$31,(HLOOKUP($D99,$E$4:$CZ$32,28,FALSE)*'Incremental Repayments'!$I$22)),0),0)</f>
        <v>0</v>
      </c>
      <c r="CW99" s="783">
        <f>IF('Incremental Repayments'!$R$22="Debt",IF(AND(CW$4&gt;=$D99,CW$4&lt;$D99+'Incremental Repayments'!$I$31),-PMT('Interest Rate'!$J$16,'Incremental Repayments'!$I$31,(HLOOKUP($D99,$E$4:$CZ$32,28,FALSE)*'Incremental Repayments'!$I$22)),0),0)</f>
        <v>0</v>
      </c>
      <c r="CX99" s="783">
        <f>IF('Incremental Repayments'!$R$22="Debt",IF(AND(CX$4&gt;=$D99,CX$4&lt;$D99+'Incremental Repayments'!$I$31),-PMT('Interest Rate'!$J$16,'Incremental Repayments'!$I$31,(HLOOKUP($D99,$E$4:$CZ$32,28,FALSE)*'Incremental Repayments'!$I$22)),0),0)</f>
        <v>0</v>
      </c>
      <c r="CY99" s="783">
        <f>IF('Incremental Repayments'!$R$22="Debt",IF(AND(CY$4&gt;=$D99,CY$4&lt;$D99+'Incremental Repayments'!$I$31),-PMT('Interest Rate'!$J$16,'Incremental Repayments'!$I$31,(HLOOKUP($D99,$E$4:$CZ$32,28,FALSE)*'Incremental Repayments'!$I$22)),0),0)</f>
        <v>0</v>
      </c>
      <c r="CZ99" s="783">
        <f>IF('Incremental Repayments'!$R$22="Debt",IF(AND(CZ$4&gt;=$D99,CZ$4&lt;$D99+'Incremental Repayments'!$I$31),-PMT('Interest Rate'!$J$16,'Incremental Repayments'!$I$31,(HLOOKUP($D99,$E$4:$CZ$32,28,FALSE)*'Incremental Repayments'!$I$22)),0),0)</f>
        <v>0</v>
      </c>
    </row>
    <row r="100" spans="2:104" x14ac:dyDescent="0.25">
      <c r="B100" s="480" t="str">
        <f>CONCATENATE("Series ",D100,"A Bonds (at ",'Interest Rate'!$J$16*100,"% Interest)")</f>
        <v>Series 2078A Bonds (at 4.5% Interest)</v>
      </c>
      <c r="C100" s="480"/>
      <c r="D100" s="492">
        <f t="shared" si="47"/>
        <v>2078</v>
      </c>
      <c r="E100" s="783">
        <f>IF('Incremental Repayments'!$R$22="Debt",IF(AND(E$4&gt;=$D100,E$4&lt;$D100+'Incremental Repayments'!$I$31),-PMT('Interest Rate'!$J$16,'Incremental Repayments'!$I$31,(HLOOKUP($D100,$E$4:$CZ$32,28,FALSE)*'Incremental Repayments'!$I$22)),0),0)</f>
        <v>0</v>
      </c>
      <c r="F100" s="783">
        <f>IF('Incremental Repayments'!$R$22="Debt",IF(AND(F$4&gt;=$D100,F$4&lt;$D100+'Incremental Repayments'!$I$31),-PMT('Interest Rate'!$J$16,'Incremental Repayments'!$I$31,(HLOOKUP($D100,$E$4:$CZ$32,28,FALSE)*'Incremental Repayments'!$I$22)),0),0)</f>
        <v>0</v>
      </c>
      <c r="G100" s="783">
        <f>IF('Incremental Repayments'!$R$22="Debt",IF(AND(G$4&gt;=$D100,G$4&lt;$D100+'Incremental Repayments'!$I$31),-PMT('Interest Rate'!$J$16,'Incremental Repayments'!$I$31,(HLOOKUP($D100,$E$4:$CZ$32,28,FALSE)*'Incremental Repayments'!$I$22)),0),0)</f>
        <v>0</v>
      </c>
      <c r="H100" s="783">
        <f>IF('Incremental Repayments'!$R$22="Debt",IF(AND(H$4&gt;=$D100,H$4&lt;$D100+'Incremental Repayments'!$I$31),-PMT('Interest Rate'!$J$16,'Incremental Repayments'!$I$31,(HLOOKUP($D100,$E$4:$CZ$32,28,FALSE)*'Incremental Repayments'!$I$22)),0),0)</f>
        <v>0</v>
      </c>
      <c r="I100" s="783">
        <f>IF('Incremental Repayments'!$R$22="Debt",IF(AND(I$4&gt;=$D100,I$4&lt;$D100+'Incremental Repayments'!$I$31),-PMT('Interest Rate'!$J$16,'Incremental Repayments'!$I$31,(HLOOKUP($D100,$E$4:$CZ$32,28,FALSE)*'Incremental Repayments'!$I$22)),0),0)</f>
        <v>0</v>
      </c>
      <c r="J100" s="783">
        <f>IF('Incremental Repayments'!$R$22="Debt",IF(AND(J$4&gt;=$D100,J$4&lt;$D100+'Incremental Repayments'!$I$31),-PMT('Interest Rate'!$J$16,'Incremental Repayments'!$I$31,(HLOOKUP($D100,$E$4:$CZ$32,28,FALSE)*'Incremental Repayments'!$I$22)),0),0)</f>
        <v>0</v>
      </c>
      <c r="K100" s="783">
        <f>IF('Incremental Repayments'!$R$22="Debt",IF(AND(K$4&gt;=$D100,K$4&lt;$D100+'Incremental Repayments'!$I$31),-PMT('Interest Rate'!$J$16,'Incremental Repayments'!$I$31,(HLOOKUP($D100,$E$4:$CZ$32,28,FALSE)*'Incremental Repayments'!$I$22)),0),0)</f>
        <v>0</v>
      </c>
      <c r="L100" s="783">
        <f>IF('Incremental Repayments'!$R$22="Debt",IF(AND(L$4&gt;=$D100,L$4&lt;$D100+'Incremental Repayments'!$I$31),-PMT('Interest Rate'!$J$16,'Incremental Repayments'!$I$31,(HLOOKUP($D100,$E$4:$CZ$32,28,FALSE)*'Incremental Repayments'!$I$22)),0),0)</f>
        <v>0</v>
      </c>
      <c r="M100" s="783">
        <f>IF('Incremental Repayments'!$R$22="Debt",IF(AND(M$4&gt;=$D100,M$4&lt;$D100+'Incremental Repayments'!$I$31),-PMT('Interest Rate'!$J$16,'Incremental Repayments'!$I$31,(HLOOKUP($D100,$E$4:$CZ$32,28,FALSE)*'Incremental Repayments'!$I$22)),0),0)</f>
        <v>0</v>
      </c>
      <c r="N100" s="783">
        <f>IF('Incremental Repayments'!$R$22="Debt",IF(AND(N$4&gt;=$D100,N$4&lt;$D100+'Incremental Repayments'!$I$31),-PMT('Interest Rate'!$J$16,'Incremental Repayments'!$I$31,(HLOOKUP($D100,$E$4:$CZ$32,28,FALSE)*'Incremental Repayments'!$I$22)),0),0)</f>
        <v>0</v>
      </c>
      <c r="O100" s="783">
        <f>IF('Incremental Repayments'!$R$22="Debt",IF(AND(O$4&gt;=$D100,O$4&lt;$D100+'Incremental Repayments'!$I$31),-PMT('Interest Rate'!$J$16,'Incremental Repayments'!$I$31,(HLOOKUP($D100,$E$4:$CZ$32,28,FALSE)*'Incremental Repayments'!$I$22)),0),0)</f>
        <v>0</v>
      </c>
      <c r="P100" s="783">
        <f>IF('Incremental Repayments'!$R$22="Debt",IF(AND(P$4&gt;=$D100,P$4&lt;$D100+'Incremental Repayments'!$I$31),-PMT('Interest Rate'!$J$16,'Incremental Repayments'!$I$31,(HLOOKUP($D100,$E$4:$CZ$32,28,FALSE)*'Incremental Repayments'!$I$22)),0),0)</f>
        <v>0</v>
      </c>
      <c r="Q100" s="783">
        <f>IF('Incremental Repayments'!$R$22="Debt",IF(AND(Q$4&gt;=$D100,Q$4&lt;$D100+'Incremental Repayments'!$I$31),-PMT('Interest Rate'!$J$16,'Incremental Repayments'!$I$31,(HLOOKUP($D100,$E$4:$CZ$32,28,FALSE)*'Incremental Repayments'!$I$22)),0),0)</f>
        <v>0</v>
      </c>
      <c r="R100" s="783">
        <f>IF('Incremental Repayments'!$R$22="Debt",IF(AND(R$4&gt;=$D100,R$4&lt;$D100+'Incremental Repayments'!$I$31),-PMT('Interest Rate'!$J$16,'Incremental Repayments'!$I$31,(HLOOKUP($D100,$E$4:$CZ$32,28,FALSE)*'Incremental Repayments'!$I$22)),0),0)</f>
        <v>0</v>
      </c>
      <c r="S100" s="783">
        <f>IF('Incremental Repayments'!$R$22="Debt",IF(AND(S$4&gt;=$D100,S$4&lt;$D100+'Incremental Repayments'!$I$31),-PMT('Interest Rate'!$J$16,'Incremental Repayments'!$I$31,(HLOOKUP($D100,$E$4:$CZ$32,28,FALSE)*'Incremental Repayments'!$I$22)),0),0)</f>
        <v>0</v>
      </c>
      <c r="T100" s="783">
        <f>IF('Incremental Repayments'!$R$22="Debt",IF(AND(T$4&gt;=$D100,T$4&lt;$D100+'Incremental Repayments'!$I$31),-PMT('Interest Rate'!$J$16,'Incremental Repayments'!$I$31,(HLOOKUP($D100,$E$4:$CZ$32,28,FALSE)*'Incremental Repayments'!$I$22)),0),0)</f>
        <v>0</v>
      </c>
      <c r="U100" s="783">
        <f>IF('Incremental Repayments'!$R$22="Debt",IF(AND(U$4&gt;=$D100,U$4&lt;$D100+'Incremental Repayments'!$I$31),-PMT('Interest Rate'!$J$16,'Incremental Repayments'!$I$31,(HLOOKUP($D100,$E$4:$CZ$32,28,FALSE)*'Incremental Repayments'!$I$22)),0),0)</f>
        <v>0</v>
      </c>
      <c r="V100" s="783">
        <f>IF('Incremental Repayments'!$R$22="Debt",IF(AND(V$4&gt;=$D100,V$4&lt;$D100+'Incremental Repayments'!$I$31),-PMT('Interest Rate'!$J$16,'Incremental Repayments'!$I$31,(HLOOKUP($D100,$E$4:$CZ$32,28,FALSE)*'Incremental Repayments'!$I$22)),0),0)</f>
        <v>0</v>
      </c>
      <c r="W100" s="783">
        <f>IF('Incremental Repayments'!$R$22="Debt",IF(AND(W$4&gt;=$D100,W$4&lt;$D100+'Incremental Repayments'!$I$31),-PMT('Interest Rate'!$J$16,'Incremental Repayments'!$I$31,(HLOOKUP($D100,$E$4:$CZ$32,28,FALSE)*'Incremental Repayments'!$I$22)),0),0)</f>
        <v>0</v>
      </c>
      <c r="X100" s="783">
        <f>IF('Incremental Repayments'!$R$22="Debt",IF(AND(X$4&gt;=$D100,X$4&lt;$D100+'Incremental Repayments'!$I$31),-PMT('Interest Rate'!$J$16,'Incremental Repayments'!$I$31,(HLOOKUP($D100,$E$4:$CZ$32,28,FALSE)*'Incremental Repayments'!$I$22)),0),0)</f>
        <v>0</v>
      </c>
      <c r="Y100" s="783">
        <f>IF('Incremental Repayments'!$R$22="Debt",IF(AND(Y$4&gt;=$D100,Y$4&lt;$D100+'Incremental Repayments'!$I$31),-PMT('Interest Rate'!$J$16,'Incremental Repayments'!$I$31,(HLOOKUP($D100,$E$4:$CZ$32,28,FALSE)*'Incremental Repayments'!$I$22)),0),0)</f>
        <v>0</v>
      </c>
      <c r="Z100" s="783">
        <f>IF('Incremental Repayments'!$R$22="Debt",IF(AND(Z$4&gt;=$D100,Z$4&lt;$D100+'Incremental Repayments'!$I$31),-PMT('Interest Rate'!$J$16,'Incremental Repayments'!$I$31,(HLOOKUP($D100,$E$4:$CZ$32,28,FALSE)*'Incremental Repayments'!$I$22)),0),0)</f>
        <v>0</v>
      </c>
      <c r="AA100" s="783">
        <f>IF('Incremental Repayments'!$R$22="Debt",IF(AND(AA$4&gt;=$D100,AA$4&lt;$D100+'Incremental Repayments'!$I$31),-PMT('Interest Rate'!$J$16,'Incremental Repayments'!$I$31,(HLOOKUP($D100,$E$4:$CZ$32,28,FALSE)*'Incremental Repayments'!$I$22)),0),0)</f>
        <v>0</v>
      </c>
      <c r="AB100" s="783">
        <f>IF('Incremental Repayments'!$R$22="Debt",IF(AND(AB$4&gt;=$D100,AB$4&lt;$D100+'Incremental Repayments'!$I$31),-PMT('Interest Rate'!$J$16,'Incremental Repayments'!$I$31,(HLOOKUP($D100,$E$4:$CZ$32,28,FALSE)*'Incremental Repayments'!$I$22)),0),0)</f>
        <v>0</v>
      </c>
      <c r="AC100" s="783">
        <f>IF('Incremental Repayments'!$R$22="Debt",IF(AND(AC$4&gt;=$D100,AC$4&lt;$D100+'Incremental Repayments'!$I$31),-PMT('Interest Rate'!$J$16,'Incremental Repayments'!$I$31,(HLOOKUP($D100,$E$4:$CZ$32,28,FALSE)*'Incremental Repayments'!$I$22)),0),0)</f>
        <v>0</v>
      </c>
      <c r="AD100" s="783">
        <f>IF('Incremental Repayments'!$R$22="Debt",IF(AND(AD$4&gt;=$D100,AD$4&lt;$D100+'Incremental Repayments'!$I$31),-PMT('Interest Rate'!$J$16,'Incremental Repayments'!$I$31,(HLOOKUP($D100,$E$4:$CZ$32,28,FALSE)*'Incremental Repayments'!$I$22)),0),0)</f>
        <v>0</v>
      </c>
      <c r="AE100" s="783">
        <f>IF('Incremental Repayments'!$R$22="Debt",IF(AND(AE$4&gt;=$D100,AE$4&lt;$D100+'Incremental Repayments'!$I$31),-PMT('Interest Rate'!$J$16,'Incremental Repayments'!$I$31,(HLOOKUP($D100,$E$4:$CZ$32,28,FALSE)*'Incremental Repayments'!$I$22)),0),0)</f>
        <v>0</v>
      </c>
      <c r="AF100" s="783">
        <f>IF('Incremental Repayments'!$R$22="Debt",IF(AND(AF$4&gt;=$D100,AF$4&lt;$D100+'Incremental Repayments'!$I$31),-PMT('Interest Rate'!$J$16,'Incremental Repayments'!$I$31,(HLOOKUP($D100,$E$4:$CZ$32,28,FALSE)*'Incremental Repayments'!$I$22)),0),0)</f>
        <v>0</v>
      </c>
      <c r="AG100" s="783">
        <f>IF('Incremental Repayments'!$R$22="Debt",IF(AND(AG$4&gt;=$D100,AG$4&lt;$D100+'Incremental Repayments'!$I$31),-PMT('Interest Rate'!$J$16,'Incremental Repayments'!$I$31,(HLOOKUP($D100,$E$4:$CZ$32,28,FALSE)*'Incremental Repayments'!$I$22)),0),0)</f>
        <v>0</v>
      </c>
      <c r="AH100" s="783">
        <f>IF('Incremental Repayments'!$R$22="Debt",IF(AND(AH$4&gt;=$D100,AH$4&lt;$D100+'Incremental Repayments'!$I$31),-PMT('Interest Rate'!$J$16,'Incremental Repayments'!$I$31,(HLOOKUP($D100,$E$4:$CZ$32,28,FALSE)*'Incremental Repayments'!$I$22)),0),0)</f>
        <v>0</v>
      </c>
      <c r="AI100" s="783">
        <f>IF('Incremental Repayments'!$R$22="Debt",IF(AND(AI$4&gt;=$D100,AI$4&lt;$D100+'Incremental Repayments'!$I$31),-PMT('Interest Rate'!$J$16,'Incremental Repayments'!$I$31,(HLOOKUP($D100,$E$4:$CZ$32,28,FALSE)*'Incremental Repayments'!$I$22)),0),0)</f>
        <v>0</v>
      </c>
      <c r="AJ100" s="783">
        <f>IF('Incremental Repayments'!$R$22="Debt",IF(AND(AJ$4&gt;=$D100,AJ$4&lt;$D100+'Incremental Repayments'!$I$31),-PMT('Interest Rate'!$J$16,'Incremental Repayments'!$I$31,(HLOOKUP($D100,$E$4:$CZ$32,28,FALSE)*'Incremental Repayments'!$I$22)),0),0)</f>
        <v>0</v>
      </c>
      <c r="AK100" s="783">
        <f>IF('Incremental Repayments'!$R$22="Debt",IF(AND(AK$4&gt;=$D100,AK$4&lt;$D100+'Incremental Repayments'!$I$31),-PMT('Interest Rate'!$J$16,'Incremental Repayments'!$I$31,(HLOOKUP($D100,$E$4:$CZ$32,28,FALSE)*'Incremental Repayments'!$I$22)),0),0)</f>
        <v>0</v>
      </c>
      <c r="AL100" s="783">
        <f>IF('Incremental Repayments'!$R$22="Debt",IF(AND(AL$4&gt;=$D100,AL$4&lt;$D100+'Incremental Repayments'!$I$31),-PMT('Interest Rate'!$J$16,'Incremental Repayments'!$I$31,(HLOOKUP($D100,$E$4:$CZ$32,28,FALSE)*'Incremental Repayments'!$I$22)),0),0)</f>
        <v>0</v>
      </c>
      <c r="AM100" s="783">
        <f>IF('Incremental Repayments'!$R$22="Debt",IF(AND(AM$4&gt;=$D100,AM$4&lt;$D100+'Incremental Repayments'!$I$31),-PMT('Interest Rate'!$J$16,'Incremental Repayments'!$I$31,(HLOOKUP($D100,$E$4:$CZ$32,28,FALSE)*'Incremental Repayments'!$I$22)),0),0)</f>
        <v>0</v>
      </c>
      <c r="AN100" s="783">
        <f>IF('Incremental Repayments'!$R$22="Debt",IF(AND(AN$4&gt;=$D100,AN$4&lt;$D100+'Incremental Repayments'!$I$31),-PMT('Interest Rate'!$J$16,'Incremental Repayments'!$I$31,(HLOOKUP($D100,$E$4:$CZ$32,28,FALSE)*'Incremental Repayments'!$I$22)),0),0)</f>
        <v>0</v>
      </c>
      <c r="AO100" s="783">
        <f>IF('Incremental Repayments'!$R$22="Debt",IF(AND(AO$4&gt;=$D100,AO$4&lt;$D100+'Incremental Repayments'!$I$31),-PMT('Interest Rate'!$J$16,'Incremental Repayments'!$I$31,(HLOOKUP($D100,$E$4:$CZ$32,28,FALSE)*'Incremental Repayments'!$I$22)),0),0)</f>
        <v>0</v>
      </c>
      <c r="AP100" s="783">
        <f>IF('Incremental Repayments'!$R$22="Debt",IF(AND(AP$4&gt;=$D100,AP$4&lt;$D100+'Incremental Repayments'!$I$31),-PMT('Interest Rate'!$J$16,'Incremental Repayments'!$I$31,(HLOOKUP($D100,$E$4:$CZ$32,28,FALSE)*'Incremental Repayments'!$I$22)),0),0)</f>
        <v>0</v>
      </c>
      <c r="AQ100" s="783">
        <f>IF('Incremental Repayments'!$R$22="Debt",IF(AND(AQ$4&gt;=$D100,AQ$4&lt;$D100+'Incremental Repayments'!$I$31),-PMT('Interest Rate'!$J$16,'Incremental Repayments'!$I$31,(HLOOKUP($D100,$E$4:$CZ$32,28,FALSE)*'Incremental Repayments'!$I$22)),0),0)</f>
        <v>0</v>
      </c>
      <c r="AR100" s="783">
        <f>IF('Incremental Repayments'!$R$22="Debt",IF(AND(AR$4&gt;=$D100,AR$4&lt;$D100+'Incremental Repayments'!$I$31),-PMT('Interest Rate'!$J$16,'Incremental Repayments'!$I$31,(HLOOKUP($D100,$E$4:$CZ$32,28,FALSE)*'Incremental Repayments'!$I$22)),0),0)</f>
        <v>0</v>
      </c>
      <c r="AS100" s="783">
        <f>IF('Incremental Repayments'!$R$22="Debt",IF(AND(AS$4&gt;=$D100,AS$4&lt;$D100+'Incremental Repayments'!$I$31),-PMT('Interest Rate'!$J$16,'Incremental Repayments'!$I$31,(HLOOKUP($D100,$E$4:$CZ$32,28,FALSE)*'Incremental Repayments'!$I$22)),0),0)</f>
        <v>0</v>
      </c>
      <c r="AT100" s="783">
        <f>IF('Incremental Repayments'!$R$22="Debt",IF(AND(AT$4&gt;=$D100,AT$4&lt;$D100+'Incremental Repayments'!$I$31),-PMT('Interest Rate'!$J$16,'Incremental Repayments'!$I$31,(HLOOKUP($D100,$E$4:$CZ$32,28,FALSE)*'Incremental Repayments'!$I$22)),0),0)</f>
        <v>0</v>
      </c>
      <c r="AU100" s="783">
        <f>IF('Incremental Repayments'!$R$22="Debt",IF(AND(AU$4&gt;=$D100,AU$4&lt;$D100+'Incremental Repayments'!$I$31),-PMT('Interest Rate'!$J$16,'Incremental Repayments'!$I$31,(HLOOKUP($D100,$E$4:$CZ$32,28,FALSE)*'Incremental Repayments'!$I$22)),0),0)</f>
        <v>0</v>
      </c>
      <c r="AV100" s="783">
        <f>IF('Incremental Repayments'!$R$22="Debt",IF(AND(AV$4&gt;=$D100,AV$4&lt;$D100+'Incremental Repayments'!$I$31),-PMT('Interest Rate'!$J$16,'Incremental Repayments'!$I$31,(HLOOKUP($D100,$E$4:$CZ$32,28,FALSE)*'Incremental Repayments'!$I$22)),0),0)</f>
        <v>0</v>
      </c>
      <c r="AW100" s="783">
        <f>IF('Incremental Repayments'!$R$22="Debt",IF(AND(AW$4&gt;=$D100,AW$4&lt;$D100+'Incremental Repayments'!$I$31),-PMT('Interest Rate'!$J$16,'Incremental Repayments'!$I$31,(HLOOKUP($D100,$E$4:$CZ$32,28,FALSE)*'Incremental Repayments'!$I$22)),0),0)</f>
        <v>0</v>
      </c>
      <c r="AX100" s="783">
        <f>IF('Incremental Repayments'!$R$22="Debt",IF(AND(AX$4&gt;=$D100,AX$4&lt;$D100+'Incremental Repayments'!$I$31),-PMT('Interest Rate'!$J$16,'Incremental Repayments'!$I$31,(HLOOKUP($D100,$E$4:$CZ$32,28,FALSE)*'Incremental Repayments'!$I$22)),0),0)</f>
        <v>0</v>
      </c>
      <c r="AY100" s="783">
        <f>IF('Incremental Repayments'!$R$22="Debt",IF(AND(AY$4&gt;=$D100,AY$4&lt;$D100+'Incremental Repayments'!$I$31),-PMT('Interest Rate'!$J$16,'Incremental Repayments'!$I$31,(HLOOKUP($D100,$E$4:$CZ$32,28,FALSE)*'Incremental Repayments'!$I$22)),0),0)</f>
        <v>0</v>
      </c>
      <c r="AZ100" s="783">
        <f>IF('Incremental Repayments'!$R$22="Debt",IF(AND(AZ$4&gt;=$D100,AZ$4&lt;$D100+'Incremental Repayments'!$I$31),-PMT('Interest Rate'!$J$16,'Incremental Repayments'!$I$31,(HLOOKUP($D100,$E$4:$CZ$32,28,FALSE)*'Incremental Repayments'!$I$22)),0),0)</f>
        <v>0</v>
      </c>
      <c r="BA100" s="783">
        <f>IF('Incremental Repayments'!$R$22="Debt",IF(AND(BA$4&gt;=$D100,BA$4&lt;$D100+'Incremental Repayments'!$I$31),-PMT('Interest Rate'!$J$16,'Incremental Repayments'!$I$31,(HLOOKUP($D100,$E$4:$CZ$32,28,FALSE)*'Incremental Repayments'!$I$22)),0),0)</f>
        <v>0</v>
      </c>
      <c r="BB100" s="783">
        <f>IF('Incremental Repayments'!$R$22="Debt",IF(AND(BB$4&gt;=$D100,BB$4&lt;$D100+'Incremental Repayments'!$I$31),-PMT('Interest Rate'!$J$16,'Incremental Repayments'!$I$31,(HLOOKUP($D100,$E$4:$CZ$32,28,FALSE)*'Incremental Repayments'!$I$22)),0),0)</f>
        <v>0</v>
      </c>
      <c r="BC100" s="783">
        <f>IF('Incremental Repayments'!$R$22="Debt",IF(AND(BC$4&gt;=$D100,BC$4&lt;$D100+'Incremental Repayments'!$I$31),-PMT('Interest Rate'!$J$16,'Incremental Repayments'!$I$31,(HLOOKUP($D100,$E$4:$CZ$32,28,FALSE)*'Incremental Repayments'!$I$22)),0),0)</f>
        <v>0</v>
      </c>
      <c r="BD100" s="783">
        <f>IF('Incremental Repayments'!$R$22="Debt",IF(AND(BD$4&gt;=$D100,BD$4&lt;$D100+'Incremental Repayments'!$I$31),-PMT('Interest Rate'!$J$16,'Incremental Repayments'!$I$31,(HLOOKUP($D100,$E$4:$CZ$32,28,FALSE)*'Incremental Repayments'!$I$22)),0),0)</f>
        <v>0</v>
      </c>
      <c r="BE100" s="783">
        <f>IF('Incremental Repayments'!$R$22="Debt",IF(AND(BE$4&gt;=$D100,BE$4&lt;$D100+'Incremental Repayments'!$I$31),-PMT('Interest Rate'!$J$16,'Incremental Repayments'!$I$31,(HLOOKUP($D100,$E$4:$CZ$32,28,FALSE)*'Incremental Repayments'!$I$22)),0),0)</f>
        <v>0</v>
      </c>
      <c r="BF100" s="783">
        <f>IF('Incremental Repayments'!$R$22="Debt",IF(AND(BF$4&gt;=$D100,BF$4&lt;$D100+'Incremental Repayments'!$I$31),-PMT('Interest Rate'!$J$16,'Incremental Repayments'!$I$31,(HLOOKUP($D100,$E$4:$CZ$32,28,FALSE)*'Incremental Repayments'!$I$22)),0),0)</f>
        <v>0</v>
      </c>
      <c r="BG100" s="783">
        <f>IF('Incremental Repayments'!$R$22="Debt",IF(AND(BG$4&gt;=$D100,BG$4&lt;$D100+'Incremental Repayments'!$I$31),-PMT('Interest Rate'!$J$16,'Incremental Repayments'!$I$31,(HLOOKUP($D100,$E$4:$CZ$32,28,FALSE)*'Incremental Repayments'!$I$22)),0),0)</f>
        <v>0</v>
      </c>
      <c r="BH100" s="783">
        <f>IF('Incremental Repayments'!$R$22="Debt",IF(AND(BH$4&gt;=$D100,BH$4&lt;$D100+'Incremental Repayments'!$I$31),-PMT('Interest Rate'!$J$16,'Incremental Repayments'!$I$31,(HLOOKUP($D100,$E$4:$CZ$32,28,FALSE)*'Incremental Repayments'!$I$22)),0),0)</f>
        <v>0</v>
      </c>
      <c r="BI100" s="783">
        <f>IF('Incremental Repayments'!$R$22="Debt",IF(AND(BI$4&gt;=$D100,BI$4&lt;$D100+'Incremental Repayments'!$I$31),-PMT('Interest Rate'!$J$16,'Incremental Repayments'!$I$31,(HLOOKUP($D100,$E$4:$CZ$32,28,FALSE)*'Incremental Repayments'!$I$22)),0),0)</f>
        <v>0</v>
      </c>
      <c r="BJ100" s="783">
        <f>IF('Incremental Repayments'!$R$22="Debt",IF(AND(BJ$4&gt;=$D100,BJ$4&lt;$D100+'Incremental Repayments'!$I$31),-PMT('Interest Rate'!$J$16,'Incremental Repayments'!$I$31,(HLOOKUP($D100,$E$4:$CZ$32,28,FALSE)*'Incremental Repayments'!$I$22)),0),0)</f>
        <v>0</v>
      </c>
      <c r="BK100" s="783">
        <f>IF('Incremental Repayments'!$R$22="Debt",IF(AND(BK$4&gt;=$D100,BK$4&lt;$D100+'Incremental Repayments'!$I$31),-PMT('Interest Rate'!$J$16,'Incremental Repayments'!$I$31,(HLOOKUP($D100,$E$4:$CZ$32,28,FALSE)*'Incremental Repayments'!$I$22)),0),0)</f>
        <v>0</v>
      </c>
      <c r="BL100" s="783">
        <f>IF('Incremental Repayments'!$R$22="Debt",IF(AND(BL$4&gt;=$D100,BL$4&lt;$D100+'Incremental Repayments'!$I$31),-PMT('Interest Rate'!$J$16,'Incremental Repayments'!$I$31,(HLOOKUP($D100,$E$4:$CZ$32,28,FALSE)*'Incremental Repayments'!$I$22)),0),0)</f>
        <v>0</v>
      </c>
      <c r="BM100" s="783">
        <f>IF('Incremental Repayments'!$R$22="Debt",IF(AND(BM$4&gt;=$D100,BM$4&lt;$D100+'Incremental Repayments'!$I$31),-PMT('Interest Rate'!$J$16,'Incremental Repayments'!$I$31,(HLOOKUP($D100,$E$4:$CZ$32,28,FALSE)*'Incremental Repayments'!$I$22)),0),0)</f>
        <v>0</v>
      </c>
      <c r="BN100" s="783">
        <f>IF('Incremental Repayments'!$R$22="Debt",IF(AND(BN$4&gt;=$D100,BN$4&lt;$D100+'Incremental Repayments'!$I$31),-PMT('Interest Rate'!$J$16,'Incremental Repayments'!$I$31,(HLOOKUP($D100,$E$4:$CZ$32,28,FALSE)*'Incremental Repayments'!$I$22)),0),0)</f>
        <v>0</v>
      </c>
      <c r="BO100" s="783">
        <f>IF('Incremental Repayments'!$R$22="Debt",IF(AND(BO$4&gt;=$D100,BO$4&lt;$D100+'Incremental Repayments'!$I$31),-PMT('Interest Rate'!$J$16,'Incremental Repayments'!$I$31,(HLOOKUP($D100,$E$4:$CZ$32,28,FALSE)*'Incremental Repayments'!$I$22)),0),0)</f>
        <v>0</v>
      </c>
      <c r="BP100" s="783">
        <f>IF('Incremental Repayments'!$R$22="Debt",IF(AND(BP$4&gt;=$D100,BP$4&lt;$D100+'Incremental Repayments'!$I$31),-PMT('Interest Rate'!$J$16,'Incremental Repayments'!$I$31,(HLOOKUP($D100,$E$4:$CZ$32,28,FALSE)*'Incremental Repayments'!$I$22)),0),0)</f>
        <v>0</v>
      </c>
      <c r="BQ100" s="783">
        <f>IF('Incremental Repayments'!$R$22="Debt",IF(AND(BQ$4&gt;=$D100,BQ$4&lt;$D100+'Incremental Repayments'!$I$31),-PMT('Interest Rate'!$J$16,'Incremental Repayments'!$I$31,(HLOOKUP($D100,$E$4:$CZ$32,28,FALSE)*'Incremental Repayments'!$I$22)),0),0)</f>
        <v>0</v>
      </c>
      <c r="BR100" s="783">
        <f>IF('Incremental Repayments'!$R$22="Debt",IF(AND(BR$4&gt;=$D100,BR$4&lt;$D100+'Incremental Repayments'!$I$31),-PMT('Interest Rate'!$J$16,'Incremental Repayments'!$I$31,(HLOOKUP($D100,$E$4:$CZ$32,28,FALSE)*'Incremental Repayments'!$I$22)),0),0)</f>
        <v>0</v>
      </c>
      <c r="BS100" s="783">
        <f>IF('Incremental Repayments'!$R$22="Debt",IF(AND(BS$4&gt;=$D100,BS$4&lt;$D100+'Incremental Repayments'!$I$31),-PMT('Interest Rate'!$J$16,'Incremental Repayments'!$I$31,(HLOOKUP($D100,$E$4:$CZ$32,28,FALSE)*'Incremental Repayments'!$I$22)),0),0)</f>
        <v>0</v>
      </c>
      <c r="BT100" s="783">
        <f>IF('Incremental Repayments'!$R$22="Debt",IF(AND(BT$4&gt;=$D100,BT$4&lt;$D100+'Incremental Repayments'!$I$31),-PMT('Interest Rate'!$J$16,'Incremental Repayments'!$I$31,(HLOOKUP($D100,$E$4:$CZ$32,28,FALSE)*'Incremental Repayments'!$I$22)),0),0)</f>
        <v>0</v>
      </c>
      <c r="BU100" s="783">
        <f>IF('Incremental Repayments'!$R$22="Debt",IF(AND(BU$4&gt;=$D100,BU$4&lt;$D100+'Incremental Repayments'!$I$31),-PMT('Interest Rate'!$J$16,'Incremental Repayments'!$I$31,(HLOOKUP($D100,$E$4:$CZ$32,28,FALSE)*'Incremental Repayments'!$I$22)),0),0)</f>
        <v>0</v>
      </c>
      <c r="BV100" s="783">
        <f>IF('Incremental Repayments'!$R$22="Debt",IF(AND(BV$4&gt;=$D100,BV$4&lt;$D100+'Incremental Repayments'!$I$31),-PMT('Interest Rate'!$J$16,'Incremental Repayments'!$I$31,(HLOOKUP($D100,$E$4:$CZ$32,28,FALSE)*'Incremental Repayments'!$I$22)),0),0)</f>
        <v>0</v>
      </c>
      <c r="BW100" s="783">
        <f>IF('Incremental Repayments'!$R$22="Debt",IF(AND(BW$4&gt;=$D100,BW$4&lt;$D100+'Incremental Repayments'!$I$31),-PMT('Interest Rate'!$J$16,'Incremental Repayments'!$I$31,(HLOOKUP($D100,$E$4:$CZ$32,28,FALSE)*'Incremental Repayments'!$I$22)),0),0)</f>
        <v>0</v>
      </c>
      <c r="BX100" s="783">
        <f>IF('Incremental Repayments'!$R$22="Debt",IF(AND(BX$4&gt;=$D100,BX$4&lt;$D100+'Incremental Repayments'!$I$31),-PMT('Interest Rate'!$J$16,'Incremental Repayments'!$I$31,(HLOOKUP($D100,$E$4:$CZ$32,28,FALSE)*'Incremental Repayments'!$I$22)),0),0)</f>
        <v>0</v>
      </c>
      <c r="BY100" s="783">
        <f>IF('Incremental Repayments'!$R$22="Debt",IF(AND(BY$4&gt;=$D100,BY$4&lt;$D100+'Incremental Repayments'!$I$31),-PMT('Interest Rate'!$J$16,'Incremental Repayments'!$I$31,(HLOOKUP($D100,$E$4:$CZ$32,28,FALSE)*'Incremental Repayments'!$I$22)),0),0)</f>
        <v>0</v>
      </c>
      <c r="BZ100" s="783">
        <f>IF('Incremental Repayments'!$R$22="Debt",IF(AND(BZ$4&gt;=$D100,BZ$4&lt;$D100+'Incremental Repayments'!$I$31),-PMT('Interest Rate'!$J$16,'Incremental Repayments'!$I$31,(HLOOKUP($D100,$E$4:$CZ$32,28,FALSE)*'Incremental Repayments'!$I$22)),0),0)</f>
        <v>0</v>
      </c>
      <c r="CA100" s="783">
        <f>IF('Incremental Repayments'!$R$22="Debt",IF(AND(CA$4&gt;=$D100,CA$4&lt;$D100+'Incremental Repayments'!$I$31),-PMT('Interest Rate'!$J$16,'Incremental Repayments'!$I$31,(HLOOKUP($D100,$E$4:$CZ$32,28,FALSE)*'Incremental Repayments'!$I$22)),0),0)</f>
        <v>0</v>
      </c>
      <c r="CB100" s="783">
        <f>IF('Incremental Repayments'!$R$22="Debt",IF(AND(CB$4&gt;=$D100,CB$4&lt;$D100+'Incremental Repayments'!$I$31),-PMT('Interest Rate'!$J$16,'Incremental Repayments'!$I$31,(HLOOKUP($D100,$E$4:$CZ$32,28,FALSE)*'Incremental Repayments'!$I$22)),0),0)</f>
        <v>0</v>
      </c>
      <c r="CC100" s="783">
        <f>IF('Incremental Repayments'!$R$22="Debt",IF(AND(CC$4&gt;=$D100,CC$4&lt;$D100+'Incremental Repayments'!$I$31),-PMT('Interest Rate'!$J$16,'Incremental Repayments'!$I$31,(HLOOKUP($D100,$E$4:$CZ$32,28,FALSE)*'Incremental Repayments'!$I$22)),0),0)</f>
        <v>0</v>
      </c>
      <c r="CD100" s="783">
        <f>IF('Incremental Repayments'!$R$22="Debt",IF(AND(CD$4&gt;=$D100,CD$4&lt;$D100+'Incremental Repayments'!$I$31),-PMT('Interest Rate'!$J$16,'Incremental Repayments'!$I$31,(HLOOKUP($D100,$E$4:$CZ$32,28,FALSE)*'Incremental Repayments'!$I$22)),0),0)</f>
        <v>0</v>
      </c>
      <c r="CE100" s="783">
        <f>IF('Incremental Repayments'!$R$22="Debt",IF(AND(CE$4&gt;=$D100,CE$4&lt;$D100+'Incremental Repayments'!$I$31),-PMT('Interest Rate'!$J$16,'Incremental Repayments'!$I$31,(HLOOKUP($D100,$E$4:$CZ$32,28,FALSE)*'Incremental Repayments'!$I$22)),0),0)</f>
        <v>0</v>
      </c>
      <c r="CF100" s="783">
        <f>IF('Incremental Repayments'!$R$22="Debt",IF(AND(CF$4&gt;=$D100,CF$4&lt;$D100+'Incremental Repayments'!$I$31),-PMT('Interest Rate'!$J$16,'Incremental Repayments'!$I$31,(HLOOKUP($D100,$E$4:$CZ$32,28,FALSE)*'Incremental Repayments'!$I$22)),0),0)</f>
        <v>0</v>
      </c>
      <c r="CG100" s="783">
        <f>IF('Incremental Repayments'!$R$22="Debt",IF(AND(CG$4&gt;=$D100,CG$4&lt;$D100+'Incremental Repayments'!$I$31),-PMT('Interest Rate'!$J$16,'Incremental Repayments'!$I$31,(HLOOKUP($D100,$E$4:$CZ$32,28,FALSE)*'Incremental Repayments'!$I$22)),0),0)</f>
        <v>0</v>
      </c>
      <c r="CH100" s="783">
        <f>IF('Incremental Repayments'!$R$22="Debt",IF(AND(CH$4&gt;=$D100,CH$4&lt;$D100+'Incremental Repayments'!$I$31),-PMT('Interest Rate'!$J$16,'Incremental Repayments'!$I$31,(HLOOKUP($D100,$E$4:$CZ$32,28,FALSE)*'Incremental Repayments'!$I$22)),0),0)</f>
        <v>0</v>
      </c>
      <c r="CI100" s="783">
        <f>IF('Incremental Repayments'!$R$22="Debt",IF(AND(CI$4&gt;=$D100,CI$4&lt;$D100+'Incremental Repayments'!$I$31),-PMT('Interest Rate'!$J$16,'Incremental Repayments'!$I$31,(HLOOKUP($D100,$E$4:$CZ$32,28,FALSE)*'Incremental Repayments'!$I$22)),0),0)</f>
        <v>0</v>
      </c>
      <c r="CJ100" s="783">
        <f>IF('Incremental Repayments'!$R$22="Debt",IF(AND(CJ$4&gt;=$D100,CJ$4&lt;$D100+'Incremental Repayments'!$I$31),-PMT('Interest Rate'!$J$16,'Incremental Repayments'!$I$31,(HLOOKUP($D100,$E$4:$CZ$32,28,FALSE)*'Incremental Repayments'!$I$22)),0),0)</f>
        <v>0</v>
      </c>
      <c r="CK100" s="783">
        <f>IF('Incremental Repayments'!$R$22="Debt",IF(AND(CK$4&gt;=$D100,CK$4&lt;$D100+'Incremental Repayments'!$I$31),-PMT('Interest Rate'!$J$16,'Incremental Repayments'!$I$31,(HLOOKUP($D100,$E$4:$CZ$32,28,FALSE)*'Incremental Repayments'!$I$22)),0),0)</f>
        <v>0</v>
      </c>
      <c r="CL100" s="783">
        <f>IF('Incremental Repayments'!$R$22="Debt",IF(AND(CL$4&gt;=$D100,CL$4&lt;$D100+'Incremental Repayments'!$I$31),-PMT('Interest Rate'!$J$16,'Incremental Repayments'!$I$31,(HLOOKUP($D100,$E$4:$CZ$32,28,FALSE)*'Incremental Repayments'!$I$22)),0),0)</f>
        <v>0</v>
      </c>
      <c r="CM100" s="783">
        <f>IF('Incremental Repayments'!$R$22="Debt",IF(AND(CM$4&gt;=$D100,CM$4&lt;$D100+'Incremental Repayments'!$I$31),-PMT('Interest Rate'!$J$16,'Incremental Repayments'!$I$31,(HLOOKUP($D100,$E$4:$CZ$32,28,FALSE)*'Incremental Repayments'!$I$22)),0),0)</f>
        <v>0</v>
      </c>
      <c r="CN100" s="783">
        <f>IF('Incremental Repayments'!$R$22="Debt",IF(AND(CN$4&gt;=$D100,CN$4&lt;$D100+'Incremental Repayments'!$I$31),-PMT('Interest Rate'!$J$16,'Incremental Repayments'!$I$31,(HLOOKUP($D100,$E$4:$CZ$32,28,FALSE)*'Incremental Repayments'!$I$22)),0),0)</f>
        <v>0</v>
      </c>
      <c r="CO100" s="783">
        <f>IF('Incremental Repayments'!$R$22="Debt",IF(AND(CO$4&gt;=$D100,CO$4&lt;$D100+'Incremental Repayments'!$I$31),-PMT('Interest Rate'!$J$16,'Incremental Repayments'!$I$31,(HLOOKUP($D100,$E$4:$CZ$32,28,FALSE)*'Incremental Repayments'!$I$22)),0),0)</f>
        <v>0</v>
      </c>
      <c r="CP100" s="783">
        <f>IF('Incremental Repayments'!$R$22="Debt",IF(AND(CP$4&gt;=$D100,CP$4&lt;$D100+'Incremental Repayments'!$I$31),-PMT('Interest Rate'!$J$16,'Incremental Repayments'!$I$31,(HLOOKUP($D100,$E$4:$CZ$32,28,FALSE)*'Incremental Repayments'!$I$22)),0),0)</f>
        <v>0</v>
      </c>
      <c r="CQ100" s="783">
        <f>IF('Incremental Repayments'!$R$22="Debt",IF(AND(CQ$4&gt;=$D100,CQ$4&lt;$D100+'Incremental Repayments'!$I$31),-PMT('Interest Rate'!$J$16,'Incremental Repayments'!$I$31,(HLOOKUP($D100,$E$4:$CZ$32,28,FALSE)*'Incremental Repayments'!$I$22)),0),0)</f>
        <v>0</v>
      </c>
      <c r="CR100" s="783">
        <f>IF('Incremental Repayments'!$R$22="Debt",IF(AND(CR$4&gt;=$D100,CR$4&lt;$D100+'Incremental Repayments'!$I$31),-PMT('Interest Rate'!$J$16,'Incremental Repayments'!$I$31,(HLOOKUP($D100,$E$4:$CZ$32,28,FALSE)*'Incremental Repayments'!$I$22)),0),0)</f>
        <v>0</v>
      </c>
      <c r="CS100" s="783">
        <f>IF('Incremental Repayments'!$R$22="Debt",IF(AND(CS$4&gt;=$D100,CS$4&lt;$D100+'Incremental Repayments'!$I$31),-PMT('Interest Rate'!$J$16,'Incremental Repayments'!$I$31,(HLOOKUP($D100,$E$4:$CZ$32,28,FALSE)*'Incremental Repayments'!$I$22)),0),0)</f>
        <v>0</v>
      </c>
      <c r="CT100" s="783">
        <f>IF('Incremental Repayments'!$R$22="Debt",IF(AND(CT$4&gt;=$D100,CT$4&lt;$D100+'Incremental Repayments'!$I$31),-PMT('Interest Rate'!$J$16,'Incremental Repayments'!$I$31,(HLOOKUP($D100,$E$4:$CZ$32,28,FALSE)*'Incremental Repayments'!$I$22)),0),0)</f>
        <v>0</v>
      </c>
      <c r="CU100" s="783">
        <f>IF('Incremental Repayments'!$R$22="Debt",IF(AND(CU$4&gt;=$D100,CU$4&lt;$D100+'Incremental Repayments'!$I$31),-PMT('Interest Rate'!$J$16,'Incremental Repayments'!$I$31,(HLOOKUP($D100,$E$4:$CZ$32,28,FALSE)*'Incremental Repayments'!$I$22)),0),0)</f>
        <v>0</v>
      </c>
      <c r="CV100" s="783">
        <f>IF('Incremental Repayments'!$R$22="Debt",IF(AND(CV$4&gt;=$D100,CV$4&lt;$D100+'Incremental Repayments'!$I$31),-PMT('Interest Rate'!$J$16,'Incremental Repayments'!$I$31,(HLOOKUP($D100,$E$4:$CZ$32,28,FALSE)*'Incremental Repayments'!$I$22)),0),0)</f>
        <v>0</v>
      </c>
      <c r="CW100" s="783">
        <f>IF('Incremental Repayments'!$R$22="Debt",IF(AND(CW$4&gt;=$D100,CW$4&lt;$D100+'Incremental Repayments'!$I$31),-PMT('Interest Rate'!$J$16,'Incremental Repayments'!$I$31,(HLOOKUP($D100,$E$4:$CZ$32,28,FALSE)*'Incremental Repayments'!$I$22)),0),0)</f>
        <v>0</v>
      </c>
      <c r="CX100" s="783">
        <f>IF('Incremental Repayments'!$R$22="Debt",IF(AND(CX$4&gt;=$D100,CX$4&lt;$D100+'Incremental Repayments'!$I$31),-PMT('Interest Rate'!$J$16,'Incremental Repayments'!$I$31,(HLOOKUP($D100,$E$4:$CZ$32,28,FALSE)*'Incremental Repayments'!$I$22)),0),0)</f>
        <v>0</v>
      </c>
      <c r="CY100" s="783">
        <f>IF('Incremental Repayments'!$R$22="Debt",IF(AND(CY$4&gt;=$D100,CY$4&lt;$D100+'Incremental Repayments'!$I$31),-PMT('Interest Rate'!$J$16,'Incremental Repayments'!$I$31,(HLOOKUP($D100,$E$4:$CZ$32,28,FALSE)*'Incremental Repayments'!$I$22)),0),0)</f>
        <v>0</v>
      </c>
      <c r="CZ100" s="783">
        <f>IF('Incremental Repayments'!$R$22="Debt",IF(AND(CZ$4&gt;=$D100,CZ$4&lt;$D100+'Incremental Repayments'!$I$31),-PMT('Interest Rate'!$J$16,'Incremental Repayments'!$I$31,(HLOOKUP($D100,$E$4:$CZ$32,28,FALSE)*'Incremental Repayments'!$I$22)),0),0)</f>
        <v>0</v>
      </c>
    </row>
    <row r="101" spans="2:104" x14ac:dyDescent="0.25">
      <c r="B101" s="480" t="str">
        <f>CONCATENATE("Series ",D101,"A Bonds (at ",'Interest Rate'!$J$16*100,"% Interest)")</f>
        <v>Series 2079A Bonds (at 4.5% Interest)</v>
      </c>
      <c r="C101" s="480"/>
      <c r="D101" s="492">
        <f t="shared" si="47"/>
        <v>2079</v>
      </c>
      <c r="E101" s="783">
        <f>IF('Incremental Repayments'!$R$22="Debt",IF(AND(E$4&gt;=$D101,E$4&lt;$D101+'Incremental Repayments'!$I$31),-PMT('Interest Rate'!$J$16,'Incremental Repayments'!$I$31,(HLOOKUP($D101,$E$4:$CZ$32,28,FALSE)*'Incremental Repayments'!$I$22)),0),0)</f>
        <v>0</v>
      </c>
      <c r="F101" s="783">
        <f>IF('Incremental Repayments'!$R$22="Debt",IF(AND(F$4&gt;=$D101,F$4&lt;$D101+'Incremental Repayments'!$I$31),-PMT('Interest Rate'!$J$16,'Incremental Repayments'!$I$31,(HLOOKUP($D101,$E$4:$CZ$32,28,FALSE)*'Incremental Repayments'!$I$22)),0),0)</f>
        <v>0</v>
      </c>
      <c r="G101" s="783">
        <f>IF('Incremental Repayments'!$R$22="Debt",IF(AND(G$4&gt;=$D101,G$4&lt;$D101+'Incremental Repayments'!$I$31),-PMT('Interest Rate'!$J$16,'Incremental Repayments'!$I$31,(HLOOKUP($D101,$E$4:$CZ$32,28,FALSE)*'Incremental Repayments'!$I$22)),0),0)</f>
        <v>0</v>
      </c>
      <c r="H101" s="783">
        <f>IF('Incremental Repayments'!$R$22="Debt",IF(AND(H$4&gt;=$D101,H$4&lt;$D101+'Incremental Repayments'!$I$31),-PMT('Interest Rate'!$J$16,'Incremental Repayments'!$I$31,(HLOOKUP($D101,$E$4:$CZ$32,28,FALSE)*'Incremental Repayments'!$I$22)),0),0)</f>
        <v>0</v>
      </c>
      <c r="I101" s="783">
        <f>IF('Incremental Repayments'!$R$22="Debt",IF(AND(I$4&gt;=$D101,I$4&lt;$D101+'Incremental Repayments'!$I$31),-PMT('Interest Rate'!$J$16,'Incremental Repayments'!$I$31,(HLOOKUP($D101,$E$4:$CZ$32,28,FALSE)*'Incremental Repayments'!$I$22)),0),0)</f>
        <v>0</v>
      </c>
      <c r="J101" s="783">
        <f>IF('Incremental Repayments'!$R$22="Debt",IF(AND(J$4&gt;=$D101,J$4&lt;$D101+'Incremental Repayments'!$I$31),-PMT('Interest Rate'!$J$16,'Incremental Repayments'!$I$31,(HLOOKUP($D101,$E$4:$CZ$32,28,FALSE)*'Incremental Repayments'!$I$22)),0),0)</f>
        <v>0</v>
      </c>
      <c r="K101" s="783">
        <f>IF('Incremental Repayments'!$R$22="Debt",IF(AND(K$4&gt;=$D101,K$4&lt;$D101+'Incremental Repayments'!$I$31),-PMT('Interest Rate'!$J$16,'Incremental Repayments'!$I$31,(HLOOKUP($D101,$E$4:$CZ$32,28,FALSE)*'Incremental Repayments'!$I$22)),0),0)</f>
        <v>0</v>
      </c>
      <c r="L101" s="783">
        <f>IF('Incremental Repayments'!$R$22="Debt",IF(AND(L$4&gt;=$D101,L$4&lt;$D101+'Incremental Repayments'!$I$31),-PMT('Interest Rate'!$J$16,'Incremental Repayments'!$I$31,(HLOOKUP($D101,$E$4:$CZ$32,28,FALSE)*'Incremental Repayments'!$I$22)),0),0)</f>
        <v>0</v>
      </c>
      <c r="M101" s="783">
        <f>IF('Incremental Repayments'!$R$22="Debt",IF(AND(M$4&gt;=$D101,M$4&lt;$D101+'Incremental Repayments'!$I$31),-PMT('Interest Rate'!$J$16,'Incremental Repayments'!$I$31,(HLOOKUP($D101,$E$4:$CZ$32,28,FALSE)*'Incremental Repayments'!$I$22)),0),0)</f>
        <v>0</v>
      </c>
      <c r="N101" s="783">
        <f>IF('Incremental Repayments'!$R$22="Debt",IF(AND(N$4&gt;=$D101,N$4&lt;$D101+'Incremental Repayments'!$I$31),-PMT('Interest Rate'!$J$16,'Incremental Repayments'!$I$31,(HLOOKUP($D101,$E$4:$CZ$32,28,FALSE)*'Incremental Repayments'!$I$22)),0),0)</f>
        <v>0</v>
      </c>
      <c r="O101" s="783">
        <f>IF('Incremental Repayments'!$R$22="Debt",IF(AND(O$4&gt;=$D101,O$4&lt;$D101+'Incremental Repayments'!$I$31),-PMT('Interest Rate'!$J$16,'Incremental Repayments'!$I$31,(HLOOKUP($D101,$E$4:$CZ$32,28,FALSE)*'Incremental Repayments'!$I$22)),0),0)</f>
        <v>0</v>
      </c>
      <c r="P101" s="783">
        <f>IF('Incremental Repayments'!$R$22="Debt",IF(AND(P$4&gt;=$D101,P$4&lt;$D101+'Incremental Repayments'!$I$31),-PMT('Interest Rate'!$J$16,'Incremental Repayments'!$I$31,(HLOOKUP($D101,$E$4:$CZ$32,28,FALSE)*'Incremental Repayments'!$I$22)),0),0)</f>
        <v>0</v>
      </c>
      <c r="Q101" s="783">
        <f>IF('Incremental Repayments'!$R$22="Debt",IF(AND(Q$4&gt;=$D101,Q$4&lt;$D101+'Incremental Repayments'!$I$31),-PMT('Interest Rate'!$J$16,'Incremental Repayments'!$I$31,(HLOOKUP($D101,$E$4:$CZ$32,28,FALSE)*'Incremental Repayments'!$I$22)),0),0)</f>
        <v>0</v>
      </c>
      <c r="R101" s="783">
        <f>IF('Incremental Repayments'!$R$22="Debt",IF(AND(R$4&gt;=$D101,R$4&lt;$D101+'Incremental Repayments'!$I$31),-PMT('Interest Rate'!$J$16,'Incremental Repayments'!$I$31,(HLOOKUP($D101,$E$4:$CZ$32,28,FALSE)*'Incremental Repayments'!$I$22)),0),0)</f>
        <v>0</v>
      </c>
      <c r="S101" s="783">
        <f>IF('Incremental Repayments'!$R$22="Debt",IF(AND(S$4&gt;=$D101,S$4&lt;$D101+'Incremental Repayments'!$I$31),-PMT('Interest Rate'!$J$16,'Incremental Repayments'!$I$31,(HLOOKUP($D101,$E$4:$CZ$32,28,FALSE)*'Incremental Repayments'!$I$22)),0),0)</f>
        <v>0</v>
      </c>
      <c r="T101" s="783">
        <f>IF('Incremental Repayments'!$R$22="Debt",IF(AND(T$4&gt;=$D101,T$4&lt;$D101+'Incremental Repayments'!$I$31),-PMT('Interest Rate'!$J$16,'Incremental Repayments'!$I$31,(HLOOKUP($D101,$E$4:$CZ$32,28,FALSE)*'Incremental Repayments'!$I$22)),0),0)</f>
        <v>0</v>
      </c>
      <c r="U101" s="783">
        <f>IF('Incremental Repayments'!$R$22="Debt",IF(AND(U$4&gt;=$D101,U$4&lt;$D101+'Incremental Repayments'!$I$31),-PMT('Interest Rate'!$J$16,'Incremental Repayments'!$I$31,(HLOOKUP($D101,$E$4:$CZ$32,28,FALSE)*'Incremental Repayments'!$I$22)),0),0)</f>
        <v>0</v>
      </c>
      <c r="V101" s="783">
        <f>IF('Incremental Repayments'!$R$22="Debt",IF(AND(V$4&gt;=$D101,V$4&lt;$D101+'Incremental Repayments'!$I$31),-PMT('Interest Rate'!$J$16,'Incremental Repayments'!$I$31,(HLOOKUP($D101,$E$4:$CZ$32,28,FALSE)*'Incremental Repayments'!$I$22)),0),0)</f>
        <v>0</v>
      </c>
      <c r="W101" s="783">
        <f>IF('Incremental Repayments'!$R$22="Debt",IF(AND(W$4&gt;=$D101,W$4&lt;$D101+'Incremental Repayments'!$I$31),-PMT('Interest Rate'!$J$16,'Incremental Repayments'!$I$31,(HLOOKUP($D101,$E$4:$CZ$32,28,FALSE)*'Incremental Repayments'!$I$22)),0),0)</f>
        <v>0</v>
      </c>
      <c r="X101" s="783">
        <f>IF('Incremental Repayments'!$R$22="Debt",IF(AND(X$4&gt;=$D101,X$4&lt;$D101+'Incremental Repayments'!$I$31),-PMT('Interest Rate'!$J$16,'Incremental Repayments'!$I$31,(HLOOKUP($D101,$E$4:$CZ$32,28,FALSE)*'Incremental Repayments'!$I$22)),0),0)</f>
        <v>0</v>
      </c>
      <c r="Y101" s="783">
        <f>IF('Incremental Repayments'!$R$22="Debt",IF(AND(Y$4&gt;=$D101,Y$4&lt;$D101+'Incremental Repayments'!$I$31),-PMT('Interest Rate'!$J$16,'Incremental Repayments'!$I$31,(HLOOKUP($D101,$E$4:$CZ$32,28,FALSE)*'Incremental Repayments'!$I$22)),0),0)</f>
        <v>0</v>
      </c>
      <c r="Z101" s="783">
        <f>IF('Incremental Repayments'!$R$22="Debt",IF(AND(Z$4&gt;=$D101,Z$4&lt;$D101+'Incremental Repayments'!$I$31),-PMT('Interest Rate'!$J$16,'Incremental Repayments'!$I$31,(HLOOKUP($D101,$E$4:$CZ$32,28,FALSE)*'Incremental Repayments'!$I$22)),0),0)</f>
        <v>0</v>
      </c>
      <c r="AA101" s="783">
        <f>IF('Incremental Repayments'!$R$22="Debt",IF(AND(AA$4&gt;=$D101,AA$4&lt;$D101+'Incremental Repayments'!$I$31),-PMT('Interest Rate'!$J$16,'Incremental Repayments'!$I$31,(HLOOKUP($D101,$E$4:$CZ$32,28,FALSE)*'Incremental Repayments'!$I$22)),0),0)</f>
        <v>0</v>
      </c>
      <c r="AB101" s="783">
        <f>IF('Incremental Repayments'!$R$22="Debt",IF(AND(AB$4&gt;=$D101,AB$4&lt;$D101+'Incremental Repayments'!$I$31),-PMT('Interest Rate'!$J$16,'Incremental Repayments'!$I$31,(HLOOKUP($D101,$E$4:$CZ$32,28,FALSE)*'Incremental Repayments'!$I$22)),0),0)</f>
        <v>0</v>
      </c>
      <c r="AC101" s="783">
        <f>IF('Incremental Repayments'!$R$22="Debt",IF(AND(AC$4&gt;=$D101,AC$4&lt;$D101+'Incremental Repayments'!$I$31),-PMT('Interest Rate'!$J$16,'Incremental Repayments'!$I$31,(HLOOKUP($D101,$E$4:$CZ$32,28,FALSE)*'Incremental Repayments'!$I$22)),0),0)</f>
        <v>0</v>
      </c>
      <c r="AD101" s="783">
        <f>IF('Incremental Repayments'!$R$22="Debt",IF(AND(AD$4&gt;=$D101,AD$4&lt;$D101+'Incremental Repayments'!$I$31),-PMT('Interest Rate'!$J$16,'Incremental Repayments'!$I$31,(HLOOKUP($D101,$E$4:$CZ$32,28,FALSE)*'Incremental Repayments'!$I$22)),0),0)</f>
        <v>0</v>
      </c>
      <c r="AE101" s="783">
        <f>IF('Incremental Repayments'!$R$22="Debt",IF(AND(AE$4&gt;=$D101,AE$4&lt;$D101+'Incremental Repayments'!$I$31),-PMT('Interest Rate'!$J$16,'Incremental Repayments'!$I$31,(HLOOKUP($D101,$E$4:$CZ$32,28,FALSE)*'Incremental Repayments'!$I$22)),0),0)</f>
        <v>0</v>
      </c>
      <c r="AF101" s="783">
        <f>IF('Incremental Repayments'!$R$22="Debt",IF(AND(AF$4&gt;=$D101,AF$4&lt;$D101+'Incremental Repayments'!$I$31),-PMT('Interest Rate'!$J$16,'Incremental Repayments'!$I$31,(HLOOKUP($D101,$E$4:$CZ$32,28,FALSE)*'Incremental Repayments'!$I$22)),0),0)</f>
        <v>0</v>
      </c>
      <c r="AG101" s="783">
        <f>IF('Incremental Repayments'!$R$22="Debt",IF(AND(AG$4&gt;=$D101,AG$4&lt;$D101+'Incremental Repayments'!$I$31),-PMT('Interest Rate'!$J$16,'Incremental Repayments'!$I$31,(HLOOKUP($D101,$E$4:$CZ$32,28,FALSE)*'Incremental Repayments'!$I$22)),0),0)</f>
        <v>0</v>
      </c>
      <c r="AH101" s="783">
        <f>IF('Incremental Repayments'!$R$22="Debt",IF(AND(AH$4&gt;=$D101,AH$4&lt;$D101+'Incremental Repayments'!$I$31),-PMT('Interest Rate'!$J$16,'Incremental Repayments'!$I$31,(HLOOKUP($D101,$E$4:$CZ$32,28,FALSE)*'Incremental Repayments'!$I$22)),0),0)</f>
        <v>0</v>
      </c>
      <c r="AI101" s="783">
        <f>IF('Incremental Repayments'!$R$22="Debt",IF(AND(AI$4&gt;=$D101,AI$4&lt;$D101+'Incremental Repayments'!$I$31),-PMT('Interest Rate'!$J$16,'Incremental Repayments'!$I$31,(HLOOKUP($D101,$E$4:$CZ$32,28,FALSE)*'Incremental Repayments'!$I$22)),0),0)</f>
        <v>0</v>
      </c>
      <c r="AJ101" s="783">
        <f>IF('Incremental Repayments'!$R$22="Debt",IF(AND(AJ$4&gt;=$D101,AJ$4&lt;$D101+'Incremental Repayments'!$I$31),-PMT('Interest Rate'!$J$16,'Incremental Repayments'!$I$31,(HLOOKUP($D101,$E$4:$CZ$32,28,FALSE)*'Incremental Repayments'!$I$22)),0),0)</f>
        <v>0</v>
      </c>
      <c r="AK101" s="783">
        <f>IF('Incremental Repayments'!$R$22="Debt",IF(AND(AK$4&gt;=$D101,AK$4&lt;$D101+'Incremental Repayments'!$I$31),-PMT('Interest Rate'!$J$16,'Incremental Repayments'!$I$31,(HLOOKUP($D101,$E$4:$CZ$32,28,FALSE)*'Incremental Repayments'!$I$22)),0),0)</f>
        <v>0</v>
      </c>
      <c r="AL101" s="783">
        <f>IF('Incremental Repayments'!$R$22="Debt",IF(AND(AL$4&gt;=$D101,AL$4&lt;$D101+'Incremental Repayments'!$I$31),-PMT('Interest Rate'!$J$16,'Incremental Repayments'!$I$31,(HLOOKUP($D101,$E$4:$CZ$32,28,FALSE)*'Incremental Repayments'!$I$22)),0),0)</f>
        <v>0</v>
      </c>
      <c r="AM101" s="783">
        <f>IF('Incremental Repayments'!$R$22="Debt",IF(AND(AM$4&gt;=$D101,AM$4&lt;$D101+'Incremental Repayments'!$I$31),-PMT('Interest Rate'!$J$16,'Incremental Repayments'!$I$31,(HLOOKUP($D101,$E$4:$CZ$32,28,FALSE)*'Incremental Repayments'!$I$22)),0),0)</f>
        <v>0</v>
      </c>
      <c r="AN101" s="783">
        <f>IF('Incremental Repayments'!$R$22="Debt",IF(AND(AN$4&gt;=$D101,AN$4&lt;$D101+'Incremental Repayments'!$I$31),-PMT('Interest Rate'!$J$16,'Incremental Repayments'!$I$31,(HLOOKUP($D101,$E$4:$CZ$32,28,FALSE)*'Incremental Repayments'!$I$22)),0),0)</f>
        <v>0</v>
      </c>
      <c r="AO101" s="783">
        <f>IF('Incremental Repayments'!$R$22="Debt",IF(AND(AO$4&gt;=$D101,AO$4&lt;$D101+'Incremental Repayments'!$I$31),-PMT('Interest Rate'!$J$16,'Incremental Repayments'!$I$31,(HLOOKUP($D101,$E$4:$CZ$32,28,FALSE)*'Incremental Repayments'!$I$22)),0),0)</f>
        <v>0</v>
      </c>
      <c r="AP101" s="783">
        <f>IF('Incremental Repayments'!$R$22="Debt",IF(AND(AP$4&gt;=$D101,AP$4&lt;$D101+'Incremental Repayments'!$I$31),-PMT('Interest Rate'!$J$16,'Incremental Repayments'!$I$31,(HLOOKUP($D101,$E$4:$CZ$32,28,FALSE)*'Incremental Repayments'!$I$22)),0),0)</f>
        <v>0</v>
      </c>
      <c r="AQ101" s="783">
        <f>IF('Incremental Repayments'!$R$22="Debt",IF(AND(AQ$4&gt;=$D101,AQ$4&lt;$D101+'Incremental Repayments'!$I$31),-PMT('Interest Rate'!$J$16,'Incremental Repayments'!$I$31,(HLOOKUP($D101,$E$4:$CZ$32,28,FALSE)*'Incremental Repayments'!$I$22)),0),0)</f>
        <v>0</v>
      </c>
      <c r="AR101" s="783">
        <f>IF('Incremental Repayments'!$R$22="Debt",IF(AND(AR$4&gt;=$D101,AR$4&lt;$D101+'Incremental Repayments'!$I$31),-PMT('Interest Rate'!$J$16,'Incremental Repayments'!$I$31,(HLOOKUP($D101,$E$4:$CZ$32,28,FALSE)*'Incremental Repayments'!$I$22)),0),0)</f>
        <v>0</v>
      </c>
      <c r="AS101" s="783">
        <f>IF('Incremental Repayments'!$R$22="Debt",IF(AND(AS$4&gt;=$D101,AS$4&lt;$D101+'Incremental Repayments'!$I$31),-PMT('Interest Rate'!$J$16,'Incremental Repayments'!$I$31,(HLOOKUP($D101,$E$4:$CZ$32,28,FALSE)*'Incremental Repayments'!$I$22)),0),0)</f>
        <v>0</v>
      </c>
      <c r="AT101" s="783">
        <f>IF('Incremental Repayments'!$R$22="Debt",IF(AND(AT$4&gt;=$D101,AT$4&lt;$D101+'Incremental Repayments'!$I$31),-PMT('Interest Rate'!$J$16,'Incremental Repayments'!$I$31,(HLOOKUP($D101,$E$4:$CZ$32,28,FALSE)*'Incremental Repayments'!$I$22)),0),0)</f>
        <v>0</v>
      </c>
      <c r="AU101" s="783">
        <f>IF('Incremental Repayments'!$R$22="Debt",IF(AND(AU$4&gt;=$D101,AU$4&lt;$D101+'Incremental Repayments'!$I$31),-PMT('Interest Rate'!$J$16,'Incremental Repayments'!$I$31,(HLOOKUP($D101,$E$4:$CZ$32,28,FALSE)*'Incremental Repayments'!$I$22)),0),0)</f>
        <v>0</v>
      </c>
      <c r="AV101" s="783">
        <f>IF('Incremental Repayments'!$R$22="Debt",IF(AND(AV$4&gt;=$D101,AV$4&lt;$D101+'Incremental Repayments'!$I$31),-PMT('Interest Rate'!$J$16,'Incremental Repayments'!$I$31,(HLOOKUP($D101,$E$4:$CZ$32,28,FALSE)*'Incremental Repayments'!$I$22)),0),0)</f>
        <v>0</v>
      </c>
      <c r="AW101" s="783">
        <f>IF('Incremental Repayments'!$R$22="Debt",IF(AND(AW$4&gt;=$D101,AW$4&lt;$D101+'Incremental Repayments'!$I$31),-PMT('Interest Rate'!$J$16,'Incremental Repayments'!$I$31,(HLOOKUP($D101,$E$4:$CZ$32,28,FALSE)*'Incremental Repayments'!$I$22)),0),0)</f>
        <v>0</v>
      </c>
      <c r="AX101" s="783">
        <f>IF('Incremental Repayments'!$R$22="Debt",IF(AND(AX$4&gt;=$D101,AX$4&lt;$D101+'Incremental Repayments'!$I$31),-PMT('Interest Rate'!$J$16,'Incremental Repayments'!$I$31,(HLOOKUP($D101,$E$4:$CZ$32,28,FALSE)*'Incremental Repayments'!$I$22)),0),0)</f>
        <v>0</v>
      </c>
      <c r="AY101" s="783">
        <f>IF('Incremental Repayments'!$R$22="Debt",IF(AND(AY$4&gt;=$D101,AY$4&lt;$D101+'Incremental Repayments'!$I$31),-PMT('Interest Rate'!$J$16,'Incremental Repayments'!$I$31,(HLOOKUP($D101,$E$4:$CZ$32,28,FALSE)*'Incremental Repayments'!$I$22)),0),0)</f>
        <v>0</v>
      </c>
      <c r="AZ101" s="783">
        <f>IF('Incremental Repayments'!$R$22="Debt",IF(AND(AZ$4&gt;=$D101,AZ$4&lt;$D101+'Incremental Repayments'!$I$31),-PMT('Interest Rate'!$J$16,'Incremental Repayments'!$I$31,(HLOOKUP($D101,$E$4:$CZ$32,28,FALSE)*'Incremental Repayments'!$I$22)),0),0)</f>
        <v>0</v>
      </c>
      <c r="BA101" s="783">
        <f>IF('Incremental Repayments'!$R$22="Debt",IF(AND(BA$4&gt;=$D101,BA$4&lt;$D101+'Incremental Repayments'!$I$31),-PMT('Interest Rate'!$J$16,'Incremental Repayments'!$I$31,(HLOOKUP($D101,$E$4:$CZ$32,28,FALSE)*'Incremental Repayments'!$I$22)),0),0)</f>
        <v>0</v>
      </c>
      <c r="BB101" s="783">
        <f>IF('Incremental Repayments'!$R$22="Debt",IF(AND(BB$4&gt;=$D101,BB$4&lt;$D101+'Incremental Repayments'!$I$31),-PMT('Interest Rate'!$J$16,'Incremental Repayments'!$I$31,(HLOOKUP($D101,$E$4:$CZ$32,28,FALSE)*'Incremental Repayments'!$I$22)),0),0)</f>
        <v>0</v>
      </c>
      <c r="BC101" s="783">
        <f>IF('Incremental Repayments'!$R$22="Debt",IF(AND(BC$4&gt;=$D101,BC$4&lt;$D101+'Incremental Repayments'!$I$31),-PMT('Interest Rate'!$J$16,'Incremental Repayments'!$I$31,(HLOOKUP($D101,$E$4:$CZ$32,28,FALSE)*'Incremental Repayments'!$I$22)),0),0)</f>
        <v>0</v>
      </c>
      <c r="BD101" s="783">
        <f>IF('Incremental Repayments'!$R$22="Debt",IF(AND(BD$4&gt;=$D101,BD$4&lt;$D101+'Incremental Repayments'!$I$31),-PMT('Interest Rate'!$J$16,'Incremental Repayments'!$I$31,(HLOOKUP($D101,$E$4:$CZ$32,28,FALSE)*'Incremental Repayments'!$I$22)),0),0)</f>
        <v>0</v>
      </c>
      <c r="BE101" s="783">
        <f>IF('Incremental Repayments'!$R$22="Debt",IF(AND(BE$4&gt;=$D101,BE$4&lt;$D101+'Incremental Repayments'!$I$31),-PMT('Interest Rate'!$J$16,'Incremental Repayments'!$I$31,(HLOOKUP($D101,$E$4:$CZ$32,28,FALSE)*'Incremental Repayments'!$I$22)),0),0)</f>
        <v>0</v>
      </c>
      <c r="BF101" s="783">
        <f>IF('Incremental Repayments'!$R$22="Debt",IF(AND(BF$4&gt;=$D101,BF$4&lt;$D101+'Incremental Repayments'!$I$31),-PMT('Interest Rate'!$J$16,'Incremental Repayments'!$I$31,(HLOOKUP($D101,$E$4:$CZ$32,28,FALSE)*'Incremental Repayments'!$I$22)),0),0)</f>
        <v>0</v>
      </c>
      <c r="BG101" s="783">
        <f>IF('Incremental Repayments'!$R$22="Debt",IF(AND(BG$4&gt;=$D101,BG$4&lt;$D101+'Incremental Repayments'!$I$31),-PMT('Interest Rate'!$J$16,'Incremental Repayments'!$I$31,(HLOOKUP($D101,$E$4:$CZ$32,28,FALSE)*'Incremental Repayments'!$I$22)),0),0)</f>
        <v>0</v>
      </c>
      <c r="BH101" s="783">
        <f>IF('Incremental Repayments'!$R$22="Debt",IF(AND(BH$4&gt;=$D101,BH$4&lt;$D101+'Incremental Repayments'!$I$31),-PMT('Interest Rate'!$J$16,'Incremental Repayments'!$I$31,(HLOOKUP($D101,$E$4:$CZ$32,28,FALSE)*'Incremental Repayments'!$I$22)),0),0)</f>
        <v>0</v>
      </c>
      <c r="BI101" s="783">
        <f>IF('Incremental Repayments'!$R$22="Debt",IF(AND(BI$4&gt;=$D101,BI$4&lt;$D101+'Incremental Repayments'!$I$31),-PMT('Interest Rate'!$J$16,'Incremental Repayments'!$I$31,(HLOOKUP($D101,$E$4:$CZ$32,28,FALSE)*'Incremental Repayments'!$I$22)),0),0)</f>
        <v>0</v>
      </c>
      <c r="BJ101" s="783">
        <f>IF('Incremental Repayments'!$R$22="Debt",IF(AND(BJ$4&gt;=$D101,BJ$4&lt;$D101+'Incremental Repayments'!$I$31),-PMT('Interest Rate'!$J$16,'Incremental Repayments'!$I$31,(HLOOKUP($D101,$E$4:$CZ$32,28,FALSE)*'Incremental Repayments'!$I$22)),0),0)</f>
        <v>0</v>
      </c>
      <c r="BK101" s="783">
        <f>IF('Incremental Repayments'!$R$22="Debt",IF(AND(BK$4&gt;=$D101,BK$4&lt;$D101+'Incremental Repayments'!$I$31),-PMT('Interest Rate'!$J$16,'Incremental Repayments'!$I$31,(HLOOKUP($D101,$E$4:$CZ$32,28,FALSE)*'Incremental Repayments'!$I$22)),0),0)</f>
        <v>0</v>
      </c>
      <c r="BL101" s="783">
        <f>IF('Incremental Repayments'!$R$22="Debt",IF(AND(BL$4&gt;=$D101,BL$4&lt;$D101+'Incremental Repayments'!$I$31),-PMT('Interest Rate'!$J$16,'Incremental Repayments'!$I$31,(HLOOKUP($D101,$E$4:$CZ$32,28,FALSE)*'Incremental Repayments'!$I$22)),0),0)</f>
        <v>0</v>
      </c>
      <c r="BM101" s="783">
        <f>IF('Incremental Repayments'!$R$22="Debt",IF(AND(BM$4&gt;=$D101,BM$4&lt;$D101+'Incremental Repayments'!$I$31),-PMT('Interest Rate'!$J$16,'Incremental Repayments'!$I$31,(HLOOKUP($D101,$E$4:$CZ$32,28,FALSE)*'Incremental Repayments'!$I$22)),0),0)</f>
        <v>0</v>
      </c>
      <c r="BN101" s="783">
        <f>IF('Incremental Repayments'!$R$22="Debt",IF(AND(BN$4&gt;=$D101,BN$4&lt;$D101+'Incremental Repayments'!$I$31),-PMT('Interest Rate'!$J$16,'Incremental Repayments'!$I$31,(HLOOKUP($D101,$E$4:$CZ$32,28,FALSE)*'Incremental Repayments'!$I$22)),0),0)</f>
        <v>0</v>
      </c>
      <c r="BO101" s="783">
        <f>IF('Incremental Repayments'!$R$22="Debt",IF(AND(BO$4&gt;=$D101,BO$4&lt;$D101+'Incremental Repayments'!$I$31),-PMT('Interest Rate'!$J$16,'Incremental Repayments'!$I$31,(HLOOKUP($D101,$E$4:$CZ$32,28,FALSE)*'Incremental Repayments'!$I$22)),0),0)</f>
        <v>0</v>
      </c>
      <c r="BP101" s="783">
        <f>IF('Incremental Repayments'!$R$22="Debt",IF(AND(BP$4&gt;=$D101,BP$4&lt;$D101+'Incremental Repayments'!$I$31),-PMT('Interest Rate'!$J$16,'Incremental Repayments'!$I$31,(HLOOKUP($D101,$E$4:$CZ$32,28,FALSE)*'Incremental Repayments'!$I$22)),0),0)</f>
        <v>0</v>
      </c>
      <c r="BQ101" s="783">
        <f>IF('Incremental Repayments'!$R$22="Debt",IF(AND(BQ$4&gt;=$D101,BQ$4&lt;$D101+'Incremental Repayments'!$I$31),-PMT('Interest Rate'!$J$16,'Incremental Repayments'!$I$31,(HLOOKUP($D101,$E$4:$CZ$32,28,FALSE)*'Incremental Repayments'!$I$22)),0),0)</f>
        <v>0</v>
      </c>
      <c r="BR101" s="783">
        <f>IF('Incremental Repayments'!$R$22="Debt",IF(AND(BR$4&gt;=$D101,BR$4&lt;$D101+'Incremental Repayments'!$I$31),-PMT('Interest Rate'!$J$16,'Incremental Repayments'!$I$31,(HLOOKUP($D101,$E$4:$CZ$32,28,FALSE)*'Incremental Repayments'!$I$22)),0),0)</f>
        <v>0</v>
      </c>
      <c r="BS101" s="783">
        <f>IF('Incremental Repayments'!$R$22="Debt",IF(AND(BS$4&gt;=$D101,BS$4&lt;$D101+'Incremental Repayments'!$I$31),-PMT('Interest Rate'!$J$16,'Incremental Repayments'!$I$31,(HLOOKUP($D101,$E$4:$CZ$32,28,FALSE)*'Incremental Repayments'!$I$22)),0),0)</f>
        <v>0</v>
      </c>
      <c r="BT101" s="783">
        <f>IF('Incremental Repayments'!$R$22="Debt",IF(AND(BT$4&gt;=$D101,BT$4&lt;$D101+'Incremental Repayments'!$I$31),-PMT('Interest Rate'!$J$16,'Incremental Repayments'!$I$31,(HLOOKUP($D101,$E$4:$CZ$32,28,FALSE)*'Incremental Repayments'!$I$22)),0),0)</f>
        <v>0</v>
      </c>
      <c r="BU101" s="783">
        <f>IF('Incremental Repayments'!$R$22="Debt",IF(AND(BU$4&gt;=$D101,BU$4&lt;$D101+'Incremental Repayments'!$I$31),-PMT('Interest Rate'!$J$16,'Incremental Repayments'!$I$31,(HLOOKUP($D101,$E$4:$CZ$32,28,FALSE)*'Incremental Repayments'!$I$22)),0),0)</f>
        <v>0</v>
      </c>
      <c r="BV101" s="783">
        <f>IF('Incremental Repayments'!$R$22="Debt",IF(AND(BV$4&gt;=$D101,BV$4&lt;$D101+'Incremental Repayments'!$I$31),-PMT('Interest Rate'!$J$16,'Incremental Repayments'!$I$31,(HLOOKUP($D101,$E$4:$CZ$32,28,FALSE)*'Incremental Repayments'!$I$22)),0),0)</f>
        <v>0</v>
      </c>
      <c r="BW101" s="783">
        <f>IF('Incremental Repayments'!$R$22="Debt",IF(AND(BW$4&gt;=$D101,BW$4&lt;$D101+'Incremental Repayments'!$I$31),-PMT('Interest Rate'!$J$16,'Incremental Repayments'!$I$31,(HLOOKUP($D101,$E$4:$CZ$32,28,FALSE)*'Incremental Repayments'!$I$22)),0),0)</f>
        <v>0</v>
      </c>
      <c r="BX101" s="783">
        <f>IF('Incremental Repayments'!$R$22="Debt",IF(AND(BX$4&gt;=$D101,BX$4&lt;$D101+'Incremental Repayments'!$I$31),-PMT('Interest Rate'!$J$16,'Incremental Repayments'!$I$31,(HLOOKUP($D101,$E$4:$CZ$32,28,FALSE)*'Incremental Repayments'!$I$22)),0),0)</f>
        <v>0</v>
      </c>
      <c r="BY101" s="783">
        <f>IF('Incremental Repayments'!$R$22="Debt",IF(AND(BY$4&gt;=$D101,BY$4&lt;$D101+'Incremental Repayments'!$I$31),-PMT('Interest Rate'!$J$16,'Incremental Repayments'!$I$31,(HLOOKUP($D101,$E$4:$CZ$32,28,FALSE)*'Incremental Repayments'!$I$22)),0),0)</f>
        <v>0</v>
      </c>
      <c r="BZ101" s="783">
        <f>IF('Incremental Repayments'!$R$22="Debt",IF(AND(BZ$4&gt;=$D101,BZ$4&lt;$D101+'Incremental Repayments'!$I$31),-PMT('Interest Rate'!$J$16,'Incremental Repayments'!$I$31,(HLOOKUP($D101,$E$4:$CZ$32,28,FALSE)*'Incremental Repayments'!$I$22)),0),0)</f>
        <v>0</v>
      </c>
      <c r="CA101" s="783">
        <f>IF('Incremental Repayments'!$R$22="Debt",IF(AND(CA$4&gt;=$D101,CA$4&lt;$D101+'Incremental Repayments'!$I$31),-PMT('Interest Rate'!$J$16,'Incremental Repayments'!$I$31,(HLOOKUP($D101,$E$4:$CZ$32,28,FALSE)*'Incremental Repayments'!$I$22)),0),0)</f>
        <v>0</v>
      </c>
      <c r="CB101" s="783">
        <f>IF('Incremental Repayments'!$R$22="Debt",IF(AND(CB$4&gt;=$D101,CB$4&lt;$D101+'Incremental Repayments'!$I$31),-PMT('Interest Rate'!$J$16,'Incremental Repayments'!$I$31,(HLOOKUP($D101,$E$4:$CZ$32,28,FALSE)*'Incremental Repayments'!$I$22)),0),0)</f>
        <v>0</v>
      </c>
      <c r="CC101" s="783">
        <f>IF('Incremental Repayments'!$R$22="Debt",IF(AND(CC$4&gt;=$D101,CC$4&lt;$D101+'Incremental Repayments'!$I$31),-PMT('Interest Rate'!$J$16,'Incremental Repayments'!$I$31,(HLOOKUP($D101,$E$4:$CZ$32,28,FALSE)*'Incremental Repayments'!$I$22)),0),0)</f>
        <v>0</v>
      </c>
      <c r="CD101" s="783">
        <f>IF('Incremental Repayments'!$R$22="Debt",IF(AND(CD$4&gt;=$D101,CD$4&lt;$D101+'Incremental Repayments'!$I$31),-PMT('Interest Rate'!$J$16,'Incremental Repayments'!$I$31,(HLOOKUP($D101,$E$4:$CZ$32,28,FALSE)*'Incremental Repayments'!$I$22)),0),0)</f>
        <v>0</v>
      </c>
      <c r="CE101" s="783">
        <f>IF('Incremental Repayments'!$R$22="Debt",IF(AND(CE$4&gt;=$D101,CE$4&lt;$D101+'Incremental Repayments'!$I$31),-PMT('Interest Rate'!$J$16,'Incremental Repayments'!$I$31,(HLOOKUP($D101,$E$4:$CZ$32,28,FALSE)*'Incremental Repayments'!$I$22)),0),0)</f>
        <v>0</v>
      </c>
      <c r="CF101" s="783">
        <f>IF('Incremental Repayments'!$R$22="Debt",IF(AND(CF$4&gt;=$D101,CF$4&lt;$D101+'Incremental Repayments'!$I$31),-PMT('Interest Rate'!$J$16,'Incremental Repayments'!$I$31,(HLOOKUP($D101,$E$4:$CZ$32,28,FALSE)*'Incremental Repayments'!$I$22)),0),0)</f>
        <v>0</v>
      </c>
      <c r="CG101" s="783">
        <f>IF('Incremental Repayments'!$R$22="Debt",IF(AND(CG$4&gt;=$D101,CG$4&lt;$D101+'Incremental Repayments'!$I$31),-PMT('Interest Rate'!$J$16,'Incremental Repayments'!$I$31,(HLOOKUP($D101,$E$4:$CZ$32,28,FALSE)*'Incremental Repayments'!$I$22)),0),0)</f>
        <v>0</v>
      </c>
      <c r="CH101" s="783">
        <f>IF('Incremental Repayments'!$R$22="Debt",IF(AND(CH$4&gt;=$D101,CH$4&lt;$D101+'Incremental Repayments'!$I$31),-PMT('Interest Rate'!$J$16,'Incremental Repayments'!$I$31,(HLOOKUP($D101,$E$4:$CZ$32,28,FALSE)*'Incremental Repayments'!$I$22)),0),0)</f>
        <v>0</v>
      </c>
      <c r="CI101" s="783">
        <f>IF('Incremental Repayments'!$R$22="Debt",IF(AND(CI$4&gt;=$D101,CI$4&lt;$D101+'Incremental Repayments'!$I$31),-PMT('Interest Rate'!$J$16,'Incremental Repayments'!$I$31,(HLOOKUP($D101,$E$4:$CZ$32,28,FALSE)*'Incremental Repayments'!$I$22)),0),0)</f>
        <v>0</v>
      </c>
      <c r="CJ101" s="783">
        <f>IF('Incremental Repayments'!$R$22="Debt",IF(AND(CJ$4&gt;=$D101,CJ$4&lt;$D101+'Incremental Repayments'!$I$31),-PMT('Interest Rate'!$J$16,'Incremental Repayments'!$I$31,(HLOOKUP($D101,$E$4:$CZ$32,28,FALSE)*'Incremental Repayments'!$I$22)),0),0)</f>
        <v>0</v>
      </c>
      <c r="CK101" s="783">
        <f>IF('Incremental Repayments'!$R$22="Debt",IF(AND(CK$4&gt;=$D101,CK$4&lt;$D101+'Incremental Repayments'!$I$31),-PMT('Interest Rate'!$J$16,'Incremental Repayments'!$I$31,(HLOOKUP($D101,$E$4:$CZ$32,28,FALSE)*'Incremental Repayments'!$I$22)),0),0)</f>
        <v>0</v>
      </c>
      <c r="CL101" s="783">
        <f>IF('Incremental Repayments'!$R$22="Debt",IF(AND(CL$4&gt;=$D101,CL$4&lt;$D101+'Incremental Repayments'!$I$31),-PMT('Interest Rate'!$J$16,'Incremental Repayments'!$I$31,(HLOOKUP($D101,$E$4:$CZ$32,28,FALSE)*'Incremental Repayments'!$I$22)),0),0)</f>
        <v>0</v>
      </c>
      <c r="CM101" s="783">
        <f>IF('Incremental Repayments'!$R$22="Debt",IF(AND(CM$4&gt;=$D101,CM$4&lt;$D101+'Incremental Repayments'!$I$31),-PMT('Interest Rate'!$J$16,'Incremental Repayments'!$I$31,(HLOOKUP($D101,$E$4:$CZ$32,28,FALSE)*'Incremental Repayments'!$I$22)),0),0)</f>
        <v>0</v>
      </c>
      <c r="CN101" s="783">
        <f>IF('Incremental Repayments'!$R$22="Debt",IF(AND(CN$4&gt;=$D101,CN$4&lt;$D101+'Incremental Repayments'!$I$31),-PMT('Interest Rate'!$J$16,'Incremental Repayments'!$I$31,(HLOOKUP($D101,$E$4:$CZ$32,28,FALSE)*'Incremental Repayments'!$I$22)),0),0)</f>
        <v>0</v>
      </c>
      <c r="CO101" s="783">
        <f>IF('Incremental Repayments'!$R$22="Debt",IF(AND(CO$4&gt;=$D101,CO$4&lt;$D101+'Incremental Repayments'!$I$31),-PMT('Interest Rate'!$J$16,'Incremental Repayments'!$I$31,(HLOOKUP($D101,$E$4:$CZ$32,28,FALSE)*'Incremental Repayments'!$I$22)),0),0)</f>
        <v>0</v>
      </c>
      <c r="CP101" s="783">
        <f>IF('Incremental Repayments'!$R$22="Debt",IF(AND(CP$4&gt;=$D101,CP$4&lt;$D101+'Incremental Repayments'!$I$31),-PMT('Interest Rate'!$J$16,'Incremental Repayments'!$I$31,(HLOOKUP($D101,$E$4:$CZ$32,28,FALSE)*'Incremental Repayments'!$I$22)),0),0)</f>
        <v>0</v>
      </c>
      <c r="CQ101" s="783">
        <f>IF('Incremental Repayments'!$R$22="Debt",IF(AND(CQ$4&gt;=$D101,CQ$4&lt;$D101+'Incremental Repayments'!$I$31),-PMT('Interest Rate'!$J$16,'Incremental Repayments'!$I$31,(HLOOKUP($D101,$E$4:$CZ$32,28,FALSE)*'Incremental Repayments'!$I$22)),0),0)</f>
        <v>0</v>
      </c>
      <c r="CR101" s="783">
        <f>IF('Incremental Repayments'!$R$22="Debt",IF(AND(CR$4&gt;=$D101,CR$4&lt;$D101+'Incremental Repayments'!$I$31),-PMT('Interest Rate'!$J$16,'Incremental Repayments'!$I$31,(HLOOKUP($D101,$E$4:$CZ$32,28,FALSE)*'Incremental Repayments'!$I$22)),0),0)</f>
        <v>0</v>
      </c>
      <c r="CS101" s="783">
        <f>IF('Incremental Repayments'!$R$22="Debt",IF(AND(CS$4&gt;=$D101,CS$4&lt;$D101+'Incremental Repayments'!$I$31),-PMT('Interest Rate'!$J$16,'Incremental Repayments'!$I$31,(HLOOKUP($D101,$E$4:$CZ$32,28,FALSE)*'Incremental Repayments'!$I$22)),0),0)</f>
        <v>0</v>
      </c>
      <c r="CT101" s="783">
        <f>IF('Incremental Repayments'!$R$22="Debt",IF(AND(CT$4&gt;=$D101,CT$4&lt;$D101+'Incremental Repayments'!$I$31),-PMT('Interest Rate'!$J$16,'Incremental Repayments'!$I$31,(HLOOKUP($D101,$E$4:$CZ$32,28,FALSE)*'Incremental Repayments'!$I$22)),0),0)</f>
        <v>0</v>
      </c>
      <c r="CU101" s="783">
        <f>IF('Incremental Repayments'!$R$22="Debt",IF(AND(CU$4&gt;=$D101,CU$4&lt;$D101+'Incremental Repayments'!$I$31),-PMT('Interest Rate'!$J$16,'Incremental Repayments'!$I$31,(HLOOKUP($D101,$E$4:$CZ$32,28,FALSE)*'Incremental Repayments'!$I$22)),0),0)</f>
        <v>0</v>
      </c>
      <c r="CV101" s="783">
        <f>IF('Incremental Repayments'!$R$22="Debt",IF(AND(CV$4&gt;=$D101,CV$4&lt;$D101+'Incremental Repayments'!$I$31),-PMT('Interest Rate'!$J$16,'Incremental Repayments'!$I$31,(HLOOKUP($D101,$E$4:$CZ$32,28,FALSE)*'Incremental Repayments'!$I$22)),0),0)</f>
        <v>0</v>
      </c>
      <c r="CW101" s="783">
        <f>IF('Incremental Repayments'!$R$22="Debt",IF(AND(CW$4&gt;=$D101,CW$4&lt;$D101+'Incremental Repayments'!$I$31),-PMT('Interest Rate'!$J$16,'Incremental Repayments'!$I$31,(HLOOKUP($D101,$E$4:$CZ$32,28,FALSE)*'Incremental Repayments'!$I$22)),0),0)</f>
        <v>0</v>
      </c>
      <c r="CX101" s="783">
        <f>IF('Incremental Repayments'!$R$22="Debt",IF(AND(CX$4&gt;=$D101,CX$4&lt;$D101+'Incremental Repayments'!$I$31),-PMT('Interest Rate'!$J$16,'Incremental Repayments'!$I$31,(HLOOKUP($D101,$E$4:$CZ$32,28,FALSE)*'Incremental Repayments'!$I$22)),0),0)</f>
        <v>0</v>
      </c>
      <c r="CY101" s="783">
        <f>IF('Incremental Repayments'!$R$22="Debt",IF(AND(CY$4&gt;=$D101,CY$4&lt;$D101+'Incremental Repayments'!$I$31),-PMT('Interest Rate'!$J$16,'Incremental Repayments'!$I$31,(HLOOKUP($D101,$E$4:$CZ$32,28,FALSE)*'Incremental Repayments'!$I$22)),0),0)</f>
        <v>0</v>
      </c>
      <c r="CZ101" s="783">
        <f>IF('Incremental Repayments'!$R$22="Debt",IF(AND(CZ$4&gt;=$D101,CZ$4&lt;$D101+'Incremental Repayments'!$I$31),-PMT('Interest Rate'!$J$16,'Incremental Repayments'!$I$31,(HLOOKUP($D101,$E$4:$CZ$32,28,FALSE)*'Incremental Repayments'!$I$22)),0),0)</f>
        <v>0</v>
      </c>
    </row>
    <row r="102" spans="2:104" x14ac:dyDescent="0.25">
      <c r="B102" s="480" t="str">
        <f>CONCATENATE("Series ",D102,"A Bonds (at ",'Interest Rate'!$J$16*100,"% Interest)")</f>
        <v>Series 2080A Bonds (at 4.5% Interest)</v>
      </c>
      <c r="C102" s="480"/>
      <c r="D102" s="492">
        <f t="shared" si="47"/>
        <v>2080</v>
      </c>
      <c r="E102" s="783">
        <f>IF('Incremental Repayments'!$R$22="Debt",IF(AND(E$4&gt;=$D102,E$4&lt;$D102+'Incremental Repayments'!$I$31),-PMT('Interest Rate'!$J$16,'Incremental Repayments'!$I$31,(HLOOKUP($D102,$E$4:$CZ$32,28,FALSE)*'Incremental Repayments'!$I$22)),0),0)</f>
        <v>0</v>
      </c>
      <c r="F102" s="783">
        <f>IF('Incremental Repayments'!$R$22="Debt",IF(AND(F$4&gt;=$D102,F$4&lt;$D102+'Incremental Repayments'!$I$31),-PMT('Interest Rate'!$J$16,'Incremental Repayments'!$I$31,(HLOOKUP($D102,$E$4:$CZ$32,28,FALSE)*'Incremental Repayments'!$I$22)),0),0)</f>
        <v>0</v>
      </c>
      <c r="G102" s="783">
        <f>IF('Incremental Repayments'!$R$22="Debt",IF(AND(G$4&gt;=$D102,G$4&lt;$D102+'Incremental Repayments'!$I$31),-PMT('Interest Rate'!$J$16,'Incremental Repayments'!$I$31,(HLOOKUP($D102,$E$4:$CZ$32,28,FALSE)*'Incremental Repayments'!$I$22)),0),0)</f>
        <v>0</v>
      </c>
      <c r="H102" s="783">
        <f>IF('Incremental Repayments'!$R$22="Debt",IF(AND(H$4&gt;=$D102,H$4&lt;$D102+'Incremental Repayments'!$I$31),-PMT('Interest Rate'!$J$16,'Incremental Repayments'!$I$31,(HLOOKUP($D102,$E$4:$CZ$32,28,FALSE)*'Incremental Repayments'!$I$22)),0),0)</f>
        <v>0</v>
      </c>
      <c r="I102" s="783">
        <f>IF('Incremental Repayments'!$R$22="Debt",IF(AND(I$4&gt;=$D102,I$4&lt;$D102+'Incremental Repayments'!$I$31),-PMT('Interest Rate'!$J$16,'Incremental Repayments'!$I$31,(HLOOKUP($D102,$E$4:$CZ$32,28,FALSE)*'Incremental Repayments'!$I$22)),0),0)</f>
        <v>0</v>
      </c>
      <c r="J102" s="783">
        <f>IF('Incremental Repayments'!$R$22="Debt",IF(AND(J$4&gt;=$D102,J$4&lt;$D102+'Incremental Repayments'!$I$31),-PMT('Interest Rate'!$J$16,'Incremental Repayments'!$I$31,(HLOOKUP($D102,$E$4:$CZ$32,28,FALSE)*'Incremental Repayments'!$I$22)),0),0)</f>
        <v>0</v>
      </c>
      <c r="K102" s="783">
        <f>IF('Incremental Repayments'!$R$22="Debt",IF(AND(K$4&gt;=$D102,K$4&lt;$D102+'Incremental Repayments'!$I$31),-PMT('Interest Rate'!$J$16,'Incremental Repayments'!$I$31,(HLOOKUP($D102,$E$4:$CZ$32,28,FALSE)*'Incremental Repayments'!$I$22)),0),0)</f>
        <v>0</v>
      </c>
      <c r="L102" s="783">
        <f>IF('Incremental Repayments'!$R$22="Debt",IF(AND(L$4&gt;=$D102,L$4&lt;$D102+'Incremental Repayments'!$I$31),-PMT('Interest Rate'!$J$16,'Incremental Repayments'!$I$31,(HLOOKUP($D102,$E$4:$CZ$32,28,FALSE)*'Incremental Repayments'!$I$22)),0),0)</f>
        <v>0</v>
      </c>
      <c r="M102" s="783">
        <f>IF('Incremental Repayments'!$R$22="Debt",IF(AND(M$4&gt;=$D102,M$4&lt;$D102+'Incremental Repayments'!$I$31),-PMT('Interest Rate'!$J$16,'Incremental Repayments'!$I$31,(HLOOKUP($D102,$E$4:$CZ$32,28,FALSE)*'Incremental Repayments'!$I$22)),0),0)</f>
        <v>0</v>
      </c>
      <c r="N102" s="783">
        <f>IF('Incremental Repayments'!$R$22="Debt",IF(AND(N$4&gt;=$D102,N$4&lt;$D102+'Incremental Repayments'!$I$31),-PMT('Interest Rate'!$J$16,'Incremental Repayments'!$I$31,(HLOOKUP($D102,$E$4:$CZ$32,28,FALSE)*'Incremental Repayments'!$I$22)),0),0)</f>
        <v>0</v>
      </c>
      <c r="O102" s="783">
        <f>IF('Incremental Repayments'!$R$22="Debt",IF(AND(O$4&gt;=$D102,O$4&lt;$D102+'Incremental Repayments'!$I$31),-PMT('Interest Rate'!$J$16,'Incremental Repayments'!$I$31,(HLOOKUP($D102,$E$4:$CZ$32,28,FALSE)*'Incremental Repayments'!$I$22)),0),0)</f>
        <v>0</v>
      </c>
      <c r="P102" s="783">
        <f>IF('Incremental Repayments'!$R$22="Debt",IF(AND(P$4&gt;=$D102,P$4&lt;$D102+'Incremental Repayments'!$I$31),-PMT('Interest Rate'!$J$16,'Incremental Repayments'!$I$31,(HLOOKUP($D102,$E$4:$CZ$32,28,FALSE)*'Incremental Repayments'!$I$22)),0),0)</f>
        <v>0</v>
      </c>
      <c r="Q102" s="783">
        <f>IF('Incremental Repayments'!$R$22="Debt",IF(AND(Q$4&gt;=$D102,Q$4&lt;$D102+'Incremental Repayments'!$I$31),-PMT('Interest Rate'!$J$16,'Incremental Repayments'!$I$31,(HLOOKUP($D102,$E$4:$CZ$32,28,FALSE)*'Incremental Repayments'!$I$22)),0),0)</f>
        <v>0</v>
      </c>
      <c r="R102" s="783">
        <f>IF('Incremental Repayments'!$R$22="Debt",IF(AND(R$4&gt;=$D102,R$4&lt;$D102+'Incremental Repayments'!$I$31),-PMT('Interest Rate'!$J$16,'Incremental Repayments'!$I$31,(HLOOKUP($D102,$E$4:$CZ$32,28,FALSE)*'Incremental Repayments'!$I$22)),0),0)</f>
        <v>0</v>
      </c>
      <c r="S102" s="783">
        <f>IF('Incremental Repayments'!$R$22="Debt",IF(AND(S$4&gt;=$D102,S$4&lt;$D102+'Incremental Repayments'!$I$31),-PMT('Interest Rate'!$J$16,'Incremental Repayments'!$I$31,(HLOOKUP($D102,$E$4:$CZ$32,28,FALSE)*'Incremental Repayments'!$I$22)),0),0)</f>
        <v>0</v>
      </c>
      <c r="T102" s="783">
        <f>IF('Incremental Repayments'!$R$22="Debt",IF(AND(T$4&gt;=$D102,T$4&lt;$D102+'Incremental Repayments'!$I$31),-PMT('Interest Rate'!$J$16,'Incremental Repayments'!$I$31,(HLOOKUP($D102,$E$4:$CZ$32,28,FALSE)*'Incremental Repayments'!$I$22)),0),0)</f>
        <v>0</v>
      </c>
      <c r="U102" s="783">
        <f>IF('Incremental Repayments'!$R$22="Debt",IF(AND(U$4&gt;=$D102,U$4&lt;$D102+'Incremental Repayments'!$I$31),-PMT('Interest Rate'!$J$16,'Incremental Repayments'!$I$31,(HLOOKUP($D102,$E$4:$CZ$32,28,FALSE)*'Incremental Repayments'!$I$22)),0),0)</f>
        <v>0</v>
      </c>
      <c r="V102" s="783">
        <f>IF('Incremental Repayments'!$R$22="Debt",IF(AND(V$4&gt;=$D102,V$4&lt;$D102+'Incremental Repayments'!$I$31),-PMT('Interest Rate'!$J$16,'Incremental Repayments'!$I$31,(HLOOKUP($D102,$E$4:$CZ$32,28,FALSE)*'Incremental Repayments'!$I$22)),0),0)</f>
        <v>0</v>
      </c>
      <c r="W102" s="783">
        <f>IF('Incremental Repayments'!$R$22="Debt",IF(AND(W$4&gt;=$D102,W$4&lt;$D102+'Incremental Repayments'!$I$31),-PMT('Interest Rate'!$J$16,'Incremental Repayments'!$I$31,(HLOOKUP($D102,$E$4:$CZ$32,28,FALSE)*'Incremental Repayments'!$I$22)),0),0)</f>
        <v>0</v>
      </c>
      <c r="X102" s="783">
        <f>IF('Incremental Repayments'!$R$22="Debt",IF(AND(X$4&gt;=$D102,X$4&lt;$D102+'Incremental Repayments'!$I$31),-PMT('Interest Rate'!$J$16,'Incremental Repayments'!$I$31,(HLOOKUP($D102,$E$4:$CZ$32,28,FALSE)*'Incremental Repayments'!$I$22)),0),0)</f>
        <v>0</v>
      </c>
      <c r="Y102" s="783">
        <f>IF('Incremental Repayments'!$R$22="Debt",IF(AND(Y$4&gt;=$D102,Y$4&lt;$D102+'Incremental Repayments'!$I$31),-PMT('Interest Rate'!$J$16,'Incremental Repayments'!$I$31,(HLOOKUP($D102,$E$4:$CZ$32,28,FALSE)*'Incremental Repayments'!$I$22)),0),0)</f>
        <v>0</v>
      </c>
      <c r="Z102" s="783">
        <f>IF('Incremental Repayments'!$R$22="Debt",IF(AND(Z$4&gt;=$D102,Z$4&lt;$D102+'Incremental Repayments'!$I$31),-PMT('Interest Rate'!$J$16,'Incremental Repayments'!$I$31,(HLOOKUP($D102,$E$4:$CZ$32,28,FALSE)*'Incremental Repayments'!$I$22)),0),0)</f>
        <v>0</v>
      </c>
      <c r="AA102" s="783">
        <f>IF('Incremental Repayments'!$R$22="Debt",IF(AND(AA$4&gt;=$D102,AA$4&lt;$D102+'Incremental Repayments'!$I$31),-PMT('Interest Rate'!$J$16,'Incremental Repayments'!$I$31,(HLOOKUP($D102,$E$4:$CZ$32,28,FALSE)*'Incremental Repayments'!$I$22)),0),0)</f>
        <v>0</v>
      </c>
      <c r="AB102" s="783">
        <f>IF('Incremental Repayments'!$R$22="Debt",IF(AND(AB$4&gt;=$D102,AB$4&lt;$D102+'Incremental Repayments'!$I$31),-PMT('Interest Rate'!$J$16,'Incremental Repayments'!$I$31,(HLOOKUP($D102,$E$4:$CZ$32,28,FALSE)*'Incremental Repayments'!$I$22)),0),0)</f>
        <v>0</v>
      </c>
      <c r="AC102" s="783">
        <f>IF('Incremental Repayments'!$R$22="Debt",IF(AND(AC$4&gt;=$D102,AC$4&lt;$D102+'Incremental Repayments'!$I$31),-PMT('Interest Rate'!$J$16,'Incremental Repayments'!$I$31,(HLOOKUP($D102,$E$4:$CZ$32,28,FALSE)*'Incremental Repayments'!$I$22)),0),0)</f>
        <v>0</v>
      </c>
      <c r="AD102" s="783">
        <f>IF('Incremental Repayments'!$R$22="Debt",IF(AND(AD$4&gt;=$D102,AD$4&lt;$D102+'Incremental Repayments'!$I$31),-PMT('Interest Rate'!$J$16,'Incremental Repayments'!$I$31,(HLOOKUP($D102,$E$4:$CZ$32,28,FALSE)*'Incremental Repayments'!$I$22)),0),0)</f>
        <v>0</v>
      </c>
      <c r="AE102" s="783">
        <f>IF('Incremental Repayments'!$R$22="Debt",IF(AND(AE$4&gt;=$D102,AE$4&lt;$D102+'Incremental Repayments'!$I$31),-PMT('Interest Rate'!$J$16,'Incremental Repayments'!$I$31,(HLOOKUP($D102,$E$4:$CZ$32,28,FALSE)*'Incremental Repayments'!$I$22)),0),0)</f>
        <v>0</v>
      </c>
      <c r="AF102" s="783">
        <f>IF('Incremental Repayments'!$R$22="Debt",IF(AND(AF$4&gt;=$D102,AF$4&lt;$D102+'Incremental Repayments'!$I$31),-PMT('Interest Rate'!$J$16,'Incremental Repayments'!$I$31,(HLOOKUP($D102,$E$4:$CZ$32,28,FALSE)*'Incremental Repayments'!$I$22)),0),0)</f>
        <v>0</v>
      </c>
      <c r="AG102" s="783">
        <f>IF('Incremental Repayments'!$R$22="Debt",IF(AND(AG$4&gt;=$D102,AG$4&lt;$D102+'Incremental Repayments'!$I$31),-PMT('Interest Rate'!$J$16,'Incremental Repayments'!$I$31,(HLOOKUP($D102,$E$4:$CZ$32,28,FALSE)*'Incremental Repayments'!$I$22)),0),0)</f>
        <v>0</v>
      </c>
      <c r="AH102" s="783">
        <f>IF('Incremental Repayments'!$R$22="Debt",IF(AND(AH$4&gt;=$D102,AH$4&lt;$D102+'Incremental Repayments'!$I$31),-PMT('Interest Rate'!$J$16,'Incremental Repayments'!$I$31,(HLOOKUP($D102,$E$4:$CZ$32,28,FALSE)*'Incremental Repayments'!$I$22)),0),0)</f>
        <v>0</v>
      </c>
      <c r="AI102" s="783">
        <f>IF('Incremental Repayments'!$R$22="Debt",IF(AND(AI$4&gt;=$D102,AI$4&lt;$D102+'Incremental Repayments'!$I$31),-PMT('Interest Rate'!$J$16,'Incremental Repayments'!$I$31,(HLOOKUP($D102,$E$4:$CZ$32,28,FALSE)*'Incremental Repayments'!$I$22)),0),0)</f>
        <v>0</v>
      </c>
      <c r="AJ102" s="783">
        <f>IF('Incremental Repayments'!$R$22="Debt",IF(AND(AJ$4&gt;=$D102,AJ$4&lt;$D102+'Incremental Repayments'!$I$31),-PMT('Interest Rate'!$J$16,'Incremental Repayments'!$I$31,(HLOOKUP($D102,$E$4:$CZ$32,28,FALSE)*'Incremental Repayments'!$I$22)),0),0)</f>
        <v>0</v>
      </c>
      <c r="AK102" s="783">
        <f>IF('Incremental Repayments'!$R$22="Debt",IF(AND(AK$4&gt;=$D102,AK$4&lt;$D102+'Incremental Repayments'!$I$31),-PMT('Interest Rate'!$J$16,'Incremental Repayments'!$I$31,(HLOOKUP($D102,$E$4:$CZ$32,28,FALSE)*'Incremental Repayments'!$I$22)),0),0)</f>
        <v>0</v>
      </c>
      <c r="AL102" s="783">
        <f>IF('Incremental Repayments'!$R$22="Debt",IF(AND(AL$4&gt;=$D102,AL$4&lt;$D102+'Incremental Repayments'!$I$31),-PMT('Interest Rate'!$J$16,'Incremental Repayments'!$I$31,(HLOOKUP($D102,$E$4:$CZ$32,28,FALSE)*'Incremental Repayments'!$I$22)),0),0)</f>
        <v>0</v>
      </c>
      <c r="AM102" s="783">
        <f>IF('Incremental Repayments'!$R$22="Debt",IF(AND(AM$4&gt;=$D102,AM$4&lt;$D102+'Incremental Repayments'!$I$31),-PMT('Interest Rate'!$J$16,'Incremental Repayments'!$I$31,(HLOOKUP($D102,$E$4:$CZ$32,28,FALSE)*'Incremental Repayments'!$I$22)),0),0)</f>
        <v>0</v>
      </c>
      <c r="AN102" s="783">
        <f>IF('Incremental Repayments'!$R$22="Debt",IF(AND(AN$4&gt;=$D102,AN$4&lt;$D102+'Incremental Repayments'!$I$31),-PMT('Interest Rate'!$J$16,'Incremental Repayments'!$I$31,(HLOOKUP($D102,$E$4:$CZ$32,28,FALSE)*'Incremental Repayments'!$I$22)),0),0)</f>
        <v>0</v>
      </c>
      <c r="AO102" s="783">
        <f>IF('Incremental Repayments'!$R$22="Debt",IF(AND(AO$4&gt;=$D102,AO$4&lt;$D102+'Incremental Repayments'!$I$31),-PMT('Interest Rate'!$J$16,'Incremental Repayments'!$I$31,(HLOOKUP($D102,$E$4:$CZ$32,28,FALSE)*'Incremental Repayments'!$I$22)),0),0)</f>
        <v>0</v>
      </c>
      <c r="AP102" s="783">
        <f>IF('Incremental Repayments'!$R$22="Debt",IF(AND(AP$4&gt;=$D102,AP$4&lt;$D102+'Incremental Repayments'!$I$31),-PMT('Interest Rate'!$J$16,'Incremental Repayments'!$I$31,(HLOOKUP($D102,$E$4:$CZ$32,28,FALSE)*'Incremental Repayments'!$I$22)),0),0)</f>
        <v>0</v>
      </c>
      <c r="AQ102" s="783">
        <f>IF('Incremental Repayments'!$R$22="Debt",IF(AND(AQ$4&gt;=$D102,AQ$4&lt;$D102+'Incremental Repayments'!$I$31),-PMT('Interest Rate'!$J$16,'Incremental Repayments'!$I$31,(HLOOKUP($D102,$E$4:$CZ$32,28,FALSE)*'Incremental Repayments'!$I$22)),0),0)</f>
        <v>0</v>
      </c>
      <c r="AR102" s="783">
        <f>IF('Incremental Repayments'!$R$22="Debt",IF(AND(AR$4&gt;=$D102,AR$4&lt;$D102+'Incremental Repayments'!$I$31),-PMT('Interest Rate'!$J$16,'Incremental Repayments'!$I$31,(HLOOKUP($D102,$E$4:$CZ$32,28,FALSE)*'Incremental Repayments'!$I$22)),0),0)</f>
        <v>0</v>
      </c>
      <c r="AS102" s="783">
        <f>IF('Incremental Repayments'!$R$22="Debt",IF(AND(AS$4&gt;=$D102,AS$4&lt;$D102+'Incremental Repayments'!$I$31),-PMT('Interest Rate'!$J$16,'Incremental Repayments'!$I$31,(HLOOKUP($D102,$E$4:$CZ$32,28,FALSE)*'Incremental Repayments'!$I$22)),0),0)</f>
        <v>0</v>
      </c>
      <c r="AT102" s="783">
        <f>IF('Incremental Repayments'!$R$22="Debt",IF(AND(AT$4&gt;=$D102,AT$4&lt;$D102+'Incremental Repayments'!$I$31),-PMT('Interest Rate'!$J$16,'Incremental Repayments'!$I$31,(HLOOKUP($D102,$E$4:$CZ$32,28,FALSE)*'Incremental Repayments'!$I$22)),0),0)</f>
        <v>0</v>
      </c>
      <c r="AU102" s="783">
        <f>IF('Incremental Repayments'!$R$22="Debt",IF(AND(AU$4&gt;=$D102,AU$4&lt;$D102+'Incremental Repayments'!$I$31),-PMT('Interest Rate'!$J$16,'Incremental Repayments'!$I$31,(HLOOKUP($D102,$E$4:$CZ$32,28,FALSE)*'Incremental Repayments'!$I$22)),0),0)</f>
        <v>0</v>
      </c>
      <c r="AV102" s="783">
        <f>IF('Incremental Repayments'!$R$22="Debt",IF(AND(AV$4&gt;=$D102,AV$4&lt;$D102+'Incremental Repayments'!$I$31),-PMT('Interest Rate'!$J$16,'Incremental Repayments'!$I$31,(HLOOKUP($D102,$E$4:$CZ$32,28,FALSE)*'Incremental Repayments'!$I$22)),0),0)</f>
        <v>0</v>
      </c>
      <c r="AW102" s="783">
        <f>IF('Incremental Repayments'!$R$22="Debt",IF(AND(AW$4&gt;=$D102,AW$4&lt;$D102+'Incremental Repayments'!$I$31),-PMT('Interest Rate'!$J$16,'Incremental Repayments'!$I$31,(HLOOKUP($D102,$E$4:$CZ$32,28,FALSE)*'Incremental Repayments'!$I$22)),0),0)</f>
        <v>0</v>
      </c>
      <c r="AX102" s="783">
        <f>IF('Incremental Repayments'!$R$22="Debt",IF(AND(AX$4&gt;=$D102,AX$4&lt;$D102+'Incremental Repayments'!$I$31),-PMT('Interest Rate'!$J$16,'Incremental Repayments'!$I$31,(HLOOKUP($D102,$E$4:$CZ$32,28,FALSE)*'Incremental Repayments'!$I$22)),0),0)</f>
        <v>0</v>
      </c>
      <c r="AY102" s="783">
        <f>IF('Incremental Repayments'!$R$22="Debt",IF(AND(AY$4&gt;=$D102,AY$4&lt;$D102+'Incremental Repayments'!$I$31),-PMT('Interest Rate'!$J$16,'Incremental Repayments'!$I$31,(HLOOKUP($D102,$E$4:$CZ$32,28,FALSE)*'Incremental Repayments'!$I$22)),0),0)</f>
        <v>0</v>
      </c>
      <c r="AZ102" s="783">
        <f>IF('Incremental Repayments'!$R$22="Debt",IF(AND(AZ$4&gt;=$D102,AZ$4&lt;$D102+'Incremental Repayments'!$I$31),-PMT('Interest Rate'!$J$16,'Incremental Repayments'!$I$31,(HLOOKUP($D102,$E$4:$CZ$32,28,FALSE)*'Incremental Repayments'!$I$22)),0),0)</f>
        <v>0</v>
      </c>
      <c r="BA102" s="783">
        <f>IF('Incremental Repayments'!$R$22="Debt",IF(AND(BA$4&gt;=$D102,BA$4&lt;$D102+'Incremental Repayments'!$I$31),-PMT('Interest Rate'!$J$16,'Incremental Repayments'!$I$31,(HLOOKUP($D102,$E$4:$CZ$32,28,FALSE)*'Incremental Repayments'!$I$22)),0),0)</f>
        <v>0</v>
      </c>
      <c r="BB102" s="783">
        <f>IF('Incremental Repayments'!$R$22="Debt",IF(AND(BB$4&gt;=$D102,BB$4&lt;$D102+'Incremental Repayments'!$I$31),-PMT('Interest Rate'!$J$16,'Incremental Repayments'!$I$31,(HLOOKUP($D102,$E$4:$CZ$32,28,FALSE)*'Incremental Repayments'!$I$22)),0),0)</f>
        <v>0</v>
      </c>
      <c r="BC102" s="783">
        <f>IF('Incremental Repayments'!$R$22="Debt",IF(AND(BC$4&gt;=$D102,BC$4&lt;$D102+'Incremental Repayments'!$I$31),-PMT('Interest Rate'!$J$16,'Incremental Repayments'!$I$31,(HLOOKUP($D102,$E$4:$CZ$32,28,FALSE)*'Incremental Repayments'!$I$22)),0),0)</f>
        <v>0</v>
      </c>
      <c r="BD102" s="783">
        <f>IF('Incremental Repayments'!$R$22="Debt",IF(AND(BD$4&gt;=$D102,BD$4&lt;$D102+'Incremental Repayments'!$I$31),-PMT('Interest Rate'!$J$16,'Incremental Repayments'!$I$31,(HLOOKUP($D102,$E$4:$CZ$32,28,FALSE)*'Incremental Repayments'!$I$22)),0),0)</f>
        <v>0</v>
      </c>
      <c r="BE102" s="783">
        <f>IF('Incremental Repayments'!$R$22="Debt",IF(AND(BE$4&gt;=$D102,BE$4&lt;$D102+'Incremental Repayments'!$I$31),-PMT('Interest Rate'!$J$16,'Incremental Repayments'!$I$31,(HLOOKUP($D102,$E$4:$CZ$32,28,FALSE)*'Incremental Repayments'!$I$22)),0),0)</f>
        <v>0</v>
      </c>
      <c r="BF102" s="783">
        <f>IF('Incremental Repayments'!$R$22="Debt",IF(AND(BF$4&gt;=$D102,BF$4&lt;$D102+'Incremental Repayments'!$I$31),-PMT('Interest Rate'!$J$16,'Incremental Repayments'!$I$31,(HLOOKUP($D102,$E$4:$CZ$32,28,FALSE)*'Incremental Repayments'!$I$22)),0),0)</f>
        <v>0</v>
      </c>
      <c r="BG102" s="783">
        <f>IF('Incremental Repayments'!$R$22="Debt",IF(AND(BG$4&gt;=$D102,BG$4&lt;$D102+'Incremental Repayments'!$I$31),-PMT('Interest Rate'!$J$16,'Incremental Repayments'!$I$31,(HLOOKUP($D102,$E$4:$CZ$32,28,FALSE)*'Incremental Repayments'!$I$22)),0),0)</f>
        <v>0</v>
      </c>
      <c r="BH102" s="783">
        <f>IF('Incremental Repayments'!$R$22="Debt",IF(AND(BH$4&gt;=$D102,BH$4&lt;$D102+'Incremental Repayments'!$I$31),-PMT('Interest Rate'!$J$16,'Incremental Repayments'!$I$31,(HLOOKUP($D102,$E$4:$CZ$32,28,FALSE)*'Incremental Repayments'!$I$22)),0),0)</f>
        <v>0</v>
      </c>
      <c r="BI102" s="783">
        <f>IF('Incremental Repayments'!$R$22="Debt",IF(AND(BI$4&gt;=$D102,BI$4&lt;$D102+'Incremental Repayments'!$I$31),-PMT('Interest Rate'!$J$16,'Incremental Repayments'!$I$31,(HLOOKUP($D102,$E$4:$CZ$32,28,FALSE)*'Incremental Repayments'!$I$22)),0),0)</f>
        <v>0</v>
      </c>
      <c r="BJ102" s="783">
        <f>IF('Incremental Repayments'!$R$22="Debt",IF(AND(BJ$4&gt;=$D102,BJ$4&lt;$D102+'Incremental Repayments'!$I$31),-PMT('Interest Rate'!$J$16,'Incremental Repayments'!$I$31,(HLOOKUP($D102,$E$4:$CZ$32,28,FALSE)*'Incremental Repayments'!$I$22)),0),0)</f>
        <v>0</v>
      </c>
      <c r="BK102" s="783">
        <f>IF('Incremental Repayments'!$R$22="Debt",IF(AND(BK$4&gt;=$D102,BK$4&lt;$D102+'Incremental Repayments'!$I$31),-PMT('Interest Rate'!$J$16,'Incremental Repayments'!$I$31,(HLOOKUP($D102,$E$4:$CZ$32,28,FALSE)*'Incremental Repayments'!$I$22)),0),0)</f>
        <v>0</v>
      </c>
      <c r="BL102" s="783">
        <f>IF('Incremental Repayments'!$R$22="Debt",IF(AND(BL$4&gt;=$D102,BL$4&lt;$D102+'Incremental Repayments'!$I$31),-PMT('Interest Rate'!$J$16,'Incremental Repayments'!$I$31,(HLOOKUP($D102,$E$4:$CZ$32,28,FALSE)*'Incremental Repayments'!$I$22)),0),0)</f>
        <v>0</v>
      </c>
      <c r="BM102" s="783">
        <f>IF('Incremental Repayments'!$R$22="Debt",IF(AND(BM$4&gt;=$D102,BM$4&lt;$D102+'Incremental Repayments'!$I$31),-PMT('Interest Rate'!$J$16,'Incremental Repayments'!$I$31,(HLOOKUP($D102,$E$4:$CZ$32,28,FALSE)*'Incremental Repayments'!$I$22)),0),0)</f>
        <v>0</v>
      </c>
      <c r="BN102" s="783">
        <f>IF('Incremental Repayments'!$R$22="Debt",IF(AND(BN$4&gt;=$D102,BN$4&lt;$D102+'Incremental Repayments'!$I$31),-PMT('Interest Rate'!$J$16,'Incremental Repayments'!$I$31,(HLOOKUP($D102,$E$4:$CZ$32,28,FALSE)*'Incremental Repayments'!$I$22)),0),0)</f>
        <v>0</v>
      </c>
      <c r="BO102" s="783">
        <f>IF('Incremental Repayments'!$R$22="Debt",IF(AND(BO$4&gt;=$D102,BO$4&lt;$D102+'Incremental Repayments'!$I$31),-PMT('Interest Rate'!$J$16,'Incremental Repayments'!$I$31,(HLOOKUP($D102,$E$4:$CZ$32,28,FALSE)*'Incremental Repayments'!$I$22)),0),0)</f>
        <v>0</v>
      </c>
      <c r="BP102" s="783">
        <f>IF('Incremental Repayments'!$R$22="Debt",IF(AND(BP$4&gt;=$D102,BP$4&lt;$D102+'Incremental Repayments'!$I$31),-PMT('Interest Rate'!$J$16,'Incremental Repayments'!$I$31,(HLOOKUP($D102,$E$4:$CZ$32,28,FALSE)*'Incremental Repayments'!$I$22)),0),0)</f>
        <v>0</v>
      </c>
      <c r="BQ102" s="783">
        <f>IF('Incremental Repayments'!$R$22="Debt",IF(AND(BQ$4&gt;=$D102,BQ$4&lt;$D102+'Incremental Repayments'!$I$31),-PMT('Interest Rate'!$J$16,'Incremental Repayments'!$I$31,(HLOOKUP($D102,$E$4:$CZ$32,28,FALSE)*'Incremental Repayments'!$I$22)),0),0)</f>
        <v>0</v>
      </c>
      <c r="BR102" s="783">
        <f>IF('Incremental Repayments'!$R$22="Debt",IF(AND(BR$4&gt;=$D102,BR$4&lt;$D102+'Incremental Repayments'!$I$31),-PMT('Interest Rate'!$J$16,'Incremental Repayments'!$I$31,(HLOOKUP($D102,$E$4:$CZ$32,28,FALSE)*'Incremental Repayments'!$I$22)),0),0)</f>
        <v>0</v>
      </c>
      <c r="BS102" s="783">
        <f>IF('Incremental Repayments'!$R$22="Debt",IF(AND(BS$4&gt;=$D102,BS$4&lt;$D102+'Incremental Repayments'!$I$31),-PMT('Interest Rate'!$J$16,'Incremental Repayments'!$I$31,(HLOOKUP($D102,$E$4:$CZ$32,28,FALSE)*'Incremental Repayments'!$I$22)),0),0)</f>
        <v>0</v>
      </c>
      <c r="BT102" s="783">
        <f>IF('Incremental Repayments'!$R$22="Debt",IF(AND(BT$4&gt;=$D102,BT$4&lt;$D102+'Incremental Repayments'!$I$31),-PMT('Interest Rate'!$J$16,'Incremental Repayments'!$I$31,(HLOOKUP($D102,$E$4:$CZ$32,28,FALSE)*'Incremental Repayments'!$I$22)),0),0)</f>
        <v>0</v>
      </c>
      <c r="BU102" s="783">
        <f>IF('Incremental Repayments'!$R$22="Debt",IF(AND(BU$4&gt;=$D102,BU$4&lt;$D102+'Incremental Repayments'!$I$31),-PMT('Interest Rate'!$J$16,'Incremental Repayments'!$I$31,(HLOOKUP($D102,$E$4:$CZ$32,28,FALSE)*'Incremental Repayments'!$I$22)),0),0)</f>
        <v>0</v>
      </c>
      <c r="BV102" s="783">
        <f>IF('Incremental Repayments'!$R$22="Debt",IF(AND(BV$4&gt;=$D102,BV$4&lt;$D102+'Incremental Repayments'!$I$31),-PMT('Interest Rate'!$J$16,'Incremental Repayments'!$I$31,(HLOOKUP($D102,$E$4:$CZ$32,28,FALSE)*'Incremental Repayments'!$I$22)),0),0)</f>
        <v>0</v>
      </c>
      <c r="BW102" s="783">
        <f>IF('Incremental Repayments'!$R$22="Debt",IF(AND(BW$4&gt;=$D102,BW$4&lt;$D102+'Incremental Repayments'!$I$31),-PMT('Interest Rate'!$J$16,'Incremental Repayments'!$I$31,(HLOOKUP($D102,$E$4:$CZ$32,28,FALSE)*'Incremental Repayments'!$I$22)),0),0)</f>
        <v>0</v>
      </c>
      <c r="BX102" s="783">
        <f>IF('Incremental Repayments'!$R$22="Debt",IF(AND(BX$4&gt;=$D102,BX$4&lt;$D102+'Incremental Repayments'!$I$31),-PMT('Interest Rate'!$J$16,'Incremental Repayments'!$I$31,(HLOOKUP($D102,$E$4:$CZ$32,28,FALSE)*'Incremental Repayments'!$I$22)),0),0)</f>
        <v>0</v>
      </c>
      <c r="BY102" s="783">
        <f>IF('Incremental Repayments'!$R$22="Debt",IF(AND(BY$4&gt;=$D102,BY$4&lt;$D102+'Incremental Repayments'!$I$31),-PMT('Interest Rate'!$J$16,'Incremental Repayments'!$I$31,(HLOOKUP($D102,$E$4:$CZ$32,28,FALSE)*'Incremental Repayments'!$I$22)),0),0)</f>
        <v>0</v>
      </c>
      <c r="BZ102" s="783">
        <f>IF('Incremental Repayments'!$R$22="Debt",IF(AND(BZ$4&gt;=$D102,BZ$4&lt;$D102+'Incremental Repayments'!$I$31),-PMT('Interest Rate'!$J$16,'Incremental Repayments'!$I$31,(HLOOKUP($D102,$E$4:$CZ$32,28,FALSE)*'Incremental Repayments'!$I$22)),0),0)</f>
        <v>0</v>
      </c>
      <c r="CA102" s="783">
        <f>IF('Incremental Repayments'!$R$22="Debt",IF(AND(CA$4&gt;=$D102,CA$4&lt;$D102+'Incremental Repayments'!$I$31),-PMT('Interest Rate'!$J$16,'Incremental Repayments'!$I$31,(HLOOKUP($D102,$E$4:$CZ$32,28,FALSE)*'Incremental Repayments'!$I$22)),0),0)</f>
        <v>0</v>
      </c>
      <c r="CB102" s="783">
        <f>IF('Incremental Repayments'!$R$22="Debt",IF(AND(CB$4&gt;=$D102,CB$4&lt;$D102+'Incremental Repayments'!$I$31),-PMT('Interest Rate'!$J$16,'Incremental Repayments'!$I$31,(HLOOKUP($D102,$E$4:$CZ$32,28,FALSE)*'Incremental Repayments'!$I$22)),0),0)</f>
        <v>0</v>
      </c>
      <c r="CC102" s="783">
        <f>IF('Incremental Repayments'!$R$22="Debt",IF(AND(CC$4&gt;=$D102,CC$4&lt;$D102+'Incremental Repayments'!$I$31),-PMT('Interest Rate'!$J$16,'Incremental Repayments'!$I$31,(HLOOKUP($D102,$E$4:$CZ$32,28,FALSE)*'Incremental Repayments'!$I$22)),0),0)</f>
        <v>0</v>
      </c>
      <c r="CD102" s="783">
        <f>IF('Incremental Repayments'!$R$22="Debt",IF(AND(CD$4&gt;=$D102,CD$4&lt;$D102+'Incremental Repayments'!$I$31),-PMT('Interest Rate'!$J$16,'Incremental Repayments'!$I$31,(HLOOKUP($D102,$E$4:$CZ$32,28,FALSE)*'Incremental Repayments'!$I$22)),0),0)</f>
        <v>0</v>
      </c>
      <c r="CE102" s="783">
        <f>IF('Incremental Repayments'!$R$22="Debt",IF(AND(CE$4&gt;=$D102,CE$4&lt;$D102+'Incremental Repayments'!$I$31),-PMT('Interest Rate'!$J$16,'Incremental Repayments'!$I$31,(HLOOKUP($D102,$E$4:$CZ$32,28,FALSE)*'Incremental Repayments'!$I$22)),0),0)</f>
        <v>0</v>
      </c>
      <c r="CF102" s="783">
        <f>IF('Incremental Repayments'!$R$22="Debt",IF(AND(CF$4&gt;=$D102,CF$4&lt;$D102+'Incremental Repayments'!$I$31),-PMT('Interest Rate'!$J$16,'Incremental Repayments'!$I$31,(HLOOKUP($D102,$E$4:$CZ$32,28,FALSE)*'Incremental Repayments'!$I$22)),0),0)</f>
        <v>0</v>
      </c>
      <c r="CG102" s="783">
        <f>IF('Incremental Repayments'!$R$22="Debt",IF(AND(CG$4&gt;=$D102,CG$4&lt;$D102+'Incremental Repayments'!$I$31),-PMT('Interest Rate'!$J$16,'Incremental Repayments'!$I$31,(HLOOKUP($D102,$E$4:$CZ$32,28,FALSE)*'Incremental Repayments'!$I$22)),0),0)</f>
        <v>0</v>
      </c>
      <c r="CH102" s="783">
        <f>IF('Incremental Repayments'!$R$22="Debt",IF(AND(CH$4&gt;=$D102,CH$4&lt;$D102+'Incremental Repayments'!$I$31),-PMT('Interest Rate'!$J$16,'Incremental Repayments'!$I$31,(HLOOKUP($D102,$E$4:$CZ$32,28,FALSE)*'Incremental Repayments'!$I$22)),0),0)</f>
        <v>0</v>
      </c>
      <c r="CI102" s="783">
        <f>IF('Incremental Repayments'!$R$22="Debt",IF(AND(CI$4&gt;=$D102,CI$4&lt;$D102+'Incremental Repayments'!$I$31),-PMT('Interest Rate'!$J$16,'Incremental Repayments'!$I$31,(HLOOKUP($D102,$E$4:$CZ$32,28,FALSE)*'Incremental Repayments'!$I$22)),0),0)</f>
        <v>0</v>
      </c>
      <c r="CJ102" s="783">
        <f>IF('Incremental Repayments'!$R$22="Debt",IF(AND(CJ$4&gt;=$D102,CJ$4&lt;$D102+'Incremental Repayments'!$I$31),-PMT('Interest Rate'!$J$16,'Incremental Repayments'!$I$31,(HLOOKUP($D102,$E$4:$CZ$32,28,FALSE)*'Incremental Repayments'!$I$22)),0),0)</f>
        <v>0</v>
      </c>
      <c r="CK102" s="783">
        <f>IF('Incremental Repayments'!$R$22="Debt",IF(AND(CK$4&gt;=$D102,CK$4&lt;$D102+'Incremental Repayments'!$I$31),-PMT('Interest Rate'!$J$16,'Incremental Repayments'!$I$31,(HLOOKUP($D102,$E$4:$CZ$32,28,FALSE)*'Incremental Repayments'!$I$22)),0),0)</f>
        <v>0</v>
      </c>
      <c r="CL102" s="783">
        <f>IF('Incremental Repayments'!$R$22="Debt",IF(AND(CL$4&gt;=$D102,CL$4&lt;$D102+'Incremental Repayments'!$I$31),-PMT('Interest Rate'!$J$16,'Incremental Repayments'!$I$31,(HLOOKUP($D102,$E$4:$CZ$32,28,FALSE)*'Incremental Repayments'!$I$22)),0),0)</f>
        <v>0</v>
      </c>
      <c r="CM102" s="783">
        <f>IF('Incremental Repayments'!$R$22="Debt",IF(AND(CM$4&gt;=$D102,CM$4&lt;$D102+'Incremental Repayments'!$I$31),-PMT('Interest Rate'!$J$16,'Incremental Repayments'!$I$31,(HLOOKUP($D102,$E$4:$CZ$32,28,FALSE)*'Incremental Repayments'!$I$22)),0),0)</f>
        <v>0</v>
      </c>
      <c r="CN102" s="783">
        <f>IF('Incremental Repayments'!$R$22="Debt",IF(AND(CN$4&gt;=$D102,CN$4&lt;$D102+'Incremental Repayments'!$I$31),-PMT('Interest Rate'!$J$16,'Incremental Repayments'!$I$31,(HLOOKUP($D102,$E$4:$CZ$32,28,FALSE)*'Incremental Repayments'!$I$22)),0),0)</f>
        <v>0</v>
      </c>
      <c r="CO102" s="783">
        <f>IF('Incremental Repayments'!$R$22="Debt",IF(AND(CO$4&gt;=$D102,CO$4&lt;$D102+'Incremental Repayments'!$I$31),-PMT('Interest Rate'!$J$16,'Incremental Repayments'!$I$31,(HLOOKUP($D102,$E$4:$CZ$32,28,FALSE)*'Incremental Repayments'!$I$22)),0),0)</f>
        <v>0</v>
      </c>
      <c r="CP102" s="783">
        <f>IF('Incremental Repayments'!$R$22="Debt",IF(AND(CP$4&gt;=$D102,CP$4&lt;$D102+'Incremental Repayments'!$I$31),-PMT('Interest Rate'!$J$16,'Incremental Repayments'!$I$31,(HLOOKUP($D102,$E$4:$CZ$32,28,FALSE)*'Incremental Repayments'!$I$22)),0),0)</f>
        <v>0</v>
      </c>
      <c r="CQ102" s="783">
        <f>IF('Incremental Repayments'!$R$22="Debt",IF(AND(CQ$4&gt;=$D102,CQ$4&lt;$D102+'Incremental Repayments'!$I$31),-PMT('Interest Rate'!$J$16,'Incremental Repayments'!$I$31,(HLOOKUP($D102,$E$4:$CZ$32,28,FALSE)*'Incremental Repayments'!$I$22)),0),0)</f>
        <v>0</v>
      </c>
      <c r="CR102" s="783">
        <f>IF('Incremental Repayments'!$R$22="Debt",IF(AND(CR$4&gt;=$D102,CR$4&lt;$D102+'Incremental Repayments'!$I$31),-PMT('Interest Rate'!$J$16,'Incremental Repayments'!$I$31,(HLOOKUP($D102,$E$4:$CZ$32,28,FALSE)*'Incremental Repayments'!$I$22)),0),0)</f>
        <v>0</v>
      </c>
      <c r="CS102" s="783">
        <f>IF('Incremental Repayments'!$R$22="Debt",IF(AND(CS$4&gt;=$D102,CS$4&lt;$D102+'Incremental Repayments'!$I$31),-PMT('Interest Rate'!$J$16,'Incremental Repayments'!$I$31,(HLOOKUP($D102,$E$4:$CZ$32,28,FALSE)*'Incremental Repayments'!$I$22)),0),0)</f>
        <v>0</v>
      </c>
      <c r="CT102" s="783">
        <f>IF('Incremental Repayments'!$R$22="Debt",IF(AND(CT$4&gt;=$D102,CT$4&lt;$D102+'Incremental Repayments'!$I$31),-PMT('Interest Rate'!$J$16,'Incremental Repayments'!$I$31,(HLOOKUP($D102,$E$4:$CZ$32,28,FALSE)*'Incremental Repayments'!$I$22)),0),0)</f>
        <v>0</v>
      </c>
      <c r="CU102" s="783">
        <f>IF('Incremental Repayments'!$R$22="Debt",IF(AND(CU$4&gt;=$D102,CU$4&lt;$D102+'Incremental Repayments'!$I$31),-PMT('Interest Rate'!$J$16,'Incremental Repayments'!$I$31,(HLOOKUP($D102,$E$4:$CZ$32,28,FALSE)*'Incremental Repayments'!$I$22)),0),0)</f>
        <v>0</v>
      </c>
      <c r="CV102" s="783">
        <f>IF('Incremental Repayments'!$R$22="Debt",IF(AND(CV$4&gt;=$D102,CV$4&lt;$D102+'Incremental Repayments'!$I$31),-PMT('Interest Rate'!$J$16,'Incremental Repayments'!$I$31,(HLOOKUP($D102,$E$4:$CZ$32,28,FALSE)*'Incremental Repayments'!$I$22)),0),0)</f>
        <v>0</v>
      </c>
      <c r="CW102" s="783">
        <f>IF('Incremental Repayments'!$R$22="Debt",IF(AND(CW$4&gt;=$D102,CW$4&lt;$D102+'Incremental Repayments'!$I$31),-PMT('Interest Rate'!$J$16,'Incremental Repayments'!$I$31,(HLOOKUP($D102,$E$4:$CZ$32,28,FALSE)*'Incremental Repayments'!$I$22)),0),0)</f>
        <v>0</v>
      </c>
      <c r="CX102" s="783">
        <f>IF('Incremental Repayments'!$R$22="Debt",IF(AND(CX$4&gt;=$D102,CX$4&lt;$D102+'Incremental Repayments'!$I$31),-PMT('Interest Rate'!$J$16,'Incremental Repayments'!$I$31,(HLOOKUP($D102,$E$4:$CZ$32,28,FALSE)*'Incremental Repayments'!$I$22)),0),0)</f>
        <v>0</v>
      </c>
      <c r="CY102" s="783">
        <f>IF('Incremental Repayments'!$R$22="Debt",IF(AND(CY$4&gt;=$D102,CY$4&lt;$D102+'Incremental Repayments'!$I$31),-PMT('Interest Rate'!$J$16,'Incremental Repayments'!$I$31,(HLOOKUP($D102,$E$4:$CZ$32,28,FALSE)*'Incremental Repayments'!$I$22)),0),0)</f>
        <v>0</v>
      </c>
      <c r="CZ102" s="783">
        <f>IF('Incremental Repayments'!$R$22="Debt",IF(AND(CZ$4&gt;=$D102,CZ$4&lt;$D102+'Incremental Repayments'!$I$31),-PMT('Interest Rate'!$J$16,'Incremental Repayments'!$I$31,(HLOOKUP($D102,$E$4:$CZ$32,28,FALSE)*'Incremental Repayments'!$I$22)),0),0)</f>
        <v>0</v>
      </c>
    </row>
    <row r="103" spans="2:104" x14ac:dyDescent="0.25">
      <c r="B103" s="480" t="str">
        <f>CONCATENATE("Series ",D103,"A Bonds (at ",'Interest Rate'!$J$16*100,"% Interest)")</f>
        <v>Series 2081A Bonds (at 4.5% Interest)</v>
      </c>
      <c r="C103" s="480"/>
      <c r="D103" s="492">
        <f t="shared" si="47"/>
        <v>2081</v>
      </c>
      <c r="E103" s="783">
        <f>IF('Incremental Repayments'!$R$22="Debt",IF(AND(E$4&gt;=$D103,E$4&lt;$D103+'Incremental Repayments'!$I$31),-PMT('Interest Rate'!$J$16,'Incremental Repayments'!$I$31,(HLOOKUP($D103,$E$4:$CZ$32,28,FALSE)*'Incremental Repayments'!$I$22)),0),0)</f>
        <v>0</v>
      </c>
      <c r="F103" s="783">
        <f>IF('Incremental Repayments'!$R$22="Debt",IF(AND(F$4&gt;=$D103,F$4&lt;$D103+'Incremental Repayments'!$I$31),-PMT('Interest Rate'!$J$16,'Incremental Repayments'!$I$31,(HLOOKUP($D103,$E$4:$CZ$32,28,FALSE)*'Incremental Repayments'!$I$22)),0),0)</f>
        <v>0</v>
      </c>
      <c r="G103" s="783">
        <f>IF('Incremental Repayments'!$R$22="Debt",IF(AND(G$4&gt;=$D103,G$4&lt;$D103+'Incremental Repayments'!$I$31),-PMT('Interest Rate'!$J$16,'Incremental Repayments'!$I$31,(HLOOKUP($D103,$E$4:$CZ$32,28,FALSE)*'Incremental Repayments'!$I$22)),0),0)</f>
        <v>0</v>
      </c>
      <c r="H103" s="783">
        <f>IF('Incremental Repayments'!$R$22="Debt",IF(AND(H$4&gt;=$D103,H$4&lt;$D103+'Incremental Repayments'!$I$31),-PMT('Interest Rate'!$J$16,'Incremental Repayments'!$I$31,(HLOOKUP($D103,$E$4:$CZ$32,28,FALSE)*'Incremental Repayments'!$I$22)),0),0)</f>
        <v>0</v>
      </c>
      <c r="I103" s="783">
        <f>IF('Incremental Repayments'!$R$22="Debt",IF(AND(I$4&gt;=$D103,I$4&lt;$D103+'Incremental Repayments'!$I$31),-PMT('Interest Rate'!$J$16,'Incremental Repayments'!$I$31,(HLOOKUP($D103,$E$4:$CZ$32,28,FALSE)*'Incremental Repayments'!$I$22)),0),0)</f>
        <v>0</v>
      </c>
      <c r="J103" s="783">
        <f>IF('Incremental Repayments'!$R$22="Debt",IF(AND(J$4&gt;=$D103,J$4&lt;$D103+'Incremental Repayments'!$I$31),-PMT('Interest Rate'!$J$16,'Incremental Repayments'!$I$31,(HLOOKUP($D103,$E$4:$CZ$32,28,FALSE)*'Incremental Repayments'!$I$22)),0),0)</f>
        <v>0</v>
      </c>
      <c r="K103" s="783">
        <f>IF('Incremental Repayments'!$R$22="Debt",IF(AND(K$4&gt;=$D103,K$4&lt;$D103+'Incremental Repayments'!$I$31),-PMT('Interest Rate'!$J$16,'Incremental Repayments'!$I$31,(HLOOKUP($D103,$E$4:$CZ$32,28,FALSE)*'Incremental Repayments'!$I$22)),0),0)</f>
        <v>0</v>
      </c>
      <c r="L103" s="783">
        <f>IF('Incremental Repayments'!$R$22="Debt",IF(AND(L$4&gt;=$D103,L$4&lt;$D103+'Incremental Repayments'!$I$31),-PMT('Interest Rate'!$J$16,'Incremental Repayments'!$I$31,(HLOOKUP($D103,$E$4:$CZ$32,28,FALSE)*'Incremental Repayments'!$I$22)),0),0)</f>
        <v>0</v>
      </c>
      <c r="M103" s="783">
        <f>IF('Incremental Repayments'!$R$22="Debt",IF(AND(M$4&gt;=$D103,M$4&lt;$D103+'Incremental Repayments'!$I$31),-PMT('Interest Rate'!$J$16,'Incremental Repayments'!$I$31,(HLOOKUP($D103,$E$4:$CZ$32,28,FALSE)*'Incremental Repayments'!$I$22)),0),0)</f>
        <v>0</v>
      </c>
      <c r="N103" s="783">
        <f>IF('Incremental Repayments'!$R$22="Debt",IF(AND(N$4&gt;=$D103,N$4&lt;$D103+'Incremental Repayments'!$I$31),-PMT('Interest Rate'!$J$16,'Incremental Repayments'!$I$31,(HLOOKUP($D103,$E$4:$CZ$32,28,FALSE)*'Incremental Repayments'!$I$22)),0),0)</f>
        <v>0</v>
      </c>
      <c r="O103" s="783">
        <f>IF('Incremental Repayments'!$R$22="Debt",IF(AND(O$4&gt;=$D103,O$4&lt;$D103+'Incremental Repayments'!$I$31),-PMT('Interest Rate'!$J$16,'Incremental Repayments'!$I$31,(HLOOKUP($D103,$E$4:$CZ$32,28,FALSE)*'Incremental Repayments'!$I$22)),0),0)</f>
        <v>0</v>
      </c>
      <c r="P103" s="783">
        <f>IF('Incremental Repayments'!$R$22="Debt",IF(AND(P$4&gt;=$D103,P$4&lt;$D103+'Incremental Repayments'!$I$31),-PMT('Interest Rate'!$J$16,'Incremental Repayments'!$I$31,(HLOOKUP($D103,$E$4:$CZ$32,28,FALSE)*'Incremental Repayments'!$I$22)),0),0)</f>
        <v>0</v>
      </c>
      <c r="Q103" s="783">
        <f>IF('Incremental Repayments'!$R$22="Debt",IF(AND(Q$4&gt;=$D103,Q$4&lt;$D103+'Incremental Repayments'!$I$31),-PMT('Interest Rate'!$J$16,'Incremental Repayments'!$I$31,(HLOOKUP($D103,$E$4:$CZ$32,28,FALSE)*'Incremental Repayments'!$I$22)),0),0)</f>
        <v>0</v>
      </c>
      <c r="R103" s="783">
        <f>IF('Incremental Repayments'!$R$22="Debt",IF(AND(R$4&gt;=$D103,R$4&lt;$D103+'Incremental Repayments'!$I$31),-PMT('Interest Rate'!$J$16,'Incremental Repayments'!$I$31,(HLOOKUP($D103,$E$4:$CZ$32,28,FALSE)*'Incremental Repayments'!$I$22)),0),0)</f>
        <v>0</v>
      </c>
      <c r="S103" s="783">
        <f>IF('Incremental Repayments'!$R$22="Debt",IF(AND(S$4&gt;=$D103,S$4&lt;$D103+'Incremental Repayments'!$I$31),-PMT('Interest Rate'!$J$16,'Incremental Repayments'!$I$31,(HLOOKUP($D103,$E$4:$CZ$32,28,FALSE)*'Incremental Repayments'!$I$22)),0),0)</f>
        <v>0</v>
      </c>
      <c r="T103" s="783">
        <f>IF('Incremental Repayments'!$R$22="Debt",IF(AND(T$4&gt;=$D103,T$4&lt;$D103+'Incremental Repayments'!$I$31),-PMT('Interest Rate'!$J$16,'Incremental Repayments'!$I$31,(HLOOKUP($D103,$E$4:$CZ$32,28,FALSE)*'Incremental Repayments'!$I$22)),0),0)</f>
        <v>0</v>
      </c>
      <c r="U103" s="783">
        <f>IF('Incremental Repayments'!$R$22="Debt",IF(AND(U$4&gt;=$D103,U$4&lt;$D103+'Incremental Repayments'!$I$31),-PMT('Interest Rate'!$J$16,'Incremental Repayments'!$I$31,(HLOOKUP($D103,$E$4:$CZ$32,28,FALSE)*'Incremental Repayments'!$I$22)),0),0)</f>
        <v>0</v>
      </c>
      <c r="V103" s="783">
        <f>IF('Incremental Repayments'!$R$22="Debt",IF(AND(V$4&gt;=$D103,V$4&lt;$D103+'Incremental Repayments'!$I$31),-PMT('Interest Rate'!$J$16,'Incremental Repayments'!$I$31,(HLOOKUP($D103,$E$4:$CZ$32,28,FALSE)*'Incremental Repayments'!$I$22)),0),0)</f>
        <v>0</v>
      </c>
      <c r="W103" s="783">
        <f>IF('Incremental Repayments'!$R$22="Debt",IF(AND(W$4&gt;=$D103,W$4&lt;$D103+'Incremental Repayments'!$I$31),-PMT('Interest Rate'!$J$16,'Incremental Repayments'!$I$31,(HLOOKUP($D103,$E$4:$CZ$32,28,FALSE)*'Incremental Repayments'!$I$22)),0),0)</f>
        <v>0</v>
      </c>
      <c r="X103" s="783">
        <f>IF('Incremental Repayments'!$R$22="Debt",IF(AND(X$4&gt;=$D103,X$4&lt;$D103+'Incremental Repayments'!$I$31),-PMT('Interest Rate'!$J$16,'Incremental Repayments'!$I$31,(HLOOKUP($D103,$E$4:$CZ$32,28,FALSE)*'Incremental Repayments'!$I$22)),0),0)</f>
        <v>0</v>
      </c>
      <c r="Y103" s="783">
        <f>IF('Incremental Repayments'!$R$22="Debt",IF(AND(Y$4&gt;=$D103,Y$4&lt;$D103+'Incremental Repayments'!$I$31),-PMT('Interest Rate'!$J$16,'Incremental Repayments'!$I$31,(HLOOKUP($D103,$E$4:$CZ$32,28,FALSE)*'Incremental Repayments'!$I$22)),0),0)</f>
        <v>0</v>
      </c>
      <c r="Z103" s="783">
        <f>IF('Incremental Repayments'!$R$22="Debt",IF(AND(Z$4&gt;=$D103,Z$4&lt;$D103+'Incremental Repayments'!$I$31),-PMT('Interest Rate'!$J$16,'Incremental Repayments'!$I$31,(HLOOKUP($D103,$E$4:$CZ$32,28,FALSE)*'Incremental Repayments'!$I$22)),0),0)</f>
        <v>0</v>
      </c>
      <c r="AA103" s="783">
        <f>IF('Incremental Repayments'!$R$22="Debt",IF(AND(AA$4&gt;=$D103,AA$4&lt;$D103+'Incremental Repayments'!$I$31),-PMT('Interest Rate'!$J$16,'Incremental Repayments'!$I$31,(HLOOKUP($D103,$E$4:$CZ$32,28,FALSE)*'Incremental Repayments'!$I$22)),0),0)</f>
        <v>0</v>
      </c>
      <c r="AB103" s="783">
        <f>IF('Incremental Repayments'!$R$22="Debt",IF(AND(AB$4&gt;=$D103,AB$4&lt;$D103+'Incremental Repayments'!$I$31),-PMT('Interest Rate'!$J$16,'Incremental Repayments'!$I$31,(HLOOKUP($D103,$E$4:$CZ$32,28,FALSE)*'Incremental Repayments'!$I$22)),0),0)</f>
        <v>0</v>
      </c>
      <c r="AC103" s="783">
        <f>IF('Incremental Repayments'!$R$22="Debt",IF(AND(AC$4&gt;=$D103,AC$4&lt;$D103+'Incremental Repayments'!$I$31),-PMT('Interest Rate'!$J$16,'Incremental Repayments'!$I$31,(HLOOKUP($D103,$E$4:$CZ$32,28,FALSE)*'Incremental Repayments'!$I$22)),0),0)</f>
        <v>0</v>
      </c>
      <c r="AD103" s="783">
        <f>IF('Incremental Repayments'!$R$22="Debt",IF(AND(AD$4&gt;=$D103,AD$4&lt;$D103+'Incremental Repayments'!$I$31),-PMT('Interest Rate'!$J$16,'Incremental Repayments'!$I$31,(HLOOKUP($D103,$E$4:$CZ$32,28,FALSE)*'Incremental Repayments'!$I$22)),0),0)</f>
        <v>0</v>
      </c>
      <c r="AE103" s="783">
        <f>IF('Incremental Repayments'!$R$22="Debt",IF(AND(AE$4&gt;=$D103,AE$4&lt;$D103+'Incremental Repayments'!$I$31),-PMT('Interest Rate'!$J$16,'Incremental Repayments'!$I$31,(HLOOKUP($D103,$E$4:$CZ$32,28,FALSE)*'Incremental Repayments'!$I$22)),0),0)</f>
        <v>0</v>
      </c>
      <c r="AF103" s="783">
        <f>IF('Incremental Repayments'!$R$22="Debt",IF(AND(AF$4&gt;=$D103,AF$4&lt;$D103+'Incremental Repayments'!$I$31),-PMT('Interest Rate'!$J$16,'Incremental Repayments'!$I$31,(HLOOKUP($D103,$E$4:$CZ$32,28,FALSE)*'Incremental Repayments'!$I$22)),0),0)</f>
        <v>0</v>
      </c>
      <c r="AG103" s="783">
        <f>IF('Incremental Repayments'!$R$22="Debt",IF(AND(AG$4&gt;=$D103,AG$4&lt;$D103+'Incremental Repayments'!$I$31),-PMT('Interest Rate'!$J$16,'Incremental Repayments'!$I$31,(HLOOKUP($D103,$E$4:$CZ$32,28,FALSE)*'Incremental Repayments'!$I$22)),0),0)</f>
        <v>0</v>
      </c>
      <c r="AH103" s="783">
        <f>IF('Incremental Repayments'!$R$22="Debt",IF(AND(AH$4&gt;=$D103,AH$4&lt;$D103+'Incremental Repayments'!$I$31),-PMT('Interest Rate'!$J$16,'Incremental Repayments'!$I$31,(HLOOKUP($D103,$E$4:$CZ$32,28,FALSE)*'Incremental Repayments'!$I$22)),0),0)</f>
        <v>0</v>
      </c>
      <c r="AI103" s="783">
        <f>IF('Incremental Repayments'!$R$22="Debt",IF(AND(AI$4&gt;=$D103,AI$4&lt;$D103+'Incremental Repayments'!$I$31),-PMT('Interest Rate'!$J$16,'Incremental Repayments'!$I$31,(HLOOKUP($D103,$E$4:$CZ$32,28,FALSE)*'Incremental Repayments'!$I$22)),0),0)</f>
        <v>0</v>
      </c>
      <c r="AJ103" s="783">
        <f>IF('Incremental Repayments'!$R$22="Debt",IF(AND(AJ$4&gt;=$D103,AJ$4&lt;$D103+'Incremental Repayments'!$I$31),-PMT('Interest Rate'!$J$16,'Incremental Repayments'!$I$31,(HLOOKUP($D103,$E$4:$CZ$32,28,FALSE)*'Incremental Repayments'!$I$22)),0),0)</f>
        <v>0</v>
      </c>
      <c r="AK103" s="783">
        <f>IF('Incremental Repayments'!$R$22="Debt",IF(AND(AK$4&gt;=$D103,AK$4&lt;$D103+'Incremental Repayments'!$I$31),-PMT('Interest Rate'!$J$16,'Incremental Repayments'!$I$31,(HLOOKUP($D103,$E$4:$CZ$32,28,FALSE)*'Incremental Repayments'!$I$22)),0),0)</f>
        <v>0</v>
      </c>
      <c r="AL103" s="783">
        <f>IF('Incremental Repayments'!$R$22="Debt",IF(AND(AL$4&gt;=$D103,AL$4&lt;$D103+'Incremental Repayments'!$I$31),-PMT('Interest Rate'!$J$16,'Incremental Repayments'!$I$31,(HLOOKUP($D103,$E$4:$CZ$32,28,FALSE)*'Incremental Repayments'!$I$22)),0),0)</f>
        <v>0</v>
      </c>
      <c r="AM103" s="783">
        <f>IF('Incremental Repayments'!$R$22="Debt",IF(AND(AM$4&gt;=$D103,AM$4&lt;$D103+'Incremental Repayments'!$I$31),-PMT('Interest Rate'!$J$16,'Incremental Repayments'!$I$31,(HLOOKUP($D103,$E$4:$CZ$32,28,FALSE)*'Incremental Repayments'!$I$22)),0),0)</f>
        <v>0</v>
      </c>
      <c r="AN103" s="783">
        <f>IF('Incremental Repayments'!$R$22="Debt",IF(AND(AN$4&gt;=$D103,AN$4&lt;$D103+'Incremental Repayments'!$I$31),-PMT('Interest Rate'!$J$16,'Incremental Repayments'!$I$31,(HLOOKUP($D103,$E$4:$CZ$32,28,FALSE)*'Incremental Repayments'!$I$22)),0),0)</f>
        <v>0</v>
      </c>
      <c r="AO103" s="783">
        <f>IF('Incremental Repayments'!$R$22="Debt",IF(AND(AO$4&gt;=$D103,AO$4&lt;$D103+'Incremental Repayments'!$I$31),-PMT('Interest Rate'!$J$16,'Incremental Repayments'!$I$31,(HLOOKUP($D103,$E$4:$CZ$32,28,FALSE)*'Incremental Repayments'!$I$22)),0),0)</f>
        <v>0</v>
      </c>
      <c r="AP103" s="783">
        <f>IF('Incremental Repayments'!$R$22="Debt",IF(AND(AP$4&gt;=$D103,AP$4&lt;$D103+'Incremental Repayments'!$I$31),-PMT('Interest Rate'!$J$16,'Incremental Repayments'!$I$31,(HLOOKUP($D103,$E$4:$CZ$32,28,FALSE)*'Incremental Repayments'!$I$22)),0),0)</f>
        <v>0</v>
      </c>
      <c r="AQ103" s="783">
        <f>IF('Incremental Repayments'!$R$22="Debt",IF(AND(AQ$4&gt;=$D103,AQ$4&lt;$D103+'Incremental Repayments'!$I$31),-PMT('Interest Rate'!$J$16,'Incremental Repayments'!$I$31,(HLOOKUP($D103,$E$4:$CZ$32,28,FALSE)*'Incremental Repayments'!$I$22)),0),0)</f>
        <v>0</v>
      </c>
      <c r="AR103" s="783">
        <f>IF('Incremental Repayments'!$R$22="Debt",IF(AND(AR$4&gt;=$D103,AR$4&lt;$D103+'Incremental Repayments'!$I$31),-PMT('Interest Rate'!$J$16,'Incremental Repayments'!$I$31,(HLOOKUP($D103,$E$4:$CZ$32,28,FALSE)*'Incremental Repayments'!$I$22)),0),0)</f>
        <v>0</v>
      </c>
      <c r="AS103" s="783">
        <f>IF('Incremental Repayments'!$R$22="Debt",IF(AND(AS$4&gt;=$D103,AS$4&lt;$D103+'Incremental Repayments'!$I$31),-PMT('Interest Rate'!$J$16,'Incremental Repayments'!$I$31,(HLOOKUP($D103,$E$4:$CZ$32,28,FALSE)*'Incremental Repayments'!$I$22)),0),0)</f>
        <v>0</v>
      </c>
      <c r="AT103" s="783">
        <f>IF('Incremental Repayments'!$R$22="Debt",IF(AND(AT$4&gt;=$D103,AT$4&lt;$D103+'Incremental Repayments'!$I$31),-PMT('Interest Rate'!$J$16,'Incremental Repayments'!$I$31,(HLOOKUP($D103,$E$4:$CZ$32,28,FALSE)*'Incremental Repayments'!$I$22)),0),0)</f>
        <v>0</v>
      </c>
      <c r="AU103" s="783">
        <f>IF('Incremental Repayments'!$R$22="Debt",IF(AND(AU$4&gt;=$D103,AU$4&lt;$D103+'Incremental Repayments'!$I$31),-PMT('Interest Rate'!$J$16,'Incremental Repayments'!$I$31,(HLOOKUP($D103,$E$4:$CZ$32,28,FALSE)*'Incremental Repayments'!$I$22)),0),0)</f>
        <v>0</v>
      </c>
      <c r="AV103" s="783">
        <f>IF('Incremental Repayments'!$R$22="Debt",IF(AND(AV$4&gt;=$D103,AV$4&lt;$D103+'Incremental Repayments'!$I$31),-PMT('Interest Rate'!$J$16,'Incremental Repayments'!$I$31,(HLOOKUP($D103,$E$4:$CZ$32,28,FALSE)*'Incremental Repayments'!$I$22)),0),0)</f>
        <v>0</v>
      </c>
      <c r="AW103" s="783">
        <f>IF('Incremental Repayments'!$R$22="Debt",IF(AND(AW$4&gt;=$D103,AW$4&lt;$D103+'Incremental Repayments'!$I$31),-PMT('Interest Rate'!$J$16,'Incremental Repayments'!$I$31,(HLOOKUP($D103,$E$4:$CZ$32,28,FALSE)*'Incremental Repayments'!$I$22)),0),0)</f>
        <v>0</v>
      </c>
      <c r="AX103" s="783">
        <f>IF('Incremental Repayments'!$R$22="Debt",IF(AND(AX$4&gt;=$D103,AX$4&lt;$D103+'Incremental Repayments'!$I$31),-PMT('Interest Rate'!$J$16,'Incremental Repayments'!$I$31,(HLOOKUP($D103,$E$4:$CZ$32,28,FALSE)*'Incremental Repayments'!$I$22)),0),0)</f>
        <v>0</v>
      </c>
      <c r="AY103" s="783">
        <f>IF('Incremental Repayments'!$R$22="Debt",IF(AND(AY$4&gt;=$D103,AY$4&lt;$D103+'Incremental Repayments'!$I$31),-PMT('Interest Rate'!$J$16,'Incremental Repayments'!$I$31,(HLOOKUP($D103,$E$4:$CZ$32,28,FALSE)*'Incremental Repayments'!$I$22)),0),0)</f>
        <v>0</v>
      </c>
      <c r="AZ103" s="783">
        <f>IF('Incremental Repayments'!$R$22="Debt",IF(AND(AZ$4&gt;=$D103,AZ$4&lt;$D103+'Incremental Repayments'!$I$31),-PMT('Interest Rate'!$J$16,'Incremental Repayments'!$I$31,(HLOOKUP($D103,$E$4:$CZ$32,28,FALSE)*'Incremental Repayments'!$I$22)),0),0)</f>
        <v>0</v>
      </c>
      <c r="BA103" s="783">
        <f>IF('Incremental Repayments'!$R$22="Debt",IF(AND(BA$4&gt;=$D103,BA$4&lt;$D103+'Incremental Repayments'!$I$31),-PMT('Interest Rate'!$J$16,'Incremental Repayments'!$I$31,(HLOOKUP($D103,$E$4:$CZ$32,28,FALSE)*'Incremental Repayments'!$I$22)),0),0)</f>
        <v>0</v>
      </c>
      <c r="BB103" s="783">
        <f>IF('Incremental Repayments'!$R$22="Debt",IF(AND(BB$4&gt;=$D103,BB$4&lt;$D103+'Incremental Repayments'!$I$31),-PMT('Interest Rate'!$J$16,'Incremental Repayments'!$I$31,(HLOOKUP($D103,$E$4:$CZ$32,28,FALSE)*'Incremental Repayments'!$I$22)),0),0)</f>
        <v>0</v>
      </c>
      <c r="BC103" s="783">
        <f>IF('Incremental Repayments'!$R$22="Debt",IF(AND(BC$4&gt;=$D103,BC$4&lt;$D103+'Incremental Repayments'!$I$31),-PMT('Interest Rate'!$J$16,'Incremental Repayments'!$I$31,(HLOOKUP($D103,$E$4:$CZ$32,28,FALSE)*'Incremental Repayments'!$I$22)),0),0)</f>
        <v>0</v>
      </c>
      <c r="BD103" s="783">
        <f>IF('Incremental Repayments'!$R$22="Debt",IF(AND(BD$4&gt;=$D103,BD$4&lt;$D103+'Incremental Repayments'!$I$31),-PMT('Interest Rate'!$J$16,'Incremental Repayments'!$I$31,(HLOOKUP($D103,$E$4:$CZ$32,28,FALSE)*'Incremental Repayments'!$I$22)),0),0)</f>
        <v>0</v>
      </c>
      <c r="BE103" s="783">
        <f>IF('Incremental Repayments'!$R$22="Debt",IF(AND(BE$4&gt;=$D103,BE$4&lt;$D103+'Incremental Repayments'!$I$31),-PMT('Interest Rate'!$J$16,'Incremental Repayments'!$I$31,(HLOOKUP($D103,$E$4:$CZ$32,28,FALSE)*'Incremental Repayments'!$I$22)),0),0)</f>
        <v>0</v>
      </c>
      <c r="BF103" s="783">
        <f>IF('Incremental Repayments'!$R$22="Debt",IF(AND(BF$4&gt;=$D103,BF$4&lt;$D103+'Incremental Repayments'!$I$31),-PMT('Interest Rate'!$J$16,'Incremental Repayments'!$I$31,(HLOOKUP($D103,$E$4:$CZ$32,28,FALSE)*'Incremental Repayments'!$I$22)),0),0)</f>
        <v>0</v>
      </c>
      <c r="BG103" s="783">
        <f>IF('Incremental Repayments'!$R$22="Debt",IF(AND(BG$4&gt;=$D103,BG$4&lt;$D103+'Incremental Repayments'!$I$31),-PMT('Interest Rate'!$J$16,'Incremental Repayments'!$I$31,(HLOOKUP($D103,$E$4:$CZ$32,28,FALSE)*'Incremental Repayments'!$I$22)),0),0)</f>
        <v>0</v>
      </c>
      <c r="BH103" s="783">
        <f>IF('Incremental Repayments'!$R$22="Debt",IF(AND(BH$4&gt;=$D103,BH$4&lt;$D103+'Incremental Repayments'!$I$31),-PMT('Interest Rate'!$J$16,'Incremental Repayments'!$I$31,(HLOOKUP($D103,$E$4:$CZ$32,28,FALSE)*'Incremental Repayments'!$I$22)),0),0)</f>
        <v>0</v>
      </c>
      <c r="BI103" s="783">
        <f>IF('Incremental Repayments'!$R$22="Debt",IF(AND(BI$4&gt;=$D103,BI$4&lt;$D103+'Incremental Repayments'!$I$31),-PMT('Interest Rate'!$J$16,'Incremental Repayments'!$I$31,(HLOOKUP($D103,$E$4:$CZ$32,28,FALSE)*'Incremental Repayments'!$I$22)),0),0)</f>
        <v>0</v>
      </c>
      <c r="BJ103" s="783">
        <f>IF('Incremental Repayments'!$R$22="Debt",IF(AND(BJ$4&gt;=$D103,BJ$4&lt;$D103+'Incremental Repayments'!$I$31),-PMT('Interest Rate'!$J$16,'Incremental Repayments'!$I$31,(HLOOKUP($D103,$E$4:$CZ$32,28,FALSE)*'Incremental Repayments'!$I$22)),0),0)</f>
        <v>0</v>
      </c>
      <c r="BK103" s="783">
        <f>IF('Incremental Repayments'!$R$22="Debt",IF(AND(BK$4&gt;=$D103,BK$4&lt;$D103+'Incremental Repayments'!$I$31),-PMT('Interest Rate'!$J$16,'Incremental Repayments'!$I$31,(HLOOKUP($D103,$E$4:$CZ$32,28,FALSE)*'Incremental Repayments'!$I$22)),0),0)</f>
        <v>0</v>
      </c>
      <c r="BL103" s="783">
        <f>IF('Incremental Repayments'!$R$22="Debt",IF(AND(BL$4&gt;=$D103,BL$4&lt;$D103+'Incremental Repayments'!$I$31),-PMT('Interest Rate'!$J$16,'Incremental Repayments'!$I$31,(HLOOKUP($D103,$E$4:$CZ$32,28,FALSE)*'Incremental Repayments'!$I$22)),0),0)</f>
        <v>0</v>
      </c>
      <c r="BM103" s="783">
        <f>IF('Incremental Repayments'!$R$22="Debt",IF(AND(BM$4&gt;=$D103,BM$4&lt;$D103+'Incremental Repayments'!$I$31),-PMT('Interest Rate'!$J$16,'Incremental Repayments'!$I$31,(HLOOKUP($D103,$E$4:$CZ$32,28,FALSE)*'Incremental Repayments'!$I$22)),0),0)</f>
        <v>0</v>
      </c>
      <c r="BN103" s="783">
        <f>IF('Incremental Repayments'!$R$22="Debt",IF(AND(BN$4&gt;=$D103,BN$4&lt;$D103+'Incremental Repayments'!$I$31),-PMT('Interest Rate'!$J$16,'Incremental Repayments'!$I$31,(HLOOKUP($D103,$E$4:$CZ$32,28,FALSE)*'Incremental Repayments'!$I$22)),0),0)</f>
        <v>0</v>
      </c>
      <c r="BO103" s="783">
        <f>IF('Incremental Repayments'!$R$22="Debt",IF(AND(BO$4&gt;=$D103,BO$4&lt;$D103+'Incremental Repayments'!$I$31),-PMT('Interest Rate'!$J$16,'Incremental Repayments'!$I$31,(HLOOKUP($D103,$E$4:$CZ$32,28,FALSE)*'Incremental Repayments'!$I$22)),0),0)</f>
        <v>0</v>
      </c>
      <c r="BP103" s="783">
        <f>IF('Incremental Repayments'!$R$22="Debt",IF(AND(BP$4&gt;=$D103,BP$4&lt;$D103+'Incremental Repayments'!$I$31),-PMT('Interest Rate'!$J$16,'Incremental Repayments'!$I$31,(HLOOKUP($D103,$E$4:$CZ$32,28,FALSE)*'Incremental Repayments'!$I$22)),0),0)</f>
        <v>0</v>
      </c>
      <c r="BQ103" s="783">
        <f>IF('Incremental Repayments'!$R$22="Debt",IF(AND(BQ$4&gt;=$D103,BQ$4&lt;$D103+'Incremental Repayments'!$I$31),-PMT('Interest Rate'!$J$16,'Incremental Repayments'!$I$31,(HLOOKUP($D103,$E$4:$CZ$32,28,FALSE)*'Incremental Repayments'!$I$22)),0),0)</f>
        <v>0</v>
      </c>
      <c r="BR103" s="783">
        <f>IF('Incremental Repayments'!$R$22="Debt",IF(AND(BR$4&gt;=$D103,BR$4&lt;$D103+'Incremental Repayments'!$I$31),-PMT('Interest Rate'!$J$16,'Incremental Repayments'!$I$31,(HLOOKUP($D103,$E$4:$CZ$32,28,FALSE)*'Incremental Repayments'!$I$22)),0),0)</f>
        <v>0</v>
      </c>
      <c r="BS103" s="783">
        <f>IF('Incremental Repayments'!$R$22="Debt",IF(AND(BS$4&gt;=$D103,BS$4&lt;$D103+'Incremental Repayments'!$I$31),-PMT('Interest Rate'!$J$16,'Incremental Repayments'!$I$31,(HLOOKUP($D103,$E$4:$CZ$32,28,FALSE)*'Incremental Repayments'!$I$22)),0),0)</f>
        <v>0</v>
      </c>
      <c r="BT103" s="783">
        <f>IF('Incremental Repayments'!$R$22="Debt",IF(AND(BT$4&gt;=$D103,BT$4&lt;$D103+'Incremental Repayments'!$I$31),-PMT('Interest Rate'!$J$16,'Incremental Repayments'!$I$31,(HLOOKUP($D103,$E$4:$CZ$32,28,FALSE)*'Incremental Repayments'!$I$22)),0),0)</f>
        <v>0</v>
      </c>
      <c r="BU103" s="783">
        <f>IF('Incremental Repayments'!$R$22="Debt",IF(AND(BU$4&gt;=$D103,BU$4&lt;$D103+'Incremental Repayments'!$I$31),-PMT('Interest Rate'!$J$16,'Incremental Repayments'!$I$31,(HLOOKUP($D103,$E$4:$CZ$32,28,FALSE)*'Incremental Repayments'!$I$22)),0),0)</f>
        <v>0</v>
      </c>
      <c r="BV103" s="783">
        <f>IF('Incremental Repayments'!$R$22="Debt",IF(AND(BV$4&gt;=$D103,BV$4&lt;$D103+'Incremental Repayments'!$I$31),-PMT('Interest Rate'!$J$16,'Incremental Repayments'!$I$31,(HLOOKUP($D103,$E$4:$CZ$32,28,FALSE)*'Incremental Repayments'!$I$22)),0),0)</f>
        <v>0</v>
      </c>
      <c r="BW103" s="783">
        <f>IF('Incremental Repayments'!$R$22="Debt",IF(AND(BW$4&gt;=$D103,BW$4&lt;$D103+'Incremental Repayments'!$I$31),-PMT('Interest Rate'!$J$16,'Incremental Repayments'!$I$31,(HLOOKUP($D103,$E$4:$CZ$32,28,FALSE)*'Incremental Repayments'!$I$22)),0),0)</f>
        <v>0</v>
      </c>
      <c r="BX103" s="783">
        <f>IF('Incremental Repayments'!$R$22="Debt",IF(AND(BX$4&gt;=$D103,BX$4&lt;$D103+'Incremental Repayments'!$I$31),-PMT('Interest Rate'!$J$16,'Incremental Repayments'!$I$31,(HLOOKUP($D103,$E$4:$CZ$32,28,FALSE)*'Incremental Repayments'!$I$22)),0),0)</f>
        <v>0</v>
      </c>
      <c r="BY103" s="783">
        <f>IF('Incremental Repayments'!$R$22="Debt",IF(AND(BY$4&gt;=$D103,BY$4&lt;$D103+'Incremental Repayments'!$I$31),-PMT('Interest Rate'!$J$16,'Incremental Repayments'!$I$31,(HLOOKUP($D103,$E$4:$CZ$32,28,FALSE)*'Incremental Repayments'!$I$22)),0),0)</f>
        <v>0</v>
      </c>
      <c r="BZ103" s="783">
        <f>IF('Incremental Repayments'!$R$22="Debt",IF(AND(BZ$4&gt;=$D103,BZ$4&lt;$D103+'Incremental Repayments'!$I$31),-PMT('Interest Rate'!$J$16,'Incremental Repayments'!$I$31,(HLOOKUP($D103,$E$4:$CZ$32,28,FALSE)*'Incremental Repayments'!$I$22)),0),0)</f>
        <v>0</v>
      </c>
      <c r="CA103" s="783">
        <f>IF('Incremental Repayments'!$R$22="Debt",IF(AND(CA$4&gt;=$D103,CA$4&lt;$D103+'Incremental Repayments'!$I$31),-PMT('Interest Rate'!$J$16,'Incremental Repayments'!$I$31,(HLOOKUP($D103,$E$4:$CZ$32,28,FALSE)*'Incremental Repayments'!$I$22)),0),0)</f>
        <v>0</v>
      </c>
      <c r="CB103" s="783">
        <f>IF('Incremental Repayments'!$R$22="Debt",IF(AND(CB$4&gt;=$D103,CB$4&lt;$D103+'Incremental Repayments'!$I$31),-PMT('Interest Rate'!$J$16,'Incremental Repayments'!$I$31,(HLOOKUP($D103,$E$4:$CZ$32,28,FALSE)*'Incremental Repayments'!$I$22)),0),0)</f>
        <v>0</v>
      </c>
      <c r="CC103" s="783">
        <f>IF('Incremental Repayments'!$R$22="Debt",IF(AND(CC$4&gt;=$D103,CC$4&lt;$D103+'Incremental Repayments'!$I$31),-PMT('Interest Rate'!$J$16,'Incremental Repayments'!$I$31,(HLOOKUP($D103,$E$4:$CZ$32,28,FALSE)*'Incremental Repayments'!$I$22)),0),0)</f>
        <v>0</v>
      </c>
      <c r="CD103" s="783">
        <f>IF('Incremental Repayments'!$R$22="Debt",IF(AND(CD$4&gt;=$D103,CD$4&lt;$D103+'Incremental Repayments'!$I$31),-PMT('Interest Rate'!$J$16,'Incremental Repayments'!$I$31,(HLOOKUP($D103,$E$4:$CZ$32,28,FALSE)*'Incremental Repayments'!$I$22)),0),0)</f>
        <v>0</v>
      </c>
      <c r="CE103" s="783">
        <f>IF('Incremental Repayments'!$R$22="Debt",IF(AND(CE$4&gt;=$D103,CE$4&lt;$D103+'Incremental Repayments'!$I$31),-PMT('Interest Rate'!$J$16,'Incremental Repayments'!$I$31,(HLOOKUP($D103,$E$4:$CZ$32,28,FALSE)*'Incremental Repayments'!$I$22)),0),0)</f>
        <v>0</v>
      </c>
      <c r="CF103" s="783">
        <f>IF('Incremental Repayments'!$R$22="Debt",IF(AND(CF$4&gt;=$D103,CF$4&lt;$D103+'Incremental Repayments'!$I$31),-PMT('Interest Rate'!$J$16,'Incremental Repayments'!$I$31,(HLOOKUP($D103,$E$4:$CZ$32,28,FALSE)*'Incremental Repayments'!$I$22)),0),0)</f>
        <v>0</v>
      </c>
      <c r="CG103" s="783">
        <f>IF('Incremental Repayments'!$R$22="Debt",IF(AND(CG$4&gt;=$D103,CG$4&lt;$D103+'Incremental Repayments'!$I$31),-PMT('Interest Rate'!$J$16,'Incremental Repayments'!$I$31,(HLOOKUP($D103,$E$4:$CZ$32,28,FALSE)*'Incremental Repayments'!$I$22)),0),0)</f>
        <v>0</v>
      </c>
      <c r="CH103" s="783">
        <f>IF('Incremental Repayments'!$R$22="Debt",IF(AND(CH$4&gt;=$D103,CH$4&lt;$D103+'Incremental Repayments'!$I$31),-PMT('Interest Rate'!$J$16,'Incremental Repayments'!$I$31,(HLOOKUP($D103,$E$4:$CZ$32,28,FALSE)*'Incremental Repayments'!$I$22)),0),0)</f>
        <v>0</v>
      </c>
      <c r="CI103" s="783">
        <f>IF('Incremental Repayments'!$R$22="Debt",IF(AND(CI$4&gt;=$D103,CI$4&lt;$D103+'Incremental Repayments'!$I$31),-PMT('Interest Rate'!$J$16,'Incremental Repayments'!$I$31,(HLOOKUP($D103,$E$4:$CZ$32,28,FALSE)*'Incremental Repayments'!$I$22)),0),0)</f>
        <v>0</v>
      </c>
      <c r="CJ103" s="783">
        <f>IF('Incremental Repayments'!$R$22="Debt",IF(AND(CJ$4&gt;=$D103,CJ$4&lt;$D103+'Incremental Repayments'!$I$31),-PMT('Interest Rate'!$J$16,'Incremental Repayments'!$I$31,(HLOOKUP($D103,$E$4:$CZ$32,28,FALSE)*'Incremental Repayments'!$I$22)),0),0)</f>
        <v>0</v>
      </c>
      <c r="CK103" s="783">
        <f>IF('Incremental Repayments'!$R$22="Debt",IF(AND(CK$4&gt;=$D103,CK$4&lt;$D103+'Incremental Repayments'!$I$31),-PMT('Interest Rate'!$J$16,'Incremental Repayments'!$I$31,(HLOOKUP($D103,$E$4:$CZ$32,28,FALSE)*'Incremental Repayments'!$I$22)),0),0)</f>
        <v>0</v>
      </c>
      <c r="CL103" s="783">
        <f>IF('Incremental Repayments'!$R$22="Debt",IF(AND(CL$4&gt;=$D103,CL$4&lt;$D103+'Incremental Repayments'!$I$31),-PMT('Interest Rate'!$J$16,'Incremental Repayments'!$I$31,(HLOOKUP($D103,$E$4:$CZ$32,28,FALSE)*'Incremental Repayments'!$I$22)),0),0)</f>
        <v>0</v>
      </c>
      <c r="CM103" s="783">
        <f>IF('Incremental Repayments'!$R$22="Debt",IF(AND(CM$4&gt;=$D103,CM$4&lt;$D103+'Incremental Repayments'!$I$31),-PMT('Interest Rate'!$J$16,'Incremental Repayments'!$I$31,(HLOOKUP($D103,$E$4:$CZ$32,28,FALSE)*'Incremental Repayments'!$I$22)),0),0)</f>
        <v>0</v>
      </c>
      <c r="CN103" s="783">
        <f>IF('Incremental Repayments'!$R$22="Debt",IF(AND(CN$4&gt;=$D103,CN$4&lt;$D103+'Incremental Repayments'!$I$31),-PMT('Interest Rate'!$J$16,'Incremental Repayments'!$I$31,(HLOOKUP($D103,$E$4:$CZ$32,28,FALSE)*'Incremental Repayments'!$I$22)),0),0)</f>
        <v>0</v>
      </c>
      <c r="CO103" s="783">
        <f>IF('Incremental Repayments'!$R$22="Debt",IF(AND(CO$4&gt;=$D103,CO$4&lt;$D103+'Incremental Repayments'!$I$31),-PMT('Interest Rate'!$J$16,'Incremental Repayments'!$I$31,(HLOOKUP($D103,$E$4:$CZ$32,28,FALSE)*'Incremental Repayments'!$I$22)),0),0)</f>
        <v>0</v>
      </c>
      <c r="CP103" s="783">
        <f>IF('Incremental Repayments'!$R$22="Debt",IF(AND(CP$4&gt;=$D103,CP$4&lt;$D103+'Incremental Repayments'!$I$31),-PMT('Interest Rate'!$J$16,'Incremental Repayments'!$I$31,(HLOOKUP($D103,$E$4:$CZ$32,28,FALSE)*'Incremental Repayments'!$I$22)),0),0)</f>
        <v>0</v>
      </c>
      <c r="CQ103" s="783">
        <f>IF('Incremental Repayments'!$R$22="Debt",IF(AND(CQ$4&gt;=$D103,CQ$4&lt;$D103+'Incremental Repayments'!$I$31),-PMT('Interest Rate'!$J$16,'Incremental Repayments'!$I$31,(HLOOKUP($D103,$E$4:$CZ$32,28,FALSE)*'Incremental Repayments'!$I$22)),0),0)</f>
        <v>0</v>
      </c>
      <c r="CR103" s="783">
        <f>IF('Incremental Repayments'!$R$22="Debt",IF(AND(CR$4&gt;=$D103,CR$4&lt;$D103+'Incremental Repayments'!$I$31),-PMT('Interest Rate'!$J$16,'Incremental Repayments'!$I$31,(HLOOKUP($D103,$E$4:$CZ$32,28,FALSE)*'Incremental Repayments'!$I$22)),0),0)</f>
        <v>0</v>
      </c>
      <c r="CS103" s="783">
        <f>IF('Incremental Repayments'!$R$22="Debt",IF(AND(CS$4&gt;=$D103,CS$4&lt;$D103+'Incremental Repayments'!$I$31),-PMT('Interest Rate'!$J$16,'Incremental Repayments'!$I$31,(HLOOKUP($D103,$E$4:$CZ$32,28,FALSE)*'Incremental Repayments'!$I$22)),0),0)</f>
        <v>0</v>
      </c>
      <c r="CT103" s="783">
        <f>IF('Incremental Repayments'!$R$22="Debt",IF(AND(CT$4&gt;=$D103,CT$4&lt;$D103+'Incremental Repayments'!$I$31),-PMT('Interest Rate'!$J$16,'Incremental Repayments'!$I$31,(HLOOKUP($D103,$E$4:$CZ$32,28,FALSE)*'Incremental Repayments'!$I$22)),0),0)</f>
        <v>0</v>
      </c>
      <c r="CU103" s="783">
        <f>IF('Incremental Repayments'!$R$22="Debt",IF(AND(CU$4&gt;=$D103,CU$4&lt;$D103+'Incremental Repayments'!$I$31),-PMT('Interest Rate'!$J$16,'Incremental Repayments'!$I$31,(HLOOKUP($D103,$E$4:$CZ$32,28,FALSE)*'Incremental Repayments'!$I$22)),0),0)</f>
        <v>0</v>
      </c>
      <c r="CV103" s="783">
        <f>IF('Incremental Repayments'!$R$22="Debt",IF(AND(CV$4&gt;=$D103,CV$4&lt;$D103+'Incremental Repayments'!$I$31),-PMT('Interest Rate'!$J$16,'Incremental Repayments'!$I$31,(HLOOKUP($D103,$E$4:$CZ$32,28,FALSE)*'Incremental Repayments'!$I$22)),0),0)</f>
        <v>0</v>
      </c>
      <c r="CW103" s="783">
        <f>IF('Incremental Repayments'!$R$22="Debt",IF(AND(CW$4&gt;=$D103,CW$4&lt;$D103+'Incremental Repayments'!$I$31),-PMT('Interest Rate'!$J$16,'Incremental Repayments'!$I$31,(HLOOKUP($D103,$E$4:$CZ$32,28,FALSE)*'Incremental Repayments'!$I$22)),0),0)</f>
        <v>0</v>
      </c>
      <c r="CX103" s="783">
        <f>IF('Incremental Repayments'!$R$22="Debt",IF(AND(CX$4&gt;=$D103,CX$4&lt;$D103+'Incremental Repayments'!$I$31),-PMT('Interest Rate'!$J$16,'Incremental Repayments'!$I$31,(HLOOKUP($D103,$E$4:$CZ$32,28,FALSE)*'Incremental Repayments'!$I$22)),0),0)</f>
        <v>0</v>
      </c>
      <c r="CY103" s="783">
        <f>IF('Incremental Repayments'!$R$22="Debt",IF(AND(CY$4&gt;=$D103,CY$4&lt;$D103+'Incremental Repayments'!$I$31),-PMT('Interest Rate'!$J$16,'Incremental Repayments'!$I$31,(HLOOKUP($D103,$E$4:$CZ$32,28,FALSE)*'Incremental Repayments'!$I$22)),0),0)</f>
        <v>0</v>
      </c>
      <c r="CZ103" s="783">
        <f>IF('Incremental Repayments'!$R$22="Debt",IF(AND(CZ$4&gt;=$D103,CZ$4&lt;$D103+'Incremental Repayments'!$I$31),-PMT('Interest Rate'!$J$16,'Incremental Repayments'!$I$31,(HLOOKUP($D103,$E$4:$CZ$32,28,FALSE)*'Incremental Repayments'!$I$22)),0),0)</f>
        <v>0</v>
      </c>
    </row>
    <row r="104" spans="2:104" x14ac:dyDescent="0.25">
      <c r="B104" s="480" t="str">
        <f>CONCATENATE("Series ",D104,"A Bonds (at ",'Interest Rate'!$J$16*100,"% Interest)")</f>
        <v>Series 2082A Bonds (at 4.5% Interest)</v>
      </c>
      <c r="C104" s="480"/>
      <c r="D104" s="492">
        <f t="shared" si="47"/>
        <v>2082</v>
      </c>
      <c r="E104" s="783">
        <f>IF('Incremental Repayments'!$R$22="Debt",IF(AND(E$4&gt;=$D104,E$4&lt;$D104+'Incremental Repayments'!$I$31),-PMT('Interest Rate'!$J$16,'Incremental Repayments'!$I$31,(HLOOKUP($D104,$E$4:$CZ$32,28,FALSE)*'Incremental Repayments'!$I$22)),0),0)</f>
        <v>0</v>
      </c>
      <c r="F104" s="783">
        <f>IF('Incremental Repayments'!$R$22="Debt",IF(AND(F$4&gt;=$D104,F$4&lt;$D104+'Incremental Repayments'!$I$31),-PMT('Interest Rate'!$J$16,'Incremental Repayments'!$I$31,(HLOOKUP($D104,$E$4:$CZ$32,28,FALSE)*'Incremental Repayments'!$I$22)),0),0)</f>
        <v>0</v>
      </c>
      <c r="G104" s="783">
        <f>IF('Incremental Repayments'!$R$22="Debt",IF(AND(G$4&gt;=$D104,G$4&lt;$D104+'Incremental Repayments'!$I$31),-PMT('Interest Rate'!$J$16,'Incremental Repayments'!$I$31,(HLOOKUP($D104,$E$4:$CZ$32,28,FALSE)*'Incremental Repayments'!$I$22)),0),0)</f>
        <v>0</v>
      </c>
      <c r="H104" s="783">
        <f>IF('Incremental Repayments'!$R$22="Debt",IF(AND(H$4&gt;=$D104,H$4&lt;$D104+'Incremental Repayments'!$I$31),-PMT('Interest Rate'!$J$16,'Incremental Repayments'!$I$31,(HLOOKUP($D104,$E$4:$CZ$32,28,FALSE)*'Incremental Repayments'!$I$22)),0),0)</f>
        <v>0</v>
      </c>
      <c r="I104" s="783">
        <f>IF('Incremental Repayments'!$R$22="Debt",IF(AND(I$4&gt;=$D104,I$4&lt;$D104+'Incremental Repayments'!$I$31),-PMT('Interest Rate'!$J$16,'Incremental Repayments'!$I$31,(HLOOKUP($D104,$E$4:$CZ$32,28,FALSE)*'Incremental Repayments'!$I$22)),0),0)</f>
        <v>0</v>
      </c>
      <c r="J104" s="783">
        <f>IF('Incremental Repayments'!$R$22="Debt",IF(AND(J$4&gt;=$D104,J$4&lt;$D104+'Incremental Repayments'!$I$31),-PMT('Interest Rate'!$J$16,'Incremental Repayments'!$I$31,(HLOOKUP($D104,$E$4:$CZ$32,28,FALSE)*'Incremental Repayments'!$I$22)),0),0)</f>
        <v>0</v>
      </c>
      <c r="K104" s="783">
        <f>IF('Incremental Repayments'!$R$22="Debt",IF(AND(K$4&gt;=$D104,K$4&lt;$D104+'Incremental Repayments'!$I$31),-PMT('Interest Rate'!$J$16,'Incremental Repayments'!$I$31,(HLOOKUP($D104,$E$4:$CZ$32,28,FALSE)*'Incremental Repayments'!$I$22)),0),0)</f>
        <v>0</v>
      </c>
      <c r="L104" s="783">
        <f>IF('Incremental Repayments'!$R$22="Debt",IF(AND(L$4&gt;=$D104,L$4&lt;$D104+'Incremental Repayments'!$I$31),-PMT('Interest Rate'!$J$16,'Incremental Repayments'!$I$31,(HLOOKUP($D104,$E$4:$CZ$32,28,FALSE)*'Incremental Repayments'!$I$22)),0),0)</f>
        <v>0</v>
      </c>
      <c r="M104" s="783">
        <f>IF('Incremental Repayments'!$R$22="Debt",IF(AND(M$4&gt;=$D104,M$4&lt;$D104+'Incremental Repayments'!$I$31),-PMT('Interest Rate'!$J$16,'Incremental Repayments'!$I$31,(HLOOKUP($D104,$E$4:$CZ$32,28,FALSE)*'Incremental Repayments'!$I$22)),0),0)</f>
        <v>0</v>
      </c>
      <c r="N104" s="783">
        <f>IF('Incremental Repayments'!$R$22="Debt",IF(AND(N$4&gt;=$D104,N$4&lt;$D104+'Incremental Repayments'!$I$31),-PMT('Interest Rate'!$J$16,'Incremental Repayments'!$I$31,(HLOOKUP($D104,$E$4:$CZ$32,28,FALSE)*'Incremental Repayments'!$I$22)),0),0)</f>
        <v>0</v>
      </c>
      <c r="O104" s="783">
        <f>IF('Incremental Repayments'!$R$22="Debt",IF(AND(O$4&gt;=$D104,O$4&lt;$D104+'Incremental Repayments'!$I$31),-PMT('Interest Rate'!$J$16,'Incremental Repayments'!$I$31,(HLOOKUP($D104,$E$4:$CZ$32,28,FALSE)*'Incremental Repayments'!$I$22)),0),0)</f>
        <v>0</v>
      </c>
      <c r="P104" s="783">
        <f>IF('Incremental Repayments'!$R$22="Debt",IF(AND(P$4&gt;=$D104,P$4&lt;$D104+'Incremental Repayments'!$I$31),-PMT('Interest Rate'!$J$16,'Incremental Repayments'!$I$31,(HLOOKUP($D104,$E$4:$CZ$32,28,FALSE)*'Incremental Repayments'!$I$22)),0),0)</f>
        <v>0</v>
      </c>
      <c r="Q104" s="783">
        <f>IF('Incremental Repayments'!$R$22="Debt",IF(AND(Q$4&gt;=$D104,Q$4&lt;$D104+'Incremental Repayments'!$I$31),-PMT('Interest Rate'!$J$16,'Incremental Repayments'!$I$31,(HLOOKUP($D104,$E$4:$CZ$32,28,FALSE)*'Incremental Repayments'!$I$22)),0),0)</f>
        <v>0</v>
      </c>
      <c r="R104" s="783">
        <f>IF('Incremental Repayments'!$R$22="Debt",IF(AND(R$4&gt;=$D104,R$4&lt;$D104+'Incremental Repayments'!$I$31),-PMT('Interest Rate'!$J$16,'Incremental Repayments'!$I$31,(HLOOKUP($D104,$E$4:$CZ$32,28,FALSE)*'Incremental Repayments'!$I$22)),0),0)</f>
        <v>0</v>
      </c>
      <c r="S104" s="783">
        <f>IF('Incremental Repayments'!$R$22="Debt",IF(AND(S$4&gt;=$D104,S$4&lt;$D104+'Incremental Repayments'!$I$31),-PMT('Interest Rate'!$J$16,'Incremental Repayments'!$I$31,(HLOOKUP($D104,$E$4:$CZ$32,28,FALSE)*'Incremental Repayments'!$I$22)),0),0)</f>
        <v>0</v>
      </c>
      <c r="T104" s="783">
        <f>IF('Incremental Repayments'!$R$22="Debt",IF(AND(T$4&gt;=$D104,T$4&lt;$D104+'Incremental Repayments'!$I$31),-PMT('Interest Rate'!$J$16,'Incremental Repayments'!$I$31,(HLOOKUP($D104,$E$4:$CZ$32,28,FALSE)*'Incremental Repayments'!$I$22)),0),0)</f>
        <v>0</v>
      </c>
      <c r="U104" s="783">
        <f>IF('Incremental Repayments'!$R$22="Debt",IF(AND(U$4&gt;=$D104,U$4&lt;$D104+'Incremental Repayments'!$I$31),-PMT('Interest Rate'!$J$16,'Incremental Repayments'!$I$31,(HLOOKUP($D104,$E$4:$CZ$32,28,FALSE)*'Incremental Repayments'!$I$22)),0),0)</f>
        <v>0</v>
      </c>
      <c r="V104" s="783">
        <f>IF('Incremental Repayments'!$R$22="Debt",IF(AND(V$4&gt;=$D104,V$4&lt;$D104+'Incremental Repayments'!$I$31),-PMT('Interest Rate'!$J$16,'Incremental Repayments'!$I$31,(HLOOKUP($D104,$E$4:$CZ$32,28,FALSE)*'Incremental Repayments'!$I$22)),0),0)</f>
        <v>0</v>
      </c>
      <c r="W104" s="783">
        <f>IF('Incremental Repayments'!$R$22="Debt",IF(AND(W$4&gt;=$D104,W$4&lt;$D104+'Incremental Repayments'!$I$31),-PMT('Interest Rate'!$J$16,'Incremental Repayments'!$I$31,(HLOOKUP($D104,$E$4:$CZ$32,28,FALSE)*'Incremental Repayments'!$I$22)),0),0)</f>
        <v>0</v>
      </c>
      <c r="X104" s="783">
        <f>IF('Incremental Repayments'!$R$22="Debt",IF(AND(X$4&gt;=$D104,X$4&lt;$D104+'Incremental Repayments'!$I$31),-PMT('Interest Rate'!$J$16,'Incremental Repayments'!$I$31,(HLOOKUP($D104,$E$4:$CZ$32,28,FALSE)*'Incremental Repayments'!$I$22)),0),0)</f>
        <v>0</v>
      </c>
      <c r="Y104" s="783">
        <f>IF('Incremental Repayments'!$R$22="Debt",IF(AND(Y$4&gt;=$D104,Y$4&lt;$D104+'Incremental Repayments'!$I$31),-PMT('Interest Rate'!$J$16,'Incremental Repayments'!$I$31,(HLOOKUP($D104,$E$4:$CZ$32,28,FALSE)*'Incremental Repayments'!$I$22)),0),0)</f>
        <v>0</v>
      </c>
      <c r="Z104" s="783">
        <f>IF('Incremental Repayments'!$R$22="Debt",IF(AND(Z$4&gt;=$D104,Z$4&lt;$D104+'Incremental Repayments'!$I$31),-PMT('Interest Rate'!$J$16,'Incremental Repayments'!$I$31,(HLOOKUP($D104,$E$4:$CZ$32,28,FALSE)*'Incremental Repayments'!$I$22)),0),0)</f>
        <v>0</v>
      </c>
      <c r="AA104" s="783">
        <f>IF('Incremental Repayments'!$R$22="Debt",IF(AND(AA$4&gt;=$D104,AA$4&lt;$D104+'Incremental Repayments'!$I$31),-PMT('Interest Rate'!$J$16,'Incremental Repayments'!$I$31,(HLOOKUP($D104,$E$4:$CZ$32,28,FALSE)*'Incremental Repayments'!$I$22)),0),0)</f>
        <v>0</v>
      </c>
      <c r="AB104" s="783">
        <f>IF('Incremental Repayments'!$R$22="Debt",IF(AND(AB$4&gt;=$D104,AB$4&lt;$D104+'Incremental Repayments'!$I$31),-PMT('Interest Rate'!$J$16,'Incremental Repayments'!$I$31,(HLOOKUP($D104,$E$4:$CZ$32,28,FALSE)*'Incremental Repayments'!$I$22)),0),0)</f>
        <v>0</v>
      </c>
      <c r="AC104" s="783">
        <f>IF('Incremental Repayments'!$R$22="Debt",IF(AND(AC$4&gt;=$D104,AC$4&lt;$D104+'Incremental Repayments'!$I$31),-PMT('Interest Rate'!$J$16,'Incremental Repayments'!$I$31,(HLOOKUP($D104,$E$4:$CZ$32,28,FALSE)*'Incremental Repayments'!$I$22)),0),0)</f>
        <v>0</v>
      </c>
      <c r="AD104" s="783">
        <f>IF('Incremental Repayments'!$R$22="Debt",IF(AND(AD$4&gt;=$D104,AD$4&lt;$D104+'Incremental Repayments'!$I$31),-PMT('Interest Rate'!$J$16,'Incremental Repayments'!$I$31,(HLOOKUP($D104,$E$4:$CZ$32,28,FALSE)*'Incremental Repayments'!$I$22)),0),0)</f>
        <v>0</v>
      </c>
      <c r="AE104" s="783">
        <f>IF('Incremental Repayments'!$R$22="Debt",IF(AND(AE$4&gt;=$D104,AE$4&lt;$D104+'Incremental Repayments'!$I$31),-PMT('Interest Rate'!$J$16,'Incremental Repayments'!$I$31,(HLOOKUP($D104,$E$4:$CZ$32,28,FALSE)*'Incremental Repayments'!$I$22)),0),0)</f>
        <v>0</v>
      </c>
      <c r="AF104" s="783">
        <f>IF('Incremental Repayments'!$R$22="Debt",IF(AND(AF$4&gt;=$D104,AF$4&lt;$D104+'Incremental Repayments'!$I$31),-PMT('Interest Rate'!$J$16,'Incremental Repayments'!$I$31,(HLOOKUP($D104,$E$4:$CZ$32,28,FALSE)*'Incremental Repayments'!$I$22)),0),0)</f>
        <v>0</v>
      </c>
      <c r="AG104" s="783">
        <f>IF('Incremental Repayments'!$R$22="Debt",IF(AND(AG$4&gt;=$D104,AG$4&lt;$D104+'Incremental Repayments'!$I$31),-PMT('Interest Rate'!$J$16,'Incremental Repayments'!$I$31,(HLOOKUP($D104,$E$4:$CZ$32,28,FALSE)*'Incremental Repayments'!$I$22)),0),0)</f>
        <v>0</v>
      </c>
      <c r="AH104" s="783">
        <f>IF('Incremental Repayments'!$R$22="Debt",IF(AND(AH$4&gt;=$D104,AH$4&lt;$D104+'Incremental Repayments'!$I$31),-PMT('Interest Rate'!$J$16,'Incremental Repayments'!$I$31,(HLOOKUP($D104,$E$4:$CZ$32,28,FALSE)*'Incremental Repayments'!$I$22)),0),0)</f>
        <v>0</v>
      </c>
      <c r="AI104" s="783">
        <f>IF('Incremental Repayments'!$R$22="Debt",IF(AND(AI$4&gt;=$D104,AI$4&lt;$D104+'Incremental Repayments'!$I$31),-PMT('Interest Rate'!$J$16,'Incremental Repayments'!$I$31,(HLOOKUP($D104,$E$4:$CZ$32,28,FALSE)*'Incremental Repayments'!$I$22)),0),0)</f>
        <v>0</v>
      </c>
      <c r="AJ104" s="783">
        <f>IF('Incremental Repayments'!$R$22="Debt",IF(AND(AJ$4&gt;=$D104,AJ$4&lt;$D104+'Incremental Repayments'!$I$31),-PMT('Interest Rate'!$J$16,'Incremental Repayments'!$I$31,(HLOOKUP($D104,$E$4:$CZ$32,28,FALSE)*'Incremental Repayments'!$I$22)),0),0)</f>
        <v>0</v>
      </c>
      <c r="AK104" s="783">
        <f>IF('Incremental Repayments'!$R$22="Debt",IF(AND(AK$4&gt;=$D104,AK$4&lt;$D104+'Incremental Repayments'!$I$31),-PMT('Interest Rate'!$J$16,'Incremental Repayments'!$I$31,(HLOOKUP($D104,$E$4:$CZ$32,28,FALSE)*'Incremental Repayments'!$I$22)),0),0)</f>
        <v>0</v>
      </c>
      <c r="AL104" s="783">
        <f>IF('Incremental Repayments'!$R$22="Debt",IF(AND(AL$4&gt;=$D104,AL$4&lt;$D104+'Incremental Repayments'!$I$31),-PMT('Interest Rate'!$J$16,'Incremental Repayments'!$I$31,(HLOOKUP($D104,$E$4:$CZ$32,28,FALSE)*'Incremental Repayments'!$I$22)),0),0)</f>
        <v>0</v>
      </c>
      <c r="AM104" s="783">
        <f>IF('Incremental Repayments'!$R$22="Debt",IF(AND(AM$4&gt;=$D104,AM$4&lt;$D104+'Incremental Repayments'!$I$31),-PMT('Interest Rate'!$J$16,'Incremental Repayments'!$I$31,(HLOOKUP($D104,$E$4:$CZ$32,28,FALSE)*'Incremental Repayments'!$I$22)),0),0)</f>
        <v>0</v>
      </c>
      <c r="AN104" s="783">
        <f>IF('Incremental Repayments'!$R$22="Debt",IF(AND(AN$4&gt;=$D104,AN$4&lt;$D104+'Incremental Repayments'!$I$31),-PMT('Interest Rate'!$J$16,'Incremental Repayments'!$I$31,(HLOOKUP($D104,$E$4:$CZ$32,28,FALSE)*'Incremental Repayments'!$I$22)),0),0)</f>
        <v>0</v>
      </c>
      <c r="AO104" s="783">
        <f>IF('Incremental Repayments'!$R$22="Debt",IF(AND(AO$4&gt;=$D104,AO$4&lt;$D104+'Incremental Repayments'!$I$31),-PMT('Interest Rate'!$J$16,'Incremental Repayments'!$I$31,(HLOOKUP($D104,$E$4:$CZ$32,28,FALSE)*'Incremental Repayments'!$I$22)),0),0)</f>
        <v>0</v>
      </c>
      <c r="AP104" s="783">
        <f>IF('Incremental Repayments'!$R$22="Debt",IF(AND(AP$4&gt;=$D104,AP$4&lt;$D104+'Incremental Repayments'!$I$31),-PMT('Interest Rate'!$J$16,'Incremental Repayments'!$I$31,(HLOOKUP($D104,$E$4:$CZ$32,28,FALSE)*'Incremental Repayments'!$I$22)),0),0)</f>
        <v>0</v>
      </c>
      <c r="AQ104" s="783">
        <f>IF('Incremental Repayments'!$R$22="Debt",IF(AND(AQ$4&gt;=$D104,AQ$4&lt;$D104+'Incremental Repayments'!$I$31),-PMT('Interest Rate'!$J$16,'Incremental Repayments'!$I$31,(HLOOKUP($D104,$E$4:$CZ$32,28,FALSE)*'Incremental Repayments'!$I$22)),0),0)</f>
        <v>0</v>
      </c>
      <c r="AR104" s="783">
        <f>IF('Incremental Repayments'!$R$22="Debt",IF(AND(AR$4&gt;=$D104,AR$4&lt;$D104+'Incremental Repayments'!$I$31),-PMT('Interest Rate'!$J$16,'Incremental Repayments'!$I$31,(HLOOKUP($D104,$E$4:$CZ$32,28,FALSE)*'Incremental Repayments'!$I$22)),0),0)</f>
        <v>0</v>
      </c>
      <c r="AS104" s="783">
        <f>IF('Incremental Repayments'!$R$22="Debt",IF(AND(AS$4&gt;=$D104,AS$4&lt;$D104+'Incremental Repayments'!$I$31),-PMT('Interest Rate'!$J$16,'Incremental Repayments'!$I$31,(HLOOKUP($D104,$E$4:$CZ$32,28,FALSE)*'Incremental Repayments'!$I$22)),0),0)</f>
        <v>0</v>
      </c>
      <c r="AT104" s="783">
        <f>IF('Incremental Repayments'!$R$22="Debt",IF(AND(AT$4&gt;=$D104,AT$4&lt;$D104+'Incremental Repayments'!$I$31),-PMT('Interest Rate'!$J$16,'Incremental Repayments'!$I$31,(HLOOKUP($D104,$E$4:$CZ$32,28,FALSE)*'Incremental Repayments'!$I$22)),0),0)</f>
        <v>0</v>
      </c>
      <c r="AU104" s="783">
        <f>IF('Incremental Repayments'!$R$22="Debt",IF(AND(AU$4&gt;=$D104,AU$4&lt;$D104+'Incremental Repayments'!$I$31),-PMT('Interest Rate'!$J$16,'Incremental Repayments'!$I$31,(HLOOKUP($D104,$E$4:$CZ$32,28,FALSE)*'Incremental Repayments'!$I$22)),0),0)</f>
        <v>0</v>
      </c>
      <c r="AV104" s="783">
        <f>IF('Incremental Repayments'!$R$22="Debt",IF(AND(AV$4&gt;=$D104,AV$4&lt;$D104+'Incremental Repayments'!$I$31),-PMT('Interest Rate'!$J$16,'Incremental Repayments'!$I$31,(HLOOKUP($D104,$E$4:$CZ$32,28,FALSE)*'Incremental Repayments'!$I$22)),0),0)</f>
        <v>0</v>
      </c>
      <c r="AW104" s="783">
        <f>IF('Incremental Repayments'!$R$22="Debt",IF(AND(AW$4&gt;=$D104,AW$4&lt;$D104+'Incremental Repayments'!$I$31),-PMT('Interest Rate'!$J$16,'Incremental Repayments'!$I$31,(HLOOKUP($D104,$E$4:$CZ$32,28,FALSE)*'Incremental Repayments'!$I$22)),0),0)</f>
        <v>0</v>
      </c>
      <c r="AX104" s="783">
        <f>IF('Incremental Repayments'!$R$22="Debt",IF(AND(AX$4&gt;=$D104,AX$4&lt;$D104+'Incremental Repayments'!$I$31),-PMT('Interest Rate'!$J$16,'Incremental Repayments'!$I$31,(HLOOKUP($D104,$E$4:$CZ$32,28,FALSE)*'Incremental Repayments'!$I$22)),0),0)</f>
        <v>0</v>
      </c>
      <c r="AY104" s="783">
        <f>IF('Incremental Repayments'!$R$22="Debt",IF(AND(AY$4&gt;=$D104,AY$4&lt;$D104+'Incremental Repayments'!$I$31),-PMT('Interest Rate'!$J$16,'Incremental Repayments'!$I$31,(HLOOKUP($D104,$E$4:$CZ$32,28,FALSE)*'Incremental Repayments'!$I$22)),0),0)</f>
        <v>0</v>
      </c>
      <c r="AZ104" s="783">
        <f>IF('Incremental Repayments'!$R$22="Debt",IF(AND(AZ$4&gt;=$D104,AZ$4&lt;$D104+'Incremental Repayments'!$I$31),-PMT('Interest Rate'!$J$16,'Incremental Repayments'!$I$31,(HLOOKUP($D104,$E$4:$CZ$32,28,FALSE)*'Incremental Repayments'!$I$22)),0),0)</f>
        <v>0</v>
      </c>
      <c r="BA104" s="783">
        <f>IF('Incremental Repayments'!$R$22="Debt",IF(AND(BA$4&gt;=$D104,BA$4&lt;$D104+'Incremental Repayments'!$I$31),-PMT('Interest Rate'!$J$16,'Incremental Repayments'!$I$31,(HLOOKUP($D104,$E$4:$CZ$32,28,FALSE)*'Incremental Repayments'!$I$22)),0),0)</f>
        <v>0</v>
      </c>
      <c r="BB104" s="783">
        <f>IF('Incremental Repayments'!$R$22="Debt",IF(AND(BB$4&gt;=$D104,BB$4&lt;$D104+'Incremental Repayments'!$I$31),-PMT('Interest Rate'!$J$16,'Incremental Repayments'!$I$31,(HLOOKUP($D104,$E$4:$CZ$32,28,FALSE)*'Incremental Repayments'!$I$22)),0),0)</f>
        <v>0</v>
      </c>
      <c r="BC104" s="783">
        <f>IF('Incremental Repayments'!$R$22="Debt",IF(AND(BC$4&gt;=$D104,BC$4&lt;$D104+'Incremental Repayments'!$I$31),-PMT('Interest Rate'!$J$16,'Incremental Repayments'!$I$31,(HLOOKUP($D104,$E$4:$CZ$32,28,FALSE)*'Incremental Repayments'!$I$22)),0),0)</f>
        <v>0</v>
      </c>
      <c r="BD104" s="783">
        <f>IF('Incremental Repayments'!$R$22="Debt",IF(AND(BD$4&gt;=$D104,BD$4&lt;$D104+'Incremental Repayments'!$I$31),-PMT('Interest Rate'!$J$16,'Incremental Repayments'!$I$31,(HLOOKUP($D104,$E$4:$CZ$32,28,FALSE)*'Incremental Repayments'!$I$22)),0),0)</f>
        <v>0</v>
      </c>
      <c r="BE104" s="783">
        <f>IF('Incremental Repayments'!$R$22="Debt",IF(AND(BE$4&gt;=$D104,BE$4&lt;$D104+'Incremental Repayments'!$I$31),-PMT('Interest Rate'!$J$16,'Incremental Repayments'!$I$31,(HLOOKUP($D104,$E$4:$CZ$32,28,FALSE)*'Incremental Repayments'!$I$22)),0),0)</f>
        <v>0</v>
      </c>
      <c r="BF104" s="783">
        <f>IF('Incremental Repayments'!$R$22="Debt",IF(AND(BF$4&gt;=$D104,BF$4&lt;$D104+'Incremental Repayments'!$I$31),-PMT('Interest Rate'!$J$16,'Incremental Repayments'!$I$31,(HLOOKUP($D104,$E$4:$CZ$32,28,FALSE)*'Incremental Repayments'!$I$22)),0),0)</f>
        <v>0</v>
      </c>
      <c r="BG104" s="783">
        <f>IF('Incremental Repayments'!$R$22="Debt",IF(AND(BG$4&gt;=$D104,BG$4&lt;$D104+'Incremental Repayments'!$I$31),-PMT('Interest Rate'!$J$16,'Incremental Repayments'!$I$31,(HLOOKUP($D104,$E$4:$CZ$32,28,FALSE)*'Incremental Repayments'!$I$22)),0),0)</f>
        <v>0</v>
      </c>
      <c r="BH104" s="783">
        <f>IF('Incremental Repayments'!$R$22="Debt",IF(AND(BH$4&gt;=$D104,BH$4&lt;$D104+'Incremental Repayments'!$I$31),-PMT('Interest Rate'!$J$16,'Incremental Repayments'!$I$31,(HLOOKUP($D104,$E$4:$CZ$32,28,FALSE)*'Incremental Repayments'!$I$22)),0),0)</f>
        <v>0</v>
      </c>
      <c r="BI104" s="783">
        <f>IF('Incremental Repayments'!$R$22="Debt",IF(AND(BI$4&gt;=$D104,BI$4&lt;$D104+'Incremental Repayments'!$I$31),-PMT('Interest Rate'!$J$16,'Incremental Repayments'!$I$31,(HLOOKUP($D104,$E$4:$CZ$32,28,FALSE)*'Incremental Repayments'!$I$22)),0),0)</f>
        <v>0</v>
      </c>
      <c r="BJ104" s="783">
        <f>IF('Incremental Repayments'!$R$22="Debt",IF(AND(BJ$4&gt;=$D104,BJ$4&lt;$D104+'Incremental Repayments'!$I$31),-PMT('Interest Rate'!$J$16,'Incremental Repayments'!$I$31,(HLOOKUP($D104,$E$4:$CZ$32,28,FALSE)*'Incremental Repayments'!$I$22)),0),0)</f>
        <v>0</v>
      </c>
      <c r="BK104" s="783">
        <f>IF('Incremental Repayments'!$R$22="Debt",IF(AND(BK$4&gt;=$D104,BK$4&lt;$D104+'Incremental Repayments'!$I$31),-PMT('Interest Rate'!$J$16,'Incremental Repayments'!$I$31,(HLOOKUP($D104,$E$4:$CZ$32,28,FALSE)*'Incremental Repayments'!$I$22)),0),0)</f>
        <v>0</v>
      </c>
      <c r="BL104" s="783">
        <f>IF('Incremental Repayments'!$R$22="Debt",IF(AND(BL$4&gt;=$D104,BL$4&lt;$D104+'Incremental Repayments'!$I$31),-PMT('Interest Rate'!$J$16,'Incremental Repayments'!$I$31,(HLOOKUP($D104,$E$4:$CZ$32,28,FALSE)*'Incremental Repayments'!$I$22)),0),0)</f>
        <v>0</v>
      </c>
      <c r="BM104" s="783">
        <f>IF('Incremental Repayments'!$R$22="Debt",IF(AND(BM$4&gt;=$D104,BM$4&lt;$D104+'Incremental Repayments'!$I$31),-PMT('Interest Rate'!$J$16,'Incremental Repayments'!$I$31,(HLOOKUP($D104,$E$4:$CZ$32,28,FALSE)*'Incremental Repayments'!$I$22)),0),0)</f>
        <v>0</v>
      </c>
      <c r="BN104" s="783">
        <f>IF('Incremental Repayments'!$R$22="Debt",IF(AND(BN$4&gt;=$D104,BN$4&lt;$D104+'Incremental Repayments'!$I$31),-PMT('Interest Rate'!$J$16,'Incremental Repayments'!$I$31,(HLOOKUP($D104,$E$4:$CZ$32,28,FALSE)*'Incremental Repayments'!$I$22)),0),0)</f>
        <v>0</v>
      </c>
      <c r="BO104" s="783">
        <f>IF('Incremental Repayments'!$R$22="Debt",IF(AND(BO$4&gt;=$D104,BO$4&lt;$D104+'Incremental Repayments'!$I$31),-PMT('Interest Rate'!$J$16,'Incremental Repayments'!$I$31,(HLOOKUP($D104,$E$4:$CZ$32,28,FALSE)*'Incremental Repayments'!$I$22)),0),0)</f>
        <v>0</v>
      </c>
      <c r="BP104" s="783">
        <f>IF('Incremental Repayments'!$R$22="Debt",IF(AND(BP$4&gt;=$D104,BP$4&lt;$D104+'Incremental Repayments'!$I$31),-PMT('Interest Rate'!$J$16,'Incremental Repayments'!$I$31,(HLOOKUP($D104,$E$4:$CZ$32,28,FALSE)*'Incremental Repayments'!$I$22)),0),0)</f>
        <v>0</v>
      </c>
      <c r="BQ104" s="783">
        <f>IF('Incremental Repayments'!$R$22="Debt",IF(AND(BQ$4&gt;=$D104,BQ$4&lt;$D104+'Incremental Repayments'!$I$31),-PMT('Interest Rate'!$J$16,'Incremental Repayments'!$I$31,(HLOOKUP($D104,$E$4:$CZ$32,28,FALSE)*'Incremental Repayments'!$I$22)),0),0)</f>
        <v>0</v>
      </c>
      <c r="BR104" s="783">
        <f>IF('Incremental Repayments'!$R$22="Debt",IF(AND(BR$4&gt;=$D104,BR$4&lt;$D104+'Incremental Repayments'!$I$31),-PMT('Interest Rate'!$J$16,'Incremental Repayments'!$I$31,(HLOOKUP($D104,$E$4:$CZ$32,28,FALSE)*'Incremental Repayments'!$I$22)),0),0)</f>
        <v>0</v>
      </c>
      <c r="BS104" s="783">
        <f>IF('Incremental Repayments'!$R$22="Debt",IF(AND(BS$4&gt;=$D104,BS$4&lt;$D104+'Incremental Repayments'!$I$31),-PMT('Interest Rate'!$J$16,'Incremental Repayments'!$I$31,(HLOOKUP($D104,$E$4:$CZ$32,28,FALSE)*'Incremental Repayments'!$I$22)),0),0)</f>
        <v>0</v>
      </c>
      <c r="BT104" s="783">
        <f>IF('Incremental Repayments'!$R$22="Debt",IF(AND(BT$4&gt;=$D104,BT$4&lt;$D104+'Incremental Repayments'!$I$31),-PMT('Interest Rate'!$J$16,'Incremental Repayments'!$I$31,(HLOOKUP($D104,$E$4:$CZ$32,28,FALSE)*'Incremental Repayments'!$I$22)),0),0)</f>
        <v>0</v>
      </c>
      <c r="BU104" s="783">
        <f>IF('Incremental Repayments'!$R$22="Debt",IF(AND(BU$4&gt;=$D104,BU$4&lt;$D104+'Incremental Repayments'!$I$31),-PMT('Interest Rate'!$J$16,'Incremental Repayments'!$I$31,(HLOOKUP($D104,$E$4:$CZ$32,28,FALSE)*'Incremental Repayments'!$I$22)),0),0)</f>
        <v>0</v>
      </c>
      <c r="BV104" s="783">
        <f>IF('Incremental Repayments'!$R$22="Debt",IF(AND(BV$4&gt;=$D104,BV$4&lt;$D104+'Incremental Repayments'!$I$31),-PMT('Interest Rate'!$J$16,'Incremental Repayments'!$I$31,(HLOOKUP($D104,$E$4:$CZ$32,28,FALSE)*'Incremental Repayments'!$I$22)),0),0)</f>
        <v>0</v>
      </c>
      <c r="BW104" s="783">
        <f>IF('Incremental Repayments'!$R$22="Debt",IF(AND(BW$4&gt;=$D104,BW$4&lt;$D104+'Incremental Repayments'!$I$31),-PMT('Interest Rate'!$J$16,'Incremental Repayments'!$I$31,(HLOOKUP($D104,$E$4:$CZ$32,28,FALSE)*'Incremental Repayments'!$I$22)),0),0)</f>
        <v>0</v>
      </c>
      <c r="BX104" s="783">
        <f>IF('Incremental Repayments'!$R$22="Debt",IF(AND(BX$4&gt;=$D104,BX$4&lt;$D104+'Incremental Repayments'!$I$31),-PMT('Interest Rate'!$J$16,'Incremental Repayments'!$I$31,(HLOOKUP($D104,$E$4:$CZ$32,28,FALSE)*'Incremental Repayments'!$I$22)),0),0)</f>
        <v>0</v>
      </c>
      <c r="BY104" s="783">
        <f>IF('Incremental Repayments'!$R$22="Debt",IF(AND(BY$4&gt;=$D104,BY$4&lt;$D104+'Incremental Repayments'!$I$31),-PMT('Interest Rate'!$J$16,'Incremental Repayments'!$I$31,(HLOOKUP($D104,$E$4:$CZ$32,28,FALSE)*'Incremental Repayments'!$I$22)),0),0)</f>
        <v>0</v>
      </c>
      <c r="BZ104" s="783">
        <f>IF('Incremental Repayments'!$R$22="Debt",IF(AND(BZ$4&gt;=$D104,BZ$4&lt;$D104+'Incremental Repayments'!$I$31),-PMT('Interest Rate'!$J$16,'Incremental Repayments'!$I$31,(HLOOKUP($D104,$E$4:$CZ$32,28,FALSE)*'Incremental Repayments'!$I$22)),0),0)</f>
        <v>0</v>
      </c>
      <c r="CA104" s="783">
        <f>IF('Incremental Repayments'!$R$22="Debt",IF(AND(CA$4&gt;=$D104,CA$4&lt;$D104+'Incremental Repayments'!$I$31),-PMT('Interest Rate'!$J$16,'Incremental Repayments'!$I$31,(HLOOKUP($D104,$E$4:$CZ$32,28,FALSE)*'Incremental Repayments'!$I$22)),0),0)</f>
        <v>0</v>
      </c>
      <c r="CB104" s="783">
        <f>IF('Incremental Repayments'!$R$22="Debt",IF(AND(CB$4&gt;=$D104,CB$4&lt;$D104+'Incremental Repayments'!$I$31),-PMT('Interest Rate'!$J$16,'Incremental Repayments'!$I$31,(HLOOKUP($D104,$E$4:$CZ$32,28,FALSE)*'Incremental Repayments'!$I$22)),0),0)</f>
        <v>0</v>
      </c>
      <c r="CC104" s="783">
        <f>IF('Incremental Repayments'!$R$22="Debt",IF(AND(CC$4&gt;=$D104,CC$4&lt;$D104+'Incremental Repayments'!$I$31),-PMT('Interest Rate'!$J$16,'Incremental Repayments'!$I$31,(HLOOKUP($D104,$E$4:$CZ$32,28,FALSE)*'Incremental Repayments'!$I$22)),0),0)</f>
        <v>0</v>
      </c>
      <c r="CD104" s="783">
        <f>IF('Incremental Repayments'!$R$22="Debt",IF(AND(CD$4&gt;=$D104,CD$4&lt;$D104+'Incremental Repayments'!$I$31),-PMT('Interest Rate'!$J$16,'Incremental Repayments'!$I$31,(HLOOKUP($D104,$E$4:$CZ$32,28,FALSE)*'Incremental Repayments'!$I$22)),0),0)</f>
        <v>0</v>
      </c>
      <c r="CE104" s="783">
        <f>IF('Incremental Repayments'!$R$22="Debt",IF(AND(CE$4&gt;=$D104,CE$4&lt;$D104+'Incremental Repayments'!$I$31),-PMT('Interest Rate'!$J$16,'Incremental Repayments'!$I$31,(HLOOKUP($D104,$E$4:$CZ$32,28,FALSE)*'Incremental Repayments'!$I$22)),0),0)</f>
        <v>0</v>
      </c>
      <c r="CF104" s="783">
        <f>IF('Incremental Repayments'!$R$22="Debt",IF(AND(CF$4&gt;=$D104,CF$4&lt;$D104+'Incremental Repayments'!$I$31),-PMT('Interest Rate'!$J$16,'Incremental Repayments'!$I$31,(HLOOKUP($D104,$E$4:$CZ$32,28,FALSE)*'Incremental Repayments'!$I$22)),0),0)</f>
        <v>0</v>
      </c>
      <c r="CG104" s="783">
        <f>IF('Incremental Repayments'!$R$22="Debt",IF(AND(CG$4&gt;=$D104,CG$4&lt;$D104+'Incremental Repayments'!$I$31),-PMT('Interest Rate'!$J$16,'Incremental Repayments'!$I$31,(HLOOKUP($D104,$E$4:$CZ$32,28,FALSE)*'Incremental Repayments'!$I$22)),0),0)</f>
        <v>0</v>
      </c>
      <c r="CH104" s="783">
        <f>IF('Incremental Repayments'!$R$22="Debt",IF(AND(CH$4&gt;=$D104,CH$4&lt;$D104+'Incremental Repayments'!$I$31),-PMT('Interest Rate'!$J$16,'Incremental Repayments'!$I$31,(HLOOKUP($D104,$E$4:$CZ$32,28,FALSE)*'Incremental Repayments'!$I$22)),0),0)</f>
        <v>0</v>
      </c>
      <c r="CI104" s="783">
        <f>IF('Incremental Repayments'!$R$22="Debt",IF(AND(CI$4&gt;=$D104,CI$4&lt;$D104+'Incremental Repayments'!$I$31),-PMT('Interest Rate'!$J$16,'Incremental Repayments'!$I$31,(HLOOKUP($D104,$E$4:$CZ$32,28,FALSE)*'Incremental Repayments'!$I$22)),0),0)</f>
        <v>0</v>
      </c>
      <c r="CJ104" s="783">
        <f>IF('Incremental Repayments'!$R$22="Debt",IF(AND(CJ$4&gt;=$D104,CJ$4&lt;$D104+'Incremental Repayments'!$I$31),-PMT('Interest Rate'!$J$16,'Incremental Repayments'!$I$31,(HLOOKUP($D104,$E$4:$CZ$32,28,FALSE)*'Incremental Repayments'!$I$22)),0),0)</f>
        <v>0</v>
      </c>
      <c r="CK104" s="783">
        <f>IF('Incremental Repayments'!$R$22="Debt",IF(AND(CK$4&gt;=$D104,CK$4&lt;$D104+'Incremental Repayments'!$I$31),-PMT('Interest Rate'!$J$16,'Incremental Repayments'!$I$31,(HLOOKUP($D104,$E$4:$CZ$32,28,FALSE)*'Incremental Repayments'!$I$22)),0),0)</f>
        <v>0</v>
      </c>
      <c r="CL104" s="783">
        <f>IF('Incremental Repayments'!$R$22="Debt",IF(AND(CL$4&gt;=$D104,CL$4&lt;$D104+'Incremental Repayments'!$I$31),-PMT('Interest Rate'!$J$16,'Incremental Repayments'!$I$31,(HLOOKUP($D104,$E$4:$CZ$32,28,FALSE)*'Incremental Repayments'!$I$22)),0),0)</f>
        <v>0</v>
      </c>
      <c r="CM104" s="783">
        <f>IF('Incremental Repayments'!$R$22="Debt",IF(AND(CM$4&gt;=$D104,CM$4&lt;$D104+'Incremental Repayments'!$I$31),-PMT('Interest Rate'!$J$16,'Incremental Repayments'!$I$31,(HLOOKUP($D104,$E$4:$CZ$32,28,FALSE)*'Incremental Repayments'!$I$22)),0),0)</f>
        <v>0</v>
      </c>
      <c r="CN104" s="783">
        <f>IF('Incremental Repayments'!$R$22="Debt",IF(AND(CN$4&gt;=$D104,CN$4&lt;$D104+'Incremental Repayments'!$I$31),-PMT('Interest Rate'!$J$16,'Incremental Repayments'!$I$31,(HLOOKUP($D104,$E$4:$CZ$32,28,FALSE)*'Incremental Repayments'!$I$22)),0),0)</f>
        <v>0</v>
      </c>
      <c r="CO104" s="783">
        <f>IF('Incremental Repayments'!$R$22="Debt",IF(AND(CO$4&gt;=$D104,CO$4&lt;$D104+'Incremental Repayments'!$I$31),-PMT('Interest Rate'!$J$16,'Incremental Repayments'!$I$31,(HLOOKUP($D104,$E$4:$CZ$32,28,FALSE)*'Incremental Repayments'!$I$22)),0),0)</f>
        <v>0</v>
      </c>
      <c r="CP104" s="783">
        <f>IF('Incremental Repayments'!$R$22="Debt",IF(AND(CP$4&gt;=$D104,CP$4&lt;$D104+'Incremental Repayments'!$I$31),-PMT('Interest Rate'!$J$16,'Incremental Repayments'!$I$31,(HLOOKUP($D104,$E$4:$CZ$32,28,FALSE)*'Incremental Repayments'!$I$22)),0),0)</f>
        <v>0</v>
      </c>
      <c r="CQ104" s="783">
        <f>IF('Incremental Repayments'!$R$22="Debt",IF(AND(CQ$4&gt;=$D104,CQ$4&lt;$D104+'Incremental Repayments'!$I$31),-PMT('Interest Rate'!$J$16,'Incremental Repayments'!$I$31,(HLOOKUP($D104,$E$4:$CZ$32,28,FALSE)*'Incremental Repayments'!$I$22)),0),0)</f>
        <v>0</v>
      </c>
      <c r="CR104" s="783">
        <f>IF('Incremental Repayments'!$R$22="Debt",IF(AND(CR$4&gt;=$D104,CR$4&lt;$D104+'Incremental Repayments'!$I$31),-PMT('Interest Rate'!$J$16,'Incremental Repayments'!$I$31,(HLOOKUP($D104,$E$4:$CZ$32,28,FALSE)*'Incremental Repayments'!$I$22)),0),0)</f>
        <v>0</v>
      </c>
      <c r="CS104" s="783">
        <f>IF('Incremental Repayments'!$R$22="Debt",IF(AND(CS$4&gt;=$D104,CS$4&lt;$D104+'Incremental Repayments'!$I$31),-PMT('Interest Rate'!$J$16,'Incremental Repayments'!$I$31,(HLOOKUP($D104,$E$4:$CZ$32,28,FALSE)*'Incremental Repayments'!$I$22)),0),0)</f>
        <v>0</v>
      </c>
      <c r="CT104" s="783">
        <f>IF('Incremental Repayments'!$R$22="Debt",IF(AND(CT$4&gt;=$D104,CT$4&lt;$D104+'Incremental Repayments'!$I$31),-PMT('Interest Rate'!$J$16,'Incremental Repayments'!$I$31,(HLOOKUP($D104,$E$4:$CZ$32,28,FALSE)*'Incremental Repayments'!$I$22)),0),0)</f>
        <v>0</v>
      </c>
      <c r="CU104" s="783">
        <f>IF('Incremental Repayments'!$R$22="Debt",IF(AND(CU$4&gt;=$D104,CU$4&lt;$D104+'Incremental Repayments'!$I$31),-PMT('Interest Rate'!$J$16,'Incremental Repayments'!$I$31,(HLOOKUP($D104,$E$4:$CZ$32,28,FALSE)*'Incremental Repayments'!$I$22)),0),0)</f>
        <v>0</v>
      </c>
      <c r="CV104" s="783">
        <f>IF('Incremental Repayments'!$R$22="Debt",IF(AND(CV$4&gt;=$D104,CV$4&lt;$D104+'Incremental Repayments'!$I$31),-PMT('Interest Rate'!$J$16,'Incremental Repayments'!$I$31,(HLOOKUP($D104,$E$4:$CZ$32,28,FALSE)*'Incremental Repayments'!$I$22)),0),0)</f>
        <v>0</v>
      </c>
      <c r="CW104" s="783">
        <f>IF('Incremental Repayments'!$R$22="Debt",IF(AND(CW$4&gt;=$D104,CW$4&lt;$D104+'Incremental Repayments'!$I$31),-PMT('Interest Rate'!$J$16,'Incremental Repayments'!$I$31,(HLOOKUP($D104,$E$4:$CZ$32,28,FALSE)*'Incremental Repayments'!$I$22)),0),0)</f>
        <v>0</v>
      </c>
      <c r="CX104" s="783">
        <f>IF('Incremental Repayments'!$R$22="Debt",IF(AND(CX$4&gt;=$D104,CX$4&lt;$D104+'Incremental Repayments'!$I$31),-PMT('Interest Rate'!$J$16,'Incremental Repayments'!$I$31,(HLOOKUP($D104,$E$4:$CZ$32,28,FALSE)*'Incremental Repayments'!$I$22)),0),0)</f>
        <v>0</v>
      </c>
      <c r="CY104" s="783">
        <f>IF('Incremental Repayments'!$R$22="Debt",IF(AND(CY$4&gt;=$D104,CY$4&lt;$D104+'Incremental Repayments'!$I$31),-PMT('Interest Rate'!$J$16,'Incremental Repayments'!$I$31,(HLOOKUP($D104,$E$4:$CZ$32,28,FALSE)*'Incremental Repayments'!$I$22)),0),0)</f>
        <v>0</v>
      </c>
      <c r="CZ104" s="783">
        <f>IF('Incremental Repayments'!$R$22="Debt",IF(AND(CZ$4&gt;=$D104,CZ$4&lt;$D104+'Incremental Repayments'!$I$31),-PMT('Interest Rate'!$J$16,'Incremental Repayments'!$I$31,(HLOOKUP($D104,$E$4:$CZ$32,28,FALSE)*'Incremental Repayments'!$I$22)),0),0)</f>
        <v>0</v>
      </c>
    </row>
    <row r="105" spans="2:104" x14ac:dyDescent="0.25">
      <c r="B105" s="480" t="str">
        <f>CONCATENATE("Series ",D105,"A Bonds (at ",'Interest Rate'!$J$16*100,"% Interest)")</f>
        <v>Series 2083A Bonds (at 4.5% Interest)</v>
      </c>
      <c r="C105" s="480"/>
      <c r="D105" s="492">
        <f t="shared" si="47"/>
        <v>2083</v>
      </c>
      <c r="E105" s="783">
        <f>IF('Incremental Repayments'!$R$22="Debt",IF(AND(E$4&gt;=$D105,E$4&lt;$D105+'Incremental Repayments'!$I$31),-PMT('Interest Rate'!$J$16,'Incremental Repayments'!$I$31,(HLOOKUP($D105,$E$4:$CZ$32,28,FALSE)*'Incremental Repayments'!$I$22)),0),0)</f>
        <v>0</v>
      </c>
      <c r="F105" s="783">
        <f>IF('Incremental Repayments'!$R$22="Debt",IF(AND(F$4&gt;=$D105,F$4&lt;$D105+'Incremental Repayments'!$I$31),-PMT('Interest Rate'!$J$16,'Incremental Repayments'!$I$31,(HLOOKUP($D105,$E$4:$CZ$32,28,FALSE)*'Incremental Repayments'!$I$22)),0),0)</f>
        <v>0</v>
      </c>
      <c r="G105" s="783">
        <f>IF('Incremental Repayments'!$R$22="Debt",IF(AND(G$4&gt;=$D105,G$4&lt;$D105+'Incremental Repayments'!$I$31),-PMT('Interest Rate'!$J$16,'Incremental Repayments'!$I$31,(HLOOKUP($D105,$E$4:$CZ$32,28,FALSE)*'Incremental Repayments'!$I$22)),0),0)</f>
        <v>0</v>
      </c>
      <c r="H105" s="783">
        <f>IF('Incremental Repayments'!$R$22="Debt",IF(AND(H$4&gt;=$D105,H$4&lt;$D105+'Incremental Repayments'!$I$31),-PMT('Interest Rate'!$J$16,'Incremental Repayments'!$I$31,(HLOOKUP($D105,$E$4:$CZ$32,28,FALSE)*'Incremental Repayments'!$I$22)),0),0)</f>
        <v>0</v>
      </c>
      <c r="I105" s="783">
        <f>IF('Incremental Repayments'!$R$22="Debt",IF(AND(I$4&gt;=$D105,I$4&lt;$D105+'Incremental Repayments'!$I$31),-PMT('Interest Rate'!$J$16,'Incremental Repayments'!$I$31,(HLOOKUP($D105,$E$4:$CZ$32,28,FALSE)*'Incremental Repayments'!$I$22)),0),0)</f>
        <v>0</v>
      </c>
      <c r="J105" s="783">
        <f>IF('Incremental Repayments'!$R$22="Debt",IF(AND(J$4&gt;=$D105,J$4&lt;$D105+'Incremental Repayments'!$I$31),-PMT('Interest Rate'!$J$16,'Incremental Repayments'!$I$31,(HLOOKUP($D105,$E$4:$CZ$32,28,FALSE)*'Incremental Repayments'!$I$22)),0),0)</f>
        <v>0</v>
      </c>
      <c r="K105" s="783">
        <f>IF('Incremental Repayments'!$R$22="Debt",IF(AND(K$4&gt;=$D105,K$4&lt;$D105+'Incremental Repayments'!$I$31),-PMT('Interest Rate'!$J$16,'Incremental Repayments'!$I$31,(HLOOKUP($D105,$E$4:$CZ$32,28,FALSE)*'Incremental Repayments'!$I$22)),0),0)</f>
        <v>0</v>
      </c>
      <c r="L105" s="783">
        <f>IF('Incremental Repayments'!$R$22="Debt",IF(AND(L$4&gt;=$D105,L$4&lt;$D105+'Incremental Repayments'!$I$31),-PMT('Interest Rate'!$J$16,'Incremental Repayments'!$I$31,(HLOOKUP($D105,$E$4:$CZ$32,28,FALSE)*'Incremental Repayments'!$I$22)),0),0)</f>
        <v>0</v>
      </c>
      <c r="M105" s="783">
        <f>IF('Incremental Repayments'!$R$22="Debt",IF(AND(M$4&gt;=$D105,M$4&lt;$D105+'Incremental Repayments'!$I$31),-PMT('Interest Rate'!$J$16,'Incremental Repayments'!$I$31,(HLOOKUP($D105,$E$4:$CZ$32,28,FALSE)*'Incremental Repayments'!$I$22)),0),0)</f>
        <v>0</v>
      </c>
      <c r="N105" s="783">
        <f>IF('Incremental Repayments'!$R$22="Debt",IF(AND(N$4&gt;=$D105,N$4&lt;$D105+'Incremental Repayments'!$I$31),-PMT('Interest Rate'!$J$16,'Incremental Repayments'!$I$31,(HLOOKUP($D105,$E$4:$CZ$32,28,FALSE)*'Incremental Repayments'!$I$22)),0),0)</f>
        <v>0</v>
      </c>
      <c r="O105" s="783">
        <f>IF('Incremental Repayments'!$R$22="Debt",IF(AND(O$4&gt;=$D105,O$4&lt;$D105+'Incremental Repayments'!$I$31),-PMT('Interest Rate'!$J$16,'Incremental Repayments'!$I$31,(HLOOKUP($D105,$E$4:$CZ$32,28,FALSE)*'Incremental Repayments'!$I$22)),0),0)</f>
        <v>0</v>
      </c>
      <c r="P105" s="783">
        <f>IF('Incremental Repayments'!$R$22="Debt",IF(AND(P$4&gt;=$D105,P$4&lt;$D105+'Incremental Repayments'!$I$31),-PMT('Interest Rate'!$J$16,'Incremental Repayments'!$I$31,(HLOOKUP($D105,$E$4:$CZ$32,28,FALSE)*'Incremental Repayments'!$I$22)),0),0)</f>
        <v>0</v>
      </c>
      <c r="Q105" s="783">
        <f>IF('Incremental Repayments'!$R$22="Debt",IF(AND(Q$4&gt;=$D105,Q$4&lt;$D105+'Incremental Repayments'!$I$31),-PMT('Interest Rate'!$J$16,'Incremental Repayments'!$I$31,(HLOOKUP($D105,$E$4:$CZ$32,28,FALSE)*'Incremental Repayments'!$I$22)),0),0)</f>
        <v>0</v>
      </c>
      <c r="R105" s="783">
        <f>IF('Incremental Repayments'!$R$22="Debt",IF(AND(R$4&gt;=$D105,R$4&lt;$D105+'Incremental Repayments'!$I$31),-PMT('Interest Rate'!$J$16,'Incremental Repayments'!$I$31,(HLOOKUP($D105,$E$4:$CZ$32,28,FALSE)*'Incremental Repayments'!$I$22)),0),0)</f>
        <v>0</v>
      </c>
      <c r="S105" s="783">
        <f>IF('Incremental Repayments'!$R$22="Debt",IF(AND(S$4&gt;=$D105,S$4&lt;$D105+'Incremental Repayments'!$I$31),-PMT('Interest Rate'!$J$16,'Incremental Repayments'!$I$31,(HLOOKUP($D105,$E$4:$CZ$32,28,FALSE)*'Incremental Repayments'!$I$22)),0),0)</f>
        <v>0</v>
      </c>
      <c r="T105" s="783">
        <f>IF('Incremental Repayments'!$R$22="Debt",IF(AND(T$4&gt;=$D105,T$4&lt;$D105+'Incremental Repayments'!$I$31),-PMT('Interest Rate'!$J$16,'Incremental Repayments'!$I$31,(HLOOKUP($D105,$E$4:$CZ$32,28,FALSE)*'Incremental Repayments'!$I$22)),0),0)</f>
        <v>0</v>
      </c>
      <c r="U105" s="783">
        <f>IF('Incremental Repayments'!$R$22="Debt",IF(AND(U$4&gt;=$D105,U$4&lt;$D105+'Incremental Repayments'!$I$31),-PMT('Interest Rate'!$J$16,'Incremental Repayments'!$I$31,(HLOOKUP($D105,$E$4:$CZ$32,28,FALSE)*'Incremental Repayments'!$I$22)),0),0)</f>
        <v>0</v>
      </c>
      <c r="V105" s="783">
        <f>IF('Incremental Repayments'!$R$22="Debt",IF(AND(V$4&gt;=$D105,V$4&lt;$D105+'Incremental Repayments'!$I$31),-PMT('Interest Rate'!$J$16,'Incremental Repayments'!$I$31,(HLOOKUP($D105,$E$4:$CZ$32,28,FALSE)*'Incremental Repayments'!$I$22)),0),0)</f>
        <v>0</v>
      </c>
      <c r="W105" s="783">
        <f>IF('Incremental Repayments'!$R$22="Debt",IF(AND(W$4&gt;=$D105,W$4&lt;$D105+'Incremental Repayments'!$I$31),-PMT('Interest Rate'!$J$16,'Incremental Repayments'!$I$31,(HLOOKUP($D105,$E$4:$CZ$32,28,FALSE)*'Incremental Repayments'!$I$22)),0),0)</f>
        <v>0</v>
      </c>
      <c r="X105" s="783">
        <f>IF('Incremental Repayments'!$R$22="Debt",IF(AND(X$4&gt;=$D105,X$4&lt;$D105+'Incremental Repayments'!$I$31),-PMT('Interest Rate'!$J$16,'Incremental Repayments'!$I$31,(HLOOKUP($D105,$E$4:$CZ$32,28,FALSE)*'Incremental Repayments'!$I$22)),0),0)</f>
        <v>0</v>
      </c>
      <c r="Y105" s="783">
        <f>IF('Incremental Repayments'!$R$22="Debt",IF(AND(Y$4&gt;=$D105,Y$4&lt;$D105+'Incremental Repayments'!$I$31),-PMT('Interest Rate'!$J$16,'Incremental Repayments'!$I$31,(HLOOKUP($D105,$E$4:$CZ$32,28,FALSE)*'Incremental Repayments'!$I$22)),0),0)</f>
        <v>0</v>
      </c>
      <c r="Z105" s="783">
        <f>IF('Incremental Repayments'!$R$22="Debt",IF(AND(Z$4&gt;=$D105,Z$4&lt;$D105+'Incremental Repayments'!$I$31),-PMT('Interest Rate'!$J$16,'Incremental Repayments'!$I$31,(HLOOKUP($D105,$E$4:$CZ$32,28,FALSE)*'Incremental Repayments'!$I$22)),0),0)</f>
        <v>0</v>
      </c>
      <c r="AA105" s="783">
        <f>IF('Incremental Repayments'!$R$22="Debt",IF(AND(AA$4&gt;=$D105,AA$4&lt;$D105+'Incremental Repayments'!$I$31),-PMT('Interest Rate'!$J$16,'Incremental Repayments'!$I$31,(HLOOKUP($D105,$E$4:$CZ$32,28,FALSE)*'Incremental Repayments'!$I$22)),0),0)</f>
        <v>0</v>
      </c>
      <c r="AB105" s="783">
        <f>IF('Incremental Repayments'!$R$22="Debt",IF(AND(AB$4&gt;=$D105,AB$4&lt;$D105+'Incremental Repayments'!$I$31),-PMT('Interest Rate'!$J$16,'Incremental Repayments'!$I$31,(HLOOKUP($D105,$E$4:$CZ$32,28,FALSE)*'Incremental Repayments'!$I$22)),0),0)</f>
        <v>0</v>
      </c>
      <c r="AC105" s="783">
        <f>IF('Incremental Repayments'!$R$22="Debt",IF(AND(AC$4&gt;=$D105,AC$4&lt;$D105+'Incremental Repayments'!$I$31),-PMT('Interest Rate'!$J$16,'Incremental Repayments'!$I$31,(HLOOKUP($D105,$E$4:$CZ$32,28,FALSE)*'Incremental Repayments'!$I$22)),0),0)</f>
        <v>0</v>
      </c>
      <c r="AD105" s="783">
        <f>IF('Incremental Repayments'!$R$22="Debt",IF(AND(AD$4&gt;=$D105,AD$4&lt;$D105+'Incremental Repayments'!$I$31),-PMT('Interest Rate'!$J$16,'Incremental Repayments'!$I$31,(HLOOKUP($D105,$E$4:$CZ$32,28,FALSE)*'Incremental Repayments'!$I$22)),0),0)</f>
        <v>0</v>
      </c>
      <c r="AE105" s="783">
        <f>IF('Incremental Repayments'!$R$22="Debt",IF(AND(AE$4&gt;=$D105,AE$4&lt;$D105+'Incremental Repayments'!$I$31),-PMT('Interest Rate'!$J$16,'Incremental Repayments'!$I$31,(HLOOKUP($D105,$E$4:$CZ$32,28,FALSE)*'Incremental Repayments'!$I$22)),0),0)</f>
        <v>0</v>
      </c>
      <c r="AF105" s="783">
        <f>IF('Incremental Repayments'!$R$22="Debt",IF(AND(AF$4&gt;=$D105,AF$4&lt;$D105+'Incremental Repayments'!$I$31),-PMT('Interest Rate'!$J$16,'Incremental Repayments'!$I$31,(HLOOKUP($D105,$E$4:$CZ$32,28,FALSE)*'Incremental Repayments'!$I$22)),0),0)</f>
        <v>0</v>
      </c>
      <c r="AG105" s="783">
        <f>IF('Incremental Repayments'!$R$22="Debt",IF(AND(AG$4&gt;=$D105,AG$4&lt;$D105+'Incremental Repayments'!$I$31),-PMT('Interest Rate'!$J$16,'Incremental Repayments'!$I$31,(HLOOKUP($D105,$E$4:$CZ$32,28,FALSE)*'Incremental Repayments'!$I$22)),0),0)</f>
        <v>0</v>
      </c>
      <c r="AH105" s="783">
        <f>IF('Incremental Repayments'!$R$22="Debt",IF(AND(AH$4&gt;=$D105,AH$4&lt;$D105+'Incremental Repayments'!$I$31),-PMT('Interest Rate'!$J$16,'Incremental Repayments'!$I$31,(HLOOKUP($D105,$E$4:$CZ$32,28,FALSE)*'Incremental Repayments'!$I$22)),0),0)</f>
        <v>0</v>
      </c>
      <c r="AI105" s="783">
        <f>IF('Incremental Repayments'!$R$22="Debt",IF(AND(AI$4&gt;=$D105,AI$4&lt;$D105+'Incremental Repayments'!$I$31),-PMT('Interest Rate'!$J$16,'Incremental Repayments'!$I$31,(HLOOKUP($D105,$E$4:$CZ$32,28,FALSE)*'Incremental Repayments'!$I$22)),0),0)</f>
        <v>0</v>
      </c>
      <c r="AJ105" s="783">
        <f>IF('Incremental Repayments'!$R$22="Debt",IF(AND(AJ$4&gt;=$D105,AJ$4&lt;$D105+'Incremental Repayments'!$I$31),-PMT('Interest Rate'!$J$16,'Incremental Repayments'!$I$31,(HLOOKUP($D105,$E$4:$CZ$32,28,FALSE)*'Incremental Repayments'!$I$22)),0),0)</f>
        <v>0</v>
      </c>
      <c r="AK105" s="783">
        <f>IF('Incremental Repayments'!$R$22="Debt",IF(AND(AK$4&gt;=$D105,AK$4&lt;$D105+'Incremental Repayments'!$I$31),-PMT('Interest Rate'!$J$16,'Incremental Repayments'!$I$31,(HLOOKUP($D105,$E$4:$CZ$32,28,FALSE)*'Incremental Repayments'!$I$22)),0),0)</f>
        <v>0</v>
      </c>
      <c r="AL105" s="783">
        <f>IF('Incremental Repayments'!$R$22="Debt",IF(AND(AL$4&gt;=$D105,AL$4&lt;$D105+'Incremental Repayments'!$I$31),-PMT('Interest Rate'!$J$16,'Incremental Repayments'!$I$31,(HLOOKUP($D105,$E$4:$CZ$32,28,FALSE)*'Incremental Repayments'!$I$22)),0),0)</f>
        <v>0</v>
      </c>
      <c r="AM105" s="783">
        <f>IF('Incremental Repayments'!$R$22="Debt",IF(AND(AM$4&gt;=$D105,AM$4&lt;$D105+'Incremental Repayments'!$I$31),-PMT('Interest Rate'!$J$16,'Incremental Repayments'!$I$31,(HLOOKUP($D105,$E$4:$CZ$32,28,FALSE)*'Incremental Repayments'!$I$22)),0),0)</f>
        <v>0</v>
      </c>
      <c r="AN105" s="783">
        <f>IF('Incremental Repayments'!$R$22="Debt",IF(AND(AN$4&gt;=$D105,AN$4&lt;$D105+'Incremental Repayments'!$I$31),-PMT('Interest Rate'!$J$16,'Incremental Repayments'!$I$31,(HLOOKUP($D105,$E$4:$CZ$32,28,FALSE)*'Incremental Repayments'!$I$22)),0),0)</f>
        <v>0</v>
      </c>
      <c r="AO105" s="783">
        <f>IF('Incremental Repayments'!$R$22="Debt",IF(AND(AO$4&gt;=$D105,AO$4&lt;$D105+'Incremental Repayments'!$I$31),-PMT('Interest Rate'!$J$16,'Incremental Repayments'!$I$31,(HLOOKUP($D105,$E$4:$CZ$32,28,FALSE)*'Incremental Repayments'!$I$22)),0),0)</f>
        <v>0</v>
      </c>
      <c r="AP105" s="783">
        <f>IF('Incremental Repayments'!$R$22="Debt",IF(AND(AP$4&gt;=$D105,AP$4&lt;$D105+'Incremental Repayments'!$I$31),-PMT('Interest Rate'!$J$16,'Incremental Repayments'!$I$31,(HLOOKUP($D105,$E$4:$CZ$32,28,FALSE)*'Incremental Repayments'!$I$22)),0),0)</f>
        <v>0</v>
      </c>
      <c r="AQ105" s="783">
        <f>IF('Incremental Repayments'!$R$22="Debt",IF(AND(AQ$4&gt;=$D105,AQ$4&lt;$D105+'Incremental Repayments'!$I$31),-PMT('Interest Rate'!$J$16,'Incremental Repayments'!$I$31,(HLOOKUP($D105,$E$4:$CZ$32,28,FALSE)*'Incremental Repayments'!$I$22)),0),0)</f>
        <v>0</v>
      </c>
      <c r="AR105" s="783">
        <f>IF('Incremental Repayments'!$R$22="Debt",IF(AND(AR$4&gt;=$D105,AR$4&lt;$D105+'Incremental Repayments'!$I$31),-PMT('Interest Rate'!$J$16,'Incremental Repayments'!$I$31,(HLOOKUP($D105,$E$4:$CZ$32,28,FALSE)*'Incremental Repayments'!$I$22)),0),0)</f>
        <v>0</v>
      </c>
      <c r="AS105" s="783">
        <f>IF('Incremental Repayments'!$R$22="Debt",IF(AND(AS$4&gt;=$D105,AS$4&lt;$D105+'Incremental Repayments'!$I$31),-PMT('Interest Rate'!$J$16,'Incremental Repayments'!$I$31,(HLOOKUP($D105,$E$4:$CZ$32,28,FALSE)*'Incremental Repayments'!$I$22)),0),0)</f>
        <v>0</v>
      </c>
      <c r="AT105" s="783">
        <f>IF('Incremental Repayments'!$R$22="Debt",IF(AND(AT$4&gt;=$D105,AT$4&lt;$D105+'Incremental Repayments'!$I$31),-PMT('Interest Rate'!$J$16,'Incremental Repayments'!$I$31,(HLOOKUP($D105,$E$4:$CZ$32,28,FALSE)*'Incremental Repayments'!$I$22)),0),0)</f>
        <v>0</v>
      </c>
      <c r="AU105" s="783">
        <f>IF('Incremental Repayments'!$R$22="Debt",IF(AND(AU$4&gt;=$D105,AU$4&lt;$D105+'Incremental Repayments'!$I$31),-PMT('Interest Rate'!$J$16,'Incremental Repayments'!$I$31,(HLOOKUP($D105,$E$4:$CZ$32,28,FALSE)*'Incremental Repayments'!$I$22)),0),0)</f>
        <v>0</v>
      </c>
      <c r="AV105" s="783">
        <f>IF('Incremental Repayments'!$R$22="Debt",IF(AND(AV$4&gt;=$D105,AV$4&lt;$D105+'Incremental Repayments'!$I$31),-PMT('Interest Rate'!$J$16,'Incremental Repayments'!$I$31,(HLOOKUP($D105,$E$4:$CZ$32,28,FALSE)*'Incremental Repayments'!$I$22)),0),0)</f>
        <v>0</v>
      </c>
      <c r="AW105" s="783">
        <f>IF('Incremental Repayments'!$R$22="Debt",IF(AND(AW$4&gt;=$D105,AW$4&lt;$D105+'Incremental Repayments'!$I$31),-PMT('Interest Rate'!$J$16,'Incremental Repayments'!$I$31,(HLOOKUP($D105,$E$4:$CZ$32,28,FALSE)*'Incremental Repayments'!$I$22)),0),0)</f>
        <v>0</v>
      </c>
      <c r="AX105" s="783">
        <f>IF('Incremental Repayments'!$R$22="Debt",IF(AND(AX$4&gt;=$D105,AX$4&lt;$D105+'Incremental Repayments'!$I$31),-PMT('Interest Rate'!$J$16,'Incremental Repayments'!$I$31,(HLOOKUP($D105,$E$4:$CZ$32,28,FALSE)*'Incremental Repayments'!$I$22)),0),0)</f>
        <v>0</v>
      </c>
      <c r="AY105" s="783">
        <f>IF('Incremental Repayments'!$R$22="Debt",IF(AND(AY$4&gt;=$D105,AY$4&lt;$D105+'Incremental Repayments'!$I$31),-PMT('Interest Rate'!$J$16,'Incremental Repayments'!$I$31,(HLOOKUP($D105,$E$4:$CZ$32,28,FALSE)*'Incremental Repayments'!$I$22)),0),0)</f>
        <v>0</v>
      </c>
      <c r="AZ105" s="783">
        <f>IF('Incremental Repayments'!$R$22="Debt",IF(AND(AZ$4&gt;=$D105,AZ$4&lt;$D105+'Incremental Repayments'!$I$31),-PMT('Interest Rate'!$J$16,'Incremental Repayments'!$I$31,(HLOOKUP($D105,$E$4:$CZ$32,28,FALSE)*'Incremental Repayments'!$I$22)),0),0)</f>
        <v>0</v>
      </c>
      <c r="BA105" s="783">
        <f>IF('Incremental Repayments'!$R$22="Debt",IF(AND(BA$4&gt;=$D105,BA$4&lt;$D105+'Incremental Repayments'!$I$31),-PMT('Interest Rate'!$J$16,'Incremental Repayments'!$I$31,(HLOOKUP($D105,$E$4:$CZ$32,28,FALSE)*'Incremental Repayments'!$I$22)),0),0)</f>
        <v>0</v>
      </c>
      <c r="BB105" s="783">
        <f>IF('Incremental Repayments'!$R$22="Debt",IF(AND(BB$4&gt;=$D105,BB$4&lt;$D105+'Incremental Repayments'!$I$31),-PMT('Interest Rate'!$J$16,'Incremental Repayments'!$I$31,(HLOOKUP($D105,$E$4:$CZ$32,28,FALSE)*'Incremental Repayments'!$I$22)),0),0)</f>
        <v>0</v>
      </c>
      <c r="BC105" s="783">
        <f>IF('Incremental Repayments'!$R$22="Debt",IF(AND(BC$4&gt;=$D105,BC$4&lt;$D105+'Incremental Repayments'!$I$31),-PMT('Interest Rate'!$J$16,'Incremental Repayments'!$I$31,(HLOOKUP($D105,$E$4:$CZ$32,28,FALSE)*'Incremental Repayments'!$I$22)),0),0)</f>
        <v>0</v>
      </c>
      <c r="BD105" s="783">
        <f>IF('Incremental Repayments'!$R$22="Debt",IF(AND(BD$4&gt;=$D105,BD$4&lt;$D105+'Incremental Repayments'!$I$31),-PMT('Interest Rate'!$J$16,'Incremental Repayments'!$I$31,(HLOOKUP($D105,$E$4:$CZ$32,28,FALSE)*'Incremental Repayments'!$I$22)),0),0)</f>
        <v>0</v>
      </c>
      <c r="BE105" s="783">
        <f>IF('Incremental Repayments'!$R$22="Debt",IF(AND(BE$4&gt;=$D105,BE$4&lt;$D105+'Incremental Repayments'!$I$31),-PMT('Interest Rate'!$J$16,'Incremental Repayments'!$I$31,(HLOOKUP($D105,$E$4:$CZ$32,28,FALSE)*'Incremental Repayments'!$I$22)),0),0)</f>
        <v>0</v>
      </c>
      <c r="BF105" s="783">
        <f>IF('Incremental Repayments'!$R$22="Debt",IF(AND(BF$4&gt;=$D105,BF$4&lt;$D105+'Incremental Repayments'!$I$31),-PMT('Interest Rate'!$J$16,'Incremental Repayments'!$I$31,(HLOOKUP($D105,$E$4:$CZ$32,28,FALSE)*'Incremental Repayments'!$I$22)),0),0)</f>
        <v>0</v>
      </c>
      <c r="BG105" s="783">
        <f>IF('Incremental Repayments'!$R$22="Debt",IF(AND(BG$4&gt;=$D105,BG$4&lt;$D105+'Incremental Repayments'!$I$31),-PMT('Interest Rate'!$J$16,'Incremental Repayments'!$I$31,(HLOOKUP($D105,$E$4:$CZ$32,28,FALSE)*'Incremental Repayments'!$I$22)),0),0)</f>
        <v>0</v>
      </c>
      <c r="BH105" s="783">
        <f>IF('Incremental Repayments'!$R$22="Debt",IF(AND(BH$4&gt;=$D105,BH$4&lt;$D105+'Incremental Repayments'!$I$31),-PMT('Interest Rate'!$J$16,'Incremental Repayments'!$I$31,(HLOOKUP($D105,$E$4:$CZ$32,28,FALSE)*'Incremental Repayments'!$I$22)),0),0)</f>
        <v>0</v>
      </c>
      <c r="BI105" s="783">
        <f>IF('Incremental Repayments'!$R$22="Debt",IF(AND(BI$4&gt;=$D105,BI$4&lt;$D105+'Incremental Repayments'!$I$31),-PMT('Interest Rate'!$J$16,'Incremental Repayments'!$I$31,(HLOOKUP($D105,$E$4:$CZ$32,28,FALSE)*'Incremental Repayments'!$I$22)),0),0)</f>
        <v>0</v>
      </c>
      <c r="BJ105" s="783">
        <f>IF('Incremental Repayments'!$R$22="Debt",IF(AND(BJ$4&gt;=$D105,BJ$4&lt;$D105+'Incremental Repayments'!$I$31),-PMT('Interest Rate'!$J$16,'Incremental Repayments'!$I$31,(HLOOKUP($D105,$E$4:$CZ$32,28,FALSE)*'Incremental Repayments'!$I$22)),0),0)</f>
        <v>0</v>
      </c>
      <c r="BK105" s="783">
        <f>IF('Incremental Repayments'!$R$22="Debt",IF(AND(BK$4&gt;=$D105,BK$4&lt;$D105+'Incremental Repayments'!$I$31),-PMT('Interest Rate'!$J$16,'Incremental Repayments'!$I$31,(HLOOKUP($D105,$E$4:$CZ$32,28,FALSE)*'Incremental Repayments'!$I$22)),0),0)</f>
        <v>0</v>
      </c>
      <c r="BL105" s="783">
        <f>IF('Incremental Repayments'!$R$22="Debt",IF(AND(BL$4&gt;=$D105,BL$4&lt;$D105+'Incremental Repayments'!$I$31),-PMT('Interest Rate'!$J$16,'Incremental Repayments'!$I$31,(HLOOKUP($D105,$E$4:$CZ$32,28,FALSE)*'Incremental Repayments'!$I$22)),0),0)</f>
        <v>0</v>
      </c>
      <c r="BM105" s="783">
        <f>IF('Incremental Repayments'!$R$22="Debt",IF(AND(BM$4&gt;=$D105,BM$4&lt;$D105+'Incremental Repayments'!$I$31),-PMT('Interest Rate'!$J$16,'Incremental Repayments'!$I$31,(HLOOKUP($D105,$E$4:$CZ$32,28,FALSE)*'Incremental Repayments'!$I$22)),0),0)</f>
        <v>0</v>
      </c>
      <c r="BN105" s="783">
        <f>IF('Incremental Repayments'!$R$22="Debt",IF(AND(BN$4&gt;=$D105,BN$4&lt;$D105+'Incremental Repayments'!$I$31),-PMT('Interest Rate'!$J$16,'Incremental Repayments'!$I$31,(HLOOKUP($D105,$E$4:$CZ$32,28,FALSE)*'Incremental Repayments'!$I$22)),0),0)</f>
        <v>0</v>
      </c>
      <c r="BO105" s="783">
        <f>IF('Incremental Repayments'!$R$22="Debt",IF(AND(BO$4&gt;=$D105,BO$4&lt;$D105+'Incremental Repayments'!$I$31),-PMT('Interest Rate'!$J$16,'Incremental Repayments'!$I$31,(HLOOKUP($D105,$E$4:$CZ$32,28,FALSE)*'Incremental Repayments'!$I$22)),0),0)</f>
        <v>0</v>
      </c>
      <c r="BP105" s="783">
        <f>IF('Incremental Repayments'!$R$22="Debt",IF(AND(BP$4&gt;=$D105,BP$4&lt;$D105+'Incremental Repayments'!$I$31),-PMT('Interest Rate'!$J$16,'Incremental Repayments'!$I$31,(HLOOKUP($D105,$E$4:$CZ$32,28,FALSE)*'Incremental Repayments'!$I$22)),0),0)</f>
        <v>0</v>
      </c>
      <c r="BQ105" s="783">
        <f>IF('Incremental Repayments'!$R$22="Debt",IF(AND(BQ$4&gt;=$D105,BQ$4&lt;$D105+'Incremental Repayments'!$I$31),-PMT('Interest Rate'!$J$16,'Incremental Repayments'!$I$31,(HLOOKUP($D105,$E$4:$CZ$32,28,FALSE)*'Incremental Repayments'!$I$22)),0),0)</f>
        <v>0</v>
      </c>
      <c r="BR105" s="783">
        <f>IF('Incremental Repayments'!$R$22="Debt",IF(AND(BR$4&gt;=$D105,BR$4&lt;$D105+'Incremental Repayments'!$I$31),-PMT('Interest Rate'!$J$16,'Incremental Repayments'!$I$31,(HLOOKUP($D105,$E$4:$CZ$32,28,FALSE)*'Incremental Repayments'!$I$22)),0),0)</f>
        <v>0</v>
      </c>
      <c r="BS105" s="783">
        <f>IF('Incremental Repayments'!$R$22="Debt",IF(AND(BS$4&gt;=$D105,BS$4&lt;$D105+'Incremental Repayments'!$I$31),-PMT('Interest Rate'!$J$16,'Incremental Repayments'!$I$31,(HLOOKUP($D105,$E$4:$CZ$32,28,FALSE)*'Incremental Repayments'!$I$22)),0),0)</f>
        <v>0</v>
      </c>
      <c r="BT105" s="783">
        <f>IF('Incremental Repayments'!$R$22="Debt",IF(AND(BT$4&gt;=$D105,BT$4&lt;$D105+'Incremental Repayments'!$I$31),-PMT('Interest Rate'!$J$16,'Incremental Repayments'!$I$31,(HLOOKUP($D105,$E$4:$CZ$32,28,FALSE)*'Incremental Repayments'!$I$22)),0),0)</f>
        <v>0</v>
      </c>
      <c r="BU105" s="783">
        <f>IF('Incremental Repayments'!$R$22="Debt",IF(AND(BU$4&gt;=$D105,BU$4&lt;$D105+'Incremental Repayments'!$I$31),-PMT('Interest Rate'!$J$16,'Incremental Repayments'!$I$31,(HLOOKUP($D105,$E$4:$CZ$32,28,FALSE)*'Incremental Repayments'!$I$22)),0),0)</f>
        <v>0</v>
      </c>
      <c r="BV105" s="783">
        <f>IF('Incremental Repayments'!$R$22="Debt",IF(AND(BV$4&gt;=$D105,BV$4&lt;$D105+'Incremental Repayments'!$I$31),-PMT('Interest Rate'!$J$16,'Incremental Repayments'!$I$31,(HLOOKUP($D105,$E$4:$CZ$32,28,FALSE)*'Incremental Repayments'!$I$22)),0),0)</f>
        <v>0</v>
      </c>
      <c r="BW105" s="783">
        <f>IF('Incremental Repayments'!$R$22="Debt",IF(AND(BW$4&gt;=$D105,BW$4&lt;$D105+'Incremental Repayments'!$I$31),-PMT('Interest Rate'!$J$16,'Incremental Repayments'!$I$31,(HLOOKUP($D105,$E$4:$CZ$32,28,FALSE)*'Incremental Repayments'!$I$22)),0),0)</f>
        <v>0</v>
      </c>
      <c r="BX105" s="783">
        <f>IF('Incremental Repayments'!$R$22="Debt",IF(AND(BX$4&gt;=$D105,BX$4&lt;$D105+'Incremental Repayments'!$I$31),-PMT('Interest Rate'!$J$16,'Incremental Repayments'!$I$31,(HLOOKUP($D105,$E$4:$CZ$32,28,FALSE)*'Incremental Repayments'!$I$22)),0),0)</f>
        <v>0</v>
      </c>
      <c r="BY105" s="783">
        <f>IF('Incremental Repayments'!$R$22="Debt",IF(AND(BY$4&gt;=$D105,BY$4&lt;$D105+'Incremental Repayments'!$I$31),-PMT('Interest Rate'!$J$16,'Incremental Repayments'!$I$31,(HLOOKUP($D105,$E$4:$CZ$32,28,FALSE)*'Incremental Repayments'!$I$22)),0),0)</f>
        <v>0</v>
      </c>
      <c r="BZ105" s="783">
        <f>IF('Incremental Repayments'!$R$22="Debt",IF(AND(BZ$4&gt;=$D105,BZ$4&lt;$D105+'Incremental Repayments'!$I$31),-PMT('Interest Rate'!$J$16,'Incremental Repayments'!$I$31,(HLOOKUP($D105,$E$4:$CZ$32,28,FALSE)*'Incremental Repayments'!$I$22)),0),0)</f>
        <v>0</v>
      </c>
      <c r="CA105" s="783">
        <f>IF('Incremental Repayments'!$R$22="Debt",IF(AND(CA$4&gt;=$D105,CA$4&lt;$D105+'Incremental Repayments'!$I$31),-PMT('Interest Rate'!$J$16,'Incremental Repayments'!$I$31,(HLOOKUP($D105,$E$4:$CZ$32,28,FALSE)*'Incremental Repayments'!$I$22)),0),0)</f>
        <v>0</v>
      </c>
      <c r="CB105" s="783">
        <f>IF('Incremental Repayments'!$R$22="Debt",IF(AND(CB$4&gt;=$D105,CB$4&lt;$D105+'Incremental Repayments'!$I$31),-PMT('Interest Rate'!$J$16,'Incremental Repayments'!$I$31,(HLOOKUP($D105,$E$4:$CZ$32,28,FALSE)*'Incremental Repayments'!$I$22)),0),0)</f>
        <v>0</v>
      </c>
      <c r="CC105" s="783">
        <f>IF('Incremental Repayments'!$R$22="Debt",IF(AND(CC$4&gt;=$D105,CC$4&lt;$D105+'Incremental Repayments'!$I$31),-PMT('Interest Rate'!$J$16,'Incremental Repayments'!$I$31,(HLOOKUP($D105,$E$4:$CZ$32,28,FALSE)*'Incremental Repayments'!$I$22)),0),0)</f>
        <v>0</v>
      </c>
      <c r="CD105" s="783">
        <f>IF('Incremental Repayments'!$R$22="Debt",IF(AND(CD$4&gt;=$D105,CD$4&lt;$D105+'Incremental Repayments'!$I$31),-PMT('Interest Rate'!$J$16,'Incremental Repayments'!$I$31,(HLOOKUP($D105,$E$4:$CZ$32,28,FALSE)*'Incremental Repayments'!$I$22)),0),0)</f>
        <v>0</v>
      </c>
      <c r="CE105" s="783">
        <f>IF('Incremental Repayments'!$R$22="Debt",IF(AND(CE$4&gt;=$D105,CE$4&lt;$D105+'Incremental Repayments'!$I$31),-PMT('Interest Rate'!$J$16,'Incremental Repayments'!$I$31,(HLOOKUP($D105,$E$4:$CZ$32,28,FALSE)*'Incremental Repayments'!$I$22)),0),0)</f>
        <v>0</v>
      </c>
      <c r="CF105" s="783">
        <f>IF('Incremental Repayments'!$R$22="Debt",IF(AND(CF$4&gt;=$D105,CF$4&lt;$D105+'Incremental Repayments'!$I$31),-PMT('Interest Rate'!$J$16,'Incremental Repayments'!$I$31,(HLOOKUP($D105,$E$4:$CZ$32,28,FALSE)*'Incremental Repayments'!$I$22)),0),0)</f>
        <v>0</v>
      </c>
      <c r="CG105" s="783">
        <f>IF('Incremental Repayments'!$R$22="Debt",IF(AND(CG$4&gt;=$D105,CG$4&lt;$D105+'Incremental Repayments'!$I$31),-PMT('Interest Rate'!$J$16,'Incremental Repayments'!$I$31,(HLOOKUP($D105,$E$4:$CZ$32,28,FALSE)*'Incremental Repayments'!$I$22)),0),0)</f>
        <v>0</v>
      </c>
      <c r="CH105" s="783">
        <f>IF('Incremental Repayments'!$R$22="Debt",IF(AND(CH$4&gt;=$D105,CH$4&lt;$D105+'Incremental Repayments'!$I$31),-PMT('Interest Rate'!$J$16,'Incremental Repayments'!$I$31,(HLOOKUP($D105,$E$4:$CZ$32,28,FALSE)*'Incremental Repayments'!$I$22)),0),0)</f>
        <v>0</v>
      </c>
      <c r="CI105" s="783">
        <f>IF('Incremental Repayments'!$R$22="Debt",IF(AND(CI$4&gt;=$D105,CI$4&lt;$D105+'Incremental Repayments'!$I$31),-PMT('Interest Rate'!$J$16,'Incremental Repayments'!$I$31,(HLOOKUP($D105,$E$4:$CZ$32,28,FALSE)*'Incremental Repayments'!$I$22)),0),0)</f>
        <v>0</v>
      </c>
      <c r="CJ105" s="783">
        <f>IF('Incremental Repayments'!$R$22="Debt",IF(AND(CJ$4&gt;=$D105,CJ$4&lt;$D105+'Incremental Repayments'!$I$31),-PMT('Interest Rate'!$J$16,'Incremental Repayments'!$I$31,(HLOOKUP($D105,$E$4:$CZ$32,28,FALSE)*'Incremental Repayments'!$I$22)),0),0)</f>
        <v>0</v>
      </c>
      <c r="CK105" s="783">
        <f>IF('Incremental Repayments'!$R$22="Debt",IF(AND(CK$4&gt;=$D105,CK$4&lt;$D105+'Incremental Repayments'!$I$31),-PMT('Interest Rate'!$J$16,'Incremental Repayments'!$I$31,(HLOOKUP($D105,$E$4:$CZ$32,28,FALSE)*'Incremental Repayments'!$I$22)),0),0)</f>
        <v>0</v>
      </c>
      <c r="CL105" s="783">
        <f>IF('Incremental Repayments'!$R$22="Debt",IF(AND(CL$4&gt;=$D105,CL$4&lt;$D105+'Incremental Repayments'!$I$31),-PMT('Interest Rate'!$J$16,'Incremental Repayments'!$I$31,(HLOOKUP($D105,$E$4:$CZ$32,28,FALSE)*'Incremental Repayments'!$I$22)),0),0)</f>
        <v>0</v>
      </c>
      <c r="CM105" s="783">
        <f>IF('Incremental Repayments'!$R$22="Debt",IF(AND(CM$4&gt;=$D105,CM$4&lt;$D105+'Incremental Repayments'!$I$31),-PMT('Interest Rate'!$J$16,'Incremental Repayments'!$I$31,(HLOOKUP($D105,$E$4:$CZ$32,28,FALSE)*'Incremental Repayments'!$I$22)),0),0)</f>
        <v>0</v>
      </c>
      <c r="CN105" s="783">
        <f>IF('Incremental Repayments'!$R$22="Debt",IF(AND(CN$4&gt;=$D105,CN$4&lt;$D105+'Incremental Repayments'!$I$31),-PMT('Interest Rate'!$J$16,'Incremental Repayments'!$I$31,(HLOOKUP($D105,$E$4:$CZ$32,28,FALSE)*'Incremental Repayments'!$I$22)),0),0)</f>
        <v>0</v>
      </c>
      <c r="CO105" s="783">
        <f>IF('Incremental Repayments'!$R$22="Debt",IF(AND(CO$4&gt;=$D105,CO$4&lt;$D105+'Incremental Repayments'!$I$31),-PMT('Interest Rate'!$J$16,'Incremental Repayments'!$I$31,(HLOOKUP($D105,$E$4:$CZ$32,28,FALSE)*'Incremental Repayments'!$I$22)),0),0)</f>
        <v>0</v>
      </c>
      <c r="CP105" s="783">
        <f>IF('Incremental Repayments'!$R$22="Debt",IF(AND(CP$4&gt;=$D105,CP$4&lt;$D105+'Incremental Repayments'!$I$31),-PMT('Interest Rate'!$J$16,'Incremental Repayments'!$I$31,(HLOOKUP($D105,$E$4:$CZ$32,28,FALSE)*'Incremental Repayments'!$I$22)),0),0)</f>
        <v>0</v>
      </c>
      <c r="CQ105" s="783">
        <f>IF('Incremental Repayments'!$R$22="Debt",IF(AND(CQ$4&gt;=$D105,CQ$4&lt;$D105+'Incremental Repayments'!$I$31),-PMT('Interest Rate'!$J$16,'Incremental Repayments'!$I$31,(HLOOKUP($D105,$E$4:$CZ$32,28,FALSE)*'Incremental Repayments'!$I$22)),0),0)</f>
        <v>0</v>
      </c>
      <c r="CR105" s="783">
        <f>IF('Incremental Repayments'!$R$22="Debt",IF(AND(CR$4&gt;=$D105,CR$4&lt;$D105+'Incremental Repayments'!$I$31),-PMT('Interest Rate'!$J$16,'Incremental Repayments'!$I$31,(HLOOKUP($D105,$E$4:$CZ$32,28,FALSE)*'Incremental Repayments'!$I$22)),0),0)</f>
        <v>0</v>
      </c>
      <c r="CS105" s="783">
        <f>IF('Incremental Repayments'!$R$22="Debt",IF(AND(CS$4&gt;=$D105,CS$4&lt;$D105+'Incremental Repayments'!$I$31),-PMT('Interest Rate'!$J$16,'Incremental Repayments'!$I$31,(HLOOKUP($D105,$E$4:$CZ$32,28,FALSE)*'Incremental Repayments'!$I$22)),0),0)</f>
        <v>0</v>
      </c>
      <c r="CT105" s="783">
        <f>IF('Incremental Repayments'!$R$22="Debt",IF(AND(CT$4&gt;=$D105,CT$4&lt;$D105+'Incremental Repayments'!$I$31),-PMT('Interest Rate'!$J$16,'Incremental Repayments'!$I$31,(HLOOKUP($D105,$E$4:$CZ$32,28,FALSE)*'Incremental Repayments'!$I$22)),0),0)</f>
        <v>0</v>
      </c>
      <c r="CU105" s="783">
        <f>IF('Incremental Repayments'!$R$22="Debt",IF(AND(CU$4&gt;=$D105,CU$4&lt;$D105+'Incremental Repayments'!$I$31),-PMT('Interest Rate'!$J$16,'Incremental Repayments'!$I$31,(HLOOKUP($D105,$E$4:$CZ$32,28,FALSE)*'Incremental Repayments'!$I$22)),0),0)</f>
        <v>0</v>
      </c>
      <c r="CV105" s="783">
        <f>IF('Incremental Repayments'!$R$22="Debt",IF(AND(CV$4&gt;=$D105,CV$4&lt;$D105+'Incremental Repayments'!$I$31),-PMT('Interest Rate'!$J$16,'Incremental Repayments'!$I$31,(HLOOKUP($D105,$E$4:$CZ$32,28,FALSE)*'Incremental Repayments'!$I$22)),0),0)</f>
        <v>0</v>
      </c>
      <c r="CW105" s="783">
        <f>IF('Incremental Repayments'!$R$22="Debt",IF(AND(CW$4&gt;=$D105,CW$4&lt;$D105+'Incremental Repayments'!$I$31),-PMT('Interest Rate'!$J$16,'Incremental Repayments'!$I$31,(HLOOKUP($D105,$E$4:$CZ$32,28,FALSE)*'Incremental Repayments'!$I$22)),0),0)</f>
        <v>0</v>
      </c>
      <c r="CX105" s="783">
        <f>IF('Incremental Repayments'!$R$22="Debt",IF(AND(CX$4&gt;=$D105,CX$4&lt;$D105+'Incremental Repayments'!$I$31),-PMT('Interest Rate'!$J$16,'Incremental Repayments'!$I$31,(HLOOKUP($D105,$E$4:$CZ$32,28,FALSE)*'Incremental Repayments'!$I$22)),0),0)</f>
        <v>0</v>
      </c>
      <c r="CY105" s="783">
        <f>IF('Incremental Repayments'!$R$22="Debt",IF(AND(CY$4&gt;=$D105,CY$4&lt;$D105+'Incremental Repayments'!$I$31),-PMT('Interest Rate'!$J$16,'Incremental Repayments'!$I$31,(HLOOKUP($D105,$E$4:$CZ$32,28,FALSE)*'Incremental Repayments'!$I$22)),0),0)</f>
        <v>0</v>
      </c>
      <c r="CZ105" s="783">
        <f>IF('Incremental Repayments'!$R$22="Debt",IF(AND(CZ$4&gt;=$D105,CZ$4&lt;$D105+'Incremental Repayments'!$I$31),-PMT('Interest Rate'!$J$16,'Incremental Repayments'!$I$31,(HLOOKUP($D105,$E$4:$CZ$32,28,FALSE)*'Incremental Repayments'!$I$22)),0),0)</f>
        <v>0</v>
      </c>
    </row>
    <row r="106" spans="2:104" x14ac:dyDescent="0.25">
      <c r="B106" s="480" t="str">
        <f>CONCATENATE("Series ",D106,"A Bonds (at ",'Interest Rate'!$J$16*100,"% Interest)")</f>
        <v>Series 2084A Bonds (at 4.5% Interest)</v>
      </c>
      <c r="C106" s="480"/>
      <c r="D106" s="492">
        <f t="shared" si="47"/>
        <v>2084</v>
      </c>
      <c r="E106" s="783">
        <f>IF('Incremental Repayments'!$R$22="Debt",IF(AND(E$4&gt;=$D106,E$4&lt;$D106+'Incremental Repayments'!$I$31),-PMT('Interest Rate'!$J$16,'Incremental Repayments'!$I$31,(HLOOKUP($D106,$E$4:$CZ$32,28,FALSE)*'Incremental Repayments'!$I$22)),0),0)</f>
        <v>0</v>
      </c>
      <c r="F106" s="783">
        <f>IF('Incremental Repayments'!$R$22="Debt",IF(AND(F$4&gt;=$D106,F$4&lt;$D106+'Incremental Repayments'!$I$31),-PMT('Interest Rate'!$J$16,'Incremental Repayments'!$I$31,(HLOOKUP($D106,$E$4:$CZ$32,28,FALSE)*'Incremental Repayments'!$I$22)),0),0)</f>
        <v>0</v>
      </c>
      <c r="G106" s="783">
        <f>IF('Incremental Repayments'!$R$22="Debt",IF(AND(G$4&gt;=$D106,G$4&lt;$D106+'Incremental Repayments'!$I$31),-PMT('Interest Rate'!$J$16,'Incremental Repayments'!$I$31,(HLOOKUP($D106,$E$4:$CZ$32,28,FALSE)*'Incremental Repayments'!$I$22)),0),0)</f>
        <v>0</v>
      </c>
      <c r="H106" s="783">
        <f>IF('Incremental Repayments'!$R$22="Debt",IF(AND(H$4&gt;=$D106,H$4&lt;$D106+'Incremental Repayments'!$I$31),-PMT('Interest Rate'!$J$16,'Incremental Repayments'!$I$31,(HLOOKUP($D106,$E$4:$CZ$32,28,FALSE)*'Incremental Repayments'!$I$22)),0),0)</f>
        <v>0</v>
      </c>
      <c r="I106" s="783">
        <f>IF('Incremental Repayments'!$R$22="Debt",IF(AND(I$4&gt;=$D106,I$4&lt;$D106+'Incremental Repayments'!$I$31),-PMT('Interest Rate'!$J$16,'Incremental Repayments'!$I$31,(HLOOKUP($D106,$E$4:$CZ$32,28,FALSE)*'Incremental Repayments'!$I$22)),0),0)</f>
        <v>0</v>
      </c>
      <c r="J106" s="783">
        <f>IF('Incremental Repayments'!$R$22="Debt",IF(AND(J$4&gt;=$D106,J$4&lt;$D106+'Incremental Repayments'!$I$31),-PMT('Interest Rate'!$J$16,'Incremental Repayments'!$I$31,(HLOOKUP($D106,$E$4:$CZ$32,28,FALSE)*'Incremental Repayments'!$I$22)),0),0)</f>
        <v>0</v>
      </c>
      <c r="K106" s="783">
        <f>IF('Incremental Repayments'!$R$22="Debt",IF(AND(K$4&gt;=$D106,K$4&lt;$D106+'Incremental Repayments'!$I$31),-PMT('Interest Rate'!$J$16,'Incremental Repayments'!$I$31,(HLOOKUP($D106,$E$4:$CZ$32,28,FALSE)*'Incremental Repayments'!$I$22)),0),0)</f>
        <v>0</v>
      </c>
      <c r="L106" s="783">
        <f>IF('Incremental Repayments'!$R$22="Debt",IF(AND(L$4&gt;=$D106,L$4&lt;$D106+'Incremental Repayments'!$I$31),-PMT('Interest Rate'!$J$16,'Incremental Repayments'!$I$31,(HLOOKUP($D106,$E$4:$CZ$32,28,FALSE)*'Incremental Repayments'!$I$22)),0),0)</f>
        <v>0</v>
      </c>
      <c r="M106" s="783">
        <f>IF('Incremental Repayments'!$R$22="Debt",IF(AND(M$4&gt;=$D106,M$4&lt;$D106+'Incremental Repayments'!$I$31),-PMT('Interest Rate'!$J$16,'Incremental Repayments'!$I$31,(HLOOKUP($D106,$E$4:$CZ$32,28,FALSE)*'Incremental Repayments'!$I$22)),0),0)</f>
        <v>0</v>
      </c>
      <c r="N106" s="783">
        <f>IF('Incremental Repayments'!$R$22="Debt",IF(AND(N$4&gt;=$D106,N$4&lt;$D106+'Incremental Repayments'!$I$31),-PMT('Interest Rate'!$J$16,'Incremental Repayments'!$I$31,(HLOOKUP($D106,$E$4:$CZ$32,28,FALSE)*'Incremental Repayments'!$I$22)),0),0)</f>
        <v>0</v>
      </c>
      <c r="O106" s="783">
        <f>IF('Incremental Repayments'!$R$22="Debt",IF(AND(O$4&gt;=$D106,O$4&lt;$D106+'Incremental Repayments'!$I$31),-PMT('Interest Rate'!$J$16,'Incremental Repayments'!$I$31,(HLOOKUP($D106,$E$4:$CZ$32,28,FALSE)*'Incremental Repayments'!$I$22)),0),0)</f>
        <v>0</v>
      </c>
      <c r="P106" s="783">
        <f>IF('Incremental Repayments'!$R$22="Debt",IF(AND(P$4&gt;=$D106,P$4&lt;$D106+'Incremental Repayments'!$I$31),-PMT('Interest Rate'!$J$16,'Incremental Repayments'!$I$31,(HLOOKUP($D106,$E$4:$CZ$32,28,FALSE)*'Incremental Repayments'!$I$22)),0),0)</f>
        <v>0</v>
      </c>
      <c r="Q106" s="783">
        <f>IF('Incremental Repayments'!$R$22="Debt",IF(AND(Q$4&gt;=$D106,Q$4&lt;$D106+'Incremental Repayments'!$I$31),-PMT('Interest Rate'!$J$16,'Incremental Repayments'!$I$31,(HLOOKUP($D106,$E$4:$CZ$32,28,FALSE)*'Incremental Repayments'!$I$22)),0),0)</f>
        <v>0</v>
      </c>
      <c r="R106" s="783">
        <f>IF('Incremental Repayments'!$R$22="Debt",IF(AND(R$4&gt;=$D106,R$4&lt;$D106+'Incremental Repayments'!$I$31),-PMT('Interest Rate'!$J$16,'Incremental Repayments'!$I$31,(HLOOKUP($D106,$E$4:$CZ$32,28,FALSE)*'Incremental Repayments'!$I$22)),0),0)</f>
        <v>0</v>
      </c>
      <c r="S106" s="783">
        <f>IF('Incremental Repayments'!$R$22="Debt",IF(AND(S$4&gt;=$D106,S$4&lt;$D106+'Incremental Repayments'!$I$31),-PMT('Interest Rate'!$J$16,'Incremental Repayments'!$I$31,(HLOOKUP($D106,$E$4:$CZ$32,28,FALSE)*'Incremental Repayments'!$I$22)),0),0)</f>
        <v>0</v>
      </c>
      <c r="T106" s="783">
        <f>IF('Incremental Repayments'!$R$22="Debt",IF(AND(T$4&gt;=$D106,T$4&lt;$D106+'Incremental Repayments'!$I$31),-PMT('Interest Rate'!$J$16,'Incremental Repayments'!$I$31,(HLOOKUP($D106,$E$4:$CZ$32,28,FALSE)*'Incremental Repayments'!$I$22)),0),0)</f>
        <v>0</v>
      </c>
      <c r="U106" s="783">
        <f>IF('Incremental Repayments'!$R$22="Debt",IF(AND(U$4&gt;=$D106,U$4&lt;$D106+'Incremental Repayments'!$I$31),-PMT('Interest Rate'!$J$16,'Incremental Repayments'!$I$31,(HLOOKUP($D106,$E$4:$CZ$32,28,FALSE)*'Incremental Repayments'!$I$22)),0),0)</f>
        <v>0</v>
      </c>
      <c r="V106" s="783">
        <f>IF('Incremental Repayments'!$R$22="Debt",IF(AND(V$4&gt;=$D106,V$4&lt;$D106+'Incremental Repayments'!$I$31),-PMT('Interest Rate'!$J$16,'Incremental Repayments'!$I$31,(HLOOKUP($D106,$E$4:$CZ$32,28,FALSE)*'Incremental Repayments'!$I$22)),0),0)</f>
        <v>0</v>
      </c>
      <c r="W106" s="783">
        <f>IF('Incremental Repayments'!$R$22="Debt",IF(AND(W$4&gt;=$D106,W$4&lt;$D106+'Incremental Repayments'!$I$31),-PMT('Interest Rate'!$J$16,'Incremental Repayments'!$I$31,(HLOOKUP($D106,$E$4:$CZ$32,28,FALSE)*'Incremental Repayments'!$I$22)),0),0)</f>
        <v>0</v>
      </c>
      <c r="X106" s="783">
        <f>IF('Incremental Repayments'!$R$22="Debt",IF(AND(X$4&gt;=$D106,X$4&lt;$D106+'Incremental Repayments'!$I$31),-PMT('Interest Rate'!$J$16,'Incremental Repayments'!$I$31,(HLOOKUP($D106,$E$4:$CZ$32,28,FALSE)*'Incremental Repayments'!$I$22)),0),0)</f>
        <v>0</v>
      </c>
      <c r="Y106" s="783">
        <f>IF('Incremental Repayments'!$R$22="Debt",IF(AND(Y$4&gt;=$D106,Y$4&lt;$D106+'Incremental Repayments'!$I$31),-PMT('Interest Rate'!$J$16,'Incremental Repayments'!$I$31,(HLOOKUP($D106,$E$4:$CZ$32,28,FALSE)*'Incremental Repayments'!$I$22)),0),0)</f>
        <v>0</v>
      </c>
      <c r="Z106" s="783">
        <f>IF('Incremental Repayments'!$R$22="Debt",IF(AND(Z$4&gt;=$D106,Z$4&lt;$D106+'Incremental Repayments'!$I$31),-PMT('Interest Rate'!$J$16,'Incremental Repayments'!$I$31,(HLOOKUP($D106,$E$4:$CZ$32,28,FALSE)*'Incremental Repayments'!$I$22)),0),0)</f>
        <v>0</v>
      </c>
      <c r="AA106" s="783">
        <f>IF('Incremental Repayments'!$R$22="Debt",IF(AND(AA$4&gt;=$D106,AA$4&lt;$D106+'Incremental Repayments'!$I$31),-PMT('Interest Rate'!$J$16,'Incremental Repayments'!$I$31,(HLOOKUP($D106,$E$4:$CZ$32,28,FALSE)*'Incremental Repayments'!$I$22)),0),0)</f>
        <v>0</v>
      </c>
      <c r="AB106" s="783">
        <f>IF('Incremental Repayments'!$R$22="Debt",IF(AND(AB$4&gt;=$D106,AB$4&lt;$D106+'Incremental Repayments'!$I$31),-PMT('Interest Rate'!$J$16,'Incremental Repayments'!$I$31,(HLOOKUP($D106,$E$4:$CZ$32,28,FALSE)*'Incremental Repayments'!$I$22)),0),0)</f>
        <v>0</v>
      </c>
      <c r="AC106" s="783">
        <f>IF('Incremental Repayments'!$R$22="Debt",IF(AND(AC$4&gt;=$D106,AC$4&lt;$D106+'Incremental Repayments'!$I$31),-PMT('Interest Rate'!$J$16,'Incremental Repayments'!$I$31,(HLOOKUP($D106,$E$4:$CZ$32,28,FALSE)*'Incremental Repayments'!$I$22)),0),0)</f>
        <v>0</v>
      </c>
      <c r="AD106" s="783">
        <f>IF('Incremental Repayments'!$R$22="Debt",IF(AND(AD$4&gt;=$D106,AD$4&lt;$D106+'Incremental Repayments'!$I$31),-PMT('Interest Rate'!$J$16,'Incremental Repayments'!$I$31,(HLOOKUP($D106,$E$4:$CZ$32,28,FALSE)*'Incremental Repayments'!$I$22)),0),0)</f>
        <v>0</v>
      </c>
      <c r="AE106" s="783">
        <f>IF('Incremental Repayments'!$R$22="Debt",IF(AND(AE$4&gt;=$D106,AE$4&lt;$D106+'Incremental Repayments'!$I$31),-PMT('Interest Rate'!$J$16,'Incremental Repayments'!$I$31,(HLOOKUP($D106,$E$4:$CZ$32,28,FALSE)*'Incremental Repayments'!$I$22)),0),0)</f>
        <v>0</v>
      </c>
      <c r="AF106" s="783">
        <f>IF('Incremental Repayments'!$R$22="Debt",IF(AND(AF$4&gt;=$D106,AF$4&lt;$D106+'Incremental Repayments'!$I$31),-PMT('Interest Rate'!$J$16,'Incremental Repayments'!$I$31,(HLOOKUP($D106,$E$4:$CZ$32,28,FALSE)*'Incremental Repayments'!$I$22)),0),0)</f>
        <v>0</v>
      </c>
      <c r="AG106" s="783">
        <f>IF('Incremental Repayments'!$R$22="Debt",IF(AND(AG$4&gt;=$D106,AG$4&lt;$D106+'Incremental Repayments'!$I$31),-PMT('Interest Rate'!$J$16,'Incremental Repayments'!$I$31,(HLOOKUP($D106,$E$4:$CZ$32,28,FALSE)*'Incremental Repayments'!$I$22)),0),0)</f>
        <v>0</v>
      </c>
      <c r="AH106" s="783">
        <f>IF('Incremental Repayments'!$R$22="Debt",IF(AND(AH$4&gt;=$D106,AH$4&lt;$D106+'Incremental Repayments'!$I$31),-PMT('Interest Rate'!$J$16,'Incremental Repayments'!$I$31,(HLOOKUP($D106,$E$4:$CZ$32,28,FALSE)*'Incremental Repayments'!$I$22)),0),0)</f>
        <v>0</v>
      </c>
      <c r="AI106" s="783">
        <f>IF('Incremental Repayments'!$R$22="Debt",IF(AND(AI$4&gt;=$D106,AI$4&lt;$D106+'Incremental Repayments'!$I$31),-PMT('Interest Rate'!$J$16,'Incremental Repayments'!$I$31,(HLOOKUP($D106,$E$4:$CZ$32,28,FALSE)*'Incremental Repayments'!$I$22)),0),0)</f>
        <v>0</v>
      </c>
      <c r="AJ106" s="783">
        <f>IF('Incremental Repayments'!$R$22="Debt",IF(AND(AJ$4&gt;=$D106,AJ$4&lt;$D106+'Incremental Repayments'!$I$31),-PMT('Interest Rate'!$J$16,'Incremental Repayments'!$I$31,(HLOOKUP($D106,$E$4:$CZ$32,28,FALSE)*'Incremental Repayments'!$I$22)),0),0)</f>
        <v>0</v>
      </c>
      <c r="AK106" s="783">
        <f>IF('Incremental Repayments'!$R$22="Debt",IF(AND(AK$4&gt;=$D106,AK$4&lt;$D106+'Incremental Repayments'!$I$31),-PMT('Interest Rate'!$J$16,'Incremental Repayments'!$I$31,(HLOOKUP($D106,$E$4:$CZ$32,28,FALSE)*'Incremental Repayments'!$I$22)),0),0)</f>
        <v>0</v>
      </c>
      <c r="AL106" s="783">
        <f>IF('Incremental Repayments'!$R$22="Debt",IF(AND(AL$4&gt;=$D106,AL$4&lt;$D106+'Incremental Repayments'!$I$31),-PMT('Interest Rate'!$J$16,'Incremental Repayments'!$I$31,(HLOOKUP($D106,$E$4:$CZ$32,28,FALSE)*'Incremental Repayments'!$I$22)),0),0)</f>
        <v>0</v>
      </c>
      <c r="AM106" s="783">
        <f>IF('Incremental Repayments'!$R$22="Debt",IF(AND(AM$4&gt;=$D106,AM$4&lt;$D106+'Incremental Repayments'!$I$31),-PMT('Interest Rate'!$J$16,'Incremental Repayments'!$I$31,(HLOOKUP($D106,$E$4:$CZ$32,28,FALSE)*'Incremental Repayments'!$I$22)),0),0)</f>
        <v>0</v>
      </c>
      <c r="AN106" s="783">
        <f>IF('Incremental Repayments'!$R$22="Debt",IF(AND(AN$4&gt;=$D106,AN$4&lt;$D106+'Incremental Repayments'!$I$31),-PMT('Interest Rate'!$J$16,'Incremental Repayments'!$I$31,(HLOOKUP($D106,$E$4:$CZ$32,28,FALSE)*'Incremental Repayments'!$I$22)),0),0)</f>
        <v>0</v>
      </c>
      <c r="AO106" s="783">
        <f>IF('Incremental Repayments'!$R$22="Debt",IF(AND(AO$4&gt;=$D106,AO$4&lt;$D106+'Incremental Repayments'!$I$31),-PMT('Interest Rate'!$J$16,'Incremental Repayments'!$I$31,(HLOOKUP($D106,$E$4:$CZ$32,28,FALSE)*'Incremental Repayments'!$I$22)),0),0)</f>
        <v>0</v>
      </c>
      <c r="AP106" s="783">
        <f>IF('Incremental Repayments'!$R$22="Debt",IF(AND(AP$4&gt;=$D106,AP$4&lt;$D106+'Incremental Repayments'!$I$31),-PMT('Interest Rate'!$J$16,'Incremental Repayments'!$I$31,(HLOOKUP($D106,$E$4:$CZ$32,28,FALSE)*'Incremental Repayments'!$I$22)),0),0)</f>
        <v>0</v>
      </c>
      <c r="AQ106" s="783">
        <f>IF('Incremental Repayments'!$R$22="Debt",IF(AND(AQ$4&gt;=$D106,AQ$4&lt;$D106+'Incremental Repayments'!$I$31),-PMT('Interest Rate'!$J$16,'Incremental Repayments'!$I$31,(HLOOKUP($D106,$E$4:$CZ$32,28,FALSE)*'Incremental Repayments'!$I$22)),0),0)</f>
        <v>0</v>
      </c>
      <c r="AR106" s="783">
        <f>IF('Incremental Repayments'!$R$22="Debt",IF(AND(AR$4&gt;=$D106,AR$4&lt;$D106+'Incremental Repayments'!$I$31),-PMT('Interest Rate'!$J$16,'Incremental Repayments'!$I$31,(HLOOKUP($D106,$E$4:$CZ$32,28,FALSE)*'Incremental Repayments'!$I$22)),0),0)</f>
        <v>0</v>
      </c>
      <c r="AS106" s="783">
        <f>IF('Incremental Repayments'!$R$22="Debt",IF(AND(AS$4&gt;=$D106,AS$4&lt;$D106+'Incremental Repayments'!$I$31),-PMT('Interest Rate'!$J$16,'Incremental Repayments'!$I$31,(HLOOKUP($D106,$E$4:$CZ$32,28,FALSE)*'Incremental Repayments'!$I$22)),0),0)</f>
        <v>0</v>
      </c>
      <c r="AT106" s="783">
        <f>IF('Incremental Repayments'!$R$22="Debt",IF(AND(AT$4&gt;=$D106,AT$4&lt;$D106+'Incremental Repayments'!$I$31),-PMT('Interest Rate'!$J$16,'Incremental Repayments'!$I$31,(HLOOKUP($D106,$E$4:$CZ$32,28,FALSE)*'Incremental Repayments'!$I$22)),0),0)</f>
        <v>0</v>
      </c>
      <c r="AU106" s="783">
        <f>IF('Incremental Repayments'!$R$22="Debt",IF(AND(AU$4&gt;=$D106,AU$4&lt;$D106+'Incremental Repayments'!$I$31),-PMT('Interest Rate'!$J$16,'Incremental Repayments'!$I$31,(HLOOKUP($D106,$E$4:$CZ$32,28,FALSE)*'Incremental Repayments'!$I$22)),0),0)</f>
        <v>0</v>
      </c>
      <c r="AV106" s="783">
        <f>IF('Incremental Repayments'!$R$22="Debt",IF(AND(AV$4&gt;=$D106,AV$4&lt;$D106+'Incremental Repayments'!$I$31),-PMT('Interest Rate'!$J$16,'Incremental Repayments'!$I$31,(HLOOKUP($D106,$E$4:$CZ$32,28,FALSE)*'Incremental Repayments'!$I$22)),0),0)</f>
        <v>0</v>
      </c>
      <c r="AW106" s="783">
        <f>IF('Incremental Repayments'!$R$22="Debt",IF(AND(AW$4&gt;=$D106,AW$4&lt;$D106+'Incremental Repayments'!$I$31),-PMT('Interest Rate'!$J$16,'Incremental Repayments'!$I$31,(HLOOKUP($D106,$E$4:$CZ$32,28,FALSE)*'Incremental Repayments'!$I$22)),0),0)</f>
        <v>0</v>
      </c>
      <c r="AX106" s="783">
        <f>IF('Incremental Repayments'!$R$22="Debt",IF(AND(AX$4&gt;=$D106,AX$4&lt;$D106+'Incremental Repayments'!$I$31),-PMT('Interest Rate'!$J$16,'Incremental Repayments'!$I$31,(HLOOKUP($D106,$E$4:$CZ$32,28,FALSE)*'Incremental Repayments'!$I$22)),0),0)</f>
        <v>0</v>
      </c>
      <c r="AY106" s="783">
        <f>IF('Incremental Repayments'!$R$22="Debt",IF(AND(AY$4&gt;=$D106,AY$4&lt;$D106+'Incremental Repayments'!$I$31),-PMT('Interest Rate'!$J$16,'Incremental Repayments'!$I$31,(HLOOKUP($D106,$E$4:$CZ$32,28,FALSE)*'Incremental Repayments'!$I$22)),0),0)</f>
        <v>0</v>
      </c>
      <c r="AZ106" s="783">
        <f>IF('Incremental Repayments'!$R$22="Debt",IF(AND(AZ$4&gt;=$D106,AZ$4&lt;$D106+'Incremental Repayments'!$I$31),-PMT('Interest Rate'!$J$16,'Incremental Repayments'!$I$31,(HLOOKUP($D106,$E$4:$CZ$32,28,FALSE)*'Incremental Repayments'!$I$22)),0),0)</f>
        <v>0</v>
      </c>
      <c r="BA106" s="783">
        <f>IF('Incremental Repayments'!$R$22="Debt",IF(AND(BA$4&gt;=$D106,BA$4&lt;$D106+'Incremental Repayments'!$I$31),-PMT('Interest Rate'!$J$16,'Incremental Repayments'!$I$31,(HLOOKUP($D106,$E$4:$CZ$32,28,FALSE)*'Incremental Repayments'!$I$22)),0),0)</f>
        <v>0</v>
      </c>
      <c r="BB106" s="783">
        <f>IF('Incremental Repayments'!$R$22="Debt",IF(AND(BB$4&gt;=$D106,BB$4&lt;$D106+'Incremental Repayments'!$I$31),-PMT('Interest Rate'!$J$16,'Incremental Repayments'!$I$31,(HLOOKUP($D106,$E$4:$CZ$32,28,FALSE)*'Incremental Repayments'!$I$22)),0),0)</f>
        <v>0</v>
      </c>
      <c r="BC106" s="783">
        <f>IF('Incremental Repayments'!$R$22="Debt",IF(AND(BC$4&gt;=$D106,BC$4&lt;$D106+'Incremental Repayments'!$I$31),-PMT('Interest Rate'!$J$16,'Incremental Repayments'!$I$31,(HLOOKUP($D106,$E$4:$CZ$32,28,FALSE)*'Incremental Repayments'!$I$22)),0),0)</f>
        <v>0</v>
      </c>
      <c r="BD106" s="783">
        <f>IF('Incremental Repayments'!$R$22="Debt",IF(AND(BD$4&gt;=$D106,BD$4&lt;$D106+'Incremental Repayments'!$I$31),-PMT('Interest Rate'!$J$16,'Incremental Repayments'!$I$31,(HLOOKUP($D106,$E$4:$CZ$32,28,FALSE)*'Incremental Repayments'!$I$22)),0),0)</f>
        <v>0</v>
      </c>
      <c r="BE106" s="783">
        <f>IF('Incremental Repayments'!$R$22="Debt",IF(AND(BE$4&gt;=$D106,BE$4&lt;$D106+'Incremental Repayments'!$I$31),-PMT('Interest Rate'!$J$16,'Incremental Repayments'!$I$31,(HLOOKUP($D106,$E$4:$CZ$32,28,FALSE)*'Incremental Repayments'!$I$22)),0),0)</f>
        <v>0</v>
      </c>
      <c r="BF106" s="783">
        <f>IF('Incremental Repayments'!$R$22="Debt",IF(AND(BF$4&gt;=$D106,BF$4&lt;$D106+'Incremental Repayments'!$I$31),-PMT('Interest Rate'!$J$16,'Incremental Repayments'!$I$31,(HLOOKUP($D106,$E$4:$CZ$32,28,FALSE)*'Incremental Repayments'!$I$22)),0),0)</f>
        <v>0</v>
      </c>
      <c r="BG106" s="783">
        <f>IF('Incremental Repayments'!$R$22="Debt",IF(AND(BG$4&gt;=$D106,BG$4&lt;$D106+'Incremental Repayments'!$I$31),-PMT('Interest Rate'!$J$16,'Incremental Repayments'!$I$31,(HLOOKUP($D106,$E$4:$CZ$32,28,FALSE)*'Incremental Repayments'!$I$22)),0),0)</f>
        <v>0</v>
      </c>
      <c r="BH106" s="783">
        <f>IF('Incremental Repayments'!$R$22="Debt",IF(AND(BH$4&gt;=$D106,BH$4&lt;$D106+'Incremental Repayments'!$I$31),-PMT('Interest Rate'!$J$16,'Incremental Repayments'!$I$31,(HLOOKUP($D106,$E$4:$CZ$32,28,FALSE)*'Incremental Repayments'!$I$22)),0),0)</f>
        <v>0</v>
      </c>
      <c r="BI106" s="783">
        <f>IF('Incremental Repayments'!$R$22="Debt",IF(AND(BI$4&gt;=$D106,BI$4&lt;$D106+'Incremental Repayments'!$I$31),-PMT('Interest Rate'!$J$16,'Incremental Repayments'!$I$31,(HLOOKUP($D106,$E$4:$CZ$32,28,FALSE)*'Incremental Repayments'!$I$22)),0),0)</f>
        <v>0</v>
      </c>
      <c r="BJ106" s="783">
        <f>IF('Incremental Repayments'!$R$22="Debt",IF(AND(BJ$4&gt;=$D106,BJ$4&lt;$D106+'Incremental Repayments'!$I$31),-PMT('Interest Rate'!$J$16,'Incremental Repayments'!$I$31,(HLOOKUP($D106,$E$4:$CZ$32,28,FALSE)*'Incremental Repayments'!$I$22)),0),0)</f>
        <v>0</v>
      </c>
      <c r="BK106" s="783">
        <f>IF('Incremental Repayments'!$R$22="Debt",IF(AND(BK$4&gt;=$D106,BK$4&lt;$D106+'Incremental Repayments'!$I$31),-PMT('Interest Rate'!$J$16,'Incremental Repayments'!$I$31,(HLOOKUP($D106,$E$4:$CZ$32,28,FALSE)*'Incremental Repayments'!$I$22)),0),0)</f>
        <v>0</v>
      </c>
      <c r="BL106" s="783">
        <f>IF('Incremental Repayments'!$R$22="Debt",IF(AND(BL$4&gt;=$D106,BL$4&lt;$D106+'Incremental Repayments'!$I$31),-PMT('Interest Rate'!$J$16,'Incremental Repayments'!$I$31,(HLOOKUP($D106,$E$4:$CZ$32,28,FALSE)*'Incremental Repayments'!$I$22)),0),0)</f>
        <v>0</v>
      </c>
      <c r="BM106" s="783">
        <f>IF('Incremental Repayments'!$R$22="Debt",IF(AND(BM$4&gt;=$D106,BM$4&lt;$D106+'Incremental Repayments'!$I$31),-PMT('Interest Rate'!$J$16,'Incremental Repayments'!$I$31,(HLOOKUP($D106,$E$4:$CZ$32,28,FALSE)*'Incremental Repayments'!$I$22)),0),0)</f>
        <v>0</v>
      </c>
      <c r="BN106" s="783">
        <f>IF('Incremental Repayments'!$R$22="Debt",IF(AND(BN$4&gt;=$D106,BN$4&lt;$D106+'Incremental Repayments'!$I$31),-PMT('Interest Rate'!$J$16,'Incremental Repayments'!$I$31,(HLOOKUP($D106,$E$4:$CZ$32,28,FALSE)*'Incremental Repayments'!$I$22)),0),0)</f>
        <v>0</v>
      </c>
      <c r="BO106" s="783">
        <f>IF('Incremental Repayments'!$R$22="Debt",IF(AND(BO$4&gt;=$D106,BO$4&lt;$D106+'Incremental Repayments'!$I$31),-PMT('Interest Rate'!$J$16,'Incremental Repayments'!$I$31,(HLOOKUP($D106,$E$4:$CZ$32,28,FALSE)*'Incremental Repayments'!$I$22)),0),0)</f>
        <v>0</v>
      </c>
      <c r="BP106" s="783">
        <f>IF('Incremental Repayments'!$R$22="Debt",IF(AND(BP$4&gt;=$D106,BP$4&lt;$D106+'Incremental Repayments'!$I$31),-PMT('Interest Rate'!$J$16,'Incremental Repayments'!$I$31,(HLOOKUP($D106,$E$4:$CZ$32,28,FALSE)*'Incremental Repayments'!$I$22)),0),0)</f>
        <v>0</v>
      </c>
      <c r="BQ106" s="783">
        <f>IF('Incremental Repayments'!$R$22="Debt",IF(AND(BQ$4&gt;=$D106,BQ$4&lt;$D106+'Incremental Repayments'!$I$31),-PMT('Interest Rate'!$J$16,'Incremental Repayments'!$I$31,(HLOOKUP($D106,$E$4:$CZ$32,28,FALSE)*'Incremental Repayments'!$I$22)),0),0)</f>
        <v>0</v>
      </c>
      <c r="BR106" s="783">
        <f>IF('Incremental Repayments'!$R$22="Debt",IF(AND(BR$4&gt;=$D106,BR$4&lt;$D106+'Incremental Repayments'!$I$31),-PMT('Interest Rate'!$J$16,'Incremental Repayments'!$I$31,(HLOOKUP($D106,$E$4:$CZ$32,28,FALSE)*'Incremental Repayments'!$I$22)),0),0)</f>
        <v>0</v>
      </c>
      <c r="BS106" s="783">
        <f>IF('Incremental Repayments'!$R$22="Debt",IF(AND(BS$4&gt;=$D106,BS$4&lt;$D106+'Incremental Repayments'!$I$31),-PMT('Interest Rate'!$J$16,'Incremental Repayments'!$I$31,(HLOOKUP($D106,$E$4:$CZ$32,28,FALSE)*'Incremental Repayments'!$I$22)),0),0)</f>
        <v>0</v>
      </c>
      <c r="BT106" s="783">
        <f>IF('Incremental Repayments'!$R$22="Debt",IF(AND(BT$4&gt;=$D106,BT$4&lt;$D106+'Incremental Repayments'!$I$31),-PMT('Interest Rate'!$J$16,'Incremental Repayments'!$I$31,(HLOOKUP($D106,$E$4:$CZ$32,28,FALSE)*'Incremental Repayments'!$I$22)),0),0)</f>
        <v>0</v>
      </c>
      <c r="BU106" s="783">
        <f>IF('Incremental Repayments'!$R$22="Debt",IF(AND(BU$4&gt;=$D106,BU$4&lt;$D106+'Incremental Repayments'!$I$31),-PMT('Interest Rate'!$J$16,'Incremental Repayments'!$I$31,(HLOOKUP($D106,$E$4:$CZ$32,28,FALSE)*'Incremental Repayments'!$I$22)),0),0)</f>
        <v>0</v>
      </c>
      <c r="BV106" s="783">
        <f>IF('Incremental Repayments'!$R$22="Debt",IF(AND(BV$4&gt;=$D106,BV$4&lt;$D106+'Incremental Repayments'!$I$31),-PMT('Interest Rate'!$J$16,'Incremental Repayments'!$I$31,(HLOOKUP($D106,$E$4:$CZ$32,28,FALSE)*'Incremental Repayments'!$I$22)),0),0)</f>
        <v>0</v>
      </c>
      <c r="BW106" s="783">
        <f>IF('Incremental Repayments'!$R$22="Debt",IF(AND(BW$4&gt;=$D106,BW$4&lt;$D106+'Incremental Repayments'!$I$31),-PMT('Interest Rate'!$J$16,'Incremental Repayments'!$I$31,(HLOOKUP($D106,$E$4:$CZ$32,28,FALSE)*'Incremental Repayments'!$I$22)),0),0)</f>
        <v>0</v>
      </c>
      <c r="BX106" s="783">
        <f>IF('Incremental Repayments'!$R$22="Debt",IF(AND(BX$4&gt;=$D106,BX$4&lt;$D106+'Incremental Repayments'!$I$31),-PMT('Interest Rate'!$J$16,'Incremental Repayments'!$I$31,(HLOOKUP($D106,$E$4:$CZ$32,28,FALSE)*'Incremental Repayments'!$I$22)),0),0)</f>
        <v>0</v>
      </c>
      <c r="BY106" s="783">
        <f>IF('Incremental Repayments'!$R$22="Debt",IF(AND(BY$4&gt;=$D106,BY$4&lt;$D106+'Incremental Repayments'!$I$31),-PMT('Interest Rate'!$J$16,'Incremental Repayments'!$I$31,(HLOOKUP($D106,$E$4:$CZ$32,28,FALSE)*'Incremental Repayments'!$I$22)),0),0)</f>
        <v>0</v>
      </c>
      <c r="BZ106" s="783">
        <f>IF('Incremental Repayments'!$R$22="Debt",IF(AND(BZ$4&gt;=$D106,BZ$4&lt;$D106+'Incremental Repayments'!$I$31),-PMT('Interest Rate'!$J$16,'Incremental Repayments'!$I$31,(HLOOKUP($D106,$E$4:$CZ$32,28,FALSE)*'Incremental Repayments'!$I$22)),0),0)</f>
        <v>0</v>
      </c>
      <c r="CA106" s="783">
        <f>IF('Incremental Repayments'!$R$22="Debt",IF(AND(CA$4&gt;=$D106,CA$4&lt;$D106+'Incremental Repayments'!$I$31),-PMT('Interest Rate'!$J$16,'Incremental Repayments'!$I$31,(HLOOKUP($D106,$E$4:$CZ$32,28,FALSE)*'Incremental Repayments'!$I$22)),0),0)</f>
        <v>0</v>
      </c>
      <c r="CB106" s="783">
        <f>IF('Incremental Repayments'!$R$22="Debt",IF(AND(CB$4&gt;=$D106,CB$4&lt;$D106+'Incremental Repayments'!$I$31),-PMT('Interest Rate'!$J$16,'Incremental Repayments'!$I$31,(HLOOKUP($D106,$E$4:$CZ$32,28,FALSE)*'Incremental Repayments'!$I$22)),0),0)</f>
        <v>0</v>
      </c>
      <c r="CC106" s="783">
        <f>IF('Incremental Repayments'!$R$22="Debt",IF(AND(CC$4&gt;=$D106,CC$4&lt;$D106+'Incremental Repayments'!$I$31),-PMT('Interest Rate'!$J$16,'Incremental Repayments'!$I$31,(HLOOKUP($D106,$E$4:$CZ$32,28,FALSE)*'Incremental Repayments'!$I$22)),0),0)</f>
        <v>0</v>
      </c>
      <c r="CD106" s="783">
        <f>IF('Incremental Repayments'!$R$22="Debt",IF(AND(CD$4&gt;=$D106,CD$4&lt;$D106+'Incremental Repayments'!$I$31),-PMT('Interest Rate'!$J$16,'Incremental Repayments'!$I$31,(HLOOKUP($D106,$E$4:$CZ$32,28,FALSE)*'Incremental Repayments'!$I$22)),0),0)</f>
        <v>0</v>
      </c>
      <c r="CE106" s="783">
        <f>IF('Incremental Repayments'!$R$22="Debt",IF(AND(CE$4&gt;=$D106,CE$4&lt;$D106+'Incremental Repayments'!$I$31),-PMT('Interest Rate'!$J$16,'Incremental Repayments'!$I$31,(HLOOKUP($D106,$E$4:$CZ$32,28,FALSE)*'Incremental Repayments'!$I$22)),0),0)</f>
        <v>0</v>
      </c>
      <c r="CF106" s="783">
        <f>IF('Incremental Repayments'!$R$22="Debt",IF(AND(CF$4&gt;=$D106,CF$4&lt;$D106+'Incremental Repayments'!$I$31),-PMT('Interest Rate'!$J$16,'Incremental Repayments'!$I$31,(HLOOKUP($D106,$E$4:$CZ$32,28,FALSE)*'Incremental Repayments'!$I$22)),0),0)</f>
        <v>0</v>
      </c>
      <c r="CG106" s="783">
        <f>IF('Incremental Repayments'!$R$22="Debt",IF(AND(CG$4&gt;=$D106,CG$4&lt;$D106+'Incremental Repayments'!$I$31),-PMT('Interest Rate'!$J$16,'Incremental Repayments'!$I$31,(HLOOKUP($D106,$E$4:$CZ$32,28,FALSE)*'Incremental Repayments'!$I$22)),0),0)</f>
        <v>0</v>
      </c>
      <c r="CH106" s="783">
        <f>IF('Incremental Repayments'!$R$22="Debt",IF(AND(CH$4&gt;=$D106,CH$4&lt;$D106+'Incremental Repayments'!$I$31),-PMT('Interest Rate'!$J$16,'Incremental Repayments'!$I$31,(HLOOKUP($D106,$E$4:$CZ$32,28,FALSE)*'Incremental Repayments'!$I$22)),0),0)</f>
        <v>0</v>
      </c>
      <c r="CI106" s="783">
        <f>IF('Incremental Repayments'!$R$22="Debt",IF(AND(CI$4&gt;=$D106,CI$4&lt;$D106+'Incremental Repayments'!$I$31),-PMT('Interest Rate'!$J$16,'Incremental Repayments'!$I$31,(HLOOKUP($D106,$E$4:$CZ$32,28,FALSE)*'Incremental Repayments'!$I$22)),0),0)</f>
        <v>0</v>
      </c>
      <c r="CJ106" s="783">
        <f>IF('Incremental Repayments'!$R$22="Debt",IF(AND(CJ$4&gt;=$D106,CJ$4&lt;$D106+'Incremental Repayments'!$I$31),-PMT('Interest Rate'!$J$16,'Incremental Repayments'!$I$31,(HLOOKUP($D106,$E$4:$CZ$32,28,FALSE)*'Incremental Repayments'!$I$22)),0),0)</f>
        <v>0</v>
      </c>
      <c r="CK106" s="783">
        <f>IF('Incremental Repayments'!$R$22="Debt",IF(AND(CK$4&gt;=$D106,CK$4&lt;$D106+'Incremental Repayments'!$I$31),-PMT('Interest Rate'!$J$16,'Incremental Repayments'!$I$31,(HLOOKUP($D106,$E$4:$CZ$32,28,FALSE)*'Incremental Repayments'!$I$22)),0),0)</f>
        <v>0</v>
      </c>
      <c r="CL106" s="783">
        <f>IF('Incremental Repayments'!$R$22="Debt",IF(AND(CL$4&gt;=$D106,CL$4&lt;$D106+'Incremental Repayments'!$I$31),-PMT('Interest Rate'!$J$16,'Incremental Repayments'!$I$31,(HLOOKUP($D106,$E$4:$CZ$32,28,FALSE)*'Incremental Repayments'!$I$22)),0),0)</f>
        <v>0</v>
      </c>
      <c r="CM106" s="783">
        <f>IF('Incremental Repayments'!$R$22="Debt",IF(AND(CM$4&gt;=$D106,CM$4&lt;$D106+'Incremental Repayments'!$I$31),-PMT('Interest Rate'!$J$16,'Incremental Repayments'!$I$31,(HLOOKUP($D106,$E$4:$CZ$32,28,FALSE)*'Incremental Repayments'!$I$22)),0),0)</f>
        <v>0</v>
      </c>
      <c r="CN106" s="783">
        <f>IF('Incremental Repayments'!$R$22="Debt",IF(AND(CN$4&gt;=$D106,CN$4&lt;$D106+'Incremental Repayments'!$I$31),-PMT('Interest Rate'!$J$16,'Incremental Repayments'!$I$31,(HLOOKUP($D106,$E$4:$CZ$32,28,FALSE)*'Incremental Repayments'!$I$22)),0),0)</f>
        <v>0</v>
      </c>
      <c r="CO106" s="783">
        <f>IF('Incremental Repayments'!$R$22="Debt",IF(AND(CO$4&gt;=$D106,CO$4&lt;$D106+'Incremental Repayments'!$I$31),-PMT('Interest Rate'!$J$16,'Incremental Repayments'!$I$31,(HLOOKUP($D106,$E$4:$CZ$32,28,FALSE)*'Incremental Repayments'!$I$22)),0),0)</f>
        <v>0</v>
      </c>
      <c r="CP106" s="783">
        <f>IF('Incremental Repayments'!$R$22="Debt",IF(AND(CP$4&gt;=$D106,CP$4&lt;$D106+'Incremental Repayments'!$I$31),-PMT('Interest Rate'!$J$16,'Incremental Repayments'!$I$31,(HLOOKUP($D106,$E$4:$CZ$32,28,FALSE)*'Incremental Repayments'!$I$22)),0),0)</f>
        <v>0</v>
      </c>
      <c r="CQ106" s="783">
        <f>IF('Incremental Repayments'!$R$22="Debt",IF(AND(CQ$4&gt;=$D106,CQ$4&lt;$D106+'Incremental Repayments'!$I$31),-PMT('Interest Rate'!$J$16,'Incremental Repayments'!$I$31,(HLOOKUP($D106,$E$4:$CZ$32,28,FALSE)*'Incremental Repayments'!$I$22)),0),0)</f>
        <v>0</v>
      </c>
      <c r="CR106" s="783">
        <f>IF('Incremental Repayments'!$R$22="Debt",IF(AND(CR$4&gt;=$D106,CR$4&lt;$D106+'Incremental Repayments'!$I$31),-PMT('Interest Rate'!$J$16,'Incremental Repayments'!$I$31,(HLOOKUP($D106,$E$4:$CZ$32,28,FALSE)*'Incremental Repayments'!$I$22)),0),0)</f>
        <v>0</v>
      </c>
      <c r="CS106" s="783">
        <f>IF('Incremental Repayments'!$R$22="Debt",IF(AND(CS$4&gt;=$D106,CS$4&lt;$D106+'Incremental Repayments'!$I$31),-PMT('Interest Rate'!$J$16,'Incremental Repayments'!$I$31,(HLOOKUP($D106,$E$4:$CZ$32,28,FALSE)*'Incremental Repayments'!$I$22)),0),0)</f>
        <v>0</v>
      </c>
      <c r="CT106" s="783">
        <f>IF('Incremental Repayments'!$R$22="Debt",IF(AND(CT$4&gt;=$D106,CT$4&lt;$D106+'Incremental Repayments'!$I$31),-PMT('Interest Rate'!$J$16,'Incremental Repayments'!$I$31,(HLOOKUP($D106,$E$4:$CZ$32,28,FALSE)*'Incremental Repayments'!$I$22)),0),0)</f>
        <v>0</v>
      </c>
      <c r="CU106" s="783">
        <f>IF('Incremental Repayments'!$R$22="Debt",IF(AND(CU$4&gt;=$D106,CU$4&lt;$D106+'Incremental Repayments'!$I$31),-PMT('Interest Rate'!$J$16,'Incremental Repayments'!$I$31,(HLOOKUP($D106,$E$4:$CZ$32,28,FALSE)*'Incremental Repayments'!$I$22)),0),0)</f>
        <v>0</v>
      </c>
      <c r="CV106" s="783">
        <f>IF('Incremental Repayments'!$R$22="Debt",IF(AND(CV$4&gt;=$D106,CV$4&lt;$D106+'Incremental Repayments'!$I$31),-PMT('Interest Rate'!$J$16,'Incremental Repayments'!$I$31,(HLOOKUP($D106,$E$4:$CZ$32,28,FALSE)*'Incremental Repayments'!$I$22)),0),0)</f>
        <v>0</v>
      </c>
      <c r="CW106" s="783">
        <f>IF('Incremental Repayments'!$R$22="Debt",IF(AND(CW$4&gt;=$D106,CW$4&lt;$D106+'Incremental Repayments'!$I$31),-PMT('Interest Rate'!$J$16,'Incremental Repayments'!$I$31,(HLOOKUP($D106,$E$4:$CZ$32,28,FALSE)*'Incremental Repayments'!$I$22)),0),0)</f>
        <v>0</v>
      </c>
      <c r="CX106" s="783">
        <f>IF('Incremental Repayments'!$R$22="Debt",IF(AND(CX$4&gt;=$D106,CX$4&lt;$D106+'Incremental Repayments'!$I$31),-PMT('Interest Rate'!$J$16,'Incremental Repayments'!$I$31,(HLOOKUP($D106,$E$4:$CZ$32,28,FALSE)*'Incremental Repayments'!$I$22)),0),0)</f>
        <v>0</v>
      </c>
      <c r="CY106" s="783">
        <f>IF('Incremental Repayments'!$R$22="Debt",IF(AND(CY$4&gt;=$D106,CY$4&lt;$D106+'Incremental Repayments'!$I$31),-PMT('Interest Rate'!$J$16,'Incremental Repayments'!$I$31,(HLOOKUP($D106,$E$4:$CZ$32,28,FALSE)*'Incremental Repayments'!$I$22)),0),0)</f>
        <v>0</v>
      </c>
      <c r="CZ106" s="783">
        <f>IF('Incremental Repayments'!$R$22="Debt",IF(AND(CZ$4&gt;=$D106,CZ$4&lt;$D106+'Incremental Repayments'!$I$31),-PMT('Interest Rate'!$J$16,'Incremental Repayments'!$I$31,(HLOOKUP($D106,$E$4:$CZ$32,28,FALSE)*'Incremental Repayments'!$I$22)),0),0)</f>
        <v>0</v>
      </c>
    </row>
    <row r="107" spans="2:104" x14ac:dyDescent="0.25">
      <c r="B107" s="480" t="str">
        <f>CONCATENATE("Series ",D107,"A Bonds (at ",'Interest Rate'!$J$16*100,"% Interest)")</f>
        <v>Series 2085A Bonds (at 4.5% Interest)</v>
      </c>
      <c r="C107" s="480"/>
      <c r="D107" s="492">
        <f t="shared" si="47"/>
        <v>2085</v>
      </c>
      <c r="E107" s="783">
        <f>IF('Incremental Repayments'!$R$22="Debt",IF(AND(E$4&gt;=$D107,E$4&lt;$D107+'Incremental Repayments'!$I$31),-PMT('Interest Rate'!$J$16,'Incremental Repayments'!$I$31,(HLOOKUP($D107,$E$4:$CZ$32,28,FALSE)*'Incremental Repayments'!$I$22)),0),0)</f>
        <v>0</v>
      </c>
      <c r="F107" s="783">
        <f>IF('Incremental Repayments'!$R$22="Debt",IF(AND(F$4&gt;=$D107,F$4&lt;$D107+'Incremental Repayments'!$I$31),-PMT('Interest Rate'!$J$16,'Incremental Repayments'!$I$31,(HLOOKUP($D107,$E$4:$CZ$32,28,FALSE)*'Incremental Repayments'!$I$22)),0),0)</f>
        <v>0</v>
      </c>
      <c r="G107" s="783">
        <f>IF('Incremental Repayments'!$R$22="Debt",IF(AND(G$4&gt;=$D107,G$4&lt;$D107+'Incremental Repayments'!$I$31),-PMT('Interest Rate'!$J$16,'Incremental Repayments'!$I$31,(HLOOKUP($D107,$E$4:$CZ$32,28,FALSE)*'Incremental Repayments'!$I$22)),0),0)</f>
        <v>0</v>
      </c>
      <c r="H107" s="783">
        <f>IF('Incremental Repayments'!$R$22="Debt",IF(AND(H$4&gt;=$D107,H$4&lt;$D107+'Incremental Repayments'!$I$31),-PMT('Interest Rate'!$J$16,'Incremental Repayments'!$I$31,(HLOOKUP($D107,$E$4:$CZ$32,28,FALSE)*'Incremental Repayments'!$I$22)),0),0)</f>
        <v>0</v>
      </c>
      <c r="I107" s="783">
        <f>IF('Incremental Repayments'!$R$22="Debt",IF(AND(I$4&gt;=$D107,I$4&lt;$D107+'Incremental Repayments'!$I$31),-PMT('Interest Rate'!$J$16,'Incremental Repayments'!$I$31,(HLOOKUP($D107,$E$4:$CZ$32,28,FALSE)*'Incremental Repayments'!$I$22)),0),0)</f>
        <v>0</v>
      </c>
      <c r="J107" s="783">
        <f>IF('Incremental Repayments'!$R$22="Debt",IF(AND(J$4&gt;=$D107,J$4&lt;$D107+'Incremental Repayments'!$I$31),-PMT('Interest Rate'!$J$16,'Incremental Repayments'!$I$31,(HLOOKUP($D107,$E$4:$CZ$32,28,FALSE)*'Incremental Repayments'!$I$22)),0),0)</f>
        <v>0</v>
      </c>
      <c r="K107" s="783">
        <f>IF('Incremental Repayments'!$R$22="Debt",IF(AND(K$4&gt;=$D107,K$4&lt;$D107+'Incremental Repayments'!$I$31),-PMT('Interest Rate'!$J$16,'Incremental Repayments'!$I$31,(HLOOKUP($D107,$E$4:$CZ$32,28,FALSE)*'Incremental Repayments'!$I$22)),0),0)</f>
        <v>0</v>
      </c>
      <c r="L107" s="783">
        <f>IF('Incremental Repayments'!$R$22="Debt",IF(AND(L$4&gt;=$D107,L$4&lt;$D107+'Incremental Repayments'!$I$31),-PMT('Interest Rate'!$J$16,'Incremental Repayments'!$I$31,(HLOOKUP($D107,$E$4:$CZ$32,28,FALSE)*'Incremental Repayments'!$I$22)),0),0)</f>
        <v>0</v>
      </c>
      <c r="M107" s="783">
        <f>IF('Incremental Repayments'!$R$22="Debt",IF(AND(M$4&gt;=$D107,M$4&lt;$D107+'Incremental Repayments'!$I$31),-PMT('Interest Rate'!$J$16,'Incremental Repayments'!$I$31,(HLOOKUP($D107,$E$4:$CZ$32,28,FALSE)*'Incremental Repayments'!$I$22)),0),0)</f>
        <v>0</v>
      </c>
      <c r="N107" s="783">
        <f>IF('Incremental Repayments'!$R$22="Debt",IF(AND(N$4&gt;=$D107,N$4&lt;$D107+'Incremental Repayments'!$I$31),-PMT('Interest Rate'!$J$16,'Incremental Repayments'!$I$31,(HLOOKUP($D107,$E$4:$CZ$32,28,FALSE)*'Incremental Repayments'!$I$22)),0),0)</f>
        <v>0</v>
      </c>
      <c r="O107" s="783">
        <f>IF('Incremental Repayments'!$R$22="Debt",IF(AND(O$4&gt;=$D107,O$4&lt;$D107+'Incremental Repayments'!$I$31),-PMT('Interest Rate'!$J$16,'Incremental Repayments'!$I$31,(HLOOKUP($D107,$E$4:$CZ$32,28,FALSE)*'Incremental Repayments'!$I$22)),0),0)</f>
        <v>0</v>
      </c>
      <c r="P107" s="783">
        <f>IF('Incremental Repayments'!$R$22="Debt",IF(AND(P$4&gt;=$D107,P$4&lt;$D107+'Incremental Repayments'!$I$31),-PMT('Interest Rate'!$J$16,'Incremental Repayments'!$I$31,(HLOOKUP($D107,$E$4:$CZ$32,28,FALSE)*'Incremental Repayments'!$I$22)),0),0)</f>
        <v>0</v>
      </c>
      <c r="Q107" s="783">
        <f>IF('Incremental Repayments'!$R$22="Debt",IF(AND(Q$4&gt;=$D107,Q$4&lt;$D107+'Incremental Repayments'!$I$31),-PMT('Interest Rate'!$J$16,'Incremental Repayments'!$I$31,(HLOOKUP($D107,$E$4:$CZ$32,28,FALSE)*'Incremental Repayments'!$I$22)),0),0)</f>
        <v>0</v>
      </c>
      <c r="R107" s="783">
        <f>IF('Incremental Repayments'!$R$22="Debt",IF(AND(R$4&gt;=$D107,R$4&lt;$D107+'Incremental Repayments'!$I$31),-PMT('Interest Rate'!$J$16,'Incremental Repayments'!$I$31,(HLOOKUP($D107,$E$4:$CZ$32,28,FALSE)*'Incremental Repayments'!$I$22)),0),0)</f>
        <v>0</v>
      </c>
      <c r="S107" s="783">
        <f>IF('Incremental Repayments'!$R$22="Debt",IF(AND(S$4&gt;=$D107,S$4&lt;$D107+'Incremental Repayments'!$I$31),-PMT('Interest Rate'!$J$16,'Incremental Repayments'!$I$31,(HLOOKUP($D107,$E$4:$CZ$32,28,FALSE)*'Incremental Repayments'!$I$22)),0),0)</f>
        <v>0</v>
      </c>
      <c r="T107" s="783">
        <f>IF('Incremental Repayments'!$R$22="Debt",IF(AND(T$4&gt;=$D107,T$4&lt;$D107+'Incremental Repayments'!$I$31),-PMT('Interest Rate'!$J$16,'Incremental Repayments'!$I$31,(HLOOKUP($D107,$E$4:$CZ$32,28,FALSE)*'Incremental Repayments'!$I$22)),0),0)</f>
        <v>0</v>
      </c>
      <c r="U107" s="783">
        <f>IF('Incremental Repayments'!$R$22="Debt",IF(AND(U$4&gt;=$D107,U$4&lt;$D107+'Incremental Repayments'!$I$31),-PMT('Interest Rate'!$J$16,'Incremental Repayments'!$I$31,(HLOOKUP($D107,$E$4:$CZ$32,28,FALSE)*'Incremental Repayments'!$I$22)),0),0)</f>
        <v>0</v>
      </c>
      <c r="V107" s="783">
        <f>IF('Incremental Repayments'!$R$22="Debt",IF(AND(V$4&gt;=$D107,V$4&lt;$D107+'Incremental Repayments'!$I$31),-PMT('Interest Rate'!$J$16,'Incremental Repayments'!$I$31,(HLOOKUP($D107,$E$4:$CZ$32,28,FALSE)*'Incremental Repayments'!$I$22)),0),0)</f>
        <v>0</v>
      </c>
      <c r="W107" s="783">
        <f>IF('Incremental Repayments'!$R$22="Debt",IF(AND(W$4&gt;=$D107,W$4&lt;$D107+'Incremental Repayments'!$I$31),-PMT('Interest Rate'!$J$16,'Incremental Repayments'!$I$31,(HLOOKUP($D107,$E$4:$CZ$32,28,FALSE)*'Incremental Repayments'!$I$22)),0),0)</f>
        <v>0</v>
      </c>
      <c r="X107" s="783">
        <f>IF('Incremental Repayments'!$R$22="Debt",IF(AND(X$4&gt;=$D107,X$4&lt;$D107+'Incremental Repayments'!$I$31),-PMT('Interest Rate'!$J$16,'Incremental Repayments'!$I$31,(HLOOKUP($D107,$E$4:$CZ$32,28,FALSE)*'Incremental Repayments'!$I$22)),0),0)</f>
        <v>0</v>
      </c>
      <c r="Y107" s="783">
        <f>IF('Incremental Repayments'!$R$22="Debt",IF(AND(Y$4&gt;=$D107,Y$4&lt;$D107+'Incremental Repayments'!$I$31),-PMT('Interest Rate'!$J$16,'Incremental Repayments'!$I$31,(HLOOKUP($D107,$E$4:$CZ$32,28,FALSE)*'Incremental Repayments'!$I$22)),0),0)</f>
        <v>0</v>
      </c>
      <c r="Z107" s="783">
        <f>IF('Incremental Repayments'!$R$22="Debt",IF(AND(Z$4&gt;=$D107,Z$4&lt;$D107+'Incremental Repayments'!$I$31),-PMT('Interest Rate'!$J$16,'Incremental Repayments'!$I$31,(HLOOKUP($D107,$E$4:$CZ$32,28,FALSE)*'Incremental Repayments'!$I$22)),0),0)</f>
        <v>0</v>
      </c>
      <c r="AA107" s="783">
        <f>IF('Incremental Repayments'!$R$22="Debt",IF(AND(AA$4&gt;=$D107,AA$4&lt;$D107+'Incremental Repayments'!$I$31),-PMT('Interest Rate'!$J$16,'Incremental Repayments'!$I$31,(HLOOKUP($D107,$E$4:$CZ$32,28,FALSE)*'Incremental Repayments'!$I$22)),0),0)</f>
        <v>0</v>
      </c>
      <c r="AB107" s="783">
        <f>IF('Incremental Repayments'!$R$22="Debt",IF(AND(AB$4&gt;=$D107,AB$4&lt;$D107+'Incremental Repayments'!$I$31),-PMT('Interest Rate'!$J$16,'Incremental Repayments'!$I$31,(HLOOKUP($D107,$E$4:$CZ$32,28,FALSE)*'Incremental Repayments'!$I$22)),0),0)</f>
        <v>0</v>
      </c>
      <c r="AC107" s="783">
        <f>IF('Incremental Repayments'!$R$22="Debt",IF(AND(AC$4&gt;=$D107,AC$4&lt;$D107+'Incremental Repayments'!$I$31),-PMT('Interest Rate'!$J$16,'Incremental Repayments'!$I$31,(HLOOKUP($D107,$E$4:$CZ$32,28,FALSE)*'Incremental Repayments'!$I$22)),0),0)</f>
        <v>0</v>
      </c>
      <c r="AD107" s="783">
        <f>IF('Incremental Repayments'!$R$22="Debt",IF(AND(AD$4&gt;=$D107,AD$4&lt;$D107+'Incremental Repayments'!$I$31),-PMT('Interest Rate'!$J$16,'Incremental Repayments'!$I$31,(HLOOKUP($D107,$E$4:$CZ$32,28,FALSE)*'Incremental Repayments'!$I$22)),0),0)</f>
        <v>0</v>
      </c>
      <c r="AE107" s="783">
        <f>IF('Incremental Repayments'!$R$22="Debt",IF(AND(AE$4&gt;=$D107,AE$4&lt;$D107+'Incremental Repayments'!$I$31),-PMT('Interest Rate'!$J$16,'Incremental Repayments'!$I$31,(HLOOKUP($D107,$E$4:$CZ$32,28,FALSE)*'Incremental Repayments'!$I$22)),0),0)</f>
        <v>0</v>
      </c>
      <c r="AF107" s="783">
        <f>IF('Incremental Repayments'!$R$22="Debt",IF(AND(AF$4&gt;=$D107,AF$4&lt;$D107+'Incremental Repayments'!$I$31),-PMT('Interest Rate'!$J$16,'Incremental Repayments'!$I$31,(HLOOKUP($D107,$E$4:$CZ$32,28,FALSE)*'Incremental Repayments'!$I$22)),0),0)</f>
        <v>0</v>
      </c>
      <c r="AG107" s="783">
        <f>IF('Incremental Repayments'!$R$22="Debt",IF(AND(AG$4&gt;=$D107,AG$4&lt;$D107+'Incremental Repayments'!$I$31),-PMT('Interest Rate'!$J$16,'Incremental Repayments'!$I$31,(HLOOKUP($D107,$E$4:$CZ$32,28,FALSE)*'Incremental Repayments'!$I$22)),0),0)</f>
        <v>0</v>
      </c>
      <c r="AH107" s="783">
        <f>IF('Incremental Repayments'!$R$22="Debt",IF(AND(AH$4&gt;=$D107,AH$4&lt;$D107+'Incremental Repayments'!$I$31),-PMT('Interest Rate'!$J$16,'Incremental Repayments'!$I$31,(HLOOKUP($D107,$E$4:$CZ$32,28,FALSE)*'Incremental Repayments'!$I$22)),0),0)</f>
        <v>0</v>
      </c>
      <c r="AI107" s="783">
        <f>IF('Incremental Repayments'!$R$22="Debt",IF(AND(AI$4&gt;=$D107,AI$4&lt;$D107+'Incremental Repayments'!$I$31),-PMT('Interest Rate'!$J$16,'Incremental Repayments'!$I$31,(HLOOKUP($D107,$E$4:$CZ$32,28,FALSE)*'Incremental Repayments'!$I$22)),0),0)</f>
        <v>0</v>
      </c>
      <c r="AJ107" s="783">
        <f>IF('Incremental Repayments'!$R$22="Debt",IF(AND(AJ$4&gt;=$D107,AJ$4&lt;$D107+'Incremental Repayments'!$I$31),-PMT('Interest Rate'!$J$16,'Incremental Repayments'!$I$31,(HLOOKUP($D107,$E$4:$CZ$32,28,FALSE)*'Incremental Repayments'!$I$22)),0),0)</f>
        <v>0</v>
      </c>
      <c r="AK107" s="783">
        <f>IF('Incremental Repayments'!$R$22="Debt",IF(AND(AK$4&gt;=$D107,AK$4&lt;$D107+'Incremental Repayments'!$I$31),-PMT('Interest Rate'!$J$16,'Incremental Repayments'!$I$31,(HLOOKUP($D107,$E$4:$CZ$32,28,FALSE)*'Incremental Repayments'!$I$22)),0),0)</f>
        <v>0</v>
      </c>
      <c r="AL107" s="783">
        <f>IF('Incremental Repayments'!$R$22="Debt",IF(AND(AL$4&gt;=$D107,AL$4&lt;$D107+'Incremental Repayments'!$I$31),-PMT('Interest Rate'!$J$16,'Incremental Repayments'!$I$31,(HLOOKUP($D107,$E$4:$CZ$32,28,FALSE)*'Incremental Repayments'!$I$22)),0),0)</f>
        <v>0</v>
      </c>
      <c r="AM107" s="783">
        <f>IF('Incremental Repayments'!$R$22="Debt",IF(AND(AM$4&gt;=$D107,AM$4&lt;$D107+'Incremental Repayments'!$I$31),-PMT('Interest Rate'!$J$16,'Incremental Repayments'!$I$31,(HLOOKUP($D107,$E$4:$CZ$32,28,FALSE)*'Incremental Repayments'!$I$22)),0),0)</f>
        <v>0</v>
      </c>
      <c r="AN107" s="783">
        <f>IF('Incremental Repayments'!$R$22="Debt",IF(AND(AN$4&gt;=$D107,AN$4&lt;$D107+'Incremental Repayments'!$I$31),-PMT('Interest Rate'!$J$16,'Incremental Repayments'!$I$31,(HLOOKUP($D107,$E$4:$CZ$32,28,FALSE)*'Incremental Repayments'!$I$22)),0),0)</f>
        <v>0</v>
      </c>
      <c r="AO107" s="783">
        <f>IF('Incremental Repayments'!$R$22="Debt",IF(AND(AO$4&gt;=$D107,AO$4&lt;$D107+'Incremental Repayments'!$I$31),-PMT('Interest Rate'!$J$16,'Incremental Repayments'!$I$31,(HLOOKUP($D107,$E$4:$CZ$32,28,FALSE)*'Incremental Repayments'!$I$22)),0),0)</f>
        <v>0</v>
      </c>
      <c r="AP107" s="783">
        <f>IF('Incremental Repayments'!$R$22="Debt",IF(AND(AP$4&gt;=$D107,AP$4&lt;$D107+'Incremental Repayments'!$I$31),-PMT('Interest Rate'!$J$16,'Incremental Repayments'!$I$31,(HLOOKUP($D107,$E$4:$CZ$32,28,FALSE)*'Incremental Repayments'!$I$22)),0),0)</f>
        <v>0</v>
      </c>
      <c r="AQ107" s="783">
        <f>IF('Incremental Repayments'!$R$22="Debt",IF(AND(AQ$4&gt;=$D107,AQ$4&lt;$D107+'Incremental Repayments'!$I$31),-PMT('Interest Rate'!$J$16,'Incremental Repayments'!$I$31,(HLOOKUP($D107,$E$4:$CZ$32,28,FALSE)*'Incremental Repayments'!$I$22)),0),0)</f>
        <v>0</v>
      </c>
      <c r="AR107" s="783">
        <f>IF('Incremental Repayments'!$R$22="Debt",IF(AND(AR$4&gt;=$D107,AR$4&lt;$D107+'Incremental Repayments'!$I$31),-PMT('Interest Rate'!$J$16,'Incremental Repayments'!$I$31,(HLOOKUP($D107,$E$4:$CZ$32,28,FALSE)*'Incremental Repayments'!$I$22)),0),0)</f>
        <v>0</v>
      </c>
      <c r="AS107" s="783">
        <f>IF('Incremental Repayments'!$R$22="Debt",IF(AND(AS$4&gt;=$D107,AS$4&lt;$D107+'Incremental Repayments'!$I$31),-PMT('Interest Rate'!$J$16,'Incremental Repayments'!$I$31,(HLOOKUP($D107,$E$4:$CZ$32,28,FALSE)*'Incremental Repayments'!$I$22)),0),0)</f>
        <v>0</v>
      </c>
      <c r="AT107" s="783">
        <f>IF('Incremental Repayments'!$R$22="Debt",IF(AND(AT$4&gt;=$D107,AT$4&lt;$D107+'Incremental Repayments'!$I$31),-PMT('Interest Rate'!$J$16,'Incremental Repayments'!$I$31,(HLOOKUP($D107,$E$4:$CZ$32,28,FALSE)*'Incremental Repayments'!$I$22)),0),0)</f>
        <v>0</v>
      </c>
      <c r="AU107" s="783">
        <f>IF('Incremental Repayments'!$R$22="Debt",IF(AND(AU$4&gt;=$D107,AU$4&lt;$D107+'Incremental Repayments'!$I$31),-PMT('Interest Rate'!$J$16,'Incremental Repayments'!$I$31,(HLOOKUP($D107,$E$4:$CZ$32,28,FALSE)*'Incremental Repayments'!$I$22)),0),0)</f>
        <v>0</v>
      </c>
      <c r="AV107" s="783">
        <f>IF('Incremental Repayments'!$R$22="Debt",IF(AND(AV$4&gt;=$D107,AV$4&lt;$D107+'Incremental Repayments'!$I$31),-PMT('Interest Rate'!$J$16,'Incremental Repayments'!$I$31,(HLOOKUP($D107,$E$4:$CZ$32,28,FALSE)*'Incremental Repayments'!$I$22)),0),0)</f>
        <v>0</v>
      </c>
      <c r="AW107" s="783">
        <f>IF('Incremental Repayments'!$R$22="Debt",IF(AND(AW$4&gt;=$D107,AW$4&lt;$D107+'Incremental Repayments'!$I$31),-PMT('Interest Rate'!$J$16,'Incremental Repayments'!$I$31,(HLOOKUP($D107,$E$4:$CZ$32,28,FALSE)*'Incremental Repayments'!$I$22)),0),0)</f>
        <v>0</v>
      </c>
      <c r="AX107" s="783">
        <f>IF('Incremental Repayments'!$R$22="Debt",IF(AND(AX$4&gt;=$D107,AX$4&lt;$D107+'Incremental Repayments'!$I$31),-PMT('Interest Rate'!$J$16,'Incremental Repayments'!$I$31,(HLOOKUP($D107,$E$4:$CZ$32,28,FALSE)*'Incremental Repayments'!$I$22)),0),0)</f>
        <v>0</v>
      </c>
      <c r="AY107" s="783">
        <f>IF('Incremental Repayments'!$R$22="Debt",IF(AND(AY$4&gt;=$D107,AY$4&lt;$D107+'Incremental Repayments'!$I$31),-PMT('Interest Rate'!$J$16,'Incremental Repayments'!$I$31,(HLOOKUP($D107,$E$4:$CZ$32,28,FALSE)*'Incremental Repayments'!$I$22)),0),0)</f>
        <v>0</v>
      </c>
      <c r="AZ107" s="783">
        <f>IF('Incremental Repayments'!$R$22="Debt",IF(AND(AZ$4&gt;=$D107,AZ$4&lt;$D107+'Incremental Repayments'!$I$31),-PMT('Interest Rate'!$J$16,'Incremental Repayments'!$I$31,(HLOOKUP($D107,$E$4:$CZ$32,28,FALSE)*'Incremental Repayments'!$I$22)),0),0)</f>
        <v>0</v>
      </c>
      <c r="BA107" s="783">
        <f>IF('Incremental Repayments'!$R$22="Debt",IF(AND(BA$4&gt;=$D107,BA$4&lt;$D107+'Incremental Repayments'!$I$31),-PMT('Interest Rate'!$J$16,'Incremental Repayments'!$I$31,(HLOOKUP($D107,$E$4:$CZ$32,28,FALSE)*'Incremental Repayments'!$I$22)),0),0)</f>
        <v>0</v>
      </c>
      <c r="BB107" s="783">
        <f>IF('Incremental Repayments'!$R$22="Debt",IF(AND(BB$4&gt;=$D107,BB$4&lt;$D107+'Incremental Repayments'!$I$31),-PMT('Interest Rate'!$J$16,'Incremental Repayments'!$I$31,(HLOOKUP($D107,$E$4:$CZ$32,28,FALSE)*'Incremental Repayments'!$I$22)),0),0)</f>
        <v>0</v>
      </c>
      <c r="BC107" s="783">
        <f>IF('Incremental Repayments'!$R$22="Debt",IF(AND(BC$4&gt;=$D107,BC$4&lt;$D107+'Incremental Repayments'!$I$31),-PMT('Interest Rate'!$J$16,'Incremental Repayments'!$I$31,(HLOOKUP($D107,$E$4:$CZ$32,28,FALSE)*'Incremental Repayments'!$I$22)),0),0)</f>
        <v>0</v>
      </c>
      <c r="BD107" s="783">
        <f>IF('Incremental Repayments'!$R$22="Debt",IF(AND(BD$4&gt;=$D107,BD$4&lt;$D107+'Incremental Repayments'!$I$31),-PMT('Interest Rate'!$J$16,'Incremental Repayments'!$I$31,(HLOOKUP($D107,$E$4:$CZ$32,28,FALSE)*'Incremental Repayments'!$I$22)),0),0)</f>
        <v>0</v>
      </c>
      <c r="BE107" s="783">
        <f>IF('Incremental Repayments'!$R$22="Debt",IF(AND(BE$4&gt;=$D107,BE$4&lt;$D107+'Incremental Repayments'!$I$31),-PMT('Interest Rate'!$J$16,'Incremental Repayments'!$I$31,(HLOOKUP($D107,$E$4:$CZ$32,28,FALSE)*'Incremental Repayments'!$I$22)),0),0)</f>
        <v>0</v>
      </c>
      <c r="BF107" s="783">
        <f>IF('Incremental Repayments'!$R$22="Debt",IF(AND(BF$4&gt;=$D107,BF$4&lt;$D107+'Incremental Repayments'!$I$31),-PMT('Interest Rate'!$J$16,'Incremental Repayments'!$I$31,(HLOOKUP($D107,$E$4:$CZ$32,28,FALSE)*'Incremental Repayments'!$I$22)),0),0)</f>
        <v>0</v>
      </c>
      <c r="BG107" s="783">
        <f>IF('Incremental Repayments'!$R$22="Debt",IF(AND(BG$4&gt;=$D107,BG$4&lt;$D107+'Incremental Repayments'!$I$31),-PMT('Interest Rate'!$J$16,'Incremental Repayments'!$I$31,(HLOOKUP($D107,$E$4:$CZ$32,28,FALSE)*'Incremental Repayments'!$I$22)),0),0)</f>
        <v>0</v>
      </c>
      <c r="BH107" s="783">
        <f>IF('Incremental Repayments'!$R$22="Debt",IF(AND(BH$4&gt;=$D107,BH$4&lt;$D107+'Incremental Repayments'!$I$31),-PMT('Interest Rate'!$J$16,'Incremental Repayments'!$I$31,(HLOOKUP($D107,$E$4:$CZ$32,28,FALSE)*'Incremental Repayments'!$I$22)),0),0)</f>
        <v>0</v>
      </c>
      <c r="BI107" s="783">
        <f>IF('Incremental Repayments'!$R$22="Debt",IF(AND(BI$4&gt;=$D107,BI$4&lt;$D107+'Incremental Repayments'!$I$31),-PMT('Interest Rate'!$J$16,'Incremental Repayments'!$I$31,(HLOOKUP($D107,$E$4:$CZ$32,28,FALSE)*'Incremental Repayments'!$I$22)),0),0)</f>
        <v>0</v>
      </c>
      <c r="BJ107" s="783">
        <f>IF('Incremental Repayments'!$R$22="Debt",IF(AND(BJ$4&gt;=$D107,BJ$4&lt;$D107+'Incremental Repayments'!$I$31),-PMT('Interest Rate'!$J$16,'Incremental Repayments'!$I$31,(HLOOKUP($D107,$E$4:$CZ$32,28,FALSE)*'Incremental Repayments'!$I$22)),0),0)</f>
        <v>0</v>
      </c>
      <c r="BK107" s="783">
        <f>IF('Incremental Repayments'!$R$22="Debt",IF(AND(BK$4&gt;=$D107,BK$4&lt;$D107+'Incremental Repayments'!$I$31),-PMT('Interest Rate'!$J$16,'Incremental Repayments'!$I$31,(HLOOKUP($D107,$E$4:$CZ$32,28,FALSE)*'Incremental Repayments'!$I$22)),0),0)</f>
        <v>0</v>
      </c>
      <c r="BL107" s="783">
        <f>IF('Incremental Repayments'!$R$22="Debt",IF(AND(BL$4&gt;=$D107,BL$4&lt;$D107+'Incremental Repayments'!$I$31),-PMT('Interest Rate'!$J$16,'Incremental Repayments'!$I$31,(HLOOKUP($D107,$E$4:$CZ$32,28,FALSE)*'Incremental Repayments'!$I$22)),0),0)</f>
        <v>0</v>
      </c>
      <c r="BM107" s="783">
        <f>IF('Incremental Repayments'!$R$22="Debt",IF(AND(BM$4&gt;=$D107,BM$4&lt;$D107+'Incremental Repayments'!$I$31),-PMT('Interest Rate'!$J$16,'Incremental Repayments'!$I$31,(HLOOKUP($D107,$E$4:$CZ$32,28,FALSE)*'Incremental Repayments'!$I$22)),0),0)</f>
        <v>0</v>
      </c>
      <c r="BN107" s="783">
        <f>IF('Incremental Repayments'!$R$22="Debt",IF(AND(BN$4&gt;=$D107,BN$4&lt;$D107+'Incremental Repayments'!$I$31),-PMT('Interest Rate'!$J$16,'Incremental Repayments'!$I$31,(HLOOKUP($D107,$E$4:$CZ$32,28,FALSE)*'Incremental Repayments'!$I$22)),0),0)</f>
        <v>0</v>
      </c>
      <c r="BO107" s="783">
        <f>IF('Incremental Repayments'!$R$22="Debt",IF(AND(BO$4&gt;=$D107,BO$4&lt;$D107+'Incremental Repayments'!$I$31),-PMT('Interest Rate'!$J$16,'Incremental Repayments'!$I$31,(HLOOKUP($D107,$E$4:$CZ$32,28,FALSE)*'Incremental Repayments'!$I$22)),0),0)</f>
        <v>0</v>
      </c>
      <c r="BP107" s="783">
        <f>IF('Incremental Repayments'!$R$22="Debt",IF(AND(BP$4&gt;=$D107,BP$4&lt;$D107+'Incremental Repayments'!$I$31),-PMT('Interest Rate'!$J$16,'Incremental Repayments'!$I$31,(HLOOKUP($D107,$E$4:$CZ$32,28,FALSE)*'Incremental Repayments'!$I$22)),0),0)</f>
        <v>0</v>
      </c>
      <c r="BQ107" s="783">
        <f>IF('Incremental Repayments'!$R$22="Debt",IF(AND(BQ$4&gt;=$D107,BQ$4&lt;$D107+'Incremental Repayments'!$I$31),-PMT('Interest Rate'!$J$16,'Incremental Repayments'!$I$31,(HLOOKUP($D107,$E$4:$CZ$32,28,FALSE)*'Incremental Repayments'!$I$22)),0),0)</f>
        <v>0</v>
      </c>
      <c r="BR107" s="783">
        <f>IF('Incremental Repayments'!$R$22="Debt",IF(AND(BR$4&gt;=$D107,BR$4&lt;$D107+'Incremental Repayments'!$I$31),-PMT('Interest Rate'!$J$16,'Incremental Repayments'!$I$31,(HLOOKUP($D107,$E$4:$CZ$32,28,FALSE)*'Incremental Repayments'!$I$22)),0),0)</f>
        <v>0</v>
      </c>
      <c r="BS107" s="783">
        <f>IF('Incremental Repayments'!$R$22="Debt",IF(AND(BS$4&gt;=$D107,BS$4&lt;$D107+'Incremental Repayments'!$I$31),-PMT('Interest Rate'!$J$16,'Incremental Repayments'!$I$31,(HLOOKUP($D107,$E$4:$CZ$32,28,FALSE)*'Incremental Repayments'!$I$22)),0),0)</f>
        <v>0</v>
      </c>
      <c r="BT107" s="783">
        <f>IF('Incremental Repayments'!$R$22="Debt",IF(AND(BT$4&gt;=$D107,BT$4&lt;$D107+'Incremental Repayments'!$I$31),-PMT('Interest Rate'!$J$16,'Incremental Repayments'!$I$31,(HLOOKUP($D107,$E$4:$CZ$32,28,FALSE)*'Incremental Repayments'!$I$22)),0),0)</f>
        <v>0</v>
      </c>
      <c r="BU107" s="783">
        <f>IF('Incremental Repayments'!$R$22="Debt",IF(AND(BU$4&gt;=$D107,BU$4&lt;$D107+'Incremental Repayments'!$I$31),-PMT('Interest Rate'!$J$16,'Incremental Repayments'!$I$31,(HLOOKUP($D107,$E$4:$CZ$32,28,FALSE)*'Incremental Repayments'!$I$22)),0),0)</f>
        <v>0</v>
      </c>
      <c r="BV107" s="783">
        <f>IF('Incremental Repayments'!$R$22="Debt",IF(AND(BV$4&gt;=$D107,BV$4&lt;$D107+'Incremental Repayments'!$I$31),-PMT('Interest Rate'!$J$16,'Incremental Repayments'!$I$31,(HLOOKUP($D107,$E$4:$CZ$32,28,FALSE)*'Incremental Repayments'!$I$22)),0),0)</f>
        <v>0</v>
      </c>
      <c r="BW107" s="783">
        <f>IF('Incremental Repayments'!$R$22="Debt",IF(AND(BW$4&gt;=$D107,BW$4&lt;$D107+'Incremental Repayments'!$I$31),-PMT('Interest Rate'!$J$16,'Incremental Repayments'!$I$31,(HLOOKUP($D107,$E$4:$CZ$32,28,FALSE)*'Incremental Repayments'!$I$22)),0),0)</f>
        <v>0</v>
      </c>
      <c r="BX107" s="783">
        <f>IF('Incremental Repayments'!$R$22="Debt",IF(AND(BX$4&gt;=$D107,BX$4&lt;$D107+'Incremental Repayments'!$I$31),-PMT('Interest Rate'!$J$16,'Incremental Repayments'!$I$31,(HLOOKUP($D107,$E$4:$CZ$32,28,FALSE)*'Incremental Repayments'!$I$22)),0),0)</f>
        <v>0</v>
      </c>
      <c r="BY107" s="783">
        <f>IF('Incremental Repayments'!$R$22="Debt",IF(AND(BY$4&gt;=$D107,BY$4&lt;$D107+'Incremental Repayments'!$I$31),-PMT('Interest Rate'!$J$16,'Incremental Repayments'!$I$31,(HLOOKUP($D107,$E$4:$CZ$32,28,FALSE)*'Incremental Repayments'!$I$22)),0),0)</f>
        <v>0</v>
      </c>
      <c r="BZ107" s="783">
        <f>IF('Incremental Repayments'!$R$22="Debt",IF(AND(BZ$4&gt;=$D107,BZ$4&lt;$D107+'Incremental Repayments'!$I$31),-PMT('Interest Rate'!$J$16,'Incremental Repayments'!$I$31,(HLOOKUP($D107,$E$4:$CZ$32,28,FALSE)*'Incremental Repayments'!$I$22)),0),0)</f>
        <v>0</v>
      </c>
      <c r="CA107" s="783">
        <f>IF('Incremental Repayments'!$R$22="Debt",IF(AND(CA$4&gt;=$D107,CA$4&lt;$D107+'Incremental Repayments'!$I$31),-PMT('Interest Rate'!$J$16,'Incremental Repayments'!$I$31,(HLOOKUP($D107,$E$4:$CZ$32,28,FALSE)*'Incremental Repayments'!$I$22)),0),0)</f>
        <v>0</v>
      </c>
      <c r="CB107" s="783">
        <f>IF('Incremental Repayments'!$R$22="Debt",IF(AND(CB$4&gt;=$D107,CB$4&lt;$D107+'Incremental Repayments'!$I$31),-PMT('Interest Rate'!$J$16,'Incremental Repayments'!$I$31,(HLOOKUP($D107,$E$4:$CZ$32,28,FALSE)*'Incremental Repayments'!$I$22)),0),0)</f>
        <v>0</v>
      </c>
      <c r="CC107" s="783">
        <f>IF('Incremental Repayments'!$R$22="Debt",IF(AND(CC$4&gt;=$D107,CC$4&lt;$D107+'Incremental Repayments'!$I$31),-PMT('Interest Rate'!$J$16,'Incremental Repayments'!$I$31,(HLOOKUP($D107,$E$4:$CZ$32,28,FALSE)*'Incremental Repayments'!$I$22)),0),0)</f>
        <v>0</v>
      </c>
      <c r="CD107" s="783">
        <f>IF('Incremental Repayments'!$R$22="Debt",IF(AND(CD$4&gt;=$D107,CD$4&lt;$D107+'Incremental Repayments'!$I$31),-PMT('Interest Rate'!$J$16,'Incremental Repayments'!$I$31,(HLOOKUP($D107,$E$4:$CZ$32,28,FALSE)*'Incremental Repayments'!$I$22)),0),0)</f>
        <v>0</v>
      </c>
      <c r="CE107" s="783">
        <f>IF('Incremental Repayments'!$R$22="Debt",IF(AND(CE$4&gt;=$D107,CE$4&lt;$D107+'Incremental Repayments'!$I$31),-PMT('Interest Rate'!$J$16,'Incremental Repayments'!$I$31,(HLOOKUP($D107,$E$4:$CZ$32,28,FALSE)*'Incremental Repayments'!$I$22)),0),0)</f>
        <v>0</v>
      </c>
      <c r="CF107" s="783">
        <f>IF('Incremental Repayments'!$R$22="Debt",IF(AND(CF$4&gt;=$D107,CF$4&lt;$D107+'Incremental Repayments'!$I$31),-PMT('Interest Rate'!$J$16,'Incremental Repayments'!$I$31,(HLOOKUP($D107,$E$4:$CZ$32,28,FALSE)*'Incremental Repayments'!$I$22)),0),0)</f>
        <v>0</v>
      </c>
      <c r="CG107" s="783">
        <f>IF('Incremental Repayments'!$R$22="Debt",IF(AND(CG$4&gt;=$D107,CG$4&lt;$D107+'Incremental Repayments'!$I$31),-PMT('Interest Rate'!$J$16,'Incremental Repayments'!$I$31,(HLOOKUP($D107,$E$4:$CZ$32,28,FALSE)*'Incremental Repayments'!$I$22)),0),0)</f>
        <v>0</v>
      </c>
      <c r="CH107" s="783">
        <f>IF('Incremental Repayments'!$R$22="Debt",IF(AND(CH$4&gt;=$D107,CH$4&lt;$D107+'Incremental Repayments'!$I$31),-PMT('Interest Rate'!$J$16,'Incremental Repayments'!$I$31,(HLOOKUP($D107,$E$4:$CZ$32,28,FALSE)*'Incremental Repayments'!$I$22)),0),0)</f>
        <v>0</v>
      </c>
      <c r="CI107" s="783">
        <f>IF('Incremental Repayments'!$R$22="Debt",IF(AND(CI$4&gt;=$D107,CI$4&lt;$D107+'Incremental Repayments'!$I$31),-PMT('Interest Rate'!$J$16,'Incremental Repayments'!$I$31,(HLOOKUP($D107,$E$4:$CZ$32,28,FALSE)*'Incremental Repayments'!$I$22)),0),0)</f>
        <v>0</v>
      </c>
      <c r="CJ107" s="783">
        <f>IF('Incremental Repayments'!$R$22="Debt",IF(AND(CJ$4&gt;=$D107,CJ$4&lt;$D107+'Incremental Repayments'!$I$31),-PMT('Interest Rate'!$J$16,'Incremental Repayments'!$I$31,(HLOOKUP($D107,$E$4:$CZ$32,28,FALSE)*'Incremental Repayments'!$I$22)),0),0)</f>
        <v>0</v>
      </c>
      <c r="CK107" s="783">
        <f>IF('Incremental Repayments'!$R$22="Debt",IF(AND(CK$4&gt;=$D107,CK$4&lt;$D107+'Incremental Repayments'!$I$31),-PMT('Interest Rate'!$J$16,'Incremental Repayments'!$I$31,(HLOOKUP($D107,$E$4:$CZ$32,28,FALSE)*'Incremental Repayments'!$I$22)),0),0)</f>
        <v>0</v>
      </c>
      <c r="CL107" s="783">
        <f>IF('Incremental Repayments'!$R$22="Debt",IF(AND(CL$4&gt;=$D107,CL$4&lt;$D107+'Incremental Repayments'!$I$31),-PMT('Interest Rate'!$J$16,'Incremental Repayments'!$I$31,(HLOOKUP($D107,$E$4:$CZ$32,28,FALSE)*'Incremental Repayments'!$I$22)),0),0)</f>
        <v>0</v>
      </c>
      <c r="CM107" s="783">
        <f>IF('Incremental Repayments'!$R$22="Debt",IF(AND(CM$4&gt;=$D107,CM$4&lt;$D107+'Incremental Repayments'!$I$31),-PMT('Interest Rate'!$J$16,'Incremental Repayments'!$I$31,(HLOOKUP($D107,$E$4:$CZ$32,28,FALSE)*'Incremental Repayments'!$I$22)),0),0)</f>
        <v>0</v>
      </c>
      <c r="CN107" s="783">
        <f>IF('Incremental Repayments'!$R$22="Debt",IF(AND(CN$4&gt;=$D107,CN$4&lt;$D107+'Incremental Repayments'!$I$31),-PMT('Interest Rate'!$J$16,'Incremental Repayments'!$I$31,(HLOOKUP($D107,$E$4:$CZ$32,28,FALSE)*'Incremental Repayments'!$I$22)),0),0)</f>
        <v>0</v>
      </c>
      <c r="CO107" s="783">
        <f>IF('Incremental Repayments'!$R$22="Debt",IF(AND(CO$4&gt;=$D107,CO$4&lt;$D107+'Incremental Repayments'!$I$31),-PMT('Interest Rate'!$J$16,'Incremental Repayments'!$I$31,(HLOOKUP($D107,$E$4:$CZ$32,28,FALSE)*'Incremental Repayments'!$I$22)),0),0)</f>
        <v>0</v>
      </c>
      <c r="CP107" s="783">
        <f>IF('Incremental Repayments'!$R$22="Debt",IF(AND(CP$4&gt;=$D107,CP$4&lt;$D107+'Incremental Repayments'!$I$31),-PMT('Interest Rate'!$J$16,'Incremental Repayments'!$I$31,(HLOOKUP($D107,$E$4:$CZ$32,28,FALSE)*'Incremental Repayments'!$I$22)),0),0)</f>
        <v>0</v>
      </c>
      <c r="CQ107" s="783">
        <f>IF('Incremental Repayments'!$R$22="Debt",IF(AND(CQ$4&gt;=$D107,CQ$4&lt;$D107+'Incremental Repayments'!$I$31),-PMT('Interest Rate'!$J$16,'Incremental Repayments'!$I$31,(HLOOKUP($D107,$E$4:$CZ$32,28,FALSE)*'Incremental Repayments'!$I$22)),0),0)</f>
        <v>0</v>
      </c>
      <c r="CR107" s="783">
        <f>IF('Incremental Repayments'!$R$22="Debt",IF(AND(CR$4&gt;=$D107,CR$4&lt;$D107+'Incremental Repayments'!$I$31),-PMT('Interest Rate'!$J$16,'Incremental Repayments'!$I$31,(HLOOKUP($D107,$E$4:$CZ$32,28,FALSE)*'Incremental Repayments'!$I$22)),0),0)</f>
        <v>0</v>
      </c>
      <c r="CS107" s="783">
        <f>IF('Incremental Repayments'!$R$22="Debt",IF(AND(CS$4&gt;=$D107,CS$4&lt;$D107+'Incremental Repayments'!$I$31),-PMT('Interest Rate'!$J$16,'Incremental Repayments'!$I$31,(HLOOKUP($D107,$E$4:$CZ$32,28,FALSE)*'Incremental Repayments'!$I$22)),0),0)</f>
        <v>0</v>
      </c>
      <c r="CT107" s="783">
        <f>IF('Incremental Repayments'!$R$22="Debt",IF(AND(CT$4&gt;=$D107,CT$4&lt;$D107+'Incremental Repayments'!$I$31),-PMT('Interest Rate'!$J$16,'Incremental Repayments'!$I$31,(HLOOKUP($D107,$E$4:$CZ$32,28,FALSE)*'Incremental Repayments'!$I$22)),0),0)</f>
        <v>0</v>
      </c>
      <c r="CU107" s="783">
        <f>IF('Incremental Repayments'!$R$22="Debt",IF(AND(CU$4&gt;=$D107,CU$4&lt;$D107+'Incremental Repayments'!$I$31),-PMT('Interest Rate'!$J$16,'Incremental Repayments'!$I$31,(HLOOKUP($D107,$E$4:$CZ$32,28,FALSE)*'Incremental Repayments'!$I$22)),0),0)</f>
        <v>0</v>
      </c>
      <c r="CV107" s="783">
        <f>IF('Incremental Repayments'!$R$22="Debt",IF(AND(CV$4&gt;=$D107,CV$4&lt;$D107+'Incremental Repayments'!$I$31),-PMT('Interest Rate'!$J$16,'Incremental Repayments'!$I$31,(HLOOKUP($D107,$E$4:$CZ$32,28,FALSE)*'Incremental Repayments'!$I$22)),0),0)</f>
        <v>0</v>
      </c>
      <c r="CW107" s="783">
        <f>IF('Incremental Repayments'!$R$22="Debt",IF(AND(CW$4&gt;=$D107,CW$4&lt;$D107+'Incremental Repayments'!$I$31),-PMT('Interest Rate'!$J$16,'Incremental Repayments'!$I$31,(HLOOKUP($D107,$E$4:$CZ$32,28,FALSE)*'Incremental Repayments'!$I$22)),0),0)</f>
        <v>0</v>
      </c>
      <c r="CX107" s="783">
        <f>IF('Incremental Repayments'!$R$22="Debt",IF(AND(CX$4&gt;=$D107,CX$4&lt;$D107+'Incremental Repayments'!$I$31),-PMT('Interest Rate'!$J$16,'Incremental Repayments'!$I$31,(HLOOKUP($D107,$E$4:$CZ$32,28,FALSE)*'Incremental Repayments'!$I$22)),0),0)</f>
        <v>0</v>
      </c>
      <c r="CY107" s="783">
        <f>IF('Incremental Repayments'!$R$22="Debt",IF(AND(CY$4&gt;=$D107,CY$4&lt;$D107+'Incremental Repayments'!$I$31),-PMT('Interest Rate'!$J$16,'Incremental Repayments'!$I$31,(HLOOKUP($D107,$E$4:$CZ$32,28,FALSE)*'Incremental Repayments'!$I$22)),0),0)</f>
        <v>0</v>
      </c>
      <c r="CZ107" s="783">
        <f>IF('Incremental Repayments'!$R$22="Debt",IF(AND(CZ$4&gt;=$D107,CZ$4&lt;$D107+'Incremental Repayments'!$I$31),-PMT('Interest Rate'!$J$16,'Incremental Repayments'!$I$31,(HLOOKUP($D107,$E$4:$CZ$32,28,FALSE)*'Incremental Repayments'!$I$22)),0),0)</f>
        <v>0</v>
      </c>
    </row>
    <row r="108" spans="2:104" x14ac:dyDescent="0.25">
      <c r="B108" s="480" t="str">
        <f>CONCATENATE("Series ",D108,"A Bonds (at ",'Interest Rate'!$J$16*100,"% Interest)")</f>
        <v>Series 2086A Bonds (at 4.5% Interest)</v>
      </c>
      <c r="C108" s="480"/>
      <c r="D108" s="492">
        <f t="shared" si="47"/>
        <v>2086</v>
      </c>
      <c r="E108" s="783">
        <f>IF('Incremental Repayments'!$R$22="Debt",IF(AND(E$4&gt;=$D108,E$4&lt;$D108+'Incremental Repayments'!$I$31),-PMT('Interest Rate'!$J$16,'Incremental Repayments'!$I$31,(HLOOKUP($D108,$E$4:$CZ$32,28,FALSE)*'Incremental Repayments'!$I$22)),0),0)</f>
        <v>0</v>
      </c>
      <c r="F108" s="783">
        <f>IF('Incremental Repayments'!$R$22="Debt",IF(AND(F$4&gt;=$D108,F$4&lt;$D108+'Incremental Repayments'!$I$31),-PMT('Interest Rate'!$J$16,'Incremental Repayments'!$I$31,(HLOOKUP($D108,$E$4:$CZ$32,28,FALSE)*'Incremental Repayments'!$I$22)),0),0)</f>
        <v>0</v>
      </c>
      <c r="G108" s="783">
        <f>IF('Incremental Repayments'!$R$22="Debt",IF(AND(G$4&gt;=$D108,G$4&lt;$D108+'Incremental Repayments'!$I$31),-PMT('Interest Rate'!$J$16,'Incremental Repayments'!$I$31,(HLOOKUP($D108,$E$4:$CZ$32,28,FALSE)*'Incremental Repayments'!$I$22)),0),0)</f>
        <v>0</v>
      </c>
      <c r="H108" s="783">
        <f>IF('Incremental Repayments'!$R$22="Debt",IF(AND(H$4&gt;=$D108,H$4&lt;$D108+'Incremental Repayments'!$I$31),-PMT('Interest Rate'!$J$16,'Incremental Repayments'!$I$31,(HLOOKUP($D108,$E$4:$CZ$32,28,FALSE)*'Incremental Repayments'!$I$22)),0),0)</f>
        <v>0</v>
      </c>
      <c r="I108" s="783">
        <f>IF('Incremental Repayments'!$R$22="Debt",IF(AND(I$4&gt;=$D108,I$4&lt;$D108+'Incremental Repayments'!$I$31),-PMT('Interest Rate'!$J$16,'Incremental Repayments'!$I$31,(HLOOKUP($D108,$E$4:$CZ$32,28,FALSE)*'Incremental Repayments'!$I$22)),0),0)</f>
        <v>0</v>
      </c>
      <c r="J108" s="783">
        <f>IF('Incremental Repayments'!$R$22="Debt",IF(AND(J$4&gt;=$D108,J$4&lt;$D108+'Incremental Repayments'!$I$31),-PMT('Interest Rate'!$J$16,'Incremental Repayments'!$I$31,(HLOOKUP($D108,$E$4:$CZ$32,28,FALSE)*'Incremental Repayments'!$I$22)),0),0)</f>
        <v>0</v>
      </c>
      <c r="K108" s="783">
        <f>IF('Incremental Repayments'!$R$22="Debt",IF(AND(K$4&gt;=$D108,K$4&lt;$D108+'Incremental Repayments'!$I$31),-PMT('Interest Rate'!$J$16,'Incremental Repayments'!$I$31,(HLOOKUP($D108,$E$4:$CZ$32,28,FALSE)*'Incremental Repayments'!$I$22)),0),0)</f>
        <v>0</v>
      </c>
      <c r="L108" s="783">
        <f>IF('Incremental Repayments'!$R$22="Debt",IF(AND(L$4&gt;=$D108,L$4&lt;$D108+'Incremental Repayments'!$I$31),-PMT('Interest Rate'!$J$16,'Incremental Repayments'!$I$31,(HLOOKUP($D108,$E$4:$CZ$32,28,FALSE)*'Incremental Repayments'!$I$22)),0),0)</f>
        <v>0</v>
      </c>
      <c r="M108" s="783">
        <f>IF('Incremental Repayments'!$R$22="Debt",IF(AND(M$4&gt;=$D108,M$4&lt;$D108+'Incremental Repayments'!$I$31),-PMT('Interest Rate'!$J$16,'Incremental Repayments'!$I$31,(HLOOKUP($D108,$E$4:$CZ$32,28,FALSE)*'Incremental Repayments'!$I$22)),0),0)</f>
        <v>0</v>
      </c>
      <c r="N108" s="783">
        <f>IF('Incremental Repayments'!$R$22="Debt",IF(AND(N$4&gt;=$D108,N$4&lt;$D108+'Incremental Repayments'!$I$31),-PMT('Interest Rate'!$J$16,'Incremental Repayments'!$I$31,(HLOOKUP($D108,$E$4:$CZ$32,28,FALSE)*'Incremental Repayments'!$I$22)),0),0)</f>
        <v>0</v>
      </c>
      <c r="O108" s="783">
        <f>IF('Incremental Repayments'!$R$22="Debt",IF(AND(O$4&gt;=$D108,O$4&lt;$D108+'Incremental Repayments'!$I$31),-PMT('Interest Rate'!$J$16,'Incremental Repayments'!$I$31,(HLOOKUP($D108,$E$4:$CZ$32,28,FALSE)*'Incremental Repayments'!$I$22)),0),0)</f>
        <v>0</v>
      </c>
      <c r="P108" s="783">
        <f>IF('Incremental Repayments'!$R$22="Debt",IF(AND(P$4&gt;=$D108,P$4&lt;$D108+'Incremental Repayments'!$I$31),-PMT('Interest Rate'!$J$16,'Incremental Repayments'!$I$31,(HLOOKUP($D108,$E$4:$CZ$32,28,FALSE)*'Incremental Repayments'!$I$22)),0),0)</f>
        <v>0</v>
      </c>
      <c r="Q108" s="783">
        <f>IF('Incremental Repayments'!$R$22="Debt",IF(AND(Q$4&gt;=$D108,Q$4&lt;$D108+'Incremental Repayments'!$I$31),-PMT('Interest Rate'!$J$16,'Incremental Repayments'!$I$31,(HLOOKUP($D108,$E$4:$CZ$32,28,FALSE)*'Incremental Repayments'!$I$22)),0),0)</f>
        <v>0</v>
      </c>
      <c r="R108" s="783">
        <f>IF('Incremental Repayments'!$R$22="Debt",IF(AND(R$4&gt;=$D108,R$4&lt;$D108+'Incremental Repayments'!$I$31),-PMT('Interest Rate'!$J$16,'Incremental Repayments'!$I$31,(HLOOKUP($D108,$E$4:$CZ$32,28,FALSE)*'Incremental Repayments'!$I$22)),0),0)</f>
        <v>0</v>
      </c>
      <c r="S108" s="783">
        <f>IF('Incremental Repayments'!$R$22="Debt",IF(AND(S$4&gt;=$D108,S$4&lt;$D108+'Incremental Repayments'!$I$31),-PMT('Interest Rate'!$J$16,'Incremental Repayments'!$I$31,(HLOOKUP($D108,$E$4:$CZ$32,28,FALSE)*'Incremental Repayments'!$I$22)),0),0)</f>
        <v>0</v>
      </c>
      <c r="T108" s="783">
        <f>IF('Incremental Repayments'!$R$22="Debt",IF(AND(T$4&gt;=$D108,T$4&lt;$D108+'Incremental Repayments'!$I$31),-PMT('Interest Rate'!$J$16,'Incremental Repayments'!$I$31,(HLOOKUP($D108,$E$4:$CZ$32,28,FALSE)*'Incremental Repayments'!$I$22)),0),0)</f>
        <v>0</v>
      </c>
      <c r="U108" s="783">
        <f>IF('Incremental Repayments'!$R$22="Debt",IF(AND(U$4&gt;=$D108,U$4&lt;$D108+'Incremental Repayments'!$I$31),-PMT('Interest Rate'!$J$16,'Incremental Repayments'!$I$31,(HLOOKUP($D108,$E$4:$CZ$32,28,FALSE)*'Incremental Repayments'!$I$22)),0),0)</f>
        <v>0</v>
      </c>
      <c r="V108" s="783">
        <f>IF('Incremental Repayments'!$R$22="Debt",IF(AND(V$4&gt;=$D108,V$4&lt;$D108+'Incremental Repayments'!$I$31),-PMT('Interest Rate'!$J$16,'Incremental Repayments'!$I$31,(HLOOKUP($D108,$E$4:$CZ$32,28,FALSE)*'Incremental Repayments'!$I$22)),0),0)</f>
        <v>0</v>
      </c>
      <c r="W108" s="783">
        <f>IF('Incremental Repayments'!$R$22="Debt",IF(AND(W$4&gt;=$D108,W$4&lt;$D108+'Incremental Repayments'!$I$31),-PMT('Interest Rate'!$J$16,'Incremental Repayments'!$I$31,(HLOOKUP($D108,$E$4:$CZ$32,28,FALSE)*'Incremental Repayments'!$I$22)),0),0)</f>
        <v>0</v>
      </c>
      <c r="X108" s="783">
        <f>IF('Incremental Repayments'!$R$22="Debt",IF(AND(X$4&gt;=$D108,X$4&lt;$D108+'Incremental Repayments'!$I$31),-PMT('Interest Rate'!$J$16,'Incremental Repayments'!$I$31,(HLOOKUP($D108,$E$4:$CZ$32,28,FALSE)*'Incremental Repayments'!$I$22)),0),0)</f>
        <v>0</v>
      </c>
      <c r="Y108" s="783">
        <f>IF('Incremental Repayments'!$R$22="Debt",IF(AND(Y$4&gt;=$D108,Y$4&lt;$D108+'Incremental Repayments'!$I$31),-PMT('Interest Rate'!$J$16,'Incremental Repayments'!$I$31,(HLOOKUP($D108,$E$4:$CZ$32,28,FALSE)*'Incremental Repayments'!$I$22)),0),0)</f>
        <v>0</v>
      </c>
      <c r="Z108" s="783">
        <f>IF('Incremental Repayments'!$R$22="Debt",IF(AND(Z$4&gt;=$D108,Z$4&lt;$D108+'Incremental Repayments'!$I$31),-PMT('Interest Rate'!$J$16,'Incremental Repayments'!$I$31,(HLOOKUP($D108,$E$4:$CZ$32,28,FALSE)*'Incremental Repayments'!$I$22)),0),0)</f>
        <v>0</v>
      </c>
      <c r="AA108" s="783">
        <f>IF('Incremental Repayments'!$R$22="Debt",IF(AND(AA$4&gt;=$D108,AA$4&lt;$D108+'Incremental Repayments'!$I$31),-PMT('Interest Rate'!$J$16,'Incremental Repayments'!$I$31,(HLOOKUP($D108,$E$4:$CZ$32,28,FALSE)*'Incremental Repayments'!$I$22)),0),0)</f>
        <v>0</v>
      </c>
      <c r="AB108" s="783">
        <f>IF('Incremental Repayments'!$R$22="Debt",IF(AND(AB$4&gt;=$D108,AB$4&lt;$D108+'Incremental Repayments'!$I$31),-PMT('Interest Rate'!$J$16,'Incremental Repayments'!$I$31,(HLOOKUP($D108,$E$4:$CZ$32,28,FALSE)*'Incremental Repayments'!$I$22)),0),0)</f>
        <v>0</v>
      </c>
      <c r="AC108" s="783">
        <f>IF('Incremental Repayments'!$R$22="Debt",IF(AND(AC$4&gt;=$D108,AC$4&lt;$D108+'Incremental Repayments'!$I$31),-PMT('Interest Rate'!$J$16,'Incremental Repayments'!$I$31,(HLOOKUP($D108,$E$4:$CZ$32,28,FALSE)*'Incremental Repayments'!$I$22)),0),0)</f>
        <v>0</v>
      </c>
      <c r="AD108" s="783">
        <f>IF('Incremental Repayments'!$R$22="Debt",IF(AND(AD$4&gt;=$D108,AD$4&lt;$D108+'Incremental Repayments'!$I$31),-PMT('Interest Rate'!$J$16,'Incremental Repayments'!$I$31,(HLOOKUP($D108,$E$4:$CZ$32,28,FALSE)*'Incremental Repayments'!$I$22)),0),0)</f>
        <v>0</v>
      </c>
      <c r="AE108" s="783">
        <f>IF('Incremental Repayments'!$R$22="Debt",IF(AND(AE$4&gt;=$D108,AE$4&lt;$D108+'Incremental Repayments'!$I$31),-PMT('Interest Rate'!$J$16,'Incremental Repayments'!$I$31,(HLOOKUP($D108,$E$4:$CZ$32,28,FALSE)*'Incremental Repayments'!$I$22)),0),0)</f>
        <v>0</v>
      </c>
      <c r="AF108" s="783">
        <f>IF('Incremental Repayments'!$R$22="Debt",IF(AND(AF$4&gt;=$D108,AF$4&lt;$D108+'Incremental Repayments'!$I$31),-PMT('Interest Rate'!$J$16,'Incremental Repayments'!$I$31,(HLOOKUP($D108,$E$4:$CZ$32,28,FALSE)*'Incremental Repayments'!$I$22)),0),0)</f>
        <v>0</v>
      </c>
      <c r="AG108" s="783">
        <f>IF('Incremental Repayments'!$R$22="Debt",IF(AND(AG$4&gt;=$D108,AG$4&lt;$D108+'Incremental Repayments'!$I$31),-PMT('Interest Rate'!$J$16,'Incremental Repayments'!$I$31,(HLOOKUP($D108,$E$4:$CZ$32,28,FALSE)*'Incremental Repayments'!$I$22)),0),0)</f>
        <v>0</v>
      </c>
      <c r="AH108" s="783">
        <f>IF('Incremental Repayments'!$R$22="Debt",IF(AND(AH$4&gt;=$D108,AH$4&lt;$D108+'Incremental Repayments'!$I$31),-PMT('Interest Rate'!$J$16,'Incremental Repayments'!$I$31,(HLOOKUP($D108,$E$4:$CZ$32,28,FALSE)*'Incremental Repayments'!$I$22)),0),0)</f>
        <v>0</v>
      </c>
      <c r="AI108" s="783">
        <f>IF('Incremental Repayments'!$R$22="Debt",IF(AND(AI$4&gt;=$D108,AI$4&lt;$D108+'Incremental Repayments'!$I$31),-PMT('Interest Rate'!$J$16,'Incremental Repayments'!$I$31,(HLOOKUP($D108,$E$4:$CZ$32,28,FALSE)*'Incremental Repayments'!$I$22)),0),0)</f>
        <v>0</v>
      </c>
      <c r="AJ108" s="783">
        <f>IF('Incremental Repayments'!$R$22="Debt",IF(AND(AJ$4&gt;=$D108,AJ$4&lt;$D108+'Incremental Repayments'!$I$31),-PMT('Interest Rate'!$J$16,'Incremental Repayments'!$I$31,(HLOOKUP($D108,$E$4:$CZ$32,28,FALSE)*'Incremental Repayments'!$I$22)),0),0)</f>
        <v>0</v>
      </c>
      <c r="AK108" s="783">
        <f>IF('Incremental Repayments'!$R$22="Debt",IF(AND(AK$4&gt;=$D108,AK$4&lt;$D108+'Incremental Repayments'!$I$31),-PMT('Interest Rate'!$J$16,'Incremental Repayments'!$I$31,(HLOOKUP($D108,$E$4:$CZ$32,28,FALSE)*'Incremental Repayments'!$I$22)),0),0)</f>
        <v>0</v>
      </c>
      <c r="AL108" s="783">
        <f>IF('Incremental Repayments'!$R$22="Debt",IF(AND(AL$4&gt;=$D108,AL$4&lt;$D108+'Incremental Repayments'!$I$31),-PMT('Interest Rate'!$J$16,'Incremental Repayments'!$I$31,(HLOOKUP($D108,$E$4:$CZ$32,28,FALSE)*'Incremental Repayments'!$I$22)),0),0)</f>
        <v>0</v>
      </c>
      <c r="AM108" s="783">
        <f>IF('Incremental Repayments'!$R$22="Debt",IF(AND(AM$4&gt;=$D108,AM$4&lt;$D108+'Incremental Repayments'!$I$31),-PMT('Interest Rate'!$J$16,'Incremental Repayments'!$I$31,(HLOOKUP($D108,$E$4:$CZ$32,28,FALSE)*'Incremental Repayments'!$I$22)),0),0)</f>
        <v>0</v>
      </c>
      <c r="AN108" s="783">
        <f>IF('Incremental Repayments'!$R$22="Debt",IF(AND(AN$4&gt;=$D108,AN$4&lt;$D108+'Incremental Repayments'!$I$31),-PMT('Interest Rate'!$J$16,'Incremental Repayments'!$I$31,(HLOOKUP($D108,$E$4:$CZ$32,28,FALSE)*'Incremental Repayments'!$I$22)),0),0)</f>
        <v>0</v>
      </c>
      <c r="AO108" s="783">
        <f>IF('Incremental Repayments'!$R$22="Debt",IF(AND(AO$4&gt;=$D108,AO$4&lt;$D108+'Incremental Repayments'!$I$31),-PMT('Interest Rate'!$J$16,'Incremental Repayments'!$I$31,(HLOOKUP($D108,$E$4:$CZ$32,28,FALSE)*'Incremental Repayments'!$I$22)),0),0)</f>
        <v>0</v>
      </c>
      <c r="AP108" s="783">
        <f>IF('Incremental Repayments'!$R$22="Debt",IF(AND(AP$4&gt;=$D108,AP$4&lt;$D108+'Incremental Repayments'!$I$31),-PMT('Interest Rate'!$J$16,'Incremental Repayments'!$I$31,(HLOOKUP($D108,$E$4:$CZ$32,28,FALSE)*'Incremental Repayments'!$I$22)),0),0)</f>
        <v>0</v>
      </c>
      <c r="AQ108" s="783">
        <f>IF('Incremental Repayments'!$R$22="Debt",IF(AND(AQ$4&gt;=$D108,AQ$4&lt;$D108+'Incremental Repayments'!$I$31),-PMT('Interest Rate'!$J$16,'Incremental Repayments'!$I$31,(HLOOKUP($D108,$E$4:$CZ$32,28,FALSE)*'Incremental Repayments'!$I$22)),0),0)</f>
        <v>0</v>
      </c>
      <c r="AR108" s="783">
        <f>IF('Incremental Repayments'!$R$22="Debt",IF(AND(AR$4&gt;=$D108,AR$4&lt;$D108+'Incremental Repayments'!$I$31),-PMT('Interest Rate'!$J$16,'Incremental Repayments'!$I$31,(HLOOKUP($D108,$E$4:$CZ$32,28,FALSE)*'Incremental Repayments'!$I$22)),0),0)</f>
        <v>0</v>
      </c>
      <c r="AS108" s="783">
        <f>IF('Incremental Repayments'!$R$22="Debt",IF(AND(AS$4&gt;=$D108,AS$4&lt;$D108+'Incremental Repayments'!$I$31),-PMT('Interest Rate'!$J$16,'Incremental Repayments'!$I$31,(HLOOKUP($D108,$E$4:$CZ$32,28,FALSE)*'Incremental Repayments'!$I$22)),0),0)</f>
        <v>0</v>
      </c>
      <c r="AT108" s="783">
        <f>IF('Incremental Repayments'!$R$22="Debt",IF(AND(AT$4&gt;=$D108,AT$4&lt;$D108+'Incremental Repayments'!$I$31),-PMT('Interest Rate'!$J$16,'Incremental Repayments'!$I$31,(HLOOKUP($D108,$E$4:$CZ$32,28,FALSE)*'Incremental Repayments'!$I$22)),0),0)</f>
        <v>0</v>
      </c>
      <c r="AU108" s="783">
        <f>IF('Incremental Repayments'!$R$22="Debt",IF(AND(AU$4&gt;=$D108,AU$4&lt;$D108+'Incremental Repayments'!$I$31),-PMT('Interest Rate'!$J$16,'Incremental Repayments'!$I$31,(HLOOKUP($D108,$E$4:$CZ$32,28,FALSE)*'Incremental Repayments'!$I$22)),0),0)</f>
        <v>0</v>
      </c>
      <c r="AV108" s="783">
        <f>IF('Incremental Repayments'!$R$22="Debt",IF(AND(AV$4&gt;=$D108,AV$4&lt;$D108+'Incremental Repayments'!$I$31),-PMT('Interest Rate'!$J$16,'Incremental Repayments'!$I$31,(HLOOKUP($D108,$E$4:$CZ$32,28,FALSE)*'Incremental Repayments'!$I$22)),0),0)</f>
        <v>0</v>
      </c>
      <c r="AW108" s="783">
        <f>IF('Incremental Repayments'!$R$22="Debt",IF(AND(AW$4&gt;=$D108,AW$4&lt;$D108+'Incremental Repayments'!$I$31),-PMT('Interest Rate'!$J$16,'Incremental Repayments'!$I$31,(HLOOKUP($D108,$E$4:$CZ$32,28,FALSE)*'Incremental Repayments'!$I$22)),0),0)</f>
        <v>0</v>
      </c>
      <c r="AX108" s="783">
        <f>IF('Incremental Repayments'!$R$22="Debt",IF(AND(AX$4&gt;=$D108,AX$4&lt;$D108+'Incremental Repayments'!$I$31),-PMT('Interest Rate'!$J$16,'Incremental Repayments'!$I$31,(HLOOKUP($D108,$E$4:$CZ$32,28,FALSE)*'Incremental Repayments'!$I$22)),0),0)</f>
        <v>0</v>
      </c>
      <c r="AY108" s="783">
        <f>IF('Incremental Repayments'!$R$22="Debt",IF(AND(AY$4&gt;=$D108,AY$4&lt;$D108+'Incremental Repayments'!$I$31),-PMT('Interest Rate'!$J$16,'Incremental Repayments'!$I$31,(HLOOKUP($D108,$E$4:$CZ$32,28,FALSE)*'Incremental Repayments'!$I$22)),0),0)</f>
        <v>0</v>
      </c>
      <c r="AZ108" s="783">
        <f>IF('Incremental Repayments'!$R$22="Debt",IF(AND(AZ$4&gt;=$D108,AZ$4&lt;$D108+'Incremental Repayments'!$I$31),-PMT('Interest Rate'!$J$16,'Incremental Repayments'!$I$31,(HLOOKUP($D108,$E$4:$CZ$32,28,FALSE)*'Incremental Repayments'!$I$22)),0),0)</f>
        <v>0</v>
      </c>
      <c r="BA108" s="783">
        <f>IF('Incremental Repayments'!$R$22="Debt",IF(AND(BA$4&gt;=$D108,BA$4&lt;$D108+'Incremental Repayments'!$I$31),-PMT('Interest Rate'!$J$16,'Incremental Repayments'!$I$31,(HLOOKUP($D108,$E$4:$CZ$32,28,FALSE)*'Incremental Repayments'!$I$22)),0),0)</f>
        <v>0</v>
      </c>
      <c r="BB108" s="783">
        <f>IF('Incremental Repayments'!$R$22="Debt",IF(AND(BB$4&gt;=$D108,BB$4&lt;$D108+'Incremental Repayments'!$I$31),-PMT('Interest Rate'!$J$16,'Incremental Repayments'!$I$31,(HLOOKUP($D108,$E$4:$CZ$32,28,FALSE)*'Incremental Repayments'!$I$22)),0),0)</f>
        <v>0</v>
      </c>
      <c r="BC108" s="783">
        <f>IF('Incremental Repayments'!$R$22="Debt",IF(AND(BC$4&gt;=$D108,BC$4&lt;$D108+'Incremental Repayments'!$I$31),-PMT('Interest Rate'!$J$16,'Incremental Repayments'!$I$31,(HLOOKUP($D108,$E$4:$CZ$32,28,FALSE)*'Incremental Repayments'!$I$22)),0),0)</f>
        <v>0</v>
      </c>
      <c r="BD108" s="783">
        <f>IF('Incremental Repayments'!$R$22="Debt",IF(AND(BD$4&gt;=$D108,BD$4&lt;$D108+'Incremental Repayments'!$I$31),-PMT('Interest Rate'!$J$16,'Incremental Repayments'!$I$31,(HLOOKUP($D108,$E$4:$CZ$32,28,FALSE)*'Incremental Repayments'!$I$22)),0),0)</f>
        <v>0</v>
      </c>
      <c r="BE108" s="783">
        <f>IF('Incremental Repayments'!$R$22="Debt",IF(AND(BE$4&gt;=$D108,BE$4&lt;$D108+'Incremental Repayments'!$I$31),-PMT('Interest Rate'!$J$16,'Incremental Repayments'!$I$31,(HLOOKUP($D108,$E$4:$CZ$32,28,FALSE)*'Incremental Repayments'!$I$22)),0),0)</f>
        <v>0</v>
      </c>
      <c r="BF108" s="783">
        <f>IF('Incremental Repayments'!$R$22="Debt",IF(AND(BF$4&gt;=$D108,BF$4&lt;$D108+'Incremental Repayments'!$I$31),-PMT('Interest Rate'!$J$16,'Incremental Repayments'!$I$31,(HLOOKUP($D108,$E$4:$CZ$32,28,FALSE)*'Incremental Repayments'!$I$22)),0),0)</f>
        <v>0</v>
      </c>
      <c r="BG108" s="783">
        <f>IF('Incremental Repayments'!$R$22="Debt",IF(AND(BG$4&gt;=$D108,BG$4&lt;$D108+'Incremental Repayments'!$I$31),-PMT('Interest Rate'!$J$16,'Incremental Repayments'!$I$31,(HLOOKUP($D108,$E$4:$CZ$32,28,FALSE)*'Incremental Repayments'!$I$22)),0),0)</f>
        <v>0</v>
      </c>
      <c r="BH108" s="783">
        <f>IF('Incremental Repayments'!$R$22="Debt",IF(AND(BH$4&gt;=$D108,BH$4&lt;$D108+'Incremental Repayments'!$I$31),-PMT('Interest Rate'!$J$16,'Incremental Repayments'!$I$31,(HLOOKUP($D108,$E$4:$CZ$32,28,FALSE)*'Incremental Repayments'!$I$22)),0),0)</f>
        <v>0</v>
      </c>
      <c r="BI108" s="783">
        <f>IF('Incremental Repayments'!$R$22="Debt",IF(AND(BI$4&gt;=$D108,BI$4&lt;$D108+'Incremental Repayments'!$I$31),-PMT('Interest Rate'!$J$16,'Incremental Repayments'!$I$31,(HLOOKUP($D108,$E$4:$CZ$32,28,FALSE)*'Incremental Repayments'!$I$22)),0),0)</f>
        <v>0</v>
      </c>
      <c r="BJ108" s="783">
        <f>IF('Incremental Repayments'!$R$22="Debt",IF(AND(BJ$4&gt;=$D108,BJ$4&lt;$D108+'Incremental Repayments'!$I$31),-PMT('Interest Rate'!$J$16,'Incremental Repayments'!$I$31,(HLOOKUP($D108,$E$4:$CZ$32,28,FALSE)*'Incremental Repayments'!$I$22)),0),0)</f>
        <v>0</v>
      </c>
      <c r="BK108" s="783">
        <f>IF('Incremental Repayments'!$R$22="Debt",IF(AND(BK$4&gt;=$D108,BK$4&lt;$D108+'Incremental Repayments'!$I$31),-PMT('Interest Rate'!$J$16,'Incremental Repayments'!$I$31,(HLOOKUP($D108,$E$4:$CZ$32,28,FALSE)*'Incremental Repayments'!$I$22)),0),0)</f>
        <v>0</v>
      </c>
      <c r="BL108" s="783">
        <f>IF('Incremental Repayments'!$R$22="Debt",IF(AND(BL$4&gt;=$D108,BL$4&lt;$D108+'Incremental Repayments'!$I$31),-PMT('Interest Rate'!$J$16,'Incremental Repayments'!$I$31,(HLOOKUP($D108,$E$4:$CZ$32,28,FALSE)*'Incremental Repayments'!$I$22)),0),0)</f>
        <v>0</v>
      </c>
      <c r="BM108" s="783">
        <f>IF('Incremental Repayments'!$R$22="Debt",IF(AND(BM$4&gt;=$D108,BM$4&lt;$D108+'Incremental Repayments'!$I$31),-PMT('Interest Rate'!$J$16,'Incremental Repayments'!$I$31,(HLOOKUP($D108,$E$4:$CZ$32,28,FALSE)*'Incremental Repayments'!$I$22)),0),0)</f>
        <v>0</v>
      </c>
      <c r="BN108" s="783">
        <f>IF('Incremental Repayments'!$R$22="Debt",IF(AND(BN$4&gt;=$D108,BN$4&lt;$D108+'Incremental Repayments'!$I$31),-PMT('Interest Rate'!$J$16,'Incremental Repayments'!$I$31,(HLOOKUP($D108,$E$4:$CZ$32,28,FALSE)*'Incremental Repayments'!$I$22)),0),0)</f>
        <v>0</v>
      </c>
      <c r="BO108" s="783">
        <f>IF('Incremental Repayments'!$R$22="Debt",IF(AND(BO$4&gt;=$D108,BO$4&lt;$D108+'Incremental Repayments'!$I$31),-PMT('Interest Rate'!$J$16,'Incremental Repayments'!$I$31,(HLOOKUP($D108,$E$4:$CZ$32,28,FALSE)*'Incremental Repayments'!$I$22)),0),0)</f>
        <v>0</v>
      </c>
      <c r="BP108" s="783">
        <f>IF('Incremental Repayments'!$R$22="Debt",IF(AND(BP$4&gt;=$D108,BP$4&lt;$D108+'Incremental Repayments'!$I$31),-PMT('Interest Rate'!$J$16,'Incremental Repayments'!$I$31,(HLOOKUP($D108,$E$4:$CZ$32,28,FALSE)*'Incremental Repayments'!$I$22)),0),0)</f>
        <v>0</v>
      </c>
      <c r="BQ108" s="783">
        <f>IF('Incremental Repayments'!$R$22="Debt",IF(AND(BQ$4&gt;=$D108,BQ$4&lt;$D108+'Incremental Repayments'!$I$31),-PMT('Interest Rate'!$J$16,'Incremental Repayments'!$I$31,(HLOOKUP($D108,$E$4:$CZ$32,28,FALSE)*'Incremental Repayments'!$I$22)),0),0)</f>
        <v>0</v>
      </c>
      <c r="BR108" s="783">
        <f>IF('Incremental Repayments'!$R$22="Debt",IF(AND(BR$4&gt;=$D108,BR$4&lt;$D108+'Incremental Repayments'!$I$31),-PMT('Interest Rate'!$J$16,'Incremental Repayments'!$I$31,(HLOOKUP($D108,$E$4:$CZ$32,28,FALSE)*'Incremental Repayments'!$I$22)),0),0)</f>
        <v>0</v>
      </c>
      <c r="BS108" s="783">
        <f>IF('Incremental Repayments'!$R$22="Debt",IF(AND(BS$4&gt;=$D108,BS$4&lt;$D108+'Incremental Repayments'!$I$31),-PMT('Interest Rate'!$J$16,'Incremental Repayments'!$I$31,(HLOOKUP($D108,$E$4:$CZ$32,28,FALSE)*'Incremental Repayments'!$I$22)),0),0)</f>
        <v>0</v>
      </c>
      <c r="BT108" s="783">
        <f>IF('Incremental Repayments'!$R$22="Debt",IF(AND(BT$4&gt;=$D108,BT$4&lt;$D108+'Incremental Repayments'!$I$31),-PMT('Interest Rate'!$J$16,'Incremental Repayments'!$I$31,(HLOOKUP($D108,$E$4:$CZ$32,28,FALSE)*'Incremental Repayments'!$I$22)),0),0)</f>
        <v>0</v>
      </c>
      <c r="BU108" s="783">
        <f>IF('Incremental Repayments'!$R$22="Debt",IF(AND(BU$4&gt;=$D108,BU$4&lt;$D108+'Incremental Repayments'!$I$31),-PMT('Interest Rate'!$J$16,'Incremental Repayments'!$I$31,(HLOOKUP($D108,$E$4:$CZ$32,28,FALSE)*'Incremental Repayments'!$I$22)),0),0)</f>
        <v>0</v>
      </c>
      <c r="BV108" s="783">
        <f>IF('Incremental Repayments'!$R$22="Debt",IF(AND(BV$4&gt;=$D108,BV$4&lt;$D108+'Incremental Repayments'!$I$31),-PMT('Interest Rate'!$J$16,'Incremental Repayments'!$I$31,(HLOOKUP($D108,$E$4:$CZ$32,28,FALSE)*'Incremental Repayments'!$I$22)),0),0)</f>
        <v>0</v>
      </c>
      <c r="BW108" s="783">
        <f>IF('Incremental Repayments'!$R$22="Debt",IF(AND(BW$4&gt;=$D108,BW$4&lt;$D108+'Incremental Repayments'!$I$31),-PMT('Interest Rate'!$J$16,'Incremental Repayments'!$I$31,(HLOOKUP($D108,$E$4:$CZ$32,28,FALSE)*'Incremental Repayments'!$I$22)),0),0)</f>
        <v>0</v>
      </c>
      <c r="BX108" s="783">
        <f>IF('Incremental Repayments'!$R$22="Debt",IF(AND(BX$4&gt;=$D108,BX$4&lt;$D108+'Incremental Repayments'!$I$31),-PMT('Interest Rate'!$J$16,'Incremental Repayments'!$I$31,(HLOOKUP($D108,$E$4:$CZ$32,28,FALSE)*'Incremental Repayments'!$I$22)),0),0)</f>
        <v>0</v>
      </c>
      <c r="BY108" s="783">
        <f>IF('Incremental Repayments'!$R$22="Debt",IF(AND(BY$4&gt;=$D108,BY$4&lt;$D108+'Incremental Repayments'!$I$31),-PMT('Interest Rate'!$J$16,'Incremental Repayments'!$I$31,(HLOOKUP($D108,$E$4:$CZ$32,28,FALSE)*'Incremental Repayments'!$I$22)),0),0)</f>
        <v>0</v>
      </c>
      <c r="BZ108" s="783">
        <f>IF('Incremental Repayments'!$R$22="Debt",IF(AND(BZ$4&gt;=$D108,BZ$4&lt;$D108+'Incremental Repayments'!$I$31),-PMT('Interest Rate'!$J$16,'Incremental Repayments'!$I$31,(HLOOKUP($D108,$E$4:$CZ$32,28,FALSE)*'Incremental Repayments'!$I$22)),0),0)</f>
        <v>0</v>
      </c>
      <c r="CA108" s="783">
        <f>IF('Incremental Repayments'!$R$22="Debt",IF(AND(CA$4&gt;=$D108,CA$4&lt;$D108+'Incremental Repayments'!$I$31),-PMT('Interest Rate'!$J$16,'Incremental Repayments'!$I$31,(HLOOKUP($D108,$E$4:$CZ$32,28,FALSE)*'Incremental Repayments'!$I$22)),0),0)</f>
        <v>0</v>
      </c>
      <c r="CB108" s="783">
        <f>IF('Incremental Repayments'!$R$22="Debt",IF(AND(CB$4&gt;=$D108,CB$4&lt;$D108+'Incremental Repayments'!$I$31),-PMT('Interest Rate'!$J$16,'Incremental Repayments'!$I$31,(HLOOKUP($D108,$E$4:$CZ$32,28,FALSE)*'Incremental Repayments'!$I$22)),0),0)</f>
        <v>0</v>
      </c>
      <c r="CC108" s="783">
        <f>IF('Incremental Repayments'!$R$22="Debt",IF(AND(CC$4&gt;=$D108,CC$4&lt;$D108+'Incremental Repayments'!$I$31),-PMT('Interest Rate'!$J$16,'Incremental Repayments'!$I$31,(HLOOKUP($D108,$E$4:$CZ$32,28,FALSE)*'Incremental Repayments'!$I$22)),0),0)</f>
        <v>0</v>
      </c>
      <c r="CD108" s="783">
        <f>IF('Incremental Repayments'!$R$22="Debt",IF(AND(CD$4&gt;=$D108,CD$4&lt;$D108+'Incremental Repayments'!$I$31),-PMT('Interest Rate'!$J$16,'Incremental Repayments'!$I$31,(HLOOKUP($D108,$E$4:$CZ$32,28,FALSE)*'Incremental Repayments'!$I$22)),0),0)</f>
        <v>0</v>
      </c>
      <c r="CE108" s="783">
        <f>IF('Incremental Repayments'!$R$22="Debt",IF(AND(CE$4&gt;=$D108,CE$4&lt;$D108+'Incremental Repayments'!$I$31),-PMT('Interest Rate'!$J$16,'Incremental Repayments'!$I$31,(HLOOKUP($D108,$E$4:$CZ$32,28,FALSE)*'Incremental Repayments'!$I$22)),0),0)</f>
        <v>0</v>
      </c>
      <c r="CF108" s="783">
        <f>IF('Incremental Repayments'!$R$22="Debt",IF(AND(CF$4&gt;=$D108,CF$4&lt;$D108+'Incremental Repayments'!$I$31),-PMT('Interest Rate'!$J$16,'Incremental Repayments'!$I$31,(HLOOKUP($D108,$E$4:$CZ$32,28,FALSE)*'Incremental Repayments'!$I$22)),0),0)</f>
        <v>0</v>
      </c>
      <c r="CG108" s="783">
        <f>IF('Incremental Repayments'!$R$22="Debt",IF(AND(CG$4&gt;=$D108,CG$4&lt;$D108+'Incremental Repayments'!$I$31),-PMT('Interest Rate'!$J$16,'Incremental Repayments'!$I$31,(HLOOKUP($D108,$E$4:$CZ$32,28,FALSE)*'Incremental Repayments'!$I$22)),0),0)</f>
        <v>0</v>
      </c>
      <c r="CH108" s="783">
        <f>IF('Incremental Repayments'!$R$22="Debt",IF(AND(CH$4&gt;=$D108,CH$4&lt;$D108+'Incremental Repayments'!$I$31),-PMT('Interest Rate'!$J$16,'Incremental Repayments'!$I$31,(HLOOKUP($D108,$E$4:$CZ$32,28,FALSE)*'Incremental Repayments'!$I$22)),0),0)</f>
        <v>0</v>
      </c>
      <c r="CI108" s="783">
        <f>IF('Incremental Repayments'!$R$22="Debt",IF(AND(CI$4&gt;=$D108,CI$4&lt;$D108+'Incremental Repayments'!$I$31),-PMT('Interest Rate'!$J$16,'Incremental Repayments'!$I$31,(HLOOKUP($D108,$E$4:$CZ$32,28,FALSE)*'Incremental Repayments'!$I$22)),0),0)</f>
        <v>0</v>
      </c>
      <c r="CJ108" s="783">
        <f>IF('Incremental Repayments'!$R$22="Debt",IF(AND(CJ$4&gt;=$D108,CJ$4&lt;$D108+'Incremental Repayments'!$I$31),-PMT('Interest Rate'!$J$16,'Incremental Repayments'!$I$31,(HLOOKUP($D108,$E$4:$CZ$32,28,FALSE)*'Incremental Repayments'!$I$22)),0),0)</f>
        <v>0</v>
      </c>
      <c r="CK108" s="783">
        <f>IF('Incremental Repayments'!$R$22="Debt",IF(AND(CK$4&gt;=$D108,CK$4&lt;$D108+'Incremental Repayments'!$I$31),-PMT('Interest Rate'!$J$16,'Incremental Repayments'!$I$31,(HLOOKUP($D108,$E$4:$CZ$32,28,FALSE)*'Incremental Repayments'!$I$22)),0),0)</f>
        <v>0</v>
      </c>
      <c r="CL108" s="783">
        <f>IF('Incremental Repayments'!$R$22="Debt",IF(AND(CL$4&gt;=$D108,CL$4&lt;$D108+'Incremental Repayments'!$I$31),-PMT('Interest Rate'!$J$16,'Incremental Repayments'!$I$31,(HLOOKUP($D108,$E$4:$CZ$32,28,FALSE)*'Incremental Repayments'!$I$22)),0),0)</f>
        <v>0</v>
      </c>
      <c r="CM108" s="783">
        <f>IF('Incremental Repayments'!$R$22="Debt",IF(AND(CM$4&gt;=$D108,CM$4&lt;$D108+'Incremental Repayments'!$I$31),-PMT('Interest Rate'!$J$16,'Incremental Repayments'!$I$31,(HLOOKUP($D108,$E$4:$CZ$32,28,FALSE)*'Incremental Repayments'!$I$22)),0),0)</f>
        <v>0</v>
      </c>
      <c r="CN108" s="783">
        <f>IF('Incremental Repayments'!$R$22="Debt",IF(AND(CN$4&gt;=$D108,CN$4&lt;$D108+'Incremental Repayments'!$I$31),-PMT('Interest Rate'!$J$16,'Incremental Repayments'!$I$31,(HLOOKUP($D108,$E$4:$CZ$32,28,FALSE)*'Incremental Repayments'!$I$22)),0),0)</f>
        <v>0</v>
      </c>
      <c r="CO108" s="783">
        <f>IF('Incremental Repayments'!$R$22="Debt",IF(AND(CO$4&gt;=$D108,CO$4&lt;$D108+'Incremental Repayments'!$I$31),-PMT('Interest Rate'!$J$16,'Incremental Repayments'!$I$31,(HLOOKUP($D108,$E$4:$CZ$32,28,FALSE)*'Incremental Repayments'!$I$22)),0),0)</f>
        <v>0</v>
      </c>
      <c r="CP108" s="783">
        <f>IF('Incremental Repayments'!$R$22="Debt",IF(AND(CP$4&gt;=$D108,CP$4&lt;$D108+'Incremental Repayments'!$I$31),-PMT('Interest Rate'!$J$16,'Incremental Repayments'!$I$31,(HLOOKUP($D108,$E$4:$CZ$32,28,FALSE)*'Incremental Repayments'!$I$22)),0),0)</f>
        <v>0</v>
      </c>
      <c r="CQ108" s="783">
        <f>IF('Incremental Repayments'!$R$22="Debt",IF(AND(CQ$4&gt;=$D108,CQ$4&lt;$D108+'Incremental Repayments'!$I$31),-PMT('Interest Rate'!$J$16,'Incremental Repayments'!$I$31,(HLOOKUP($D108,$E$4:$CZ$32,28,FALSE)*'Incremental Repayments'!$I$22)),0),0)</f>
        <v>0</v>
      </c>
      <c r="CR108" s="783">
        <f>IF('Incremental Repayments'!$R$22="Debt",IF(AND(CR$4&gt;=$D108,CR$4&lt;$D108+'Incremental Repayments'!$I$31),-PMT('Interest Rate'!$J$16,'Incremental Repayments'!$I$31,(HLOOKUP($D108,$E$4:$CZ$32,28,FALSE)*'Incremental Repayments'!$I$22)),0),0)</f>
        <v>0</v>
      </c>
      <c r="CS108" s="783">
        <f>IF('Incremental Repayments'!$R$22="Debt",IF(AND(CS$4&gt;=$D108,CS$4&lt;$D108+'Incremental Repayments'!$I$31),-PMT('Interest Rate'!$J$16,'Incremental Repayments'!$I$31,(HLOOKUP($D108,$E$4:$CZ$32,28,FALSE)*'Incremental Repayments'!$I$22)),0),0)</f>
        <v>0</v>
      </c>
      <c r="CT108" s="783">
        <f>IF('Incremental Repayments'!$R$22="Debt",IF(AND(CT$4&gt;=$D108,CT$4&lt;$D108+'Incremental Repayments'!$I$31),-PMT('Interest Rate'!$J$16,'Incremental Repayments'!$I$31,(HLOOKUP($D108,$E$4:$CZ$32,28,FALSE)*'Incremental Repayments'!$I$22)),0),0)</f>
        <v>0</v>
      </c>
      <c r="CU108" s="783">
        <f>IF('Incremental Repayments'!$R$22="Debt",IF(AND(CU$4&gt;=$D108,CU$4&lt;$D108+'Incremental Repayments'!$I$31),-PMT('Interest Rate'!$J$16,'Incremental Repayments'!$I$31,(HLOOKUP($D108,$E$4:$CZ$32,28,FALSE)*'Incremental Repayments'!$I$22)),0),0)</f>
        <v>0</v>
      </c>
      <c r="CV108" s="783">
        <f>IF('Incremental Repayments'!$R$22="Debt",IF(AND(CV$4&gt;=$D108,CV$4&lt;$D108+'Incremental Repayments'!$I$31),-PMT('Interest Rate'!$J$16,'Incremental Repayments'!$I$31,(HLOOKUP($D108,$E$4:$CZ$32,28,FALSE)*'Incremental Repayments'!$I$22)),0),0)</f>
        <v>0</v>
      </c>
      <c r="CW108" s="783">
        <f>IF('Incremental Repayments'!$R$22="Debt",IF(AND(CW$4&gt;=$D108,CW$4&lt;$D108+'Incremental Repayments'!$I$31),-PMT('Interest Rate'!$J$16,'Incremental Repayments'!$I$31,(HLOOKUP($D108,$E$4:$CZ$32,28,FALSE)*'Incremental Repayments'!$I$22)),0),0)</f>
        <v>0</v>
      </c>
      <c r="CX108" s="783">
        <f>IF('Incremental Repayments'!$R$22="Debt",IF(AND(CX$4&gt;=$D108,CX$4&lt;$D108+'Incremental Repayments'!$I$31),-PMT('Interest Rate'!$J$16,'Incremental Repayments'!$I$31,(HLOOKUP($D108,$E$4:$CZ$32,28,FALSE)*'Incremental Repayments'!$I$22)),0),0)</f>
        <v>0</v>
      </c>
      <c r="CY108" s="783">
        <f>IF('Incremental Repayments'!$R$22="Debt",IF(AND(CY$4&gt;=$D108,CY$4&lt;$D108+'Incremental Repayments'!$I$31),-PMT('Interest Rate'!$J$16,'Incremental Repayments'!$I$31,(HLOOKUP($D108,$E$4:$CZ$32,28,FALSE)*'Incremental Repayments'!$I$22)),0),0)</f>
        <v>0</v>
      </c>
      <c r="CZ108" s="783">
        <f>IF('Incremental Repayments'!$R$22="Debt",IF(AND(CZ$4&gt;=$D108,CZ$4&lt;$D108+'Incremental Repayments'!$I$31),-PMT('Interest Rate'!$J$16,'Incremental Repayments'!$I$31,(HLOOKUP($D108,$E$4:$CZ$32,28,FALSE)*'Incremental Repayments'!$I$22)),0),0)</f>
        <v>0</v>
      </c>
    </row>
    <row r="109" spans="2:104" x14ac:dyDescent="0.25">
      <c r="B109" s="480" t="str">
        <f>CONCATENATE("Series ",D109,"A Bonds (at ",'Interest Rate'!$J$16*100,"% Interest)")</f>
        <v>Series 2087A Bonds (at 4.5% Interest)</v>
      </c>
      <c r="C109" s="480"/>
      <c r="D109" s="492">
        <f t="shared" si="47"/>
        <v>2087</v>
      </c>
      <c r="E109" s="783">
        <f>IF('Incremental Repayments'!$R$22="Debt",IF(AND(E$4&gt;=$D109,E$4&lt;$D109+'Incremental Repayments'!$I$31),-PMT('Interest Rate'!$J$16,'Incremental Repayments'!$I$31,(HLOOKUP($D109,$E$4:$CZ$32,28,FALSE)*'Incremental Repayments'!$I$22)),0),0)</f>
        <v>0</v>
      </c>
      <c r="F109" s="783">
        <f>IF('Incremental Repayments'!$R$22="Debt",IF(AND(F$4&gt;=$D109,F$4&lt;$D109+'Incremental Repayments'!$I$31),-PMT('Interest Rate'!$J$16,'Incremental Repayments'!$I$31,(HLOOKUP($D109,$E$4:$CZ$32,28,FALSE)*'Incremental Repayments'!$I$22)),0),0)</f>
        <v>0</v>
      </c>
      <c r="G109" s="783">
        <f>IF('Incremental Repayments'!$R$22="Debt",IF(AND(G$4&gt;=$D109,G$4&lt;$D109+'Incremental Repayments'!$I$31),-PMT('Interest Rate'!$J$16,'Incremental Repayments'!$I$31,(HLOOKUP($D109,$E$4:$CZ$32,28,FALSE)*'Incremental Repayments'!$I$22)),0),0)</f>
        <v>0</v>
      </c>
      <c r="H109" s="783">
        <f>IF('Incremental Repayments'!$R$22="Debt",IF(AND(H$4&gt;=$D109,H$4&lt;$D109+'Incremental Repayments'!$I$31),-PMT('Interest Rate'!$J$16,'Incremental Repayments'!$I$31,(HLOOKUP($D109,$E$4:$CZ$32,28,FALSE)*'Incremental Repayments'!$I$22)),0),0)</f>
        <v>0</v>
      </c>
      <c r="I109" s="783">
        <f>IF('Incremental Repayments'!$R$22="Debt",IF(AND(I$4&gt;=$D109,I$4&lt;$D109+'Incremental Repayments'!$I$31),-PMT('Interest Rate'!$J$16,'Incremental Repayments'!$I$31,(HLOOKUP($D109,$E$4:$CZ$32,28,FALSE)*'Incremental Repayments'!$I$22)),0),0)</f>
        <v>0</v>
      </c>
      <c r="J109" s="783">
        <f>IF('Incremental Repayments'!$R$22="Debt",IF(AND(J$4&gt;=$D109,J$4&lt;$D109+'Incremental Repayments'!$I$31),-PMT('Interest Rate'!$J$16,'Incremental Repayments'!$I$31,(HLOOKUP($D109,$E$4:$CZ$32,28,FALSE)*'Incremental Repayments'!$I$22)),0),0)</f>
        <v>0</v>
      </c>
      <c r="K109" s="783">
        <f>IF('Incremental Repayments'!$R$22="Debt",IF(AND(K$4&gt;=$D109,K$4&lt;$D109+'Incremental Repayments'!$I$31),-PMT('Interest Rate'!$J$16,'Incremental Repayments'!$I$31,(HLOOKUP($D109,$E$4:$CZ$32,28,FALSE)*'Incremental Repayments'!$I$22)),0),0)</f>
        <v>0</v>
      </c>
      <c r="L109" s="783">
        <f>IF('Incremental Repayments'!$R$22="Debt",IF(AND(L$4&gt;=$D109,L$4&lt;$D109+'Incremental Repayments'!$I$31),-PMT('Interest Rate'!$J$16,'Incremental Repayments'!$I$31,(HLOOKUP($D109,$E$4:$CZ$32,28,FALSE)*'Incremental Repayments'!$I$22)),0),0)</f>
        <v>0</v>
      </c>
      <c r="M109" s="783">
        <f>IF('Incremental Repayments'!$R$22="Debt",IF(AND(M$4&gt;=$D109,M$4&lt;$D109+'Incremental Repayments'!$I$31),-PMT('Interest Rate'!$J$16,'Incremental Repayments'!$I$31,(HLOOKUP($D109,$E$4:$CZ$32,28,FALSE)*'Incremental Repayments'!$I$22)),0),0)</f>
        <v>0</v>
      </c>
      <c r="N109" s="783">
        <f>IF('Incremental Repayments'!$R$22="Debt",IF(AND(N$4&gt;=$D109,N$4&lt;$D109+'Incremental Repayments'!$I$31),-PMT('Interest Rate'!$J$16,'Incremental Repayments'!$I$31,(HLOOKUP($D109,$E$4:$CZ$32,28,FALSE)*'Incremental Repayments'!$I$22)),0),0)</f>
        <v>0</v>
      </c>
      <c r="O109" s="783">
        <f>IF('Incremental Repayments'!$R$22="Debt",IF(AND(O$4&gt;=$D109,O$4&lt;$D109+'Incremental Repayments'!$I$31),-PMT('Interest Rate'!$J$16,'Incremental Repayments'!$I$31,(HLOOKUP($D109,$E$4:$CZ$32,28,FALSE)*'Incremental Repayments'!$I$22)),0),0)</f>
        <v>0</v>
      </c>
      <c r="P109" s="783">
        <f>IF('Incremental Repayments'!$R$22="Debt",IF(AND(P$4&gt;=$D109,P$4&lt;$D109+'Incremental Repayments'!$I$31),-PMT('Interest Rate'!$J$16,'Incremental Repayments'!$I$31,(HLOOKUP($D109,$E$4:$CZ$32,28,FALSE)*'Incremental Repayments'!$I$22)),0),0)</f>
        <v>0</v>
      </c>
      <c r="Q109" s="783">
        <f>IF('Incremental Repayments'!$R$22="Debt",IF(AND(Q$4&gt;=$D109,Q$4&lt;$D109+'Incremental Repayments'!$I$31),-PMT('Interest Rate'!$J$16,'Incremental Repayments'!$I$31,(HLOOKUP($D109,$E$4:$CZ$32,28,FALSE)*'Incremental Repayments'!$I$22)),0),0)</f>
        <v>0</v>
      </c>
      <c r="R109" s="783">
        <f>IF('Incremental Repayments'!$R$22="Debt",IF(AND(R$4&gt;=$D109,R$4&lt;$D109+'Incremental Repayments'!$I$31),-PMT('Interest Rate'!$J$16,'Incremental Repayments'!$I$31,(HLOOKUP($D109,$E$4:$CZ$32,28,FALSE)*'Incremental Repayments'!$I$22)),0),0)</f>
        <v>0</v>
      </c>
      <c r="S109" s="783">
        <f>IF('Incremental Repayments'!$R$22="Debt",IF(AND(S$4&gt;=$D109,S$4&lt;$D109+'Incremental Repayments'!$I$31),-PMT('Interest Rate'!$J$16,'Incremental Repayments'!$I$31,(HLOOKUP($D109,$E$4:$CZ$32,28,FALSE)*'Incremental Repayments'!$I$22)),0),0)</f>
        <v>0</v>
      </c>
      <c r="T109" s="783">
        <f>IF('Incremental Repayments'!$R$22="Debt",IF(AND(T$4&gt;=$D109,T$4&lt;$D109+'Incremental Repayments'!$I$31),-PMT('Interest Rate'!$J$16,'Incremental Repayments'!$I$31,(HLOOKUP($D109,$E$4:$CZ$32,28,FALSE)*'Incremental Repayments'!$I$22)),0),0)</f>
        <v>0</v>
      </c>
      <c r="U109" s="783">
        <f>IF('Incremental Repayments'!$R$22="Debt",IF(AND(U$4&gt;=$D109,U$4&lt;$D109+'Incremental Repayments'!$I$31),-PMT('Interest Rate'!$J$16,'Incremental Repayments'!$I$31,(HLOOKUP($D109,$E$4:$CZ$32,28,FALSE)*'Incremental Repayments'!$I$22)),0),0)</f>
        <v>0</v>
      </c>
      <c r="V109" s="783">
        <f>IF('Incremental Repayments'!$R$22="Debt",IF(AND(V$4&gt;=$D109,V$4&lt;$D109+'Incremental Repayments'!$I$31),-PMT('Interest Rate'!$J$16,'Incremental Repayments'!$I$31,(HLOOKUP($D109,$E$4:$CZ$32,28,FALSE)*'Incremental Repayments'!$I$22)),0),0)</f>
        <v>0</v>
      </c>
      <c r="W109" s="783">
        <f>IF('Incremental Repayments'!$R$22="Debt",IF(AND(W$4&gt;=$D109,W$4&lt;$D109+'Incremental Repayments'!$I$31),-PMT('Interest Rate'!$J$16,'Incremental Repayments'!$I$31,(HLOOKUP($D109,$E$4:$CZ$32,28,FALSE)*'Incremental Repayments'!$I$22)),0),0)</f>
        <v>0</v>
      </c>
      <c r="X109" s="783">
        <f>IF('Incremental Repayments'!$R$22="Debt",IF(AND(X$4&gt;=$D109,X$4&lt;$D109+'Incremental Repayments'!$I$31),-PMT('Interest Rate'!$J$16,'Incremental Repayments'!$I$31,(HLOOKUP($D109,$E$4:$CZ$32,28,FALSE)*'Incremental Repayments'!$I$22)),0),0)</f>
        <v>0</v>
      </c>
      <c r="Y109" s="783">
        <f>IF('Incremental Repayments'!$R$22="Debt",IF(AND(Y$4&gt;=$D109,Y$4&lt;$D109+'Incremental Repayments'!$I$31),-PMT('Interest Rate'!$J$16,'Incremental Repayments'!$I$31,(HLOOKUP($D109,$E$4:$CZ$32,28,FALSE)*'Incremental Repayments'!$I$22)),0),0)</f>
        <v>0</v>
      </c>
      <c r="Z109" s="783">
        <f>IF('Incremental Repayments'!$R$22="Debt",IF(AND(Z$4&gt;=$D109,Z$4&lt;$D109+'Incremental Repayments'!$I$31),-PMT('Interest Rate'!$J$16,'Incremental Repayments'!$I$31,(HLOOKUP($D109,$E$4:$CZ$32,28,FALSE)*'Incremental Repayments'!$I$22)),0),0)</f>
        <v>0</v>
      </c>
      <c r="AA109" s="783">
        <f>IF('Incremental Repayments'!$R$22="Debt",IF(AND(AA$4&gt;=$D109,AA$4&lt;$D109+'Incremental Repayments'!$I$31),-PMT('Interest Rate'!$J$16,'Incremental Repayments'!$I$31,(HLOOKUP($D109,$E$4:$CZ$32,28,FALSE)*'Incremental Repayments'!$I$22)),0),0)</f>
        <v>0</v>
      </c>
      <c r="AB109" s="783">
        <f>IF('Incremental Repayments'!$R$22="Debt",IF(AND(AB$4&gt;=$D109,AB$4&lt;$D109+'Incremental Repayments'!$I$31),-PMT('Interest Rate'!$J$16,'Incremental Repayments'!$I$31,(HLOOKUP($D109,$E$4:$CZ$32,28,FALSE)*'Incremental Repayments'!$I$22)),0),0)</f>
        <v>0</v>
      </c>
      <c r="AC109" s="783">
        <f>IF('Incremental Repayments'!$R$22="Debt",IF(AND(AC$4&gt;=$D109,AC$4&lt;$D109+'Incremental Repayments'!$I$31),-PMT('Interest Rate'!$J$16,'Incremental Repayments'!$I$31,(HLOOKUP($D109,$E$4:$CZ$32,28,FALSE)*'Incremental Repayments'!$I$22)),0),0)</f>
        <v>0</v>
      </c>
      <c r="AD109" s="783">
        <f>IF('Incremental Repayments'!$R$22="Debt",IF(AND(AD$4&gt;=$D109,AD$4&lt;$D109+'Incremental Repayments'!$I$31),-PMT('Interest Rate'!$J$16,'Incremental Repayments'!$I$31,(HLOOKUP($D109,$E$4:$CZ$32,28,FALSE)*'Incremental Repayments'!$I$22)),0),0)</f>
        <v>0</v>
      </c>
      <c r="AE109" s="783">
        <f>IF('Incremental Repayments'!$R$22="Debt",IF(AND(AE$4&gt;=$D109,AE$4&lt;$D109+'Incremental Repayments'!$I$31),-PMT('Interest Rate'!$J$16,'Incremental Repayments'!$I$31,(HLOOKUP($D109,$E$4:$CZ$32,28,FALSE)*'Incremental Repayments'!$I$22)),0),0)</f>
        <v>0</v>
      </c>
      <c r="AF109" s="783">
        <f>IF('Incremental Repayments'!$R$22="Debt",IF(AND(AF$4&gt;=$D109,AF$4&lt;$D109+'Incremental Repayments'!$I$31),-PMT('Interest Rate'!$J$16,'Incremental Repayments'!$I$31,(HLOOKUP($D109,$E$4:$CZ$32,28,FALSE)*'Incremental Repayments'!$I$22)),0),0)</f>
        <v>0</v>
      </c>
      <c r="AG109" s="783">
        <f>IF('Incremental Repayments'!$R$22="Debt",IF(AND(AG$4&gt;=$D109,AG$4&lt;$D109+'Incremental Repayments'!$I$31),-PMT('Interest Rate'!$J$16,'Incremental Repayments'!$I$31,(HLOOKUP($D109,$E$4:$CZ$32,28,FALSE)*'Incremental Repayments'!$I$22)),0),0)</f>
        <v>0</v>
      </c>
      <c r="AH109" s="783">
        <f>IF('Incremental Repayments'!$R$22="Debt",IF(AND(AH$4&gt;=$D109,AH$4&lt;$D109+'Incremental Repayments'!$I$31),-PMT('Interest Rate'!$J$16,'Incremental Repayments'!$I$31,(HLOOKUP($D109,$E$4:$CZ$32,28,FALSE)*'Incremental Repayments'!$I$22)),0),0)</f>
        <v>0</v>
      </c>
      <c r="AI109" s="783">
        <f>IF('Incremental Repayments'!$R$22="Debt",IF(AND(AI$4&gt;=$D109,AI$4&lt;$D109+'Incremental Repayments'!$I$31),-PMT('Interest Rate'!$J$16,'Incremental Repayments'!$I$31,(HLOOKUP($D109,$E$4:$CZ$32,28,FALSE)*'Incremental Repayments'!$I$22)),0),0)</f>
        <v>0</v>
      </c>
      <c r="AJ109" s="783">
        <f>IF('Incremental Repayments'!$R$22="Debt",IF(AND(AJ$4&gt;=$D109,AJ$4&lt;$D109+'Incremental Repayments'!$I$31),-PMT('Interest Rate'!$J$16,'Incremental Repayments'!$I$31,(HLOOKUP($D109,$E$4:$CZ$32,28,FALSE)*'Incremental Repayments'!$I$22)),0),0)</f>
        <v>0</v>
      </c>
      <c r="AK109" s="783">
        <f>IF('Incremental Repayments'!$R$22="Debt",IF(AND(AK$4&gt;=$D109,AK$4&lt;$D109+'Incremental Repayments'!$I$31),-PMT('Interest Rate'!$J$16,'Incremental Repayments'!$I$31,(HLOOKUP($D109,$E$4:$CZ$32,28,FALSE)*'Incremental Repayments'!$I$22)),0),0)</f>
        <v>0</v>
      </c>
      <c r="AL109" s="783">
        <f>IF('Incremental Repayments'!$R$22="Debt",IF(AND(AL$4&gt;=$D109,AL$4&lt;$D109+'Incremental Repayments'!$I$31),-PMT('Interest Rate'!$J$16,'Incremental Repayments'!$I$31,(HLOOKUP($D109,$E$4:$CZ$32,28,FALSE)*'Incremental Repayments'!$I$22)),0),0)</f>
        <v>0</v>
      </c>
      <c r="AM109" s="783">
        <f>IF('Incremental Repayments'!$R$22="Debt",IF(AND(AM$4&gt;=$D109,AM$4&lt;$D109+'Incremental Repayments'!$I$31),-PMT('Interest Rate'!$J$16,'Incremental Repayments'!$I$31,(HLOOKUP($D109,$E$4:$CZ$32,28,FALSE)*'Incremental Repayments'!$I$22)),0),0)</f>
        <v>0</v>
      </c>
      <c r="AN109" s="783">
        <f>IF('Incremental Repayments'!$R$22="Debt",IF(AND(AN$4&gt;=$D109,AN$4&lt;$D109+'Incremental Repayments'!$I$31),-PMT('Interest Rate'!$J$16,'Incremental Repayments'!$I$31,(HLOOKUP($D109,$E$4:$CZ$32,28,FALSE)*'Incremental Repayments'!$I$22)),0),0)</f>
        <v>0</v>
      </c>
      <c r="AO109" s="783">
        <f>IF('Incremental Repayments'!$R$22="Debt",IF(AND(AO$4&gt;=$D109,AO$4&lt;$D109+'Incremental Repayments'!$I$31),-PMT('Interest Rate'!$J$16,'Incremental Repayments'!$I$31,(HLOOKUP($D109,$E$4:$CZ$32,28,FALSE)*'Incremental Repayments'!$I$22)),0),0)</f>
        <v>0</v>
      </c>
      <c r="AP109" s="783">
        <f>IF('Incremental Repayments'!$R$22="Debt",IF(AND(AP$4&gt;=$D109,AP$4&lt;$D109+'Incremental Repayments'!$I$31),-PMT('Interest Rate'!$J$16,'Incremental Repayments'!$I$31,(HLOOKUP($D109,$E$4:$CZ$32,28,FALSE)*'Incremental Repayments'!$I$22)),0),0)</f>
        <v>0</v>
      </c>
      <c r="AQ109" s="783">
        <f>IF('Incremental Repayments'!$R$22="Debt",IF(AND(AQ$4&gt;=$D109,AQ$4&lt;$D109+'Incremental Repayments'!$I$31),-PMT('Interest Rate'!$J$16,'Incremental Repayments'!$I$31,(HLOOKUP($D109,$E$4:$CZ$32,28,FALSE)*'Incremental Repayments'!$I$22)),0),0)</f>
        <v>0</v>
      </c>
      <c r="AR109" s="783">
        <f>IF('Incremental Repayments'!$R$22="Debt",IF(AND(AR$4&gt;=$D109,AR$4&lt;$D109+'Incremental Repayments'!$I$31),-PMT('Interest Rate'!$J$16,'Incremental Repayments'!$I$31,(HLOOKUP($D109,$E$4:$CZ$32,28,FALSE)*'Incremental Repayments'!$I$22)),0),0)</f>
        <v>0</v>
      </c>
      <c r="AS109" s="783">
        <f>IF('Incremental Repayments'!$R$22="Debt",IF(AND(AS$4&gt;=$D109,AS$4&lt;$D109+'Incremental Repayments'!$I$31),-PMT('Interest Rate'!$J$16,'Incremental Repayments'!$I$31,(HLOOKUP($D109,$E$4:$CZ$32,28,FALSE)*'Incremental Repayments'!$I$22)),0),0)</f>
        <v>0</v>
      </c>
      <c r="AT109" s="783">
        <f>IF('Incremental Repayments'!$R$22="Debt",IF(AND(AT$4&gt;=$D109,AT$4&lt;$D109+'Incremental Repayments'!$I$31),-PMT('Interest Rate'!$J$16,'Incremental Repayments'!$I$31,(HLOOKUP($D109,$E$4:$CZ$32,28,FALSE)*'Incremental Repayments'!$I$22)),0),0)</f>
        <v>0</v>
      </c>
      <c r="AU109" s="783">
        <f>IF('Incremental Repayments'!$R$22="Debt",IF(AND(AU$4&gt;=$D109,AU$4&lt;$D109+'Incremental Repayments'!$I$31),-PMT('Interest Rate'!$J$16,'Incremental Repayments'!$I$31,(HLOOKUP($D109,$E$4:$CZ$32,28,FALSE)*'Incremental Repayments'!$I$22)),0),0)</f>
        <v>0</v>
      </c>
      <c r="AV109" s="783">
        <f>IF('Incremental Repayments'!$R$22="Debt",IF(AND(AV$4&gt;=$D109,AV$4&lt;$D109+'Incremental Repayments'!$I$31),-PMT('Interest Rate'!$J$16,'Incremental Repayments'!$I$31,(HLOOKUP($D109,$E$4:$CZ$32,28,FALSE)*'Incremental Repayments'!$I$22)),0),0)</f>
        <v>0</v>
      </c>
      <c r="AW109" s="783">
        <f>IF('Incremental Repayments'!$R$22="Debt",IF(AND(AW$4&gt;=$D109,AW$4&lt;$D109+'Incremental Repayments'!$I$31),-PMT('Interest Rate'!$J$16,'Incremental Repayments'!$I$31,(HLOOKUP($D109,$E$4:$CZ$32,28,FALSE)*'Incremental Repayments'!$I$22)),0),0)</f>
        <v>0</v>
      </c>
      <c r="AX109" s="783">
        <f>IF('Incremental Repayments'!$R$22="Debt",IF(AND(AX$4&gt;=$D109,AX$4&lt;$D109+'Incremental Repayments'!$I$31),-PMT('Interest Rate'!$J$16,'Incremental Repayments'!$I$31,(HLOOKUP($D109,$E$4:$CZ$32,28,FALSE)*'Incremental Repayments'!$I$22)),0),0)</f>
        <v>0</v>
      </c>
      <c r="AY109" s="783">
        <f>IF('Incremental Repayments'!$R$22="Debt",IF(AND(AY$4&gt;=$D109,AY$4&lt;$D109+'Incremental Repayments'!$I$31),-PMT('Interest Rate'!$J$16,'Incremental Repayments'!$I$31,(HLOOKUP($D109,$E$4:$CZ$32,28,FALSE)*'Incremental Repayments'!$I$22)),0),0)</f>
        <v>0</v>
      </c>
      <c r="AZ109" s="783">
        <f>IF('Incremental Repayments'!$R$22="Debt",IF(AND(AZ$4&gt;=$D109,AZ$4&lt;$D109+'Incremental Repayments'!$I$31),-PMT('Interest Rate'!$J$16,'Incremental Repayments'!$I$31,(HLOOKUP($D109,$E$4:$CZ$32,28,FALSE)*'Incremental Repayments'!$I$22)),0),0)</f>
        <v>0</v>
      </c>
      <c r="BA109" s="783">
        <f>IF('Incremental Repayments'!$R$22="Debt",IF(AND(BA$4&gt;=$D109,BA$4&lt;$D109+'Incremental Repayments'!$I$31),-PMT('Interest Rate'!$J$16,'Incremental Repayments'!$I$31,(HLOOKUP($D109,$E$4:$CZ$32,28,FALSE)*'Incremental Repayments'!$I$22)),0),0)</f>
        <v>0</v>
      </c>
      <c r="BB109" s="783">
        <f>IF('Incremental Repayments'!$R$22="Debt",IF(AND(BB$4&gt;=$D109,BB$4&lt;$D109+'Incremental Repayments'!$I$31),-PMT('Interest Rate'!$J$16,'Incremental Repayments'!$I$31,(HLOOKUP($D109,$E$4:$CZ$32,28,FALSE)*'Incremental Repayments'!$I$22)),0),0)</f>
        <v>0</v>
      </c>
      <c r="BC109" s="783">
        <f>IF('Incremental Repayments'!$R$22="Debt",IF(AND(BC$4&gt;=$D109,BC$4&lt;$D109+'Incremental Repayments'!$I$31),-PMT('Interest Rate'!$J$16,'Incremental Repayments'!$I$31,(HLOOKUP($D109,$E$4:$CZ$32,28,FALSE)*'Incremental Repayments'!$I$22)),0),0)</f>
        <v>0</v>
      </c>
      <c r="BD109" s="783">
        <f>IF('Incremental Repayments'!$R$22="Debt",IF(AND(BD$4&gt;=$D109,BD$4&lt;$D109+'Incremental Repayments'!$I$31),-PMT('Interest Rate'!$J$16,'Incremental Repayments'!$I$31,(HLOOKUP($D109,$E$4:$CZ$32,28,FALSE)*'Incremental Repayments'!$I$22)),0),0)</f>
        <v>0</v>
      </c>
      <c r="BE109" s="783">
        <f>IF('Incremental Repayments'!$R$22="Debt",IF(AND(BE$4&gt;=$D109,BE$4&lt;$D109+'Incremental Repayments'!$I$31),-PMT('Interest Rate'!$J$16,'Incremental Repayments'!$I$31,(HLOOKUP($D109,$E$4:$CZ$32,28,FALSE)*'Incremental Repayments'!$I$22)),0),0)</f>
        <v>0</v>
      </c>
      <c r="BF109" s="783">
        <f>IF('Incremental Repayments'!$R$22="Debt",IF(AND(BF$4&gt;=$D109,BF$4&lt;$D109+'Incremental Repayments'!$I$31),-PMT('Interest Rate'!$J$16,'Incremental Repayments'!$I$31,(HLOOKUP($D109,$E$4:$CZ$32,28,FALSE)*'Incremental Repayments'!$I$22)),0),0)</f>
        <v>0</v>
      </c>
      <c r="BG109" s="783">
        <f>IF('Incremental Repayments'!$R$22="Debt",IF(AND(BG$4&gt;=$D109,BG$4&lt;$D109+'Incremental Repayments'!$I$31),-PMT('Interest Rate'!$J$16,'Incremental Repayments'!$I$31,(HLOOKUP($D109,$E$4:$CZ$32,28,FALSE)*'Incremental Repayments'!$I$22)),0),0)</f>
        <v>0</v>
      </c>
      <c r="BH109" s="783">
        <f>IF('Incremental Repayments'!$R$22="Debt",IF(AND(BH$4&gt;=$D109,BH$4&lt;$D109+'Incremental Repayments'!$I$31),-PMT('Interest Rate'!$J$16,'Incremental Repayments'!$I$31,(HLOOKUP($D109,$E$4:$CZ$32,28,FALSE)*'Incremental Repayments'!$I$22)),0),0)</f>
        <v>0</v>
      </c>
      <c r="BI109" s="783">
        <f>IF('Incremental Repayments'!$R$22="Debt",IF(AND(BI$4&gt;=$D109,BI$4&lt;$D109+'Incremental Repayments'!$I$31),-PMT('Interest Rate'!$J$16,'Incremental Repayments'!$I$31,(HLOOKUP($D109,$E$4:$CZ$32,28,FALSE)*'Incremental Repayments'!$I$22)),0),0)</f>
        <v>0</v>
      </c>
      <c r="BJ109" s="783">
        <f>IF('Incremental Repayments'!$R$22="Debt",IF(AND(BJ$4&gt;=$D109,BJ$4&lt;$D109+'Incremental Repayments'!$I$31),-PMT('Interest Rate'!$J$16,'Incremental Repayments'!$I$31,(HLOOKUP($D109,$E$4:$CZ$32,28,FALSE)*'Incremental Repayments'!$I$22)),0),0)</f>
        <v>0</v>
      </c>
      <c r="BK109" s="783">
        <f>IF('Incremental Repayments'!$R$22="Debt",IF(AND(BK$4&gt;=$D109,BK$4&lt;$D109+'Incremental Repayments'!$I$31),-PMT('Interest Rate'!$J$16,'Incremental Repayments'!$I$31,(HLOOKUP($D109,$E$4:$CZ$32,28,FALSE)*'Incremental Repayments'!$I$22)),0),0)</f>
        <v>0</v>
      </c>
      <c r="BL109" s="783">
        <f>IF('Incremental Repayments'!$R$22="Debt",IF(AND(BL$4&gt;=$D109,BL$4&lt;$D109+'Incremental Repayments'!$I$31),-PMT('Interest Rate'!$J$16,'Incremental Repayments'!$I$31,(HLOOKUP($D109,$E$4:$CZ$32,28,FALSE)*'Incremental Repayments'!$I$22)),0),0)</f>
        <v>0</v>
      </c>
      <c r="BM109" s="783">
        <f>IF('Incremental Repayments'!$R$22="Debt",IF(AND(BM$4&gt;=$D109,BM$4&lt;$D109+'Incremental Repayments'!$I$31),-PMT('Interest Rate'!$J$16,'Incremental Repayments'!$I$31,(HLOOKUP($D109,$E$4:$CZ$32,28,FALSE)*'Incremental Repayments'!$I$22)),0),0)</f>
        <v>0</v>
      </c>
      <c r="BN109" s="783">
        <f>IF('Incremental Repayments'!$R$22="Debt",IF(AND(BN$4&gt;=$D109,BN$4&lt;$D109+'Incremental Repayments'!$I$31),-PMT('Interest Rate'!$J$16,'Incremental Repayments'!$I$31,(HLOOKUP($D109,$E$4:$CZ$32,28,FALSE)*'Incremental Repayments'!$I$22)),0),0)</f>
        <v>0</v>
      </c>
      <c r="BO109" s="783">
        <f>IF('Incremental Repayments'!$R$22="Debt",IF(AND(BO$4&gt;=$D109,BO$4&lt;$D109+'Incremental Repayments'!$I$31),-PMT('Interest Rate'!$J$16,'Incremental Repayments'!$I$31,(HLOOKUP($D109,$E$4:$CZ$32,28,FALSE)*'Incremental Repayments'!$I$22)),0),0)</f>
        <v>0</v>
      </c>
      <c r="BP109" s="783">
        <f>IF('Incremental Repayments'!$R$22="Debt",IF(AND(BP$4&gt;=$D109,BP$4&lt;$D109+'Incremental Repayments'!$I$31),-PMT('Interest Rate'!$J$16,'Incremental Repayments'!$I$31,(HLOOKUP($D109,$E$4:$CZ$32,28,FALSE)*'Incremental Repayments'!$I$22)),0),0)</f>
        <v>0</v>
      </c>
      <c r="BQ109" s="783">
        <f>IF('Incremental Repayments'!$R$22="Debt",IF(AND(BQ$4&gt;=$D109,BQ$4&lt;$D109+'Incremental Repayments'!$I$31),-PMT('Interest Rate'!$J$16,'Incremental Repayments'!$I$31,(HLOOKUP($D109,$E$4:$CZ$32,28,FALSE)*'Incremental Repayments'!$I$22)),0),0)</f>
        <v>0</v>
      </c>
      <c r="BR109" s="783">
        <f>IF('Incremental Repayments'!$R$22="Debt",IF(AND(BR$4&gt;=$D109,BR$4&lt;$D109+'Incremental Repayments'!$I$31),-PMT('Interest Rate'!$J$16,'Incremental Repayments'!$I$31,(HLOOKUP($D109,$E$4:$CZ$32,28,FALSE)*'Incremental Repayments'!$I$22)),0),0)</f>
        <v>0</v>
      </c>
      <c r="BS109" s="783">
        <f>IF('Incremental Repayments'!$R$22="Debt",IF(AND(BS$4&gt;=$D109,BS$4&lt;$D109+'Incremental Repayments'!$I$31),-PMT('Interest Rate'!$J$16,'Incremental Repayments'!$I$31,(HLOOKUP($D109,$E$4:$CZ$32,28,FALSE)*'Incremental Repayments'!$I$22)),0),0)</f>
        <v>0</v>
      </c>
      <c r="BT109" s="783">
        <f>IF('Incremental Repayments'!$R$22="Debt",IF(AND(BT$4&gt;=$D109,BT$4&lt;$D109+'Incremental Repayments'!$I$31),-PMT('Interest Rate'!$J$16,'Incremental Repayments'!$I$31,(HLOOKUP($D109,$E$4:$CZ$32,28,FALSE)*'Incremental Repayments'!$I$22)),0),0)</f>
        <v>0</v>
      </c>
      <c r="BU109" s="783">
        <f>IF('Incremental Repayments'!$R$22="Debt",IF(AND(BU$4&gt;=$D109,BU$4&lt;$D109+'Incremental Repayments'!$I$31),-PMT('Interest Rate'!$J$16,'Incremental Repayments'!$I$31,(HLOOKUP($D109,$E$4:$CZ$32,28,FALSE)*'Incremental Repayments'!$I$22)),0),0)</f>
        <v>0</v>
      </c>
      <c r="BV109" s="783">
        <f>IF('Incremental Repayments'!$R$22="Debt",IF(AND(BV$4&gt;=$D109,BV$4&lt;$D109+'Incremental Repayments'!$I$31),-PMT('Interest Rate'!$J$16,'Incremental Repayments'!$I$31,(HLOOKUP($D109,$E$4:$CZ$32,28,FALSE)*'Incremental Repayments'!$I$22)),0),0)</f>
        <v>0</v>
      </c>
      <c r="BW109" s="783">
        <f>IF('Incremental Repayments'!$R$22="Debt",IF(AND(BW$4&gt;=$D109,BW$4&lt;$D109+'Incremental Repayments'!$I$31),-PMT('Interest Rate'!$J$16,'Incremental Repayments'!$I$31,(HLOOKUP($D109,$E$4:$CZ$32,28,FALSE)*'Incremental Repayments'!$I$22)),0),0)</f>
        <v>0</v>
      </c>
      <c r="BX109" s="783">
        <f>IF('Incremental Repayments'!$R$22="Debt",IF(AND(BX$4&gt;=$D109,BX$4&lt;$D109+'Incremental Repayments'!$I$31),-PMT('Interest Rate'!$J$16,'Incremental Repayments'!$I$31,(HLOOKUP($D109,$E$4:$CZ$32,28,FALSE)*'Incremental Repayments'!$I$22)),0),0)</f>
        <v>0</v>
      </c>
      <c r="BY109" s="783">
        <f>IF('Incremental Repayments'!$R$22="Debt",IF(AND(BY$4&gt;=$D109,BY$4&lt;$D109+'Incremental Repayments'!$I$31),-PMT('Interest Rate'!$J$16,'Incremental Repayments'!$I$31,(HLOOKUP($D109,$E$4:$CZ$32,28,FALSE)*'Incremental Repayments'!$I$22)),0),0)</f>
        <v>0</v>
      </c>
      <c r="BZ109" s="783">
        <f>IF('Incremental Repayments'!$R$22="Debt",IF(AND(BZ$4&gt;=$D109,BZ$4&lt;$D109+'Incremental Repayments'!$I$31),-PMT('Interest Rate'!$J$16,'Incremental Repayments'!$I$31,(HLOOKUP($D109,$E$4:$CZ$32,28,FALSE)*'Incremental Repayments'!$I$22)),0),0)</f>
        <v>0</v>
      </c>
      <c r="CA109" s="783">
        <f>IF('Incremental Repayments'!$R$22="Debt",IF(AND(CA$4&gt;=$D109,CA$4&lt;$D109+'Incremental Repayments'!$I$31),-PMT('Interest Rate'!$J$16,'Incremental Repayments'!$I$31,(HLOOKUP($D109,$E$4:$CZ$32,28,FALSE)*'Incremental Repayments'!$I$22)),0),0)</f>
        <v>0</v>
      </c>
      <c r="CB109" s="783">
        <f>IF('Incremental Repayments'!$R$22="Debt",IF(AND(CB$4&gt;=$D109,CB$4&lt;$D109+'Incremental Repayments'!$I$31),-PMT('Interest Rate'!$J$16,'Incremental Repayments'!$I$31,(HLOOKUP($D109,$E$4:$CZ$32,28,FALSE)*'Incremental Repayments'!$I$22)),0),0)</f>
        <v>0</v>
      </c>
      <c r="CC109" s="783">
        <f>IF('Incremental Repayments'!$R$22="Debt",IF(AND(CC$4&gt;=$D109,CC$4&lt;$D109+'Incremental Repayments'!$I$31),-PMT('Interest Rate'!$J$16,'Incremental Repayments'!$I$31,(HLOOKUP($D109,$E$4:$CZ$32,28,FALSE)*'Incremental Repayments'!$I$22)),0),0)</f>
        <v>0</v>
      </c>
      <c r="CD109" s="783">
        <f>IF('Incremental Repayments'!$R$22="Debt",IF(AND(CD$4&gt;=$D109,CD$4&lt;$D109+'Incremental Repayments'!$I$31),-PMT('Interest Rate'!$J$16,'Incremental Repayments'!$I$31,(HLOOKUP($D109,$E$4:$CZ$32,28,FALSE)*'Incremental Repayments'!$I$22)),0),0)</f>
        <v>0</v>
      </c>
      <c r="CE109" s="783">
        <f>IF('Incremental Repayments'!$R$22="Debt",IF(AND(CE$4&gt;=$D109,CE$4&lt;$D109+'Incremental Repayments'!$I$31),-PMT('Interest Rate'!$J$16,'Incremental Repayments'!$I$31,(HLOOKUP($D109,$E$4:$CZ$32,28,FALSE)*'Incremental Repayments'!$I$22)),0),0)</f>
        <v>0</v>
      </c>
      <c r="CF109" s="783">
        <f>IF('Incremental Repayments'!$R$22="Debt",IF(AND(CF$4&gt;=$D109,CF$4&lt;$D109+'Incremental Repayments'!$I$31),-PMT('Interest Rate'!$J$16,'Incremental Repayments'!$I$31,(HLOOKUP($D109,$E$4:$CZ$32,28,FALSE)*'Incremental Repayments'!$I$22)),0),0)</f>
        <v>0</v>
      </c>
      <c r="CG109" s="783">
        <f>IF('Incremental Repayments'!$R$22="Debt",IF(AND(CG$4&gt;=$D109,CG$4&lt;$D109+'Incremental Repayments'!$I$31),-PMT('Interest Rate'!$J$16,'Incremental Repayments'!$I$31,(HLOOKUP($D109,$E$4:$CZ$32,28,FALSE)*'Incremental Repayments'!$I$22)),0),0)</f>
        <v>0</v>
      </c>
      <c r="CH109" s="783">
        <f>IF('Incremental Repayments'!$R$22="Debt",IF(AND(CH$4&gt;=$D109,CH$4&lt;$D109+'Incremental Repayments'!$I$31),-PMT('Interest Rate'!$J$16,'Incremental Repayments'!$I$31,(HLOOKUP($D109,$E$4:$CZ$32,28,FALSE)*'Incremental Repayments'!$I$22)),0),0)</f>
        <v>0</v>
      </c>
      <c r="CI109" s="783">
        <f>IF('Incremental Repayments'!$R$22="Debt",IF(AND(CI$4&gt;=$D109,CI$4&lt;$D109+'Incremental Repayments'!$I$31),-PMT('Interest Rate'!$J$16,'Incremental Repayments'!$I$31,(HLOOKUP($D109,$E$4:$CZ$32,28,FALSE)*'Incremental Repayments'!$I$22)),0),0)</f>
        <v>0</v>
      </c>
      <c r="CJ109" s="783">
        <f>IF('Incremental Repayments'!$R$22="Debt",IF(AND(CJ$4&gt;=$D109,CJ$4&lt;$D109+'Incremental Repayments'!$I$31),-PMT('Interest Rate'!$J$16,'Incremental Repayments'!$I$31,(HLOOKUP($D109,$E$4:$CZ$32,28,FALSE)*'Incremental Repayments'!$I$22)),0),0)</f>
        <v>0</v>
      </c>
      <c r="CK109" s="783">
        <f>IF('Incremental Repayments'!$R$22="Debt",IF(AND(CK$4&gt;=$D109,CK$4&lt;$D109+'Incremental Repayments'!$I$31),-PMT('Interest Rate'!$J$16,'Incremental Repayments'!$I$31,(HLOOKUP($D109,$E$4:$CZ$32,28,FALSE)*'Incremental Repayments'!$I$22)),0),0)</f>
        <v>0</v>
      </c>
      <c r="CL109" s="783">
        <f>IF('Incremental Repayments'!$R$22="Debt",IF(AND(CL$4&gt;=$D109,CL$4&lt;$D109+'Incremental Repayments'!$I$31),-PMT('Interest Rate'!$J$16,'Incremental Repayments'!$I$31,(HLOOKUP($D109,$E$4:$CZ$32,28,FALSE)*'Incremental Repayments'!$I$22)),0),0)</f>
        <v>0</v>
      </c>
      <c r="CM109" s="783">
        <f>IF('Incremental Repayments'!$R$22="Debt",IF(AND(CM$4&gt;=$D109,CM$4&lt;$D109+'Incremental Repayments'!$I$31),-PMT('Interest Rate'!$J$16,'Incremental Repayments'!$I$31,(HLOOKUP($D109,$E$4:$CZ$32,28,FALSE)*'Incremental Repayments'!$I$22)),0),0)</f>
        <v>0</v>
      </c>
      <c r="CN109" s="783">
        <f>IF('Incremental Repayments'!$R$22="Debt",IF(AND(CN$4&gt;=$D109,CN$4&lt;$D109+'Incremental Repayments'!$I$31),-PMT('Interest Rate'!$J$16,'Incremental Repayments'!$I$31,(HLOOKUP($D109,$E$4:$CZ$32,28,FALSE)*'Incremental Repayments'!$I$22)),0),0)</f>
        <v>0</v>
      </c>
      <c r="CO109" s="783">
        <f>IF('Incremental Repayments'!$R$22="Debt",IF(AND(CO$4&gt;=$D109,CO$4&lt;$D109+'Incremental Repayments'!$I$31),-PMT('Interest Rate'!$J$16,'Incremental Repayments'!$I$31,(HLOOKUP($D109,$E$4:$CZ$32,28,FALSE)*'Incremental Repayments'!$I$22)),0),0)</f>
        <v>0</v>
      </c>
      <c r="CP109" s="783">
        <f>IF('Incremental Repayments'!$R$22="Debt",IF(AND(CP$4&gt;=$D109,CP$4&lt;$D109+'Incremental Repayments'!$I$31),-PMT('Interest Rate'!$J$16,'Incremental Repayments'!$I$31,(HLOOKUP($D109,$E$4:$CZ$32,28,FALSE)*'Incremental Repayments'!$I$22)),0),0)</f>
        <v>0</v>
      </c>
      <c r="CQ109" s="783">
        <f>IF('Incremental Repayments'!$R$22="Debt",IF(AND(CQ$4&gt;=$D109,CQ$4&lt;$D109+'Incremental Repayments'!$I$31),-PMT('Interest Rate'!$J$16,'Incremental Repayments'!$I$31,(HLOOKUP($D109,$E$4:$CZ$32,28,FALSE)*'Incremental Repayments'!$I$22)),0),0)</f>
        <v>0</v>
      </c>
      <c r="CR109" s="783">
        <f>IF('Incremental Repayments'!$R$22="Debt",IF(AND(CR$4&gt;=$D109,CR$4&lt;$D109+'Incremental Repayments'!$I$31),-PMT('Interest Rate'!$J$16,'Incremental Repayments'!$I$31,(HLOOKUP($D109,$E$4:$CZ$32,28,FALSE)*'Incremental Repayments'!$I$22)),0),0)</f>
        <v>0</v>
      </c>
      <c r="CS109" s="783">
        <f>IF('Incremental Repayments'!$R$22="Debt",IF(AND(CS$4&gt;=$D109,CS$4&lt;$D109+'Incremental Repayments'!$I$31),-PMT('Interest Rate'!$J$16,'Incremental Repayments'!$I$31,(HLOOKUP($D109,$E$4:$CZ$32,28,FALSE)*'Incremental Repayments'!$I$22)),0),0)</f>
        <v>0</v>
      </c>
      <c r="CT109" s="783">
        <f>IF('Incremental Repayments'!$R$22="Debt",IF(AND(CT$4&gt;=$D109,CT$4&lt;$D109+'Incremental Repayments'!$I$31),-PMT('Interest Rate'!$J$16,'Incremental Repayments'!$I$31,(HLOOKUP($D109,$E$4:$CZ$32,28,FALSE)*'Incremental Repayments'!$I$22)),0),0)</f>
        <v>0</v>
      </c>
      <c r="CU109" s="783">
        <f>IF('Incremental Repayments'!$R$22="Debt",IF(AND(CU$4&gt;=$D109,CU$4&lt;$D109+'Incremental Repayments'!$I$31),-PMT('Interest Rate'!$J$16,'Incremental Repayments'!$I$31,(HLOOKUP($D109,$E$4:$CZ$32,28,FALSE)*'Incremental Repayments'!$I$22)),0),0)</f>
        <v>0</v>
      </c>
      <c r="CV109" s="783">
        <f>IF('Incremental Repayments'!$R$22="Debt",IF(AND(CV$4&gt;=$D109,CV$4&lt;$D109+'Incremental Repayments'!$I$31),-PMT('Interest Rate'!$J$16,'Incremental Repayments'!$I$31,(HLOOKUP($D109,$E$4:$CZ$32,28,FALSE)*'Incremental Repayments'!$I$22)),0),0)</f>
        <v>0</v>
      </c>
      <c r="CW109" s="783">
        <f>IF('Incremental Repayments'!$R$22="Debt",IF(AND(CW$4&gt;=$D109,CW$4&lt;$D109+'Incremental Repayments'!$I$31),-PMT('Interest Rate'!$J$16,'Incremental Repayments'!$I$31,(HLOOKUP($D109,$E$4:$CZ$32,28,FALSE)*'Incremental Repayments'!$I$22)),0),0)</f>
        <v>0</v>
      </c>
      <c r="CX109" s="783">
        <f>IF('Incremental Repayments'!$R$22="Debt",IF(AND(CX$4&gt;=$D109,CX$4&lt;$D109+'Incremental Repayments'!$I$31),-PMT('Interest Rate'!$J$16,'Incremental Repayments'!$I$31,(HLOOKUP($D109,$E$4:$CZ$32,28,FALSE)*'Incremental Repayments'!$I$22)),0),0)</f>
        <v>0</v>
      </c>
      <c r="CY109" s="783">
        <f>IF('Incremental Repayments'!$R$22="Debt",IF(AND(CY$4&gt;=$D109,CY$4&lt;$D109+'Incremental Repayments'!$I$31),-PMT('Interest Rate'!$J$16,'Incremental Repayments'!$I$31,(HLOOKUP($D109,$E$4:$CZ$32,28,FALSE)*'Incremental Repayments'!$I$22)),0),0)</f>
        <v>0</v>
      </c>
      <c r="CZ109" s="783">
        <f>IF('Incremental Repayments'!$R$22="Debt",IF(AND(CZ$4&gt;=$D109,CZ$4&lt;$D109+'Incremental Repayments'!$I$31),-PMT('Interest Rate'!$J$16,'Incremental Repayments'!$I$31,(HLOOKUP($D109,$E$4:$CZ$32,28,FALSE)*'Incremental Repayments'!$I$22)),0),0)</f>
        <v>0</v>
      </c>
    </row>
    <row r="110" spans="2:104" x14ac:dyDescent="0.25">
      <c r="B110" s="480" t="str">
        <f>CONCATENATE("Series ",D110,"A Bonds (at ",'Interest Rate'!$J$16*100,"% Interest)")</f>
        <v>Series 2088A Bonds (at 4.5% Interest)</v>
      </c>
      <c r="C110" s="480"/>
      <c r="D110" s="492">
        <f t="shared" si="47"/>
        <v>2088</v>
      </c>
      <c r="E110" s="783">
        <f>IF('Incremental Repayments'!$R$22="Debt",IF(AND(E$4&gt;=$D110,E$4&lt;$D110+'Incremental Repayments'!$I$31),-PMT('Interest Rate'!$J$16,'Incremental Repayments'!$I$31,(HLOOKUP($D110,$E$4:$CZ$32,28,FALSE)*'Incremental Repayments'!$I$22)),0),0)</f>
        <v>0</v>
      </c>
      <c r="F110" s="783">
        <f>IF('Incremental Repayments'!$R$22="Debt",IF(AND(F$4&gt;=$D110,F$4&lt;$D110+'Incremental Repayments'!$I$31),-PMT('Interest Rate'!$J$16,'Incremental Repayments'!$I$31,(HLOOKUP($D110,$E$4:$CZ$32,28,FALSE)*'Incremental Repayments'!$I$22)),0),0)</f>
        <v>0</v>
      </c>
      <c r="G110" s="783">
        <f>IF('Incremental Repayments'!$R$22="Debt",IF(AND(G$4&gt;=$D110,G$4&lt;$D110+'Incremental Repayments'!$I$31),-PMT('Interest Rate'!$J$16,'Incremental Repayments'!$I$31,(HLOOKUP($D110,$E$4:$CZ$32,28,FALSE)*'Incremental Repayments'!$I$22)),0),0)</f>
        <v>0</v>
      </c>
      <c r="H110" s="783">
        <f>IF('Incremental Repayments'!$R$22="Debt",IF(AND(H$4&gt;=$D110,H$4&lt;$D110+'Incremental Repayments'!$I$31),-PMT('Interest Rate'!$J$16,'Incremental Repayments'!$I$31,(HLOOKUP($D110,$E$4:$CZ$32,28,FALSE)*'Incremental Repayments'!$I$22)),0),0)</f>
        <v>0</v>
      </c>
      <c r="I110" s="783">
        <f>IF('Incremental Repayments'!$R$22="Debt",IF(AND(I$4&gt;=$D110,I$4&lt;$D110+'Incremental Repayments'!$I$31),-PMT('Interest Rate'!$J$16,'Incremental Repayments'!$I$31,(HLOOKUP($D110,$E$4:$CZ$32,28,FALSE)*'Incremental Repayments'!$I$22)),0),0)</f>
        <v>0</v>
      </c>
      <c r="J110" s="783">
        <f>IF('Incremental Repayments'!$R$22="Debt",IF(AND(J$4&gt;=$D110,J$4&lt;$D110+'Incremental Repayments'!$I$31),-PMT('Interest Rate'!$J$16,'Incremental Repayments'!$I$31,(HLOOKUP($D110,$E$4:$CZ$32,28,FALSE)*'Incremental Repayments'!$I$22)),0),0)</f>
        <v>0</v>
      </c>
      <c r="K110" s="783">
        <f>IF('Incremental Repayments'!$R$22="Debt",IF(AND(K$4&gt;=$D110,K$4&lt;$D110+'Incremental Repayments'!$I$31),-PMT('Interest Rate'!$J$16,'Incremental Repayments'!$I$31,(HLOOKUP($D110,$E$4:$CZ$32,28,FALSE)*'Incremental Repayments'!$I$22)),0),0)</f>
        <v>0</v>
      </c>
      <c r="L110" s="783">
        <f>IF('Incremental Repayments'!$R$22="Debt",IF(AND(L$4&gt;=$D110,L$4&lt;$D110+'Incremental Repayments'!$I$31),-PMT('Interest Rate'!$J$16,'Incremental Repayments'!$I$31,(HLOOKUP($D110,$E$4:$CZ$32,28,FALSE)*'Incremental Repayments'!$I$22)),0),0)</f>
        <v>0</v>
      </c>
      <c r="M110" s="783">
        <f>IF('Incremental Repayments'!$R$22="Debt",IF(AND(M$4&gt;=$D110,M$4&lt;$D110+'Incremental Repayments'!$I$31),-PMT('Interest Rate'!$J$16,'Incremental Repayments'!$I$31,(HLOOKUP($D110,$E$4:$CZ$32,28,FALSE)*'Incremental Repayments'!$I$22)),0),0)</f>
        <v>0</v>
      </c>
      <c r="N110" s="783">
        <f>IF('Incremental Repayments'!$R$22="Debt",IF(AND(N$4&gt;=$D110,N$4&lt;$D110+'Incremental Repayments'!$I$31),-PMT('Interest Rate'!$J$16,'Incremental Repayments'!$I$31,(HLOOKUP($D110,$E$4:$CZ$32,28,FALSE)*'Incremental Repayments'!$I$22)),0),0)</f>
        <v>0</v>
      </c>
      <c r="O110" s="783">
        <f>IF('Incremental Repayments'!$R$22="Debt",IF(AND(O$4&gt;=$D110,O$4&lt;$D110+'Incremental Repayments'!$I$31),-PMT('Interest Rate'!$J$16,'Incremental Repayments'!$I$31,(HLOOKUP($D110,$E$4:$CZ$32,28,FALSE)*'Incremental Repayments'!$I$22)),0),0)</f>
        <v>0</v>
      </c>
      <c r="P110" s="783">
        <f>IF('Incremental Repayments'!$R$22="Debt",IF(AND(P$4&gt;=$D110,P$4&lt;$D110+'Incremental Repayments'!$I$31),-PMT('Interest Rate'!$J$16,'Incremental Repayments'!$I$31,(HLOOKUP($D110,$E$4:$CZ$32,28,FALSE)*'Incremental Repayments'!$I$22)),0),0)</f>
        <v>0</v>
      </c>
      <c r="Q110" s="783">
        <f>IF('Incremental Repayments'!$R$22="Debt",IF(AND(Q$4&gt;=$D110,Q$4&lt;$D110+'Incremental Repayments'!$I$31),-PMT('Interest Rate'!$J$16,'Incremental Repayments'!$I$31,(HLOOKUP($D110,$E$4:$CZ$32,28,FALSE)*'Incremental Repayments'!$I$22)),0),0)</f>
        <v>0</v>
      </c>
      <c r="R110" s="783">
        <f>IF('Incremental Repayments'!$R$22="Debt",IF(AND(R$4&gt;=$D110,R$4&lt;$D110+'Incremental Repayments'!$I$31),-PMT('Interest Rate'!$J$16,'Incremental Repayments'!$I$31,(HLOOKUP($D110,$E$4:$CZ$32,28,FALSE)*'Incremental Repayments'!$I$22)),0),0)</f>
        <v>0</v>
      </c>
      <c r="S110" s="783">
        <f>IF('Incremental Repayments'!$R$22="Debt",IF(AND(S$4&gt;=$D110,S$4&lt;$D110+'Incremental Repayments'!$I$31),-PMT('Interest Rate'!$J$16,'Incremental Repayments'!$I$31,(HLOOKUP($D110,$E$4:$CZ$32,28,FALSE)*'Incremental Repayments'!$I$22)),0),0)</f>
        <v>0</v>
      </c>
      <c r="T110" s="783">
        <f>IF('Incremental Repayments'!$R$22="Debt",IF(AND(T$4&gt;=$D110,T$4&lt;$D110+'Incremental Repayments'!$I$31),-PMT('Interest Rate'!$J$16,'Incremental Repayments'!$I$31,(HLOOKUP($D110,$E$4:$CZ$32,28,FALSE)*'Incremental Repayments'!$I$22)),0),0)</f>
        <v>0</v>
      </c>
      <c r="U110" s="783">
        <f>IF('Incremental Repayments'!$R$22="Debt",IF(AND(U$4&gt;=$D110,U$4&lt;$D110+'Incremental Repayments'!$I$31),-PMT('Interest Rate'!$J$16,'Incremental Repayments'!$I$31,(HLOOKUP($D110,$E$4:$CZ$32,28,FALSE)*'Incremental Repayments'!$I$22)),0),0)</f>
        <v>0</v>
      </c>
      <c r="V110" s="783">
        <f>IF('Incremental Repayments'!$R$22="Debt",IF(AND(V$4&gt;=$D110,V$4&lt;$D110+'Incremental Repayments'!$I$31),-PMT('Interest Rate'!$J$16,'Incremental Repayments'!$I$31,(HLOOKUP($D110,$E$4:$CZ$32,28,FALSE)*'Incremental Repayments'!$I$22)),0),0)</f>
        <v>0</v>
      </c>
      <c r="W110" s="783">
        <f>IF('Incremental Repayments'!$R$22="Debt",IF(AND(W$4&gt;=$D110,W$4&lt;$D110+'Incremental Repayments'!$I$31),-PMT('Interest Rate'!$J$16,'Incremental Repayments'!$I$31,(HLOOKUP($D110,$E$4:$CZ$32,28,FALSE)*'Incremental Repayments'!$I$22)),0),0)</f>
        <v>0</v>
      </c>
      <c r="X110" s="783">
        <f>IF('Incremental Repayments'!$R$22="Debt",IF(AND(X$4&gt;=$D110,X$4&lt;$D110+'Incremental Repayments'!$I$31),-PMT('Interest Rate'!$J$16,'Incremental Repayments'!$I$31,(HLOOKUP($D110,$E$4:$CZ$32,28,FALSE)*'Incremental Repayments'!$I$22)),0),0)</f>
        <v>0</v>
      </c>
      <c r="Y110" s="783">
        <f>IF('Incremental Repayments'!$R$22="Debt",IF(AND(Y$4&gt;=$D110,Y$4&lt;$D110+'Incremental Repayments'!$I$31),-PMT('Interest Rate'!$J$16,'Incremental Repayments'!$I$31,(HLOOKUP($D110,$E$4:$CZ$32,28,FALSE)*'Incremental Repayments'!$I$22)),0),0)</f>
        <v>0</v>
      </c>
      <c r="Z110" s="783">
        <f>IF('Incremental Repayments'!$R$22="Debt",IF(AND(Z$4&gt;=$D110,Z$4&lt;$D110+'Incremental Repayments'!$I$31),-PMT('Interest Rate'!$J$16,'Incremental Repayments'!$I$31,(HLOOKUP($D110,$E$4:$CZ$32,28,FALSE)*'Incremental Repayments'!$I$22)),0),0)</f>
        <v>0</v>
      </c>
      <c r="AA110" s="783">
        <f>IF('Incremental Repayments'!$R$22="Debt",IF(AND(AA$4&gt;=$D110,AA$4&lt;$D110+'Incremental Repayments'!$I$31),-PMT('Interest Rate'!$J$16,'Incremental Repayments'!$I$31,(HLOOKUP($D110,$E$4:$CZ$32,28,FALSE)*'Incremental Repayments'!$I$22)),0),0)</f>
        <v>0</v>
      </c>
      <c r="AB110" s="783">
        <f>IF('Incremental Repayments'!$R$22="Debt",IF(AND(AB$4&gt;=$D110,AB$4&lt;$D110+'Incremental Repayments'!$I$31),-PMT('Interest Rate'!$J$16,'Incremental Repayments'!$I$31,(HLOOKUP($D110,$E$4:$CZ$32,28,FALSE)*'Incremental Repayments'!$I$22)),0),0)</f>
        <v>0</v>
      </c>
      <c r="AC110" s="783">
        <f>IF('Incremental Repayments'!$R$22="Debt",IF(AND(AC$4&gt;=$D110,AC$4&lt;$D110+'Incremental Repayments'!$I$31),-PMT('Interest Rate'!$J$16,'Incremental Repayments'!$I$31,(HLOOKUP($D110,$E$4:$CZ$32,28,FALSE)*'Incremental Repayments'!$I$22)),0),0)</f>
        <v>0</v>
      </c>
      <c r="AD110" s="783">
        <f>IF('Incremental Repayments'!$R$22="Debt",IF(AND(AD$4&gt;=$D110,AD$4&lt;$D110+'Incremental Repayments'!$I$31),-PMT('Interest Rate'!$J$16,'Incremental Repayments'!$I$31,(HLOOKUP($D110,$E$4:$CZ$32,28,FALSE)*'Incremental Repayments'!$I$22)),0),0)</f>
        <v>0</v>
      </c>
      <c r="AE110" s="783">
        <f>IF('Incremental Repayments'!$R$22="Debt",IF(AND(AE$4&gt;=$D110,AE$4&lt;$D110+'Incremental Repayments'!$I$31),-PMT('Interest Rate'!$J$16,'Incremental Repayments'!$I$31,(HLOOKUP($D110,$E$4:$CZ$32,28,FALSE)*'Incremental Repayments'!$I$22)),0),0)</f>
        <v>0</v>
      </c>
      <c r="AF110" s="783">
        <f>IF('Incremental Repayments'!$R$22="Debt",IF(AND(AF$4&gt;=$D110,AF$4&lt;$D110+'Incremental Repayments'!$I$31),-PMT('Interest Rate'!$J$16,'Incremental Repayments'!$I$31,(HLOOKUP($D110,$E$4:$CZ$32,28,FALSE)*'Incremental Repayments'!$I$22)),0),0)</f>
        <v>0</v>
      </c>
      <c r="AG110" s="783">
        <f>IF('Incremental Repayments'!$R$22="Debt",IF(AND(AG$4&gt;=$D110,AG$4&lt;$D110+'Incremental Repayments'!$I$31),-PMT('Interest Rate'!$J$16,'Incremental Repayments'!$I$31,(HLOOKUP($D110,$E$4:$CZ$32,28,FALSE)*'Incremental Repayments'!$I$22)),0),0)</f>
        <v>0</v>
      </c>
      <c r="AH110" s="783">
        <f>IF('Incremental Repayments'!$R$22="Debt",IF(AND(AH$4&gt;=$D110,AH$4&lt;$D110+'Incremental Repayments'!$I$31),-PMT('Interest Rate'!$J$16,'Incremental Repayments'!$I$31,(HLOOKUP($D110,$E$4:$CZ$32,28,FALSE)*'Incremental Repayments'!$I$22)),0),0)</f>
        <v>0</v>
      </c>
      <c r="AI110" s="783">
        <f>IF('Incremental Repayments'!$R$22="Debt",IF(AND(AI$4&gt;=$D110,AI$4&lt;$D110+'Incremental Repayments'!$I$31),-PMT('Interest Rate'!$J$16,'Incremental Repayments'!$I$31,(HLOOKUP($D110,$E$4:$CZ$32,28,FALSE)*'Incremental Repayments'!$I$22)),0),0)</f>
        <v>0</v>
      </c>
      <c r="AJ110" s="783">
        <f>IF('Incremental Repayments'!$R$22="Debt",IF(AND(AJ$4&gt;=$D110,AJ$4&lt;$D110+'Incremental Repayments'!$I$31),-PMT('Interest Rate'!$J$16,'Incremental Repayments'!$I$31,(HLOOKUP($D110,$E$4:$CZ$32,28,FALSE)*'Incremental Repayments'!$I$22)),0),0)</f>
        <v>0</v>
      </c>
      <c r="AK110" s="783">
        <f>IF('Incremental Repayments'!$R$22="Debt",IF(AND(AK$4&gt;=$D110,AK$4&lt;$D110+'Incremental Repayments'!$I$31),-PMT('Interest Rate'!$J$16,'Incremental Repayments'!$I$31,(HLOOKUP($D110,$E$4:$CZ$32,28,FALSE)*'Incremental Repayments'!$I$22)),0),0)</f>
        <v>0</v>
      </c>
      <c r="AL110" s="783">
        <f>IF('Incremental Repayments'!$R$22="Debt",IF(AND(AL$4&gt;=$D110,AL$4&lt;$D110+'Incremental Repayments'!$I$31),-PMT('Interest Rate'!$J$16,'Incremental Repayments'!$I$31,(HLOOKUP($D110,$E$4:$CZ$32,28,FALSE)*'Incremental Repayments'!$I$22)),0),0)</f>
        <v>0</v>
      </c>
      <c r="AM110" s="783">
        <f>IF('Incremental Repayments'!$R$22="Debt",IF(AND(AM$4&gt;=$D110,AM$4&lt;$D110+'Incremental Repayments'!$I$31),-PMT('Interest Rate'!$J$16,'Incremental Repayments'!$I$31,(HLOOKUP($D110,$E$4:$CZ$32,28,FALSE)*'Incremental Repayments'!$I$22)),0),0)</f>
        <v>0</v>
      </c>
      <c r="AN110" s="783">
        <f>IF('Incremental Repayments'!$R$22="Debt",IF(AND(AN$4&gt;=$D110,AN$4&lt;$D110+'Incremental Repayments'!$I$31),-PMT('Interest Rate'!$J$16,'Incremental Repayments'!$I$31,(HLOOKUP($D110,$E$4:$CZ$32,28,FALSE)*'Incremental Repayments'!$I$22)),0),0)</f>
        <v>0</v>
      </c>
      <c r="AO110" s="783">
        <f>IF('Incremental Repayments'!$R$22="Debt",IF(AND(AO$4&gt;=$D110,AO$4&lt;$D110+'Incremental Repayments'!$I$31),-PMT('Interest Rate'!$J$16,'Incremental Repayments'!$I$31,(HLOOKUP($D110,$E$4:$CZ$32,28,FALSE)*'Incremental Repayments'!$I$22)),0),0)</f>
        <v>0</v>
      </c>
      <c r="AP110" s="783">
        <f>IF('Incremental Repayments'!$R$22="Debt",IF(AND(AP$4&gt;=$D110,AP$4&lt;$D110+'Incremental Repayments'!$I$31),-PMT('Interest Rate'!$J$16,'Incremental Repayments'!$I$31,(HLOOKUP($D110,$E$4:$CZ$32,28,FALSE)*'Incremental Repayments'!$I$22)),0),0)</f>
        <v>0</v>
      </c>
      <c r="AQ110" s="783">
        <f>IF('Incremental Repayments'!$R$22="Debt",IF(AND(AQ$4&gt;=$D110,AQ$4&lt;$D110+'Incremental Repayments'!$I$31),-PMT('Interest Rate'!$J$16,'Incremental Repayments'!$I$31,(HLOOKUP($D110,$E$4:$CZ$32,28,FALSE)*'Incremental Repayments'!$I$22)),0),0)</f>
        <v>0</v>
      </c>
      <c r="AR110" s="783">
        <f>IF('Incremental Repayments'!$R$22="Debt",IF(AND(AR$4&gt;=$D110,AR$4&lt;$D110+'Incremental Repayments'!$I$31),-PMT('Interest Rate'!$J$16,'Incremental Repayments'!$I$31,(HLOOKUP($D110,$E$4:$CZ$32,28,FALSE)*'Incremental Repayments'!$I$22)),0),0)</f>
        <v>0</v>
      </c>
      <c r="AS110" s="783">
        <f>IF('Incremental Repayments'!$R$22="Debt",IF(AND(AS$4&gt;=$D110,AS$4&lt;$D110+'Incremental Repayments'!$I$31),-PMT('Interest Rate'!$J$16,'Incremental Repayments'!$I$31,(HLOOKUP($D110,$E$4:$CZ$32,28,FALSE)*'Incremental Repayments'!$I$22)),0),0)</f>
        <v>0</v>
      </c>
      <c r="AT110" s="783">
        <f>IF('Incremental Repayments'!$R$22="Debt",IF(AND(AT$4&gt;=$D110,AT$4&lt;$D110+'Incremental Repayments'!$I$31),-PMT('Interest Rate'!$J$16,'Incremental Repayments'!$I$31,(HLOOKUP($D110,$E$4:$CZ$32,28,FALSE)*'Incremental Repayments'!$I$22)),0),0)</f>
        <v>0</v>
      </c>
      <c r="AU110" s="783">
        <f>IF('Incremental Repayments'!$R$22="Debt",IF(AND(AU$4&gt;=$D110,AU$4&lt;$D110+'Incremental Repayments'!$I$31),-PMT('Interest Rate'!$J$16,'Incremental Repayments'!$I$31,(HLOOKUP($D110,$E$4:$CZ$32,28,FALSE)*'Incremental Repayments'!$I$22)),0),0)</f>
        <v>0</v>
      </c>
      <c r="AV110" s="783">
        <f>IF('Incremental Repayments'!$R$22="Debt",IF(AND(AV$4&gt;=$D110,AV$4&lt;$D110+'Incremental Repayments'!$I$31),-PMT('Interest Rate'!$J$16,'Incremental Repayments'!$I$31,(HLOOKUP($D110,$E$4:$CZ$32,28,FALSE)*'Incremental Repayments'!$I$22)),0),0)</f>
        <v>0</v>
      </c>
      <c r="AW110" s="783">
        <f>IF('Incremental Repayments'!$R$22="Debt",IF(AND(AW$4&gt;=$D110,AW$4&lt;$D110+'Incremental Repayments'!$I$31),-PMT('Interest Rate'!$J$16,'Incremental Repayments'!$I$31,(HLOOKUP($D110,$E$4:$CZ$32,28,FALSE)*'Incremental Repayments'!$I$22)),0),0)</f>
        <v>0</v>
      </c>
      <c r="AX110" s="783">
        <f>IF('Incremental Repayments'!$R$22="Debt",IF(AND(AX$4&gt;=$D110,AX$4&lt;$D110+'Incremental Repayments'!$I$31),-PMT('Interest Rate'!$J$16,'Incremental Repayments'!$I$31,(HLOOKUP($D110,$E$4:$CZ$32,28,FALSE)*'Incremental Repayments'!$I$22)),0),0)</f>
        <v>0</v>
      </c>
      <c r="AY110" s="783">
        <f>IF('Incremental Repayments'!$R$22="Debt",IF(AND(AY$4&gt;=$D110,AY$4&lt;$D110+'Incremental Repayments'!$I$31),-PMT('Interest Rate'!$J$16,'Incremental Repayments'!$I$31,(HLOOKUP($D110,$E$4:$CZ$32,28,FALSE)*'Incremental Repayments'!$I$22)),0),0)</f>
        <v>0</v>
      </c>
      <c r="AZ110" s="783">
        <f>IF('Incremental Repayments'!$R$22="Debt",IF(AND(AZ$4&gt;=$D110,AZ$4&lt;$D110+'Incremental Repayments'!$I$31),-PMT('Interest Rate'!$J$16,'Incremental Repayments'!$I$31,(HLOOKUP($D110,$E$4:$CZ$32,28,FALSE)*'Incremental Repayments'!$I$22)),0),0)</f>
        <v>0</v>
      </c>
      <c r="BA110" s="783">
        <f>IF('Incremental Repayments'!$R$22="Debt",IF(AND(BA$4&gt;=$D110,BA$4&lt;$D110+'Incremental Repayments'!$I$31),-PMT('Interest Rate'!$J$16,'Incremental Repayments'!$I$31,(HLOOKUP($D110,$E$4:$CZ$32,28,FALSE)*'Incremental Repayments'!$I$22)),0),0)</f>
        <v>0</v>
      </c>
      <c r="BB110" s="783">
        <f>IF('Incremental Repayments'!$R$22="Debt",IF(AND(BB$4&gt;=$D110,BB$4&lt;$D110+'Incremental Repayments'!$I$31),-PMT('Interest Rate'!$J$16,'Incremental Repayments'!$I$31,(HLOOKUP($D110,$E$4:$CZ$32,28,FALSE)*'Incremental Repayments'!$I$22)),0),0)</f>
        <v>0</v>
      </c>
      <c r="BC110" s="783">
        <f>IF('Incremental Repayments'!$R$22="Debt",IF(AND(BC$4&gt;=$D110,BC$4&lt;$D110+'Incremental Repayments'!$I$31),-PMT('Interest Rate'!$J$16,'Incremental Repayments'!$I$31,(HLOOKUP($D110,$E$4:$CZ$32,28,FALSE)*'Incremental Repayments'!$I$22)),0),0)</f>
        <v>0</v>
      </c>
      <c r="BD110" s="783">
        <f>IF('Incremental Repayments'!$R$22="Debt",IF(AND(BD$4&gt;=$D110,BD$4&lt;$D110+'Incremental Repayments'!$I$31),-PMT('Interest Rate'!$J$16,'Incremental Repayments'!$I$31,(HLOOKUP($D110,$E$4:$CZ$32,28,FALSE)*'Incremental Repayments'!$I$22)),0),0)</f>
        <v>0</v>
      </c>
      <c r="BE110" s="783">
        <f>IF('Incremental Repayments'!$R$22="Debt",IF(AND(BE$4&gt;=$D110,BE$4&lt;$D110+'Incremental Repayments'!$I$31),-PMT('Interest Rate'!$J$16,'Incremental Repayments'!$I$31,(HLOOKUP($D110,$E$4:$CZ$32,28,FALSE)*'Incremental Repayments'!$I$22)),0),0)</f>
        <v>0</v>
      </c>
      <c r="BF110" s="783">
        <f>IF('Incremental Repayments'!$R$22="Debt",IF(AND(BF$4&gt;=$D110,BF$4&lt;$D110+'Incremental Repayments'!$I$31),-PMT('Interest Rate'!$J$16,'Incremental Repayments'!$I$31,(HLOOKUP($D110,$E$4:$CZ$32,28,FALSE)*'Incremental Repayments'!$I$22)),0),0)</f>
        <v>0</v>
      </c>
      <c r="BG110" s="783">
        <f>IF('Incremental Repayments'!$R$22="Debt",IF(AND(BG$4&gt;=$D110,BG$4&lt;$D110+'Incremental Repayments'!$I$31),-PMT('Interest Rate'!$J$16,'Incremental Repayments'!$I$31,(HLOOKUP($D110,$E$4:$CZ$32,28,FALSE)*'Incremental Repayments'!$I$22)),0),0)</f>
        <v>0</v>
      </c>
      <c r="BH110" s="783">
        <f>IF('Incremental Repayments'!$R$22="Debt",IF(AND(BH$4&gt;=$D110,BH$4&lt;$D110+'Incremental Repayments'!$I$31),-PMT('Interest Rate'!$J$16,'Incremental Repayments'!$I$31,(HLOOKUP($D110,$E$4:$CZ$32,28,FALSE)*'Incremental Repayments'!$I$22)),0),0)</f>
        <v>0</v>
      </c>
      <c r="BI110" s="783">
        <f>IF('Incremental Repayments'!$R$22="Debt",IF(AND(BI$4&gt;=$D110,BI$4&lt;$D110+'Incremental Repayments'!$I$31),-PMT('Interest Rate'!$J$16,'Incremental Repayments'!$I$31,(HLOOKUP($D110,$E$4:$CZ$32,28,FALSE)*'Incremental Repayments'!$I$22)),0),0)</f>
        <v>0</v>
      </c>
      <c r="BJ110" s="783">
        <f>IF('Incremental Repayments'!$R$22="Debt",IF(AND(BJ$4&gt;=$D110,BJ$4&lt;$D110+'Incremental Repayments'!$I$31),-PMT('Interest Rate'!$J$16,'Incremental Repayments'!$I$31,(HLOOKUP($D110,$E$4:$CZ$32,28,FALSE)*'Incremental Repayments'!$I$22)),0),0)</f>
        <v>0</v>
      </c>
      <c r="BK110" s="783">
        <f>IF('Incremental Repayments'!$R$22="Debt",IF(AND(BK$4&gt;=$D110,BK$4&lt;$D110+'Incremental Repayments'!$I$31),-PMT('Interest Rate'!$J$16,'Incremental Repayments'!$I$31,(HLOOKUP($D110,$E$4:$CZ$32,28,FALSE)*'Incremental Repayments'!$I$22)),0),0)</f>
        <v>0</v>
      </c>
      <c r="BL110" s="783">
        <f>IF('Incremental Repayments'!$R$22="Debt",IF(AND(BL$4&gt;=$D110,BL$4&lt;$D110+'Incremental Repayments'!$I$31),-PMT('Interest Rate'!$J$16,'Incremental Repayments'!$I$31,(HLOOKUP($D110,$E$4:$CZ$32,28,FALSE)*'Incremental Repayments'!$I$22)),0),0)</f>
        <v>0</v>
      </c>
      <c r="BM110" s="783">
        <f>IF('Incremental Repayments'!$R$22="Debt",IF(AND(BM$4&gt;=$D110,BM$4&lt;$D110+'Incremental Repayments'!$I$31),-PMT('Interest Rate'!$J$16,'Incremental Repayments'!$I$31,(HLOOKUP($D110,$E$4:$CZ$32,28,FALSE)*'Incremental Repayments'!$I$22)),0),0)</f>
        <v>0</v>
      </c>
      <c r="BN110" s="783">
        <f>IF('Incremental Repayments'!$R$22="Debt",IF(AND(BN$4&gt;=$D110,BN$4&lt;$D110+'Incremental Repayments'!$I$31),-PMT('Interest Rate'!$J$16,'Incremental Repayments'!$I$31,(HLOOKUP($D110,$E$4:$CZ$32,28,FALSE)*'Incremental Repayments'!$I$22)),0),0)</f>
        <v>0</v>
      </c>
      <c r="BO110" s="783">
        <f>IF('Incremental Repayments'!$R$22="Debt",IF(AND(BO$4&gt;=$D110,BO$4&lt;$D110+'Incremental Repayments'!$I$31),-PMT('Interest Rate'!$J$16,'Incremental Repayments'!$I$31,(HLOOKUP($D110,$E$4:$CZ$32,28,FALSE)*'Incremental Repayments'!$I$22)),0),0)</f>
        <v>0</v>
      </c>
      <c r="BP110" s="783">
        <f>IF('Incremental Repayments'!$R$22="Debt",IF(AND(BP$4&gt;=$D110,BP$4&lt;$D110+'Incremental Repayments'!$I$31),-PMT('Interest Rate'!$J$16,'Incremental Repayments'!$I$31,(HLOOKUP($D110,$E$4:$CZ$32,28,FALSE)*'Incremental Repayments'!$I$22)),0),0)</f>
        <v>0</v>
      </c>
      <c r="BQ110" s="783">
        <f>IF('Incremental Repayments'!$R$22="Debt",IF(AND(BQ$4&gt;=$D110,BQ$4&lt;$D110+'Incremental Repayments'!$I$31),-PMT('Interest Rate'!$J$16,'Incremental Repayments'!$I$31,(HLOOKUP($D110,$E$4:$CZ$32,28,FALSE)*'Incremental Repayments'!$I$22)),0),0)</f>
        <v>0</v>
      </c>
      <c r="BR110" s="783">
        <f>IF('Incremental Repayments'!$R$22="Debt",IF(AND(BR$4&gt;=$D110,BR$4&lt;$D110+'Incremental Repayments'!$I$31),-PMT('Interest Rate'!$J$16,'Incremental Repayments'!$I$31,(HLOOKUP($D110,$E$4:$CZ$32,28,FALSE)*'Incremental Repayments'!$I$22)),0),0)</f>
        <v>0</v>
      </c>
      <c r="BS110" s="783">
        <f>IF('Incremental Repayments'!$R$22="Debt",IF(AND(BS$4&gt;=$D110,BS$4&lt;$D110+'Incremental Repayments'!$I$31),-PMT('Interest Rate'!$J$16,'Incremental Repayments'!$I$31,(HLOOKUP($D110,$E$4:$CZ$32,28,FALSE)*'Incremental Repayments'!$I$22)),0),0)</f>
        <v>0</v>
      </c>
      <c r="BT110" s="783">
        <f>IF('Incremental Repayments'!$R$22="Debt",IF(AND(BT$4&gt;=$D110,BT$4&lt;$D110+'Incremental Repayments'!$I$31),-PMT('Interest Rate'!$J$16,'Incremental Repayments'!$I$31,(HLOOKUP($D110,$E$4:$CZ$32,28,FALSE)*'Incremental Repayments'!$I$22)),0),0)</f>
        <v>0</v>
      </c>
      <c r="BU110" s="783">
        <f>IF('Incremental Repayments'!$R$22="Debt",IF(AND(BU$4&gt;=$D110,BU$4&lt;$D110+'Incremental Repayments'!$I$31),-PMT('Interest Rate'!$J$16,'Incremental Repayments'!$I$31,(HLOOKUP($D110,$E$4:$CZ$32,28,FALSE)*'Incremental Repayments'!$I$22)),0),0)</f>
        <v>0</v>
      </c>
      <c r="BV110" s="783">
        <f>IF('Incremental Repayments'!$R$22="Debt",IF(AND(BV$4&gt;=$D110,BV$4&lt;$D110+'Incremental Repayments'!$I$31),-PMT('Interest Rate'!$J$16,'Incremental Repayments'!$I$31,(HLOOKUP($D110,$E$4:$CZ$32,28,FALSE)*'Incremental Repayments'!$I$22)),0),0)</f>
        <v>0</v>
      </c>
      <c r="BW110" s="783">
        <f>IF('Incremental Repayments'!$R$22="Debt",IF(AND(BW$4&gt;=$D110,BW$4&lt;$D110+'Incremental Repayments'!$I$31),-PMT('Interest Rate'!$J$16,'Incremental Repayments'!$I$31,(HLOOKUP($D110,$E$4:$CZ$32,28,FALSE)*'Incremental Repayments'!$I$22)),0),0)</f>
        <v>0</v>
      </c>
      <c r="BX110" s="783">
        <f>IF('Incremental Repayments'!$R$22="Debt",IF(AND(BX$4&gt;=$D110,BX$4&lt;$D110+'Incremental Repayments'!$I$31),-PMT('Interest Rate'!$J$16,'Incremental Repayments'!$I$31,(HLOOKUP($D110,$E$4:$CZ$32,28,FALSE)*'Incremental Repayments'!$I$22)),0),0)</f>
        <v>0</v>
      </c>
      <c r="BY110" s="783">
        <f>IF('Incremental Repayments'!$R$22="Debt",IF(AND(BY$4&gt;=$D110,BY$4&lt;$D110+'Incremental Repayments'!$I$31),-PMT('Interest Rate'!$J$16,'Incremental Repayments'!$I$31,(HLOOKUP($D110,$E$4:$CZ$32,28,FALSE)*'Incremental Repayments'!$I$22)),0),0)</f>
        <v>0</v>
      </c>
      <c r="BZ110" s="783">
        <f>IF('Incremental Repayments'!$R$22="Debt",IF(AND(BZ$4&gt;=$D110,BZ$4&lt;$D110+'Incremental Repayments'!$I$31),-PMT('Interest Rate'!$J$16,'Incremental Repayments'!$I$31,(HLOOKUP($D110,$E$4:$CZ$32,28,FALSE)*'Incremental Repayments'!$I$22)),0),0)</f>
        <v>0</v>
      </c>
      <c r="CA110" s="783">
        <f>IF('Incremental Repayments'!$R$22="Debt",IF(AND(CA$4&gt;=$D110,CA$4&lt;$D110+'Incremental Repayments'!$I$31),-PMT('Interest Rate'!$J$16,'Incremental Repayments'!$I$31,(HLOOKUP($D110,$E$4:$CZ$32,28,FALSE)*'Incremental Repayments'!$I$22)),0),0)</f>
        <v>0</v>
      </c>
      <c r="CB110" s="783">
        <f>IF('Incremental Repayments'!$R$22="Debt",IF(AND(CB$4&gt;=$D110,CB$4&lt;$D110+'Incremental Repayments'!$I$31),-PMT('Interest Rate'!$J$16,'Incremental Repayments'!$I$31,(HLOOKUP($D110,$E$4:$CZ$32,28,FALSE)*'Incremental Repayments'!$I$22)),0),0)</f>
        <v>0</v>
      </c>
      <c r="CC110" s="783">
        <f>IF('Incremental Repayments'!$R$22="Debt",IF(AND(CC$4&gt;=$D110,CC$4&lt;$D110+'Incremental Repayments'!$I$31),-PMT('Interest Rate'!$J$16,'Incremental Repayments'!$I$31,(HLOOKUP($D110,$E$4:$CZ$32,28,FALSE)*'Incremental Repayments'!$I$22)),0),0)</f>
        <v>0</v>
      </c>
      <c r="CD110" s="783">
        <f>IF('Incremental Repayments'!$R$22="Debt",IF(AND(CD$4&gt;=$D110,CD$4&lt;$D110+'Incremental Repayments'!$I$31),-PMT('Interest Rate'!$J$16,'Incremental Repayments'!$I$31,(HLOOKUP($D110,$E$4:$CZ$32,28,FALSE)*'Incremental Repayments'!$I$22)),0),0)</f>
        <v>0</v>
      </c>
      <c r="CE110" s="783">
        <f>IF('Incremental Repayments'!$R$22="Debt",IF(AND(CE$4&gt;=$D110,CE$4&lt;$D110+'Incremental Repayments'!$I$31),-PMT('Interest Rate'!$J$16,'Incremental Repayments'!$I$31,(HLOOKUP($D110,$E$4:$CZ$32,28,FALSE)*'Incremental Repayments'!$I$22)),0),0)</f>
        <v>0</v>
      </c>
      <c r="CF110" s="783">
        <f>IF('Incremental Repayments'!$R$22="Debt",IF(AND(CF$4&gt;=$D110,CF$4&lt;$D110+'Incremental Repayments'!$I$31),-PMT('Interest Rate'!$J$16,'Incremental Repayments'!$I$31,(HLOOKUP($D110,$E$4:$CZ$32,28,FALSE)*'Incremental Repayments'!$I$22)),0),0)</f>
        <v>0</v>
      </c>
      <c r="CG110" s="783">
        <f>IF('Incremental Repayments'!$R$22="Debt",IF(AND(CG$4&gt;=$D110,CG$4&lt;$D110+'Incremental Repayments'!$I$31),-PMT('Interest Rate'!$J$16,'Incremental Repayments'!$I$31,(HLOOKUP($D110,$E$4:$CZ$32,28,FALSE)*'Incremental Repayments'!$I$22)),0),0)</f>
        <v>0</v>
      </c>
      <c r="CH110" s="783">
        <f>IF('Incremental Repayments'!$R$22="Debt",IF(AND(CH$4&gt;=$D110,CH$4&lt;$D110+'Incremental Repayments'!$I$31),-PMT('Interest Rate'!$J$16,'Incremental Repayments'!$I$31,(HLOOKUP($D110,$E$4:$CZ$32,28,FALSE)*'Incremental Repayments'!$I$22)),0),0)</f>
        <v>0</v>
      </c>
      <c r="CI110" s="783">
        <f>IF('Incremental Repayments'!$R$22="Debt",IF(AND(CI$4&gt;=$D110,CI$4&lt;$D110+'Incremental Repayments'!$I$31),-PMT('Interest Rate'!$J$16,'Incremental Repayments'!$I$31,(HLOOKUP($D110,$E$4:$CZ$32,28,FALSE)*'Incremental Repayments'!$I$22)),0),0)</f>
        <v>0</v>
      </c>
      <c r="CJ110" s="783">
        <f>IF('Incremental Repayments'!$R$22="Debt",IF(AND(CJ$4&gt;=$D110,CJ$4&lt;$D110+'Incremental Repayments'!$I$31),-PMT('Interest Rate'!$J$16,'Incremental Repayments'!$I$31,(HLOOKUP($D110,$E$4:$CZ$32,28,FALSE)*'Incremental Repayments'!$I$22)),0),0)</f>
        <v>0</v>
      </c>
      <c r="CK110" s="783">
        <f>IF('Incremental Repayments'!$R$22="Debt",IF(AND(CK$4&gt;=$D110,CK$4&lt;$D110+'Incremental Repayments'!$I$31),-PMT('Interest Rate'!$J$16,'Incremental Repayments'!$I$31,(HLOOKUP($D110,$E$4:$CZ$32,28,FALSE)*'Incremental Repayments'!$I$22)),0),0)</f>
        <v>0</v>
      </c>
      <c r="CL110" s="783">
        <f>IF('Incremental Repayments'!$R$22="Debt",IF(AND(CL$4&gt;=$D110,CL$4&lt;$D110+'Incremental Repayments'!$I$31),-PMT('Interest Rate'!$J$16,'Incremental Repayments'!$I$31,(HLOOKUP($D110,$E$4:$CZ$32,28,FALSE)*'Incremental Repayments'!$I$22)),0),0)</f>
        <v>0</v>
      </c>
      <c r="CM110" s="783">
        <f>IF('Incremental Repayments'!$R$22="Debt",IF(AND(CM$4&gt;=$D110,CM$4&lt;$D110+'Incremental Repayments'!$I$31),-PMT('Interest Rate'!$J$16,'Incremental Repayments'!$I$31,(HLOOKUP($D110,$E$4:$CZ$32,28,FALSE)*'Incremental Repayments'!$I$22)),0),0)</f>
        <v>0</v>
      </c>
      <c r="CN110" s="783">
        <f>IF('Incremental Repayments'!$R$22="Debt",IF(AND(CN$4&gt;=$D110,CN$4&lt;$D110+'Incremental Repayments'!$I$31),-PMT('Interest Rate'!$J$16,'Incremental Repayments'!$I$31,(HLOOKUP($D110,$E$4:$CZ$32,28,FALSE)*'Incremental Repayments'!$I$22)),0),0)</f>
        <v>0</v>
      </c>
      <c r="CO110" s="783">
        <f>IF('Incremental Repayments'!$R$22="Debt",IF(AND(CO$4&gt;=$D110,CO$4&lt;$D110+'Incremental Repayments'!$I$31),-PMT('Interest Rate'!$J$16,'Incremental Repayments'!$I$31,(HLOOKUP($D110,$E$4:$CZ$32,28,FALSE)*'Incremental Repayments'!$I$22)),0),0)</f>
        <v>0</v>
      </c>
      <c r="CP110" s="783">
        <f>IF('Incremental Repayments'!$R$22="Debt",IF(AND(CP$4&gt;=$D110,CP$4&lt;$D110+'Incremental Repayments'!$I$31),-PMT('Interest Rate'!$J$16,'Incremental Repayments'!$I$31,(HLOOKUP($D110,$E$4:$CZ$32,28,FALSE)*'Incremental Repayments'!$I$22)),0),0)</f>
        <v>0</v>
      </c>
      <c r="CQ110" s="783">
        <f>IF('Incremental Repayments'!$R$22="Debt",IF(AND(CQ$4&gt;=$D110,CQ$4&lt;$D110+'Incremental Repayments'!$I$31),-PMT('Interest Rate'!$J$16,'Incremental Repayments'!$I$31,(HLOOKUP($D110,$E$4:$CZ$32,28,FALSE)*'Incremental Repayments'!$I$22)),0),0)</f>
        <v>0</v>
      </c>
      <c r="CR110" s="783">
        <f>IF('Incremental Repayments'!$R$22="Debt",IF(AND(CR$4&gt;=$D110,CR$4&lt;$D110+'Incremental Repayments'!$I$31),-PMT('Interest Rate'!$J$16,'Incremental Repayments'!$I$31,(HLOOKUP($D110,$E$4:$CZ$32,28,FALSE)*'Incremental Repayments'!$I$22)),0),0)</f>
        <v>0</v>
      </c>
      <c r="CS110" s="783">
        <f>IF('Incremental Repayments'!$R$22="Debt",IF(AND(CS$4&gt;=$D110,CS$4&lt;$D110+'Incremental Repayments'!$I$31),-PMT('Interest Rate'!$J$16,'Incremental Repayments'!$I$31,(HLOOKUP($D110,$E$4:$CZ$32,28,FALSE)*'Incremental Repayments'!$I$22)),0),0)</f>
        <v>0</v>
      </c>
      <c r="CT110" s="783">
        <f>IF('Incremental Repayments'!$R$22="Debt",IF(AND(CT$4&gt;=$D110,CT$4&lt;$D110+'Incremental Repayments'!$I$31),-PMT('Interest Rate'!$J$16,'Incremental Repayments'!$I$31,(HLOOKUP($D110,$E$4:$CZ$32,28,FALSE)*'Incremental Repayments'!$I$22)),0),0)</f>
        <v>0</v>
      </c>
      <c r="CU110" s="783">
        <f>IF('Incremental Repayments'!$R$22="Debt",IF(AND(CU$4&gt;=$D110,CU$4&lt;$D110+'Incremental Repayments'!$I$31),-PMT('Interest Rate'!$J$16,'Incremental Repayments'!$I$31,(HLOOKUP($D110,$E$4:$CZ$32,28,FALSE)*'Incremental Repayments'!$I$22)),0),0)</f>
        <v>0</v>
      </c>
      <c r="CV110" s="783">
        <f>IF('Incremental Repayments'!$R$22="Debt",IF(AND(CV$4&gt;=$D110,CV$4&lt;$D110+'Incremental Repayments'!$I$31),-PMT('Interest Rate'!$J$16,'Incremental Repayments'!$I$31,(HLOOKUP($D110,$E$4:$CZ$32,28,FALSE)*'Incremental Repayments'!$I$22)),0),0)</f>
        <v>0</v>
      </c>
      <c r="CW110" s="783">
        <f>IF('Incremental Repayments'!$R$22="Debt",IF(AND(CW$4&gt;=$D110,CW$4&lt;$D110+'Incremental Repayments'!$I$31),-PMT('Interest Rate'!$J$16,'Incremental Repayments'!$I$31,(HLOOKUP($D110,$E$4:$CZ$32,28,FALSE)*'Incremental Repayments'!$I$22)),0),0)</f>
        <v>0</v>
      </c>
      <c r="CX110" s="783">
        <f>IF('Incremental Repayments'!$R$22="Debt",IF(AND(CX$4&gt;=$D110,CX$4&lt;$D110+'Incremental Repayments'!$I$31),-PMT('Interest Rate'!$J$16,'Incremental Repayments'!$I$31,(HLOOKUP($D110,$E$4:$CZ$32,28,FALSE)*'Incremental Repayments'!$I$22)),0),0)</f>
        <v>0</v>
      </c>
      <c r="CY110" s="783">
        <f>IF('Incremental Repayments'!$R$22="Debt",IF(AND(CY$4&gt;=$D110,CY$4&lt;$D110+'Incremental Repayments'!$I$31),-PMT('Interest Rate'!$J$16,'Incremental Repayments'!$I$31,(HLOOKUP($D110,$E$4:$CZ$32,28,FALSE)*'Incremental Repayments'!$I$22)),0),0)</f>
        <v>0</v>
      </c>
      <c r="CZ110" s="783">
        <f>IF('Incremental Repayments'!$R$22="Debt",IF(AND(CZ$4&gt;=$D110,CZ$4&lt;$D110+'Incremental Repayments'!$I$31),-PMT('Interest Rate'!$J$16,'Incremental Repayments'!$I$31,(HLOOKUP($D110,$E$4:$CZ$32,28,FALSE)*'Incremental Repayments'!$I$22)),0),0)</f>
        <v>0</v>
      </c>
    </row>
    <row r="111" spans="2:104" x14ac:dyDescent="0.25">
      <c r="B111" s="480" t="str">
        <f>CONCATENATE("Series ",D111,"A Bonds (at ",'Interest Rate'!$J$16*100,"% Interest)")</f>
        <v>Series 2089A Bonds (at 4.5% Interest)</v>
      </c>
      <c r="C111" s="480"/>
      <c r="D111" s="492">
        <f t="shared" si="47"/>
        <v>2089</v>
      </c>
      <c r="E111" s="783">
        <f>IF('Incremental Repayments'!$R$22="Debt",IF(AND(E$4&gt;=$D111,E$4&lt;$D111+'Incremental Repayments'!$I$31),-PMT('Interest Rate'!$J$16,'Incremental Repayments'!$I$31,(HLOOKUP($D111,$E$4:$CZ$32,28,FALSE)*'Incremental Repayments'!$I$22)),0),0)</f>
        <v>0</v>
      </c>
      <c r="F111" s="783">
        <f>IF('Incremental Repayments'!$R$22="Debt",IF(AND(F$4&gt;=$D111,F$4&lt;$D111+'Incremental Repayments'!$I$31),-PMT('Interest Rate'!$J$16,'Incremental Repayments'!$I$31,(HLOOKUP($D111,$E$4:$CZ$32,28,FALSE)*'Incremental Repayments'!$I$22)),0),0)</f>
        <v>0</v>
      </c>
      <c r="G111" s="783">
        <f>IF('Incremental Repayments'!$R$22="Debt",IF(AND(G$4&gt;=$D111,G$4&lt;$D111+'Incremental Repayments'!$I$31),-PMT('Interest Rate'!$J$16,'Incremental Repayments'!$I$31,(HLOOKUP($D111,$E$4:$CZ$32,28,FALSE)*'Incremental Repayments'!$I$22)),0),0)</f>
        <v>0</v>
      </c>
      <c r="H111" s="783">
        <f>IF('Incremental Repayments'!$R$22="Debt",IF(AND(H$4&gt;=$D111,H$4&lt;$D111+'Incremental Repayments'!$I$31),-PMT('Interest Rate'!$J$16,'Incremental Repayments'!$I$31,(HLOOKUP($D111,$E$4:$CZ$32,28,FALSE)*'Incremental Repayments'!$I$22)),0),0)</f>
        <v>0</v>
      </c>
      <c r="I111" s="783">
        <f>IF('Incremental Repayments'!$R$22="Debt",IF(AND(I$4&gt;=$D111,I$4&lt;$D111+'Incremental Repayments'!$I$31),-PMT('Interest Rate'!$J$16,'Incremental Repayments'!$I$31,(HLOOKUP($D111,$E$4:$CZ$32,28,FALSE)*'Incremental Repayments'!$I$22)),0),0)</f>
        <v>0</v>
      </c>
      <c r="J111" s="783">
        <f>IF('Incremental Repayments'!$R$22="Debt",IF(AND(J$4&gt;=$D111,J$4&lt;$D111+'Incremental Repayments'!$I$31),-PMT('Interest Rate'!$J$16,'Incremental Repayments'!$I$31,(HLOOKUP($D111,$E$4:$CZ$32,28,FALSE)*'Incremental Repayments'!$I$22)),0),0)</f>
        <v>0</v>
      </c>
      <c r="K111" s="783">
        <f>IF('Incremental Repayments'!$R$22="Debt",IF(AND(K$4&gt;=$D111,K$4&lt;$D111+'Incremental Repayments'!$I$31),-PMT('Interest Rate'!$J$16,'Incremental Repayments'!$I$31,(HLOOKUP($D111,$E$4:$CZ$32,28,FALSE)*'Incremental Repayments'!$I$22)),0),0)</f>
        <v>0</v>
      </c>
      <c r="L111" s="783">
        <f>IF('Incremental Repayments'!$R$22="Debt",IF(AND(L$4&gt;=$D111,L$4&lt;$D111+'Incremental Repayments'!$I$31),-PMT('Interest Rate'!$J$16,'Incremental Repayments'!$I$31,(HLOOKUP($D111,$E$4:$CZ$32,28,FALSE)*'Incremental Repayments'!$I$22)),0),0)</f>
        <v>0</v>
      </c>
      <c r="M111" s="783">
        <f>IF('Incremental Repayments'!$R$22="Debt",IF(AND(M$4&gt;=$D111,M$4&lt;$D111+'Incremental Repayments'!$I$31),-PMT('Interest Rate'!$J$16,'Incremental Repayments'!$I$31,(HLOOKUP($D111,$E$4:$CZ$32,28,FALSE)*'Incremental Repayments'!$I$22)),0),0)</f>
        <v>0</v>
      </c>
      <c r="N111" s="783">
        <f>IF('Incremental Repayments'!$R$22="Debt",IF(AND(N$4&gt;=$D111,N$4&lt;$D111+'Incremental Repayments'!$I$31),-PMT('Interest Rate'!$J$16,'Incremental Repayments'!$I$31,(HLOOKUP($D111,$E$4:$CZ$32,28,FALSE)*'Incremental Repayments'!$I$22)),0),0)</f>
        <v>0</v>
      </c>
      <c r="O111" s="783">
        <f>IF('Incremental Repayments'!$R$22="Debt",IF(AND(O$4&gt;=$D111,O$4&lt;$D111+'Incremental Repayments'!$I$31),-PMT('Interest Rate'!$J$16,'Incremental Repayments'!$I$31,(HLOOKUP($D111,$E$4:$CZ$32,28,FALSE)*'Incremental Repayments'!$I$22)),0),0)</f>
        <v>0</v>
      </c>
      <c r="P111" s="783">
        <f>IF('Incremental Repayments'!$R$22="Debt",IF(AND(P$4&gt;=$D111,P$4&lt;$D111+'Incremental Repayments'!$I$31),-PMT('Interest Rate'!$J$16,'Incremental Repayments'!$I$31,(HLOOKUP($D111,$E$4:$CZ$32,28,FALSE)*'Incremental Repayments'!$I$22)),0),0)</f>
        <v>0</v>
      </c>
      <c r="Q111" s="783">
        <f>IF('Incremental Repayments'!$R$22="Debt",IF(AND(Q$4&gt;=$D111,Q$4&lt;$D111+'Incremental Repayments'!$I$31),-PMT('Interest Rate'!$J$16,'Incremental Repayments'!$I$31,(HLOOKUP($D111,$E$4:$CZ$32,28,FALSE)*'Incremental Repayments'!$I$22)),0),0)</f>
        <v>0</v>
      </c>
      <c r="R111" s="783">
        <f>IF('Incremental Repayments'!$R$22="Debt",IF(AND(R$4&gt;=$D111,R$4&lt;$D111+'Incremental Repayments'!$I$31),-PMT('Interest Rate'!$J$16,'Incremental Repayments'!$I$31,(HLOOKUP($D111,$E$4:$CZ$32,28,FALSE)*'Incremental Repayments'!$I$22)),0),0)</f>
        <v>0</v>
      </c>
      <c r="S111" s="783">
        <f>IF('Incremental Repayments'!$R$22="Debt",IF(AND(S$4&gt;=$D111,S$4&lt;$D111+'Incremental Repayments'!$I$31),-PMT('Interest Rate'!$J$16,'Incremental Repayments'!$I$31,(HLOOKUP($D111,$E$4:$CZ$32,28,FALSE)*'Incremental Repayments'!$I$22)),0),0)</f>
        <v>0</v>
      </c>
      <c r="T111" s="783">
        <f>IF('Incremental Repayments'!$R$22="Debt",IF(AND(T$4&gt;=$D111,T$4&lt;$D111+'Incremental Repayments'!$I$31),-PMT('Interest Rate'!$J$16,'Incremental Repayments'!$I$31,(HLOOKUP($D111,$E$4:$CZ$32,28,FALSE)*'Incremental Repayments'!$I$22)),0),0)</f>
        <v>0</v>
      </c>
      <c r="U111" s="783">
        <f>IF('Incremental Repayments'!$R$22="Debt",IF(AND(U$4&gt;=$D111,U$4&lt;$D111+'Incremental Repayments'!$I$31),-PMT('Interest Rate'!$J$16,'Incremental Repayments'!$I$31,(HLOOKUP($D111,$E$4:$CZ$32,28,FALSE)*'Incremental Repayments'!$I$22)),0),0)</f>
        <v>0</v>
      </c>
      <c r="V111" s="783">
        <f>IF('Incremental Repayments'!$R$22="Debt",IF(AND(V$4&gt;=$D111,V$4&lt;$D111+'Incremental Repayments'!$I$31),-PMT('Interest Rate'!$J$16,'Incremental Repayments'!$I$31,(HLOOKUP($D111,$E$4:$CZ$32,28,FALSE)*'Incremental Repayments'!$I$22)),0),0)</f>
        <v>0</v>
      </c>
      <c r="W111" s="783">
        <f>IF('Incremental Repayments'!$R$22="Debt",IF(AND(W$4&gt;=$D111,W$4&lt;$D111+'Incremental Repayments'!$I$31),-PMT('Interest Rate'!$J$16,'Incremental Repayments'!$I$31,(HLOOKUP($D111,$E$4:$CZ$32,28,FALSE)*'Incremental Repayments'!$I$22)),0),0)</f>
        <v>0</v>
      </c>
      <c r="X111" s="783">
        <f>IF('Incremental Repayments'!$R$22="Debt",IF(AND(X$4&gt;=$D111,X$4&lt;$D111+'Incremental Repayments'!$I$31),-PMT('Interest Rate'!$J$16,'Incremental Repayments'!$I$31,(HLOOKUP($D111,$E$4:$CZ$32,28,FALSE)*'Incremental Repayments'!$I$22)),0),0)</f>
        <v>0</v>
      </c>
      <c r="Y111" s="783">
        <f>IF('Incremental Repayments'!$R$22="Debt",IF(AND(Y$4&gt;=$D111,Y$4&lt;$D111+'Incremental Repayments'!$I$31),-PMT('Interest Rate'!$J$16,'Incremental Repayments'!$I$31,(HLOOKUP($D111,$E$4:$CZ$32,28,FALSE)*'Incremental Repayments'!$I$22)),0),0)</f>
        <v>0</v>
      </c>
      <c r="Z111" s="783">
        <f>IF('Incremental Repayments'!$R$22="Debt",IF(AND(Z$4&gt;=$D111,Z$4&lt;$D111+'Incremental Repayments'!$I$31),-PMT('Interest Rate'!$J$16,'Incremental Repayments'!$I$31,(HLOOKUP($D111,$E$4:$CZ$32,28,FALSE)*'Incremental Repayments'!$I$22)),0),0)</f>
        <v>0</v>
      </c>
      <c r="AA111" s="783">
        <f>IF('Incremental Repayments'!$R$22="Debt",IF(AND(AA$4&gt;=$D111,AA$4&lt;$D111+'Incremental Repayments'!$I$31),-PMT('Interest Rate'!$J$16,'Incremental Repayments'!$I$31,(HLOOKUP($D111,$E$4:$CZ$32,28,FALSE)*'Incremental Repayments'!$I$22)),0),0)</f>
        <v>0</v>
      </c>
      <c r="AB111" s="783">
        <f>IF('Incremental Repayments'!$R$22="Debt",IF(AND(AB$4&gt;=$D111,AB$4&lt;$D111+'Incremental Repayments'!$I$31),-PMT('Interest Rate'!$J$16,'Incremental Repayments'!$I$31,(HLOOKUP($D111,$E$4:$CZ$32,28,FALSE)*'Incremental Repayments'!$I$22)),0),0)</f>
        <v>0</v>
      </c>
      <c r="AC111" s="783">
        <f>IF('Incremental Repayments'!$R$22="Debt",IF(AND(AC$4&gt;=$D111,AC$4&lt;$D111+'Incremental Repayments'!$I$31),-PMT('Interest Rate'!$J$16,'Incremental Repayments'!$I$31,(HLOOKUP($D111,$E$4:$CZ$32,28,FALSE)*'Incremental Repayments'!$I$22)),0),0)</f>
        <v>0</v>
      </c>
      <c r="AD111" s="783">
        <f>IF('Incremental Repayments'!$R$22="Debt",IF(AND(AD$4&gt;=$D111,AD$4&lt;$D111+'Incremental Repayments'!$I$31),-PMT('Interest Rate'!$J$16,'Incremental Repayments'!$I$31,(HLOOKUP($D111,$E$4:$CZ$32,28,FALSE)*'Incremental Repayments'!$I$22)),0),0)</f>
        <v>0</v>
      </c>
      <c r="AE111" s="783">
        <f>IF('Incremental Repayments'!$R$22="Debt",IF(AND(AE$4&gt;=$D111,AE$4&lt;$D111+'Incremental Repayments'!$I$31),-PMT('Interest Rate'!$J$16,'Incremental Repayments'!$I$31,(HLOOKUP($D111,$E$4:$CZ$32,28,FALSE)*'Incremental Repayments'!$I$22)),0),0)</f>
        <v>0</v>
      </c>
      <c r="AF111" s="783">
        <f>IF('Incremental Repayments'!$R$22="Debt",IF(AND(AF$4&gt;=$D111,AF$4&lt;$D111+'Incremental Repayments'!$I$31),-PMT('Interest Rate'!$J$16,'Incremental Repayments'!$I$31,(HLOOKUP($D111,$E$4:$CZ$32,28,FALSE)*'Incremental Repayments'!$I$22)),0),0)</f>
        <v>0</v>
      </c>
      <c r="AG111" s="783">
        <f>IF('Incremental Repayments'!$R$22="Debt",IF(AND(AG$4&gt;=$D111,AG$4&lt;$D111+'Incremental Repayments'!$I$31),-PMT('Interest Rate'!$J$16,'Incremental Repayments'!$I$31,(HLOOKUP($D111,$E$4:$CZ$32,28,FALSE)*'Incremental Repayments'!$I$22)),0),0)</f>
        <v>0</v>
      </c>
      <c r="AH111" s="783">
        <f>IF('Incremental Repayments'!$R$22="Debt",IF(AND(AH$4&gt;=$D111,AH$4&lt;$D111+'Incremental Repayments'!$I$31),-PMT('Interest Rate'!$J$16,'Incremental Repayments'!$I$31,(HLOOKUP($D111,$E$4:$CZ$32,28,FALSE)*'Incremental Repayments'!$I$22)),0),0)</f>
        <v>0</v>
      </c>
      <c r="AI111" s="783">
        <f>IF('Incremental Repayments'!$R$22="Debt",IF(AND(AI$4&gt;=$D111,AI$4&lt;$D111+'Incremental Repayments'!$I$31),-PMT('Interest Rate'!$J$16,'Incremental Repayments'!$I$31,(HLOOKUP($D111,$E$4:$CZ$32,28,FALSE)*'Incremental Repayments'!$I$22)),0),0)</f>
        <v>0</v>
      </c>
      <c r="AJ111" s="783">
        <f>IF('Incremental Repayments'!$R$22="Debt",IF(AND(AJ$4&gt;=$D111,AJ$4&lt;$D111+'Incremental Repayments'!$I$31),-PMT('Interest Rate'!$J$16,'Incremental Repayments'!$I$31,(HLOOKUP($D111,$E$4:$CZ$32,28,FALSE)*'Incremental Repayments'!$I$22)),0),0)</f>
        <v>0</v>
      </c>
      <c r="AK111" s="783">
        <f>IF('Incremental Repayments'!$R$22="Debt",IF(AND(AK$4&gt;=$D111,AK$4&lt;$D111+'Incremental Repayments'!$I$31),-PMT('Interest Rate'!$J$16,'Incremental Repayments'!$I$31,(HLOOKUP($D111,$E$4:$CZ$32,28,FALSE)*'Incremental Repayments'!$I$22)),0),0)</f>
        <v>0</v>
      </c>
      <c r="AL111" s="783">
        <f>IF('Incremental Repayments'!$R$22="Debt",IF(AND(AL$4&gt;=$D111,AL$4&lt;$D111+'Incremental Repayments'!$I$31),-PMT('Interest Rate'!$J$16,'Incremental Repayments'!$I$31,(HLOOKUP($D111,$E$4:$CZ$32,28,FALSE)*'Incremental Repayments'!$I$22)),0),0)</f>
        <v>0</v>
      </c>
      <c r="AM111" s="783">
        <f>IF('Incremental Repayments'!$R$22="Debt",IF(AND(AM$4&gt;=$D111,AM$4&lt;$D111+'Incremental Repayments'!$I$31),-PMT('Interest Rate'!$J$16,'Incremental Repayments'!$I$31,(HLOOKUP($D111,$E$4:$CZ$32,28,FALSE)*'Incremental Repayments'!$I$22)),0),0)</f>
        <v>0</v>
      </c>
      <c r="AN111" s="783">
        <f>IF('Incremental Repayments'!$R$22="Debt",IF(AND(AN$4&gt;=$D111,AN$4&lt;$D111+'Incremental Repayments'!$I$31),-PMT('Interest Rate'!$J$16,'Incremental Repayments'!$I$31,(HLOOKUP($D111,$E$4:$CZ$32,28,FALSE)*'Incremental Repayments'!$I$22)),0),0)</f>
        <v>0</v>
      </c>
      <c r="AO111" s="783">
        <f>IF('Incremental Repayments'!$R$22="Debt",IF(AND(AO$4&gt;=$D111,AO$4&lt;$D111+'Incremental Repayments'!$I$31),-PMT('Interest Rate'!$J$16,'Incremental Repayments'!$I$31,(HLOOKUP($D111,$E$4:$CZ$32,28,FALSE)*'Incremental Repayments'!$I$22)),0),0)</f>
        <v>0</v>
      </c>
      <c r="AP111" s="783">
        <f>IF('Incremental Repayments'!$R$22="Debt",IF(AND(AP$4&gt;=$D111,AP$4&lt;$D111+'Incremental Repayments'!$I$31),-PMT('Interest Rate'!$J$16,'Incremental Repayments'!$I$31,(HLOOKUP($D111,$E$4:$CZ$32,28,FALSE)*'Incremental Repayments'!$I$22)),0),0)</f>
        <v>0</v>
      </c>
      <c r="AQ111" s="783">
        <f>IF('Incremental Repayments'!$R$22="Debt",IF(AND(AQ$4&gt;=$D111,AQ$4&lt;$D111+'Incremental Repayments'!$I$31),-PMT('Interest Rate'!$J$16,'Incremental Repayments'!$I$31,(HLOOKUP($D111,$E$4:$CZ$32,28,FALSE)*'Incremental Repayments'!$I$22)),0),0)</f>
        <v>0</v>
      </c>
      <c r="AR111" s="783">
        <f>IF('Incremental Repayments'!$R$22="Debt",IF(AND(AR$4&gt;=$D111,AR$4&lt;$D111+'Incremental Repayments'!$I$31),-PMT('Interest Rate'!$J$16,'Incremental Repayments'!$I$31,(HLOOKUP($D111,$E$4:$CZ$32,28,FALSE)*'Incremental Repayments'!$I$22)),0),0)</f>
        <v>0</v>
      </c>
      <c r="AS111" s="783">
        <f>IF('Incremental Repayments'!$R$22="Debt",IF(AND(AS$4&gt;=$D111,AS$4&lt;$D111+'Incremental Repayments'!$I$31),-PMT('Interest Rate'!$J$16,'Incremental Repayments'!$I$31,(HLOOKUP($D111,$E$4:$CZ$32,28,FALSE)*'Incremental Repayments'!$I$22)),0),0)</f>
        <v>0</v>
      </c>
      <c r="AT111" s="783">
        <f>IF('Incremental Repayments'!$R$22="Debt",IF(AND(AT$4&gt;=$D111,AT$4&lt;$D111+'Incremental Repayments'!$I$31),-PMT('Interest Rate'!$J$16,'Incremental Repayments'!$I$31,(HLOOKUP($D111,$E$4:$CZ$32,28,FALSE)*'Incremental Repayments'!$I$22)),0),0)</f>
        <v>0</v>
      </c>
      <c r="AU111" s="783">
        <f>IF('Incremental Repayments'!$R$22="Debt",IF(AND(AU$4&gt;=$D111,AU$4&lt;$D111+'Incremental Repayments'!$I$31),-PMT('Interest Rate'!$J$16,'Incremental Repayments'!$I$31,(HLOOKUP($D111,$E$4:$CZ$32,28,FALSE)*'Incremental Repayments'!$I$22)),0),0)</f>
        <v>0</v>
      </c>
      <c r="AV111" s="783">
        <f>IF('Incremental Repayments'!$R$22="Debt",IF(AND(AV$4&gt;=$D111,AV$4&lt;$D111+'Incremental Repayments'!$I$31),-PMT('Interest Rate'!$J$16,'Incremental Repayments'!$I$31,(HLOOKUP($D111,$E$4:$CZ$32,28,FALSE)*'Incremental Repayments'!$I$22)),0),0)</f>
        <v>0</v>
      </c>
      <c r="AW111" s="783">
        <f>IF('Incremental Repayments'!$R$22="Debt",IF(AND(AW$4&gt;=$D111,AW$4&lt;$D111+'Incremental Repayments'!$I$31),-PMT('Interest Rate'!$J$16,'Incremental Repayments'!$I$31,(HLOOKUP($D111,$E$4:$CZ$32,28,FALSE)*'Incremental Repayments'!$I$22)),0),0)</f>
        <v>0</v>
      </c>
      <c r="AX111" s="783">
        <f>IF('Incremental Repayments'!$R$22="Debt",IF(AND(AX$4&gt;=$D111,AX$4&lt;$D111+'Incremental Repayments'!$I$31),-PMT('Interest Rate'!$J$16,'Incremental Repayments'!$I$31,(HLOOKUP($D111,$E$4:$CZ$32,28,FALSE)*'Incremental Repayments'!$I$22)),0),0)</f>
        <v>0</v>
      </c>
      <c r="AY111" s="783">
        <f>IF('Incremental Repayments'!$R$22="Debt",IF(AND(AY$4&gt;=$D111,AY$4&lt;$D111+'Incremental Repayments'!$I$31),-PMT('Interest Rate'!$J$16,'Incremental Repayments'!$I$31,(HLOOKUP($D111,$E$4:$CZ$32,28,FALSE)*'Incremental Repayments'!$I$22)),0),0)</f>
        <v>0</v>
      </c>
      <c r="AZ111" s="783">
        <f>IF('Incremental Repayments'!$R$22="Debt",IF(AND(AZ$4&gt;=$D111,AZ$4&lt;$D111+'Incremental Repayments'!$I$31),-PMT('Interest Rate'!$J$16,'Incremental Repayments'!$I$31,(HLOOKUP($D111,$E$4:$CZ$32,28,FALSE)*'Incremental Repayments'!$I$22)),0),0)</f>
        <v>0</v>
      </c>
      <c r="BA111" s="783">
        <f>IF('Incremental Repayments'!$R$22="Debt",IF(AND(BA$4&gt;=$D111,BA$4&lt;$D111+'Incremental Repayments'!$I$31),-PMT('Interest Rate'!$J$16,'Incremental Repayments'!$I$31,(HLOOKUP($D111,$E$4:$CZ$32,28,FALSE)*'Incremental Repayments'!$I$22)),0),0)</f>
        <v>0</v>
      </c>
      <c r="BB111" s="783">
        <f>IF('Incremental Repayments'!$R$22="Debt",IF(AND(BB$4&gt;=$D111,BB$4&lt;$D111+'Incremental Repayments'!$I$31),-PMT('Interest Rate'!$J$16,'Incremental Repayments'!$I$31,(HLOOKUP($D111,$E$4:$CZ$32,28,FALSE)*'Incremental Repayments'!$I$22)),0),0)</f>
        <v>0</v>
      </c>
      <c r="BC111" s="783">
        <f>IF('Incremental Repayments'!$R$22="Debt",IF(AND(BC$4&gt;=$D111,BC$4&lt;$D111+'Incremental Repayments'!$I$31),-PMT('Interest Rate'!$J$16,'Incremental Repayments'!$I$31,(HLOOKUP($D111,$E$4:$CZ$32,28,FALSE)*'Incremental Repayments'!$I$22)),0),0)</f>
        <v>0</v>
      </c>
      <c r="BD111" s="783">
        <f>IF('Incremental Repayments'!$R$22="Debt",IF(AND(BD$4&gt;=$D111,BD$4&lt;$D111+'Incremental Repayments'!$I$31),-PMT('Interest Rate'!$J$16,'Incremental Repayments'!$I$31,(HLOOKUP($D111,$E$4:$CZ$32,28,FALSE)*'Incremental Repayments'!$I$22)),0),0)</f>
        <v>0</v>
      </c>
      <c r="BE111" s="783">
        <f>IF('Incremental Repayments'!$R$22="Debt",IF(AND(BE$4&gt;=$D111,BE$4&lt;$D111+'Incremental Repayments'!$I$31),-PMT('Interest Rate'!$J$16,'Incremental Repayments'!$I$31,(HLOOKUP($D111,$E$4:$CZ$32,28,FALSE)*'Incremental Repayments'!$I$22)),0),0)</f>
        <v>0</v>
      </c>
      <c r="BF111" s="783">
        <f>IF('Incremental Repayments'!$R$22="Debt",IF(AND(BF$4&gt;=$D111,BF$4&lt;$D111+'Incremental Repayments'!$I$31),-PMT('Interest Rate'!$J$16,'Incremental Repayments'!$I$31,(HLOOKUP($D111,$E$4:$CZ$32,28,FALSE)*'Incremental Repayments'!$I$22)),0),0)</f>
        <v>0</v>
      </c>
      <c r="BG111" s="783">
        <f>IF('Incremental Repayments'!$R$22="Debt",IF(AND(BG$4&gt;=$D111,BG$4&lt;$D111+'Incremental Repayments'!$I$31),-PMT('Interest Rate'!$J$16,'Incremental Repayments'!$I$31,(HLOOKUP($D111,$E$4:$CZ$32,28,FALSE)*'Incremental Repayments'!$I$22)),0),0)</f>
        <v>0</v>
      </c>
      <c r="BH111" s="783">
        <f>IF('Incremental Repayments'!$R$22="Debt",IF(AND(BH$4&gt;=$D111,BH$4&lt;$D111+'Incremental Repayments'!$I$31),-PMT('Interest Rate'!$J$16,'Incremental Repayments'!$I$31,(HLOOKUP($D111,$E$4:$CZ$32,28,FALSE)*'Incremental Repayments'!$I$22)),0),0)</f>
        <v>0</v>
      </c>
      <c r="BI111" s="783">
        <f>IF('Incremental Repayments'!$R$22="Debt",IF(AND(BI$4&gt;=$D111,BI$4&lt;$D111+'Incremental Repayments'!$I$31),-PMT('Interest Rate'!$J$16,'Incremental Repayments'!$I$31,(HLOOKUP($D111,$E$4:$CZ$32,28,FALSE)*'Incremental Repayments'!$I$22)),0),0)</f>
        <v>0</v>
      </c>
      <c r="BJ111" s="783">
        <f>IF('Incremental Repayments'!$R$22="Debt",IF(AND(BJ$4&gt;=$D111,BJ$4&lt;$D111+'Incremental Repayments'!$I$31),-PMT('Interest Rate'!$J$16,'Incremental Repayments'!$I$31,(HLOOKUP($D111,$E$4:$CZ$32,28,FALSE)*'Incremental Repayments'!$I$22)),0),0)</f>
        <v>0</v>
      </c>
      <c r="BK111" s="783">
        <f>IF('Incremental Repayments'!$R$22="Debt",IF(AND(BK$4&gt;=$D111,BK$4&lt;$D111+'Incremental Repayments'!$I$31),-PMT('Interest Rate'!$J$16,'Incremental Repayments'!$I$31,(HLOOKUP($D111,$E$4:$CZ$32,28,FALSE)*'Incremental Repayments'!$I$22)),0),0)</f>
        <v>0</v>
      </c>
      <c r="BL111" s="783">
        <f>IF('Incremental Repayments'!$R$22="Debt",IF(AND(BL$4&gt;=$D111,BL$4&lt;$D111+'Incremental Repayments'!$I$31),-PMT('Interest Rate'!$J$16,'Incremental Repayments'!$I$31,(HLOOKUP($D111,$E$4:$CZ$32,28,FALSE)*'Incremental Repayments'!$I$22)),0),0)</f>
        <v>0</v>
      </c>
      <c r="BM111" s="783">
        <f>IF('Incremental Repayments'!$R$22="Debt",IF(AND(BM$4&gt;=$D111,BM$4&lt;$D111+'Incremental Repayments'!$I$31),-PMT('Interest Rate'!$J$16,'Incremental Repayments'!$I$31,(HLOOKUP($D111,$E$4:$CZ$32,28,FALSE)*'Incremental Repayments'!$I$22)),0),0)</f>
        <v>0</v>
      </c>
      <c r="BN111" s="783">
        <f>IF('Incremental Repayments'!$R$22="Debt",IF(AND(BN$4&gt;=$D111,BN$4&lt;$D111+'Incremental Repayments'!$I$31),-PMT('Interest Rate'!$J$16,'Incremental Repayments'!$I$31,(HLOOKUP($D111,$E$4:$CZ$32,28,FALSE)*'Incremental Repayments'!$I$22)),0),0)</f>
        <v>0</v>
      </c>
      <c r="BO111" s="783">
        <f>IF('Incremental Repayments'!$R$22="Debt",IF(AND(BO$4&gt;=$D111,BO$4&lt;$D111+'Incremental Repayments'!$I$31),-PMT('Interest Rate'!$J$16,'Incremental Repayments'!$I$31,(HLOOKUP($D111,$E$4:$CZ$32,28,FALSE)*'Incremental Repayments'!$I$22)),0),0)</f>
        <v>0</v>
      </c>
      <c r="BP111" s="783">
        <f>IF('Incremental Repayments'!$R$22="Debt",IF(AND(BP$4&gt;=$D111,BP$4&lt;$D111+'Incremental Repayments'!$I$31),-PMT('Interest Rate'!$J$16,'Incremental Repayments'!$I$31,(HLOOKUP($D111,$E$4:$CZ$32,28,FALSE)*'Incremental Repayments'!$I$22)),0),0)</f>
        <v>0</v>
      </c>
      <c r="BQ111" s="783">
        <f>IF('Incremental Repayments'!$R$22="Debt",IF(AND(BQ$4&gt;=$D111,BQ$4&lt;$D111+'Incremental Repayments'!$I$31),-PMT('Interest Rate'!$J$16,'Incremental Repayments'!$I$31,(HLOOKUP($D111,$E$4:$CZ$32,28,FALSE)*'Incremental Repayments'!$I$22)),0),0)</f>
        <v>0</v>
      </c>
      <c r="BR111" s="783">
        <f>IF('Incremental Repayments'!$R$22="Debt",IF(AND(BR$4&gt;=$D111,BR$4&lt;$D111+'Incremental Repayments'!$I$31),-PMT('Interest Rate'!$J$16,'Incremental Repayments'!$I$31,(HLOOKUP($D111,$E$4:$CZ$32,28,FALSE)*'Incremental Repayments'!$I$22)),0),0)</f>
        <v>0</v>
      </c>
      <c r="BS111" s="783">
        <f>IF('Incremental Repayments'!$R$22="Debt",IF(AND(BS$4&gt;=$D111,BS$4&lt;$D111+'Incremental Repayments'!$I$31),-PMT('Interest Rate'!$J$16,'Incremental Repayments'!$I$31,(HLOOKUP($D111,$E$4:$CZ$32,28,FALSE)*'Incremental Repayments'!$I$22)),0),0)</f>
        <v>0</v>
      </c>
      <c r="BT111" s="783">
        <f>IF('Incremental Repayments'!$R$22="Debt",IF(AND(BT$4&gt;=$D111,BT$4&lt;$D111+'Incremental Repayments'!$I$31),-PMT('Interest Rate'!$J$16,'Incremental Repayments'!$I$31,(HLOOKUP($D111,$E$4:$CZ$32,28,FALSE)*'Incremental Repayments'!$I$22)),0),0)</f>
        <v>0</v>
      </c>
      <c r="BU111" s="783">
        <f>IF('Incremental Repayments'!$R$22="Debt",IF(AND(BU$4&gt;=$D111,BU$4&lt;$D111+'Incremental Repayments'!$I$31),-PMT('Interest Rate'!$J$16,'Incremental Repayments'!$I$31,(HLOOKUP($D111,$E$4:$CZ$32,28,FALSE)*'Incremental Repayments'!$I$22)),0),0)</f>
        <v>0</v>
      </c>
      <c r="BV111" s="783">
        <f>IF('Incremental Repayments'!$R$22="Debt",IF(AND(BV$4&gt;=$D111,BV$4&lt;$D111+'Incremental Repayments'!$I$31),-PMT('Interest Rate'!$J$16,'Incremental Repayments'!$I$31,(HLOOKUP($D111,$E$4:$CZ$32,28,FALSE)*'Incremental Repayments'!$I$22)),0),0)</f>
        <v>0</v>
      </c>
      <c r="BW111" s="783">
        <f>IF('Incremental Repayments'!$R$22="Debt",IF(AND(BW$4&gt;=$D111,BW$4&lt;$D111+'Incremental Repayments'!$I$31),-PMT('Interest Rate'!$J$16,'Incremental Repayments'!$I$31,(HLOOKUP($D111,$E$4:$CZ$32,28,FALSE)*'Incremental Repayments'!$I$22)),0),0)</f>
        <v>0</v>
      </c>
      <c r="BX111" s="783">
        <f>IF('Incremental Repayments'!$R$22="Debt",IF(AND(BX$4&gt;=$D111,BX$4&lt;$D111+'Incremental Repayments'!$I$31),-PMT('Interest Rate'!$J$16,'Incremental Repayments'!$I$31,(HLOOKUP($D111,$E$4:$CZ$32,28,FALSE)*'Incremental Repayments'!$I$22)),0),0)</f>
        <v>0</v>
      </c>
      <c r="BY111" s="783">
        <f>IF('Incremental Repayments'!$R$22="Debt",IF(AND(BY$4&gt;=$D111,BY$4&lt;$D111+'Incremental Repayments'!$I$31),-PMT('Interest Rate'!$J$16,'Incremental Repayments'!$I$31,(HLOOKUP($D111,$E$4:$CZ$32,28,FALSE)*'Incremental Repayments'!$I$22)),0),0)</f>
        <v>0</v>
      </c>
      <c r="BZ111" s="783">
        <f>IF('Incremental Repayments'!$R$22="Debt",IF(AND(BZ$4&gt;=$D111,BZ$4&lt;$D111+'Incremental Repayments'!$I$31),-PMT('Interest Rate'!$J$16,'Incremental Repayments'!$I$31,(HLOOKUP($D111,$E$4:$CZ$32,28,FALSE)*'Incremental Repayments'!$I$22)),0),0)</f>
        <v>0</v>
      </c>
      <c r="CA111" s="783">
        <f>IF('Incremental Repayments'!$R$22="Debt",IF(AND(CA$4&gt;=$D111,CA$4&lt;$D111+'Incremental Repayments'!$I$31),-PMT('Interest Rate'!$J$16,'Incremental Repayments'!$I$31,(HLOOKUP($D111,$E$4:$CZ$32,28,FALSE)*'Incremental Repayments'!$I$22)),0),0)</f>
        <v>0</v>
      </c>
      <c r="CB111" s="783">
        <f>IF('Incremental Repayments'!$R$22="Debt",IF(AND(CB$4&gt;=$D111,CB$4&lt;$D111+'Incremental Repayments'!$I$31),-PMT('Interest Rate'!$J$16,'Incremental Repayments'!$I$31,(HLOOKUP($D111,$E$4:$CZ$32,28,FALSE)*'Incremental Repayments'!$I$22)),0),0)</f>
        <v>0</v>
      </c>
      <c r="CC111" s="783">
        <f>IF('Incremental Repayments'!$R$22="Debt",IF(AND(CC$4&gt;=$D111,CC$4&lt;$D111+'Incremental Repayments'!$I$31),-PMT('Interest Rate'!$J$16,'Incremental Repayments'!$I$31,(HLOOKUP($D111,$E$4:$CZ$32,28,FALSE)*'Incremental Repayments'!$I$22)),0),0)</f>
        <v>0</v>
      </c>
      <c r="CD111" s="783">
        <f>IF('Incremental Repayments'!$R$22="Debt",IF(AND(CD$4&gt;=$D111,CD$4&lt;$D111+'Incremental Repayments'!$I$31),-PMT('Interest Rate'!$J$16,'Incremental Repayments'!$I$31,(HLOOKUP($D111,$E$4:$CZ$32,28,FALSE)*'Incremental Repayments'!$I$22)),0),0)</f>
        <v>0</v>
      </c>
      <c r="CE111" s="783">
        <f>IF('Incremental Repayments'!$R$22="Debt",IF(AND(CE$4&gt;=$D111,CE$4&lt;$D111+'Incremental Repayments'!$I$31),-PMT('Interest Rate'!$J$16,'Incremental Repayments'!$I$31,(HLOOKUP($D111,$E$4:$CZ$32,28,FALSE)*'Incremental Repayments'!$I$22)),0),0)</f>
        <v>0</v>
      </c>
      <c r="CF111" s="783">
        <f>IF('Incremental Repayments'!$R$22="Debt",IF(AND(CF$4&gt;=$D111,CF$4&lt;$D111+'Incremental Repayments'!$I$31),-PMT('Interest Rate'!$J$16,'Incremental Repayments'!$I$31,(HLOOKUP($D111,$E$4:$CZ$32,28,FALSE)*'Incremental Repayments'!$I$22)),0),0)</f>
        <v>0</v>
      </c>
      <c r="CG111" s="783">
        <f>IF('Incremental Repayments'!$R$22="Debt",IF(AND(CG$4&gt;=$D111,CG$4&lt;$D111+'Incremental Repayments'!$I$31),-PMT('Interest Rate'!$J$16,'Incremental Repayments'!$I$31,(HLOOKUP($D111,$E$4:$CZ$32,28,FALSE)*'Incremental Repayments'!$I$22)),0),0)</f>
        <v>0</v>
      </c>
      <c r="CH111" s="783">
        <f>IF('Incremental Repayments'!$R$22="Debt",IF(AND(CH$4&gt;=$D111,CH$4&lt;$D111+'Incremental Repayments'!$I$31),-PMT('Interest Rate'!$J$16,'Incremental Repayments'!$I$31,(HLOOKUP($D111,$E$4:$CZ$32,28,FALSE)*'Incremental Repayments'!$I$22)),0),0)</f>
        <v>0</v>
      </c>
      <c r="CI111" s="783">
        <f>IF('Incremental Repayments'!$R$22="Debt",IF(AND(CI$4&gt;=$D111,CI$4&lt;$D111+'Incremental Repayments'!$I$31),-PMT('Interest Rate'!$J$16,'Incremental Repayments'!$I$31,(HLOOKUP($D111,$E$4:$CZ$32,28,FALSE)*'Incremental Repayments'!$I$22)),0),0)</f>
        <v>0</v>
      </c>
      <c r="CJ111" s="783">
        <f>IF('Incremental Repayments'!$R$22="Debt",IF(AND(CJ$4&gt;=$D111,CJ$4&lt;$D111+'Incremental Repayments'!$I$31),-PMT('Interest Rate'!$J$16,'Incremental Repayments'!$I$31,(HLOOKUP($D111,$E$4:$CZ$32,28,FALSE)*'Incremental Repayments'!$I$22)),0),0)</f>
        <v>0</v>
      </c>
      <c r="CK111" s="783">
        <f>IF('Incremental Repayments'!$R$22="Debt",IF(AND(CK$4&gt;=$D111,CK$4&lt;$D111+'Incremental Repayments'!$I$31),-PMT('Interest Rate'!$J$16,'Incremental Repayments'!$I$31,(HLOOKUP($D111,$E$4:$CZ$32,28,FALSE)*'Incremental Repayments'!$I$22)),0),0)</f>
        <v>0</v>
      </c>
      <c r="CL111" s="783">
        <f>IF('Incremental Repayments'!$R$22="Debt",IF(AND(CL$4&gt;=$D111,CL$4&lt;$D111+'Incremental Repayments'!$I$31),-PMT('Interest Rate'!$J$16,'Incremental Repayments'!$I$31,(HLOOKUP($D111,$E$4:$CZ$32,28,FALSE)*'Incremental Repayments'!$I$22)),0),0)</f>
        <v>0</v>
      </c>
      <c r="CM111" s="783">
        <f>IF('Incremental Repayments'!$R$22="Debt",IF(AND(CM$4&gt;=$D111,CM$4&lt;$D111+'Incremental Repayments'!$I$31),-PMT('Interest Rate'!$J$16,'Incremental Repayments'!$I$31,(HLOOKUP($D111,$E$4:$CZ$32,28,FALSE)*'Incremental Repayments'!$I$22)),0),0)</f>
        <v>0</v>
      </c>
      <c r="CN111" s="783">
        <f>IF('Incremental Repayments'!$R$22="Debt",IF(AND(CN$4&gt;=$D111,CN$4&lt;$D111+'Incremental Repayments'!$I$31),-PMT('Interest Rate'!$J$16,'Incremental Repayments'!$I$31,(HLOOKUP($D111,$E$4:$CZ$32,28,FALSE)*'Incremental Repayments'!$I$22)),0),0)</f>
        <v>0</v>
      </c>
      <c r="CO111" s="783">
        <f>IF('Incremental Repayments'!$R$22="Debt",IF(AND(CO$4&gt;=$D111,CO$4&lt;$D111+'Incremental Repayments'!$I$31),-PMT('Interest Rate'!$J$16,'Incremental Repayments'!$I$31,(HLOOKUP($D111,$E$4:$CZ$32,28,FALSE)*'Incremental Repayments'!$I$22)),0),0)</f>
        <v>0</v>
      </c>
      <c r="CP111" s="783">
        <f>IF('Incremental Repayments'!$R$22="Debt",IF(AND(CP$4&gt;=$D111,CP$4&lt;$D111+'Incremental Repayments'!$I$31),-PMT('Interest Rate'!$J$16,'Incremental Repayments'!$I$31,(HLOOKUP($D111,$E$4:$CZ$32,28,FALSE)*'Incremental Repayments'!$I$22)),0),0)</f>
        <v>0</v>
      </c>
      <c r="CQ111" s="783">
        <f>IF('Incremental Repayments'!$R$22="Debt",IF(AND(CQ$4&gt;=$D111,CQ$4&lt;$D111+'Incremental Repayments'!$I$31),-PMT('Interest Rate'!$J$16,'Incremental Repayments'!$I$31,(HLOOKUP($D111,$E$4:$CZ$32,28,FALSE)*'Incremental Repayments'!$I$22)),0),0)</f>
        <v>0</v>
      </c>
      <c r="CR111" s="783">
        <f>IF('Incremental Repayments'!$R$22="Debt",IF(AND(CR$4&gt;=$D111,CR$4&lt;$D111+'Incremental Repayments'!$I$31),-PMT('Interest Rate'!$J$16,'Incremental Repayments'!$I$31,(HLOOKUP($D111,$E$4:$CZ$32,28,FALSE)*'Incremental Repayments'!$I$22)),0),0)</f>
        <v>0</v>
      </c>
      <c r="CS111" s="783">
        <f>IF('Incremental Repayments'!$R$22="Debt",IF(AND(CS$4&gt;=$D111,CS$4&lt;$D111+'Incremental Repayments'!$I$31),-PMT('Interest Rate'!$J$16,'Incremental Repayments'!$I$31,(HLOOKUP($D111,$E$4:$CZ$32,28,FALSE)*'Incremental Repayments'!$I$22)),0),0)</f>
        <v>0</v>
      </c>
      <c r="CT111" s="783">
        <f>IF('Incremental Repayments'!$R$22="Debt",IF(AND(CT$4&gt;=$D111,CT$4&lt;$D111+'Incremental Repayments'!$I$31),-PMT('Interest Rate'!$J$16,'Incremental Repayments'!$I$31,(HLOOKUP($D111,$E$4:$CZ$32,28,FALSE)*'Incremental Repayments'!$I$22)),0),0)</f>
        <v>0</v>
      </c>
      <c r="CU111" s="783">
        <f>IF('Incremental Repayments'!$R$22="Debt",IF(AND(CU$4&gt;=$D111,CU$4&lt;$D111+'Incremental Repayments'!$I$31),-PMT('Interest Rate'!$J$16,'Incremental Repayments'!$I$31,(HLOOKUP($D111,$E$4:$CZ$32,28,FALSE)*'Incremental Repayments'!$I$22)),0),0)</f>
        <v>0</v>
      </c>
      <c r="CV111" s="783">
        <f>IF('Incremental Repayments'!$R$22="Debt",IF(AND(CV$4&gt;=$D111,CV$4&lt;$D111+'Incremental Repayments'!$I$31),-PMT('Interest Rate'!$J$16,'Incremental Repayments'!$I$31,(HLOOKUP($D111,$E$4:$CZ$32,28,FALSE)*'Incremental Repayments'!$I$22)),0),0)</f>
        <v>0</v>
      </c>
      <c r="CW111" s="783">
        <f>IF('Incremental Repayments'!$R$22="Debt",IF(AND(CW$4&gt;=$D111,CW$4&lt;$D111+'Incremental Repayments'!$I$31),-PMT('Interest Rate'!$J$16,'Incremental Repayments'!$I$31,(HLOOKUP($D111,$E$4:$CZ$32,28,FALSE)*'Incremental Repayments'!$I$22)),0),0)</f>
        <v>0</v>
      </c>
      <c r="CX111" s="783">
        <f>IF('Incremental Repayments'!$R$22="Debt",IF(AND(CX$4&gt;=$D111,CX$4&lt;$D111+'Incremental Repayments'!$I$31),-PMT('Interest Rate'!$J$16,'Incremental Repayments'!$I$31,(HLOOKUP($D111,$E$4:$CZ$32,28,FALSE)*'Incremental Repayments'!$I$22)),0),0)</f>
        <v>0</v>
      </c>
      <c r="CY111" s="783">
        <f>IF('Incremental Repayments'!$R$22="Debt",IF(AND(CY$4&gt;=$D111,CY$4&lt;$D111+'Incremental Repayments'!$I$31),-PMT('Interest Rate'!$J$16,'Incremental Repayments'!$I$31,(HLOOKUP($D111,$E$4:$CZ$32,28,FALSE)*'Incremental Repayments'!$I$22)),0),0)</f>
        <v>0</v>
      </c>
      <c r="CZ111" s="783">
        <f>IF('Incremental Repayments'!$R$22="Debt",IF(AND(CZ$4&gt;=$D111,CZ$4&lt;$D111+'Incremental Repayments'!$I$31),-PMT('Interest Rate'!$J$16,'Incremental Repayments'!$I$31,(HLOOKUP($D111,$E$4:$CZ$32,28,FALSE)*'Incremental Repayments'!$I$22)),0),0)</f>
        <v>0</v>
      </c>
    </row>
    <row r="112" spans="2:104" x14ac:dyDescent="0.25">
      <c r="B112" s="480" t="str">
        <f>CONCATENATE("Series ",D112,"A Bonds (at ",'Interest Rate'!$J$16*100,"% Interest)")</f>
        <v>Series 2090A Bonds (at 4.5% Interest)</v>
      </c>
      <c r="C112" s="480"/>
      <c r="D112" s="492">
        <f t="shared" si="47"/>
        <v>2090</v>
      </c>
      <c r="E112" s="783">
        <f>IF('Incremental Repayments'!$R$22="Debt",IF(AND(E$4&gt;=$D112,E$4&lt;$D112+'Incremental Repayments'!$I$31),-PMT('Interest Rate'!$J$16,'Incremental Repayments'!$I$31,(HLOOKUP($D112,$E$4:$CZ$32,28,FALSE)*'Incremental Repayments'!$I$22)),0),0)</f>
        <v>0</v>
      </c>
      <c r="F112" s="783">
        <f>IF('Incremental Repayments'!$R$22="Debt",IF(AND(F$4&gt;=$D112,F$4&lt;$D112+'Incremental Repayments'!$I$31),-PMT('Interest Rate'!$J$16,'Incremental Repayments'!$I$31,(HLOOKUP($D112,$E$4:$CZ$32,28,FALSE)*'Incremental Repayments'!$I$22)),0),0)</f>
        <v>0</v>
      </c>
      <c r="G112" s="783">
        <f>IF('Incremental Repayments'!$R$22="Debt",IF(AND(G$4&gt;=$D112,G$4&lt;$D112+'Incremental Repayments'!$I$31),-PMT('Interest Rate'!$J$16,'Incremental Repayments'!$I$31,(HLOOKUP($D112,$E$4:$CZ$32,28,FALSE)*'Incremental Repayments'!$I$22)),0),0)</f>
        <v>0</v>
      </c>
      <c r="H112" s="783">
        <f>IF('Incremental Repayments'!$R$22="Debt",IF(AND(H$4&gt;=$D112,H$4&lt;$D112+'Incremental Repayments'!$I$31),-PMT('Interest Rate'!$J$16,'Incremental Repayments'!$I$31,(HLOOKUP($D112,$E$4:$CZ$32,28,FALSE)*'Incremental Repayments'!$I$22)),0),0)</f>
        <v>0</v>
      </c>
      <c r="I112" s="783">
        <f>IF('Incremental Repayments'!$R$22="Debt",IF(AND(I$4&gt;=$D112,I$4&lt;$D112+'Incremental Repayments'!$I$31),-PMT('Interest Rate'!$J$16,'Incremental Repayments'!$I$31,(HLOOKUP($D112,$E$4:$CZ$32,28,FALSE)*'Incremental Repayments'!$I$22)),0),0)</f>
        <v>0</v>
      </c>
      <c r="J112" s="783">
        <f>IF('Incremental Repayments'!$R$22="Debt",IF(AND(J$4&gt;=$D112,J$4&lt;$D112+'Incremental Repayments'!$I$31),-PMT('Interest Rate'!$J$16,'Incremental Repayments'!$I$31,(HLOOKUP($D112,$E$4:$CZ$32,28,FALSE)*'Incremental Repayments'!$I$22)),0),0)</f>
        <v>0</v>
      </c>
      <c r="K112" s="783">
        <f>IF('Incremental Repayments'!$R$22="Debt",IF(AND(K$4&gt;=$D112,K$4&lt;$D112+'Incremental Repayments'!$I$31),-PMT('Interest Rate'!$J$16,'Incremental Repayments'!$I$31,(HLOOKUP($D112,$E$4:$CZ$32,28,FALSE)*'Incremental Repayments'!$I$22)),0),0)</f>
        <v>0</v>
      </c>
      <c r="L112" s="783">
        <f>IF('Incremental Repayments'!$R$22="Debt",IF(AND(L$4&gt;=$D112,L$4&lt;$D112+'Incremental Repayments'!$I$31),-PMT('Interest Rate'!$J$16,'Incremental Repayments'!$I$31,(HLOOKUP($D112,$E$4:$CZ$32,28,FALSE)*'Incremental Repayments'!$I$22)),0),0)</f>
        <v>0</v>
      </c>
      <c r="M112" s="783">
        <f>IF('Incremental Repayments'!$R$22="Debt",IF(AND(M$4&gt;=$D112,M$4&lt;$D112+'Incremental Repayments'!$I$31),-PMT('Interest Rate'!$J$16,'Incremental Repayments'!$I$31,(HLOOKUP($D112,$E$4:$CZ$32,28,FALSE)*'Incremental Repayments'!$I$22)),0),0)</f>
        <v>0</v>
      </c>
      <c r="N112" s="783">
        <f>IF('Incremental Repayments'!$R$22="Debt",IF(AND(N$4&gt;=$D112,N$4&lt;$D112+'Incremental Repayments'!$I$31),-PMT('Interest Rate'!$J$16,'Incremental Repayments'!$I$31,(HLOOKUP($D112,$E$4:$CZ$32,28,FALSE)*'Incremental Repayments'!$I$22)),0),0)</f>
        <v>0</v>
      </c>
      <c r="O112" s="783">
        <f>IF('Incremental Repayments'!$R$22="Debt",IF(AND(O$4&gt;=$D112,O$4&lt;$D112+'Incremental Repayments'!$I$31),-PMT('Interest Rate'!$J$16,'Incremental Repayments'!$I$31,(HLOOKUP($D112,$E$4:$CZ$32,28,FALSE)*'Incremental Repayments'!$I$22)),0),0)</f>
        <v>0</v>
      </c>
      <c r="P112" s="783">
        <f>IF('Incremental Repayments'!$R$22="Debt",IF(AND(P$4&gt;=$D112,P$4&lt;$D112+'Incremental Repayments'!$I$31),-PMT('Interest Rate'!$J$16,'Incremental Repayments'!$I$31,(HLOOKUP($D112,$E$4:$CZ$32,28,FALSE)*'Incremental Repayments'!$I$22)),0),0)</f>
        <v>0</v>
      </c>
      <c r="Q112" s="783">
        <f>IF('Incremental Repayments'!$R$22="Debt",IF(AND(Q$4&gt;=$D112,Q$4&lt;$D112+'Incremental Repayments'!$I$31),-PMT('Interest Rate'!$J$16,'Incremental Repayments'!$I$31,(HLOOKUP($D112,$E$4:$CZ$32,28,FALSE)*'Incremental Repayments'!$I$22)),0),0)</f>
        <v>0</v>
      </c>
      <c r="R112" s="783">
        <f>IF('Incremental Repayments'!$R$22="Debt",IF(AND(R$4&gt;=$D112,R$4&lt;$D112+'Incremental Repayments'!$I$31),-PMT('Interest Rate'!$J$16,'Incremental Repayments'!$I$31,(HLOOKUP($D112,$E$4:$CZ$32,28,FALSE)*'Incremental Repayments'!$I$22)),0),0)</f>
        <v>0</v>
      </c>
      <c r="S112" s="783">
        <f>IF('Incremental Repayments'!$R$22="Debt",IF(AND(S$4&gt;=$D112,S$4&lt;$D112+'Incremental Repayments'!$I$31),-PMT('Interest Rate'!$J$16,'Incremental Repayments'!$I$31,(HLOOKUP($D112,$E$4:$CZ$32,28,FALSE)*'Incremental Repayments'!$I$22)),0),0)</f>
        <v>0</v>
      </c>
      <c r="T112" s="783">
        <f>IF('Incremental Repayments'!$R$22="Debt",IF(AND(T$4&gt;=$D112,T$4&lt;$D112+'Incremental Repayments'!$I$31),-PMT('Interest Rate'!$J$16,'Incremental Repayments'!$I$31,(HLOOKUP($D112,$E$4:$CZ$32,28,FALSE)*'Incremental Repayments'!$I$22)),0),0)</f>
        <v>0</v>
      </c>
      <c r="U112" s="783">
        <f>IF('Incremental Repayments'!$R$22="Debt",IF(AND(U$4&gt;=$D112,U$4&lt;$D112+'Incremental Repayments'!$I$31),-PMT('Interest Rate'!$J$16,'Incremental Repayments'!$I$31,(HLOOKUP($D112,$E$4:$CZ$32,28,FALSE)*'Incremental Repayments'!$I$22)),0),0)</f>
        <v>0</v>
      </c>
      <c r="V112" s="783">
        <f>IF('Incremental Repayments'!$R$22="Debt",IF(AND(V$4&gt;=$D112,V$4&lt;$D112+'Incremental Repayments'!$I$31),-PMT('Interest Rate'!$J$16,'Incremental Repayments'!$I$31,(HLOOKUP($D112,$E$4:$CZ$32,28,FALSE)*'Incremental Repayments'!$I$22)),0),0)</f>
        <v>0</v>
      </c>
      <c r="W112" s="783">
        <f>IF('Incremental Repayments'!$R$22="Debt",IF(AND(W$4&gt;=$D112,W$4&lt;$D112+'Incremental Repayments'!$I$31),-PMT('Interest Rate'!$J$16,'Incremental Repayments'!$I$31,(HLOOKUP($D112,$E$4:$CZ$32,28,FALSE)*'Incremental Repayments'!$I$22)),0),0)</f>
        <v>0</v>
      </c>
      <c r="X112" s="783">
        <f>IF('Incremental Repayments'!$R$22="Debt",IF(AND(X$4&gt;=$D112,X$4&lt;$D112+'Incremental Repayments'!$I$31),-PMT('Interest Rate'!$J$16,'Incremental Repayments'!$I$31,(HLOOKUP($D112,$E$4:$CZ$32,28,FALSE)*'Incremental Repayments'!$I$22)),0),0)</f>
        <v>0</v>
      </c>
      <c r="Y112" s="783">
        <f>IF('Incremental Repayments'!$R$22="Debt",IF(AND(Y$4&gt;=$D112,Y$4&lt;$D112+'Incremental Repayments'!$I$31),-PMT('Interest Rate'!$J$16,'Incremental Repayments'!$I$31,(HLOOKUP($D112,$E$4:$CZ$32,28,FALSE)*'Incremental Repayments'!$I$22)),0),0)</f>
        <v>0</v>
      </c>
      <c r="Z112" s="783">
        <f>IF('Incremental Repayments'!$R$22="Debt",IF(AND(Z$4&gt;=$D112,Z$4&lt;$D112+'Incremental Repayments'!$I$31),-PMT('Interest Rate'!$J$16,'Incremental Repayments'!$I$31,(HLOOKUP($D112,$E$4:$CZ$32,28,FALSE)*'Incremental Repayments'!$I$22)),0),0)</f>
        <v>0</v>
      </c>
      <c r="AA112" s="783">
        <f>IF('Incremental Repayments'!$R$22="Debt",IF(AND(AA$4&gt;=$D112,AA$4&lt;$D112+'Incremental Repayments'!$I$31),-PMT('Interest Rate'!$J$16,'Incremental Repayments'!$I$31,(HLOOKUP($D112,$E$4:$CZ$32,28,FALSE)*'Incremental Repayments'!$I$22)),0),0)</f>
        <v>0</v>
      </c>
      <c r="AB112" s="783">
        <f>IF('Incremental Repayments'!$R$22="Debt",IF(AND(AB$4&gt;=$D112,AB$4&lt;$D112+'Incremental Repayments'!$I$31),-PMT('Interest Rate'!$J$16,'Incremental Repayments'!$I$31,(HLOOKUP($D112,$E$4:$CZ$32,28,FALSE)*'Incremental Repayments'!$I$22)),0),0)</f>
        <v>0</v>
      </c>
      <c r="AC112" s="783">
        <f>IF('Incremental Repayments'!$R$22="Debt",IF(AND(AC$4&gt;=$D112,AC$4&lt;$D112+'Incremental Repayments'!$I$31),-PMT('Interest Rate'!$J$16,'Incremental Repayments'!$I$31,(HLOOKUP($D112,$E$4:$CZ$32,28,FALSE)*'Incremental Repayments'!$I$22)),0),0)</f>
        <v>0</v>
      </c>
      <c r="AD112" s="783">
        <f>IF('Incremental Repayments'!$R$22="Debt",IF(AND(AD$4&gt;=$D112,AD$4&lt;$D112+'Incremental Repayments'!$I$31),-PMT('Interest Rate'!$J$16,'Incremental Repayments'!$I$31,(HLOOKUP($D112,$E$4:$CZ$32,28,FALSE)*'Incremental Repayments'!$I$22)),0),0)</f>
        <v>0</v>
      </c>
      <c r="AE112" s="783">
        <f>IF('Incremental Repayments'!$R$22="Debt",IF(AND(AE$4&gt;=$D112,AE$4&lt;$D112+'Incremental Repayments'!$I$31),-PMT('Interest Rate'!$J$16,'Incremental Repayments'!$I$31,(HLOOKUP($D112,$E$4:$CZ$32,28,FALSE)*'Incremental Repayments'!$I$22)),0),0)</f>
        <v>0</v>
      </c>
      <c r="AF112" s="783">
        <f>IF('Incremental Repayments'!$R$22="Debt",IF(AND(AF$4&gt;=$D112,AF$4&lt;$D112+'Incremental Repayments'!$I$31),-PMT('Interest Rate'!$J$16,'Incremental Repayments'!$I$31,(HLOOKUP($D112,$E$4:$CZ$32,28,FALSE)*'Incremental Repayments'!$I$22)),0),0)</f>
        <v>0</v>
      </c>
      <c r="AG112" s="783">
        <f>IF('Incremental Repayments'!$R$22="Debt",IF(AND(AG$4&gt;=$D112,AG$4&lt;$D112+'Incremental Repayments'!$I$31),-PMT('Interest Rate'!$J$16,'Incremental Repayments'!$I$31,(HLOOKUP($D112,$E$4:$CZ$32,28,FALSE)*'Incremental Repayments'!$I$22)),0),0)</f>
        <v>0</v>
      </c>
      <c r="AH112" s="783">
        <f>IF('Incremental Repayments'!$R$22="Debt",IF(AND(AH$4&gt;=$D112,AH$4&lt;$D112+'Incremental Repayments'!$I$31),-PMT('Interest Rate'!$J$16,'Incremental Repayments'!$I$31,(HLOOKUP($D112,$E$4:$CZ$32,28,FALSE)*'Incremental Repayments'!$I$22)),0),0)</f>
        <v>0</v>
      </c>
      <c r="AI112" s="783">
        <f>IF('Incremental Repayments'!$R$22="Debt",IF(AND(AI$4&gt;=$D112,AI$4&lt;$D112+'Incremental Repayments'!$I$31),-PMT('Interest Rate'!$J$16,'Incremental Repayments'!$I$31,(HLOOKUP($D112,$E$4:$CZ$32,28,FALSE)*'Incremental Repayments'!$I$22)),0),0)</f>
        <v>0</v>
      </c>
      <c r="AJ112" s="783">
        <f>IF('Incremental Repayments'!$R$22="Debt",IF(AND(AJ$4&gt;=$D112,AJ$4&lt;$D112+'Incremental Repayments'!$I$31),-PMT('Interest Rate'!$J$16,'Incremental Repayments'!$I$31,(HLOOKUP($D112,$E$4:$CZ$32,28,FALSE)*'Incremental Repayments'!$I$22)),0),0)</f>
        <v>0</v>
      </c>
      <c r="AK112" s="783">
        <f>IF('Incremental Repayments'!$R$22="Debt",IF(AND(AK$4&gt;=$D112,AK$4&lt;$D112+'Incremental Repayments'!$I$31),-PMT('Interest Rate'!$J$16,'Incremental Repayments'!$I$31,(HLOOKUP($D112,$E$4:$CZ$32,28,FALSE)*'Incremental Repayments'!$I$22)),0),0)</f>
        <v>0</v>
      </c>
      <c r="AL112" s="783">
        <f>IF('Incremental Repayments'!$R$22="Debt",IF(AND(AL$4&gt;=$D112,AL$4&lt;$D112+'Incremental Repayments'!$I$31),-PMT('Interest Rate'!$J$16,'Incremental Repayments'!$I$31,(HLOOKUP($D112,$E$4:$CZ$32,28,FALSE)*'Incremental Repayments'!$I$22)),0),0)</f>
        <v>0</v>
      </c>
      <c r="AM112" s="783">
        <f>IF('Incremental Repayments'!$R$22="Debt",IF(AND(AM$4&gt;=$D112,AM$4&lt;$D112+'Incremental Repayments'!$I$31),-PMT('Interest Rate'!$J$16,'Incremental Repayments'!$I$31,(HLOOKUP($D112,$E$4:$CZ$32,28,FALSE)*'Incremental Repayments'!$I$22)),0),0)</f>
        <v>0</v>
      </c>
      <c r="AN112" s="783">
        <f>IF('Incremental Repayments'!$R$22="Debt",IF(AND(AN$4&gt;=$D112,AN$4&lt;$D112+'Incremental Repayments'!$I$31),-PMT('Interest Rate'!$J$16,'Incremental Repayments'!$I$31,(HLOOKUP($D112,$E$4:$CZ$32,28,FALSE)*'Incremental Repayments'!$I$22)),0),0)</f>
        <v>0</v>
      </c>
      <c r="AO112" s="783">
        <f>IF('Incremental Repayments'!$R$22="Debt",IF(AND(AO$4&gt;=$D112,AO$4&lt;$D112+'Incremental Repayments'!$I$31),-PMT('Interest Rate'!$J$16,'Incremental Repayments'!$I$31,(HLOOKUP($D112,$E$4:$CZ$32,28,FALSE)*'Incremental Repayments'!$I$22)),0),0)</f>
        <v>0</v>
      </c>
      <c r="AP112" s="783">
        <f>IF('Incremental Repayments'!$R$22="Debt",IF(AND(AP$4&gt;=$D112,AP$4&lt;$D112+'Incremental Repayments'!$I$31),-PMT('Interest Rate'!$J$16,'Incremental Repayments'!$I$31,(HLOOKUP($D112,$E$4:$CZ$32,28,FALSE)*'Incremental Repayments'!$I$22)),0),0)</f>
        <v>0</v>
      </c>
      <c r="AQ112" s="783">
        <f>IF('Incremental Repayments'!$R$22="Debt",IF(AND(AQ$4&gt;=$D112,AQ$4&lt;$D112+'Incremental Repayments'!$I$31),-PMT('Interest Rate'!$J$16,'Incremental Repayments'!$I$31,(HLOOKUP($D112,$E$4:$CZ$32,28,FALSE)*'Incremental Repayments'!$I$22)),0),0)</f>
        <v>0</v>
      </c>
      <c r="AR112" s="783">
        <f>IF('Incremental Repayments'!$R$22="Debt",IF(AND(AR$4&gt;=$D112,AR$4&lt;$D112+'Incremental Repayments'!$I$31),-PMT('Interest Rate'!$J$16,'Incremental Repayments'!$I$31,(HLOOKUP($D112,$E$4:$CZ$32,28,FALSE)*'Incremental Repayments'!$I$22)),0),0)</f>
        <v>0</v>
      </c>
      <c r="AS112" s="783">
        <f>IF('Incremental Repayments'!$R$22="Debt",IF(AND(AS$4&gt;=$D112,AS$4&lt;$D112+'Incremental Repayments'!$I$31),-PMT('Interest Rate'!$J$16,'Incremental Repayments'!$I$31,(HLOOKUP($D112,$E$4:$CZ$32,28,FALSE)*'Incremental Repayments'!$I$22)),0),0)</f>
        <v>0</v>
      </c>
      <c r="AT112" s="783">
        <f>IF('Incremental Repayments'!$R$22="Debt",IF(AND(AT$4&gt;=$D112,AT$4&lt;$D112+'Incremental Repayments'!$I$31),-PMT('Interest Rate'!$J$16,'Incremental Repayments'!$I$31,(HLOOKUP($D112,$E$4:$CZ$32,28,FALSE)*'Incremental Repayments'!$I$22)),0),0)</f>
        <v>0</v>
      </c>
      <c r="AU112" s="783">
        <f>IF('Incremental Repayments'!$R$22="Debt",IF(AND(AU$4&gt;=$D112,AU$4&lt;$D112+'Incremental Repayments'!$I$31),-PMT('Interest Rate'!$J$16,'Incremental Repayments'!$I$31,(HLOOKUP($D112,$E$4:$CZ$32,28,FALSE)*'Incremental Repayments'!$I$22)),0),0)</f>
        <v>0</v>
      </c>
      <c r="AV112" s="783">
        <f>IF('Incremental Repayments'!$R$22="Debt",IF(AND(AV$4&gt;=$D112,AV$4&lt;$D112+'Incremental Repayments'!$I$31),-PMT('Interest Rate'!$J$16,'Incremental Repayments'!$I$31,(HLOOKUP($D112,$E$4:$CZ$32,28,FALSE)*'Incremental Repayments'!$I$22)),0),0)</f>
        <v>0</v>
      </c>
      <c r="AW112" s="783">
        <f>IF('Incremental Repayments'!$R$22="Debt",IF(AND(AW$4&gt;=$D112,AW$4&lt;$D112+'Incremental Repayments'!$I$31),-PMT('Interest Rate'!$J$16,'Incremental Repayments'!$I$31,(HLOOKUP($D112,$E$4:$CZ$32,28,FALSE)*'Incremental Repayments'!$I$22)),0),0)</f>
        <v>0</v>
      </c>
      <c r="AX112" s="783">
        <f>IF('Incremental Repayments'!$R$22="Debt",IF(AND(AX$4&gt;=$D112,AX$4&lt;$D112+'Incremental Repayments'!$I$31),-PMT('Interest Rate'!$J$16,'Incremental Repayments'!$I$31,(HLOOKUP($D112,$E$4:$CZ$32,28,FALSE)*'Incremental Repayments'!$I$22)),0),0)</f>
        <v>0</v>
      </c>
      <c r="AY112" s="783">
        <f>IF('Incremental Repayments'!$R$22="Debt",IF(AND(AY$4&gt;=$D112,AY$4&lt;$D112+'Incremental Repayments'!$I$31),-PMT('Interest Rate'!$J$16,'Incremental Repayments'!$I$31,(HLOOKUP($D112,$E$4:$CZ$32,28,FALSE)*'Incremental Repayments'!$I$22)),0),0)</f>
        <v>0</v>
      </c>
      <c r="AZ112" s="783">
        <f>IF('Incremental Repayments'!$R$22="Debt",IF(AND(AZ$4&gt;=$D112,AZ$4&lt;$D112+'Incremental Repayments'!$I$31),-PMT('Interest Rate'!$J$16,'Incremental Repayments'!$I$31,(HLOOKUP($D112,$E$4:$CZ$32,28,FALSE)*'Incremental Repayments'!$I$22)),0),0)</f>
        <v>0</v>
      </c>
      <c r="BA112" s="783">
        <f>IF('Incremental Repayments'!$R$22="Debt",IF(AND(BA$4&gt;=$D112,BA$4&lt;$D112+'Incremental Repayments'!$I$31),-PMT('Interest Rate'!$J$16,'Incremental Repayments'!$I$31,(HLOOKUP($D112,$E$4:$CZ$32,28,FALSE)*'Incremental Repayments'!$I$22)),0),0)</f>
        <v>0</v>
      </c>
      <c r="BB112" s="783">
        <f>IF('Incremental Repayments'!$R$22="Debt",IF(AND(BB$4&gt;=$D112,BB$4&lt;$D112+'Incremental Repayments'!$I$31),-PMT('Interest Rate'!$J$16,'Incremental Repayments'!$I$31,(HLOOKUP($D112,$E$4:$CZ$32,28,FALSE)*'Incremental Repayments'!$I$22)),0),0)</f>
        <v>0</v>
      </c>
      <c r="BC112" s="783">
        <f>IF('Incremental Repayments'!$R$22="Debt",IF(AND(BC$4&gt;=$D112,BC$4&lt;$D112+'Incremental Repayments'!$I$31),-PMT('Interest Rate'!$J$16,'Incremental Repayments'!$I$31,(HLOOKUP($D112,$E$4:$CZ$32,28,FALSE)*'Incremental Repayments'!$I$22)),0),0)</f>
        <v>0</v>
      </c>
      <c r="BD112" s="783">
        <f>IF('Incremental Repayments'!$R$22="Debt",IF(AND(BD$4&gt;=$D112,BD$4&lt;$D112+'Incremental Repayments'!$I$31),-PMT('Interest Rate'!$J$16,'Incremental Repayments'!$I$31,(HLOOKUP($D112,$E$4:$CZ$32,28,FALSE)*'Incremental Repayments'!$I$22)),0),0)</f>
        <v>0</v>
      </c>
      <c r="BE112" s="783">
        <f>IF('Incremental Repayments'!$R$22="Debt",IF(AND(BE$4&gt;=$D112,BE$4&lt;$D112+'Incremental Repayments'!$I$31),-PMT('Interest Rate'!$J$16,'Incremental Repayments'!$I$31,(HLOOKUP($D112,$E$4:$CZ$32,28,FALSE)*'Incremental Repayments'!$I$22)),0),0)</f>
        <v>0</v>
      </c>
      <c r="BF112" s="783">
        <f>IF('Incremental Repayments'!$R$22="Debt",IF(AND(BF$4&gt;=$D112,BF$4&lt;$D112+'Incremental Repayments'!$I$31),-PMT('Interest Rate'!$J$16,'Incremental Repayments'!$I$31,(HLOOKUP($D112,$E$4:$CZ$32,28,FALSE)*'Incremental Repayments'!$I$22)),0),0)</f>
        <v>0</v>
      </c>
      <c r="BG112" s="783">
        <f>IF('Incremental Repayments'!$R$22="Debt",IF(AND(BG$4&gt;=$D112,BG$4&lt;$D112+'Incremental Repayments'!$I$31),-PMT('Interest Rate'!$J$16,'Incremental Repayments'!$I$31,(HLOOKUP($D112,$E$4:$CZ$32,28,FALSE)*'Incremental Repayments'!$I$22)),0),0)</f>
        <v>0</v>
      </c>
      <c r="BH112" s="783">
        <f>IF('Incremental Repayments'!$R$22="Debt",IF(AND(BH$4&gt;=$D112,BH$4&lt;$D112+'Incremental Repayments'!$I$31),-PMT('Interest Rate'!$J$16,'Incremental Repayments'!$I$31,(HLOOKUP($D112,$E$4:$CZ$32,28,FALSE)*'Incremental Repayments'!$I$22)),0),0)</f>
        <v>0</v>
      </c>
      <c r="BI112" s="783">
        <f>IF('Incremental Repayments'!$R$22="Debt",IF(AND(BI$4&gt;=$D112,BI$4&lt;$D112+'Incremental Repayments'!$I$31),-PMT('Interest Rate'!$J$16,'Incremental Repayments'!$I$31,(HLOOKUP($D112,$E$4:$CZ$32,28,FALSE)*'Incremental Repayments'!$I$22)),0),0)</f>
        <v>0</v>
      </c>
      <c r="BJ112" s="783">
        <f>IF('Incremental Repayments'!$R$22="Debt",IF(AND(BJ$4&gt;=$D112,BJ$4&lt;$D112+'Incremental Repayments'!$I$31),-PMT('Interest Rate'!$J$16,'Incremental Repayments'!$I$31,(HLOOKUP($D112,$E$4:$CZ$32,28,FALSE)*'Incremental Repayments'!$I$22)),0),0)</f>
        <v>0</v>
      </c>
      <c r="BK112" s="783">
        <f>IF('Incremental Repayments'!$R$22="Debt",IF(AND(BK$4&gt;=$D112,BK$4&lt;$D112+'Incremental Repayments'!$I$31),-PMT('Interest Rate'!$J$16,'Incremental Repayments'!$I$31,(HLOOKUP($D112,$E$4:$CZ$32,28,FALSE)*'Incremental Repayments'!$I$22)),0),0)</f>
        <v>0</v>
      </c>
      <c r="BL112" s="783">
        <f>IF('Incremental Repayments'!$R$22="Debt",IF(AND(BL$4&gt;=$D112,BL$4&lt;$D112+'Incremental Repayments'!$I$31),-PMT('Interest Rate'!$J$16,'Incremental Repayments'!$I$31,(HLOOKUP($D112,$E$4:$CZ$32,28,FALSE)*'Incremental Repayments'!$I$22)),0),0)</f>
        <v>0</v>
      </c>
      <c r="BM112" s="783">
        <f>IF('Incremental Repayments'!$R$22="Debt",IF(AND(BM$4&gt;=$D112,BM$4&lt;$D112+'Incremental Repayments'!$I$31),-PMT('Interest Rate'!$J$16,'Incremental Repayments'!$I$31,(HLOOKUP($D112,$E$4:$CZ$32,28,FALSE)*'Incremental Repayments'!$I$22)),0),0)</f>
        <v>0</v>
      </c>
      <c r="BN112" s="783">
        <f>IF('Incremental Repayments'!$R$22="Debt",IF(AND(BN$4&gt;=$D112,BN$4&lt;$D112+'Incremental Repayments'!$I$31),-PMT('Interest Rate'!$J$16,'Incremental Repayments'!$I$31,(HLOOKUP($D112,$E$4:$CZ$32,28,FALSE)*'Incremental Repayments'!$I$22)),0),0)</f>
        <v>0</v>
      </c>
      <c r="BO112" s="783">
        <f>IF('Incremental Repayments'!$R$22="Debt",IF(AND(BO$4&gt;=$D112,BO$4&lt;$D112+'Incremental Repayments'!$I$31),-PMT('Interest Rate'!$J$16,'Incremental Repayments'!$I$31,(HLOOKUP($D112,$E$4:$CZ$32,28,FALSE)*'Incremental Repayments'!$I$22)),0),0)</f>
        <v>0</v>
      </c>
      <c r="BP112" s="783">
        <f>IF('Incremental Repayments'!$R$22="Debt",IF(AND(BP$4&gt;=$D112,BP$4&lt;$D112+'Incremental Repayments'!$I$31),-PMT('Interest Rate'!$J$16,'Incremental Repayments'!$I$31,(HLOOKUP($D112,$E$4:$CZ$32,28,FALSE)*'Incremental Repayments'!$I$22)),0),0)</f>
        <v>0</v>
      </c>
      <c r="BQ112" s="783">
        <f>IF('Incremental Repayments'!$R$22="Debt",IF(AND(BQ$4&gt;=$D112,BQ$4&lt;$D112+'Incremental Repayments'!$I$31),-PMT('Interest Rate'!$J$16,'Incremental Repayments'!$I$31,(HLOOKUP($D112,$E$4:$CZ$32,28,FALSE)*'Incremental Repayments'!$I$22)),0),0)</f>
        <v>0</v>
      </c>
      <c r="BR112" s="783">
        <f>IF('Incremental Repayments'!$R$22="Debt",IF(AND(BR$4&gt;=$D112,BR$4&lt;$D112+'Incremental Repayments'!$I$31),-PMT('Interest Rate'!$J$16,'Incremental Repayments'!$I$31,(HLOOKUP($D112,$E$4:$CZ$32,28,FALSE)*'Incremental Repayments'!$I$22)),0),0)</f>
        <v>0</v>
      </c>
      <c r="BS112" s="783">
        <f>IF('Incremental Repayments'!$R$22="Debt",IF(AND(BS$4&gt;=$D112,BS$4&lt;$D112+'Incremental Repayments'!$I$31),-PMT('Interest Rate'!$J$16,'Incremental Repayments'!$I$31,(HLOOKUP($D112,$E$4:$CZ$32,28,FALSE)*'Incremental Repayments'!$I$22)),0),0)</f>
        <v>0</v>
      </c>
      <c r="BT112" s="783">
        <f>IF('Incremental Repayments'!$R$22="Debt",IF(AND(BT$4&gt;=$D112,BT$4&lt;$D112+'Incremental Repayments'!$I$31),-PMT('Interest Rate'!$J$16,'Incremental Repayments'!$I$31,(HLOOKUP($D112,$E$4:$CZ$32,28,FALSE)*'Incremental Repayments'!$I$22)),0),0)</f>
        <v>0</v>
      </c>
      <c r="BU112" s="783">
        <f>IF('Incremental Repayments'!$R$22="Debt",IF(AND(BU$4&gt;=$D112,BU$4&lt;$D112+'Incremental Repayments'!$I$31),-PMT('Interest Rate'!$J$16,'Incremental Repayments'!$I$31,(HLOOKUP($D112,$E$4:$CZ$32,28,FALSE)*'Incremental Repayments'!$I$22)),0),0)</f>
        <v>0</v>
      </c>
      <c r="BV112" s="783">
        <f>IF('Incremental Repayments'!$R$22="Debt",IF(AND(BV$4&gt;=$D112,BV$4&lt;$D112+'Incremental Repayments'!$I$31),-PMT('Interest Rate'!$J$16,'Incremental Repayments'!$I$31,(HLOOKUP($D112,$E$4:$CZ$32,28,FALSE)*'Incremental Repayments'!$I$22)),0),0)</f>
        <v>0</v>
      </c>
      <c r="BW112" s="783">
        <f>IF('Incremental Repayments'!$R$22="Debt",IF(AND(BW$4&gt;=$D112,BW$4&lt;$D112+'Incremental Repayments'!$I$31),-PMT('Interest Rate'!$J$16,'Incremental Repayments'!$I$31,(HLOOKUP($D112,$E$4:$CZ$32,28,FALSE)*'Incremental Repayments'!$I$22)),0),0)</f>
        <v>0</v>
      </c>
      <c r="BX112" s="783">
        <f>IF('Incremental Repayments'!$R$22="Debt",IF(AND(BX$4&gt;=$D112,BX$4&lt;$D112+'Incremental Repayments'!$I$31),-PMT('Interest Rate'!$J$16,'Incremental Repayments'!$I$31,(HLOOKUP($D112,$E$4:$CZ$32,28,FALSE)*'Incremental Repayments'!$I$22)),0),0)</f>
        <v>0</v>
      </c>
      <c r="BY112" s="783">
        <f>IF('Incremental Repayments'!$R$22="Debt",IF(AND(BY$4&gt;=$D112,BY$4&lt;$D112+'Incremental Repayments'!$I$31),-PMT('Interest Rate'!$J$16,'Incremental Repayments'!$I$31,(HLOOKUP($D112,$E$4:$CZ$32,28,FALSE)*'Incremental Repayments'!$I$22)),0),0)</f>
        <v>0</v>
      </c>
      <c r="BZ112" s="783">
        <f>IF('Incremental Repayments'!$R$22="Debt",IF(AND(BZ$4&gt;=$D112,BZ$4&lt;$D112+'Incremental Repayments'!$I$31),-PMT('Interest Rate'!$J$16,'Incremental Repayments'!$I$31,(HLOOKUP($D112,$E$4:$CZ$32,28,FALSE)*'Incremental Repayments'!$I$22)),0),0)</f>
        <v>0</v>
      </c>
      <c r="CA112" s="783">
        <f>IF('Incremental Repayments'!$R$22="Debt",IF(AND(CA$4&gt;=$D112,CA$4&lt;$D112+'Incremental Repayments'!$I$31),-PMT('Interest Rate'!$J$16,'Incremental Repayments'!$I$31,(HLOOKUP($D112,$E$4:$CZ$32,28,FALSE)*'Incremental Repayments'!$I$22)),0),0)</f>
        <v>0</v>
      </c>
      <c r="CB112" s="783">
        <f>IF('Incremental Repayments'!$R$22="Debt",IF(AND(CB$4&gt;=$D112,CB$4&lt;$D112+'Incremental Repayments'!$I$31),-PMT('Interest Rate'!$J$16,'Incremental Repayments'!$I$31,(HLOOKUP($D112,$E$4:$CZ$32,28,FALSE)*'Incremental Repayments'!$I$22)),0),0)</f>
        <v>0</v>
      </c>
      <c r="CC112" s="783">
        <f>IF('Incremental Repayments'!$R$22="Debt",IF(AND(CC$4&gt;=$D112,CC$4&lt;$D112+'Incremental Repayments'!$I$31),-PMT('Interest Rate'!$J$16,'Incremental Repayments'!$I$31,(HLOOKUP($D112,$E$4:$CZ$32,28,FALSE)*'Incremental Repayments'!$I$22)),0),0)</f>
        <v>0</v>
      </c>
      <c r="CD112" s="783">
        <f>IF('Incremental Repayments'!$R$22="Debt",IF(AND(CD$4&gt;=$D112,CD$4&lt;$D112+'Incremental Repayments'!$I$31),-PMT('Interest Rate'!$J$16,'Incremental Repayments'!$I$31,(HLOOKUP($D112,$E$4:$CZ$32,28,FALSE)*'Incremental Repayments'!$I$22)),0),0)</f>
        <v>0</v>
      </c>
      <c r="CE112" s="783">
        <f>IF('Incremental Repayments'!$R$22="Debt",IF(AND(CE$4&gt;=$D112,CE$4&lt;$D112+'Incremental Repayments'!$I$31),-PMT('Interest Rate'!$J$16,'Incremental Repayments'!$I$31,(HLOOKUP($D112,$E$4:$CZ$32,28,FALSE)*'Incremental Repayments'!$I$22)),0),0)</f>
        <v>0</v>
      </c>
      <c r="CF112" s="783">
        <f>IF('Incremental Repayments'!$R$22="Debt",IF(AND(CF$4&gt;=$D112,CF$4&lt;$D112+'Incremental Repayments'!$I$31),-PMT('Interest Rate'!$J$16,'Incremental Repayments'!$I$31,(HLOOKUP($D112,$E$4:$CZ$32,28,FALSE)*'Incremental Repayments'!$I$22)),0),0)</f>
        <v>0</v>
      </c>
      <c r="CG112" s="783">
        <f>IF('Incremental Repayments'!$R$22="Debt",IF(AND(CG$4&gt;=$D112,CG$4&lt;$D112+'Incremental Repayments'!$I$31),-PMT('Interest Rate'!$J$16,'Incremental Repayments'!$I$31,(HLOOKUP($D112,$E$4:$CZ$32,28,FALSE)*'Incremental Repayments'!$I$22)),0),0)</f>
        <v>0</v>
      </c>
      <c r="CH112" s="783">
        <f>IF('Incremental Repayments'!$R$22="Debt",IF(AND(CH$4&gt;=$D112,CH$4&lt;$D112+'Incremental Repayments'!$I$31),-PMT('Interest Rate'!$J$16,'Incremental Repayments'!$I$31,(HLOOKUP($D112,$E$4:$CZ$32,28,FALSE)*'Incremental Repayments'!$I$22)),0),0)</f>
        <v>0</v>
      </c>
      <c r="CI112" s="783">
        <f>IF('Incremental Repayments'!$R$22="Debt",IF(AND(CI$4&gt;=$D112,CI$4&lt;$D112+'Incremental Repayments'!$I$31),-PMT('Interest Rate'!$J$16,'Incremental Repayments'!$I$31,(HLOOKUP($D112,$E$4:$CZ$32,28,FALSE)*'Incremental Repayments'!$I$22)),0),0)</f>
        <v>0</v>
      </c>
      <c r="CJ112" s="783">
        <f>IF('Incremental Repayments'!$R$22="Debt",IF(AND(CJ$4&gt;=$D112,CJ$4&lt;$D112+'Incremental Repayments'!$I$31),-PMT('Interest Rate'!$J$16,'Incremental Repayments'!$I$31,(HLOOKUP($D112,$E$4:$CZ$32,28,FALSE)*'Incremental Repayments'!$I$22)),0),0)</f>
        <v>0</v>
      </c>
      <c r="CK112" s="783">
        <f>IF('Incremental Repayments'!$R$22="Debt",IF(AND(CK$4&gt;=$D112,CK$4&lt;$D112+'Incremental Repayments'!$I$31),-PMT('Interest Rate'!$J$16,'Incremental Repayments'!$I$31,(HLOOKUP($D112,$E$4:$CZ$32,28,FALSE)*'Incremental Repayments'!$I$22)),0),0)</f>
        <v>0</v>
      </c>
      <c r="CL112" s="783">
        <f>IF('Incremental Repayments'!$R$22="Debt",IF(AND(CL$4&gt;=$D112,CL$4&lt;$D112+'Incremental Repayments'!$I$31),-PMT('Interest Rate'!$J$16,'Incremental Repayments'!$I$31,(HLOOKUP($D112,$E$4:$CZ$32,28,FALSE)*'Incremental Repayments'!$I$22)),0),0)</f>
        <v>0</v>
      </c>
      <c r="CM112" s="783">
        <f>IF('Incremental Repayments'!$R$22="Debt",IF(AND(CM$4&gt;=$D112,CM$4&lt;$D112+'Incremental Repayments'!$I$31),-PMT('Interest Rate'!$J$16,'Incremental Repayments'!$I$31,(HLOOKUP($D112,$E$4:$CZ$32,28,FALSE)*'Incremental Repayments'!$I$22)),0),0)</f>
        <v>0</v>
      </c>
      <c r="CN112" s="783">
        <f>IF('Incremental Repayments'!$R$22="Debt",IF(AND(CN$4&gt;=$D112,CN$4&lt;$D112+'Incremental Repayments'!$I$31),-PMT('Interest Rate'!$J$16,'Incremental Repayments'!$I$31,(HLOOKUP($D112,$E$4:$CZ$32,28,FALSE)*'Incremental Repayments'!$I$22)),0),0)</f>
        <v>0</v>
      </c>
      <c r="CO112" s="783">
        <f>IF('Incremental Repayments'!$R$22="Debt",IF(AND(CO$4&gt;=$D112,CO$4&lt;$D112+'Incremental Repayments'!$I$31),-PMT('Interest Rate'!$J$16,'Incremental Repayments'!$I$31,(HLOOKUP($D112,$E$4:$CZ$32,28,FALSE)*'Incremental Repayments'!$I$22)),0),0)</f>
        <v>0</v>
      </c>
      <c r="CP112" s="783">
        <f>IF('Incremental Repayments'!$R$22="Debt",IF(AND(CP$4&gt;=$D112,CP$4&lt;$D112+'Incremental Repayments'!$I$31),-PMT('Interest Rate'!$J$16,'Incremental Repayments'!$I$31,(HLOOKUP($D112,$E$4:$CZ$32,28,FALSE)*'Incremental Repayments'!$I$22)),0),0)</f>
        <v>0</v>
      </c>
      <c r="CQ112" s="783">
        <f>IF('Incremental Repayments'!$R$22="Debt",IF(AND(CQ$4&gt;=$D112,CQ$4&lt;$D112+'Incremental Repayments'!$I$31),-PMT('Interest Rate'!$J$16,'Incremental Repayments'!$I$31,(HLOOKUP($D112,$E$4:$CZ$32,28,FALSE)*'Incremental Repayments'!$I$22)),0),0)</f>
        <v>0</v>
      </c>
      <c r="CR112" s="783">
        <f>IF('Incremental Repayments'!$R$22="Debt",IF(AND(CR$4&gt;=$D112,CR$4&lt;$D112+'Incremental Repayments'!$I$31),-PMT('Interest Rate'!$J$16,'Incremental Repayments'!$I$31,(HLOOKUP($D112,$E$4:$CZ$32,28,FALSE)*'Incremental Repayments'!$I$22)),0),0)</f>
        <v>0</v>
      </c>
      <c r="CS112" s="783">
        <f>IF('Incremental Repayments'!$R$22="Debt",IF(AND(CS$4&gt;=$D112,CS$4&lt;$D112+'Incremental Repayments'!$I$31),-PMT('Interest Rate'!$J$16,'Incremental Repayments'!$I$31,(HLOOKUP($D112,$E$4:$CZ$32,28,FALSE)*'Incremental Repayments'!$I$22)),0),0)</f>
        <v>0</v>
      </c>
      <c r="CT112" s="783">
        <f>IF('Incremental Repayments'!$R$22="Debt",IF(AND(CT$4&gt;=$D112,CT$4&lt;$D112+'Incremental Repayments'!$I$31),-PMT('Interest Rate'!$J$16,'Incremental Repayments'!$I$31,(HLOOKUP($D112,$E$4:$CZ$32,28,FALSE)*'Incremental Repayments'!$I$22)),0),0)</f>
        <v>0</v>
      </c>
      <c r="CU112" s="783">
        <f>IF('Incremental Repayments'!$R$22="Debt",IF(AND(CU$4&gt;=$D112,CU$4&lt;$D112+'Incremental Repayments'!$I$31),-PMT('Interest Rate'!$J$16,'Incremental Repayments'!$I$31,(HLOOKUP($D112,$E$4:$CZ$32,28,FALSE)*'Incremental Repayments'!$I$22)),0),0)</f>
        <v>0</v>
      </c>
      <c r="CV112" s="783">
        <f>IF('Incremental Repayments'!$R$22="Debt",IF(AND(CV$4&gt;=$D112,CV$4&lt;$D112+'Incremental Repayments'!$I$31),-PMT('Interest Rate'!$J$16,'Incremental Repayments'!$I$31,(HLOOKUP($D112,$E$4:$CZ$32,28,FALSE)*'Incremental Repayments'!$I$22)),0),0)</f>
        <v>0</v>
      </c>
      <c r="CW112" s="783">
        <f>IF('Incremental Repayments'!$R$22="Debt",IF(AND(CW$4&gt;=$D112,CW$4&lt;$D112+'Incremental Repayments'!$I$31),-PMT('Interest Rate'!$J$16,'Incremental Repayments'!$I$31,(HLOOKUP($D112,$E$4:$CZ$32,28,FALSE)*'Incremental Repayments'!$I$22)),0),0)</f>
        <v>0</v>
      </c>
      <c r="CX112" s="783">
        <f>IF('Incremental Repayments'!$R$22="Debt",IF(AND(CX$4&gt;=$D112,CX$4&lt;$D112+'Incremental Repayments'!$I$31),-PMT('Interest Rate'!$J$16,'Incremental Repayments'!$I$31,(HLOOKUP($D112,$E$4:$CZ$32,28,FALSE)*'Incremental Repayments'!$I$22)),0),0)</f>
        <v>0</v>
      </c>
      <c r="CY112" s="783">
        <f>IF('Incremental Repayments'!$R$22="Debt",IF(AND(CY$4&gt;=$D112,CY$4&lt;$D112+'Incremental Repayments'!$I$31),-PMT('Interest Rate'!$J$16,'Incremental Repayments'!$I$31,(HLOOKUP($D112,$E$4:$CZ$32,28,FALSE)*'Incremental Repayments'!$I$22)),0),0)</f>
        <v>0</v>
      </c>
      <c r="CZ112" s="783">
        <f>IF('Incremental Repayments'!$R$22="Debt",IF(AND(CZ$4&gt;=$D112,CZ$4&lt;$D112+'Incremental Repayments'!$I$31),-PMT('Interest Rate'!$J$16,'Incremental Repayments'!$I$31,(HLOOKUP($D112,$E$4:$CZ$32,28,FALSE)*'Incremental Repayments'!$I$22)),0),0)</f>
        <v>0</v>
      </c>
    </row>
    <row r="113" spans="1:104" x14ac:dyDescent="0.25">
      <c r="B113" s="480" t="str">
        <f>CONCATENATE("Series ",D113,"A Bonds (at ",'Interest Rate'!$J$16*100,"% Interest)")</f>
        <v>Series 2091A Bonds (at 4.5% Interest)</v>
      </c>
      <c r="C113" s="480"/>
      <c r="D113" s="492">
        <f t="shared" si="47"/>
        <v>2091</v>
      </c>
      <c r="E113" s="783">
        <f>IF('Incremental Repayments'!$R$22="Debt",IF(AND(E$4&gt;=$D113,E$4&lt;$D113+'Incremental Repayments'!$I$31),-PMT('Interest Rate'!$J$16,'Incremental Repayments'!$I$31,(HLOOKUP($D113,$E$4:$CZ$32,28,FALSE)*'Incremental Repayments'!$I$22)),0),0)</f>
        <v>0</v>
      </c>
      <c r="F113" s="783">
        <f>IF('Incremental Repayments'!$R$22="Debt",IF(AND(F$4&gt;=$D113,F$4&lt;$D113+'Incremental Repayments'!$I$31),-PMT('Interest Rate'!$J$16,'Incremental Repayments'!$I$31,(HLOOKUP($D113,$E$4:$CZ$32,28,FALSE)*'Incremental Repayments'!$I$22)),0),0)</f>
        <v>0</v>
      </c>
      <c r="G113" s="783">
        <f>IF('Incremental Repayments'!$R$22="Debt",IF(AND(G$4&gt;=$D113,G$4&lt;$D113+'Incremental Repayments'!$I$31),-PMT('Interest Rate'!$J$16,'Incremental Repayments'!$I$31,(HLOOKUP($D113,$E$4:$CZ$32,28,FALSE)*'Incremental Repayments'!$I$22)),0),0)</f>
        <v>0</v>
      </c>
      <c r="H113" s="783">
        <f>IF('Incremental Repayments'!$R$22="Debt",IF(AND(H$4&gt;=$D113,H$4&lt;$D113+'Incremental Repayments'!$I$31),-PMT('Interest Rate'!$J$16,'Incremental Repayments'!$I$31,(HLOOKUP($D113,$E$4:$CZ$32,28,FALSE)*'Incremental Repayments'!$I$22)),0),0)</f>
        <v>0</v>
      </c>
      <c r="I113" s="783">
        <f>IF('Incremental Repayments'!$R$22="Debt",IF(AND(I$4&gt;=$D113,I$4&lt;$D113+'Incremental Repayments'!$I$31),-PMT('Interest Rate'!$J$16,'Incremental Repayments'!$I$31,(HLOOKUP($D113,$E$4:$CZ$32,28,FALSE)*'Incremental Repayments'!$I$22)),0),0)</f>
        <v>0</v>
      </c>
      <c r="J113" s="783">
        <f>IF('Incremental Repayments'!$R$22="Debt",IF(AND(J$4&gt;=$D113,J$4&lt;$D113+'Incremental Repayments'!$I$31),-PMT('Interest Rate'!$J$16,'Incremental Repayments'!$I$31,(HLOOKUP($D113,$E$4:$CZ$32,28,FALSE)*'Incremental Repayments'!$I$22)),0),0)</f>
        <v>0</v>
      </c>
      <c r="K113" s="783">
        <f>IF('Incremental Repayments'!$R$22="Debt",IF(AND(K$4&gt;=$D113,K$4&lt;$D113+'Incremental Repayments'!$I$31),-PMT('Interest Rate'!$J$16,'Incremental Repayments'!$I$31,(HLOOKUP($D113,$E$4:$CZ$32,28,FALSE)*'Incremental Repayments'!$I$22)),0),0)</f>
        <v>0</v>
      </c>
      <c r="L113" s="783">
        <f>IF('Incremental Repayments'!$R$22="Debt",IF(AND(L$4&gt;=$D113,L$4&lt;$D113+'Incremental Repayments'!$I$31),-PMT('Interest Rate'!$J$16,'Incremental Repayments'!$I$31,(HLOOKUP($D113,$E$4:$CZ$32,28,FALSE)*'Incremental Repayments'!$I$22)),0),0)</f>
        <v>0</v>
      </c>
      <c r="M113" s="783">
        <f>IF('Incremental Repayments'!$R$22="Debt",IF(AND(M$4&gt;=$D113,M$4&lt;$D113+'Incremental Repayments'!$I$31),-PMT('Interest Rate'!$J$16,'Incremental Repayments'!$I$31,(HLOOKUP($D113,$E$4:$CZ$32,28,FALSE)*'Incremental Repayments'!$I$22)),0),0)</f>
        <v>0</v>
      </c>
      <c r="N113" s="783">
        <f>IF('Incremental Repayments'!$R$22="Debt",IF(AND(N$4&gt;=$D113,N$4&lt;$D113+'Incremental Repayments'!$I$31),-PMT('Interest Rate'!$J$16,'Incremental Repayments'!$I$31,(HLOOKUP($D113,$E$4:$CZ$32,28,FALSE)*'Incremental Repayments'!$I$22)),0),0)</f>
        <v>0</v>
      </c>
      <c r="O113" s="783">
        <f>IF('Incremental Repayments'!$R$22="Debt",IF(AND(O$4&gt;=$D113,O$4&lt;$D113+'Incremental Repayments'!$I$31),-PMT('Interest Rate'!$J$16,'Incremental Repayments'!$I$31,(HLOOKUP($D113,$E$4:$CZ$32,28,FALSE)*'Incremental Repayments'!$I$22)),0),0)</f>
        <v>0</v>
      </c>
      <c r="P113" s="783">
        <f>IF('Incremental Repayments'!$R$22="Debt",IF(AND(P$4&gt;=$D113,P$4&lt;$D113+'Incremental Repayments'!$I$31),-PMT('Interest Rate'!$J$16,'Incremental Repayments'!$I$31,(HLOOKUP($D113,$E$4:$CZ$32,28,FALSE)*'Incremental Repayments'!$I$22)),0),0)</f>
        <v>0</v>
      </c>
      <c r="Q113" s="783">
        <f>IF('Incremental Repayments'!$R$22="Debt",IF(AND(Q$4&gt;=$D113,Q$4&lt;$D113+'Incremental Repayments'!$I$31),-PMT('Interest Rate'!$J$16,'Incremental Repayments'!$I$31,(HLOOKUP($D113,$E$4:$CZ$32,28,FALSE)*'Incremental Repayments'!$I$22)),0),0)</f>
        <v>0</v>
      </c>
      <c r="R113" s="783">
        <f>IF('Incremental Repayments'!$R$22="Debt",IF(AND(R$4&gt;=$D113,R$4&lt;$D113+'Incremental Repayments'!$I$31),-PMT('Interest Rate'!$J$16,'Incremental Repayments'!$I$31,(HLOOKUP($D113,$E$4:$CZ$32,28,FALSE)*'Incremental Repayments'!$I$22)),0),0)</f>
        <v>0</v>
      </c>
      <c r="S113" s="783">
        <f>IF('Incremental Repayments'!$R$22="Debt",IF(AND(S$4&gt;=$D113,S$4&lt;$D113+'Incremental Repayments'!$I$31),-PMT('Interest Rate'!$J$16,'Incremental Repayments'!$I$31,(HLOOKUP($D113,$E$4:$CZ$32,28,FALSE)*'Incremental Repayments'!$I$22)),0),0)</f>
        <v>0</v>
      </c>
      <c r="T113" s="783">
        <f>IF('Incremental Repayments'!$R$22="Debt",IF(AND(T$4&gt;=$D113,T$4&lt;$D113+'Incremental Repayments'!$I$31),-PMT('Interest Rate'!$J$16,'Incremental Repayments'!$I$31,(HLOOKUP($D113,$E$4:$CZ$32,28,FALSE)*'Incremental Repayments'!$I$22)),0),0)</f>
        <v>0</v>
      </c>
      <c r="U113" s="783">
        <f>IF('Incremental Repayments'!$R$22="Debt",IF(AND(U$4&gt;=$D113,U$4&lt;$D113+'Incremental Repayments'!$I$31),-PMT('Interest Rate'!$J$16,'Incremental Repayments'!$I$31,(HLOOKUP($D113,$E$4:$CZ$32,28,FALSE)*'Incremental Repayments'!$I$22)),0),0)</f>
        <v>0</v>
      </c>
      <c r="V113" s="783">
        <f>IF('Incremental Repayments'!$R$22="Debt",IF(AND(V$4&gt;=$D113,V$4&lt;$D113+'Incremental Repayments'!$I$31),-PMT('Interest Rate'!$J$16,'Incremental Repayments'!$I$31,(HLOOKUP($D113,$E$4:$CZ$32,28,FALSE)*'Incremental Repayments'!$I$22)),0),0)</f>
        <v>0</v>
      </c>
      <c r="W113" s="783">
        <f>IF('Incremental Repayments'!$R$22="Debt",IF(AND(W$4&gt;=$D113,W$4&lt;$D113+'Incremental Repayments'!$I$31),-PMT('Interest Rate'!$J$16,'Incremental Repayments'!$I$31,(HLOOKUP($D113,$E$4:$CZ$32,28,FALSE)*'Incremental Repayments'!$I$22)),0),0)</f>
        <v>0</v>
      </c>
      <c r="X113" s="783">
        <f>IF('Incremental Repayments'!$R$22="Debt",IF(AND(X$4&gt;=$D113,X$4&lt;$D113+'Incremental Repayments'!$I$31),-PMT('Interest Rate'!$J$16,'Incremental Repayments'!$I$31,(HLOOKUP($D113,$E$4:$CZ$32,28,FALSE)*'Incremental Repayments'!$I$22)),0),0)</f>
        <v>0</v>
      </c>
      <c r="Y113" s="783">
        <f>IF('Incremental Repayments'!$R$22="Debt",IF(AND(Y$4&gt;=$D113,Y$4&lt;$D113+'Incremental Repayments'!$I$31),-PMT('Interest Rate'!$J$16,'Incremental Repayments'!$I$31,(HLOOKUP($D113,$E$4:$CZ$32,28,FALSE)*'Incremental Repayments'!$I$22)),0),0)</f>
        <v>0</v>
      </c>
      <c r="Z113" s="783">
        <f>IF('Incremental Repayments'!$R$22="Debt",IF(AND(Z$4&gt;=$D113,Z$4&lt;$D113+'Incremental Repayments'!$I$31),-PMT('Interest Rate'!$J$16,'Incremental Repayments'!$I$31,(HLOOKUP($D113,$E$4:$CZ$32,28,FALSE)*'Incremental Repayments'!$I$22)),0),0)</f>
        <v>0</v>
      </c>
      <c r="AA113" s="783">
        <f>IF('Incremental Repayments'!$R$22="Debt",IF(AND(AA$4&gt;=$D113,AA$4&lt;$D113+'Incremental Repayments'!$I$31),-PMT('Interest Rate'!$J$16,'Incremental Repayments'!$I$31,(HLOOKUP($D113,$E$4:$CZ$32,28,FALSE)*'Incremental Repayments'!$I$22)),0),0)</f>
        <v>0</v>
      </c>
      <c r="AB113" s="783">
        <f>IF('Incremental Repayments'!$R$22="Debt",IF(AND(AB$4&gt;=$D113,AB$4&lt;$D113+'Incremental Repayments'!$I$31),-PMT('Interest Rate'!$J$16,'Incremental Repayments'!$I$31,(HLOOKUP($D113,$E$4:$CZ$32,28,FALSE)*'Incremental Repayments'!$I$22)),0),0)</f>
        <v>0</v>
      </c>
      <c r="AC113" s="783">
        <f>IF('Incremental Repayments'!$R$22="Debt",IF(AND(AC$4&gt;=$D113,AC$4&lt;$D113+'Incremental Repayments'!$I$31),-PMT('Interest Rate'!$J$16,'Incremental Repayments'!$I$31,(HLOOKUP($D113,$E$4:$CZ$32,28,FALSE)*'Incremental Repayments'!$I$22)),0),0)</f>
        <v>0</v>
      </c>
      <c r="AD113" s="783">
        <f>IF('Incremental Repayments'!$R$22="Debt",IF(AND(AD$4&gt;=$D113,AD$4&lt;$D113+'Incremental Repayments'!$I$31),-PMT('Interest Rate'!$J$16,'Incremental Repayments'!$I$31,(HLOOKUP($D113,$E$4:$CZ$32,28,FALSE)*'Incremental Repayments'!$I$22)),0),0)</f>
        <v>0</v>
      </c>
      <c r="AE113" s="783">
        <f>IF('Incremental Repayments'!$R$22="Debt",IF(AND(AE$4&gt;=$D113,AE$4&lt;$D113+'Incremental Repayments'!$I$31),-PMT('Interest Rate'!$J$16,'Incremental Repayments'!$I$31,(HLOOKUP($D113,$E$4:$CZ$32,28,FALSE)*'Incremental Repayments'!$I$22)),0),0)</f>
        <v>0</v>
      </c>
      <c r="AF113" s="783">
        <f>IF('Incremental Repayments'!$R$22="Debt",IF(AND(AF$4&gt;=$D113,AF$4&lt;$D113+'Incremental Repayments'!$I$31),-PMT('Interest Rate'!$J$16,'Incremental Repayments'!$I$31,(HLOOKUP($D113,$E$4:$CZ$32,28,FALSE)*'Incremental Repayments'!$I$22)),0),0)</f>
        <v>0</v>
      </c>
      <c r="AG113" s="783">
        <f>IF('Incremental Repayments'!$R$22="Debt",IF(AND(AG$4&gt;=$D113,AG$4&lt;$D113+'Incremental Repayments'!$I$31),-PMT('Interest Rate'!$J$16,'Incremental Repayments'!$I$31,(HLOOKUP($D113,$E$4:$CZ$32,28,FALSE)*'Incremental Repayments'!$I$22)),0),0)</f>
        <v>0</v>
      </c>
      <c r="AH113" s="783">
        <f>IF('Incremental Repayments'!$R$22="Debt",IF(AND(AH$4&gt;=$D113,AH$4&lt;$D113+'Incremental Repayments'!$I$31),-PMT('Interest Rate'!$J$16,'Incremental Repayments'!$I$31,(HLOOKUP($D113,$E$4:$CZ$32,28,FALSE)*'Incremental Repayments'!$I$22)),0),0)</f>
        <v>0</v>
      </c>
      <c r="AI113" s="783">
        <f>IF('Incremental Repayments'!$R$22="Debt",IF(AND(AI$4&gt;=$D113,AI$4&lt;$D113+'Incremental Repayments'!$I$31),-PMT('Interest Rate'!$J$16,'Incremental Repayments'!$I$31,(HLOOKUP($D113,$E$4:$CZ$32,28,FALSE)*'Incremental Repayments'!$I$22)),0),0)</f>
        <v>0</v>
      </c>
      <c r="AJ113" s="783">
        <f>IF('Incremental Repayments'!$R$22="Debt",IF(AND(AJ$4&gt;=$D113,AJ$4&lt;$D113+'Incremental Repayments'!$I$31),-PMT('Interest Rate'!$J$16,'Incremental Repayments'!$I$31,(HLOOKUP($D113,$E$4:$CZ$32,28,FALSE)*'Incremental Repayments'!$I$22)),0),0)</f>
        <v>0</v>
      </c>
      <c r="AK113" s="783">
        <f>IF('Incremental Repayments'!$R$22="Debt",IF(AND(AK$4&gt;=$D113,AK$4&lt;$D113+'Incremental Repayments'!$I$31),-PMT('Interest Rate'!$J$16,'Incremental Repayments'!$I$31,(HLOOKUP($D113,$E$4:$CZ$32,28,FALSE)*'Incremental Repayments'!$I$22)),0),0)</f>
        <v>0</v>
      </c>
      <c r="AL113" s="783">
        <f>IF('Incremental Repayments'!$R$22="Debt",IF(AND(AL$4&gt;=$D113,AL$4&lt;$D113+'Incremental Repayments'!$I$31),-PMT('Interest Rate'!$J$16,'Incremental Repayments'!$I$31,(HLOOKUP($D113,$E$4:$CZ$32,28,FALSE)*'Incremental Repayments'!$I$22)),0),0)</f>
        <v>0</v>
      </c>
      <c r="AM113" s="783">
        <f>IF('Incremental Repayments'!$R$22="Debt",IF(AND(AM$4&gt;=$D113,AM$4&lt;$D113+'Incremental Repayments'!$I$31),-PMT('Interest Rate'!$J$16,'Incremental Repayments'!$I$31,(HLOOKUP($D113,$E$4:$CZ$32,28,FALSE)*'Incremental Repayments'!$I$22)),0),0)</f>
        <v>0</v>
      </c>
      <c r="AN113" s="783">
        <f>IF('Incremental Repayments'!$R$22="Debt",IF(AND(AN$4&gt;=$D113,AN$4&lt;$D113+'Incremental Repayments'!$I$31),-PMT('Interest Rate'!$J$16,'Incremental Repayments'!$I$31,(HLOOKUP($D113,$E$4:$CZ$32,28,FALSE)*'Incremental Repayments'!$I$22)),0),0)</f>
        <v>0</v>
      </c>
      <c r="AO113" s="783">
        <f>IF('Incremental Repayments'!$R$22="Debt",IF(AND(AO$4&gt;=$D113,AO$4&lt;$D113+'Incremental Repayments'!$I$31),-PMT('Interest Rate'!$J$16,'Incremental Repayments'!$I$31,(HLOOKUP($D113,$E$4:$CZ$32,28,FALSE)*'Incremental Repayments'!$I$22)),0),0)</f>
        <v>0</v>
      </c>
      <c r="AP113" s="783">
        <f>IF('Incremental Repayments'!$R$22="Debt",IF(AND(AP$4&gt;=$D113,AP$4&lt;$D113+'Incremental Repayments'!$I$31),-PMT('Interest Rate'!$J$16,'Incremental Repayments'!$I$31,(HLOOKUP($D113,$E$4:$CZ$32,28,FALSE)*'Incremental Repayments'!$I$22)),0),0)</f>
        <v>0</v>
      </c>
      <c r="AQ113" s="783">
        <f>IF('Incremental Repayments'!$R$22="Debt",IF(AND(AQ$4&gt;=$D113,AQ$4&lt;$D113+'Incremental Repayments'!$I$31),-PMT('Interest Rate'!$J$16,'Incremental Repayments'!$I$31,(HLOOKUP($D113,$E$4:$CZ$32,28,FALSE)*'Incremental Repayments'!$I$22)),0),0)</f>
        <v>0</v>
      </c>
      <c r="AR113" s="783">
        <f>IF('Incremental Repayments'!$R$22="Debt",IF(AND(AR$4&gt;=$D113,AR$4&lt;$D113+'Incremental Repayments'!$I$31),-PMT('Interest Rate'!$J$16,'Incremental Repayments'!$I$31,(HLOOKUP($D113,$E$4:$CZ$32,28,FALSE)*'Incremental Repayments'!$I$22)),0),0)</f>
        <v>0</v>
      </c>
      <c r="AS113" s="783">
        <f>IF('Incremental Repayments'!$R$22="Debt",IF(AND(AS$4&gt;=$D113,AS$4&lt;$D113+'Incremental Repayments'!$I$31),-PMT('Interest Rate'!$J$16,'Incremental Repayments'!$I$31,(HLOOKUP($D113,$E$4:$CZ$32,28,FALSE)*'Incremental Repayments'!$I$22)),0),0)</f>
        <v>0</v>
      </c>
      <c r="AT113" s="783">
        <f>IF('Incremental Repayments'!$R$22="Debt",IF(AND(AT$4&gt;=$D113,AT$4&lt;$D113+'Incremental Repayments'!$I$31),-PMT('Interest Rate'!$J$16,'Incremental Repayments'!$I$31,(HLOOKUP($D113,$E$4:$CZ$32,28,FALSE)*'Incremental Repayments'!$I$22)),0),0)</f>
        <v>0</v>
      </c>
      <c r="AU113" s="783">
        <f>IF('Incremental Repayments'!$R$22="Debt",IF(AND(AU$4&gt;=$D113,AU$4&lt;$D113+'Incremental Repayments'!$I$31),-PMT('Interest Rate'!$J$16,'Incremental Repayments'!$I$31,(HLOOKUP($D113,$E$4:$CZ$32,28,FALSE)*'Incremental Repayments'!$I$22)),0),0)</f>
        <v>0</v>
      </c>
      <c r="AV113" s="783">
        <f>IF('Incremental Repayments'!$R$22="Debt",IF(AND(AV$4&gt;=$D113,AV$4&lt;$D113+'Incremental Repayments'!$I$31),-PMT('Interest Rate'!$J$16,'Incremental Repayments'!$I$31,(HLOOKUP($D113,$E$4:$CZ$32,28,FALSE)*'Incremental Repayments'!$I$22)),0),0)</f>
        <v>0</v>
      </c>
      <c r="AW113" s="783">
        <f>IF('Incremental Repayments'!$R$22="Debt",IF(AND(AW$4&gt;=$D113,AW$4&lt;$D113+'Incremental Repayments'!$I$31),-PMT('Interest Rate'!$J$16,'Incremental Repayments'!$I$31,(HLOOKUP($D113,$E$4:$CZ$32,28,FALSE)*'Incremental Repayments'!$I$22)),0),0)</f>
        <v>0</v>
      </c>
      <c r="AX113" s="783">
        <f>IF('Incremental Repayments'!$R$22="Debt",IF(AND(AX$4&gt;=$D113,AX$4&lt;$D113+'Incremental Repayments'!$I$31),-PMT('Interest Rate'!$J$16,'Incremental Repayments'!$I$31,(HLOOKUP($D113,$E$4:$CZ$32,28,FALSE)*'Incremental Repayments'!$I$22)),0),0)</f>
        <v>0</v>
      </c>
      <c r="AY113" s="783">
        <f>IF('Incremental Repayments'!$R$22="Debt",IF(AND(AY$4&gt;=$D113,AY$4&lt;$D113+'Incremental Repayments'!$I$31),-PMT('Interest Rate'!$J$16,'Incremental Repayments'!$I$31,(HLOOKUP($D113,$E$4:$CZ$32,28,FALSE)*'Incremental Repayments'!$I$22)),0),0)</f>
        <v>0</v>
      </c>
      <c r="AZ113" s="783">
        <f>IF('Incremental Repayments'!$R$22="Debt",IF(AND(AZ$4&gt;=$D113,AZ$4&lt;$D113+'Incremental Repayments'!$I$31),-PMT('Interest Rate'!$J$16,'Incremental Repayments'!$I$31,(HLOOKUP($D113,$E$4:$CZ$32,28,FALSE)*'Incremental Repayments'!$I$22)),0),0)</f>
        <v>0</v>
      </c>
      <c r="BA113" s="783">
        <f>IF('Incremental Repayments'!$R$22="Debt",IF(AND(BA$4&gt;=$D113,BA$4&lt;$D113+'Incremental Repayments'!$I$31),-PMT('Interest Rate'!$J$16,'Incremental Repayments'!$I$31,(HLOOKUP($D113,$E$4:$CZ$32,28,FALSE)*'Incremental Repayments'!$I$22)),0),0)</f>
        <v>0</v>
      </c>
      <c r="BB113" s="783">
        <f>IF('Incremental Repayments'!$R$22="Debt",IF(AND(BB$4&gt;=$D113,BB$4&lt;$D113+'Incremental Repayments'!$I$31),-PMT('Interest Rate'!$J$16,'Incremental Repayments'!$I$31,(HLOOKUP($D113,$E$4:$CZ$32,28,FALSE)*'Incremental Repayments'!$I$22)),0),0)</f>
        <v>0</v>
      </c>
      <c r="BC113" s="783">
        <f>IF('Incremental Repayments'!$R$22="Debt",IF(AND(BC$4&gt;=$D113,BC$4&lt;$D113+'Incremental Repayments'!$I$31),-PMT('Interest Rate'!$J$16,'Incremental Repayments'!$I$31,(HLOOKUP($D113,$E$4:$CZ$32,28,FALSE)*'Incremental Repayments'!$I$22)),0),0)</f>
        <v>0</v>
      </c>
      <c r="BD113" s="783">
        <f>IF('Incremental Repayments'!$R$22="Debt",IF(AND(BD$4&gt;=$D113,BD$4&lt;$D113+'Incremental Repayments'!$I$31),-PMT('Interest Rate'!$J$16,'Incremental Repayments'!$I$31,(HLOOKUP($D113,$E$4:$CZ$32,28,FALSE)*'Incremental Repayments'!$I$22)),0),0)</f>
        <v>0</v>
      </c>
      <c r="BE113" s="783">
        <f>IF('Incremental Repayments'!$R$22="Debt",IF(AND(BE$4&gt;=$D113,BE$4&lt;$D113+'Incremental Repayments'!$I$31),-PMT('Interest Rate'!$J$16,'Incremental Repayments'!$I$31,(HLOOKUP($D113,$E$4:$CZ$32,28,FALSE)*'Incremental Repayments'!$I$22)),0),0)</f>
        <v>0</v>
      </c>
      <c r="BF113" s="783">
        <f>IF('Incremental Repayments'!$R$22="Debt",IF(AND(BF$4&gt;=$D113,BF$4&lt;$D113+'Incremental Repayments'!$I$31),-PMT('Interest Rate'!$J$16,'Incremental Repayments'!$I$31,(HLOOKUP($D113,$E$4:$CZ$32,28,FALSE)*'Incremental Repayments'!$I$22)),0),0)</f>
        <v>0</v>
      </c>
      <c r="BG113" s="783">
        <f>IF('Incremental Repayments'!$R$22="Debt",IF(AND(BG$4&gt;=$D113,BG$4&lt;$D113+'Incremental Repayments'!$I$31),-PMT('Interest Rate'!$J$16,'Incremental Repayments'!$I$31,(HLOOKUP($D113,$E$4:$CZ$32,28,FALSE)*'Incremental Repayments'!$I$22)),0),0)</f>
        <v>0</v>
      </c>
      <c r="BH113" s="783">
        <f>IF('Incremental Repayments'!$R$22="Debt",IF(AND(BH$4&gt;=$D113,BH$4&lt;$D113+'Incremental Repayments'!$I$31),-PMT('Interest Rate'!$J$16,'Incremental Repayments'!$I$31,(HLOOKUP($D113,$E$4:$CZ$32,28,FALSE)*'Incremental Repayments'!$I$22)),0),0)</f>
        <v>0</v>
      </c>
      <c r="BI113" s="783">
        <f>IF('Incremental Repayments'!$R$22="Debt",IF(AND(BI$4&gt;=$D113,BI$4&lt;$D113+'Incremental Repayments'!$I$31),-PMT('Interest Rate'!$J$16,'Incremental Repayments'!$I$31,(HLOOKUP($D113,$E$4:$CZ$32,28,FALSE)*'Incremental Repayments'!$I$22)),0),0)</f>
        <v>0</v>
      </c>
      <c r="BJ113" s="783">
        <f>IF('Incremental Repayments'!$R$22="Debt",IF(AND(BJ$4&gt;=$D113,BJ$4&lt;$D113+'Incremental Repayments'!$I$31),-PMT('Interest Rate'!$J$16,'Incremental Repayments'!$I$31,(HLOOKUP($D113,$E$4:$CZ$32,28,FALSE)*'Incremental Repayments'!$I$22)),0),0)</f>
        <v>0</v>
      </c>
      <c r="BK113" s="783">
        <f>IF('Incremental Repayments'!$R$22="Debt",IF(AND(BK$4&gt;=$D113,BK$4&lt;$D113+'Incremental Repayments'!$I$31),-PMT('Interest Rate'!$J$16,'Incremental Repayments'!$I$31,(HLOOKUP($D113,$E$4:$CZ$32,28,FALSE)*'Incremental Repayments'!$I$22)),0),0)</f>
        <v>0</v>
      </c>
      <c r="BL113" s="783">
        <f>IF('Incremental Repayments'!$R$22="Debt",IF(AND(BL$4&gt;=$D113,BL$4&lt;$D113+'Incremental Repayments'!$I$31),-PMT('Interest Rate'!$J$16,'Incremental Repayments'!$I$31,(HLOOKUP($D113,$E$4:$CZ$32,28,FALSE)*'Incremental Repayments'!$I$22)),0),0)</f>
        <v>0</v>
      </c>
      <c r="BM113" s="783">
        <f>IF('Incremental Repayments'!$R$22="Debt",IF(AND(BM$4&gt;=$D113,BM$4&lt;$D113+'Incremental Repayments'!$I$31),-PMT('Interest Rate'!$J$16,'Incremental Repayments'!$I$31,(HLOOKUP($D113,$E$4:$CZ$32,28,FALSE)*'Incremental Repayments'!$I$22)),0),0)</f>
        <v>0</v>
      </c>
      <c r="BN113" s="783">
        <f>IF('Incremental Repayments'!$R$22="Debt",IF(AND(BN$4&gt;=$D113,BN$4&lt;$D113+'Incremental Repayments'!$I$31),-PMT('Interest Rate'!$J$16,'Incremental Repayments'!$I$31,(HLOOKUP($D113,$E$4:$CZ$32,28,FALSE)*'Incremental Repayments'!$I$22)),0),0)</f>
        <v>0</v>
      </c>
      <c r="BO113" s="783">
        <f>IF('Incremental Repayments'!$R$22="Debt",IF(AND(BO$4&gt;=$D113,BO$4&lt;$D113+'Incremental Repayments'!$I$31),-PMT('Interest Rate'!$J$16,'Incremental Repayments'!$I$31,(HLOOKUP($D113,$E$4:$CZ$32,28,FALSE)*'Incremental Repayments'!$I$22)),0),0)</f>
        <v>0</v>
      </c>
      <c r="BP113" s="783">
        <f>IF('Incremental Repayments'!$R$22="Debt",IF(AND(BP$4&gt;=$D113,BP$4&lt;$D113+'Incremental Repayments'!$I$31),-PMT('Interest Rate'!$J$16,'Incremental Repayments'!$I$31,(HLOOKUP($D113,$E$4:$CZ$32,28,FALSE)*'Incremental Repayments'!$I$22)),0),0)</f>
        <v>0</v>
      </c>
      <c r="BQ113" s="783">
        <f>IF('Incremental Repayments'!$R$22="Debt",IF(AND(BQ$4&gt;=$D113,BQ$4&lt;$D113+'Incremental Repayments'!$I$31),-PMT('Interest Rate'!$J$16,'Incremental Repayments'!$I$31,(HLOOKUP($D113,$E$4:$CZ$32,28,FALSE)*'Incremental Repayments'!$I$22)),0),0)</f>
        <v>0</v>
      </c>
      <c r="BR113" s="783">
        <f>IF('Incremental Repayments'!$R$22="Debt",IF(AND(BR$4&gt;=$D113,BR$4&lt;$D113+'Incremental Repayments'!$I$31),-PMT('Interest Rate'!$J$16,'Incremental Repayments'!$I$31,(HLOOKUP($D113,$E$4:$CZ$32,28,FALSE)*'Incremental Repayments'!$I$22)),0),0)</f>
        <v>0</v>
      </c>
      <c r="BS113" s="783">
        <f>IF('Incremental Repayments'!$R$22="Debt",IF(AND(BS$4&gt;=$D113,BS$4&lt;$D113+'Incremental Repayments'!$I$31),-PMT('Interest Rate'!$J$16,'Incremental Repayments'!$I$31,(HLOOKUP($D113,$E$4:$CZ$32,28,FALSE)*'Incremental Repayments'!$I$22)),0),0)</f>
        <v>0</v>
      </c>
      <c r="BT113" s="783">
        <f>IF('Incremental Repayments'!$R$22="Debt",IF(AND(BT$4&gt;=$D113,BT$4&lt;$D113+'Incremental Repayments'!$I$31),-PMT('Interest Rate'!$J$16,'Incremental Repayments'!$I$31,(HLOOKUP($D113,$E$4:$CZ$32,28,FALSE)*'Incremental Repayments'!$I$22)),0),0)</f>
        <v>0</v>
      </c>
      <c r="BU113" s="783">
        <f>IF('Incremental Repayments'!$R$22="Debt",IF(AND(BU$4&gt;=$D113,BU$4&lt;$D113+'Incremental Repayments'!$I$31),-PMT('Interest Rate'!$J$16,'Incremental Repayments'!$I$31,(HLOOKUP($D113,$E$4:$CZ$32,28,FALSE)*'Incremental Repayments'!$I$22)),0),0)</f>
        <v>0</v>
      </c>
      <c r="BV113" s="783">
        <f>IF('Incremental Repayments'!$R$22="Debt",IF(AND(BV$4&gt;=$D113,BV$4&lt;$D113+'Incremental Repayments'!$I$31),-PMT('Interest Rate'!$J$16,'Incremental Repayments'!$I$31,(HLOOKUP($D113,$E$4:$CZ$32,28,FALSE)*'Incremental Repayments'!$I$22)),0),0)</f>
        <v>0</v>
      </c>
      <c r="BW113" s="783">
        <f>IF('Incremental Repayments'!$R$22="Debt",IF(AND(BW$4&gt;=$D113,BW$4&lt;$D113+'Incremental Repayments'!$I$31),-PMT('Interest Rate'!$J$16,'Incremental Repayments'!$I$31,(HLOOKUP($D113,$E$4:$CZ$32,28,FALSE)*'Incremental Repayments'!$I$22)),0),0)</f>
        <v>0</v>
      </c>
      <c r="BX113" s="783">
        <f>IF('Incremental Repayments'!$R$22="Debt",IF(AND(BX$4&gt;=$D113,BX$4&lt;$D113+'Incremental Repayments'!$I$31),-PMT('Interest Rate'!$J$16,'Incremental Repayments'!$I$31,(HLOOKUP($D113,$E$4:$CZ$32,28,FALSE)*'Incremental Repayments'!$I$22)),0),0)</f>
        <v>0</v>
      </c>
      <c r="BY113" s="783">
        <f>IF('Incremental Repayments'!$R$22="Debt",IF(AND(BY$4&gt;=$D113,BY$4&lt;$D113+'Incremental Repayments'!$I$31),-PMT('Interest Rate'!$J$16,'Incremental Repayments'!$I$31,(HLOOKUP($D113,$E$4:$CZ$32,28,FALSE)*'Incremental Repayments'!$I$22)),0),0)</f>
        <v>0</v>
      </c>
      <c r="BZ113" s="783">
        <f>IF('Incremental Repayments'!$R$22="Debt",IF(AND(BZ$4&gt;=$D113,BZ$4&lt;$D113+'Incremental Repayments'!$I$31),-PMT('Interest Rate'!$J$16,'Incremental Repayments'!$I$31,(HLOOKUP($D113,$E$4:$CZ$32,28,FALSE)*'Incremental Repayments'!$I$22)),0),0)</f>
        <v>0</v>
      </c>
      <c r="CA113" s="783">
        <f>IF('Incremental Repayments'!$R$22="Debt",IF(AND(CA$4&gt;=$D113,CA$4&lt;$D113+'Incremental Repayments'!$I$31),-PMT('Interest Rate'!$J$16,'Incremental Repayments'!$I$31,(HLOOKUP($D113,$E$4:$CZ$32,28,FALSE)*'Incremental Repayments'!$I$22)),0),0)</f>
        <v>0</v>
      </c>
      <c r="CB113" s="783">
        <f>IF('Incremental Repayments'!$R$22="Debt",IF(AND(CB$4&gt;=$D113,CB$4&lt;$D113+'Incremental Repayments'!$I$31),-PMT('Interest Rate'!$J$16,'Incremental Repayments'!$I$31,(HLOOKUP($D113,$E$4:$CZ$32,28,FALSE)*'Incremental Repayments'!$I$22)),0),0)</f>
        <v>0</v>
      </c>
      <c r="CC113" s="783">
        <f>IF('Incremental Repayments'!$R$22="Debt",IF(AND(CC$4&gt;=$D113,CC$4&lt;$D113+'Incremental Repayments'!$I$31),-PMT('Interest Rate'!$J$16,'Incremental Repayments'!$I$31,(HLOOKUP($D113,$E$4:$CZ$32,28,FALSE)*'Incremental Repayments'!$I$22)),0),0)</f>
        <v>0</v>
      </c>
      <c r="CD113" s="783">
        <f>IF('Incremental Repayments'!$R$22="Debt",IF(AND(CD$4&gt;=$D113,CD$4&lt;$D113+'Incremental Repayments'!$I$31),-PMT('Interest Rate'!$J$16,'Incremental Repayments'!$I$31,(HLOOKUP($D113,$E$4:$CZ$32,28,FALSE)*'Incremental Repayments'!$I$22)),0),0)</f>
        <v>0</v>
      </c>
      <c r="CE113" s="783">
        <f>IF('Incremental Repayments'!$R$22="Debt",IF(AND(CE$4&gt;=$D113,CE$4&lt;$D113+'Incremental Repayments'!$I$31),-PMT('Interest Rate'!$J$16,'Incremental Repayments'!$I$31,(HLOOKUP($D113,$E$4:$CZ$32,28,FALSE)*'Incremental Repayments'!$I$22)),0),0)</f>
        <v>0</v>
      </c>
      <c r="CF113" s="783">
        <f>IF('Incremental Repayments'!$R$22="Debt",IF(AND(CF$4&gt;=$D113,CF$4&lt;$D113+'Incremental Repayments'!$I$31),-PMT('Interest Rate'!$J$16,'Incremental Repayments'!$I$31,(HLOOKUP($D113,$E$4:$CZ$32,28,FALSE)*'Incremental Repayments'!$I$22)),0),0)</f>
        <v>0</v>
      </c>
      <c r="CG113" s="783">
        <f>IF('Incremental Repayments'!$R$22="Debt",IF(AND(CG$4&gt;=$D113,CG$4&lt;$D113+'Incremental Repayments'!$I$31),-PMT('Interest Rate'!$J$16,'Incremental Repayments'!$I$31,(HLOOKUP($D113,$E$4:$CZ$32,28,FALSE)*'Incremental Repayments'!$I$22)),0),0)</f>
        <v>0</v>
      </c>
      <c r="CH113" s="783">
        <f>IF('Incremental Repayments'!$R$22="Debt",IF(AND(CH$4&gt;=$D113,CH$4&lt;$D113+'Incremental Repayments'!$I$31),-PMT('Interest Rate'!$J$16,'Incremental Repayments'!$I$31,(HLOOKUP($D113,$E$4:$CZ$32,28,FALSE)*'Incremental Repayments'!$I$22)),0),0)</f>
        <v>0</v>
      </c>
      <c r="CI113" s="783">
        <f>IF('Incremental Repayments'!$R$22="Debt",IF(AND(CI$4&gt;=$D113,CI$4&lt;$D113+'Incremental Repayments'!$I$31),-PMT('Interest Rate'!$J$16,'Incremental Repayments'!$I$31,(HLOOKUP($D113,$E$4:$CZ$32,28,FALSE)*'Incremental Repayments'!$I$22)),0),0)</f>
        <v>0</v>
      </c>
      <c r="CJ113" s="783">
        <f>IF('Incremental Repayments'!$R$22="Debt",IF(AND(CJ$4&gt;=$D113,CJ$4&lt;$D113+'Incremental Repayments'!$I$31),-PMT('Interest Rate'!$J$16,'Incremental Repayments'!$I$31,(HLOOKUP($D113,$E$4:$CZ$32,28,FALSE)*'Incremental Repayments'!$I$22)),0),0)</f>
        <v>0</v>
      </c>
      <c r="CK113" s="783">
        <f>IF('Incremental Repayments'!$R$22="Debt",IF(AND(CK$4&gt;=$D113,CK$4&lt;$D113+'Incremental Repayments'!$I$31),-PMT('Interest Rate'!$J$16,'Incremental Repayments'!$I$31,(HLOOKUP($D113,$E$4:$CZ$32,28,FALSE)*'Incremental Repayments'!$I$22)),0),0)</f>
        <v>0</v>
      </c>
      <c r="CL113" s="783">
        <f>IF('Incremental Repayments'!$R$22="Debt",IF(AND(CL$4&gt;=$D113,CL$4&lt;$D113+'Incremental Repayments'!$I$31),-PMT('Interest Rate'!$J$16,'Incremental Repayments'!$I$31,(HLOOKUP($D113,$E$4:$CZ$32,28,FALSE)*'Incremental Repayments'!$I$22)),0),0)</f>
        <v>0</v>
      </c>
      <c r="CM113" s="783">
        <f>IF('Incremental Repayments'!$R$22="Debt",IF(AND(CM$4&gt;=$D113,CM$4&lt;$D113+'Incremental Repayments'!$I$31),-PMT('Interest Rate'!$J$16,'Incremental Repayments'!$I$31,(HLOOKUP($D113,$E$4:$CZ$32,28,FALSE)*'Incremental Repayments'!$I$22)),0),0)</f>
        <v>0</v>
      </c>
      <c r="CN113" s="783">
        <f>IF('Incremental Repayments'!$R$22="Debt",IF(AND(CN$4&gt;=$D113,CN$4&lt;$D113+'Incremental Repayments'!$I$31),-PMT('Interest Rate'!$J$16,'Incremental Repayments'!$I$31,(HLOOKUP($D113,$E$4:$CZ$32,28,FALSE)*'Incremental Repayments'!$I$22)),0),0)</f>
        <v>0</v>
      </c>
      <c r="CO113" s="783">
        <f>IF('Incremental Repayments'!$R$22="Debt",IF(AND(CO$4&gt;=$D113,CO$4&lt;$D113+'Incremental Repayments'!$I$31),-PMT('Interest Rate'!$J$16,'Incremental Repayments'!$I$31,(HLOOKUP($D113,$E$4:$CZ$32,28,FALSE)*'Incremental Repayments'!$I$22)),0),0)</f>
        <v>0</v>
      </c>
      <c r="CP113" s="783">
        <f>IF('Incremental Repayments'!$R$22="Debt",IF(AND(CP$4&gt;=$D113,CP$4&lt;$D113+'Incremental Repayments'!$I$31),-PMT('Interest Rate'!$J$16,'Incremental Repayments'!$I$31,(HLOOKUP($D113,$E$4:$CZ$32,28,FALSE)*'Incremental Repayments'!$I$22)),0),0)</f>
        <v>0</v>
      </c>
      <c r="CQ113" s="783">
        <f>IF('Incremental Repayments'!$R$22="Debt",IF(AND(CQ$4&gt;=$D113,CQ$4&lt;$D113+'Incremental Repayments'!$I$31),-PMT('Interest Rate'!$J$16,'Incremental Repayments'!$I$31,(HLOOKUP($D113,$E$4:$CZ$32,28,FALSE)*'Incremental Repayments'!$I$22)),0),0)</f>
        <v>0</v>
      </c>
      <c r="CR113" s="783">
        <f>IF('Incremental Repayments'!$R$22="Debt",IF(AND(CR$4&gt;=$D113,CR$4&lt;$D113+'Incremental Repayments'!$I$31),-PMT('Interest Rate'!$J$16,'Incremental Repayments'!$I$31,(HLOOKUP($D113,$E$4:$CZ$32,28,FALSE)*'Incremental Repayments'!$I$22)),0),0)</f>
        <v>0</v>
      </c>
      <c r="CS113" s="783">
        <f>IF('Incremental Repayments'!$R$22="Debt",IF(AND(CS$4&gt;=$D113,CS$4&lt;$D113+'Incremental Repayments'!$I$31),-PMT('Interest Rate'!$J$16,'Incremental Repayments'!$I$31,(HLOOKUP($D113,$E$4:$CZ$32,28,FALSE)*'Incremental Repayments'!$I$22)),0),0)</f>
        <v>0</v>
      </c>
      <c r="CT113" s="783">
        <f>IF('Incremental Repayments'!$R$22="Debt",IF(AND(CT$4&gt;=$D113,CT$4&lt;$D113+'Incremental Repayments'!$I$31),-PMT('Interest Rate'!$J$16,'Incremental Repayments'!$I$31,(HLOOKUP($D113,$E$4:$CZ$32,28,FALSE)*'Incremental Repayments'!$I$22)),0),0)</f>
        <v>0</v>
      </c>
      <c r="CU113" s="783">
        <f>IF('Incremental Repayments'!$R$22="Debt",IF(AND(CU$4&gt;=$D113,CU$4&lt;$D113+'Incremental Repayments'!$I$31),-PMT('Interest Rate'!$J$16,'Incremental Repayments'!$I$31,(HLOOKUP($D113,$E$4:$CZ$32,28,FALSE)*'Incremental Repayments'!$I$22)),0),0)</f>
        <v>0</v>
      </c>
      <c r="CV113" s="783">
        <f>IF('Incremental Repayments'!$R$22="Debt",IF(AND(CV$4&gt;=$D113,CV$4&lt;$D113+'Incremental Repayments'!$I$31),-PMT('Interest Rate'!$J$16,'Incremental Repayments'!$I$31,(HLOOKUP($D113,$E$4:$CZ$32,28,FALSE)*'Incremental Repayments'!$I$22)),0),0)</f>
        <v>0</v>
      </c>
      <c r="CW113" s="783">
        <f>IF('Incremental Repayments'!$R$22="Debt",IF(AND(CW$4&gt;=$D113,CW$4&lt;$D113+'Incremental Repayments'!$I$31),-PMT('Interest Rate'!$J$16,'Incremental Repayments'!$I$31,(HLOOKUP($D113,$E$4:$CZ$32,28,FALSE)*'Incremental Repayments'!$I$22)),0),0)</f>
        <v>0</v>
      </c>
      <c r="CX113" s="783">
        <f>IF('Incremental Repayments'!$R$22="Debt",IF(AND(CX$4&gt;=$D113,CX$4&lt;$D113+'Incremental Repayments'!$I$31),-PMT('Interest Rate'!$J$16,'Incremental Repayments'!$I$31,(HLOOKUP($D113,$E$4:$CZ$32,28,FALSE)*'Incremental Repayments'!$I$22)),0),0)</f>
        <v>0</v>
      </c>
      <c r="CY113" s="783">
        <f>IF('Incremental Repayments'!$R$22="Debt",IF(AND(CY$4&gt;=$D113,CY$4&lt;$D113+'Incremental Repayments'!$I$31),-PMT('Interest Rate'!$J$16,'Incremental Repayments'!$I$31,(HLOOKUP($D113,$E$4:$CZ$32,28,FALSE)*'Incremental Repayments'!$I$22)),0),0)</f>
        <v>0</v>
      </c>
      <c r="CZ113" s="783">
        <f>IF('Incremental Repayments'!$R$22="Debt",IF(AND(CZ$4&gt;=$D113,CZ$4&lt;$D113+'Incremental Repayments'!$I$31),-PMT('Interest Rate'!$J$16,'Incremental Repayments'!$I$31,(HLOOKUP($D113,$E$4:$CZ$32,28,FALSE)*'Incremental Repayments'!$I$22)),0),0)</f>
        <v>0</v>
      </c>
    </row>
    <row r="114" spans="1:104" x14ac:dyDescent="0.25">
      <c r="B114" s="480" t="str">
        <f>CONCATENATE("Series ",D114,"A Bonds (at ",'Interest Rate'!$J$16*100,"% Interest)")</f>
        <v>Series 2092A Bonds (at 4.5% Interest)</v>
      </c>
      <c r="C114" s="480"/>
      <c r="D114" s="492">
        <f t="shared" si="47"/>
        <v>2092</v>
      </c>
      <c r="E114" s="783">
        <f>IF('Incremental Repayments'!$R$22="Debt",IF(AND(E$4&gt;=$D114,E$4&lt;$D114+'Incremental Repayments'!$I$31),-PMT('Interest Rate'!$J$16,'Incremental Repayments'!$I$31,(HLOOKUP($D114,$E$4:$CZ$32,28,FALSE)*'Incremental Repayments'!$I$22)),0),0)</f>
        <v>0</v>
      </c>
      <c r="F114" s="783">
        <f>IF('Incremental Repayments'!$R$22="Debt",IF(AND(F$4&gt;=$D114,F$4&lt;$D114+'Incremental Repayments'!$I$31),-PMT('Interest Rate'!$J$16,'Incremental Repayments'!$I$31,(HLOOKUP($D114,$E$4:$CZ$32,28,FALSE)*'Incremental Repayments'!$I$22)),0),0)</f>
        <v>0</v>
      </c>
      <c r="G114" s="783">
        <f>IF('Incremental Repayments'!$R$22="Debt",IF(AND(G$4&gt;=$D114,G$4&lt;$D114+'Incremental Repayments'!$I$31),-PMT('Interest Rate'!$J$16,'Incremental Repayments'!$I$31,(HLOOKUP($D114,$E$4:$CZ$32,28,FALSE)*'Incremental Repayments'!$I$22)),0),0)</f>
        <v>0</v>
      </c>
      <c r="H114" s="783">
        <f>IF('Incremental Repayments'!$R$22="Debt",IF(AND(H$4&gt;=$D114,H$4&lt;$D114+'Incremental Repayments'!$I$31),-PMT('Interest Rate'!$J$16,'Incremental Repayments'!$I$31,(HLOOKUP($D114,$E$4:$CZ$32,28,FALSE)*'Incremental Repayments'!$I$22)),0),0)</f>
        <v>0</v>
      </c>
      <c r="I114" s="783">
        <f>IF('Incremental Repayments'!$R$22="Debt",IF(AND(I$4&gt;=$D114,I$4&lt;$D114+'Incremental Repayments'!$I$31),-PMT('Interest Rate'!$J$16,'Incremental Repayments'!$I$31,(HLOOKUP($D114,$E$4:$CZ$32,28,FALSE)*'Incremental Repayments'!$I$22)),0),0)</f>
        <v>0</v>
      </c>
      <c r="J114" s="783">
        <f>IF('Incremental Repayments'!$R$22="Debt",IF(AND(J$4&gt;=$D114,J$4&lt;$D114+'Incremental Repayments'!$I$31),-PMT('Interest Rate'!$J$16,'Incremental Repayments'!$I$31,(HLOOKUP($D114,$E$4:$CZ$32,28,FALSE)*'Incremental Repayments'!$I$22)),0),0)</f>
        <v>0</v>
      </c>
      <c r="K114" s="783">
        <f>IF('Incremental Repayments'!$R$22="Debt",IF(AND(K$4&gt;=$D114,K$4&lt;$D114+'Incremental Repayments'!$I$31),-PMT('Interest Rate'!$J$16,'Incremental Repayments'!$I$31,(HLOOKUP($D114,$E$4:$CZ$32,28,FALSE)*'Incremental Repayments'!$I$22)),0),0)</f>
        <v>0</v>
      </c>
      <c r="L114" s="783">
        <f>IF('Incremental Repayments'!$R$22="Debt",IF(AND(L$4&gt;=$D114,L$4&lt;$D114+'Incremental Repayments'!$I$31),-PMT('Interest Rate'!$J$16,'Incremental Repayments'!$I$31,(HLOOKUP($D114,$E$4:$CZ$32,28,FALSE)*'Incremental Repayments'!$I$22)),0),0)</f>
        <v>0</v>
      </c>
      <c r="M114" s="783">
        <f>IF('Incremental Repayments'!$R$22="Debt",IF(AND(M$4&gt;=$D114,M$4&lt;$D114+'Incremental Repayments'!$I$31),-PMT('Interest Rate'!$J$16,'Incremental Repayments'!$I$31,(HLOOKUP($D114,$E$4:$CZ$32,28,FALSE)*'Incremental Repayments'!$I$22)),0),0)</f>
        <v>0</v>
      </c>
      <c r="N114" s="783">
        <f>IF('Incremental Repayments'!$R$22="Debt",IF(AND(N$4&gt;=$D114,N$4&lt;$D114+'Incremental Repayments'!$I$31),-PMT('Interest Rate'!$J$16,'Incremental Repayments'!$I$31,(HLOOKUP($D114,$E$4:$CZ$32,28,FALSE)*'Incremental Repayments'!$I$22)),0),0)</f>
        <v>0</v>
      </c>
      <c r="O114" s="783">
        <f>IF('Incremental Repayments'!$R$22="Debt",IF(AND(O$4&gt;=$D114,O$4&lt;$D114+'Incremental Repayments'!$I$31),-PMT('Interest Rate'!$J$16,'Incremental Repayments'!$I$31,(HLOOKUP($D114,$E$4:$CZ$32,28,FALSE)*'Incremental Repayments'!$I$22)),0),0)</f>
        <v>0</v>
      </c>
      <c r="P114" s="783">
        <f>IF('Incremental Repayments'!$R$22="Debt",IF(AND(P$4&gt;=$D114,P$4&lt;$D114+'Incremental Repayments'!$I$31),-PMT('Interest Rate'!$J$16,'Incremental Repayments'!$I$31,(HLOOKUP($D114,$E$4:$CZ$32,28,FALSE)*'Incremental Repayments'!$I$22)),0),0)</f>
        <v>0</v>
      </c>
      <c r="Q114" s="783">
        <f>IF('Incremental Repayments'!$R$22="Debt",IF(AND(Q$4&gt;=$D114,Q$4&lt;$D114+'Incremental Repayments'!$I$31),-PMT('Interest Rate'!$J$16,'Incremental Repayments'!$I$31,(HLOOKUP($D114,$E$4:$CZ$32,28,FALSE)*'Incremental Repayments'!$I$22)),0),0)</f>
        <v>0</v>
      </c>
      <c r="R114" s="783">
        <f>IF('Incremental Repayments'!$R$22="Debt",IF(AND(R$4&gt;=$D114,R$4&lt;$D114+'Incremental Repayments'!$I$31),-PMT('Interest Rate'!$J$16,'Incremental Repayments'!$I$31,(HLOOKUP($D114,$E$4:$CZ$32,28,FALSE)*'Incremental Repayments'!$I$22)),0),0)</f>
        <v>0</v>
      </c>
      <c r="S114" s="783">
        <f>IF('Incremental Repayments'!$R$22="Debt",IF(AND(S$4&gt;=$D114,S$4&lt;$D114+'Incremental Repayments'!$I$31),-PMT('Interest Rate'!$J$16,'Incremental Repayments'!$I$31,(HLOOKUP($D114,$E$4:$CZ$32,28,FALSE)*'Incremental Repayments'!$I$22)),0),0)</f>
        <v>0</v>
      </c>
      <c r="T114" s="783">
        <f>IF('Incremental Repayments'!$R$22="Debt",IF(AND(T$4&gt;=$D114,T$4&lt;$D114+'Incremental Repayments'!$I$31),-PMT('Interest Rate'!$J$16,'Incremental Repayments'!$I$31,(HLOOKUP($D114,$E$4:$CZ$32,28,FALSE)*'Incremental Repayments'!$I$22)),0),0)</f>
        <v>0</v>
      </c>
      <c r="U114" s="783">
        <f>IF('Incremental Repayments'!$R$22="Debt",IF(AND(U$4&gt;=$D114,U$4&lt;$D114+'Incremental Repayments'!$I$31),-PMT('Interest Rate'!$J$16,'Incremental Repayments'!$I$31,(HLOOKUP($D114,$E$4:$CZ$32,28,FALSE)*'Incremental Repayments'!$I$22)),0),0)</f>
        <v>0</v>
      </c>
      <c r="V114" s="783">
        <f>IF('Incremental Repayments'!$R$22="Debt",IF(AND(V$4&gt;=$D114,V$4&lt;$D114+'Incremental Repayments'!$I$31),-PMT('Interest Rate'!$J$16,'Incremental Repayments'!$I$31,(HLOOKUP($D114,$E$4:$CZ$32,28,FALSE)*'Incremental Repayments'!$I$22)),0),0)</f>
        <v>0</v>
      </c>
      <c r="W114" s="783">
        <f>IF('Incremental Repayments'!$R$22="Debt",IF(AND(W$4&gt;=$D114,W$4&lt;$D114+'Incremental Repayments'!$I$31),-PMT('Interest Rate'!$J$16,'Incremental Repayments'!$I$31,(HLOOKUP($D114,$E$4:$CZ$32,28,FALSE)*'Incremental Repayments'!$I$22)),0),0)</f>
        <v>0</v>
      </c>
      <c r="X114" s="783">
        <f>IF('Incremental Repayments'!$R$22="Debt",IF(AND(X$4&gt;=$D114,X$4&lt;$D114+'Incremental Repayments'!$I$31),-PMT('Interest Rate'!$J$16,'Incremental Repayments'!$I$31,(HLOOKUP($D114,$E$4:$CZ$32,28,FALSE)*'Incremental Repayments'!$I$22)),0),0)</f>
        <v>0</v>
      </c>
      <c r="Y114" s="783">
        <f>IF('Incremental Repayments'!$R$22="Debt",IF(AND(Y$4&gt;=$D114,Y$4&lt;$D114+'Incremental Repayments'!$I$31),-PMT('Interest Rate'!$J$16,'Incremental Repayments'!$I$31,(HLOOKUP($D114,$E$4:$CZ$32,28,FALSE)*'Incremental Repayments'!$I$22)),0),0)</f>
        <v>0</v>
      </c>
      <c r="Z114" s="783">
        <f>IF('Incremental Repayments'!$R$22="Debt",IF(AND(Z$4&gt;=$D114,Z$4&lt;$D114+'Incremental Repayments'!$I$31),-PMT('Interest Rate'!$J$16,'Incremental Repayments'!$I$31,(HLOOKUP($D114,$E$4:$CZ$32,28,FALSE)*'Incremental Repayments'!$I$22)),0),0)</f>
        <v>0</v>
      </c>
      <c r="AA114" s="783">
        <f>IF('Incremental Repayments'!$R$22="Debt",IF(AND(AA$4&gt;=$D114,AA$4&lt;$D114+'Incremental Repayments'!$I$31),-PMT('Interest Rate'!$J$16,'Incremental Repayments'!$I$31,(HLOOKUP($D114,$E$4:$CZ$32,28,FALSE)*'Incremental Repayments'!$I$22)),0),0)</f>
        <v>0</v>
      </c>
      <c r="AB114" s="783">
        <f>IF('Incremental Repayments'!$R$22="Debt",IF(AND(AB$4&gt;=$D114,AB$4&lt;$D114+'Incremental Repayments'!$I$31),-PMT('Interest Rate'!$J$16,'Incremental Repayments'!$I$31,(HLOOKUP($D114,$E$4:$CZ$32,28,FALSE)*'Incremental Repayments'!$I$22)),0),0)</f>
        <v>0</v>
      </c>
      <c r="AC114" s="783">
        <f>IF('Incremental Repayments'!$R$22="Debt",IF(AND(AC$4&gt;=$D114,AC$4&lt;$D114+'Incremental Repayments'!$I$31),-PMT('Interest Rate'!$J$16,'Incremental Repayments'!$I$31,(HLOOKUP($D114,$E$4:$CZ$32,28,FALSE)*'Incremental Repayments'!$I$22)),0),0)</f>
        <v>0</v>
      </c>
      <c r="AD114" s="783">
        <f>IF('Incremental Repayments'!$R$22="Debt",IF(AND(AD$4&gt;=$D114,AD$4&lt;$D114+'Incremental Repayments'!$I$31),-PMT('Interest Rate'!$J$16,'Incremental Repayments'!$I$31,(HLOOKUP($D114,$E$4:$CZ$32,28,FALSE)*'Incremental Repayments'!$I$22)),0),0)</f>
        <v>0</v>
      </c>
      <c r="AE114" s="783">
        <f>IF('Incremental Repayments'!$R$22="Debt",IF(AND(AE$4&gt;=$D114,AE$4&lt;$D114+'Incremental Repayments'!$I$31),-PMT('Interest Rate'!$J$16,'Incremental Repayments'!$I$31,(HLOOKUP($D114,$E$4:$CZ$32,28,FALSE)*'Incremental Repayments'!$I$22)),0),0)</f>
        <v>0</v>
      </c>
      <c r="AF114" s="783">
        <f>IF('Incremental Repayments'!$R$22="Debt",IF(AND(AF$4&gt;=$D114,AF$4&lt;$D114+'Incremental Repayments'!$I$31),-PMT('Interest Rate'!$J$16,'Incremental Repayments'!$I$31,(HLOOKUP($D114,$E$4:$CZ$32,28,FALSE)*'Incremental Repayments'!$I$22)),0),0)</f>
        <v>0</v>
      </c>
      <c r="AG114" s="783">
        <f>IF('Incremental Repayments'!$R$22="Debt",IF(AND(AG$4&gt;=$D114,AG$4&lt;$D114+'Incremental Repayments'!$I$31),-PMT('Interest Rate'!$J$16,'Incremental Repayments'!$I$31,(HLOOKUP($D114,$E$4:$CZ$32,28,FALSE)*'Incremental Repayments'!$I$22)),0),0)</f>
        <v>0</v>
      </c>
      <c r="AH114" s="783">
        <f>IF('Incremental Repayments'!$R$22="Debt",IF(AND(AH$4&gt;=$D114,AH$4&lt;$D114+'Incremental Repayments'!$I$31),-PMT('Interest Rate'!$J$16,'Incremental Repayments'!$I$31,(HLOOKUP($D114,$E$4:$CZ$32,28,FALSE)*'Incremental Repayments'!$I$22)),0),0)</f>
        <v>0</v>
      </c>
      <c r="AI114" s="783">
        <f>IF('Incremental Repayments'!$R$22="Debt",IF(AND(AI$4&gt;=$D114,AI$4&lt;$D114+'Incremental Repayments'!$I$31),-PMT('Interest Rate'!$J$16,'Incremental Repayments'!$I$31,(HLOOKUP($D114,$E$4:$CZ$32,28,FALSE)*'Incremental Repayments'!$I$22)),0),0)</f>
        <v>0</v>
      </c>
      <c r="AJ114" s="783">
        <f>IF('Incremental Repayments'!$R$22="Debt",IF(AND(AJ$4&gt;=$D114,AJ$4&lt;$D114+'Incremental Repayments'!$I$31),-PMT('Interest Rate'!$J$16,'Incremental Repayments'!$I$31,(HLOOKUP($D114,$E$4:$CZ$32,28,FALSE)*'Incremental Repayments'!$I$22)),0),0)</f>
        <v>0</v>
      </c>
      <c r="AK114" s="783">
        <f>IF('Incremental Repayments'!$R$22="Debt",IF(AND(AK$4&gt;=$D114,AK$4&lt;$D114+'Incremental Repayments'!$I$31),-PMT('Interest Rate'!$J$16,'Incremental Repayments'!$I$31,(HLOOKUP($D114,$E$4:$CZ$32,28,FALSE)*'Incremental Repayments'!$I$22)),0),0)</f>
        <v>0</v>
      </c>
      <c r="AL114" s="783">
        <f>IF('Incremental Repayments'!$R$22="Debt",IF(AND(AL$4&gt;=$D114,AL$4&lt;$D114+'Incremental Repayments'!$I$31),-PMT('Interest Rate'!$J$16,'Incremental Repayments'!$I$31,(HLOOKUP($D114,$E$4:$CZ$32,28,FALSE)*'Incremental Repayments'!$I$22)),0),0)</f>
        <v>0</v>
      </c>
      <c r="AM114" s="783">
        <f>IF('Incremental Repayments'!$R$22="Debt",IF(AND(AM$4&gt;=$D114,AM$4&lt;$D114+'Incremental Repayments'!$I$31),-PMT('Interest Rate'!$J$16,'Incremental Repayments'!$I$31,(HLOOKUP($D114,$E$4:$CZ$32,28,FALSE)*'Incremental Repayments'!$I$22)),0),0)</f>
        <v>0</v>
      </c>
      <c r="AN114" s="783">
        <f>IF('Incremental Repayments'!$R$22="Debt",IF(AND(AN$4&gt;=$D114,AN$4&lt;$D114+'Incremental Repayments'!$I$31),-PMT('Interest Rate'!$J$16,'Incremental Repayments'!$I$31,(HLOOKUP($D114,$E$4:$CZ$32,28,FALSE)*'Incremental Repayments'!$I$22)),0),0)</f>
        <v>0</v>
      </c>
      <c r="AO114" s="783">
        <f>IF('Incremental Repayments'!$R$22="Debt",IF(AND(AO$4&gt;=$D114,AO$4&lt;$D114+'Incremental Repayments'!$I$31),-PMT('Interest Rate'!$J$16,'Incremental Repayments'!$I$31,(HLOOKUP($D114,$E$4:$CZ$32,28,FALSE)*'Incremental Repayments'!$I$22)),0),0)</f>
        <v>0</v>
      </c>
      <c r="AP114" s="783">
        <f>IF('Incremental Repayments'!$R$22="Debt",IF(AND(AP$4&gt;=$D114,AP$4&lt;$D114+'Incremental Repayments'!$I$31),-PMT('Interest Rate'!$J$16,'Incremental Repayments'!$I$31,(HLOOKUP($D114,$E$4:$CZ$32,28,FALSE)*'Incremental Repayments'!$I$22)),0),0)</f>
        <v>0</v>
      </c>
      <c r="AQ114" s="783">
        <f>IF('Incremental Repayments'!$R$22="Debt",IF(AND(AQ$4&gt;=$D114,AQ$4&lt;$D114+'Incremental Repayments'!$I$31),-PMT('Interest Rate'!$J$16,'Incremental Repayments'!$I$31,(HLOOKUP($D114,$E$4:$CZ$32,28,FALSE)*'Incremental Repayments'!$I$22)),0),0)</f>
        <v>0</v>
      </c>
      <c r="AR114" s="783">
        <f>IF('Incremental Repayments'!$R$22="Debt",IF(AND(AR$4&gt;=$D114,AR$4&lt;$D114+'Incremental Repayments'!$I$31),-PMT('Interest Rate'!$J$16,'Incremental Repayments'!$I$31,(HLOOKUP($D114,$E$4:$CZ$32,28,FALSE)*'Incremental Repayments'!$I$22)),0),0)</f>
        <v>0</v>
      </c>
      <c r="AS114" s="783">
        <f>IF('Incremental Repayments'!$R$22="Debt",IF(AND(AS$4&gt;=$D114,AS$4&lt;$D114+'Incremental Repayments'!$I$31),-PMT('Interest Rate'!$J$16,'Incremental Repayments'!$I$31,(HLOOKUP($D114,$E$4:$CZ$32,28,FALSE)*'Incremental Repayments'!$I$22)),0),0)</f>
        <v>0</v>
      </c>
      <c r="AT114" s="783">
        <f>IF('Incremental Repayments'!$R$22="Debt",IF(AND(AT$4&gt;=$D114,AT$4&lt;$D114+'Incremental Repayments'!$I$31),-PMT('Interest Rate'!$J$16,'Incremental Repayments'!$I$31,(HLOOKUP($D114,$E$4:$CZ$32,28,FALSE)*'Incremental Repayments'!$I$22)),0),0)</f>
        <v>0</v>
      </c>
      <c r="AU114" s="783">
        <f>IF('Incremental Repayments'!$R$22="Debt",IF(AND(AU$4&gt;=$D114,AU$4&lt;$D114+'Incremental Repayments'!$I$31),-PMT('Interest Rate'!$J$16,'Incremental Repayments'!$I$31,(HLOOKUP($D114,$E$4:$CZ$32,28,FALSE)*'Incremental Repayments'!$I$22)),0),0)</f>
        <v>0</v>
      </c>
      <c r="AV114" s="783">
        <f>IF('Incremental Repayments'!$R$22="Debt",IF(AND(AV$4&gt;=$D114,AV$4&lt;$D114+'Incremental Repayments'!$I$31),-PMT('Interest Rate'!$J$16,'Incremental Repayments'!$I$31,(HLOOKUP($D114,$E$4:$CZ$32,28,FALSE)*'Incremental Repayments'!$I$22)),0),0)</f>
        <v>0</v>
      </c>
      <c r="AW114" s="783">
        <f>IF('Incremental Repayments'!$R$22="Debt",IF(AND(AW$4&gt;=$D114,AW$4&lt;$D114+'Incremental Repayments'!$I$31),-PMT('Interest Rate'!$J$16,'Incremental Repayments'!$I$31,(HLOOKUP($D114,$E$4:$CZ$32,28,FALSE)*'Incremental Repayments'!$I$22)),0),0)</f>
        <v>0</v>
      </c>
      <c r="AX114" s="783">
        <f>IF('Incremental Repayments'!$R$22="Debt",IF(AND(AX$4&gt;=$D114,AX$4&lt;$D114+'Incremental Repayments'!$I$31),-PMT('Interest Rate'!$J$16,'Incremental Repayments'!$I$31,(HLOOKUP($D114,$E$4:$CZ$32,28,FALSE)*'Incremental Repayments'!$I$22)),0),0)</f>
        <v>0</v>
      </c>
      <c r="AY114" s="783">
        <f>IF('Incremental Repayments'!$R$22="Debt",IF(AND(AY$4&gt;=$D114,AY$4&lt;$D114+'Incremental Repayments'!$I$31),-PMT('Interest Rate'!$J$16,'Incremental Repayments'!$I$31,(HLOOKUP($D114,$E$4:$CZ$32,28,FALSE)*'Incremental Repayments'!$I$22)),0),0)</f>
        <v>0</v>
      </c>
      <c r="AZ114" s="783">
        <f>IF('Incremental Repayments'!$R$22="Debt",IF(AND(AZ$4&gt;=$D114,AZ$4&lt;$D114+'Incremental Repayments'!$I$31),-PMT('Interest Rate'!$J$16,'Incremental Repayments'!$I$31,(HLOOKUP($D114,$E$4:$CZ$32,28,FALSE)*'Incremental Repayments'!$I$22)),0),0)</f>
        <v>0</v>
      </c>
      <c r="BA114" s="783">
        <f>IF('Incremental Repayments'!$R$22="Debt",IF(AND(BA$4&gt;=$D114,BA$4&lt;$D114+'Incremental Repayments'!$I$31),-PMT('Interest Rate'!$J$16,'Incremental Repayments'!$I$31,(HLOOKUP($D114,$E$4:$CZ$32,28,FALSE)*'Incremental Repayments'!$I$22)),0),0)</f>
        <v>0</v>
      </c>
      <c r="BB114" s="783">
        <f>IF('Incremental Repayments'!$R$22="Debt",IF(AND(BB$4&gt;=$D114,BB$4&lt;$D114+'Incremental Repayments'!$I$31),-PMT('Interest Rate'!$J$16,'Incremental Repayments'!$I$31,(HLOOKUP($D114,$E$4:$CZ$32,28,FALSE)*'Incremental Repayments'!$I$22)),0),0)</f>
        <v>0</v>
      </c>
      <c r="BC114" s="783">
        <f>IF('Incremental Repayments'!$R$22="Debt",IF(AND(BC$4&gt;=$D114,BC$4&lt;$D114+'Incremental Repayments'!$I$31),-PMT('Interest Rate'!$J$16,'Incremental Repayments'!$I$31,(HLOOKUP($D114,$E$4:$CZ$32,28,FALSE)*'Incremental Repayments'!$I$22)),0),0)</f>
        <v>0</v>
      </c>
      <c r="BD114" s="783">
        <f>IF('Incremental Repayments'!$R$22="Debt",IF(AND(BD$4&gt;=$D114,BD$4&lt;$D114+'Incremental Repayments'!$I$31),-PMT('Interest Rate'!$J$16,'Incremental Repayments'!$I$31,(HLOOKUP($D114,$E$4:$CZ$32,28,FALSE)*'Incremental Repayments'!$I$22)),0),0)</f>
        <v>0</v>
      </c>
      <c r="BE114" s="783">
        <f>IF('Incremental Repayments'!$R$22="Debt",IF(AND(BE$4&gt;=$D114,BE$4&lt;$D114+'Incremental Repayments'!$I$31),-PMT('Interest Rate'!$J$16,'Incremental Repayments'!$I$31,(HLOOKUP($D114,$E$4:$CZ$32,28,FALSE)*'Incremental Repayments'!$I$22)),0),0)</f>
        <v>0</v>
      </c>
      <c r="BF114" s="783">
        <f>IF('Incremental Repayments'!$R$22="Debt",IF(AND(BF$4&gt;=$D114,BF$4&lt;$D114+'Incremental Repayments'!$I$31),-PMT('Interest Rate'!$J$16,'Incremental Repayments'!$I$31,(HLOOKUP($D114,$E$4:$CZ$32,28,FALSE)*'Incremental Repayments'!$I$22)),0),0)</f>
        <v>0</v>
      </c>
      <c r="BG114" s="783">
        <f>IF('Incremental Repayments'!$R$22="Debt",IF(AND(BG$4&gt;=$D114,BG$4&lt;$D114+'Incremental Repayments'!$I$31),-PMT('Interest Rate'!$J$16,'Incremental Repayments'!$I$31,(HLOOKUP($D114,$E$4:$CZ$32,28,FALSE)*'Incremental Repayments'!$I$22)),0),0)</f>
        <v>0</v>
      </c>
      <c r="BH114" s="783">
        <f>IF('Incremental Repayments'!$R$22="Debt",IF(AND(BH$4&gt;=$D114,BH$4&lt;$D114+'Incremental Repayments'!$I$31),-PMT('Interest Rate'!$J$16,'Incremental Repayments'!$I$31,(HLOOKUP($D114,$E$4:$CZ$32,28,FALSE)*'Incremental Repayments'!$I$22)),0),0)</f>
        <v>0</v>
      </c>
      <c r="BI114" s="783">
        <f>IF('Incremental Repayments'!$R$22="Debt",IF(AND(BI$4&gt;=$D114,BI$4&lt;$D114+'Incremental Repayments'!$I$31),-PMT('Interest Rate'!$J$16,'Incremental Repayments'!$I$31,(HLOOKUP($D114,$E$4:$CZ$32,28,FALSE)*'Incremental Repayments'!$I$22)),0),0)</f>
        <v>0</v>
      </c>
      <c r="BJ114" s="783">
        <f>IF('Incremental Repayments'!$R$22="Debt",IF(AND(BJ$4&gt;=$D114,BJ$4&lt;$D114+'Incremental Repayments'!$I$31),-PMT('Interest Rate'!$J$16,'Incremental Repayments'!$I$31,(HLOOKUP($D114,$E$4:$CZ$32,28,FALSE)*'Incremental Repayments'!$I$22)),0),0)</f>
        <v>0</v>
      </c>
      <c r="BK114" s="783">
        <f>IF('Incremental Repayments'!$R$22="Debt",IF(AND(BK$4&gt;=$D114,BK$4&lt;$D114+'Incremental Repayments'!$I$31),-PMT('Interest Rate'!$J$16,'Incremental Repayments'!$I$31,(HLOOKUP($D114,$E$4:$CZ$32,28,FALSE)*'Incremental Repayments'!$I$22)),0),0)</f>
        <v>0</v>
      </c>
      <c r="BL114" s="783">
        <f>IF('Incremental Repayments'!$R$22="Debt",IF(AND(BL$4&gt;=$D114,BL$4&lt;$D114+'Incremental Repayments'!$I$31),-PMT('Interest Rate'!$J$16,'Incremental Repayments'!$I$31,(HLOOKUP($D114,$E$4:$CZ$32,28,FALSE)*'Incremental Repayments'!$I$22)),0),0)</f>
        <v>0</v>
      </c>
      <c r="BM114" s="783">
        <f>IF('Incremental Repayments'!$R$22="Debt",IF(AND(BM$4&gt;=$D114,BM$4&lt;$D114+'Incremental Repayments'!$I$31),-PMT('Interest Rate'!$J$16,'Incremental Repayments'!$I$31,(HLOOKUP($D114,$E$4:$CZ$32,28,FALSE)*'Incremental Repayments'!$I$22)),0),0)</f>
        <v>0</v>
      </c>
      <c r="BN114" s="783">
        <f>IF('Incremental Repayments'!$R$22="Debt",IF(AND(BN$4&gt;=$D114,BN$4&lt;$D114+'Incremental Repayments'!$I$31),-PMT('Interest Rate'!$J$16,'Incremental Repayments'!$I$31,(HLOOKUP($D114,$E$4:$CZ$32,28,FALSE)*'Incremental Repayments'!$I$22)),0),0)</f>
        <v>0</v>
      </c>
      <c r="BO114" s="783">
        <f>IF('Incremental Repayments'!$R$22="Debt",IF(AND(BO$4&gt;=$D114,BO$4&lt;$D114+'Incremental Repayments'!$I$31),-PMT('Interest Rate'!$J$16,'Incremental Repayments'!$I$31,(HLOOKUP($D114,$E$4:$CZ$32,28,FALSE)*'Incremental Repayments'!$I$22)),0),0)</f>
        <v>0</v>
      </c>
      <c r="BP114" s="783">
        <f>IF('Incremental Repayments'!$R$22="Debt",IF(AND(BP$4&gt;=$D114,BP$4&lt;$D114+'Incremental Repayments'!$I$31),-PMT('Interest Rate'!$J$16,'Incremental Repayments'!$I$31,(HLOOKUP($D114,$E$4:$CZ$32,28,FALSE)*'Incremental Repayments'!$I$22)),0),0)</f>
        <v>0</v>
      </c>
      <c r="BQ114" s="783">
        <f>IF('Incremental Repayments'!$R$22="Debt",IF(AND(BQ$4&gt;=$D114,BQ$4&lt;$D114+'Incremental Repayments'!$I$31),-PMT('Interest Rate'!$J$16,'Incremental Repayments'!$I$31,(HLOOKUP($D114,$E$4:$CZ$32,28,FALSE)*'Incremental Repayments'!$I$22)),0),0)</f>
        <v>0</v>
      </c>
      <c r="BR114" s="783">
        <f>IF('Incremental Repayments'!$R$22="Debt",IF(AND(BR$4&gt;=$D114,BR$4&lt;$D114+'Incremental Repayments'!$I$31),-PMT('Interest Rate'!$J$16,'Incremental Repayments'!$I$31,(HLOOKUP($D114,$E$4:$CZ$32,28,FALSE)*'Incremental Repayments'!$I$22)),0),0)</f>
        <v>0</v>
      </c>
      <c r="BS114" s="783">
        <f>IF('Incremental Repayments'!$R$22="Debt",IF(AND(BS$4&gt;=$D114,BS$4&lt;$D114+'Incremental Repayments'!$I$31),-PMT('Interest Rate'!$J$16,'Incremental Repayments'!$I$31,(HLOOKUP($D114,$E$4:$CZ$32,28,FALSE)*'Incremental Repayments'!$I$22)),0),0)</f>
        <v>0</v>
      </c>
      <c r="BT114" s="783">
        <f>IF('Incremental Repayments'!$R$22="Debt",IF(AND(BT$4&gt;=$D114,BT$4&lt;$D114+'Incremental Repayments'!$I$31),-PMT('Interest Rate'!$J$16,'Incremental Repayments'!$I$31,(HLOOKUP($D114,$E$4:$CZ$32,28,FALSE)*'Incremental Repayments'!$I$22)),0),0)</f>
        <v>0</v>
      </c>
      <c r="BU114" s="783">
        <f>IF('Incremental Repayments'!$R$22="Debt",IF(AND(BU$4&gt;=$D114,BU$4&lt;$D114+'Incremental Repayments'!$I$31),-PMT('Interest Rate'!$J$16,'Incremental Repayments'!$I$31,(HLOOKUP($D114,$E$4:$CZ$32,28,FALSE)*'Incremental Repayments'!$I$22)),0),0)</f>
        <v>0</v>
      </c>
      <c r="BV114" s="783">
        <f>IF('Incremental Repayments'!$R$22="Debt",IF(AND(BV$4&gt;=$D114,BV$4&lt;$D114+'Incremental Repayments'!$I$31),-PMT('Interest Rate'!$J$16,'Incremental Repayments'!$I$31,(HLOOKUP($D114,$E$4:$CZ$32,28,FALSE)*'Incremental Repayments'!$I$22)),0),0)</f>
        <v>0</v>
      </c>
      <c r="BW114" s="783">
        <f>IF('Incremental Repayments'!$R$22="Debt",IF(AND(BW$4&gt;=$D114,BW$4&lt;$D114+'Incremental Repayments'!$I$31),-PMT('Interest Rate'!$J$16,'Incremental Repayments'!$I$31,(HLOOKUP($D114,$E$4:$CZ$32,28,FALSE)*'Incremental Repayments'!$I$22)),0),0)</f>
        <v>0</v>
      </c>
      <c r="BX114" s="783">
        <f>IF('Incremental Repayments'!$R$22="Debt",IF(AND(BX$4&gt;=$D114,BX$4&lt;$D114+'Incremental Repayments'!$I$31),-PMT('Interest Rate'!$J$16,'Incremental Repayments'!$I$31,(HLOOKUP($D114,$E$4:$CZ$32,28,FALSE)*'Incremental Repayments'!$I$22)),0),0)</f>
        <v>0</v>
      </c>
      <c r="BY114" s="783">
        <f>IF('Incremental Repayments'!$R$22="Debt",IF(AND(BY$4&gt;=$D114,BY$4&lt;$D114+'Incremental Repayments'!$I$31),-PMT('Interest Rate'!$J$16,'Incremental Repayments'!$I$31,(HLOOKUP($D114,$E$4:$CZ$32,28,FALSE)*'Incremental Repayments'!$I$22)),0),0)</f>
        <v>0</v>
      </c>
      <c r="BZ114" s="783">
        <f>IF('Incremental Repayments'!$R$22="Debt",IF(AND(BZ$4&gt;=$D114,BZ$4&lt;$D114+'Incremental Repayments'!$I$31),-PMT('Interest Rate'!$J$16,'Incremental Repayments'!$I$31,(HLOOKUP($D114,$E$4:$CZ$32,28,FALSE)*'Incremental Repayments'!$I$22)),0),0)</f>
        <v>0</v>
      </c>
      <c r="CA114" s="783">
        <f>IF('Incremental Repayments'!$R$22="Debt",IF(AND(CA$4&gt;=$D114,CA$4&lt;$D114+'Incremental Repayments'!$I$31),-PMT('Interest Rate'!$J$16,'Incremental Repayments'!$I$31,(HLOOKUP($D114,$E$4:$CZ$32,28,FALSE)*'Incremental Repayments'!$I$22)),0),0)</f>
        <v>0</v>
      </c>
      <c r="CB114" s="783">
        <f>IF('Incremental Repayments'!$R$22="Debt",IF(AND(CB$4&gt;=$D114,CB$4&lt;$D114+'Incremental Repayments'!$I$31),-PMT('Interest Rate'!$J$16,'Incremental Repayments'!$I$31,(HLOOKUP($D114,$E$4:$CZ$32,28,FALSE)*'Incremental Repayments'!$I$22)),0),0)</f>
        <v>0</v>
      </c>
      <c r="CC114" s="783">
        <f>IF('Incremental Repayments'!$R$22="Debt",IF(AND(CC$4&gt;=$D114,CC$4&lt;$D114+'Incremental Repayments'!$I$31),-PMT('Interest Rate'!$J$16,'Incremental Repayments'!$I$31,(HLOOKUP($D114,$E$4:$CZ$32,28,FALSE)*'Incremental Repayments'!$I$22)),0),0)</f>
        <v>0</v>
      </c>
      <c r="CD114" s="783">
        <f>IF('Incremental Repayments'!$R$22="Debt",IF(AND(CD$4&gt;=$D114,CD$4&lt;$D114+'Incremental Repayments'!$I$31),-PMT('Interest Rate'!$J$16,'Incremental Repayments'!$I$31,(HLOOKUP($D114,$E$4:$CZ$32,28,FALSE)*'Incremental Repayments'!$I$22)),0),0)</f>
        <v>0</v>
      </c>
      <c r="CE114" s="783">
        <f>IF('Incremental Repayments'!$R$22="Debt",IF(AND(CE$4&gt;=$D114,CE$4&lt;$D114+'Incremental Repayments'!$I$31),-PMT('Interest Rate'!$J$16,'Incremental Repayments'!$I$31,(HLOOKUP($D114,$E$4:$CZ$32,28,FALSE)*'Incremental Repayments'!$I$22)),0),0)</f>
        <v>0</v>
      </c>
      <c r="CF114" s="783">
        <f>IF('Incremental Repayments'!$R$22="Debt",IF(AND(CF$4&gt;=$D114,CF$4&lt;$D114+'Incremental Repayments'!$I$31),-PMT('Interest Rate'!$J$16,'Incremental Repayments'!$I$31,(HLOOKUP($D114,$E$4:$CZ$32,28,FALSE)*'Incremental Repayments'!$I$22)),0),0)</f>
        <v>0</v>
      </c>
      <c r="CG114" s="783">
        <f>IF('Incremental Repayments'!$R$22="Debt",IF(AND(CG$4&gt;=$D114,CG$4&lt;$D114+'Incremental Repayments'!$I$31),-PMT('Interest Rate'!$J$16,'Incremental Repayments'!$I$31,(HLOOKUP($D114,$E$4:$CZ$32,28,FALSE)*'Incremental Repayments'!$I$22)),0),0)</f>
        <v>0</v>
      </c>
      <c r="CH114" s="783">
        <f>IF('Incremental Repayments'!$R$22="Debt",IF(AND(CH$4&gt;=$D114,CH$4&lt;$D114+'Incremental Repayments'!$I$31),-PMT('Interest Rate'!$J$16,'Incremental Repayments'!$I$31,(HLOOKUP($D114,$E$4:$CZ$32,28,FALSE)*'Incremental Repayments'!$I$22)),0),0)</f>
        <v>0</v>
      </c>
      <c r="CI114" s="783">
        <f>IF('Incremental Repayments'!$R$22="Debt",IF(AND(CI$4&gt;=$D114,CI$4&lt;$D114+'Incremental Repayments'!$I$31),-PMT('Interest Rate'!$J$16,'Incremental Repayments'!$I$31,(HLOOKUP($D114,$E$4:$CZ$32,28,FALSE)*'Incremental Repayments'!$I$22)),0),0)</f>
        <v>0</v>
      </c>
      <c r="CJ114" s="783">
        <f>IF('Incremental Repayments'!$R$22="Debt",IF(AND(CJ$4&gt;=$D114,CJ$4&lt;$D114+'Incremental Repayments'!$I$31),-PMT('Interest Rate'!$J$16,'Incremental Repayments'!$I$31,(HLOOKUP($D114,$E$4:$CZ$32,28,FALSE)*'Incremental Repayments'!$I$22)),0),0)</f>
        <v>0</v>
      </c>
      <c r="CK114" s="783">
        <f>IF('Incremental Repayments'!$R$22="Debt",IF(AND(CK$4&gt;=$D114,CK$4&lt;$D114+'Incremental Repayments'!$I$31),-PMT('Interest Rate'!$J$16,'Incremental Repayments'!$I$31,(HLOOKUP($D114,$E$4:$CZ$32,28,FALSE)*'Incremental Repayments'!$I$22)),0),0)</f>
        <v>0</v>
      </c>
      <c r="CL114" s="783">
        <f>IF('Incremental Repayments'!$R$22="Debt",IF(AND(CL$4&gt;=$D114,CL$4&lt;$D114+'Incremental Repayments'!$I$31),-PMT('Interest Rate'!$J$16,'Incremental Repayments'!$I$31,(HLOOKUP($D114,$E$4:$CZ$32,28,FALSE)*'Incremental Repayments'!$I$22)),0),0)</f>
        <v>0</v>
      </c>
      <c r="CM114" s="783">
        <f>IF('Incremental Repayments'!$R$22="Debt",IF(AND(CM$4&gt;=$D114,CM$4&lt;$D114+'Incremental Repayments'!$I$31),-PMT('Interest Rate'!$J$16,'Incremental Repayments'!$I$31,(HLOOKUP($D114,$E$4:$CZ$32,28,FALSE)*'Incremental Repayments'!$I$22)),0),0)</f>
        <v>0</v>
      </c>
      <c r="CN114" s="783">
        <f>IF('Incremental Repayments'!$R$22="Debt",IF(AND(CN$4&gt;=$D114,CN$4&lt;$D114+'Incremental Repayments'!$I$31),-PMT('Interest Rate'!$J$16,'Incremental Repayments'!$I$31,(HLOOKUP($D114,$E$4:$CZ$32,28,FALSE)*'Incremental Repayments'!$I$22)),0),0)</f>
        <v>0</v>
      </c>
      <c r="CO114" s="783">
        <f>IF('Incremental Repayments'!$R$22="Debt",IF(AND(CO$4&gt;=$D114,CO$4&lt;$D114+'Incremental Repayments'!$I$31),-PMT('Interest Rate'!$J$16,'Incremental Repayments'!$I$31,(HLOOKUP($D114,$E$4:$CZ$32,28,FALSE)*'Incremental Repayments'!$I$22)),0),0)</f>
        <v>0</v>
      </c>
      <c r="CP114" s="783">
        <f>IF('Incremental Repayments'!$R$22="Debt",IF(AND(CP$4&gt;=$D114,CP$4&lt;$D114+'Incremental Repayments'!$I$31),-PMT('Interest Rate'!$J$16,'Incremental Repayments'!$I$31,(HLOOKUP($D114,$E$4:$CZ$32,28,FALSE)*'Incremental Repayments'!$I$22)),0),0)</f>
        <v>0</v>
      </c>
      <c r="CQ114" s="783">
        <f>IF('Incremental Repayments'!$R$22="Debt",IF(AND(CQ$4&gt;=$D114,CQ$4&lt;$D114+'Incremental Repayments'!$I$31),-PMT('Interest Rate'!$J$16,'Incremental Repayments'!$I$31,(HLOOKUP($D114,$E$4:$CZ$32,28,FALSE)*'Incremental Repayments'!$I$22)),0),0)</f>
        <v>0</v>
      </c>
      <c r="CR114" s="783">
        <f>IF('Incremental Repayments'!$R$22="Debt",IF(AND(CR$4&gt;=$D114,CR$4&lt;$D114+'Incremental Repayments'!$I$31),-PMT('Interest Rate'!$J$16,'Incremental Repayments'!$I$31,(HLOOKUP($D114,$E$4:$CZ$32,28,FALSE)*'Incremental Repayments'!$I$22)),0),0)</f>
        <v>0</v>
      </c>
      <c r="CS114" s="783">
        <f>IF('Incremental Repayments'!$R$22="Debt",IF(AND(CS$4&gt;=$D114,CS$4&lt;$D114+'Incremental Repayments'!$I$31),-PMT('Interest Rate'!$J$16,'Incremental Repayments'!$I$31,(HLOOKUP($D114,$E$4:$CZ$32,28,FALSE)*'Incremental Repayments'!$I$22)),0),0)</f>
        <v>0</v>
      </c>
      <c r="CT114" s="783">
        <f>IF('Incremental Repayments'!$R$22="Debt",IF(AND(CT$4&gt;=$D114,CT$4&lt;$D114+'Incremental Repayments'!$I$31),-PMT('Interest Rate'!$J$16,'Incremental Repayments'!$I$31,(HLOOKUP($D114,$E$4:$CZ$32,28,FALSE)*'Incremental Repayments'!$I$22)),0),0)</f>
        <v>0</v>
      </c>
      <c r="CU114" s="783">
        <f>IF('Incremental Repayments'!$R$22="Debt",IF(AND(CU$4&gt;=$D114,CU$4&lt;$D114+'Incremental Repayments'!$I$31),-PMT('Interest Rate'!$J$16,'Incremental Repayments'!$I$31,(HLOOKUP($D114,$E$4:$CZ$32,28,FALSE)*'Incremental Repayments'!$I$22)),0),0)</f>
        <v>0</v>
      </c>
      <c r="CV114" s="783">
        <f>IF('Incremental Repayments'!$R$22="Debt",IF(AND(CV$4&gt;=$D114,CV$4&lt;$D114+'Incremental Repayments'!$I$31),-PMT('Interest Rate'!$J$16,'Incremental Repayments'!$I$31,(HLOOKUP($D114,$E$4:$CZ$32,28,FALSE)*'Incremental Repayments'!$I$22)),0),0)</f>
        <v>0</v>
      </c>
      <c r="CW114" s="783">
        <f>IF('Incremental Repayments'!$R$22="Debt",IF(AND(CW$4&gt;=$D114,CW$4&lt;$D114+'Incremental Repayments'!$I$31),-PMT('Interest Rate'!$J$16,'Incremental Repayments'!$I$31,(HLOOKUP($D114,$E$4:$CZ$32,28,FALSE)*'Incremental Repayments'!$I$22)),0),0)</f>
        <v>0</v>
      </c>
      <c r="CX114" s="783">
        <f>IF('Incremental Repayments'!$R$22="Debt",IF(AND(CX$4&gt;=$D114,CX$4&lt;$D114+'Incremental Repayments'!$I$31),-PMT('Interest Rate'!$J$16,'Incremental Repayments'!$I$31,(HLOOKUP($D114,$E$4:$CZ$32,28,FALSE)*'Incremental Repayments'!$I$22)),0),0)</f>
        <v>0</v>
      </c>
      <c r="CY114" s="783">
        <f>IF('Incremental Repayments'!$R$22="Debt",IF(AND(CY$4&gt;=$D114,CY$4&lt;$D114+'Incremental Repayments'!$I$31),-PMT('Interest Rate'!$J$16,'Incremental Repayments'!$I$31,(HLOOKUP($D114,$E$4:$CZ$32,28,FALSE)*'Incremental Repayments'!$I$22)),0),0)</f>
        <v>0</v>
      </c>
      <c r="CZ114" s="783">
        <f>IF('Incremental Repayments'!$R$22="Debt",IF(AND(CZ$4&gt;=$D114,CZ$4&lt;$D114+'Incremental Repayments'!$I$31),-PMT('Interest Rate'!$J$16,'Incremental Repayments'!$I$31,(HLOOKUP($D114,$E$4:$CZ$32,28,FALSE)*'Incremental Repayments'!$I$22)),0),0)</f>
        <v>0</v>
      </c>
    </row>
    <row r="115" spans="1:104" x14ac:dyDescent="0.25">
      <c r="B115" s="480" t="str">
        <f>CONCATENATE("Series ",D115,"A Bonds (at ",'Interest Rate'!$J$16*100,"% Interest)")</f>
        <v>Series 2093A Bonds (at 4.5% Interest)</v>
      </c>
      <c r="C115" s="480"/>
      <c r="D115" s="492">
        <f t="shared" si="47"/>
        <v>2093</v>
      </c>
      <c r="E115" s="783">
        <f>IF('Incremental Repayments'!$R$22="Debt",IF(AND(E$4&gt;=$D115,E$4&lt;$D115+'Incremental Repayments'!$I$31),-PMT('Interest Rate'!$J$16,'Incremental Repayments'!$I$31,(HLOOKUP($D115,$E$4:$CZ$32,28,FALSE)*'Incremental Repayments'!$I$22)),0),0)</f>
        <v>0</v>
      </c>
      <c r="F115" s="783">
        <f>IF('Incremental Repayments'!$R$22="Debt",IF(AND(F$4&gt;=$D115,F$4&lt;$D115+'Incremental Repayments'!$I$31),-PMT('Interest Rate'!$J$16,'Incremental Repayments'!$I$31,(HLOOKUP($D115,$E$4:$CZ$32,28,FALSE)*'Incremental Repayments'!$I$22)),0),0)</f>
        <v>0</v>
      </c>
      <c r="G115" s="783">
        <f>IF('Incremental Repayments'!$R$22="Debt",IF(AND(G$4&gt;=$D115,G$4&lt;$D115+'Incremental Repayments'!$I$31),-PMT('Interest Rate'!$J$16,'Incremental Repayments'!$I$31,(HLOOKUP($D115,$E$4:$CZ$32,28,FALSE)*'Incremental Repayments'!$I$22)),0),0)</f>
        <v>0</v>
      </c>
      <c r="H115" s="783">
        <f>IF('Incremental Repayments'!$R$22="Debt",IF(AND(H$4&gt;=$D115,H$4&lt;$D115+'Incremental Repayments'!$I$31),-PMT('Interest Rate'!$J$16,'Incremental Repayments'!$I$31,(HLOOKUP($D115,$E$4:$CZ$32,28,FALSE)*'Incremental Repayments'!$I$22)),0),0)</f>
        <v>0</v>
      </c>
      <c r="I115" s="783">
        <f>IF('Incremental Repayments'!$R$22="Debt",IF(AND(I$4&gt;=$D115,I$4&lt;$D115+'Incremental Repayments'!$I$31),-PMT('Interest Rate'!$J$16,'Incremental Repayments'!$I$31,(HLOOKUP($D115,$E$4:$CZ$32,28,FALSE)*'Incremental Repayments'!$I$22)),0),0)</f>
        <v>0</v>
      </c>
      <c r="J115" s="783">
        <f>IF('Incremental Repayments'!$R$22="Debt",IF(AND(J$4&gt;=$D115,J$4&lt;$D115+'Incremental Repayments'!$I$31),-PMT('Interest Rate'!$J$16,'Incremental Repayments'!$I$31,(HLOOKUP($D115,$E$4:$CZ$32,28,FALSE)*'Incremental Repayments'!$I$22)),0),0)</f>
        <v>0</v>
      </c>
      <c r="K115" s="783">
        <f>IF('Incremental Repayments'!$R$22="Debt",IF(AND(K$4&gt;=$D115,K$4&lt;$D115+'Incremental Repayments'!$I$31),-PMT('Interest Rate'!$J$16,'Incremental Repayments'!$I$31,(HLOOKUP($D115,$E$4:$CZ$32,28,FALSE)*'Incremental Repayments'!$I$22)),0),0)</f>
        <v>0</v>
      </c>
      <c r="L115" s="783">
        <f>IF('Incremental Repayments'!$R$22="Debt",IF(AND(L$4&gt;=$D115,L$4&lt;$D115+'Incremental Repayments'!$I$31),-PMT('Interest Rate'!$J$16,'Incremental Repayments'!$I$31,(HLOOKUP($D115,$E$4:$CZ$32,28,FALSE)*'Incremental Repayments'!$I$22)),0),0)</f>
        <v>0</v>
      </c>
      <c r="M115" s="783">
        <f>IF('Incremental Repayments'!$R$22="Debt",IF(AND(M$4&gt;=$D115,M$4&lt;$D115+'Incremental Repayments'!$I$31),-PMT('Interest Rate'!$J$16,'Incremental Repayments'!$I$31,(HLOOKUP($D115,$E$4:$CZ$32,28,FALSE)*'Incremental Repayments'!$I$22)),0),0)</f>
        <v>0</v>
      </c>
      <c r="N115" s="783">
        <f>IF('Incremental Repayments'!$R$22="Debt",IF(AND(N$4&gt;=$D115,N$4&lt;$D115+'Incremental Repayments'!$I$31),-PMT('Interest Rate'!$J$16,'Incremental Repayments'!$I$31,(HLOOKUP($D115,$E$4:$CZ$32,28,FALSE)*'Incremental Repayments'!$I$22)),0),0)</f>
        <v>0</v>
      </c>
      <c r="O115" s="783">
        <f>IF('Incremental Repayments'!$R$22="Debt",IF(AND(O$4&gt;=$D115,O$4&lt;$D115+'Incremental Repayments'!$I$31),-PMT('Interest Rate'!$J$16,'Incremental Repayments'!$I$31,(HLOOKUP($D115,$E$4:$CZ$32,28,FALSE)*'Incremental Repayments'!$I$22)),0),0)</f>
        <v>0</v>
      </c>
      <c r="P115" s="783">
        <f>IF('Incremental Repayments'!$R$22="Debt",IF(AND(P$4&gt;=$D115,P$4&lt;$D115+'Incremental Repayments'!$I$31),-PMT('Interest Rate'!$J$16,'Incremental Repayments'!$I$31,(HLOOKUP($D115,$E$4:$CZ$32,28,FALSE)*'Incremental Repayments'!$I$22)),0),0)</f>
        <v>0</v>
      </c>
      <c r="Q115" s="783">
        <f>IF('Incremental Repayments'!$R$22="Debt",IF(AND(Q$4&gt;=$D115,Q$4&lt;$D115+'Incremental Repayments'!$I$31),-PMT('Interest Rate'!$J$16,'Incremental Repayments'!$I$31,(HLOOKUP($D115,$E$4:$CZ$32,28,FALSE)*'Incremental Repayments'!$I$22)),0),0)</f>
        <v>0</v>
      </c>
      <c r="R115" s="783">
        <f>IF('Incremental Repayments'!$R$22="Debt",IF(AND(R$4&gt;=$D115,R$4&lt;$D115+'Incremental Repayments'!$I$31),-PMT('Interest Rate'!$J$16,'Incremental Repayments'!$I$31,(HLOOKUP($D115,$E$4:$CZ$32,28,FALSE)*'Incremental Repayments'!$I$22)),0),0)</f>
        <v>0</v>
      </c>
      <c r="S115" s="783">
        <f>IF('Incremental Repayments'!$R$22="Debt",IF(AND(S$4&gt;=$D115,S$4&lt;$D115+'Incremental Repayments'!$I$31),-PMT('Interest Rate'!$J$16,'Incremental Repayments'!$I$31,(HLOOKUP($D115,$E$4:$CZ$32,28,FALSE)*'Incremental Repayments'!$I$22)),0),0)</f>
        <v>0</v>
      </c>
      <c r="T115" s="783">
        <f>IF('Incremental Repayments'!$R$22="Debt",IF(AND(T$4&gt;=$D115,T$4&lt;$D115+'Incremental Repayments'!$I$31),-PMT('Interest Rate'!$J$16,'Incremental Repayments'!$I$31,(HLOOKUP($D115,$E$4:$CZ$32,28,FALSE)*'Incremental Repayments'!$I$22)),0),0)</f>
        <v>0</v>
      </c>
      <c r="U115" s="783">
        <f>IF('Incremental Repayments'!$R$22="Debt",IF(AND(U$4&gt;=$D115,U$4&lt;$D115+'Incremental Repayments'!$I$31),-PMT('Interest Rate'!$J$16,'Incremental Repayments'!$I$31,(HLOOKUP($D115,$E$4:$CZ$32,28,FALSE)*'Incremental Repayments'!$I$22)),0),0)</f>
        <v>0</v>
      </c>
      <c r="V115" s="783">
        <f>IF('Incremental Repayments'!$R$22="Debt",IF(AND(V$4&gt;=$D115,V$4&lt;$D115+'Incremental Repayments'!$I$31),-PMT('Interest Rate'!$J$16,'Incremental Repayments'!$I$31,(HLOOKUP($D115,$E$4:$CZ$32,28,FALSE)*'Incremental Repayments'!$I$22)),0),0)</f>
        <v>0</v>
      </c>
      <c r="W115" s="783">
        <f>IF('Incremental Repayments'!$R$22="Debt",IF(AND(W$4&gt;=$D115,W$4&lt;$D115+'Incremental Repayments'!$I$31),-PMT('Interest Rate'!$J$16,'Incremental Repayments'!$I$31,(HLOOKUP($D115,$E$4:$CZ$32,28,FALSE)*'Incremental Repayments'!$I$22)),0),0)</f>
        <v>0</v>
      </c>
      <c r="X115" s="783">
        <f>IF('Incremental Repayments'!$R$22="Debt",IF(AND(X$4&gt;=$D115,X$4&lt;$D115+'Incremental Repayments'!$I$31),-PMT('Interest Rate'!$J$16,'Incremental Repayments'!$I$31,(HLOOKUP($D115,$E$4:$CZ$32,28,FALSE)*'Incremental Repayments'!$I$22)),0),0)</f>
        <v>0</v>
      </c>
      <c r="Y115" s="783">
        <f>IF('Incremental Repayments'!$R$22="Debt",IF(AND(Y$4&gt;=$D115,Y$4&lt;$D115+'Incremental Repayments'!$I$31),-PMT('Interest Rate'!$J$16,'Incremental Repayments'!$I$31,(HLOOKUP($D115,$E$4:$CZ$32,28,FALSE)*'Incremental Repayments'!$I$22)),0),0)</f>
        <v>0</v>
      </c>
      <c r="Z115" s="783">
        <f>IF('Incremental Repayments'!$R$22="Debt",IF(AND(Z$4&gt;=$D115,Z$4&lt;$D115+'Incremental Repayments'!$I$31),-PMT('Interest Rate'!$J$16,'Incremental Repayments'!$I$31,(HLOOKUP($D115,$E$4:$CZ$32,28,FALSE)*'Incremental Repayments'!$I$22)),0),0)</f>
        <v>0</v>
      </c>
      <c r="AA115" s="783">
        <f>IF('Incremental Repayments'!$R$22="Debt",IF(AND(AA$4&gt;=$D115,AA$4&lt;$D115+'Incremental Repayments'!$I$31),-PMT('Interest Rate'!$J$16,'Incremental Repayments'!$I$31,(HLOOKUP($D115,$E$4:$CZ$32,28,FALSE)*'Incremental Repayments'!$I$22)),0),0)</f>
        <v>0</v>
      </c>
      <c r="AB115" s="783">
        <f>IF('Incremental Repayments'!$R$22="Debt",IF(AND(AB$4&gt;=$D115,AB$4&lt;$D115+'Incremental Repayments'!$I$31),-PMT('Interest Rate'!$J$16,'Incremental Repayments'!$I$31,(HLOOKUP($D115,$E$4:$CZ$32,28,FALSE)*'Incremental Repayments'!$I$22)),0),0)</f>
        <v>0</v>
      </c>
      <c r="AC115" s="783">
        <f>IF('Incremental Repayments'!$R$22="Debt",IF(AND(AC$4&gt;=$D115,AC$4&lt;$D115+'Incremental Repayments'!$I$31),-PMT('Interest Rate'!$J$16,'Incremental Repayments'!$I$31,(HLOOKUP($D115,$E$4:$CZ$32,28,FALSE)*'Incremental Repayments'!$I$22)),0),0)</f>
        <v>0</v>
      </c>
      <c r="AD115" s="783">
        <f>IF('Incremental Repayments'!$R$22="Debt",IF(AND(AD$4&gt;=$D115,AD$4&lt;$D115+'Incremental Repayments'!$I$31),-PMT('Interest Rate'!$J$16,'Incremental Repayments'!$I$31,(HLOOKUP($D115,$E$4:$CZ$32,28,FALSE)*'Incremental Repayments'!$I$22)),0),0)</f>
        <v>0</v>
      </c>
      <c r="AE115" s="783">
        <f>IF('Incremental Repayments'!$R$22="Debt",IF(AND(AE$4&gt;=$D115,AE$4&lt;$D115+'Incremental Repayments'!$I$31),-PMT('Interest Rate'!$J$16,'Incremental Repayments'!$I$31,(HLOOKUP($D115,$E$4:$CZ$32,28,FALSE)*'Incremental Repayments'!$I$22)),0),0)</f>
        <v>0</v>
      </c>
      <c r="AF115" s="783">
        <f>IF('Incremental Repayments'!$R$22="Debt",IF(AND(AF$4&gt;=$D115,AF$4&lt;$D115+'Incremental Repayments'!$I$31),-PMT('Interest Rate'!$J$16,'Incremental Repayments'!$I$31,(HLOOKUP($D115,$E$4:$CZ$32,28,FALSE)*'Incremental Repayments'!$I$22)),0),0)</f>
        <v>0</v>
      </c>
      <c r="AG115" s="783">
        <f>IF('Incremental Repayments'!$R$22="Debt",IF(AND(AG$4&gt;=$D115,AG$4&lt;$D115+'Incremental Repayments'!$I$31),-PMT('Interest Rate'!$J$16,'Incremental Repayments'!$I$31,(HLOOKUP($D115,$E$4:$CZ$32,28,FALSE)*'Incremental Repayments'!$I$22)),0),0)</f>
        <v>0</v>
      </c>
      <c r="AH115" s="783">
        <f>IF('Incremental Repayments'!$R$22="Debt",IF(AND(AH$4&gt;=$D115,AH$4&lt;$D115+'Incremental Repayments'!$I$31),-PMT('Interest Rate'!$J$16,'Incremental Repayments'!$I$31,(HLOOKUP($D115,$E$4:$CZ$32,28,FALSE)*'Incremental Repayments'!$I$22)),0),0)</f>
        <v>0</v>
      </c>
      <c r="AI115" s="783">
        <f>IF('Incremental Repayments'!$R$22="Debt",IF(AND(AI$4&gt;=$D115,AI$4&lt;$D115+'Incremental Repayments'!$I$31),-PMT('Interest Rate'!$J$16,'Incremental Repayments'!$I$31,(HLOOKUP($D115,$E$4:$CZ$32,28,FALSE)*'Incremental Repayments'!$I$22)),0),0)</f>
        <v>0</v>
      </c>
      <c r="AJ115" s="783">
        <f>IF('Incremental Repayments'!$R$22="Debt",IF(AND(AJ$4&gt;=$D115,AJ$4&lt;$D115+'Incremental Repayments'!$I$31),-PMT('Interest Rate'!$J$16,'Incremental Repayments'!$I$31,(HLOOKUP($D115,$E$4:$CZ$32,28,FALSE)*'Incremental Repayments'!$I$22)),0),0)</f>
        <v>0</v>
      </c>
      <c r="AK115" s="783">
        <f>IF('Incremental Repayments'!$R$22="Debt",IF(AND(AK$4&gt;=$D115,AK$4&lt;$D115+'Incremental Repayments'!$I$31),-PMT('Interest Rate'!$J$16,'Incremental Repayments'!$I$31,(HLOOKUP($D115,$E$4:$CZ$32,28,FALSE)*'Incremental Repayments'!$I$22)),0),0)</f>
        <v>0</v>
      </c>
      <c r="AL115" s="783">
        <f>IF('Incremental Repayments'!$R$22="Debt",IF(AND(AL$4&gt;=$D115,AL$4&lt;$D115+'Incremental Repayments'!$I$31),-PMT('Interest Rate'!$J$16,'Incremental Repayments'!$I$31,(HLOOKUP($D115,$E$4:$CZ$32,28,FALSE)*'Incremental Repayments'!$I$22)),0),0)</f>
        <v>0</v>
      </c>
      <c r="AM115" s="783">
        <f>IF('Incremental Repayments'!$R$22="Debt",IF(AND(AM$4&gt;=$D115,AM$4&lt;$D115+'Incremental Repayments'!$I$31),-PMT('Interest Rate'!$J$16,'Incremental Repayments'!$I$31,(HLOOKUP($D115,$E$4:$CZ$32,28,FALSE)*'Incremental Repayments'!$I$22)),0),0)</f>
        <v>0</v>
      </c>
      <c r="AN115" s="783">
        <f>IF('Incremental Repayments'!$R$22="Debt",IF(AND(AN$4&gt;=$D115,AN$4&lt;$D115+'Incremental Repayments'!$I$31),-PMT('Interest Rate'!$J$16,'Incremental Repayments'!$I$31,(HLOOKUP($D115,$E$4:$CZ$32,28,FALSE)*'Incremental Repayments'!$I$22)),0),0)</f>
        <v>0</v>
      </c>
      <c r="AO115" s="783">
        <f>IF('Incremental Repayments'!$R$22="Debt",IF(AND(AO$4&gt;=$D115,AO$4&lt;$D115+'Incremental Repayments'!$I$31),-PMT('Interest Rate'!$J$16,'Incremental Repayments'!$I$31,(HLOOKUP($D115,$E$4:$CZ$32,28,FALSE)*'Incremental Repayments'!$I$22)),0),0)</f>
        <v>0</v>
      </c>
      <c r="AP115" s="783">
        <f>IF('Incremental Repayments'!$R$22="Debt",IF(AND(AP$4&gt;=$D115,AP$4&lt;$D115+'Incremental Repayments'!$I$31),-PMT('Interest Rate'!$J$16,'Incremental Repayments'!$I$31,(HLOOKUP($D115,$E$4:$CZ$32,28,FALSE)*'Incremental Repayments'!$I$22)),0),0)</f>
        <v>0</v>
      </c>
      <c r="AQ115" s="783">
        <f>IF('Incremental Repayments'!$R$22="Debt",IF(AND(AQ$4&gt;=$D115,AQ$4&lt;$D115+'Incremental Repayments'!$I$31),-PMT('Interest Rate'!$J$16,'Incremental Repayments'!$I$31,(HLOOKUP($D115,$E$4:$CZ$32,28,FALSE)*'Incremental Repayments'!$I$22)),0),0)</f>
        <v>0</v>
      </c>
      <c r="AR115" s="783">
        <f>IF('Incremental Repayments'!$R$22="Debt",IF(AND(AR$4&gt;=$D115,AR$4&lt;$D115+'Incremental Repayments'!$I$31),-PMT('Interest Rate'!$J$16,'Incremental Repayments'!$I$31,(HLOOKUP($D115,$E$4:$CZ$32,28,FALSE)*'Incremental Repayments'!$I$22)),0),0)</f>
        <v>0</v>
      </c>
      <c r="AS115" s="783">
        <f>IF('Incremental Repayments'!$R$22="Debt",IF(AND(AS$4&gt;=$D115,AS$4&lt;$D115+'Incremental Repayments'!$I$31),-PMT('Interest Rate'!$J$16,'Incremental Repayments'!$I$31,(HLOOKUP($D115,$E$4:$CZ$32,28,FALSE)*'Incremental Repayments'!$I$22)),0),0)</f>
        <v>0</v>
      </c>
      <c r="AT115" s="783">
        <f>IF('Incremental Repayments'!$R$22="Debt",IF(AND(AT$4&gt;=$D115,AT$4&lt;$D115+'Incremental Repayments'!$I$31),-PMT('Interest Rate'!$J$16,'Incremental Repayments'!$I$31,(HLOOKUP($D115,$E$4:$CZ$32,28,FALSE)*'Incremental Repayments'!$I$22)),0),0)</f>
        <v>0</v>
      </c>
      <c r="AU115" s="783">
        <f>IF('Incremental Repayments'!$R$22="Debt",IF(AND(AU$4&gt;=$D115,AU$4&lt;$D115+'Incremental Repayments'!$I$31),-PMT('Interest Rate'!$J$16,'Incremental Repayments'!$I$31,(HLOOKUP($D115,$E$4:$CZ$32,28,FALSE)*'Incremental Repayments'!$I$22)),0),0)</f>
        <v>0</v>
      </c>
      <c r="AV115" s="783">
        <f>IF('Incremental Repayments'!$R$22="Debt",IF(AND(AV$4&gt;=$D115,AV$4&lt;$D115+'Incremental Repayments'!$I$31),-PMT('Interest Rate'!$J$16,'Incremental Repayments'!$I$31,(HLOOKUP($D115,$E$4:$CZ$32,28,FALSE)*'Incremental Repayments'!$I$22)),0),0)</f>
        <v>0</v>
      </c>
      <c r="AW115" s="783">
        <f>IF('Incremental Repayments'!$R$22="Debt",IF(AND(AW$4&gt;=$D115,AW$4&lt;$D115+'Incremental Repayments'!$I$31),-PMT('Interest Rate'!$J$16,'Incremental Repayments'!$I$31,(HLOOKUP($D115,$E$4:$CZ$32,28,FALSE)*'Incremental Repayments'!$I$22)),0),0)</f>
        <v>0</v>
      </c>
      <c r="AX115" s="783">
        <f>IF('Incremental Repayments'!$R$22="Debt",IF(AND(AX$4&gt;=$D115,AX$4&lt;$D115+'Incremental Repayments'!$I$31),-PMT('Interest Rate'!$J$16,'Incremental Repayments'!$I$31,(HLOOKUP($D115,$E$4:$CZ$32,28,FALSE)*'Incremental Repayments'!$I$22)),0),0)</f>
        <v>0</v>
      </c>
      <c r="AY115" s="783">
        <f>IF('Incremental Repayments'!$R$22="Debt",IF(AND(AY$4&gt;=$D115,AY$4&lt;$D115+'Incremental Repayments'!$I$31),-PMT('Interest Rate'!$J$16,'Incremental Repayments'!$I$31,(HLOOKUP($D115,$E$4:$CZ$32,28,FALSE)*'Incremental Repayments'!$I$22)),0),0)</f>
        <v>0</v>
      </c>
      <c r="AZ115" s="783">
        <f>IF('Incremental Repayments'!$R$22="Debt",IF(AND(AZ$4&gt;=$D115,AZ$4&lt;$D115+'Incremental Repayments'!$I$31),-PMT('Interest Rate'!$J$16,'Incremental Repayments'!$I$31,(HLOOKUP($D115,$E$4:$CZ$32,28,FALSE)*'Incremental Repayments'!$I$22)),0),0)</f>
        <v>0</v>
      </c>
      <c r="BA115" s="783">
        <f>IF('Incremental Repayments'!$R$22="Debt",IF(AND(BA$4&gt;=$D115,BA$4&lt;$D115+'Incremental Repayments'!$I$31),-PMT('Interest Rate'!$J$16,'Incremental Repayments'!$I$31,(HLOOKUP($D115,$E$4:$CZ$32,28,FALSE)*'Incremental Repayments'!$I$22)),0),0)</f>
        <v>0</v>
      </c>
      <c r="BB115" s="783">
        <f>IF('Incremental Repayments'!$R$22="Debt",IF(AND(BB$4&gt;=$D115,BB$4&lt;$D115+'Incremental Repayments'!$I$31),-PMT('Interest Rate'!$J$16,'Incremental Repayments'!$I$31,(HLOOKUP($D115,$E$4:$CZ$32,28,FALSE)*'Incremental Repayments'!$I$22)),0),0)</f>
        <v>0</v>
      </c>
      <c r="BC115" s="783">
        <f>IF('Incremental Repayments'!$R$22="Debt",IF(AND(BC$4&gt;=$D115,BC$4&lt;$D115+'Incremental Repayments'!$I$31),-PMT('Interest Rate'!$J$16,'Incremental Repayments'!$I$31,(HLOOKUP($D115,$E$4:$CZ$32,28,FALSE)*'Incremental Repayments'!$I$22)),0),0)</f>
        <v>0</v>
      </c>
      <c r="BD115" s="783">
        <f>IF('Incremental Repayments'!$R$22="Debt",IF(AND(BD$4&gt;=$D115,BD$4&lt;$D115+'Incremental Repayments'!$I$31),-PMT('Interest Rate'!$J$16,'Incremental Repayments'!$I$31,(HLOOKUP($D115,$E$4:$CZ$32,28,FALSE)*'Incremental Repayments'!$I$22)),0),0)</f>
        <v>0</v>
      </c>
      <c r="BE115" s="783">
        <f>IF('Incremental Repayments'!$R$22="Debt",IF(AND(BE$4&gt;=$D115,BE$4&lt;$D115+'Incremental Repayments'!$I$31),-PMT('Interest Rate'!$J$16,'Incremental Repayments'!$I$31,(HLOOKUP($D115,$E$4:$CZ$32,28,FALSE)*'Incremental Repayments'!$I$22)),0),0)</f>
        <v>0</v>
      </c>
      <c r="BF115" s="783">
        <f>IF('Incremental Repayments'!$R$22="Debt",IF(AND(BF$4&gt;=$D115,BF$4&lt;$D115+'Incremental Repayments'!$I$31),-PMT('Interest Rate'!$J$16,'Incremental Repayments'!$I$31,(HLOOKUP($D115,$E$4:$CZ$32,28,FALSE)*'Incremental Repayments'!$I$22)),0),0)</f>
        <v>0</v>
      </c>
      <c r="BG115" s="783">
        <f>IF('Incremental Repayments'!$R$22="Debt",IF(AND(BG$4&gt;=$D115,BG$4&lt;$D115+'Incremental Repayments'!$I$31),-PMT('Interest Rate'!$J$16,'Incremental Repayments'!$I$31,(HLOOKUP($D115,$E$4:$CZ$32,28,FALSE)*'Incremental Repayments'!$I$22)),0),0)</f>
        <v>0</v>
      </c>
      <c r="BH115" s="783">
        <f>IF('Incremental Repayments'!$R$22="Debt",IF(AND(BH$4&gt;=$D115,BH$4&lt;$D115+'Incremental Repayments'!$I$31),-PMT('Interest Rate'!$J$16,'Incremental Repayments'!$I$31,(HLOOKUP($D115,$E$4:$CZ$32,28,FALSE)*'Incremental Repayments'!$I$22)),0),0)</f>
        <v>0</v>
      </c>
      <c r="BI115" s="783">
        <f>IF('Incremental Repayments'!$R$22="Debt",IF(AND(BI$4&gt;=$D115,BI$4&lt;$D115+'Incremental Repayments'!$I$31),-PMT('Interest Rate'!$J$16,'Incremental Repayments'!$I$31,(HLOOKUP($D115,$E$4:$CZ$32,28,FALSE)*'Incremental Repayments'!$I$22)),0),0)</f>
        <v>0</v>
      </c>
      <c r="BJ115" s="783">
        <f>IF('Incremental Repayments'!$R$22="Debt",IF(AND(BJ$4&gt;=$D115,BJ$4&lt;$D115+'Incremental Repayments'!$I$31),-PMT('Interest Rate'!$J$16,'Incremental Repayments'!$I$31,(HLOOKUP($D115,$E$4:$CZ$32,28,FALSE)*'Incremental Repayments'!$I$22)),0),0)</f>
        <v>0</v>
      </c>
      <c r="BK115" s="783">
        <f>IF('Incremental Repayments'!$R$22="Debt",IF(AND(BK$4&gt;=$D115,BK$4&lt;$D115+'Incremental Repayments'!$I$31),-PMT('Interest Rate'!$J$16,'Incremental Repayments'!$I$31,(HLOOKUP($D115,$E$4:$CZ$32,28,FALSE)*'Incremental Repayments'!$I$22)),0),0)</f>
        <v>0</v>
      </c>
      <c r="BL115" s="783">
        <f>IF('Incremental Repayments'!$R$22="Debt",IF(AND(BL$4&gt;=$D115,BL$4&lt;$D115+'Incremental Repayments'!$I$31),-PMT('Interest Rate'!$J$16,'Incremental Repayments'!$I$31,(HLOOKUP($D115,$E$4:$CZ$32,28,FALSE)*'Incremental Repayments'!$I$22)),0),0)</f>
        <v>0</v>
      </c>
      <c r="BM115" s="783">
        <f>IF('Incremental Repayments'!$R$22="Debt",IF(AND(BM$4&gt;=$D115,BM$4&lt;$D115+'Incremental Repayments'!$I$31),-PMT('Interest Rate'!$J$16,'Incremental Repayments'!$I$31,(HLOOKUP($D115,$E$4:$CZ$32,28,FALSE)*'Incremental Repayments'!$I$22)),0),0)</f>
        <v>0</v>
      </c>
      <c r="BN115" s="783">
        <f>IF('Incremental Repayments'!$R$22="Debt",IF(AND(BN$4&gt;=$D115,BN$4&lt;$D115+'Incremental Repayments'!$I$31),-PMT('Interest Rate'!$J$16,'Incremental Repayments'!$I$31,(HLOOKUP($D115,$E$4:$CZ$32,28,FALSE)*'Incremental Repayments'!$I$22)),0),0)</f>
        <v>0</v>
      </c>
      <c r="BO115" s="783">
        <f>IF('Incremental Repayments'!$R$22="Debt",IF(AND(BO$4&gt;=$D115,BO$4&lt;$D115+'Incremental Repayments'!$I$31),-PMT('Interest Rate'!$J$16,'Incremental Repayments'!$I$31,(HLOOKUP($D115,$E$4:$CZ$32,28,FALSE)*'Incremental Repayments'!$I$22)),0),0)</f>
        <v>0</v>
      </c>
      <c r="BP115" s="783">
        <f>IF('Incremental Repayments'!$R$22="Debt",IF(AND(BP$4&gt;=$D115,BP$4&lt;$D115+'Incremental Repayments'!$I$31),-PMT('Interest Rate'!$J$16,'Incremental Repayments'!$I$31,(HLOOKUP($D115,$E$4:$CZ$32,28,FALSE)*'Incremental Repayments'!$I$22)),0),0)</f>
        <v>0</v>
      </c>
      <c r="BQ115" s="783">
        <f>IF('Incremental Repayments'!$R$22="Debt",IF(AND(BQ$4&gt;=$D115,BQ$4&lt;$D115+'Incremental Repayments'!$I$31),-PMT('Interest Rate'!$J$16,'Incremental Repayments'!$I$31,(HLOOKUP($D115,$E$4:$CZ$32,28,FALSE)*'Incremental Repayments'!$I$22)),0),0)</f>
        <v>0</v>
      </c>
      <c r="BR115" s="783">
        <f>IF('Incremental Repayments'!$R$22="Debt",IF(AND(BR$4&gt;=$D115,BR$4&lt;$D115+'Incremental Repayments'!$I$31),-PMT('Interest Rate'!$J$16,'Incremental Repayments'!$I$31,(HLOOKUP($D115,$E$4:$CZ$32,28,FALSE)*'Incremental Repayments'!$I$22)),0),0)</f>
        <v>0</v>
      </c>
      <c r="BS115" s="783">
        <f>IF('Incremental Repayments'!$R$22="Debt",IF(AND(BS$4&gt;=$D115,BS$4&lt;$D115+'Incremental Repayments'!$I$31),-PMT('Interest Rate'!$J$16,'Incremental Repayments'!$I$31,(HLOOKUP($D115,$E$4:$CZ$32,28,FALSE)*'Incremental Repayments'!$I$22)),0),0)</f>
        <v>0</v>
      </c>
      <c r="BT115" s="783">
        <f>IF('Incremental Repayments'!$R$22="Debt",IF(AND(BT$4&gt;=$D115,BT$4&lt;$D115+'Incremental Repayments'!$I$31),-PMT('Interest Rate'!$J$16,'Incremental Repayments'!$I$31,(HLOOKUP($D115,$E$4:$CZ$32,28,FALSE)*'Incremental Repayments'!$I$22)),0),0)</f>
        <v>0</v>
      </c>
      <c r="BU115" s="783">
        <f>IF('Incremental Repayments'!$R$22="Debt",IF(AND(BU$4&gt;=$D115,BU$4&lt;$D115+'Incremental Repayments'!$I$31),-PMT('Interest Rate'!$J$16,'Incremental Repayments'!$I$31,(HLOOKUP($D115,$E$4:$CZ$32,28,FALSE)*'Incremental Repayments'!$I$22)),0),0)</f>
        <v>0</v>
      </c>
      <c r="BV115" s="783">
        <f>IF('Incremental Repayments'!$R$22="Debt",IF(AND(BV$4&gt;=$D115,BV$4&lt;$D115+'Incremental Repayments'!$I$31),-PMT('Interest Rate'!$J$16,'Incremental Repayments'!$I$31,(HLOOKUP($D115,$E$4:$CZ$32,28,FALSE)*'Incremental Repayments'!$I$22)),0),0)</f>
        <v>0</v>
      </c>
      <c r="BW115" s="783">
        <f>IF('Incremental Repayments'!$R$22="Debt",IF(AND(BW$4&gt;=$D115,BW$4&lt;$D115+'Incremental Repayments'!$I$31),-PMT('Interest Rate'!$J$16,'Incremental Repayments'!$I$31,(HLOOKUP($D115,$E$4:$CZ$32,28,FALSE)*'Incremental Repayments'!$I$22)),0),0)</f>
        <v>0</v>
      </c>
      <c r="BX115" s="783">
        <f>IF('Incremental Repayments'!$R$22="Debt",IF(AND(BX$4&gt;=$D115,BX$4&lt;$D115+'Incremental Repayments'!$I$31),-PMT('Interest Rate'!$J$16,'Incremental Repayments'!$I$31,(HLOOKUP($D115,$E$4:$CZ$32,28,FALSE)*'Incremental Repayments'!$I$22)),0),0)</f>
        <v>0</v>
      </c>
      <c r="BY115" s="783">
        <f>IF('Incremental Repayments'!$R$22="Debt",IF(AND(BY$4&gt;=$D115,BY$4&lt;$D115+'Incremental Repayments'!$I$31),-PMT('Interest Rate'!$J$16,'Incremental Repayments'!$I$31,(HLOOKUP($D115,$E$4:$CZ$32,28,FALSE)*'Incremental Repayments'!$I$22)),0),0)</f>
        <v>0</v>
      </c>
      <c r="BZ115" s="783">
        <f>IF('Incremental Repayments'!$R$22="Debt",IF(AND(BZ$4&gt;=$D115,BZ$4&lt;$D115+'Incremental Repayments'!$I$31),-PMT('Interest Rate'!$J$16,'Incremental Repayments'!$I$31,(HLOOKUP($D115,$E$4:$CZ$32,28,FALSE)*'Incremental Repayments'!$I$22)),0),0)</f>
        <v>0</v>
      </c>
      <c r="CA115" s="783">
        <f>IF('Incremental Repayments'!$R$22="Debt",IF(AND(CA$4&gt;=$D115,CA$4&lt;$D115+'Incremental Repayments'!$I$31),-PMT('Interest Rate'!$J$16,'Incremental Repayments'!$I$31,(HLOOKUP($D115,$E$4:$CZ$32,28,FALSE)*'Incremental Repayments'!$I$22)),0),0)</f>
        <v>0</v>
      </c>
      <c r="CB115" s="783">
        <f>IF('Incremental Repayments'!$R$22="Debt",IF(AND(CB$4&gt;=$D115,CB$4&lt;$D115+'Incremental Repayments'!$I$31),-PMT('Interest Rate'!$J$16,'Incremental Repayments'!$I$31,(HLOOKUP($D115,$E$4:$CZ$32,28,FALSE)*'Incremental Repayments'!$I$22)),0),0)</f>
        <v>0</v>
      </c>
      <c r="CC115" s="783">
        <f>IF('Incremental Repayments'!$R$22="Debt",IF(AND(CC$4&gt;=$D115,CC$4&lt;$D115+'Incremental Repayments'!$I$31),-PMT('Interest Rate'!$J$16,'Incremental Repayments'!$I$31,(HLOOKUP($D115,$E$4:$CZ$32,28,FALSE)*'Incremental Repayments'!$I$22)),0),0)</f>
        <v>0</v>
      </c>
      <c r="CD115" s="783">
        <f>IF('Incremental Repayments'!$R$22="Debt",IF(AND(CD$4&gt;=$D115,CD$4&lt;$D115+'Incremental Repayments'!$I$31),-PMT('Interest Rate'!$J$16,'Incremental Repayments'!$I$31,(HLOOKUP($D115,$E$4:$CZ$32,28,FALSE)*'Incremental Repayments'!$I$22)),0),0)</f>
        <v>0</v>
      </c>
      <c r="CE115" s="783">
        <f>IF('Incremental Repayments'!$R$22="Debt",IF(AND(CE$4&gt;=$D115,CE$4&lt;$D115+'Incremental Repayments'!$I$31),-PMT('Interest Rate'!$J$16,'Incremental Repayments'!$I$31,(HLOOKUP($D115,$E$4:$CZ$32,28,FALSE)*'Incremental Repayments'!$I$22)),0),0)</f>
        <v>0</v>
      </c>
      <c r="CF115" s="783">
        <f>IF('Incremental Repayments'!$R$22="Debt",IF(AND(CF$4&gt;=$D115,CF$4&lt;$D115+'Incremental Repayments'!$I$31),-PMT('Interest Rate'!$J$16,'Incremental Repayments'!$I$31,(HLOOKUP($D115,$E$4:$CZ$32,28,FALSE)*'Incremental Repayments'!$I$22)),0),0)</f>
        <v>0</v>
      </c>
      <c r="CG115" s="783">
        <f>IF('Incremental Repayments'!$R$22="Debt",IF(AND(CG$4&gt;=$D115,CG$4&lt;$D115+'Incremental Repayments'!$I$31),-PMT('Interest Rate'!$J$16,'Incremental Repayments'!$I$31,(HLOOKUP($D115,$E$4:$CZ$32,28,FALSE)*'Incremental Repayments'!$I$22)),0),0)</f>
        <v>0</v>
      </c>
      <c r="CH115" s="783">
        <f>IF('Incremental Repayments'!$R$22="Debt",IF(AND(CH$4&gt;=$D115,CH$4&lt;$D115+'Incremental Repayments'!$I$31),-PMT('Interest Rate'!$J$16,'Incremental Repayments'!$I$31,(HLOOKUP($D115,$E$4:$CZ$32,28,FALSE)*'Incremental Repayments'!$I$22)),0),0)</f>
        <v>0</v>
      </c>
      <c r="CI115" s="783">
        <f>IF('Incremental Repayments'!$R$22="Debt",IF(AND(CI$4&gt;=$D115,CI$4&lt;$D115+'Incremental Repayments'!$I$31),-PMT('Interest Rate'!$J$16,'Incremental Repayments'!$I$31,(HLOOKUP($D115,$E$4:$CZ$32,28,FALSE)*'Incremental Repayments'!$I$22)),0),0)</f>
        <v>0</v>
      </c>
      <c r="CJ115" s="783">
        <f>IF('Incremental Repayments'!$R$22="Debt",IF(AND(CJ$4&gt;=$D115,CJ$4&lt;$D115+'Incremental Repayments'!$I$31),-PMT('Interest Rate'!$J$16,'Incremental Repayments'!$I$31,(HLOOKUP($D115,$E$4:$CZ$32,28,FALSE)*'Incremental Repayments'!$I$22)),0),0)</f>
        <v>0</v>
      </c>
      <c r="CK115" s="783">
        <f>IF('Incremental Repayments'!$R$22="Debt",IF(AND(CK$4&gt;=$D115,CK$4&lt;$D115+'Incremental Repayments'!$I$31),-PMT('Interest Rate'!$J$16,'Incremental Repayments'!$I$31,(HLOOKUP($D115,$E$4:$CZ$32,28,FALSE)*'Incremental Repayments'!$I$22)),0),0)</f>
        <v>0</v>
      </c>
      <c r="CL115" s="783">
        <f>IF('Incremental Repayments'!$R$22="Debt",IF(AND(CL$4&gt;=$D115,CL$4&lt;$D115+'Incremental Repayments'!$I$31),-PMT('Interest Rate'!$J$16,'Incremental Repayments'!$I$31,(HLOOKUP($D115,$E$4:$CZ$32,28,FALSE)*'Incremental Repayments'!$I$22)),0),0)</f>
        <v>0</v>
      </c>
      <c r="CM115" s="783">
        <f>IF('Incremental Repayments'!$R$22="Debt",IF(AND(CM$4&gt;=$D115,CM$4&lt;$D115+'Incremental Repayments'!$I$31),-PMT('Interest Rate'!$J$16,'Incremental Repayments'!$I$31,(HLOOKUP($D115,$E$4:$CZ$32,28,FALSE)*'Incremental Repayments'!$I$22)),0),0)</f>
        <v>0</v>
      </c>
      <c r="CN115" s="783">
        <f>IF('Incremental Repayments'!$R$22="Debt",IF(AND(CN$4&gt;=$D115,CN$4&lt;$D115+'Incremental Repayments'!$I$31),-PMT('Interest Rate'!$J$16,'Incremental Repayments'!$I$31,(HLOOKUP($D115,$E$4:$CZ$32,28,FALSE)*'Incremental Repayments'!$I$22)),0),0)</f>
        <v>0</v>
      </c>
      <c r="CO115" s="783">
        <f>IF('Incremental Repayments'!$R$22="Debt",IF(AND(CO$4&gt;=$D115,CO$4&lt;$D115+'Incremental Repayments'!$I$31),-PMT('Interest Rate'!$J$16,'Incremental Repayments'!$I$31,(HLOOKUP($D115,$E$4:$CZ$32,28,FALSE)*'Incremental Repayments'!$I$22)),0),0)</f>
        <v>0</v>
      </c>
      <c r="CP115" s="783">
        <f>IF('Incremental Repayments'!$R$22="Debt",IF(AND(CP$4&gt;=$D115,CP$4&lt;$D115+'Incremental Repayments'!$I$31),-PMT('Interest Rate'!$J$16,'Incremental Repayments'!$I$31,(HLOOKUP($D115,$E$4:$CZ$32,28,FALSE)*'Incremental Repayments'!$I$22)),0),0)</f>
        <v>0</v>
      </c>
      <c r="CQ115" s="783">
        <f>IF('Incremental Repayments'!$R$22="Debt",IF(AND(CQ$4&gt;=$D115,CQ$4&lt;$D115+'Incremental Repayments'!$I$31),-PMT('Interest Rate'!$J$16,'Incremental Repayments'!$I$31,(HLOOKUP($D115,$E$4:$CZ$32,28,FALSE)*'Incremental Repayments'!$I$22)),0),0)</f>
        <v>0</v>
      </c>
      <c r="CR115" s="783">
        <f>IF('Incremental Repayments'!$R$22="Debt",IF(AND(CR$4&gt;=$D115,CR$4&lt;$D115+'Incremental Repayments'!$I$31),-PMT('Interest Rate'!$J$16,'Incremental Repayments'!$I$31,(HLOOKUP($D115,$E$4:$CZ$32,28,FALSE)*'Incremental Repayments'!$I$22)),0),0)</f>
        <v>0</v>
      </c>
      <c r="CS115" s="783">
        <f>IF('Incremental Repayments'!$R$22="Debt",IF(AND(CS$4&gt;=$D115,CS$4&lt;$D115+'Incremental Repayments'!$I$31),-PMT('Interest Rate'!$J$16,'Incremental Repayments'!$I$31,(HLOOKUP($D115,$E$4:$CZ$32,28,FALSE)*'Incremental Repayments'!$I$22)),0),0)</f>
        <v>0</v>
      </c>
      <c r="CT115" s="783">
        <f>IF('Incremental Repayments'!$R$22="Debt",IF(AND(CT$4&gt;=$D115,CT$4&lt;$D115+'Incremental Repayments'!$I$31),-PMT('Interest Rate'!$J$16,'Incremental Repayments'!$I$31,(HLOOKUP($D115,$E$4:$CZ$32,28,FALSE)*'Incremental Repayments'!$I$22)),0),0)</f>
        <v>0</v>
      </c>
      <c r="CU115" s="783">
        <f>IF('Incremental Repayments'!$R$22="Debt",IF(AND(CU$4&gt;=$D115,CU$4&lt;$D115+'Incremental Repayments'!$I$31),-PMT('Interest Rate'!$J$16,'Incremental Repayments'!$I$31,(HLOOKUP($D115,$E$4:$CZ$32,28,FALSE)*'Incremental Repayments'!$I$22)),0),0)</f>
        <v>0</v>
      </c>
      <c r="CV115" s="783">
        <f>IF('Incremental Repayments'!$R$22="Debt",IF(AND(CV$4&gt;=$D115,CV$4&lt;$D115+'Incremental Repayments'!$I$31),-PMT('Interest Rate'!$J$16,'Incremental Repayments'!$I$31,(HLOOKUP($D115,$E$4:$CZ$32,28,FALSE)*'Incremental Repayments'!$I$22)),0),0)</f>
        <v>0</v>
      </c>
      <c r="CW115" s="783">
        <f>IF('Incremental Repayments'!$R$22="Debt",IF(AND(CW$4&gt;=$D115,CW$4&lt;$D115+'Incremental Repayments'!$I$31),-PMT('Interest Rate'!$J$16,'Incremental Repayments'!$I$31,(HLOOKUP($D115,$E$4:$CZ$32,28,FALSE)*'Incremental Repayments'!$I$22)),0),0)</f>
        <v>0</v>
      </c>
      <c r="CX115" s="783">
        <f>IF('Incremental Repayments'!$R$22="Debt",IF(AND(CX$4&gt;=$D115,CX$4&lt;$D115+'Incremental Repayments'!$I$31),-PMT('Interest Rate'!$J$16,'Incremental Repayments'!$I$31,(HLOOKUP($D115,$E$4:$CZ$32,28,FALSE)*'Incremental Repayments'!$I$22)),0),0)</f>
        <v>0</v>
      </c>
      <c r="CY115" s="783">
        <f>IF('Incremental Repayments'!$R$22="Debt",IF(AND(CY$4&gt;=$D115,CY$4&lt;$D115+'Incremental Repayments'!$I$31),-PMT('Interest Rate'!$J$16,'Incremental Repayments'!$I$31,(HLOOKUP($D115,$E$4:$CZ$32,28,FALSE)*'Incremental Repayments'!$I$22)),0),0)</f>
        <v>0</v>
      </c>
      <c r="CZ115" s="783">
        <f>IF('Incremental Repayments'!$R$22="Debt",IF(AND(CZ$4&gt;=$D115,CZ$4&lt;$D115+'Incremental Repayments'!$I$31),-PMT('Interest Rate'!$J$16,'Incremental Repayments'!$I$31,(HLOOKUP($D115,$E$4:$CZ$32,28,FALSE)*'Incremental Repayments'!$I$22)),0),0)</f>
        <v>0</v>
      </c>
    </row>
    <row r="116" spans="1:104" x14ac:dyDescent="0.25">
      <c r="B116" s="480" t="str">
        <f>CONCATENATE("Series ",D116,"A Bonds (at ",'Interest Rate'!$J$16*100,"% Interest)")</f>
        <v>Series 2094A Bonds (at 4.5% Interest)</v>
      </c>
      <c r="C116" s="480"/>
      <c r="D116" s="492">
        <f t="shared" si="47"/>
        <v>2094</v>
      </c>
      <c r="E116" s="783">
        <f>IF('Incremental Repayments'!$R$22="Debt",IF(AND(E$4&gt;=$D116,E$4&lt;$D116+'Incremental Repayments'!$I$31),-PMT('Interest Rate'!$J$16,'Incremental Repayments'!$I$31,(HLOOKUP($D116,$E$4:$CZ$32,28,FALSE)*'Incremental Repayments'!$I$22)),0),0)</f>
        <v>0</v>
      </c>
      <c r="F116" s="783">
        <f>IF('Incremental Repayments'!$R$22="Debt",IF(AND(F$4&gt;=$D116,F$4&lt;$D116+'Incremental Repayments'!$I$31),-PMT('Interest Rate'!$J$16,'Incremental Repayments'!$I$31,(HLOOKUP($D116,$E$4:$CZ$32,28,FALSE)*'Incremental Repayments'!$I$22)),0),0)</f>
        <v>0</v>
      </c>
      <c r="G116" s="783">
        <f>IF('Incremental Repayments'!$R$22="Debt",IF(AND(G$4&gt;=$D116,G$4&lt;$D116+'Incremental Repayments'!$I$31),-PMT('Interest Rate'!$J$16,'Incremental Repayments'!$I$31,(HLOOKUP($D116,$E$4:$CZ$32,28,FALSE)*'Incremental Repayments'!$I$22)),0),0)</f>
        <v>0</v>
      </c>
      <c r="H116" s="783">
        <f>IF('Incremental Repayments'!$R$22="Debt",IF(AND(H$4&gt;=$D116,H$4&lt;$D116+'Incremental Repayments'!$I$31),-PMT('Interest Rate'!$J$16,'Incremental Repayments'!$I$31,(HLOOKUP($D116,$E$4:$CZ$32,28,FALSE)*'Incremental Repayments'!$I$22)),0),0)</f>
        <v>0</v>
      </c>
      <c r="I116" s="783">
        <f>IF('Incremental Repayments'!$R$22="Debt",IF(AND(I$4&gt;=$D116,I$4&lt;$D116+'Incremental Repayments'!$I$31),-PMT('Interest Rate'!$J$16,'Incremental Repayments'!$I$31,(HLOOKUP($D116,$E$4:$CZ$32,28,FALSE)*'Incremental Repayments'!$I$22)),0),0)</f>
        <v>0</v>
      </c>
      <c r="J116" s="783">
        <f>IF('Incremental Repayments'!$R$22="Debt",IF(AND(J$4&gt;=$D116,J$4&lt;$D116+'Incremental Repayments'!$I$31),-PMT('Interest Rate'!$J$16,'Incremental Repayments'!$I$31,(HLOOKUP($D116,$E$4:$CZ$32,28,FALSE)*'Incremental Repayments'!$I$22)),0),0)</f>
        <v>0</v>
      </c>
      <c r="K116" s="783">
        <f>IF('Incremental Repayments'!$R$22="Debt",IF(AND(K$4&gt;=$D116,K$4&lt;$D116+'Incremental Repayments'!$I$31),-PMT('Interest Rate'!$J$16,'Incremental Repayments'!$I$31,(HLOOKUP($D116,$E$4:$CZ$32,28,FALSE)*'Incremental Repayments'!$I$22)),0),0)</f>
        <v>0</v>
      </c>
      <c r="L116" s="783">
        <f>IF('Incremental Repayments'!$R$22="Debt",IF(AND(L$4&gt;=$D116,L$4&lt;$D116+'Incremental Repayments'!$I$31),-PMT('Interest Rate'!$J$16,'Incremental Repayments'!$I$31,(HLOOKUP($D116,$E$4:$CZ$32,28,FALSE)*'Incremental Repayments'!$I$22)),0),0)</f>
        <v>0</v>
      </c>
      <c r="M116" s="783">
        <f>IF('Incremental Repayments'!$R$22="Debt",IF(AND(M$4&gt;=$D116,M$4&lt;$D116+'Incremental Repayments'!$I$31),-PMT('Interest Rate'!$J$16,'Incremental Repayments'!$I$31,(HLOOKUP($D116,$E$4:$CZ$32,28,FALSE)*'Incremental Repayments'!$I$22)),0),0)</f>
        <v>0</v>
      </c>
      <c r="N116" s="783">
        <f>IF('Incremental Repayments'!$R$22="Debt",IF(AND(N$4&gt;=$D116,N$4&lt;$D116+'Incremental Repayments'!$I$31),-PMT('Interest Rate'!$J$16,'Incremental Repayments'!$I$31,(HLOOKUP($D116,$E$4:$CZ$32,28,FALSE)*'Incremental Repayments'!$I$22)),0),0)</f>
        <v>0</v>
      </c>
      <c r="O116" s="783">
        <f>IF('Incremental Repayments'!$R$22="Debt",IF(AND(O$4&gt;=$D116,O$4&lt;$D116+'Incremental Repayments'!$I$31),-PMT('Interest Rate'!$J$16,'Incremental Repayments'!$I$31,(HLOOKUP($D116,$E$4:$CZ$32,28,FALSE)*'Incremental Repayments'!$I$22)),0),0)</f>
        <v>0</v>
      </c>
      <c r="P116" s="783">
        <f>IF('Incremental Repayments'!$R$22="Debt",IF(AND(P$4&gt;=$D116,P$4&lt;$D116+'Incremental Repayments'!$I$31),-PMT('Interest Rate'!$J$16,'Incremental Repayments'!$I$31,(HLOOKUP($D116,$E$4:$CZ$32,28,FALSE)*'Incremental Repayments'!$I$22)),0),0)</f>
        <v>0</v>
      </c>
      <c r="Q116" s="783">
        <f>IF('Incremental Repayments'!$R$22="Debt",IF(AND(Q$4&gt;=$D116,Q$4&lt;$D116+'Incremental Repayments'!$I$31),-PMT('Interest Rate'!$J$16,'Incremental Repayments'!$I$31,(HLOOKUP($D116,$E$4:$CZ$32,28,FALSE)*'Incremental Repayments'!$I$22)),0),0)</f>
        <v>0</v>
      </c>
      <c r="R116" s="783">
        <f>IF('Incremental Repayments'!$R$22="Debt",IF(AND(R$4&gt;=$D116,R$4&lt;$D116+'Incremental Repayments'!$I$31),-PMT('Interest Rate'!$J$16,'Incremental Repayments'!$I$31,(HLOOKUP($D116,$E$4:$CZ$32,28,FALSE)*'Incremental Repayments'!$I$22)),0),0)</f>
        <v>0</v>
      </c>
      <c r="S116" s="783">
        <f>IF('Incremental Repayments'!$R$22="Debt",IF(AND(S$4&gt;=$D116,S$4&lt;$D116+'Incremental Repayments'!$I$31),-PMT('Interest Rate'!$J$16,'Incremental Repayments'!$I$31,(HLOOKUP($D116,$E$4:$CZ$32,28,FALSE)*'Incremental Repayments'!$I$22)),0),0)</f>
        <v>0</v>
      </c>
      <c r="T116" s="783">
        <f>IF('Incremental Repayments'!$R$22="Debt",IF(AND(T$4&gt;=$D116,T$4&lt;$D116+'Incremental Repayments'!$I$31),-PMT('Interest Rate'!$J$16,'Incremental Repayments'!$I$31,(HLOOKUP($D116,$E$4:$CZ$32,28,FALSE)*'Incremental Repayments'!$I$22)),0),0)</f>
        <v>0</v>
      </c>
      <c r="U116" s="783">
        <f>IF('Incremental Repayments'!$R$22="Debt",IF(AND(U$4&gt;=$D116,U$4&lt;$D116+'Incremental Repayments'!$I$31),-PMT('Interest Rate'!$J$16,'Incremental Repayments'!$I$31,(HLOOKUP($D116,$E$4:$CZ$32,28,FALSE)*'Incremental Repayments'!$I$22)),0),0)</f>
        <v>0</v>
      </c>
      <c r="V116" s="783">
        <f>IF('Incremental Repayments'!$R$22="Debt",IF(AND(V$4&gt;=$D116,V$4&lt;$D116+'Incremental Repayments'!$I$31),-PMT('Interest Rate'!$J$16,'Incremental Repayments'!$I$31,(HLOOKUP($D116,$E$4:$CZ$32,28,FALSE)*'Incremental Repayments'!$I$22)),0),0)</f>
        <v>0</v>
      </c>
      <c r="W116" s="783">
        <f>IF('Incremental Repayments'!$R$22="Debt",IF(AND(W$4&gt;=$D116,W$4&lt;$D116+'Incremental Repayments'!$I$31),-PMT('Interest Rate'!$J$16,'Incremental Repayments'!$I$31,(HLOOKUP($D116,$E$4:$CZ$32,28,FALSE)*'Incremental Repayments'!$I$22)),0),0)</f>
        <v>0</v>
      </c>
      <c r="X116" s="783">
        <f>IF('Incremental Repayments'!$R$22="Debt",IF(AND(X$4&gt;=$D116,X$4&lt;$D116+'Incremental Repayments'!$I$31),-PMT('Interest Rate'!$J$16,'Incremental Repayments'!$I$31,(HLOOKUP($D116,$E$4:$CZ$32,28,FALSE)*'Incremental Repayments'!$I$22)),0),0)</f>
        <v>0</v>
      </c>
      <c r="Y116" s="783">
        <f>IF('Incremental Repayments'!$R$22="Debt",IF(AND(Y$4&gt;=$D116,Y$4&lt;$D116+'Incremental Repayments'!$I$31),-PMT('Interest Rate'!$J$16,'Incremental Repayments'!$I$31,(HLOOKUP($D116,$E$4:$CZ$32,28,FALSE)*'Incremental Repayments'!$I$22)),0),0)</f>
        <v>0</v>
      </c>
      <c r="Z116" s="783">
        <f>IF('Incremental Repayments'!$R$22="Debt",IF(AND(Z$4&gt;=$D116,Z$4&lt;$D116+'Incremental Repayments'!$I$31),-PMT('Interest Rate'!$J$16,'Incremental Repayments'!$I$31,(HLOOKUP($D116,$E$4:$CZ$32,28,FALSE)*'Incremental Repayments'!$I$22)),0),0)</f>
        <v>0</v>
      </c>
      <c r="AA116" s="783">
        <f>IF('Incremental Repayments'!$R$22="Debt",IF(AND(AA$4&gt;=$D116,AA$4&lt;$D116+'Incremental Repayments'!$I$31),-PMT('Interest Rate'!$J$16,'Incremental Repayments'!$I$31,(HLOOKUP($D116,$E$4:$CZ$32,28,FALSE)*'Incremental Repayments'!$I$22)),0),0)</f>
        <v>0</v>
      </c>
      <c r="AB116" s="783">
        <f>IF('Incremental Repayments'!$R$22="Debt",IF(AND(AB$4&gt;=$D116,AB$4&lt;$D116+'Incremental Repayments'!$I$31),-PMT('Interest Rate'!$J$16,'Incremental Repayments'!$I$31,(HLOOKUP($D116,$E$4:$CZ$32,28,FALSE)*'Incremental Repayments'!$I$22)),0),0)</f>
        <v>0</v>
      </c>
      <c r="AC116" s="783">
        <f>IF('Incremental Repayments'!$R$22="Debt",IF(AND(AC$4&gt;=$D116,AC$4&lt;$D116+'Incremental Repayments'!$I$31),-PMT('Interest Rate'!$J$16,'Incremental Repayments'!$I$31,(HLOOKUP($D116,$E$4:$CZ$32,28,FALSE)*'Incremental Repayments'!$I$22)),0),0)</f>
        <v>0</v>
      </c>
      <c r="AD116" s="783">
        <f>IF('Incremental Repayments'!$R$22="Debt",IF(AND(AD$4&gt;=$D116,AD$4&lt;$D116+'Incremental Repayments'!$I$31),-PMT('Interest Rate'!$J$16,'Incremental Repayments'!$I$31,(HLOOKUP($D116,$E$4:$CZ$32,28,FALSE)*'Incremental Repayments'!$I$22)),0),0)</f>
        <v>0</v>
      </c>
      <c r="AE116" s="783">
        <f>IF('Incremental Repayments'!$R$22="Debt",IF(AND(AE$4&gt;=$D116,AE$4&lt;$D116+'Incremental Repayments'!$I$31),-PMT('Interest Rate'!$J$16,'Incremental Repayments'!$I$31,(HLOOKUP($D116,$E$4:$CZ$32,28,FALSE)*'Incremental Repayments'!$I$22)),0),0)</f>
        <v>0</v>
      </c>
      <c r="AF116" s="783">
        <f>IF('Incremental Repayments'!$R$22="Debt",IF(AND(AF$4&gt;=$D116,AF$4&lt;$D116+'Incremental Repayments'!$I$31),-PMT('Interest Rate'!$J$16,'Incremental Repayments'!$I$31,(HLOOKUP($D116,$E$4:$CZ$32,28,FALSE)*'Incremental Repayments'!$I$22)),0),0)</f>
        <v>0</v>
      </c>
      <c r="AG116" s="783">
        <f>IF('Incremental Repayments'!$R$22="Debt",IF(AND(AG$4&gt;=$D116,AG$4&lt;$D116+'Incremental Repayments'!$I$31),-PMT('Interest Rate'!$J$16,'Incremental Repayments'!$I$31,(HLOOKUP($D116,$E$4:$CZ$32,28,FALSE)*'Incremental Repayments'!$I$22)),0),0)</f>
        <v>0</v>
      </c>
      <c r="AH116" s="783">
        <f>IF('Incremental Repayments'!$R$22="Debt",IF(AND(AH$4&gt;=$D116,AH$4&lt;$D116+'Incremental Repayments'!$I$31),-PMT('Interest Rate'!$J$16,'Incremental Repayments'!$I$31,(HLOOKUP($D116,$E$4:$CZ$32,28,FALSE)*'Incremental Repayments'!$I$22)),0),0)</f>
        <v>0</v>
      </c>
      <c r="AI116" s="783">
        <f>IF('Incremental Repayments'!$R$22="Debt",IF(AND(AI$4&gt;=$D116,AI$4&lt;$D116+'Incremental Repayments'!$I$31),-PMT('Interest Rate'!$J$16,'Incremental Repayments'!$I$31,(HLOOKUP($D116,$E$4:$CZ$32,28,FALSE)*'Incremental Repayments'!$I$22)),0),0)</f>
        <v>0</v>
      </c>
      <c r="AJ116" s="783">
        <f>IF('Incremental Repayments'!$R$22="Debt",IF(AND(AJ$4&gt;=$D116,AJ$4&lt;$D116+'Incremental Repayments'!$I$31),-PMT('Interest Rate'!$J$16,'Incremental Repayments'!$I$31,(HLOOKUP($D116,$E$4:$CZ$32,28,FALSE)*'Incremental Repayments'!$I$22)),0),0)</f>
        <v>0</v>
      </c>
      <c r="AK116" s="783">
        <f>IF('Incremental Repayments'!$R$22="Debt",IF(AND(AK$4&gt;=$D116,AK$4&lt;$D116+'Incremental Repayments'!$I$31),-PMT('Interest Rate'!$J$16,'Incremental Repayments'!$I$31,(HLOOKUP($D116,$E$4:$CZ$32,28,FALSE)*'Incremental Repayments'!$I$22)),0),0)</f>
        <v>0</v>
      </c>
      <c r="AL116" s="783">
        <f>IF('Incremental Repayments'!$R$22="Debt",IF(AND(AL$4&gt;=$D116,AL$4&lt;$D116+'Incremental Repayments'!$I$31),-PMT('Interest Rate'!$J$16,'Incremental Repayments'!$I$31,(HLOOKUP($D116,$E$4:$CZ$32,28,FALSE)*'Incremental Repayments'!$I$22)),0),0)</f>
        <v>0</v>
      </c>
      <c r="AM116" s="783">
        <f>IF('Incremental Repayments'!$R$22="Debt",IF(AND(AM$4&gt;=$D116,AM$4&lt;$D116+'Incremental Repayments'!$I$31),-PMT('Interest Rate'!$J$16,'Incremental Repayments'!$I$31,(HLOOKUP($D116,$E$4:$CZ$32,28,FALSE)*'Incremental Repayments'!$I$22)),0),0)</f>
        <v>0</v>
      </c>
      <c r="AN116" s="783">
        <f>IF('Incremental Repayments'!$R$22="Debt",IF(AND(AN$4&gt;=$D116,AN$4&lt;$D116+'Incremental Repayments'!$I$31),-PMT('Interest Rate'!$J$16,'Incremental Repayments'!$I$31,(HLOOKUP($D116,$E$4:$CZ$32,28,FALSE)*'Incremental Repayments'!$I$22)),0),0)</f>
        <v>0</v>
      </c>
      <c r="AO116" s="783">
        <f>IF('Incremental Repayments'!$R$22="Debt",IF(AND(AO$4&gt;=$D116,AO$4&lt;$D116+'Incremental Repayments'!$I$31),-PMT('Interest Rate'!$J$16,'Incremental Repayments'!$I$31,(HLOOKUP($D116,$E$4:$CZ$32,28,FALSE)*'Incremental Repayments'!$I$22)),0),0)</f>
        <v>0</v>
      </c>
      <c r="AP116" s="783">
        <f>IF('Incremental Repayments'!$R$22="Debt",IF(AND(AP$4&gt;=$D116,AP$4&lt;$D116+'Incremental Repayments'!$I$31),-PMT('Interest Rate'!$J$16,'Incremental Repayments'!$I$31,(HLOOKUP($D116,$E$4:$CZ$32,28,FALSE)*'Incremental Repayments'!$I$22)),0),0)</f>
        <v>0</v>
      </c>
      <c r="AQ116" s="783">
        <f>IF('Incremental Repayments'!$R$22="Debt",IF(AND(AQ$4&gt;=$D116,AQ$4&lt;$D116+'Incremental Repayments'!$I$31),-PMT('Interest Rate'!$J$16,'Incremental Repayments'!$I$31,(HLOOKUP($D116,$E$4:$CZ$32,28,FALSE)*'Incremental Repayments'!$I$22)),0),0)</f>
        <v>0</v>
      </c>
      <c r="AR116" s="783">
        <f>IF('Incremental Repayments'!$R$22="Debt",IF(AND(AR$4&gt;=$D116,AR$4&lt;$D116+'Incremental Repayments'!$I$31),-PMT('Interest Rate'!$J$16,'Incremental Repayments'!$I$31,(HLOOKUP($D116,$E$4:$CZ$32,28,FALSE)*'Incremental Repayments'!$I$22)),0),0)</f>
        <v>0</v>
      </c>
      <c r="AS116" s="783">
        <f>IF('Incremental Repayments'!$R$22="Debt",IF(AND(AS$4&gt;=$D116,AS$4&lt;$D116+'Incremental Repayments'!$I$31),-PMT('Interest Rate'!$J$16,'Incremental Repayments'!$I$31,(HLOOKUP($D116,$E$4:$CZ$32,28,FALSE)*'Incremental Repayments'!$I$22)),0),0)</f>
        <v>0</v>
      </c>
      <c r="AT116" s="783">
        <f>IF('Incremental Repayments'!$R$22="Debt",IF(AND(AT$4&gt;=$D116,AT$4&lt;$D116+'Incremental Repayments'!$I$31),-PMT('Interest Rate'!$J$16,'Incremental Repayments'!$I$31,(HLOOKUP($D116,$E$4:$CZ$32,28,FALSE)*'Incremental Repayments'!$I$22)),0),0)</f>
        <v>0</v>
      </c>
      <c r="AU116" s="783">
        <f>IF('Incremental Repayments'!$R$22="Debt",IF(AND(AU$4&gt;=$D116,AU$4&lt;$D116+'Incremental Repayments'!$I$31),-PMT('Interest Rate'!$J$16,'Incremental Repayments'!$I$31,(HLOOKUP($D116,$E$4:$CZ$32,28,FALSE)*'Incremental Repayments'!$I$22)),0),0)</f>
        <v>0</v>
      </c>
      <c r="AV116" s="783">
        <f>IF('Incremental Repayments'!$R$22="Debt",IF(AND(AV$4&gt;=$D116,AV$4&lt;$D116+'Incremental Repayments'!$I$31),-PMT('Interest Rate'!$J$16,'Incremental Repayments'!$I$31,(HLOOKUP($D116,$E$4:$CZ$32,28,FALSE)*'Incremental Repayments'!$I$22)),0),0)</f>
        <v>0</v>
      </c>
      <c r="AW116" s="783">
        <f>IF('Incremental Repayments'!$R$22="Debt",IF(AND(AW$4&gt;=$D116,AW$4&lt;$D116+'Incremental Repayments'!$I$31),-PMT('Interest Rate'!$J$16,'Incremental Repayments'!$I$31,(HLOOKUP($D116,$E$4:$CZ$32,28,FALSE)*'Incremental Repayments'!$I$22)),0),0)</f>
        <v>0</v>
      </c>
      <c r="AX116" s="783">
        <f>IF('Incremental Repayments'!$R$22="Debt",IF(AND(AX$4&gt;=$D116,AX$4&lt;$D116+'Incremental Repayments'!$I$31),-PMT('Interest Rate'!$J$16,'Incremental Repayments'!$I$31,(HLOOKUP($D116,$E$4:$CZ$32,28,FALSE)*'Incremental Repayments'!$I$22)),0),0)</f>
        <v>0</v>
      </c>
      <c r="AY116" s="783">
        <f>IF('Incremental Repayments'!$R$22="Debt",IF(AND(AY$4&gt;=$D116,AY$4&lt;$D116+'Incremental Repayments'!$I$31),-PMT('Interest Rate'!$J$16,'Incremental Repayments'!$I$31,(HLOOKUP($D116,$E$4:$CZ$32,28,FALSE)*'Incremental Repayments'!$I$22)),0),0)</f>
        <v>0</v>
      </c>
      <c r="AZ116" s="783">
        <f>IF('Incremental Repayments'!$R$22="Debt",IF(AND(AZ$4&gt;=$D116,AZ$4&lt;$D116+'Incremental Repayments'!$I$31),-PMT('Interest Rate'!$J$16,'Incremental Repayments'!$I$31,(HLOOKUP($D116,$E$4:$CZ$32,28,FALSE)*'Incremental Repayments'!$I$22)),0),0)</f>
        <v>0</v>
      </c>
      <c r="BA116" s="783">
        <f>IF('Incremental Repayments'!$R$22="Debt",IF(AND(BA$4&gt;=$D116,BA$4&lt;$D116+'Incremental Repayments'!$I$31),-PMT('Interest Rate'!$J$16,'Incremental Repayments'!$I$31,(HLOOKUP($D116,$E$4:$CZ$32,28,FALSE)*'Incremental Repayments'!$I$22)),0),0)</f>
        <v>0</v>
      </c>
      <c r="BB116" s="783">
        <f>IF('Incremental Repayments'!$R$22="Debt",IF(AND(BB$4&gt;=$D116,BB$4&lt;$D116+'Incremental Repayments'!$I$31),-PMT('Interest Rate'!$J$16,'Incremental Repayments'!$I$31,(HLOOKUP($D116,$E$4:$CZ$32,28,FALSE)*'Incremental Repayments'!$I$22)),0),0)</f>
        <v>0</v>
      </c>
      <c r="BC116" s="783">
        <f>IF('Incremental Repayments'!$R$22="Debt",IF(AND(BC$4&gt;=$D116,BC$4&lt;$D116+'Incremental Repayments'!$I$31),-PMT('Interest Rate'!$J$16,'Incremental Repayments'!$I$31,(HLOOKUP($D116,$E$4:$CZ$32,28,FALSE)*'Incremental Repayments'!$I$22)),0),0)</f>
        <v>0</v>
      </c>
      <c r="BD116" s="783">
        <f>IF('Incremental Repayments'!$R$22="Debt",IF(AND(BD$4&gt;=$D116,BD$4&lt;$D116+'Incremental Repayments'!$I$31),-PMT('Interest Rate'!$J$16,'Incremental Repayments'!$I$31,(HLOOKUP($D116,$E$4:$CZ$32,28,FALSE)*'Incremental Repayments'!$I$22)),0),0)</f>
        <v>0</v>
      </c>
      <c r="BE116" s="783">
        <f>IF('Incremental Repayments'!$R$22="Debt",IF(AND(BE$4&gt;=$D116,BE$4&lt;$D116+'Incremental Repayments'!$I$31),-PMT('Interest Rate'!$J$16,'Incremental Repayments'!$I$31,(HLOOKUP($D116,$E$4:$CZ$32,28,FALSE)*'Incremental Repayments'!$I$22)),0),0)</f>
        <v>0</v>
      </c>
      <c r="BF116" s="783">
        <f>IF('Incremental Repayments'!$R$22="Debt",IF(AND(BF$4&gt;=$D116,BF$4&lt;$D116+'Incremental Repayments'!$I$31),-PMT('Interest Rate'!$J$16,'Incremental Repayments'!$I$31,(HLOOKUP($D116,$E$4:$CZ$32,28,FALSE)*'Incremental Repayments'!$I$22)),0),0)</f>
        <v>0</v>
      </c>
      <c r="BG116" s="783">
        <f>IF('Incremental Repayments'!$R$22="Debt",IF(AND(BG$4&gt;=$D116,BG$4&lt;$D116+'Incremental Repayments'!$I$31),-PMT('Interest Rate'!$J$16,'Incremental Repayments'!$I$31,(HLOOKUP($D116,$E$4:$CZ$32,28,FALSE)*'Incremental Repayments'!$I$22)),0),0)</f>
        <v>0</v>
      </c>
      <c r="BH116" s="783">
        <f>IF('Incremental Repayments'!$R$22="Debt",IF(AND(BH$4&gt;=$D116,BH$4&lt;$D116+'Incremental Repayments'!$I$31),-PMT('Interest Rate'!$J$16,'Incremental Repayments'!$I$31,(HLOOKUP($D116,$E$4:$CZ$32,28,FALSE)*'Incremental Repayments'!$I$22)),0),0)</f>
        <v>0</v>
      </c>
      <c r="BI116" s="783">
        <f>IF('Incremental Repayments'!$R$22="Debt",IF(AND(BI$4&gt;=$D116,BI$4&lt;$D116+'Incremental Repayments'!$I$31),-PMT('Interest Rate'!$J$16,'Incremental Repayments'!$I$31,(HLOOKUP($D116,$E$4:$CZ$32,28,FALSE)*'Incremental Repayments'!$I$22)),0),0)</f>
        <v>0</v>
      </c>
      <c r="BJ116" s="783">
        <f>IF('Incremental Repayments'!$R$22="Debt",IF(AND(BJ$4&gt;=$D116,BJ$4&lt;$D116+'Incremental Repayments'!$I$31),-PMT('Interest Rate'!$J$16,'Incremental Repayments'!$I$31,(HLOOKUP($D116,$E$4:$CZ$32,28,FALSE)*'Incremental Repayments'!$I$22)),0),0)</f>
        <v>0</v>
      </c>
      <c r="BK116" s="783">
        <f>IF('Incremental Repayments'!$R$22="Debt",IF(AND(BK$4&gt;=$D116,BK$4&lt;$D116+'Incremental Repayments'!$I$31),-PMT('Interest Rate'!$J$16,'Incremental Repayments'!$I$31,(HLOOKUP($D116,$E$4:$CZ$32,28,FALSE)*'Incremental Repayments'!$I$22)),0),0)</f>
        <v>0</v>
      </c>
      <c r="BL116" s="783">
        <f>IF('Incremental Repayments'!$R$22="Debt",IF(AND(BL$4&gt;=$D116,BL$4&lt;$D116+'Incremental Repayments'!$I$31),-PMT('Interest Rate'!$J$16,'Incremental Repayments'!$I$31,(HLOOKUP($D116,$E$4:$CZ$32,28,FALSE)*'Incremental Repayments'!$I$22)),0),0)</f>
        <v>0</v>
      </c>
      <c r="BM116" s="783">
        <f>IF('Incremental Repayments'!$R$22="Debt",IF(AND(BM$4&gt;=$D116,BM$4&lt;$D116+'Incremental Repayments'!$I$31),-PMT('Interest Rate'!$J$16,'Incremental Repayments'!$I$31,(HLOOKUP($D116,$E$4:$CZ$32,28,FALSE)*'Incremental Repayments'!$I$22)),0),0)</f>
        <v>0</v>
      </c>
      <c r="BN116" s="783">
        <f>IF('Incremental Repayments'!$R$22="Debt",IF(AND(BN$4&gt;=$D116,BN$4&lt;$D116+'Incremental Repayments'!$I$31),-PMT('Interest Rate'!$J$16,'Incremental Repayments'!$I$31,(HLOOKUP($D116,$E$4:$CZ$32,28,FALSE)*'Incremental Repayments'!$I$22)),0),0)</f>
        <v>0</v>
      </c>
      <c r="BO116" s="783">
        <f>IF('Incremental Repayments'!$R$22="Debt",IF(AND(BO$4&gt;=$D116,BO$4&lt;$D116+'Incremental Repayments'!$I$31),-PMT('Interest Rate'!$J$16,'Incremental Repayments'!$I$31,(HLOOKUP($D116,$E$4:$CZ$32,28,FALSE)*'Incremental Repayments'!$I$22)),0),0)</f>
        <v>0</v>
      </c>
      <c r="BP116" s="783">
        <f>IF('Incremental Repayments'!$R$22="Debt",IF(AND(BP$4&gt;=$D116,BP$4&lt;$D116+'Incremental Repayments'!$I$31),-PMT('Interest Rate'!$J$16,'Incremental Repayments'!$I$31,(HLOOKUP($D116,$E$4:$CZ$32,28,FALSE)*'Incremental Repayments'!$I$22)),0),0)</f>
        <v>0</v>
      </c>
      <c r="BQ116" s="783">
        <f>IF('Incremental Repayments'!$R$22="Debt",IF(AND(BQ$4&gt;=$D116,BQ$4&lt;$D116+'Incremental Repayments'!$I$31),-PMT('Interest Rate'!$J$16,'Incremental Repayments'!$I$31,(HLOOKUP($D116,$E$4:$CZ$32,28,FALSE)*'Incremental Repayments'!$I$22)),0),0)</f>
        <v>0</v>
      </c>
      <c r="BR116" s="783">
        <f>IF('Incremental Repayments'!$R$22="Debt",IF(AND(BR$4&gt;=$D116,BR$4&lt;$D116+'Incremental Repayments'!$I$31),-PMT('Interest Rate'!$J$16,'Incremental Repayments'!$I$31,(HLOOKUP($D116,$E$4:$CZ$32,28,FALSE)*'Incremental Repayments'!$I$22)),0),0)</f>
        <v>0</v>
      </c>
      <c r="BS116" s="783">
        <f>IF('Incremental Repayments'!$R$22="Debt",IF(AND(BS$4&gt;=$D116,BS$4&lt;$D116+'Incremental Repayments'!$I$31),-PMT('Interest Rate'!$J$16,'Incremental Repayments'!$I$31,(HLOOKUP($D116,$E$4:$CZ$32,28,FALSE)*'Incremental Repayments'!$I$22)),0),0)</f>
        <v>0</v>
      </c>
      <c r="BT116" s="783">
        <f>IF('Incremental Repayments'!$R$22="Debt",IF(AND(BT$4&gt;=$D116,BT$4&lt;$D116+'Incremental Repayments'!$I$31),-PMT('Interest Rate'!$J$16,'Incremental Repayments'!$I$31,(HLOOKUP($D116,$E$4:$CZ$32,28,FALSE)*'Incremental Repayments'!$I$22)),0),0)</f>
        <v>0</v>
      </c>
      <c r="BU116" s="783">
        <f>IF('Incremental Repayments'!$R$22="Debt",IF(AND(BU$4&gt;=$D116,BU$4&lt;$D116+'Incremental Repayments'!$I$31),-PMT('Interest Rate'!$J$16,'Incremental Repayments'!$I$31,(HLOOKUP($D116,$E$4:$CZ$32,28,FALSE)*'Incremental Repayments'!$I$22)),0),0)</f>
        <v>0</v>
      </c>
      <c r="BV116" s="783">
        <f>IF('Incremental Repayments'!$R$22="Debt",IF(AND(BV$4&gt;=$D116,BV$4&lt;$D116+'Incremental Repayments'!$I$31),-PMT('Interest Rate'!$J$16,'Incremental Repayments'!$I$31,(HLOOKUP($D116,$E$4:$CZ$32,28,FALSE)*'Incremental Repayments'!$I$22)),0),0)</f>
        <v>0</v>
      </c>
      <c r="BW116" s="783">
        <f>IF('Incremental Repayments'!$R$22="Debt",IF(AND(BW$4&gt;=$D116,BW$4&lt;$D116+'Incremental Repayments'!$I$31),-PMT('Interest Rate'!$J$16,'Incremental Repayments'!$I$31,(HLOOKUP($D116,$E$4:$CZ$32,28,FALSE)*'Incremental Repayments'!$I$22)),0),0)</f>
        <v>0</v>
      </c>
      <c r="BX116" s="783">
        <f>IF('Incremental Repayments'!$R$22="Debt",IF(AND(BX$4&gt;=$D116,BX$4&lt;$D116+'Incremental Repayments'!$I$31),-PMT('Interest Rate'!$J$16,'Incremental Repayments'!$I$31,(HLOOKUP($D116,$E$4:$CZ$32,28,FALSE)*'Incremental Repayments'!$I$22)),0),0)</f>
        <v>0</v>
      </c>
      <c r="BY116" s="783">
        <f>IF('Incremental Repayments'!$R$22="Debt",IF(AND(BY$4&gt;=$D116,BY$4&lt;$D116+'Incremental Repayments'!$I$31),-PMT('Interest Rate'!$J$16,'Incremental Repayments'!$I$31,(HLOOKUP($D116,$E$4:$CZ$32,28,FALSE)*'Incremental Repayments'!$I$22)),0),0)</f>
        <v>0</v>
      </c>
      <c r="BZ116" s="783">
        <f>IF('Incremental Repayments'!$R$22="Debt",IF(AND(BZ$4&gt;=$D116,BZ$4&lt;$D116+'Incremental Repayments'!$I$31),-PMT('Interest Rate'!$J$16,'Incremental Repayments'!$I$31,(HLOOKUP($D116,$E$4:$CZ$32,28,FALSE)*'Incremental Repayments'!$I$22)),0),0)</f>
        <v>0</v>
      </c>
      <c r="CA116" s="783">
        <f>IF('Incremental Repayments'!$R$22="Debt",IF(AND(CA$4&gt;=$D116,CA$4&lt;$D116+'Incremental Repayments'!$I$31),-PMT('Interest Rate'!$J$16,'Incremental Repayments'!$I$31,(HLOOKUP($D116,$E$4:$CZ$32,28,FALSE)*'Incremental Repayments'!$I$22)),0),0)</f>
        <v>0</v>
      </c>
      <c r="CB116" s="783">
        <f>IF('Incremental Repayments'!$R$22="Debt",IF(AND(CB$4&gt;=$D116,CB$4&lt;$D116+'Incremental Repayments'!$I$31),-PMT('Interest Rate'!$J$16,'Incremental Repayments'!$I$31,(HLOOKUP($D116,$E$4:$CZ$32,28,FALSE)*'Incremental Repayments'!$I$22)),0),0)</f>
        <v>0</v>
      </c>
      <c r="CC116" s="783">
        <f>IF('Incremental Repayments'!$R$22="Debt",IF(AND(CC$4&gt;=$D116,CC$4&lt;$D116+'Incremental Repayments'!$I$31),-PMT('Interest Rate'!$J$16,'Incremental Repayments'!$I$31,(HLOOKUP($D116,$E$4:$CZ$32,28,FALSE)*'Incremental Repayments'!$I$22)),0),0)</f>
        <v>0</v>
      </c>
      <c r="CD116" s="783">
        <f>IF('Incremental Repayments'!$R$22="Debt",IF(AND(CD$4&gt;=$D116,CD$4&lt;$D116+'Incremental Repayments'!$I$31),-PMT('Interest Rate'!$J$16,'Incremental Repayments'!$I$31,(HLOOKUP($D116,$E$4:$CZ$32,28,FALSE)*'Incremental Repayments'!$I$22)),0),0)</f>
        <v>0</v>
      </c>
      <c r="CE116" s="783">
        <f>IF('Incremental Repayments'!$R$22="Debt",IF(AND(CE$4&gt;=$D116,CE$4&lt;$D116+'Incremental Repayments'!$I$31),-PMT('Interest Rate'!$J$16,'Incremental Repayments'!$I$31,(HLOOKUP($D116,$E$4:$CZ$32,28,FALSE)*'Incremental Repayments'!$I$22)),0),0)</f>
        <v>0</v>
      </c>
      <c r="CF116" s="783">
        <f>IF('Incremental Repayments'!$R$22="Debt",IF(AND(CF$4&gt;=$D116,CF$4&lt;$D116+'Incremental Repayments'!$I$31),-PMT('Interest Rate'!$J$16,'Incremental Repayments'!$I$31,(HLOOKUP($D116,$E$4:$CZ$32,28,FALSE)*'Incremental Repayments'!$I$22)),0),0)</f>
        <v>0</v>
      </c>
      <c r="CG116" s="783">
        <f>IF('Incremental Repayments'!$R$22="Debt",IF(AND(CG$4&gt;=$D116,CG$4&lt;$D116+'Incremental Repayments'!$I$31),-PMT('Interest Rate'!$J$16,'Incremental Repayments'!$I$31,(HLOOKUP($D116,$E$4:$CZ$32,28,FALSE)*'Incremental Repayments'!$I$22)),0),0)</f>
        <v>0</v>
      </c>
      <c r="CH116" s="783">
        <f>IF('Incremental Repayments'!$R$22="Debt",IF(AND(CH$4&gt;=$D116,CH$4&lt;$D116+'Incremental Repayments'!$I$31),-PMT('Interest Rate'!$J$16,'Incremental Repayments'!$I$31,(HLOOKUP($D116,$E$4:$CZ$32,28,FALSE)*'Incremental Repayments'!$I$22)),0),0)</f>
        <v>0</v>
      </c>
      <c r="CI116" s="783">
        <f>IF('Incremental Repayments'!$R$22="Debt",IF(AND(CI$4&gt;=$D116,CI$4&lt;$D116+'Incremental Repayments'!$I$31),-PMT('Interest Rate'!$J$16,'Incremental Repayments'!$I$31,(HLOOKUP($D116,$E$4:$CZ$32,28,FALSE)*'Incremental Repayments'!$I$22)),0),0)</f>
        <v>0</v>
      </c>
      <c r="CJ116" s="783">
        <f>IF('Incremental Repayments'!$R$22="Debt",IF(AND(CJ$4&gt;=$D116,CJ$4&lt;$D116+'Incremental Repayments'!$I$31),-PMT('Interest Rate'!$J$16,'Incremental Repayments'!$I$31,(HLOOKUP($D116,$E$4:$CZ$32,28,FALSE)*'Incremental Repayments'!$I$22)),0),0)</f>
        <v>0</v>
      </c>
      <c r="CK116" s="783">
        <f>IF('Incremental Repayments'!$R$22="Debt",IF(AND(CK$4&gt;=$D116,CK$4&lt;$D116+'Incremental Repayments'!$I$31),-PMT('Interest Rate'!$J$16,'Incremental Repayments'!$I$31,(HLOOKUP($D116,$E$4:$CZ$32,28,FALSE)*'Incremental Repayments'!$I$22)),0),0)</f>
        <v>0</v>
      </c>
      <c r="CL116" s="783">
        <f>IF('Incremental Repayments'!$R$22="Debt",IF(AND(CL$4&gt;=$D116,CL$4&lt;$D116+'Incremental Repayments'!$I$31),-PMT('Interest Rate'!$J$16,'Incremental Repayments'!$I$31,(HLOOKUP($D116,$E$4:$CZ$32,28,FALSE)*'Incremental Repayments'!$I$22)),0),0)</f>
        <v>0</v>
      </c>
      <c r="CM116" s="783">
        <f>IF('Incremental Repayments'!$R$22="Debt",IF(AND(CM$4&gt;=$D116,CM$4&lt;$D116+'Incremental Repayments'!$I$31),-PMT('Interest Rate'!$J$16,'Incremental Repayments'!$I$31,(HLOOKUP($D116,$E$4:$CZ$32,28,FALSE)*'Incremental Repayments'!$I$22)),0),0)</f>
        <v>0</v>
      </c>
      <c r="CN116" s="783">
        <f>IF('Incremental Repayments'!$R$22="Debt",IF(AND(CN$4&gt;=$D116,CN$4&lt;$D116+'Incremental Repayments'!$I$31),-PMT('Interest Rate'!$J$16,'Incremental Repayments'!$I$31,(HLOOKUP($D116,$E$4:$CZ$32,28,FALSE)*'Incremental Repayments'!$I$22)),0),0)</f>
        <v>0</v>
      </c>
      <c r="CO116" s="783">
        <f>IF('Incremental Repayments'!$R$22="Debt",IF(AND(CO$4&gt;=$D116,CO$4&lt;$D116+'Incremental Repayments'!$I$31),-PMT('Interest Rate'!$J$16,'Incremental Repayments'!$I$31,(HLOOKUP($D116,$E$4:$CZ$32,28,FALSE)*'Incremental Repayments'!$I$22)),0),0)</f>
        <v>0</v>
      </c>
      <c r="CP116" s="783">
        <f>IF('Incremental Repayments'!$R$22="Debt",IF(AND(CP$4&gt;=$D116,CP$4&lt;$D116+'Incremental Repayments'!$I$31),-PMT('Interest Rate'!$J$16,'Incremental Repayments'!$I$31,(HLOOKUP($D116,$E$4:$CZ$32,28,FALSE)*'Incremental Repayments'!$I$22)),0),0)</f>
        <v>0</v>
      </c>
      <c r="CQ116" s="783">
        <f>IF('Incremental Repayments'!$R$22="Debt",IF(AND(CQ$4&gt;=$D116,CQ$4&lt;$D116+'Incremental Repayments'!$I$31),-PMT('Interest Rate'!$J$16,'Incremental Repayments'!$I$31,(HLOOKUP($D116,$E$4:$CZ$32,28,FALSE)*'Incremental Repayments'!$I$22)),0),0)</f>
        <v>0</v>
      </c>
      <c r="CR116" s="783">
        <f>IF('Incremental Repayments'!$R$22="Debt",IF(AND(CR$4&gt;=$D116,CR$4&lt;$D116+'Incremental Repayments'!$I$31),-PMT('Interest Rate'!$J$16,'Incremental Repayments'!$I$31,(HLOOKUP($D116,$E$4:$CZ$32,28,FALSE)*'Incremental Repayments'!$I$22)),0),0)</f>
        <v>0</v>
      </c>
      <c r="CS116" s="783">
        <f>IF('Incremental Repayments'!$R$22="Debt",IF(AND(CS$4&gt;=$D116,CS$4&lt;$D116+'Incremental Repayments'!$I$31),-PMT('Interest Rate'!$J$16,'Incremental Repayments'!$I$31,(HLOOKUP($D116,$E$4:$CZ$32,28,FALSE)*'Incremental Repayments'!$I$22)),0),0)</f>
        <v>0</v>
      </c>
      <c r="CT116" s="783">
        <f>IF('Incremental Repayments'!$R$22="Debt",IF(AND(CT$4&gt;=$D116,CT$4&lt;$D116+'Incremental Repayments'!$I$31),-PMT('Interest Rate'!$J$16,'Incremental Repayments'!$I$31,(HLOOKUP($D116,$E$4:$CZ$32,28,FALSE)*'Incremental Repayments'!$I$22)),0),0)</f>
        <v>0</v>
      </c>
      <c r="CU116" s="783">
        <f>IF('Incremental Repayments'!$R$22="Debt",IF(AND(CU$4&gt;=$D116,CU$4&lt;$D116+'Incremental Repayments'!$I$31),-PMT('Interest Rate'!$J$16,'Incremental Repayments'!$I$31,(HLOOKUP($D116,$E$4:$CZ$32,28,FALSE)*'Incremental Repayments'!$I$22)),0),0)</f>
        <v>0</v>
      </c>
      <c r="CV116" s="783">
        <f>IF('Incremental Repayments'!$R$22="Debt",IF(AND(CV$4&gt;=$D116,CV$4&lt;$D116+'Incremental Repayments'!$I$31),-PMT('Interest Rate'!$J$16,'Incremental Repayments'!$I$31,(HLOOKUP($D116,$E$4:$CZ$32,28,FALSE)*'Incremental Repayments'!$I$22)),0),0)</f>
        <v>0</v>
      </c>
      <c r="CW116" s="783">
        <f>IF('Incremental Repayments'!$R$22="Debt",IF(AND(CW$4&gt;=$D116,CW$4&lt;$D116+'Incremental Repayments'!$I$31),-PMT('Interest Rate'!$J$16,'Incremental Repayments'!$I$31,(HLOOKUP($D116,$E$4:$CZ$32,28,FALSE)*'Incremental Repayments'!$I$22)),0),0)</f>
        <v>0</v>
      </c>
      <c r="CX116" s="783">
        <f>IF('Incremental Repayments'!$R$22="Debt",IF(AND(CX$4&gt;=$D116,CX$4&lt;$D116+'Incremental Repayments'!$I$31),-PMT('Interest Rate'!$J$16,'Incremental Repayments'!$I$31,(HLOOKUP($D116,$E$4:$CZ$32,28,FALSE)*'Incremental Repayments'!$I$22)),0),0)</f>
        <v>0</v>
      </c>
      <c r="CY116" s="783">
        <f>IF('Incremental Repayments'!$R$22="Debt",IF(AND(CY$4&gt;=$D116,CY$4&lt;$D116+'Incremental Repayments'!$I$31),-PMT('Interest Rate'!$J$16,'Incremental Repayments'!$I$31,(HLOOKUP($D116,$E$4:$CZ$32,28,FALSE)*'Incremental Repayments'!$I$22)),0),0)</f>
        <v>0</v>
      </c>
      <c r="CZ116" s="783">
        <f>IF('Incremental Repayments'!$R$22="Debt",IF(AND(CZ$4&gt;=$D116,CZ$4&lt;$D116+'Incremental Repayments'!$I$31),-PMT('Interest Rate'!$J$16,'Incremental Repayments'!$I$31,(HLOOKUP($D116,$E$4:$CZ$32,28,FALSE)*'Incremental Repayments'!$I$22)),0),0)</f>
        <v>0</v>
      </c>
    </row>
    <row r="117" spans="1:104" x14ac:dyDescent="0.25">
      <c r="B117" s="480" t="str">
        <f>CONCATENATE("Series ",D117,"A Bonds (at ",'Interest Rate'!$J$16*100,"% Interest)")</f>
        <v>Series 2095A Bonds (at 4.5% Interest)</v>
      </c>
      <c r="C117" s="480"/>
      <c r="D117" s="492">
        <f t="shared" si="47"/>
        <v>2095</v>
      </c>
      <c r="E117" s="783">
        <f>IF('Incremental Repayments'!$R$22="Debt",IF(AND(E$4&gt;=$D117,E$4&lt;$D117+'Incremental Repayments'!$I$31),-PMT('Interest Rate'!$J$16,'Incremental Repayments'!$I$31,(HLOOKUP($D117,$E$4:$CZ$32,28,FALSE)*'Incremental Repayments'!$I$22)),0),0)</f>
        <v>0</v>
      </c>
      <c r="F117" s="783">
        <f>IF('Incremental Repayments'!$R$22="Debt",IF(AND(F$4&gt;=$D117,F$4&lt;$D117+'Incremental Repayments'!$I$31),-PMT('Interest Rate'!$J$16,'Incremental Repayments'!$I$31,(HLOOKUP($D117,$E$4:$CZ$32,28,FALSE)*'Incremental Repayments'!$I$22)),0),0)</f>
        <v>0</v>
      </c>
      <c r="G117" s="783">
        <f>IF('Incremental Repayments'!$R$22="Debt",IF(AND(G$4&gt;=$D117,G$4&lt;$D117+'Incremental Repayments'!$I$31),-PMT('Interest Rate'!$J$16,'Incremental Repayments'!$I$31,(HLOOKUP($D117,$E$4:$CZ$32,28,FALSE)*'Incremental Repayments'!$I$22)),0),0)</f>
        <v>0</v>
      </c>
      <c r="H117" s="783">
        <f>IF('Incremental Repayments'!$R$22="Debt",IF(AND(H$4&gt;=$D117,H$4&lt;$D117+'Incremental Repayments'!$I$31),-PMT('Interest Rate'!$J$16,'Incremental Repayments'!$I$31,(HLOOKUP($D117,$E$4:$CZ$32,28,FALSE)*'Incremental Repayments'!$I$22)),0),0)</f>
        <v>0</v>
      </c>
      <c r="I117" s="783">
        <f>IF('Incremental Repayments'!$R$22="Debt",IF(AND(I$4&gt;=$D117,I$4&lt;$D117+'Incremental Repayments'!$I$31),-PMT('Interest Rate'!$J$16,'Incremental Repayments'!$I$31,(HLOOKUP($D117,$E$4:$CZ$32,28,FALSE)*'Incremental Repayments'!$I$22)),0),0)</f>
        <v>0</v>
      </c>
      <c r="J117" s="783">
        <f>IF('Incremental Repayments'!$R$22="Debt",IF(AND(J$4&gt;=$D117,J$4&lt;$D117+'Incremental Repayments'!$I$31),-PMT('Interest Rate'!$J$16,'Incremental Repayments'!$I$31,(HLOOKUP($D117,$E$4:$CZ$32,28,FALSE)*'Incremental Repayments'!$I$22)),0),0)</f>
        <v>0</v>
      </c>
      <c r="K117" s="783">
        <f>IF('Incremental Repayments'!$R$22="Debt",IF(AND(K$4&gt;=$D117,K$4&lt;$D117+'Incremental Repayments'!$I$31),-PMT('Interest Rate'!$J$16,'Incremental Repayments'!$I$31,(HLOOKUP($D117,$E$4:$CZ$32,28,FALSE)*'Incremental Repayments'!$I$22)),0),0)</f>
        <v>0</v>
      </c>
      <c r="L117" s="783">
        <f>IF('Incremental Repayments'!$R$22="Debt",IF(AND(L$4&gt;=$D117,L$4&lt;$D117+'Incremental Repayments'!$I$31),-PMT('Interest Rate'!$J$16,'Incremental Repayments'!$I$31,(HLOOKUP($D117,$E$4:$CZ$32,28,FALSE)*'Incremental Repayments'!$I$22)),0),0)</f>
        <v>0</v>
      </c>
      <c r="M117" s="783">
        <f>IF('Incremental Repayments'!$R$22="Debt",IF(AND(M$4&gt;=$D117,M$4&lt;$D117+'Incremental Repayments'!$I$31),-PMT('Interest Rate'!$J$16,'Incremental Repayments'!$I$31,(HLOOKUP($D117,$E$4:$CZ$32,28,FALSE)*'Incremental Repayments'!$I$22)),0),0)</f>
        <v>0</v>
      </c>
      <c r="N117" s="783">
        <f>IF('Incremental Repayments'!$R$22="Debt",IF(AND(N$4&gt;=$D117,N$4&lt;$D117+'Incremental Repayments'!$I$31),-PMT('Interest Rate'!$J$16,'Incremental Repayments'!$I$31,(HLOOKUP($D117,$E$4:$CZ$32,28,FALSE)*'Incremental Repayments'!$I$22)),0),0)</f>
        <v>0</v>
      </c>
      <c r="O117" s="783">
        <f>IF('Incremental Repayments'!$R$22="Debt",IF(AND(O$4&gt;=$D117,O$4&lt;$D117+'Incremental Repayments'!$I$31),-PMT('Interest Rate'!$J$16,'Incremental Repayments'!$I$31,(HLOOKUP($D117,$E$4:$CZ$32,28,FALSE)*'Incremental Repayments'!$I$22)),0),0)</f>
        <v>0</v>
      </c>
      <c r="P117" s="783">
        <f>IF('Incremental Repayments'!$R$22="Debt",IF(AND(P$4&gt;=$D117,P$4&lt;$D117+'Incremental Repayments'!$I$31),-PMT('Interest Rate'!$J$16,'Incremental Repayments'!$I$31,(HLOOKUP($D117,$E$4:$CZ$32,28,FALSE)*'Incremental Repayments'!$I$22)),0),0)</f>
        <v>0</v>
      </c>
      <c r="Q117" s="783">
        <f>IF('Incremental Repayments'!$R$22="Debt",IF(AND(Q$4&gt;=$D117,Q$4&lt;$D117+'Incremental Repayments'!$I$31),-PMT('Interest Rate'!$J$16,'Incremental Repayments'!$I$31,(HLOOKUP($D117,$E$4:$CZ$32,28,FALSE)*'Incremental Repayments'!$I$22)),0),0)</f>
        <v>0</v>
      </c>
      <c r="R117" s="783">
        <f>IF('Incremental Repayments'!$R$22="Debt",IF(AND(R$4&gt;=$D117,R$4&lt;$D117+'Incremental Repayments'!$I$31),-PMT('Interest Rate'!$J$16,'Incremental Repayments'!$I$31,(HLOOKUP($D117,$E$4:$CZ$32,28,FALSE)*'Incremental Repayments'!$I$22)),0),0)</f>
        <v>0</v>
      </c>
      <c r="S117" s="783">
        <f>IF('Incremental Repayments'!$R$22="Debt",IF(AND(S$4&gt;=$D117,S$4&lt;$D117+'Incremental Repayments'!$I$31),-PMT('Interest Rate'!$J$16,'Incremental Repayments'!$I$31,(HLOOKUP($D117,$E$4:$CZ$32,28,FALSE)*'Incremental Repayments'!$I$22)),0),0)</f>
        <v>0</v>
      </c>
      <c r="T117" s="783">
        <f>IF('Incremental Repayments'!$R$22="Debt",IF(AND(T$4&gt;=$D117,T$4&lt;$D117+'Incremental Repayments'!$I$31),-PMT('Interest Rate'!$J$16,'Incremental Repayments'!$I$31,(HLOOKUP($D117,$E$4:$CZ$32,28,FALSE)*'Incremental Repayments'!$I$22)),0),0)</f>
        <v>0</v>
      </c>
      <c r="U117" s="783">
        <f>IF('Incremental Repayments'!$R$22="Debt",IF(AND(U$4&gt;=$D117,U$4&lt;$D117+'Incremental Repayments'!$I$31),-PMT('Interest Rate'!$J$16,'Incremental Repayments'!$I$31,(HLOOKUP($D117,$E$4:$CZ$32,28,FALSE)*'Incremental Repayments'!$I$22)),0),0)</f>
        <v>0</v>
      </c>
      <c r="V117" s="783">
        <f>IF('Incremental Repayments'!$R$22="Debt",IF(AND(V$4&gt;=$D117,V$4&lt;$D117+'Incremental Repayments'!$I$31),-PMT('Interest Rate'!$J$16,'Incremental Repayments'!$I$31,(HLOOKUP($D117,$E$4:$CZ$32,28,FALSE)*'Incremental Repayments'!$I$22)),0),0)</f>
        <v>0</v>
      </c>
      <c r="W117" s="783">
        <f>IF('Incremental Repayments'!$R$22="Debt",IF(AND(W$4&gt;=$D117,W$4&lt;$D117+'Incremental Repayments'!$I$31),-PMT('Interest Rate'!$J$16,'Incremental Repayments'!$I$31,(HLOOKUP($D117,$E$4:$CZ$32,28,FALSE)*'Incremental Repayments'!$I$22)),0),0)</f>
        <v>0</v>
      </c>
      <c r="X117" s="783">
        <f>IF('Incremental Repayments'!$R$22="Debt",IF(AND(X$4&gt;=$D117,X$4&lt;$D117+'Incremental Repayments'!$I$31),-PMT('Interest Rate'!$J$16,'Incremental Repayments'!$I$31,(HLOOKUP($D117,$E$4:$CZ$32,28,FALSE)*'Incremental Repayments'!$I$22)),0),0)</f>
        <v>0</v>
      </c>
      <c r="Y117" s="783">
        <f>IF('Incremental Repayments'!$R$22="Debt",IF(AND(Y$4&gt;=$D117,Y$4&lt;$D117+'Incremental Repayments'!$I$31),-PMT('Interest Rate'!$J$16,'Incremental Repayments'!$I$31,(HLOOKUP($D117,$E$4:$CZ$32,28,FALSE)*'Incremental Repayments'!$I$22)),0),0)</f>
        <v>0</v>
      </c>
      <c r="Z117" s="783">
        <f>IF('Incremental Repayments'!$R$22="Debt",IF(AND(Z$4&gt;=$D117,Z$4&lt;$D117+'Incremental Repayments'!$I$31),-PMT('Interest Rate'!$J$16,'Incremental Repayments'!$I$31,(HLOOKUP($D117,$E$4:$CZ$32,28,FALSE)*'Incremental Repayments'!$I$22)),0),0)</f>
        <v>0</v>
      </c>
      <c r="AA117" s="783">
        <f>IF('Incremental Repayments'!$R$22="Debt",IF(AND(AA$4&gt;=$D117,AA$4&lt;$D117+'Incremental Repayments'!$I$31),-PMT('Interest Rate'!$J$16,'Incremental Repayments'!$I$31,(HLOOKUP($D117,$E$4:$CZ$32,28,FALSE)*'Incremental Repayments'!$I$22)),0),0)</f>
        <v>0</v>
      </c>
      <c r="AB117" s="783">
        <f>IF('Incremental Repayments'!$R$22="Debt",IF(AND(AB$4&gt;=$D117,AB$4&lt;$D117+'Incremental Repayments'!$I$31),-PMT('Interest Rate'!$J$16,'Incremental Repayments'!$I$31,(HLOOKUP($D117,$E$4:$CZ$32,28,FALSE)*'Incremental Repayments'!$I$22)),0),0)</f>
        <v>0</v>
      </c>
      <c r="AC117" s="783">
        <f>IF('Incremental Repayments'!$R$22="Debt",IF(AND(AC$4&gt;=$D117,AC$4&lt;$D117+'Incremental Repayments'!$I$31),-PMT('Interest Rate'!$J$16,'Incremental Repayments'!$I$31,(HLOOKUP($D117,$E$4:$CZ$32,28,FALSE)*'Incremental Repayments'!$I$22)),0),0)</f>
        <v>0</v>
      </c>
      <c r="AD117" s="783">
        <f>IF('Incremental Repayments'!$R$22="Debt",IF(AND(AD$4&gt;=$D117,AD$4&lt;$D117+'Incremental Repayments'!$I$31),-PMT('Interest Rate'!$J$16,'Incremental Repayments'!$I$31,(HLOOKUP($D117,$E$4:$CZ$32,28,FALSE)*'Incremental Repayments'!$I$22)),0),0)</f>
        <v>0</v>
      </c>
      <c r="AE117" s="783">
        <f>IF('Incremental Repayments'!$R$22="Debt",IF(AND(AE$4&gt;=$D117,AE$4&lt;$D117+'Incremental Repayments'!$I$31),-PMT('Interest Rate'!$J$16,'Incremental Repayments'!$I$31,(HLOOKUP($D117,$E$4:$CZ$32,28,FALSE)*'Incremental Repayments'!$I$22)),0),0)</f>
        <v>0</v>
      </c>
      <c r="AF117" s="783">
        <f>IF('Incremental Repayments'!$R$22="Debt",IF(AND(AF$4&gt;=$D117,AF$4&lt;$D117+'Incremental Repayments'!$I$31),-PMT('Interest Rate'!$J$16,'Incremental Repayments'!$I$31,(HLOOKUP($D117,$E$4:$CZ$32,28,FALSE)*'Incremental Repayments'!$I$22)),0),0)</f>
        <v>0</v>
      </c>
      <c r="AG117" s="783">
        <f>IF('Incremental Repayments'!$R$22="Debt",IF(AND(AG$4&gt;=$D117,AG$4&lt;$D117+'Incremental Repayments'!$I$31),-PMT('Interest Rate'!$J$16,'Incremental Repayments'!$I$31,(HLOOKUP($D117,$E$4:$CZ$32,28,FALSE)*'Incremental Repayments'!$I$22)),0),0)</f>
        <v>0</v>
      </c>
      <c r="AH117" s="783">
        <f>IF('Incremental Repayments'!$R$22="Debt",IF(AND(AH$4&gt;=$D117,AH$4&lt;$D117+'Incremental Repayments'!$I$31),-PMT('Interest Rate'!$J$16,'Incremental Repayments'!$I$31,(HLOOKUP($D117,$E$4:$CZ$32,28,FALSE)*'Incremental Repayments'!$I$22)),0),0)</f>
        <v>0</v>
      </c>
      <c r="AI117" s="783">
        <f>IF('Incremental Repayments'!$R$22="Debt",IF(AND(AI$4&gt;=$D117,AI$4&lt;$D117+'Incremental Repayments'!$I$31),-PMT('Interest Rate'!$J$16,'Incremental Repayments'!$I$31,(HLOOKUP($D117,$E$4:$CZ$32,28,FALSE)*'Incremental Repayments'!$I$22)),0),0)</f>
        <v>0</v>
      </c>
      <c r="AJ117" s="783">
        <f>IF('Incremental Repayments'!$R$22="Debt",IF(AND(AJ$4&gt;=$D117,AJ$4&lt;$D117+'Incremental Repayments'!$I$31),-PMT('Interest Rate'!$J$16,'Incremental Repayments'!$I$31,(HLOOKUP($D117,$E$4:$CZ$32,28,FALSE)*'Incremental Repayments'!$I$22)),0),0)</f>
        <v>0</v>
      </c>
      <c r="AK117" s="783">
        <f>IF('Incremental Repayments'!$R$22="Debt",IF(AND(AK$4&gt;=$D117,AK$4&lt;$D117+'Incremental Repayments'!$I$31),-PMT('Interest Rate'!$J$16,'Incremental Repayments'!$I$31,(HLOOKUP($D117,$E$4:$CZ$32,28,FALSE)*'Incremental Repayments'!$I$22)),0),0)</f>
        <v>0</v>
      </c>
      <c r="AL117" s="783">
        <f>IF('Incremental Repayments'!$R$22="Debt",IF(AND(AL$4&gt;=$D117,AL$4&lt;$D117+'Incremental Repayments'!$I$31),-PMT('Interest Rate'!$J$16,'Incremental Repayments'!$I$31,(HLOOKUP($D117,$E$4:$CZ$32,28,FALSE)*'Incremental Repayments'!$I$22)),0),0)</f>
        <v>0</v>
      </c>
      <c r="AM117" s="783">
        <f>IF('Incremental Repayments'!$R$22="Debt",IF(AND(AM$4&gt;=$D117,AM$4&lt;$D117+'Incremental Repayments'!$I$31),-PMT('Interest Rate'!$J$16,'Incremental Repayments'!$I$31,(HLOOKUP($D117,$E$4:$CZ$32,28,FALSE)*'Incremental Repayments'!$I$22)),0),0)</f>
        <v>0</v>
      </c>
      <c r="AN117" s="783">
        <f>IF('Incremental Repayments'!$R$22="Debt",IF(AND(AN$4&gt;=$D117,AN$4&lt;$D117+'Incremental Repayments'!$I$31),-PMT('Interest Rate'!$J$16,'Incremental Repayments'!$I$31,(HLOOKUP($D117,$E$4:$CZ$32,28,FALSE)*'Incremental Repayments'!$I$22)),0),0)</f>
        <v>0</v>
      </c>
      <c r="AO117" s="783">
        <f>IF('Incremental Repayments'!$R$22="Debt",IF(AND(AO$4&gt;=$D117,AO$4&lt;$D117+'Incremental Repayments'!$I$31),-PMT('Interest Rate'!$J$16,'Incremental Repayments'!$I$31,(HLOOKUP($D117,$E$4:$CZ$32,28,FALSE)*'Incremental Repayments'!$I$22)),0),0)</f>
        <v>0</v>
      </c>
      <c r="AP117" s="783">
        <f>IF('Incremental Repayments'!$R$22="Debt",IF(AND(AP$4&gt;=$D117,AP$4&lt;$D117+'Incremental Repayments'!$I$31),-PMT('Interest Rate'!$J$16,'Incremental Repayments'!$I$31,(HLOOKUP($D117,$E$4:$CZ$32,28,FALSE)*'Incremental Repayments'!$I$22)),0),0)</f>
        <v>0</v>
      </c>
      <c r="AQ117" s="783">
        <f>IF('Incremental Repayments'!$R$22="Debt",IF(AND(AQ$4&gt;=$D117,AQ$4&lt;$D117+'Incremental Repayments'!$I$31),-PMT('Interest Rate'!$J$16,'Incremental Repayments'!$I$31,(HLOOKUP($D117,$E$4:$CZ$32,28,FALSE)*'Incremental Repayments'!$I$22)),0),0)</f>
        <v>0</v>
      </c>
      <c r="AR117" s="783">
        <f>IF('Incremental Repayments'!$R$22="Debt",IF(AND(AR$4&gt;=$D117,AR$4&lt;$D117+'Incremental Repayments'!$I$31),-PMT('Interest Rate'!$J$16,'Incremental Repayments'!$I$31,(HLOOKUP($D117,$E$4:$CZ$32,28,FALSE)*'Incremental Repayments'!$I$22)),0),0)</f>
        <v>0</v>
      </c>
      <c r="AS117" s="783">
        <f>IF('Incremental Repayments'!$R$22="Debt",IF(AND(AS$4&gt;=$D117,AS$4&lt;$D117+'Incremental Repayments'!$I$31),-PMT('Interest Rate'!$J$16,'Incremental Repayments'!$I$31,(HLOOKUP($D117,$E$4:$CZ$32,28,FALSE)*'Incremental Repayments'!$I$22)),0),0)</f>
        <v>0</v>
      </c>
      <c r="AT117" s="783">
        <f>IF('Incremental Repayments'!$R$22="Debt",IF(AND(AT$4&gt;=$D117,AT$4&lt;$D117+'Incremental Repayments'!$I$31),-PMT('Interest Rate'!$J$16,'Incremental Repayments'!$I$31,(HLOOKUP($D117,$E$4:$CZ$32,28,FALSE)*'Incremental Repayments'!$I$22)),0),0)</f>
        <v>0</v>
      </c>
      <c r="AU117" s="783">
        <f>IF('Incremental Repayments'!$R$22="Debt",IF(AND(AU$4&gt;=$D117,AU$4&lt;$D117+'Incremental Repayments'!$I$31),-PMT('Interest Rate'!$J$16,'Incremental Repayments'!$I$31,(HLOOKUP($D117,$E$4:$CZ$32,28,FALSE)*'Incremental Repayments'!$I$22)),0),0)</f>
        <v>0</v>
      </c>
      <c r="AV117" s="783">
        <f>IF('Incremental Repayments'!$R$22="Debt",IF(AND(AV$4&gt;=$D117,AV$4&lt;$D117+'Incremental Repayments'!$I$31),-PMT('Interest Rate'!$J$16,'Incremental Repayments'!$I$31,(HLOOKUP($D117,$E$4:$CZ$32,28,FALSE)*'Incremental Repayments'!$I$22)),0),0)</f>
        <v>0</v>
      </c>
      <c r="AW117" s="783">
        <f>IF('Incremental Repayments'!$R$22="Debt",IF(AND(AW$4&gt;=$D117,AW$4&lt;$D117+'Incremental Repayments'!$I$31),-PMT('Interest Rate'!$J$16,'Incremental Repayments'!$I$31,(HLOOKUP($D117,$E$4:$CZ$32,28,FALSE)*'Incremental Repayments'!$I$22)),0),0)</f>
        <v>0</v>
      </c>
      <c r="AX117" s="783">
        <f>IF('Incremental Repayments'!$R$22="Debt",IF(AND(AX$4&gt;=$D117,AX$4&lt;$D117+'Incremental Repayments'!$I$31),-PMT('Interest Rate'!$J$16,'Incremental Repayments'!$I$31,(HLOOKUP($D117,$E$4:$CZ$32,28,FALSE)*'Incremental Repayments'!$I$22)),0),0)</f>
        <v>0</v>
      </c>
      <c r="AY117" s="783">
        <f>IF('Incremental Repayments'!$R$22="Debt",IF(AND(AY$4&gt;=$D117,AY$4&lt;$D117+'Incremental Repayments'!$I$31),-PMT('Interest Rate'!$J$16,'Incremental Repayments'!$I$31,(HLOOKUP($D117,$E$4:$CZ$32,28,FALSE)*'Incremental Repayments'!$I$22)),0),0)</f>
        <v>0</v>
      </c>
      <c r="AZ117" s="783">
        <f>IF('Incremental Repayments'!$R$22="Debt",IF(AND(AZ$4&gt;=$D117,AZ$4&lt;$D117+'Incremental Repayments'!$I$31),-PMT('Interest Rate'!$J$16,'Incremental Repayments'!$I$31,(HLOOKUP($D117,$E$4:$CZ$32,28,FALSE)*'Incremental Repayments'!$I$22)),0),0)</f>
        <v>0</v>
      </c>
      <c r="BA117" s="783">
        <f>IF('Incremental Repayments'!$R$22="Debt",IF(AND(BA$4&gt;=$D117,BA$4&lt;$D117+'Incremental Repayments'!$I$31),-PMT('Interest Rate'!$J$16,'Incremental Repayments'!$I$31,(HLOOKUP($D117,$E$4:$CZ$32,28,FALSE)*'Incremental Repayments'!$I$22)),0),0)</f>
        <v>0</v>
      </c>
      <c r="BB117" s="783">
        <f>IF('Incremental Repayments'!$R$22="Debt",IF(AND(BB$4&gt;=$D117,BB$4&lt;$D117+'Incremental Repayments'!$I$31),-PMT('Interest Rate'!$J$16,'Incremental Repayments'!$I$31,(HLOOKUP($D117,$E$4:$CZ$32,28,FALSE)*'Incremental Repayments'!$I$22)),0),0)</f>
        <v>0</v>
      </c>
      <c r="BC117" s="783">
        <f>IF('Incremental Repayments'!$R$22="Debt",IF(AND(BC$4&gt;=$D117,BC$4&lt;$D117+'Incremental Repayments'!$I$31),-PMT('Interest Rate'!$J$16,'Incremental Repayments'!$I$31,(HLOOKUP($D117,$E$4:$CZ$32,28,FALSE)*'Incremental Repayments'!$I$22)),0),0)</f>
        <v>0</v>
      </c>
      <c r="BD117" s="783">
        <f>IF('Incremental Repayments'!$R$22="Debt",IF(AND(BD$4&gt;=$D117,BD$4&lt;$D117+'Incremental Repayments'!$I$31),-PMT('Interest Rate'!$J$16,'Incremental Repayments'!$I$31,(HLOOKUP($D117,$E$4:$CZ$32,28,FALSE)*'Incremental Repayments'!$I$22)),0),0)</f>
        <v>0</v>
      </c>
      <c r="BE117" s="783">
        <f>IF('Incremental Repayments'!$R$22="Debt",IF(AND(BE$4&gt;=$D117,BE$4&lt;$D117+'Incremental Repayments'!$I$31),-PMT('Interest Rate'!$J$16,'Incremental Repayments'!$I$31,(HLOOKUP($D117,$E$4:$CZ$32,28,FALSE)*'Incremental Repayments'!$I$22)),0),0)</f>
        <v>0</v>
      </c>
      <c r="BF117" s="783">
        <f>IF('Incremental Repayments'!$R$22="Debt",IF(AND(BF$4&gt;=$D117,BF$4&lt;$D117+'Incremental Repayments'!$I$31),-PMT('Interest Rate'!$J$16,'Incremental Repayments'!$I$31,(HLOOKUP($D117,$E$4:$CZ$32,28,FALSE)*'Incremental Repayments'!$I$22)),0),0)</f>
        <v>0</v>
      </c>
      <c r="BG117" s="783">
        <f>IF('Incremental Repayments'!$R$22="Debt",IF(AND(BG$4&gt;=$D117,BG$4&lt;$D117+'Incremental Repayments'!$I$31),-PMT('Interest Rate'!$J$16,'Incremental Repayments'!$I$31,(HLOOKUP($D117,$E$4:$CZ$32,28,FALSE)*'Incremental Repayments'!$I$22)),0),0)</f>
        <v>0</v>
      </c>
      <c r="BH117" s="783">
        <f>IF('Incremental Repayments'!$R$22="Debt",IF(AND(BH$4&gt;=$D117,BH$4&lt;$D117+'Incremental Repayments'!$I$31),-PMT('Interest Rate'!$J$16,'Incremental Repayments'!$I$31,(HLOOKUP($D117,$E$4:$CZ$32,28,FALSE)*'Incremental Repayments'!$I$22)),0),0)</f>
        <v>0</v>
      </c>
      <c r="BI117" s="783">
        <f>IF('Incremental Repayments'!$R$22="Debt",IF(AND(BI$4&gt;=$D117,BI$4&lt;$D117+'Incremental Repayments'!$I$31),-PMT('Interest Rate'!$J$16,'Incremental Repayments'!$I$31,(HLOOKUP($D117,$E$4:$CZ$32,28,FALSE)*'Incremental Repayments'!$I$22)),0),0)</f>
        <v>0</v>
      </c>
      <c r="BJ117" s="783">
        <f>IF('Incremental Repayments'!$R$22="Debt",IF(AND(BJ$4&gt;=$D117,BJ$4&lt;$D117+'Incremental Repayments'!$I$31),-PMT('Interest Rate'!$J$16,'Incremental Repayments'!$I$31,(HLOOKUP($D117,$E$4:$CZ$32,28,FALSE)*'Incremental Repayments'!$I$22)),0),0)</f>
        <v>0</v>
      </c>
      <c r="BK117" s="783">
        <f>IF('Incremental Repayments'!$R$22="Debt",IF(AND(BK$4&gt;=$D117,BK$4&lt;$D117+'Incremental Repayments'!$I$31),-PMT('Interest Rate'!$J$16,'Incremental Repayments'!$I$31,(HLOOKUP($D117,$E$4:$CZ$32,28,FALSE)*'Incremental Repayments'!$I$22)),0),0)</f>
        <v>0</v>
      </c>
      <c r="BL117" s="783">
        <f>IF('Incremental Repayments'!$R$22="Debt",IF(AND(BL$4&gt;=$D117,BL$4&lt;$D117+'Incremental Repayments'!$I$31),-PMT('Interest Rate'!$J$16,'Incremental Repayments'!$I$31,(HLOOKUP($D117,$E$4:$CZ$32,28,FALSE)*'Incremental Repayments'!$I$22)),0),0)</f>
        <v>0</v>
      </c>
      <c r="BM117" s="783">
        <f>IF('Incremental Repayments'!$R$22="Debt",IF(AND(BM$4&gt;=$D117,BM$4&lt;$D117+'Incremental Repayments'!$I$31),-PMT('Interest Rate'!$J$16,'Incremental Repayments'!$I$31,(HLOOKUP($D117,$E$4:$CZ$32,28,FALSE)*'Incremental Repayments'!$I$22)),0),0)</f>
        <v>0</v>
      </c>
      <c r="BN117" s="783">
        <f>IF('Incremental Repayments'!$R$22="Debt",IF(AND(BN$4&gt;=$D117,BN$4&lt;$D117+'Incremental Repayments'!$I$31),-PMT('Interest Rate'!$J$16,'Incremental Repayments'!$I$31,(HLOOKUP($D117,$E$4:$CZ$32,28,FALSE)*'Incremental Repayments'!$I$22)),0),0)</f>
        <v>0</v>
      </c>
      <c r="BO117" s="783">
        <f>IF('Incremental Repayments'!$R$22="Debt",IF(AND(BO$4&gt;=$D117,BO$4&lt;$D117+'Incremental Repayments'!$I$31),-PMT('Interest Rate'!$J$16,'Incremental Repayments'!$I$31,(HLOOKUP($D117,$E$4:$CZ$32,28,FALSE)*'Incremental Repayments'!$I$22)),0),0)</f>
        <v>0</v>
      </c>
      <c r="BP117" s="783">
        <f>IF('Incremental Repayments'!$R$22="Debt",IF(AND(BP$4&gt;=$D117,BP$4&lt;$D117+'Incremental Repayments'!$I$31),-PMT('Interest Rate'!$J$16,'Incremental Repayments'!$I$31,(HLOOKUP($D117,$E$4:$CZ$32,28,FALSE)*'Incremental Repayments'!$I$22)),0),0)</f>
        <v>0</v>
      </c>
      <c r="BQ117" s="783">
        <f>IF('Incremental Repayments'!$R$22="Debt",IF(AND(BQ$4&gt;=$D117,BQ$4&lt;$D117+'Incremental Repayments'!$I$31),-PMT('Interest Rate'!$J$16,'Incremental Repayments'!$I$31,(HLOOKUP($D117,$E$4:$CZ$32,28,FALSE)*'Incremental Repayments'!$I$22)),0),0)</f>
        <v>0</v>
      </c>
      <c r="BR117" s="783">
        <f>IF('Incremental Repayments'!$R$22="Debt",IF(AND(BR$4&gt;=$D117,BR$4&lt;$D117+'Incremental Repayments'!$I$31),-PMT('Interest Rate'!$J$16,'Incremental Repayments'!$I$31,(HLOOKUP($D117,$E$4:$CZ$32,28,FALSE)*'Incremental Repayments'!$I$22)),0),0)</f>
        <v>0</v>
      </c>
      <c r="BS117" s="783">
        <f>IF('Incremental Repayments'!$R$22="Debt",IF(AND(BS$4&gt;=$D117,BS$4&lt;$D117+'Incremental Repayments'!$I$31),-PMT('Interest Rate'!$J$16,'Incremental Repayments'!$I$31,(HLOOKUP($D117,$E$4:$CZ$32,28,FALSE)*'Incremental Repayments'!$I$22)),0),0)</f>
        <v>0</v>
      </c>
      <c r="BT117" s="783">
        <f>IF('Incremental Repayments'!$R$22="Debt",IF(AND(BT$4&gt;=$D117,BT$4&lt;$D117+'Incremental Repayments'!$I$31),-PMT('Interest Rate'!$J$16,'Incremental Repayments'!$I$31,(HLOOKUP($D117,$E$4:$CZ$32,28,FALSE)*'Incremental Repayments'!$I$22)),0),0)</f>
        <v>0</v>
      </c>
      <c r="BU117" s="783">
        <f>IF('Incremental Repayments'!$R$22="Debt",IF(AND(BU$4&gt;=$D117,BU$4&lt;$D117+'Incremental Repayments'!$I$31),-PMT('Interest Rate'!$J$16,'Incremental Repayments'!$I$31,(HLOOKUP($D117,$E$4:$CZ$32,28,FALSE)*'Incremental Repayments'!$I$22)),0),0)</f>
        <v>0</v>
      </c>
      <c r="BV117" s="783">
        <f>IF('Incremental Repayments'!$R$22="Debt",IF(AND(BV$4&gt;=$D117,BV$4&lt;$D117+'Incremental Repayments'!$I$31),-PMT('Interest Rate'!$J$16,'Incremental Repayments'!$I$31,(HLOOKUP($D117,$E$4:$CZ$32,28,FALSE)*'Incremental Repayments'!$I$22)),0),0)</f>
        <v>0</v>
      </c>
      <c r="BW117" s="783">
        <f>IF('Incremental Repayments'!$R$22="Debt",IF(AND(BW$4&gt;=$D117,BW$4&lt;$D117+'Incremental Repayments'!$I$31),-PMT('Interest Rate'!$J$16,'Incremental Repayments'!$I$31,(HLOOKUP($D117,$E$4:$CZ$32,28,FALSE)*'Incremental Repayments'!$I$22)),0),0)</f>
        <v>0</v>
      </c>
      <c r="BX117" s="783">
        <f>IF('Incremental Repayments'!$R$22="Debt",IF(AND(BX$4&gt;=$D117,BX$4&lt;$D117+'Incremental Repayments'!$I$31),-PMT('Interest Rate'!$J$16,'Incremental Repayments'!$I$31,(HLOOKUP($D117,$E$4:$CZ$32,28,FALSE)*'Incremental Repayments'!$I$22)),0),0)</f>
        <v>0</v>
      </c>
      <c r="BY117" s="783">
        <f>IF('Incremental Repayments'!$R$22="Debt",IF(AND(BY$4&gt;=$D117,BY$4&lt;$D117+'Incremental Repayments'!$I$31),-PMT('Interest Rate'!$J$16,'Incremental Repayments'!$I$31,(HLOOKUP($D117,$E$4:$CZ$32,28,FALSE)*'Incremental Repayments'!$I$22)),0),0)</f>
        <v>0</v>
      </c>
      <c r="BZ117" s="783">
        <f>IF('Incremental Repayments'!$R$22="Debt",IF(AND(BZ$4&gt;=$D117,BZ$4&lt;$D117+'Incremental Repayments'!$I$31),-PMT('Interest Rate'!$J$16,'Incremental Repayments'!$I$31,(HLOOKUP($D117,$E$4:$CZ$32,28,FALSE)*'Incremental Repayments'!$I$22)),0),0)</f>
        <v>0</v>
      </c>
      <c r="CA117" s="783">
        <f>IF('Incremental Repayments'!$R$22="Debt",IF(AND(CA$4&gt;=$D117,CA$4&lt;$D117+'Incremental Repayments'!$I$31),-PMT('Interest Rate'!$J$16,'Incremental Repayments'!$I$31,(HLOOKUP($D117,$E$4:$CZ$32,28,FALSE)*'Incremental Repayments'!$I$22)),0),0)</f>
        <v>0</v>
      </c>
      <c r="CB117" s="783">
        <f>IF('Incremental Repayments'!$R$22="Debt",IF(AND(CB$4&gt;=$D117,CB$4&lt;$D117+'Incremental Repayments'!$I$31),-PMT('Interest Rate'!$J$16,'Incremental Repayments'!$I$31,(HLOOKUP($D117,$E$4:$CZ$32,28,FALSE)*'Incremental Repayments'!$I$22)),0),0)</f>
        <v>0</v>
      </c>
      <c r="CC117" s="783">
        <f>IF('Incremental Repayments'!$R$22="Debt",IF(AND(CC$4&gt;=$D117,CC$4&lt;$D117+'Incremental Repayments'!$I$31),-PMT('Interest Rate'!$J$16,'Incremental Repayments'!$I$31,(HLOOKUP($D117,$E$4:$CZ$32,28,FALSE)*'Incremental Repayments'!$I$22)),0),0)</f>
        <v>0</v>
      </c>
      <c r="CD117" s="783">
        <f>IF('Incremental Repayments'!$R$22="Debt",IF(AND(CD$4&gt;=$D117,CD$4&lt;$D117+'Incremental Repayments'!$I$31),-PMT('Interest Rate'!$J$16,'Incremental Repayments'!$I$31,(HLOOKUP($D117,$E$4:$CZ$32,28,FALSE)*'Incremental Repayments'!$I$22)),0),0)</f>
        <v>0</v>
      </c>
      <c r="CE117" s="783">
        <f>IF('Incremental Repayments'!$R$22="Debt",IF(AND(CE$4&gt;=$D117,CE$4&lt;$D117+'Incremental Repayments'!$I$31),-PMT('Interest Rate'!$J$16,'Incremental Repayments'!$I$31,(HLOOKUP($D117,$E$4:$CZ$32,28,FALSE)*'Incremental Repayments'!$I$22)),0),0)</f>
        <v>0</v>
      </c>
      <c r="CF117" s="783">
        <f>IF('Incremental Repayments'!$R$22="Debt",IF(AND(CF$4&gt;=$D117,CF$4&lt;$D117+'Incremental Repayments'!$I$31),-PMT('Interest Rate'!$J$16,'Incremental Repayments'!$I$31,(HLOOKUP($D117,$E$4:$CZ$32,28,FALSE)*'Incremental Repayments'!$I$22)),0),0)</f>
        <v>0</v>
      </c>
      <c r="CG117" s="783">
        <f>IF('Incremental Repayments'!$R$22="Debt",IF(AND(CG$4&gt;=$D117,CG$4&lt;$D117+'Incremental Repayments'!$I$31),-PMT('Interest Rate'!$J$16,'Incremental Repayments'!$I$31,(HLOOKUP($D117,$E$4:$CZ$32,28,FALSE)*'Incremental Repayments'!$I$22)),0),0)</f>
        <v>0</v>
      </c>
      <c r="CH117" s="783">
        <f>IF('Incremental Repayments'!$R$22="Debt",IF(AND(CH$4&gt;=$D117,CH$4&lt;$D117+'Incremental Repayments'!$I$31),-PMT('Interest Rate'!$J$16,'Incremental Repayments'!$I$31,(HLOOKUP($D117,$E$4:$CZ$32,28,FALSE)*'Incremental Repayments'!$I$22)),0),0)</f>
        <v>0</v>
      </c>
      <c r="CI117" s="783">
        <f>IF('Incremental Repayments'!$R$22="Debt",IF(AND(CI$4&gt;=$D117,CI$4&lt;$D117+'Incremental Repayments'!$I$31),-PMT('Interest Rate'!$J$16,'Incremental Repayments'!$I$31,(HLOOKUP($D117,$E$4:$CZ$32,28,FALSE)*'Incremental Repayments'!$I$22)),0),0)</f>
        <v>0</v>
      </c>
      <c r="CJ117" s="783">
        <f>IF('Incremental Repayments'!$R$22="Debt",IF(AND(CJ$4&gt;=$D117,CJ$4&lt;$D117+'Incremental Repayments'!$I$31),-PMT('Interest Rate'!$J$16,'Incremental Repayments'!$I$31,(HLOOKUP($D117,$E$4:$CZ$32,28,FALSE)*'Incremental Repayments'!$I$22)),0),0)</f>
        <v>0</v>
      </c>
      <c r="CK117" s="783">
        <f>IF('Incremental Repayments'!$R$22="Debt",IF(AND(CK$4&gt;=$D117,CK$4&lt;$D117+'Incremental Repayments'!$I$31),-PMT('Interest Rate'!$J$16,'Incremental Repayments'!$I$31,(HLOOKUP($D117,$E$4:$CZ$32,28,FALSE)*'Incremental Repayments'!$I$22)),0),0)</f>
        <v>0</v>
      </c>
      <c r="CL117" s="783">
        <f>IF('Incremental Repayments'!$R$22="Debt",IF(AND(CL$4&gt;=$D117,CL$4&lt;$D117+'Incremental Repayments'!$I$31),-PMT('Interest Rate'!$J$16,'Incremental Repayments'!$I$31,(HLOOKUP($D117,$E$4:$CZ$32,28,FALSE)*'Incremental Repayments'!$I$22)),0),0)</f>
        <v>0</v>
      </c>
      <c r="CM117" s="783">
        <f>IF('Incremental Repayments'!$R$22="Debt",IF(AND(CM$4&gt;=$D117,CM$4&lt;$D117+'Incremental Repayments'!$I$31),-PMT('Interest Rate'!$J$16,'Incremental Repayments'!$I$31,(HLOOKUP($D117,$E$4:$CZ$32,28,FALSE)*'Incremental Repayments'!$I$22)),0),0)</f>
        <v>0</v>
      </c>
      <c r="CN117" s="783">
        <f>IF('Incremental Repayments'!$R$22="Debt",IF(AND(CN$4&gt;=$D117,CN$4&lt;$D117+'Incremental Repayments'!$I$31),-PMT('Interest Rate'!$J$16,'Incremental Repayments'!$I$31,(HLOOKUP($D117,$E$4:$CZ$32,28,FALSE)*'Incremental Repayments'!$I$22)),0),0)</f>
        <v>0</v>
      </c>
      <c r="CO117" s="783">
        <f>IF('Incremental Repayments'!$R$22="Debt",IF(AND(CO$4&gt;=$D117,CO$4&lt;$D117+'Incremental Repayments'!$I$31),-PMT('Interest Rate'!$J$16,'Incremental Repayments'!$I$31,(HLOOKUP($D117,$E$4:$CZ$32,28,FALSE)*'Incremental Repayments'!$I$22)),0),0)</f>
        <v>0</v>
      </c>
      <c r="CP117" s="783">
        <f>IF('Incremental Repayments'!$R$22="Debt",IF(AND(CP$4&gt;=$D117,CP$4&lt;$D117+'Incremental Repayments'!$I$31),-PMT('Interest Rate'!$J$16,'Incremental Repayments'!$I$31,(HLOOKUP($D117,$E$4:$CZ$32,28,FALSE)*'Incremental Repayments'!$I$22)),0),0)</f>
        <v>0</v>
      </c>
      <c r="CQ117" s="783">
        <f>IF('Incremental Repayments'!$R$22="Debt",IF(AND(CQ$4&gt;=$D117,CQ$4&lt;$D117+'Incremental Repayments'!$I$31),-PMT('Interest Rate'!$J$16,'Incremental Repayments'!$I$31,(HLOOKUP($D117,$E$4:$CZ$32,28,FALSE)*'Incremental Repayments'!$I$22)),0),0)</f>
        <v>0</v>
      </c>
      <c r="CR117" s="783">
        <f>IF('Incremental Repayments'!$R$22="Debt",IF(AND(CR$4&gt;=$D117,CR$4&lt;$D117+'Incremental Repayments'!$I$31),-PMT('Interest Rate'!$J$16,'Incremental Repayments'!$I$31,(HLOOKUP($D117,$E$4:$CZ$32,28,FALSE)*'Incremental Repayments'!$I$22)),0),0)</f>
        <v>0</v>
      </c>
      <c r="CS117" s="783">
        <f>IF('Incremental Repayments'!$R$22="Debt",IF(AND(CS$4&gt;=$D117,CS$4&lt;$D117+'Incremental Repayments'!$I$31),-PMT('Interest Rate'!$J$16,'Incremental Repayments'!$I$31,(HLOOKUP($D117,$E$4:$CZ$32,28,FALSE)*'Incremental Repayments'!$I$22)),0),0)</f>
        <v>0</v>
      </c>
      <c r="CT117" s="783">
        <f>IF('Incremental Repayments'!$R$22="Debt",IF(AND(CT$4&gt;=$D117,CT$4&lt;$D117+'Incremental Repayments'!$I$31),-PMT('Interest Rate'!$J$16,'Incremental Repayments'!$I$31,(HLOOKUP($D117,$E$4:$CZ$32,28,FALSE)*'Incremental Repayments'!$I$22)),0),0)</f>
        <v>0</v>
      </c>
      <c r="CU117" s="783">
        <f>IF('Incremental Repayments'!$R$22="Debt",IF(AND(CU$4&gt;=$D117,CU$4&lt;$D117+'Incremental Repayments'!$I$31),-PMT('Interest Rate'!$J$16,'Incremental Repayments'!$I$31,(HLOOKUP($D117,$E$4:$CZ$32,28,FALSE)*'Incremental Repayments'!$I$22)),0),0)</f>
        <v>0</v>
      </c>
      <c r="CV117" s="783">
        <f>IF('Incremental Repayments'!$R$22="Debt",IF(AND(CV$4&gt;=$D117,CV$4&lt;$D117+'Incremental Repayments'!$I$31),-PMT('Interest Rate'!$J$16,'Incremental Repayments'!$I$31,(HLOOKUP($D117,$E$4:$CZ$32,28,FALSE)*'Incremental Repayments'!$I$22)),0),0)</f>
        <v>0</v>
      </c>
      <c r="CW117" s="783">
        <f>IF('Incremental Repayments'!$R$22="Debt",IF(AND(CW$4&gt;=$D117,CW$4&lt;$D117+'Incremental Repayments'!$I$31),-PMT('Interest Rate'!$J$16,'Incremental Repayments'!$I$31,(HLOOKUP($D117,$E$4:$CZ$32,28,FALSE)*'Incremental Repayments'!$I$22)),0),0)</f>
        <v>0</v>
      </c>
      <c r="CX117" s="783">
        <f>IF('Incremental Repayments'!$R$22="Debt",IF(AND(CX$4&gt;=$D117,CX$4&lt;$D117+'Incremental Repayments'!$I$31),-PMT('Interest Rate'!$J$16,'Incremental Repayments'!$I$31,(HLOOKUP($D117,$E$4:$CZ$32,28,FALSE)*'Incremental Repayments'!$I$22)),0),0)</f>
        <v>0</v>
      </c>
      <c r="CY117" s="783">
        <f>IF('Incremental Repayments'!$R$22="Debt",IF(AND(CY$4&gt;=$D117,CY$4&lt;$D117+'Incremental Repayments'!$I$31),-PMT('Interest Rate'!$J$16,'Incremental Repayments'!$I$31,(HLOOKUP($D117,$E$4:$CZ$32,28,FALSE)*'Incremental Repayments'!$I$22)),0),0)</f>
        <v>0</v>
      </c>
      <c r="CZ117" s="783">
        <f>IF('Incremental Repayments'!$R$22="Debt",IF(AND(CZ$4&gt;=$D117,CZ$4&lt;$D117+'Incremental Repayments'!$I$31),-PMT('Interest Rate'!$J$16,'Incremental Repayments'!$I$31,(HLOOKUP($D117,$E$4:$CZ$32,28,FALSE)*'Incremental Repayments'!$I$22)),0),0)</f>
        <v>0</v>
      </c>
    </row>
    <row r="118" spans="1:104" x14ac:dyDescent="0.25">
      <c r="B118" s="480" t="str">
        <f>CONCATENATE("Series ",D118,"A Bonds (at ",'Interest Rate'!$J$16*100,"% Interest)")</f>
        <v>Series 2096A Bonds (at 4.5% Interest)</v>
      </c>
      <c r="C118" s="480"/>
      <c r="D118" s="492">
        <f t="shared" si="47"/>
        <v>2096</v>
      </c>
      <c r="E118" s="783">
        <f>IF('Incremental Repayments'!$R$22="Debt",IF(AND(E$4&gt;=$D118,E$4&lt;$D118+'Incremental Repayments'!$I$31),-PMT('Interest Rate'!$J$16,'Incremental Repayments'!$I$31,(HLOOKUP($D118,$E$4:$CZ$32,28,FALSE)*'Incremental Repayments'!$I$22)),0),0)</f>
        <v>0</v>
      </c>
      <c r="F118" s="783">
        <f>IF('Incremental Repayments'!$R$22="Debt",IF(AND(F$4&gt;=$D118,F$4&lt;$D118+'Incremental Repayments'!$I$31),-PMT('Interest Rate'!$J$16,'Incremental Repayments'!$I$31,(HLOOKUP($D118,$E$4:$CZ$32,28,FALSE)*'Incremental Repayments'!$I$22)),0),0)</f>
        <v>0</v>
      </c>
      <c r="G118" s="783">
        <f>IF('Incremental Repayments'!$R$22="Debt",IF(AND(G$4&gt;=$D118,G$4&lt;$D118+'Incremental Repayments'!$I$31),-PMT('Interest Rate'!$J$16,'Incremental Repayments'!$I$31,(HLOOKUP($D118,$E$4:$CZ$32,28,FALSE)*'Incremental Repayments'!$I$22)),0),0)</f>
        <v>0</v>
      </c>
      <c r="H118" s="783">
        <f>IF('Incremental Repayments'!$R$22="Debt",IF(AND(H$4&gt;=$D118,H$4&lt;$D118+'Incremental Repayments'!$I$31),-PMT('Interest Rate'!$J$16,'Incremental Repayments'!$I$31,(HLOOKUP($D118,$E$4:$CZ$32,28,FALSE)*'Incremental Repayments'!$I$22)),0),0)</f>
        <v>0</v>
      </c>
      <c r="I118" s="783">
        <f>IF('Incremental Repayments'!$R$22="Debt",IF(AND(I$4&gt;=$D118,I$4&lt;$D118+'Incremental Repayments'!$I$31),-PMT('Interest Rate'!$J$16,'Incremental Repayments'!$I$31,(HLOOKUP($D118,$E$4:$CZ$32,28,FALSE)*'Incremental Repayments'!$I$22)),0),0)</f>
        <v>0</v>
      </c>
      <c r="J118" s="783">
        <f>IF('Incremental Repayments'!$R$22="Debt",IF(AND(J$4&gt;=$D118,J$4&lt;$D118+'Incremental Repayments'!$I$31),-PMT('Interest Rate'!$J$16,'Incremental Repayments'!$I$31,(HLOOKUP($D118,$E$4:$CZ$32,28,FALSE)*'Incremental Repayments'!$I$22)),0),0)</f>
        <v>0</v>
      </c>
      <c r="K118" s="783">
        <f>IF('Incremental Repayments'!$R$22="Debt",IF(AND(K$4&gt;=$D118,K$4&lt;$D118+'Incremental Repayments'!$I$31),-PMT('Interest Rate'!$J$16,'Incremental Repayments'!$I$31,(HLOOKUP($D118,$E$4:$CZ$32,28,FALSE)*'Incremental Repayments'!$I$22)),0),0)</f>
        <v>0</v>
      </c>
      <c r="L118" s="783">
        <f>IF('Incremental Repayments'!$R$22="Debt",IF(AND(L$4&gt;=$D118,L$4&lt;$D118+'Incremental Repayments'!$I$31),-PMT('Interest Rate'!$J$16,'Incremental Repayments'!$I$31,(HLOOKUP($D118,$E$4:$CZ$32,28,FALSE)*'Incremental Repayments'!$I$22)),0),0)</f>
        <v>0</v>
      </c>
      <c r="M118" s="783">
        <f>IF('Incremental Repayments'!$R$22="Debt",IF(AND(M$4&gt;=$D118,M$4&lt;$D118+'Incremental Repayments'!$I$31),-PMT('Interest Rate'!$J$16,'Incremental Repayments'!$I$31,(HLOOKUP($D118,$E$4:$CZ$32,28,FALSE)*'Incremental Repayments'!$I$22)),0),0)</f>
        <v>0</v>
      </c>
      <c r="N118" s="783">
        <f>IF('Incremental Repayments'!$R$22="Debt",IF(AND(N$4&gt;=$D118,N$4&lt;$D118+'Incremental Repayments'!$I$31),-PMT('Interest Rate'!$J$16,'Incremental Repayments'!$I$31,(HLOOKUP($D118,$E$4:$CZ$32,28,FALSE)*'Incremental Repayments'!$I$22)),0),0)</f>
        <v>0</v>
      </c>
      <c r="O118" s="783">
        <f>IF('Incremental Repayments'!$R$22="Debt",IF(AND(O$4&gt;=$D118,O$4&lt;$D118+'Incremental Repayments'!$I$31),-PMT('Interest Rate'!$J$16,'Incremental Repayments'!$I$31,(HLOOKUP($D118,$E$4:$CZ$32,28,FALSE)*'Incremental Repayments'!$I$22)),0),0)</f>
        <v>0</v>
      </c>
      <c r="P118" s="783">
        <f>IF('Incremental Repayments'!$R$22="Debt",IF(AND(P$4&gt;=$D118,P$4&lt;$D118+'Incremental Repayments'!$I$31),-PMT('Interest Rate'!$J$16,'Incremental Repayments'!$I$31,(HLOOKUP($D118,$E$4:$CZ$32,28,FALSE)*'Incremental Repayments'!$I$22)),0),0)</f>
        <v>0</v>
      </c>
      <c r="Q118" s="783">
        <f>IF('Incremental Repayments'!$R$22="Debt",IF(AND(Q$4&gt;=$D118,Q$4&lt;$D118+'Incremental Repayments'!$I$31),-PMT('Interest Rate'!$J$16,'Incremental Repayments'!$I$31,(HLOOKUP($D118,$E$4:$CZ$32,28,FALSE)*'Incremental Repayments'!$I$22)),0),0)</f>
        <v>0</v>
      </c>
      <c r="R118" s="783">
        <f>IF('Incremental Repayments'!$R$22="Debt",IF(AND(R$4&gt;=$D118,R$4&lt;$D118+'Incremental Repayments'!$I$31),-PMT('Interest Rate'!$J$16,'Incremental Repayments'!$I$31,(HLOOKUP($D118,$E$4:$CZ$32,28,FALSE)*'Incremental Repayments'!$I$22)),0),0)</f>
        <v>0</v>
      </c>
      <c r="S118" s="783">
        <f>IF('Incremental Repayments'!$R$22="Debt",IF(AND(S$4&gt;=$D118,S$4&lt;$D118+'Incremental Repayments'!$I$31),-PMT('Interest Rate'!$J$16,'Incremental Repayments'!$I$31,(HLOOKUP($D118,$E$4:$CZ$32,28,FALSE)*'Incremental Repayments'!$I$22)),0),0)</f>
        <v>0</v>
      </c>
      <c r="T118" s="783">
        <f>IF('Incremental Repayments'!$R$22="Debt",IF(AND(T$4&gt;=$D118,T$4&lt;$D118+'Incremental Repayments'!$I$31),-PMT('Interest Rate'!$J$16,'Incremental Repayments'!$I$31,(HLOOKUP($D118,$E$4:$CZ$32,28,FALSE)*'Incremental Repayments'!$I$22)),0),0)</f>
        <v>0</v>
      </c>
      <c r="U118" s="783">
        <f>IF('Incremental Repayments'!$R$22="Debt",IF(AND(U$4&gt;=$D118,U$4&lt;$D118+'Incremental Repayments'!$I$31),-PMT('Interest Rate'!$J$16,'Incremental Repayments'!$I$31,(HLOOKUP($D118,$E$4:$CZ$32,28,FALSE)*'Incremental Repayments'!$I$22)),0),0)</f>
        <v>0</v>
      </c>
      <c r="V118" s="783">
        <f>IF('Incremental Repayments'!$R$22="Debt",IF(AND(V$4&gt;=$D118,V$4&lt;$D118+'Incremental Repayments'!$I$31),-PMT('Interest Rate'!$J$16,'Incremental Repayments'!$I$31,(HLOOKUP($D118,$E$4:$CZ$32,28,FALSE)*'Incremental Repayments'!$I$22)),0),0)</f>
        <v>0</v>
      </c>
      <c r="W118" s="783">
        <f>IF('Incremental Repayments'!$R$22="Debt",IF(AND(W$4&gt;=$D118,W$4&lt;$D118+'Incremental Repayments'!$I$31),-PMT('Interest Rate'!$J$16,'Incremental Repayments'!$I$31,(HLOOKUP($D118,$E$4:$CZ$32,28,FALSE)*'Incremental Repayments'!$I$22)),0),0)</f>
        <v>0</v>
      </c>
      <c r="X118" s="783">
        <f>IF('Incremental Repayments'!$R$22="Debt",IF(AND(X$4&gt;=$D118,X$4&lt;$D118+'Incremental Repayments'!$I$31),-PMT('Interest Rate'!$J$16,'Incremental Repayments'!$I$31,(HLOOKUP($D118,$E$4:$CZ$32,28,FALSE)*'Incremental Repayments'!$I$22)),0),0)</f>
        <v>0</v>
      </c>
      <c r="Y118" s="783">
        <f>IF('Incremental Repayments'!$R$22="Debt",IF(AND(Y$4&gt;=$D118,Y$4&lt;$D118+'Incremental Repayments'!$I$31),-PMT('Interest Rate'!$J$16,'Incremental Repayments'!$I$31,(HLOOKUP($D118,$E$4:$CZ$32,28,FALSE)*'Incremental Repayments'!$I$22)),0),0)</f>
        <v>0</v>
      </c>
      <c r="Z118" s="783">
        <f>IF('Incremental Repayments'!$R$22="Debt",IF(AND(Z$4&gt;=$D118,Z$4&lt;$D118+'Incremental Repayments'!$I$31),-PMT('Interest Rate'!$J$16,'Incremental Repayments'!$I$31,(HLOOKUP($D118,$E$4:$CZ$32,28,FALSE)*'Incremental Repayments'!$I$22)),0),0)</f>
        <v>0</v>
      </c>
      <c r="AA118" s="783">
        <f>IF('Incremental Repayments'!$R$22="Debt",IF(AND(AA$4&gt;=$D118,AA$4&lt;$D118+'Incremental Repayments'!$I$31),-PMT('Interest Rate'!$J$16,'Incremental Repayments'!$I$31,(HLOOKUP($D118,$E$4:$CZ$32,28,FALSE)*'Incremental Repayments'!$I$22)),0),0)</f>
        <v>0</v>
      </c>
      <c r="AB118" s="783">
        <f>IF('Incremental Repayments'!$R$22="Debt",IF(AND(AB$4&gt;=$D118,AB$4&lt;$D118+'Incremental Repayments'!$I$31),-PMT('Interest Rate'!$J$16,'Incremental Repayments'!$I$31,(HLOOKUP($D118,$E$4:$CZ$32,28,FALSE)*'Incremental Repayments'!$I$22)),0),0)</f>
        <v>0</v>
      </c>
      <c r="AC118" s="783">
        <f>IF('Incremental Repayments'!$R$22="Debt",IF(AND(AC$4&gt;=$D118,AC$4&lt;$D118+'Incremental Repayments'!$I$31),-PMT('Interest Rate'!$J$16,'Incremental Repayments'!$I$31,(HLOOKUP($D118,$E$4:$CZ$32,28,FALSE)*'Incremental Repayments'!$I$22)),0),0)</f>
        <v>0</v>
      </c>
      <c r="AD118" s="783">
        <f>IF('Incremental Repayments'!$R$22="Debt",IF(AND(AD$4&gt;=$D118,AD$4&lt;$D118+'Incremental Repayments'!$I$31),-PMT('Interest Rate'!$J$16,'Incremental Repayments'!$I$31,(HLOOKUP($D118,$E$4:$CZ$32,28,FALSE)*'Incremental Repayments'!$I$22)),0),0)</f>
        <v>0</v>
      </c>
      <c r="AE118" s="783">
        <f>IF('Incremental Repayments'!$R$22="Debt",IF(AND(AE$4&gt;=$D118,AE$4&lt;$D118+'Incremental Repayments'!$I$31),-PMT('Interest Rate'!$J$16,'Incremental Repayments'!$I$31,(HLOOKUP($D118,$E$4:$CZ$32,28,FALSE)*'Incremental Repayments'!$I$22)),0),0)</f>
        <v>0</v>
      </c>
      <c r="AF118" s="783">
        <f>IF('Incremental Repayments'!$R$22="Debt",IF(AND(AF$4&gt;=$D118,AF$4&lt;$D118+'Incremental Repayments'!$I$31),-PMT('Interest Rate'!$J$16,'Incremental Repayments'!$I$31,(HLOOKUP($D118,$E$4:$CZ$32,28,FALSE)*'Incremental Repayments'!$I$22)),0),0)</f>
        <v>0</v>
      </c>
      <c r="AG118" s="783">
        <f>IF('Incremental Repayments'!$R$22="Debt",IF(AND(AG$4&gt;=$D118,AG$4&lt;$D118+'Incremental Repayments'!$I$31),-PMT('Interest Rate'!$J$16,'Incremental Repayments'!$I$31,(HLOOKUP($D118,$E$4:$CZ$32,28,FALSE)*'Incremental Repayments'!$I$22)),0),0)</f>
        <v>0</v>
      </c>
      <c r="AH118" s="783">
        <f>IF('Incremental Repayments'!$R$22="Debt",IF(AND(AH$4&gt;=$D118,AH$4&lt;$D118+'Incremental Repayments'!$I$31),-PMT('Interest Rate'!$J$16,'Incremental Repayments'!$I$31,(HLOOKUP($D118,$E$4:$CZ$32,28,FALSE)*'Incremental Repayments'!$I$22)),0),0)</f>
        <v>0</v>
      </c>
      <c r="AI118" s="783">
        <f>IF('Incremental Repayments'!$R$22="Debt",IF(AND(AI$4&gt;=$D118,AI$4&lt;$D118+'Incremental Repayments'!$I$31),-PMT('Interest Rate'!$J$16,'Incremental Repayments'!$I$31,(HLOOKUP($D118,$E$4:$CZ$32,28,FALSE)*'Incremental Repayments'!$I$22)),0),0)</f>
        <v>0</v>
      </c>
      <c r="AJ118" s="783">
        <f>IF('Incremental Repayments'!$R$22="Debt",IF(AND(AJ$4&gt;=$D118,AJ$4&lt;$D118+'Incremental Repayments'!$I$31),-PMT('Interest Rate'!$J$16,'Incremental Repayments'!$I$31,(HLOOKUP($D118,$E$4:$CZ$32,28,FALSE)*'Incremental Repayments'!$I$22)),0),0)</f>
        <v>0</v>
      </c>
      <c r="AK118" s="783">
        <f>IF('Incremental Repayments'!$R$22="Debt",IF(AND(AK$4&gt;=$D118,AK$4&lt;$D118+'Incremental Repayments'!$I$31),-PMT('Interest Rate'!$J$16,'Incremental Repayments'!$I$31,(HLOOKUP($D118,$E$4:$CZ$32,28,FALSE)*'Incremental Repayments'!$I$22)),0),0)</f>
        <v>0</v>
      </c>
      <c r="AL118" s="783">
        <f>IF('Incremental Repayments'!$R$22="Debt",IF(AND(AL$4&gt;=$D118,AL$4&lt;$D118+'Incremental Repayments'!$I$31),-PMT('Interest Rate'!$J$16,'Incremental Repayments'!$I$31,(HLOOKUP($D118,$E$4:$CZ$32,28,FALSE)*'Incremental Repayments'!$I$22)),0),0)</f>
        <v>0</v>
      </c>
      <c r="AM118" s="783">
        <f>IF('Incremental Repayments'!$R$22="Debt",IF(AND(AM$4&gt;=$D118,AM$4&lt;$D118+'Incremental Repayments'!$I$31),-PMT('Interest Rate'!$J$16,'Incremental Repayments'!$I$31,(HLOOKUP($D118,$E$4:$CZ$32,28,FALSE)*'Incremental Repayments'!$I$22)),0),0)</f>
        <v>0</v>
      </c>
      <c r="AN118" s="783">
        <f>IF('Incremental Repayments'!$R$22="Debt",IF(AND(AN$4&gt;=$D118,AN$4&lt;$D118+'Incremental Repayments'!$I$31),-PMT('Interest Rate'!$J$16,'Incremental Repayments'!$I$31,(HLOOKUP($D118,$E$4:$CZ$32,28,FALSE)*'Incremental Repayments'!$I$22)),0),0)</f>
        <v>0</v>
      </c>
      <c r="AO118" s="783">
        <f>IF('Incremental Repayments'!$R$22="Debt",IF(AND(AO$4&gt;=$D118,AO$4&lt;$D118+'Incremental Repayments'!$I$31),-PMT('Interest Rate'!$J$16,'Incremental Repayments'!$I$31,(HLOOKUP($D118,$E$4:$CZ$32,28,FALSE)*'Incremental Repayments'!$I$22)),0),0)</f>
        <v>0</v>
      </c>
      <c r="AP118" s="783">
        <f>IF('Incremental Repayments'!$R$22="Debt",IF(AND(AP$4&gt;=$D118,AP$4&lt;$D118+'Incremental Repayments'!$I$31),-PMT('Interest Rate'!$J$16,'Incremental Repayments'!$I$31,(HLOOKUP($D118,$E$4:$CZ$32,28,FALSE)*'Incremental Repayments'!$I$22)),0),0)</f>
        <v>0</v>
      </c>
      <c r="AQ118" s="783">
        <f>IF('Incremental Repayments'!$R$22="Debt",IF(AND(AQ$4&gt;=$D118,AQ$4&lt;$D118+'Incremental Repayments'!$I$31),-PMT('Interest Rate'!$J$16,'Incremental Repayments'!$I$31,(HLOOKUP($D118,$E$4:$CZ$32,28,FALSE)*'Incremental Repayments'!$I$22)),0),0)</f>
        <v>0</v>
      </c>
      <c r="AR118" s="783">
        <f>IF('Incremental Repayments'!$R$22="Debt",IF(AND(AR$4&gt;=$D118,AR$4&lt;$D118+'Incremental Repayments'!$I$31),-PMT('Interest Rate'!$J$16,'Incremental Repayments'!$I$31,(HLOOKUP($D118,$E$4:$CZ$32,28,FALSE)*'Incremental Repayments'!$I$22)),0),0)</f>
        <v>0</v>
      </c>
      <c r="AS118" s="783">
        <f>IF('Incremental Repayments'!$R$22="Debt",IF(AND(AS$4&gt;=$D118,AS$4&lt;$D118+'Incremental Repayments'!$I$31),-PMT('Interest Rate'!$J$16,'Incremental Repayments'!$I$31,(HLOOKUP($D118,$E$4:$CZ$32,28,FALSE)*'Incremental Repayments'!$I$22)),0),0)</f>
        <v>0</v>
      </c>
      <c r="AT118" s="783">
        <f>IF('Incremental Repayments'!$R$22="Debt",IF(AND(AT$4&gt;=$D118,AT$4&lt;$D118+'Incremental Repayments'!$I$31),-PMT('Interest Rate'!$J$16,'Incremental Repayments'!$I$31,(HLOOKUP($D118,$E$4:$CZ$32,28,FALSE)*'Incremental Repayments'!$I$22)),0),0)</f>
        <v>0</v>
      </c>
      <c r="AU118" s="783">
        <f>IF('Incremental Repayments'!$R$22="Debt",IF(AND(AU$4&gt;=$D118,AU$4&lt;$D118+'Incremental Repayments'!$I$31),-PMT('Interest Rate'!$J$16,'Incremental Repayments'!$I$31,(HLOOKUP($D118,$E$4:$CZ$32,28,FALSE)*'Incremental Repayments'!$I$22)),0),0)</f>
        <v>0</v>
      </c>
      <c r="AV118" s="783">
        <f>IF('Incremental Repayments'!$R$22="Debt",IF(AND(AV$4&gt;=$D118,AV$4&lt;$D118+'Incremental Repayments'!$I$31),-PMT('Interest Rate'!$J$16,'Incremental Repayments'!$I$31,(HLOOKUP($D118,$E$4:$CZ$32,28,FALSE)*'Incremental Repayments'!$I$22)),0),0)</f>
        <v>0</v>
      </c>
      <c r="AW118" s="783">
        <f>IF('Incremental Repayments'!$R$22="Debt",IF(AND(AW$4&gt;=$D118,AW$4&lt;$D118+'Incremental Repayments'!$I$31),-PMT('Interest Rate'!$J$16,'Incremental Repayments'!$I$31,(HLOOKUP($D118,$E$4:$CZ$32,28,FALSE)*'Incremental Repayments'!$I$22)),0),0)</f>
        <v>0</v>
      </c>
      <c r="AX118" s="783">
        <f>IF('Incremental Repayments'!$R$22="Debt",IF(AND(AX$4&gt;=$D118,AX$4&lt;$D118+'Incremental Repayments'!$I$31),-PMT('Interest Rate'!$J$16,'Incremental Repayments'!$I$31,(HLOOKUP($D118,$E$4:$CZ$32,28,FALSE)*'Incremental Repayments'!$I$22)),0),0)</f>
        <v>0</v>
      </c>
      <c r="AY118" s="783">
        <f>IF('Incremental Repayments'!$R$22="Debt",IF(AND(AY$4&gt;=$D118,AY$4&lt;$D118+'Incremental Repayments'!$I$31),-PMT('Interest Rate'!$J$16,'Incremental Repayments'!$I$31,(HLOOKUP($D118,$E$4:$CZ$32,28,FALSE)*'Incremental Repayments'!$I$22)),0),0)</f>
        <v>0</v>
      </c>
      <c r="AZ118" s="783">
        <f>IF('Incremental Repayments'!$R$22="Debt",IF(AND(AZ$4&gt;=$D118,AZ$4&lt;$D118+'Incremental Repayments'!$I$31),-PMT('Interest Rate'!$J$16,'Incremental Repayments'!$I$31,(HLOOKUP($D118,$E$4:$CZ$32,28,FALSE)*'Incremental Repayments'!$I$22)),0),0)</f>
        <v>0</v>
      </c>
      <c r="BA118" s="783">
        <f>IF('Incremental Repayments'!$R$22="Debt",IF(AND(BA$4&gt;=$D118,BA$4&lt;$D118+'Incremental Repayments'!$I$31),-PMT('Interest Rate'!$J$16,'Incremental Repayments'!$I$31,(HLOOKUP($D118,$E$4:$CZ$32,28,FALSE)*'Incremental Repayments'!$I$22)),0),0)</f>
        <v>0</v>
      </c>
      <c r="BB118" s="783">
        <f>IF('Incremental Repayments'!$R$22="Debt",IF(AND(BB$4&gt;=$D118,BB$4&lt;$D118+'Incremental Repayments'!$I$31),-PMT('Interest Rate'!$J$16,'Incremental Repayments'!$I$31,(HLOOKUP($D118,$E$4:$CZ$32,28,FALSE)*'Incremental Repayments'!$I$22)),0),0)</f>
        <v>0</v>
      </c>
      <c r="BC118" s="783">
        <f>IF('Incremental Repayments'!$R$22="Debt",IF(AND(BC$4&gt;=$D118,BC$4&lt;$D118+'Incremental Repayments'!$I$31),-PMT('Interest Rate'!$J$16,'Incremental Repayments'!$I$31,(HLOOKUP($D118,$E$4:$CZ$32,28,FALSE)*'Incremental Repayments'!$I$22)),0),0)</f>
        <v>0</v>
      </c>
      <c r="BD118" s="783">
        <f>IF('Incremental Repayments'!$R$22="Debt",IF(AND(BD$4&gt;=$D118,BD$4&lt;$D118+'Incremental Repayments'!$I$31),-PMT('Interest Rate'!$J$16,'Incremental Repayments'!$I$31,(HLOOKUP($D118,$E$4:$CZ$32,28,FALSE)*'Incremental Repayments'!$I$22)),0),0)</f>
        <v>0</v>
      </c>
      <c r="BE118" s="783">
        <f>IF('Incremental Repayments'!$R$22="Debt",IF(AND(BE$4&gt;=$D118,BE$4&lt;$D118+'Incremental Repayments'!$I$31),-PMT('Interest Rate'!$J$16,'Incremental Repayments'!$I$31,(HLOOKUP($D118,$E$4:$CZ$32,28,FALSE)*'Incremental Repayments'!$I$22)),0),0)</f>
        <v>0</v>
      </c>
      <c r="BF118" s="783">
        <f>IF('Incremental Repayments'!$R$22="Debt",IF(AND(BF$4&gt;=$D118,BF$4&lt;$D118+'Incremental Repayments'!$I$31),-PMT('Interest Rate'!$J$16,'Incremental Repayments'!$I$31,(HLOOKUP($D118,$E$4:$CZ$32,28,FALSE)*'Incremental Repayments'!$I$22)),0),0)</f>
        <v>0</v>
      </c>
      <c r="BG118" s="783">
        <f>IF('Incremental Repayments'!$R$22="Debt",IF(AND(BG$4&gt;=$D118,BG$4&lt;$D118+'Incremental Repayments'!$I$31),-PMT('Interest Rate'!$J$16,'Incremental Repayments'!$I$31,(HLOOKUP($D118,$E$4:$CZ$32,28,FALSE)*'Incremental Repayments'!$I$22)),0),0)</f>
        <v>0</v>
      </c>
      <c r="BH118" s="783">
        <f>IF('Incremental Repayments'!$R$22="Debt",IF(AND(BH$4&gt;=$D118,BH$4&lt;$D118+'Incremental Repayments'!$I$31),-PMT('Interest Rate'!$J$16,'Incremental Repayments'!$I$31,(HLOOKUP($D118,$E$4:$CZ$32,28,FALSE)*'Incremental Repayments'!$I$22)),0),0)</f>
        <v>0</v>
      </c>
      <c r="BI118" s="783">
        <f>IF('Incremental Repayments'!$R$22="Debt",IF(AND(BI$4&gt;=$D118,BI$4&lt;$D118+'Incremental Repayments'!$I$31),-PMT('Interest Rate'!$J$16,'Incremental Repayments'!$I$31,(HLOOKUP($D118,$E$4:$CZ$32,28,FALSE)*'Incremental Repayments'!$I$22)),0),0)</f>
        <v>0</v>
      </c>
      <c r="BJ118" s="783">
        <f>IF('Incremental Repayments'!$R$22="Debt",IF(AND(BJ$4&gt;=$D118,BJ$4&lt;$D118+'Incremental Repayments'!$I$31),-PMT('Interest Rate'!$J$16,'Incremental Repayments'!$I$31,(HLOOKUP($D118,$E$4:$CZ$32,28,FALSE)*'Incremental Repayments'!$I$22)),0),0)</f>
        <v>0</v>
      </c>
      <c r="BK118" s="783">
        <f>IF('Incremental Repayments'!$R$22="Debt",IF(AND(BK$4&gt;=$D118,BK$4&lt;$D118+'Incremental Repayments'!$I$31),-PMT('Interest Rate'!$J$16,'Incremental Repayments'!$I$31,(HLOOKUP($D118,$E$4:$CZ$32,28,FALSE)*'Incremental Repayments'!$I$22)),0),0)</f>
        <v>0</v>
      </c>
      <c r="BL118" s="783">
        <f>IF('Incremental Repayments'!$R$22="Debt",IF(AND(BL$4&gt;=$D118,BL$4&lt;$D118+'Incremental Repayments'!$I$31),-PMT('Interest Rate'!$J$16,'Incremental Repayments'!$I$31,(HLOOKUP($D118,$E$4:$CZ$32,28,FALSE)*'Incremental Repayments'!$I$22)),0),0)</f>
        <v>0</v>
      </c>
      <c r="BM118" s="783">
        <f>IF('Incremental Repayments'!$R$22="Debt",IF(AND(BM$4&gt;=$D118,BM$4&lt;$D118+'Incremental Repayments'!$I$31),-PMT('Interest Rate'!$J$16,'Incremental Repayments'!$I$31,(HLOOKUP($D118,$E$4:$CZ$32,28,FALSE)*'Incremental Repayments'!$I$22)),0),0)</f>
        <v>0</v>
      </c>
      <c r="BN118" s="783">
        <f>IF('Incremental Repayments'!$R$22="Debt",IF(AND(BN$4&gt;=$D118,BN$4&lt;$D118+'Incremental Repayments'!$I$31),-PMT('Interest Rate'!$J$16,'Incremental Repayments'!$I$31,(HLOOKUP($D118,$E$4:$CZ$32,28,FALSE)*'Incremental Repayments'!$I$22)),0),0)</f>
        <v>0</v>
      </c>
      <c r="BO118" s="783">
        <f>IF('Incremental Repayments'!$R$22="Debt",IF(AND(BO$4&gt;=$D118,BO$4&lt;$D118+'Incremental Repayments'!$I$31),-PMT('Interest Rate'!$J$16,'Incremental Repayments'!$I$31,(HLOOKUP($D118,$E$4:$CZ$32,28,FALSE)*'Incremental Repayments'!$I$22)),0),0)</f>
        <v>0</v>
      </c>
      <c r="BP118" s="783">
        <f>IF('Incremental Repayments'!$R$22="Debt",IF(AND(BP$4&gt;=$D118,BP$4&lt;$D118+'Incremental Repayments'!$I$31),-PMT('Interest Rate'!$J$16,'Incremental Repayments'!$I$31,(HLOOKUP($D118,$E$4:$CZ$32,28,FALSE)*'Incremental Repayments'!$I$22)),0),0)</f>
        <v>0</v>
      </c>
      <c r="BQ118" s="783">
        <f>IF('Incremental Repayments'!$R$22="Debt",IF(AND(BQ$4&gt;=$D118,BQ$4&lt;$D118+'Incremental Repayments'!$I$31),-PMT('Interest Rate'!$J$16,'Incremental Repayments'!$I$31,(HLOOKUP($D118,$E$4:$CZ$32,28,FALSE)*'Incremental Repayments'!$I$22)),0),0)</f>
        <v>0</v>
      </c>
      <c r="BR118" s="783">
        <f>IF('Incremental Repayments'!$R$22="Debt",IF(AND(BR$4&gt;=$D118,BR$4&lt;$D118+'Incremental Repayments'!$I$31),-PMT('Interest Rate'!$J$16,'Incremental Repayments'!$I$31,(HLOOKUP($D118,$E$4:$CZ$32,28,FALSE)*'Incremental Repayments'!$I$22)),0),0)</f>
        <v>0</v>
      </c>
      <c r="BS118" s="783">
        <f>IF('Incremental Repayments'!$R$22="Debt",IF(AND(BS$4&gt;=$D118,BS$4&lt;$D118+'Incremental Repayments'!$I$31),-PMT('Interest Rate'!$J$16,'Incremental Repayments'!$I$31,(HLOOKUP($D118,$E$4:$CZ$32,28,FALSE)*'Incremental Repayments'!$I$22)),0),0)</f>
        <v>0</v>
      </c>
      <c r="BT118" s="783">
        <f>IF('Incremental Repayments'!$R$22="Debt",IF(AND(BT$4&gt;=$D118,BT$4&lt;$D118+'Incremental Repayments'!$I$31),-PMT('Interest Rate'!$J$16,'Incremental Repayments'!$I$31,(HLOOKUP($D118,$E$4:$CZ$32,28,FALSE)*'Incremental Repayments'!$I$22)),0),0)</f>
        <v>0</v>
      </c>
      <c r="BU118" s="783">
        <f>IF('Incremental Repayments'!$R$22="Debt",IF(AND(BU$4&gt;=$D118,BU$4&lt;$D118+'Incremental Repayments'!$I$31),-PMT('Interest Rate'!$J$16,'Incremental Repayments'!$I$31,(HLOOKUP($D118,$E$4:$CZ$32,28,FALSE)*'Incremental Repayments'!$I$22)),0),0)</f>
        <v>0</v>
      </c>
      <c r="BV118" s="783">
        <f>IF('Incremental Repayments'!$R$22="Debt",IF(AND(BV$4&gt;=$D118,BV$4&lt;$D118+'Incremental Repayments'!$I$31),-PMT('Interest Rate'!$J$16,'Incremental Repayments'!$I$31,(HLOOKUP($D118,$E$4:$CZ$32,28,FALSE)*'Incremental Repayments'!$I$22)),0),0)</f>
        <v>0</v>
      </c>
      <c r="BW118" s="783">
        <f>IF('Incremental Repayments'!$R$22="Debt",IF(AND(BW$4&gt;=$D118,BW$4&lt;$D118+'Incremental Repayments'!$I$31),-PMT('Interest Rate'!$J$16,'Incremental Repayments'!$I$31,(HLOOKUP($D118,$E$4:$CZ$32,28,FALSE)*'Incremental Repayments'!$I$22)),0),0)</f>
        <v>0</v>
      </c>
      <c r="BX118" s="783">
        <f>IF('Incremental Repayments'!$R$22="Debt",IF(AND(BX$4&gt;=$D118,BX$4&lt;$D118+'Incremental Repayments'!$I$31),-PMT('Interest Rate'!$J$16,'Incremental Repayments'!$I$31,(HLOOKUP($D118,$E$4:$CZ$32,28,FALSE)*'Incremental Repayments'!$I$22)),0),0)</f>
        <v>0</v>
      </c>
      <c r="BY118" s="783">
        <f>IF('Incremental Repayments'!$R$22="Debt",IF(AND(BY$4&gt;=$D118,BY$4&lt;$D118+'Incremental Repayments'!$I$31),-PMT('Interest Rate'!$J$16,'Incremental Repayments'!$I$31,(HLOOKUP($D118,$E$4:$CZ$32,28,FALSE)*'Incremental Repayments'!$I$22)),0),0)</f>
        <v>0</v>
      </c>
      <c r="BZ118" s="783">
        <f>IF('Incremental Repayments'!$R$22="Debt",IF(AND(BZ$4&gt;=$D118,BZ$4&lt;$D118+'Incremental Repayments'!$I$31),-PMT('Interest Rate'!$J$16,'Incremental Repayments'!$I$31,(HLOOKUP($D118,$E$4:$CZ$32,28,FALSE)*'Incremental Repayments'!$I$22)),0),0)</f>
        <v>0</v>
      </c>
      <c r="CA118" s="783">
        <f>IF('Incremental Repayments'!$R$22="Debt",IF(AND(CA$4&gt;=$D118,CA$4&lt;$D118+'Incremental Repayments'!$I$31),-PMT('Interest Rate'!$J$16,'Incremental Repayments'!$I$31,(HLOOKUP($D118,$E$4:$CZ$32,28,FALSE)*'Incremental Repayments'!$I$22)),0),0)</f>
        <v>0</v>
      </c>
      <c r="CB118" s="783">
        <f>IF('Incremental Repayments'!$R$22="Debt",IF(AND(CB$4&gt;=$D118,CB$4&lt;$D118+'Incremental Repayments'!$I$31),-PMT('Interest Rate'!$J$16,'Incremental Repayments'!$I$31,(HLOOKUP($D118,$E$4:$CZ$32,28,FALSE)*'Incremental Repayments'!$I$22)),0),0)</f>
        <v>0</v>
      </c>
      <c r="CC118" s="783">
        <f>IF('Incremental Repayments'!$R$22="Debt",IF(AND(CC$4&gt;=$D118,CC$4&lt;$D118+'Incremental Repayments'!$I$31),-PMT('Interest Rate'!$J$16,'Incremental Repayments'!$I$31,(HLOOKUP($D118,$E$4:$CZ$32,28,FALSE)*'Incremental Repayments'!$I$22)),0),0)</f>
        <v>0</v>
      </c>
      <c r="CD118" s="783">
        <f>IF('Incremental Repayments'!$R$22="Debt",IF(AND(CD$4&gt;=$D118,CD$4&lt;$D118+'Incremental Repayments'!$I$31),-PMT('Interest Rate'!$J$16,'Incremental Repayments'!$I$31,(HLOOKUP($D118,$E$4:$CZ$32,28,FALSE)*'Incremental Repayments'!$I$22)),0),0)</f>
        <v>0</v>
      </c>
      <c r="CE118" s="783">
        <f>IF('Incremental Repayments'!$R$22="Debt",IF(AND(CE$4&gt;=$D118,CE$4&lt;$D118+'Incremental Repayments'!$I$31),-PMT('Interest Rate'!$J$16,'Incremental Repayments'!$I$31,(HLOOKUP($D118,$E$4:$CZ$32,28,FALSE)*'Incremental Repayments'!$I$22)),0),0)</f>
        <v>0</v>
      </c>
      <c r="CF118" s="783">
        <f>IF('Incremental Repayments'!$R$22="Debt",IF(AND(CF$4&gt;=$D118,CF$4&lt;$D118+'Incremental Repayments'!$I$31),-PMT('Interest Rate'!$J$16,'Incremental Repayments'!$I$31,(HLOOKUP($D118,$E$4:$CZ$32,28,FALSE)*'Incremental Repayments'!$I$22)),0),0)</f>
        <v>0</v>
      </c>
      <c r="CG118" s="783">
        <f>IF('Incremental Repayments'!$R$22="Debt",IF(AND(CG$4&gt;=$D118,CG$4&lt;$D118+'Incremental Repayments'!$I$31),-PMT('Interest Rate'!$J$16,'Incremental Repayments'!$I$31,(HLOOKUP($D118,$E$4:$CZ$32,28,FALSE)*'Incremental Repayments'!$I$22)),0),0)</f>
        <v>0</v>
      </c>
      <c r="CH118" s="783">
        <f>IF('Incremental Repayments'!$R$22="Debt",IF(AND(CH$4&gt;=$D118,CH$4&lt;$D118+'Incremental Repayments'!$I$31),-PMT('Interest Rate'!$J$16,'Incremental Repayments'!$I$31,(HLOOKUP($D118,$E$4:$CZ$32,28,FALSE)*'Incremental Repayments'!$I$22)),0),0)</f>
        <v>0</v>
      </c>
      <c r="CI118" s="783">
        <f>IF('Incremental Repayments'!$R$22="Debt",IF(AND(CI$4&gt;=$D118,CI$4&lt;$D118+'Incremental Repayments'!$I$31),-PMT('Interest Rate'!$J$16,'Incremental Repayments'!$I$31,(HLOOKUP($D118,$E$4:$CZ$32,28,FALSE)*'Incremental Repayments'!$I$22)),0),0)</f>
        <v>0</v>
      </c>
      <c r="CJ118" s="783">
        <f>IF('Incremental Repayments'!$R$22="Debt",IF(AND(CJ$4&gt;=$D118,CJ$4&lt;$D118+'Incremental Repayments'!$I$31),-PMT('Interest Rate'!$J$16,'Incremental Repayments'!$I$31,(HLOOKUP($D118,$E$4:$CZ$32,28,FALSE)*'Incremental Repayments'!$I$22)),0),0)</f>
        <v>0</v>
      </c>
      <c r="CK118" s="783">
        <f>IF('Incremental Repayments'!$R$22="Debt",IF(AND(CK$4&gt;=$D118,CK$4&lt;$D118+'Incremental Repayments'!$I$31),-PMT('Interest Rate'!$J$16,'Incremental Repayments'!$I$31,(HLOOKUP($D118,$E$4:$CZ$32,28,FALSE)*'Incremental Repayments'!$I$22)),0),0)</f>
        <v>0</v>
      </c>
      <c r="CL118" s="783">
        <f>IF('Incremental Repayments'!$R$22="Debt",IF(AND(CL$4&gt;=$D118,CL$4&lt;$D118+'Incremental Repayments'!$I$31),-PMT('Interest Rate'!$J$16,'Incremental Repayments'!$I$31,(HLOOKUP($D118,$E$4:$CZ$32,28,FALSE)*'Incremental Repayments'!$I$22)),0),0)</f>
        <v>0</v>
      </c>
      <c r="CM118" s="783">
        <f>IF('Incremental Repayments'!$R$22="Debt",IF(AND(CM$4&gt;=$D118,CM$4&lt;$D118+'Incremental Repayments'!$I$31),-PMT('Interest Rate'!$J$16,'Incremental Repayments'!$I$31,(HLOOKUP($D118,$E$4:$CZ$32,28,FALSE)*'Incremental Repayments'!$I$22)),0),0)</f>
        <v>0</v>
      </c>
      <c r="CN118" s="783">
        <f>IF('Incremental Repayments'!$R$22="Debt",IF(AND(CN$4&gt;=$D118,CN$4&lt;$D118+'Incremental Repayments'!$I$31),-PMT('Interest Rate'!$J$16,'Incremental Repayments'!$I$31,(HLOOKUP($D118,$E$4:$CZ$32,28,FALSE)*'Incremental Repayments'!$I$22)),0),0)</f>
        <v>0</v>
      </c>
      <c r="CO118" s="783">
        <f>IF('Incremental Repayments'!$R$22="Debt",IF(AND(CO$4&gt;=$D118,CO$4&lt;$D118+'Incremental Repayments'!$I$31),-PMT('Interest Rate'!$J$16,'Incremental Repayments'!$I$31,(HLOOKUP($D118,$E$4:$CZ$32,28,FALSE)*'Incremental Repayments'!$I$22)),0),0)</f>
        <v>0</v>
      </c>
      <c r="CP118" s="783">
        <f>IF('Incremental Repayments'!$R$22="Debt",IF(AND(CP$4&gt;=$D118,CP$4&lt;$D118+'Incremental Repayments'!$I$31),-PMT('Interest Rate'!$J$16,'Incremental Repayments'!$I$31,(HLOOKUP($D118,$E$4:$CZ$32,28,FALSE)*'Incremental Repayments'!$I$22)),0),0)</f>
        <v>0</v>
      </c>
      <c r="CQ118" s="783">
        <f>IF('Incremental Repayments'!$R$22="Debt",IF(AND(CQ$4&gt;=$D118,CQ$4&lt;$D118+'Incremental Repayments'!$I$31),-PMT('Interest Rate'!$J$16,'Incremental Repayments'!$I$31,(HLOOKUP($D118,$E$4:$CZ$32,28,FALSE)*'Incremental Repayments'!$I$22)),0),0)</f>
        <v>0</v>
      </c>
      <c r="CR118" s="783">
        <f>IF('Incremental Repayments'!$R$22="Debt",IF(AND(CR$4&gt;=$D118,CR$4&lt;$D118+'Incremental Repayments'!$I$31),-PMT('Interest Rate'!$J$16,'Incremental Repayments'!$I$31,(HLOOKUP($D118,$E$4:$CZ$32,28,FALSE)*'Incremental Repayments'!$I$22)),0),0)</f>
        <v>0</v>
      </c>
      <c r="CS118" s="783">
        <f>IF('Incremental Repayments'!$R$22="Debt",IF(AND(CS$4&gt;=$D118,CS$4&lt;$D118+'Incremental Repayments'!$I$31),-PMT('Interest Rate'!$J$16,'Incremental Repayments'!$I$31,(HLOOKUP($D118,$E$4:$CZ$32,28,FALSE)*'Incremental Repayments'!$I$22)),0),0)</f>
        <v>0</v>
      </c>
      <c r="CT118" s="783">
        <f>IF('Incremental Repayments'!$R$22="Debt",IF(AND(CT$4&gt;=$D118,CT$4&lt;$D118+'Incremental Repayments'!$I$31),-PMT('Interest Rate'!$J$16,'Incremental Repayments'!$I$31,(HLOOKUP($D118,$E$4:$CZ$32,28,FALSE)*'Incremental Repayments'!$I$22)),0),0)</f>
        <v>0</v>
      </c>
      <c r="CU118" s="783">
        <f>IF('Incremental Repayments'!$R$22="Debt",IF(AND(CU$4&gt;=$D118,CU$4&lt;$D118+'Incremental Repayments'!$I$31),-PMT('Interest Rate'!$J$16,'Incremental Repayments'!$I$31,(HLOOKUP($D118,$E$4:$CZ$32,28,FALSE)*'Incremental Repayments'!$I$22)),0),0)</f>
        <v>0</v>
      </c>
      <c r="CV118" s="783">
        <f>IF('Incremental Repayments'!$R$22="Debt",IF(AND(CV$4&gt;=$D118,CV$4&lt;$D118+'Incremental Repayments'!$I$31),-PMT('Interest Rate'!$J$16,'Incremental Repayments'!$I$31,(HLOOKUP($D118,$E$4:$CZ$32,28,FALSE)*'Incremental Repayments'!$I$22)),0),0)</f>
        <v>0</v>
      </c>
      <c r="CW118" s="783">
        <f>IF('Incremental Repayments'!$R$22="Debt",IF(AND(CW$4&gt;=$D118,CW$4&lt;$D118+'Incremental Repayments'!$I$31),-PMT('Interest Rate'!$J$16,'Incremental Repayments'!$I$31,(HLOOKUP($D118,$E$4:$CZ$32,28,FALSE)*'Incremental Repayments'!$I$22)),0),0)</f>
        <v>0</v>
      </c>
      <c r="CX118" s="783">
        <f>IF('Incremental Repayments'!$R$22="Debt",IF(AND(CX$4&gt;=$D118,CX$4&lt;$D118+'Incremental Repayments'!$I$31),-PMT('Interest Rate'!$J$16,'Incremental Repayments'!$I$31,(HLOOKUP($D118,$E$4:$CZ$32,28,FALSE)*'Incremental Repayments'!$I$22)),0),0)</f>
        <v>0</v>
      </c>
      <c r="CY118" s="783">
        <f>IF('Incremental Repayments'!$R$22="Debt",IF(AND(CY$4&gt;=$D118,CY$4&lt;$D118+'Incremental Repayments'!$I$31),-PMT('Interest Rate'!$J$16,'Incremental Repayments'!$I$31,(HLOOKUP($D118,$E$4:$CZ$32,28,FALSE)*'Incremental Repayments'!$I$22)),0),0)</f>
        <v>0</v>
      </c>
      <c r="CZ118" s="783">
        <f>IF('Incremental Repayments'!$R$22="Debt",IF(AND(CZ$4&gt;=$D118,CZ$4&lt;$D118+'Incremental Repayments'!$I$31),-PMT('Interest Rate'!$J$16,'Incremental Repayments'!$I$31,(HLOOKUP($D118,$E$4:$CZ$32,28,FALSE)*'Incremental Repayments'!$I$22)),0),0)</f>
        <v>0</v>
      </c>
    </row>
    <row r="119" spans="1:104" x14ac:dyDescent="0.25">
      <c r="B119" s="480" t="str">
        <f>CONCATENATE("Series ",D119,"A Bonds (at ",'Interest Rate'!$J$16*100,"% Interest)")</f>
        <v>Series 2097A Bonds (at 4.5% Interest)</v>
      </c>
      <c r="C119" s="480"/>
      <c r="D119" s="492">
        <f t="shared" si="47"/>
        <v>2097</v>
      </c>
      <c r="E119" s="783">
        <f>IF('Incremental Repayments'!$R$22="Debt",IF(AND(E$4&gt;=$D119,E$4&lt;$D119+'Incremental Repayments'!$I$31),-PMT('Interest Rate'!$J$16,'Incremental Repayments'!$I$31,(HLOOKUP($D119,$E$4:$CZ$32,28,FALSE)*'Incremental Repayments'!$I$22)),0),0)</f>
        <v>0</v>
      </c>
      <c r="F119" s="783">
        <f>IF('Incremental Repayments'!$R$22="Debt",IF(AND(F$4&gt;=$D119,F$4&lt;$D119+'Incremental Repayments'!$I$31),-PMT('Interest Rate'!$J$16,'Incremental Repayments'!$I$31,(HLOOKUP($D119,$E$4:$CZ$32,28,FALSE)*'Incremental Repayments'!$I$22)),0),0)</f>
        <v>0</v>
      </c>
      <c r="G119" s="783">
        <f>IF('Incremental Repayments'!$R$22="Debt",IF(AND(G$4&gt;=$D119,G$4&lt;$D119+'Incremental Repayments'!$I$31),-PMT('Interest Rate'!$J$16,'Incremental Repayments'!$I$31,(HLOOKUP($D119,$E$4:$CZ$32,28,FALSE)*'Incremental Repayments'!$I$22)),0),0)</f>
        <v>0</v>
      </c>
      <c r="H119" s="783">
        <f>IF('Incremental Repayments'!$R$22="Debt",IF(AND(H$4&gt;=$D119,H$4&lt;$D119+'Incremental Repayments'!$I$31),-PMT('Interest Rate'!$J$16,'Incremental Repayments'!$I$31,(HLOOKUP($D119,$E$4:$CZ$32,28,FALSE)*'Incremental Repayments'!$I$22)),0),0)</f>
        <v>0</v>
      </c>
      <c r="I119" s="783">
        <f>IF('Incremental Repayments'!$R$22="Debt",IF(AND(I$4&gt;=$D119,I$4&lt;$D119+'Incremental Repayments'!$I$31),-PMT('Interest Rate'!$J$16,'Incremental Repayments'!$I$31,(HLOOKUP($D119,$E$4:$CZ$32,28,FALSE)*'Incremental Repayments'!$I$22)),0),0)</f>
        <v>0</v>
      </c>
      <c r="J119" s="783">
        <f>IF('Incremental Repayments'!$R$22="Debt",IF(AND(J$4&gt;=$D119,J$4&lt;$D119+'Incremental Repayments'!$I$31),-PMT('Interest Rate'!$J$16,'Incremental Repayments'!$I$31,(HLOOKUP($D119,$E$4:$CZ$32,28,FALSE)*'Incremental Repayments'!$I$22)),0),0)</f>
        <v>0</v>
      </c>
      <c r="K119" s="783">
        <f>IF('Incremental Repayments'!$R$22="Debt",IF(AND(K$4&gt;=$D119,K$4&lt;$D119+'Incremental Repayments'!$I$31),-PMT('Interest Rate'!$J$16,'Incremental Repayments'!$I$31,(HLOOKUP($D119,$E$4:$CZ$32,28,FALSE)*'Incremental Repayments'!$I$22)),0),0)</f>
        <v>0</v>
      </c>
      <c r="L119" s="783">
        <f>IF('Incremental Repayments'!$R$22="Debt",IF(AND(L$4&gt;=$D119,L$4&lt;$D119+'Incremental Repayments'!$I$31),-PMT('Interest Rate'!$J$16,'Incremental Repayments'!$I$31,(HLOOKUP($D119,$E$4:$CZ$32,28,FALSE)*'Incremental Repayments'!$I$22)),0),0)</f>
        <v>0</v>
      </c>
      <c r="M119" s="783">
        <f>IF('Incremental Repayments'!$R$22="Debt",IF(AND(M$4&gt;=$D119,M$4&lt;$D119+'Incremental Repayments'!$I$31),-PMT('Interest Rate'!$J$16,'Incremental Repayments'!$I$31,(HLOOKUP($D119,$E$4:$CZ$32,28,FALSE)*'Incremental Repayments'!$I$22)),0),0)</f>
        <v>0</v>
      </c>
      <c r="N119" s="783">
        <f>IF('Incremental Repayments'!$R$22="Debt",IF(AND(N$4&gt;=$D119,N$4&lt;$D119+'Incremental Repayments'!$I$31),-PMT('Interest Rate'!$J$16,'Incremental Repayments'!$I$31,(HLOOKUP($D119,$E$4:$CZ$32,28,FALSE)*'Incremental Repayments'!$I$22)),0),0)</f>
        <v>0</v>
      </c>
      <c r="O119" s="783">
        <f>IF('Incremental Repayments'!$R$22="Debt",IF(AND(O$4&gt;=$D119,O$4&lt;$D119+'Incremental Repayments'!$I$31),-PMT('Interest Rate'!$J$16,'Incremental Repayments'!$I$31,(HLOOKUP($D119,$E$4:$CZ$32,28,FALSE)*'Incremental Repayments'!$I$22)),0),0)</f>
        <v>0</v>
      </c>
      <c r="P119" s="783">
        <f>IF('Incremental Repayments'!$R$22="Debt",IF(AND(P$4&gt;=$D119,P$4&lt;$D119+'Incremental Repayments'!$I$31),-PMT('Interest Rate'!$J$16,'Incremental Repayments'!$I$31,(HLOOKUP($D119,$E$4:$CZ$32,28,FALSE)*'Incremental Repayments'!$I$22)),0),0)</f>
        <v>0</v>
      </c>
      <c r="Q119" s="783">
        <f>IF('Incremental Repayments'!$R$22="Debt",IF(AND(Q$4&gt;=$D119,Q$4&lt;$D119+'Incremental Repayments'!$I$31),-PMT('Interest Rate'!$J$16,'Incremental Repayments'!$I$31,(HLOOKUP($D119,$E$4:$CZ$32,28,FALSE)*'Incremental Repayments'!$I$22)),0),0)</f>
        <v>0</v>
      </c>
      <c r="R119" s="783">
        <f>IF('Incremental Repayments'!$R$22="Debt",IF(AND(R$4&gt;=$D119,R$4&lt;$D119+'Incremental Repayments'!$I$31),-PMT('Interest Rate'!$J$16,'Incremental Repayments'!$I$31,(HLOOKUP($D119,$E$4:$CZ$32,28,FALSE)*'Incremental Repayments'!$I$22)),0),0)</f>
        <v>0</v>
      </c>
      <c r="S119" s="783">
        <f>IF('Incremental Repayments'!$R$22="Debt",IF(AND(S$4&gt;=$D119,S$4&lt;$D119+'Incremental Repayments'!$I$31),-PMT('Interest Rate'!$J$16,'Incremental Repayments'!$I$31,(HLOOKUP($D119,$E$4:$CZ$32,28,FALSE)*'Incremental Repayments'!$I$22)),0),0)</f>
        <v>0</v>
      </c>
      <c r="T119" s="783">
        <f>IF('Incremental Repayments'!$R$22="Debt",IF(AND(T$4&gt;=$D119,T$4&lt;$D119+'Incremental Repayments'!$I$31),-PMT('Interest Rate'!$J$16,'Incremental Repayments'!$I$31,(HLOOKUP($D119,$E$4:$CZ$32,28,FALSE)*'Incremental Repayments'!$I$22)),0),0)</f>
        <v>0</v>
      </c>
      <c r="U119" s="783">
        <f>IF('Incremental Repayments'!$R$22="Debt",IF(AND(U$4&gt;=$D119,U$4&lt;$D119+'Incremental Repayments'!$I$31),-PMT('Interest Rate'!$J$16,'Incremental Repayments'!$I$31,(HLOOKUP($D119,$E$4:$CZ$32,28,FALSE)*'Incremental Repayments'!$I$22)),0),0)</f>
        <v>0</v>
      </c>
      <c r="V119" s="783">
        <f>IF('Incremental Repayments'!$R$22="Debt",IF(AND(V$4&gt;=$D119,V$4&lt;$D119+'Incremental Repayments'!$I$31),-PMT('Interest Rate'!$J$16,'Incremental Repayments'!$I$31,(HLOOKUP($D119,$E$4:$CZ$32,28,FALSE)*'Incremental Repayments'!$I$22)),0),0)</f>
        <v>0</v>
      </c>
      <c r="W119" s="783">
        <f>IF('Incremental Repayments'!$R$22="Debt",IF(AND(W$4&gt;=$D119,W$4&lt;$D119+'Incremental Repayments'!$I$31),-PMT('Interest Rate'!$J$16,'Incremental Repayments'!$I$31,(HLOOKUP($D119,$E$4:$CZ$32,28,FALSE)*'Incremental Repayments'!$I$22)),0),0)</f>
        <v>0</v>
      </c>
      <c r="X119" s="783">
        <f>IF('Incremental Repayments'!$R$22="Debt",IF(AND(X$4&gt;=$D119,X$4&lt;$D119+'Incremental Repayments'!$I$31),-PMT('Interest Rate'!$J$16,'Incremental Repayments'!$I$31,(HLOOKUP($D119,$E$4:$CZ$32,28,FALSE)*'Incremental Repayments'!$I$22)),0),0)</f>
        <v>0</v>
      </c>
      <c r="Y119" s="783">
        <f>IF('Incremental Repayments'!$R$22="Debt",IF(AND(Y$4&gt;=$D119,Y$4&lt;$D119+'Incremental Repayments'!$I$31),-PMT('Interest Rate'!$J$16,'Incremental Repayments'!$I$31,(HLOOKUP($D119,$E$4:$CZ$32,28,FALSE)*'Incremental Repayments'!$I$22)),0),0)</f>
        <v>0</v>
      </c>
      <c r="Z119" s="783">
        <f>IF('Incremental Repayments'!$R$22="Debt",IF(AND(Z$4&gt;=$D119,Z$4&lt;$D119+'Incremental Repayments'!$I$31),-PMT('Interest Rate'!$J$16,'Incremental Repayments'!$I$31,(HLOOKUP($D119,$E$4:$CZ$32,28,FALSE)*'Incremental Repayments'!$I$22)),0),0)</f>
        <v>0</v>
      </c>
      <c r="AA119" s="783">
        <f>IF('Incremental Repayments'!$R$22="Debt",IF(AND(AA$4&gt;=$D119,AA$4&lt;$D119+'Incremental Repayments'!$I$31),-PMT('Interest Rate'!$J$16,'Incremental Repayments'!$I$31,(HLOOKUP($D119,$E$4:$CZ$32,28,FALSE)*'Incremental Repayments'!$I$22)),0),0)</f>
        <v>0</v>
      </c>
      <c r="AB119" s="783">
        <f>IF('Incremental Repayments'!$R$22="Debt",IF(AND(AB$4&gt;=$D119,AB$4&lt;$D119+'Incremental Repayments'!$I$31),-PMT('Interest Rate'!$J$16,'Incremental Repayments'!$I$31,(HLOOKUP($D119,$E$4:$CZ$32,28,FALSE)*'Incremental Repayments'!$I$22)),0),0)</f>
        <v>0</v>
      </c>
      <c r="AC119" s="783">
        <f>IF('Incremental Repayments'!$R$22="Debt",IF(AND(AC$4&gt;=$D119,AC$4&lt;$D119+'Incremental Repayments'!$I$31),-PMT('Interest Rate'!$J$16,'Incremental Repayments'!$I$31,(HLOOKUP($D119,$E$4:$CZ$32,28,FALSE)*'Incremental Repayments'!$I$22)),0),0)</f>
        <v>0</v>
      </c>
      <c r="AD119" s="783">
        <f>IF('Incremental Repayments'!$R$22="Debt",IF(AND(AD$4&gt;=$D119,AD$4&lt;$D119+'Incremental Repayments'!$I$31),-PMT('Interest Rate'!$J$16,'Incremental Repayments'!$I$31,(HLOOKUP($D119,$E$4:$CZ$32,28,FALSE)*'Incremental Repayments'!$I$22)),0),0)</f>
        <v>0</v>
      </c>
      <c r="AE119" s="783">
        <f>IF('Incremental Repayments'!$R$22="Debt",IF(AND(AE$4&gt;=$D119,AE$4&lt;$D119+'Incremental Repayments'!$I$31),-PMT('Interest Rate'!$J$16,'Incremental Repayments'!$I$31,(HLOOKUP($D119,$E$4:$CZ$32,28,FALSE)*'Incremental Repayments'!$I$22)),0),0)</f>
        <v>0</v>
      </c>
      <c r="AF119" s="783">
        <f>IF('Incremental Repayments'!$R$22="Debt",IF(AND(AF$4&gt;=$D119,AF$4&lt;$D119+'Incremental Repayments'!$I$31),-PMT('Interest Rate'!$J$16,'Incremental Repayments'!$I$31,(HLOOKUP($D119,$E$4:$CZ$32,28,FALSE)*'Incremental Repayments'!$I$22)),0),0)</f>
        <v>0</v>
      </c>
      <c r="AG119" s="783">
        <f>IF('Incremental Repayments'!$R$22="Debt",IF(AND(AG$4&gt;=$D119,AG$4&lt;$D119+'Incremental Repayments'!$I$31),-PMT('Interest Rate'!$J$16,'Incremental Repayments'!$I$31,(HLOOKUP($D119,$E$4:$CZ$32,28,FALSE)*'Incremental Repayments'!$I$22)),0),0)</f>
        <v>0</v>
      </c>
      <c r="AH119" s="783">
        <f>IF('Incremental Repayments'!$R$22="Debt",IF(AND(AH$4&gt;=$D119,AH$4&lt;$D119+'Incremental Repayments'!$I$31),-PMT('Interest Rate'!$J$16,'Incremental Repayments'!$I$31,(HLOOKUP($D119,$E$4:$CZ$32,28,FALSE)*'Incremental Repayments'!$I$22)),0),0)</f>
        <v>0</v>
      </c>
      <c r="AI119" s="783">
        <f>IF('Incremental Repayments'!$R$22="Debt",IF(AND(AI$4&gt;=$D119,AI$4&lt;$D119+'Incremental Repayments'!$I$31),-PMT('Interest Rate'!$J$16,'Incremental Repayments'!$I$31,(HLOOKUP($D119,$E$4:$CZ$32,28,FALSE)*'Incremental Repayments'!$I$22)),0),0)</f>
        <v>0</v>
      </c>
      <c r="AJ119" s="783">
        <f>IF('Incremental Repayments'!$R$22="Debt",IF(AND(AJ$4&gt;=$D119,AJ$4&lt;$D119+'Incremental Repayments'!$I$31),-PMT('Interest Rate'!$J$16,'Incremental Repayments'!$I$31,(HLOOKUP($D119,$E$4:$CZ$32,28,FALSE)*'Incremental Repayments'!$I$22)),0),0)</f>
        <v>0</v>
      </c>
      <c r="AK119" s="783">
        <f>IF('Incremental Repayments'!$R$22="Debt",IF(AND(AK$4&gt;=$D119,AK$4&lt;$D119+'Incremental Repayments'!$I$31),-PMT('Interest Rate'!$J$16,'Incremental Repayments'!$I$31,(HLOOKUP($D119,$E$4:$CZ$32,28,FALSE)*'Incremental Repayments'!$I$22)),0),0)</f>
        <v>0</v>
      </c>
      <c r="AL119" s="783">
        <f>IF('Incremental Repayments'!$R$22="Debt",IF(AND(AL$4&gt;=$D119,AL$4&lt;$D119+'Incremental Repayments'!$I$31),-PMT('Interest Rate'!$J$16,'Incremental Repayments'!$I$31,(HLOOKUP($D119,$E$4:$CZ$32,28,FALSE)*'Incremental Repayments'!$I$22)),0),0)</f>
        <v>0</v>
      </c>
      <c r="AM119" s="783">
        <f>IF('Incremental Repayments'!$R$22="Debt",IF(AND(AM$4&gt;=$D119,AM$4&lt;$D119+'Incremental Repayments'!$I$31),-PMT('Interest Rate'!$J$16,'Incremental Repayments'!$I$31,(HLOOKUP($D119,$E$4:$CZ$32,28,FALSE)*'Incremental Repayments'!$I$22)),0),0)</f>
        <v>0</v>
      </c>
      <c r="AN119" s="783">
        <f>IF('Incremental Repayments'!$R$22="Debt",IF(AND(AN$4&gt;=$D119,AN$4&lt;$D119+'Incremental Repayments'!$I$31),-PMT('Interest Rate'!$J$16,'Incremental Repayments'!$I$31,(HLOOKUP($D119,$E$4:$CZ$32,28,FALSE)*'Incremental Repayments'!$I$22)),0),0)</f>
        <v>0</v>
      </c>
      <c r="AO119" s="783">
        <f>IF('Incremental Repayments'!$R$22="Debt",IF(AND(AO$4&gt;=$D119,AO$4&lt;$D119+'Incremental Repayments'!$I$31),-PMT('Interest Rate'!$J$16,'Incremental Repayments'!$I$31,(HLOOKUP($D119,$E$4:$CZ$32,28,FALSE)*'Incremental Repayments'!$I$22)),0),0)</f>
        <v>0</v>
      </c>
      <c r="AP119" s="783">
        <f>IF('Incremental Repayments'!$R$22="Debt",IF(AND(AP$4&gt;=$D119,AP$4&lt;$D119+'Incremental Repayments'!$I$31),-PMT('Interest Rate'!$J$16,'Incremental Repayments'!$I$31,(HLOOKUP($D119,$E$4:$CZ$32,28,FALSE)*'Incremental Repayments'!$I$22)),0),0)</f>
        <v>0</v>
      </c>
      <c r="AQ119" s="783">
        <f>IF('Incremental Repayments'!$R$22="Debt",IF(AND(AQ$4&gt;=$D119,AQ$4&lt;$D119+'Incremental Repayments'!$I$31),-PMT('Interest Rate'!$J$16,'Incremental Repayments'!$I$31,(HLOOKUP($D119,$E$4:$CZ$32,28,FALSE)*'Incremental Repayments'!$I$22)),0),0)</f>
        <v>0</v>
      </c>
      <c r="AR119" s="783">
        <f>IF('Incremental Repayments'!$R$22="Debt",IF(AND(AR$4&gt;=$D119,AR$4&lt;$D119+'Incremental Repayments'!$I$31),-PMT('Interest Rate'!$J$16,'Incremental Repayments'!$I$31,(HLOOKUP($D119,$E$4:$CZ$32,28,FALSE)*'Incremental Repayments'!$I$22)),0),0)</f>
        <v>0</v>
      </c>
      <c r="AS119" s="783">
        <f>IF('Incremental Repayments'!$R$22="Debt",IF(AND(AS$4&gt;=$D119,AS$4&lt;$D119+'Incremental Repayments'!$I$31),-PMT('Interest Rate'!$J$16,'Incremental Repayments'!$I$31,(HLOOKUP($D119,$E$4:$CZ$32,28,FALSE)*'Incremental Repayments'!$I$22)),0),0)</f>
        <v>0</v>
      </c>
      <c r="AT119" s="783">
        <f>IF('Incremental Repayments'!$R$22="Debt",IF(AND(AT$4&gt;=$D119,AT$4&lt;$D119+'Incremental Repayments'!$I$31),-PMT('Interest Rate'!$J$16,'Incremental Repayments'!$I$31,(HLOOKUP($D119,$E$4:$CZ$32,28,FALSE)*'Incremental Repayments'!$I$22)),0),0)</f>
        <v>0</v>
      </c>
      <c r="AU119" s="783">
        <f>IF('Incremental Repayments'!$R$22="Debt",IF(AND(AU$4&gt;=$D119,AU$4&lt;$D119+'Incremental Repayments'!$I$31),-PMT('Interest Rate'!$J$16,'Incremental Repayments'!$I$31,(HLOOKUP($D119,$E$4:$CZ$32,28,FALSE)*'Incremental Repayments'!$I$22)),0),0)</f>
        <v>0</v>
      </c>
      <c r="AV119" s="783">
        <f>IF('Incremental Repayments'!$R$22="Debt",IF(AND(AV$4&gt;=$D119,AV$4&lt;$D119+'Incremental Repayments'!$I$31),-PMT('Interest Rate'!$J$16,'Incremental Repayments'!$I$31,(HLOOKUP($D119,$E$4:$CZ$32,28,FALSE)*'Incremental Repayments'!$I$22)),0),0)</f>
        <v>0</v>
      </c>
      <c r="AW119" s="783">
        <f>IF('Incremental Repayments'!$R$22="Debt",IF(AND(AW$4&gt;=$D119,AW$4&lt;$D119+'Incremental Repayments'!$I$31),-PMT('Interest Rate'!$J$16,'Incremental Repayments'!$I$31,(HLOOKUP($D119,$E$4:$CZ$32,28,FALSE)*'Incremental Repayments'!$I$22)),0),0)</f>
        <v>0</v>
      </c>
      <c r="AX119" s="783">
        <f>IF('Incremental Repayments'!$R$22="Debt",IF(AND(AX$4&gt;=$D119,AX$4&lt;$D119+'Incremental Repayments'!$I$31),-PMT('Interest Rate'!$J$16,'Incremental Repayments'!$I$31,(HLOOKUP($D119,$E$4:$CZ$32,28,FALSE)*'Incremental Repayments'!$I$22)),0),0)</f>
        <v>0</v>
      </c>
      <c r="AY119" s="783">
        <f>IF('Incremental Repayments'!$R$22="Debt",IF(AND(AY$4&gt;=$D119,AY$4&lt;$D119+'Incremental Repayments'!$I$31),-PMT('Interest Rate'!$J$16,'Incremental Repayments'!$I$31,(HLOOKUP($D119,$E$4:$CZ$32,28,FALSE)*'Incremental Repayments'!$I$22)),0),0)</f>
        <v>0</v>
      </c>
      <c r="AZ119" s="783">
        <f>IF('Incremental Repayments'!$R$22="Debt",IF(AND(AZ$4&gt;=$D119,AZ$4&lt;$D119+'Incremental Repayments'!$I$31),-PMT('Interest Rate'!$J$16,'Incremental Repayments'!$I$31,(HLOOKUP($D119,$E$4:$CZ$32,28,FALSE)*'Incremental Repayments'!$I$22)),0),0)</f>
        <v>0</v>
      </c>
      <c r="BA119" s="783">
        <f>IF('Incremental Repayments'!$R$22="Debt",IF(AND(BA$4&gt;=$D119,BA$4&lt;$D119+'Incremental Repayments'!$I$31),-PMT('Interest Rate'!$J$16,'Incremental Repayments'!$I$31,(HLOOKUP($D119,$E$4:$CZ$32,28,FALSE)*'Incremental Repayments'!$I$22)),0),0)</f>
        <v>0</v>
      </c>
      <c r="BB119" s="783">
        <f>IF('Incremental Repayments'!$R$22="Debt",IF(AND(BB$4&gt;=$D119,BB$4&lt;$D119+'Incremental Repayments'!$I$31),-PMT('Interest Rate'!$J$16,'Incremental Repayments'!$I$31,(HLOOKUP($D119,$E$4:$CZ$32,28,FALSE)*'Incremental Repayments'!$I$22)),0),0)</f>
        <v>0</v>
      </c>
      <c r="BC119" s="783">
        <f>IF('Incremental Repayments'!$R$22="Debt",IF(AND(BC$4&gt;=$D119,BC$4&lt;$D119+'Incremental Repayments'!$I$31),-PMT('Interest Rate'!$J$16,'Incremental Repayments'!$I$31,(HLOOKUP($D119,$E$4:$CZ$32,28,FALSE)*'Incremental Repayments'!$I$22)),0),0)</f>
        <v>0</v>
      </c>
      <c r="BD119" s="783">
        <f>IF('Incremental Repayments'!$R$22="Debt",IF(AND(BD$4&gt;=$D119,BD$4&lt;$D119+'Incremental Repayments'!$I$31),-PMT('Interest Rate'!$J$16,'Incremental Repayments'!$I$31,(HLOOKUP($D119,$E$4:$CZ$32,28,FALSE)*'Incremental Repayments'!$I$22)),0),0)</f>
        <v>0</v>
      </c>
      <c r="BE119" s="783">
        <f>IF('Incremental Repayments'!$R$22="Debt",IF(AND(BE$4&gt;=$D119,BE$4&lt;$D119+'Incremental Repayments'!$I$31),-PMT('Interest Rate'!$J$16,'Incremental Repayments'!$I$31,(HLOOKUP($D119,$E$4:$CZ$32,28,FALSE)*'Incremental Repayments'!$I$22)),0),0)</f>
        <v>0</v>
      </c>
      <c r="BF119" s="783">
        <f>IF('Incremental Repayments'!$R$22="Debt",IF(AND(BF$4&gt;=$D119,BF$4&lt;$D119+'Incremental Repayments'!$I$31),-PMT('Interest Rate'!$J$16,'Incremental Repayments'!$I$31,(HLOOKUP($D119,$E$4:$CZ$32,28,FALSE)*'Incremental Repayments'!$I$22)),0),0)</f>
        <v>0</v>
      </c>
      <c r="BG119" s="783">
        <f>IF('Incremental Repayments'!$R$22="Debt",IF(AND(BG$4&gt;=$D119,BG$4&lt;$D119+'Incremental Repayments'!$I$31),-PMT('Interest Rate'!$J$16,'Incremental Repayments'!$I$31,(HLOOKUP($D119,$E$4:$CZ$32,28,FALSE)*'Incremental Repayments'!$I$22)),0),0)</f>
        <v>0</v>
      </c>
      <c r="BH119" s="783">
        <f>IF('Incremental Repayments'!$R$22="Debt",IF(AND(BH$4&gt;=$D119,BH$4&lt;$D119+'Incremental Repayments'!$I$31),-PMT('Interest Rate'!$J$16,'Incremental Repayments'!$I$31,(HLOOKUP($D119,$E$4:$CZ$32,28,FALSE)*'Incremental Repayments'!$I$22)),0),0)</f>
        <v>0</v>
      </c>
      <c r="BI119" s="783">
        <f>IF('Incremental Repayments'!$R$22="Debt",IF(AND(BI$4&gt;=$D119,BI$4&lt;$D119+'Incremental Repayments'!$I$31),-PMT('Interest Rate'!$J$16,'Incremental Repayments'!$I$31,(HLOOKUP($D119,$E$4:$CZ$32,28,FALSE)*'Incremental Repayments'!$I$22)),0),0)</f>
        <v>0</v>
      </c>
      <c r="BJ119" s="783">
        <f>IF('Incremental Repayments'!$R$22="Debt",IF(AND(BJ$4&gt;=$D119,BJ$4&lt;$D119+'Incremental Repayments'!$I$31),-PMT('Interest Rate'!$J$16,'Incremental Repayments'!$I$31,(HLOOKUP($D119,$E$4:$CZ$32,28,FALSE)*'Incremental Repayments'!$I$22)),0),0)</f>
        <v>0</v>
      </c>
      <c r="BK119" s="783">
        <f>IF('Incremental Repayments'!$R$22="Debt",IF(AND(BK$4&gt;=$D119,BK$4&lt;$D119+'Incremental Repayments'!$I$31),-PMT('Interest Rate'!$J$16,'Incremental Repayments'!$I$31,(HLOOKUP($D119,$E$4:$CZ$32,28,FALSE)*'Incremental Repayments'!$I$22)),0),0)</f>
        <v>0</v>
      </c>
      <c r="BL119" s="783">
        <f>IF('Incremental Repayments'!$R$22="Debt",IF(AND(BL$4&gt;=$D119,BL$4&lt;$D119+'Incremental Repayments'!$I$31),-PMT('Interest Rate'!$J$16,'Incremental Repayments'!$I$31,(HLOOKUP($D119,$E$4:$CZ$32,28,FALSE)*'Incremental Repayments'!$I$22)),0),0)</f>
        <v>0</v>
      </c>
      <c r="BM119" s="783">
        <f>IF('Incremental Repayments'!$R$22="Debt",IF(AND(BM$4&gt;=$D119,BM$4&lt;$D119+'Incremental Repayments'!$I$31),-PMT('Interest Rate'!$J$16,'Incremental Repayments'!$I$31,(HLOOKUP($D119,$E$4:$CZ$32,28,FALSE)*'Incremental Repayments'!$I$22)),0),0)</f>
        <v>0</v>
      </c>
      <c r="BN119" s="783">
        <f>IF('Incremental Repayments'!$R$22="Debt",IF(AND(BN$4&gt;=$D119,BN$4&lt;$D119+'Incremental Repayments'!$I$31),-PMT('Interest Rate'!$J$16,'Incremental Repayments'!$I$31,(HLOOKUP($D119,$E$4:$CZ$32,28,FALSE)*'Incremental Repayments'!$I$22)),0),0)</f>
        <v>0</v>
      </c>
      <c r="BO119" s="783">
        <f>IF('Incremental Repayments'!$R$22="Debt",IF(AND(BO$4&gt;=$D119,BO$4&lt;$D119+'Incremental Repayments'!$I$31),-PMT('Interest Rate'!$J$16,'Incremental Repayments'!$I$31,(HLOOKUP($D119,$E$4:$CZ$32,28,FALSE)*'Incremental Repayments'!$I$22)),0),0)</f>
        <v>0</v>
      </c>
      <c r="BP119" s="783">
        <f>IF('Incremental Repayments'!$R$22="Debt",IF(AND(BP$4&gt;=$D119,BP$4&lt;$D119+'Incremental Repayments'!$I$31),-PMT('Interest Rate'!$J$16,'Incremental Repayments'!$I$31,(HLOOKUP($D119,$E$4:$CZ$32,28,FALSE)*'Incremental Repayments'!$I$22)),0),0)</f>
        <v>0</v>
      </c>
      <c r="BQ119" s="783">
        <f>IF('Incremental Repayments'!$R$22="Debt",IF(AND(BQ$4&gt;=$D119,BQ$4&lt;$D119+'Incremental Repayments'!$I$31),-PMT('Interest Rate'!$J$16,'Incremental Repayments'!$I$31,(HLOOKUP($D119,$E$4:$CZ$32,28,FALSE)*'Incremental Repayments'!$I$22)),0),0)</f>
        <v>0</v>
      </c>
      <c r="BR119" s="783">
        <f>IF('Incremental Repayments'!$R$22="Debt",IF(AND(BR$4&gt;=$D119,BR$4&lt;$D119+'Incremental Repayments'!$I$31),-PMT('Interest Rate'!$J$16,'Incremental Repayments'!$I$31,(HLOOKUP($D119,$E$4:$CZ$32,28,FALSE)*'Incremental Repayments'!$I$22)),0),0)</f>
        <v>0</v>
      </c>
      <c r="BS119" s="783">
        <f>IF('Incremental Repayments'!$R$22="Debt",IF(AND(BS$4&gt;=$D119,BS$4&lt;$D119+'Incremental Repayments'!$I$31),-PMT('Interest Rate'!$J$16,'Incremental Repayments'!$I$31,(HLOOKUP($D119,$E$4:$CZ$32,28,FALSE)*'Incremental Repayments'!$I$22)),0),0)</f>
        <v>0</v>
      </c>
      <c r="BT119" s="783">
        <f>IF('Incremental Repayments'!$R$22="Debt",IF(AND(BT$4&gt;=$D119,BT$4&lt;$D119+'Incremental Repayments'!$I$31),-PMT('Interest Rate'!$J$16,'Incremental Repayments'!$I$31,(HLOOKUP($D119,$E$4:$CZ$32,28,FALSE)*'Incremental Repayments'!$I$22)),0),0)</f>
        <v>0</v>
      </c>
      <c r="BU119" s="783">
        <f>IF('Incremental Repayments'!$R$22="Debt",IF(AND(BU$4&gt;=$D119,BU$4&lt;$D119+'Incremental Repayments'!$I$31),-PMT('Interest Rate'!$J$16,'Incremental Repayments'!$I$31,(HLOOKUP($D119,$E$4:$CZ$32,28,FALSE)*'Incremental Repayments'!$I$22)),0),0)</f>
        <v>0</v>
      </c>
      <c r="BV119" s="783">
        <f>IF('Incremental Repayments'!$R$22="Debt",IF(AND(BV$4&gt;=$D119,BV$4&lt;$D119+'Incremental Repayments'!$I$31),-PMT('Interest Rate'!$J$16,'Incremental Repayments'!$I$31,(HLOOKUP($D119,$E$4:$CZ$32,28,FALSE)*'Incremental Repayments'!$I$22)),0),0)</f>
        <v>0</v>
      </c>
      <c r="BW119" s="783">
        <f>IF('Incremental Repayments'!$R$22="Debt",IF(AND(BW$4&gt;=$D119,BW$4&lt;$D119+'Incremental Repayments'!$I$31),-PMT('Interest Rate'!$J$16,'Incremental Repayments'!$I$31,(HLOOKUP($D119,$E$4:$CZ$32,28,FALSE)*'Incremental Repayments'!$I$22)),0),0)</f>
        <v>0</v>
      </c>
      <c r="BX119" s="783">
        <f>IF('Incremental Repayments'!$R$22="Debt",IF(AND(BX$4&gt;=$D119,BX$4&lt;$D119+'Incremental Repayments'!$I$31),-PMT('Interest Rate'!$J$16,'Incremental Repayments'!$I$31,(HLOOKUP($D119,$E$4:$CZ$32,28,FALSE)*'Incremental Repayments'!$I$22)),0),0)</f>
        <v>0</v>
      </c>
      <c r="BY119" s="783">
        <f>IF('Incremental Repayments'!$R$22="Debt",IF(AND(BY$4&gt;=$D119,BY$4&lt;$D119+'Incremental Repayments'!$I$31),-PMT('Interest Rate'!$J$16,'Incremental Repayments'!$I$31,(HLOOKUP($D119,$E$4:$CZ$32,28,FALSE)*'Incremental Repayments'!$I$22)),0),0)</f>
        <v>0</v>
      </c>
      <c r="BZ119" s="783">
        <f>IF('Incremental Repayments'!$R$22="Debt",IF(AND(BZ$4&gt;=$D119,BZ$4&lt;$D119+'Incremental Repayments'!$I$31),-PMT('Interest Rate'!$J$16,'Incremental Repayments'!$I$31,(HLOOKUP($D119,$E$4:$CZ$32,28,FALSE)*'Incremental Repayments'!$I$22)),0),0)</f>
        <v>0</v>
      </c>
      <c r="CA119" s="783">
        <f>IF('Incremental Repayments'!$R$22="Debt",IF(AND(CA$4&gt;=$D119,CA$4&lt;$D119+'Incremental Repayments'!$I$31),-PMT('Interest Rate'!$J$16,'Incremental Repayments'!$I$31,(HLOOKUP($D119,$E$4:$CZ$32,28,FALSE)*'Incremental Repayments'!$I$22)),0),0)</f>
        <v>0</v>
      </c>
      <c r="CB119" s="783">
        <f>IF('Incremental Repayments'!$R$22="Debt",IF(AND(CB$4&gt;=$D119,CB$4&lt;$D119+'Incremental Repayments'!$I$31),-PMT('Interest Rate'!$J$16,'Incremental Repayments'!$I$31,(HLOOKUP($D119,$E$4:$CZ$32,28,FALSE)*'Incremental Repayments'!$I$22)),0),0)</f>
        <v>0</v>
      </c>
      <c r="CC119" s="783">
        <f>IF('Incremental Repayments'!$R$22="Debt",IF(AND(CC$4&gt;=$D119,CC$4&lt;$D119+'Incremental Repayments'!$I$31),-PMT('Interest Rate'!$J$16,'Incremental Repayments'!$I$31,(HLOOKUP($D119,$E$4:$CZ$32,28,FALSE)*'Incremental Repayments'!$I$22)),0),0)</f>
        <v>0</v>
      </c>
      <c r="CD119" s="783">
        <f>IF('Incremental Repayments'!$R$22="Debt",IF(AND(CD$4&gt;=$D119,CD$4&lt;$D119+'Incremental Repayments'!$I$31),-PMT('Interest Rate'!$J$16,'Incremental Repayments'!$I$31,(HLOOKUP($D119,$E$4:$CZ$32,28,FALSE)*'Incremental Repayments'!$I$22)),0),0)</f>
        <v>0</v>
      </c>
      <c r="CE119" s="783">
        <f>IF('Incremental Repayments'!$R$22="Debt",IF(AND(CE$4&gt;=$D119,CE$4&lt;$D119+'Incremental Repayments'!$I$31),-PMT('Interest Rate'!$J$16,'Incremental Repayments'!$I$31,(HLOOKUP($D119,$E$4:$CZ$32,28,FALSE)*'Incremental Repayments'!$I$22)),0),0)</f>
        <v>0</v>
      </c>
      <c r="CF119" s="783">
        <f>IF('Incremental Repayments'!$R$22="Debt",IF(AND(CF$4&gt;=$D119,CF$4&lt;$D119+'Incremental Repayments'!$I$31),-PMT('Interest Rate'!$J$16,'Incremental Repayments'!$I$31,(HLOOKUP($D119,$E$4:$CZ$32,28,FALSE)*'Incremental Repayments'!$I$22)),0),0)</f>
        <v>0</v>
      </c>
      <c r="CG119" s="783">
        <f>IF('Incremental Repayments'!$R$22="Debt",IF(AND(CG$4&gt;=$D119,CG$4&lt;$D119+'Incremental Repayments'!$I$31),-PMT('Interest Rate'!$J$16,'Incremental Repayments'!$I$31,(HLOOKUP($D119,$E$4:$CZ$32,28,FALSE)*'Incremental Repayments'!$I$22)),0),0)</f>
        <v>0</v>
      </c>
      <c r="CH119" s="783">
        <f>IF('Incremental Repayments'!$R$22="Debt",IF(AND(CH$4&gt;=$D119,CH$4&lt;$D119+'Incremental Repayments'!$I$31),-PMT('Interest Rate'!$J$16,'Incremental Repayments'!$I$31,(HLOOKUP($D119,$E$4:$CZ$32,28,FALSE)*'Incremental Repayments'!$I$22)),0),0)</f>
        <v>0</v>
      </c>
      <c r="CI119" s="783">
        <f>IF('Incremental Repayments'!$R$22="Debt",IF(AND(CI$4&gt;=$D119,CI$4&lt;$D119+'Incremental Repayments'!$I$31),-PMT('Interest Rate'!$J$16,'Incremental Repayments'!$I$31,(HLOOKUP($D119,$E$4:$CZ$32,28,FALSE)*'Incremental Repayments'!$I$22)),0),0)</f>
        <v>0</v>
      </c>
      <c r="CJ119" s="783">
        <f>IF('Incremental Repayments'!$R$22="Debt",IF(AND(CJ$4&gt;=$D119,CJ$4&lt;$D119+'Incremental Repayments'!$I$31),-PMT('Interest Rate'!$J$16,'Incremental Repayments'!$I$31,(HLOOKUP($D119,$E$4:$CZ$32,28,FALSE)*'Incremental Repayments'!$I$22)),0),0)</f>
        <v>0</v>
      </c>
      <c r="CK119" s="783">
        <f>IF('Incremental Repayments'!$R$22="Debt",IF(AND(CK$4&gt;=$D119,CK$4&lt;$D119+'Incremental Repayments'!$I$31),-PMT('Interest Rate'!$J$16,'Incremental Repayments'!$I$31,(HLOOKUP($D119,$E$4:$CZ$32,28,FALSE)*'Incremental Repayments'!$I$22)),0),0)</f>
        <v>0</v>
      </c>
      <c r="CL119" s="783">
        <f>IF('Incremental Repayments'!$R$22="Debt",IF(AND(CL$4&gt;=$D119,CL$4&lt;$D119+'Incremental Repayments'!$I$31),-PMT('Interest Rate'!$J$16,'Incremental Repayments'!$I$31,(HLOOKUP($D119,$E$4:$CZ$32,28,FALSE)*'Incremental Repayments'!$I$22)),0),0)</f>
        <v>0</v>
      </c>
      <c r="CM119" s="783">
        <f>IF('Incremental Repayments'!$R$22="Debt",IF(AND(CM$4&gt;=$D119,CM$4&lt;$D119+'Incremental Repayments'!$I$31),-PMT('Interest Rate'!$J$16,'Incremental Repayments'!$I$31,(HLOOKUP($D119,$E$4:$CZ$32,28,FALSE)*'Incremental Repayments'!$I$22)),0),0)</f>
        <v>0</v>
      </c>
      <c r="CN119" s="783">
        <f>IF('Incremental Repayments'!$R$22="Debt",IF(AND(CN$4&gt;=$D119,CN$4&lt;$D119+'Incremental Repayments'!$I$31),-PMT('Interest Rate'!$J$16,'Incremental Repayments'!$I$31,(HLOOKUP($D119,$E$4:$CZ$32,28,FALSE)*'Incremental Repayments'!$I$22)),0),0)</f>
        <v>0</v>
      </c>
      <c r="CO119" s="783">
        <f>IF('Incremental Repayments'!$R$22="Debt",IF(AND(CO$4&gt;=$D119,CO$4&lt;$D119+'Incremental Repayments'!$I$31),-PMT('Interest Rate'!$J$16,'Incremental Repayments'!$I$31,(HLOOKUP($D119,$E$4:$CZ$32,28,FALSE)*'Incremental Repayments'!$I$22)),0),0)</f>
        <v>0</v>
      </c>
      <c r="CP119" s="783">
        <f>IF('Incremental Repayments'!$R$22="Debt",IF(AND(CP$4&gt;=$D119,CP$4&lt;$D119+'Incremental Repayments'!$I$31),-PMT('Interest Rate'!$J$16,'Incremental Repayments'!$I$31,(HLOOKUP($D119,$E$4:$CZ$32,28,FALSE)*'Incremental Repayments'!$I$22)),0),0)</f>
        <v>0</v>
      </c>
      <c r="CQ119" s="783">
        <f>IF('Incremental Repayments'!$R$22="Debt",IF(AND(CQ$4&gt;=$D119,CQ$4&lt;$D119+'Incremental Repayments'!$I$31),-PMT('Interest Rate'!$J$16,'Incremental Repayments'!$I$31,(HLOOKUP($D119,$E$4:$CZ$32,28,FALSE)*'Incremental Repayments'!$I$22)),0),0)</f>
        <v>0</v>
      </c>
      <c r="CR119" s="783">
        <f>IF('Incremental Repayments'!$R$22="Debt",IF(AND(CR$4&gt;=$D119,CR$4&lt;$D119+'Incremental Repayments'!$I$31),-PMT('Interest Rate'!$J$16,'Incremental Repayments'!$I$31,(HLOOKUP($D119,$E$4:$CZ$32,28,FALSE)*'Incremental Repayments'!$I$22)),0),0)</f>
        <v>0</v>
      </c>
      <c r="CS119" s="783">
        <f>IF('Incremental Repayments'!$R$22="Debt",IF(AND(CS$4&gt;=$D119,CS$4&lt;$D119+'Incremental Repayments'!$I$31),-PMT('Interest Rate'!$J$16,'Incremental Repayments'!$I$31,(HLOOKUP($D119,$E$4:$CZ$32,28,FALSE)*'Incremental Repayments'!$I$22)),0),0)</f>
        <v>0</v>
      </c>
      <c r="CT119" s="783">
        <f>IF('Incremental Repayments'!$R$22="Debt",IF(AND(CT$4&gt;=$D119,CT$4&lt;$D119+'Incremental Repayments'!$I$31),-PMT('Interest Rate'!$J$16,'Incremental Repayments'!$I$31,(HLOOKUP($D119,$E$4:$CZ$32,28,FALSE)*'Incremental Repayments'!$I$22)),0),0)</f>
        <v>0</v>
      </c>
      <c r="CU119" s="783">
        <f>IF('Incremental Repayments'!$R$22="Debt",IF(AND(CU$4&gt;=$D119,CU$4&lt;$D119+'Incremental Repayments'!$I$31),-PMT('Interest Rate'!$J$16,'Incremental Repayments'!$I$31,(HLOOKUP($D119,$E$4:$CZ$32,28,FALSE)*'Incremental Repayments'!$I$22)),0),0)</f>
        <v>0</v>
      </c>
      <c r="CV119" s="783">
        <f>IF('Incremental Repayments'!$R$22="Debt",IF(AND(CV$4&gt;=$D119,CV$4&lt;$D119+'Incremental Repayments'!$I$31),-PMT('Interest Rate'!$J$16,'Incremental Repayments'!$I$31,(HLOOKUP($D119,$E$4:$CZ$32,28,FALSE)*'Incremental Repayments'!$I$22)),0),0)</f>
        <v>0</v>
      </c>
      <c r="CW119" s="783">
        <f>IF('Incremental Repayments'!$R$22="Debt",IF(AND(CW$4&gt;=$D119,CW$4&lt;$D119+'Incremental Repayments'!$I$31),-PMT('Interest Rate'!$J$16,'Incremental Repayments'!$I$31,(HLOOKUP($D119,$E$4:$CZ$32,28,FALSE)*'Incremental Repayments'!$I$22)),0),0)</f>
        <v>0</v>
      </c>
      <c r="CX119" s="783">
        <f>IF('Incremental Repayments'!$R$22="Debt",IF(AND(CX$4&gt;=$D119,CX$4&lt;$D119+'Incremental Repayments'!$I$31),-PMT('Interest Rate'!$J$16,'Incremental Repayments'!$I$31,(HLOOKUP($D119,$E$4:$CZ$32,28,FALSE)*'Incremental Repayments'!$I$22)),0),0)</f>
        <v>0</v>
      </c>
      <c r="CY119" s="783">
        <f>IF('Incremental Repayments'!$R$22="Debt",IF(AND(CY$4&gt;=$D119,CY$4&lt;$D119+'Incremental Repayments'!$I$31),-PMT('Interest Rate'!$J$16,'Incremental Repayments'!$I$31,(HLOOKUP($D119,$E$4:$CZ$32,28,FALSE)*'Incremental Repayments'!$I$22)),0),0)</f>
        <v>0</v>
      </c>
      <c r="CZ119" s="783">
        <f>IF('Incremental Repayments'!$R$22="Debt",IF(AND(CZ$4&gt;=$D119,CZ$4&lt;$D119+'Incremental Repayments'!$I$31),-PMT('Interest Rate'!$J$16,'Incremental Repayments'!$I$31,(HLOOKUP($D119,$E$4:$CZ$32,28,FALSE)*'Incremental Repayments'!$I$22)),0),0)</f>
        <v>0</v>
      </c>
    </row>
    <row r="120" spans="1:104" x14ac:dyDescent="0.25">
      <c r="B120" s="480" t="str">
        <f>CONCATENATE("Series ",D120,"A Bonds (at ",'Interest Rate'!$J$16*100,"% Interest)")</f>
        <v>Series 2098A Bonds (at 4.5% Interest)</v>
      </c>
      <c r="C120" s="480"/>
      <c r="D120" s="492">
        <f t="shared" ref="D120:D123" si="48">D119+1</f>
        <v>2098</v>
      </c>
      <c r="E120" s="783">
        <f>IF('Incremental Repayments'!$R$22="Debt",IF(AND(E$4&gt;=$D120,E$4&lt;$D120+'Incremental Repayments'!$I$31),-PMT('Interest Rate'!$J$16,'Incremental Repayments'!$I$31,(HLOOKUP($D120,$E$4:$CZ$32,28,FALSE)*'Incremental Repayments'!$I$22)),0),0)</f>
        <v>0</v>
      </c>
      <c r="F120" s="783">
        <f>IF('Incremental Repayments'!$R$22="Debt",IF(AND(F$4&gt;=$D120,F$4&lt;$D120+'Incremental Repayments'!$I$31),-PMT('Interest Rate'!$J$16,'Incremental Repayments'!$I$31,(HLOOKUP($D120,$E$4:$CZ$32,28,FALSE)*'Incremental Repayments'!$I$22)),0),0)</f>
        <v>0</v>
      </c>
      <c r="G120" s="783">
        <f>IF('Incremental Repayments'!$R$22="Debt",IF(AND(G$4&gt;=$D120,G$4&lt;$D120+'Incremental Repayments'!$I$31),-PMT('Interest Rate'!$J$16,'Incremental Repayments'!$I$31,(HLOOKUP($D120,$E$4:$CZ$32,28,FALSE)*'Incremental Repayments'!$I$22)),0),0)</f>
        <v>0</v>
      </c>
      <c r="H120" s="783">
        <f>IF('Incremental Repayments'!$R$22="Debt",IF(AND(H$4&gt;=$D120,H$4&lt;$D120+'Incremental Repayments'!$I$31),-PMT('Interest Rate'!$J$16,'Incremental Repayments'!$I$31,(HLOOKUP($D120,$E$4:$CZ$32,28,FALSE)*'Incremental Repayments'!$I$22)),0),0)</f>
        <v>0</v>
      </c>
      <c r="I120" s="783">
        <f>IF('Incremental Repayments'!$R$22="Debt",IF(AND(I$4&gt;=$D120,I$4&lt;$D120+'Incremental Repayments'!$I$31),-PMT('Interest Rate'!$J$16,'Incremental Repayments'!$I$31,(HLOOKUP($D120,$E$4:$CZ$32,28,FALSE)*'Incremental Repayments'!$I$22)),0),0)</f>
        <v>0</v>
      </c>
      <c r="J120" s="783">
        <f>IF('Incremental Repayments'!$R$22="Debt",IF(AND(J$4&gt;=$D120,J$4&lt;$D120+'Incremental Repayments'!$I$31),-PMT('Interest Rate'!$J$16,'Incremental Repayments'!$I$31,(HLOOKUP($D120,$E$4:$CZ$32,28,FALSE)*'Incremental Repayments'!$I$22)),0),0)</f>
        <v>0</v>
      </c>
      <c r="K120" s="783">
        <f>IF('Incremental Repayments'!$R$22="Debt",IF(AND(K$4&gt;=$D120,K$4&lt;$D120+'Incremental Repayments'!$I$31),-PMT('Interest Rate'!$J$16,'Incremental Repayments'!$I$31,(HLOOKUP($D120,$E$4:$CZ$32,28,FALSE)*'Incremental Repayments'!$I$22)),0),0)</f>
        <v>0</v>
      </c>
      <c r="L120" s="783">
        <f>IF('Incremental Repayments'!$R$22="Debt",IF(AND(L$4&gt;=$D120,L$4&lt;$D120+'Incremental Repayments'!$I$31),-PMT('Interest Rate'!$J$16,'Incremental Repayments'!$I$31,(HLOOKUP($D120,$E$4:$CZ$32,28,FALSE)*'Incremental Repayments'!$I$22)),0),0)</f>
        <v>0</v>
      </c>
      <c r="M120" s="783">
        <f>IF('Incremental Repayments'!$R$22="Debt",IF(AND(M$4&gt;=$D120,M$4&lt;$D120+'Incremental Repayments'!$I$31),-PMT('Interest Rate'!$J$16,'Incremental Repayments'!$I$31,(HLOOKUP($D120,$E$4:$CZ$32,28,FALSE)*'Incremental Repayments'!$I$22)),0),0)</f>
        <v>0</v>
      </c>
      <c r="N120" s="783">
        <f>IF('Incremental Repayments'!$R$22="Debt",IF(AND(N$4&gt;=$D120,N$4&lt;$D120+'Incremental Repayments'!$I$31),-PMT('Interest Rate'!$J$16,'Incremental Repayments'!$I$31,(HLOOKUP($D120,$E$4:$CZ$32,28,FALSE)*'Incremental Repayments'!$I$22)),0),0)</f>
        <v>0</v>
      </c>
      <c r="O120" s="783">
        <f>IF('Incremental Repayments'!$R$22="Debt",IF(AND(O$4&gt;=$D120,O$4&lt;$D120+'Incremental Repayments'!$I$31),-PMT('Interest Rate'!$J$16,'Incremental Repayments'!$I$31,(HLOOKUP($D120,$E$4:$CZ$32,28,FALSE)*'Incremental Repayments'!$I$22)),0),0)</f>
        <v>0</v>
      </c>
      <c r="P120" s="783">
        <f>IF('Incremental Repayments'!$R$22="Debt",IF(AND(P$4&gt;=$D120,P$4&lt;$D120+'Incremental Repayments'!$I$31),-PMT('Interest Rate'!$J$16,'Incremental Repayments'!$I$31,(HLOOKUP($D120,$E$4:$CZ$32,28,FALSE)*'Incremental Repayments'!$I$22)),0),0)</f>
        <v>0</v>
      </c>
      <c r="Q120" s="783">
        <f>IF('Incremental Repayments'!$R$22="Debt",IF(AND(Q$4&gt;=$D120,Q$4&lt;$D120+'Incremental Repayments'!$I$31),-PMT('Interest Rate'!$J$16,'Incremental Repayments'!$I$31,(HLOOKUP($D120,$E$4:$CZ$32,28,FALSE)*'Incremental Repayments'!$I$22)),0),0)</f>
        <v>0</v>
      </c>
      <c r="R120" s="783">
        <f>IF('Incremental Repayments'!$R$22="Debt",IF(AND(R$4&gt;=$D120,R$4&lt;$D120+'Incremental Repayments'!$I$31),-PMT('Interest Rate'!$J$16,'Incremental Repayments'!$I$31,(HLOOKUP($D120,$E$4:$CZ$32,28,FALSE)*'Incremental Repayments'!$I$22)),0),0)</f>
        <v>0</v>
      </c>
      <c r="S120" s="783">
        <f>IF('Incremental Repayments'!$R$22="Debt",IF(AND(S$4&gt;=$D120,S$4&lt;$D120+'Incremental Repayments'!$I$31),-PMT('Interest Rate'!$J$16,'Incremental Repayments'!$I$31,(HLOOKUP($D120,$E$4:$CZ$32,28,FALSE)*'Incremental Repayments'!$I$22)),0),0)</f>
        <v>0</v>
      </c>
      <c r="T120" s="783">
        <f>IF('Incremental Repayments'!$R$22="Debt",IF(AND(T$4&gt;=$D120,T$4&lt;$D120+'Incremental Repayments'!$I$31),-PMT('Interest Rate'!$J$16,'Incremental Repayments'!$I$31,(HLOOKUP($D120,$E$4:$CZ$32,28,FALSE)*'Incremental Repayments'!$I$22)),0),0)</f>
        <v>0</v>
      </c>
      <c r="U120" s="783">
        <f>IF('Incremental Repayments'!$R$22="Debt",IF(AND(U$4&gt;=$D120,U$4&lt;$D120+'Incremental Repayments'!$I$31),-PMT('Interest Rate'!$J$16,'Incremental Repayments'!$I$31,(HLOOKUP($D120,$E$4:$CZ$32,28,FALSE)*'Incremental Repayments'!$I$22)),0),0)</f>
        <v>0</v>
      </c>
      <c r="V120" s="783">
        <f>IF('Incremental Repayments'!$R$22="Debt",IF(AND(V$4&gt;=$D120,V$4&lt;$D120+'Incremental Repayments'!$I$31),-PMT('Interest Rate'!$J$16,'Incremental Repayments'!$I$31,(HLOOKUP($D120,$E$4:$CZ$32,28,FALSE)*'Incremental Repayments'!$I$22)),0),0)</f>
        <v>0</v>
      </c>
      <c r="W120" s="783">
        <f>IF('Incremental Repayments'!$R$22="Debt",IF(AND(W$4&gt;=$D120,W$4&lt;$D120+'Incremental Repayments'!$I$31),-PMT('Interest Rate'!$J$16,'Incremental Repayments'!$I$31,(HLOOKUP($D120,$E$4:$CZ$32,28,FALSE)*'Incremental Repayments'!$I$22)),0),0)</f>
        <v>0</v>
      </c>
      <c r="X120" s="783">
        <f>IF('Incremental Repayments'!$R$22="Debt",IF(AND(X$4&gt;=$D120,X$4&lt;$D120+'Incremental Repayments'!$I$31),-PMT('Interest Rate'!$J$16,'Incremental Repayments'!$I$31,(HLOOKUP($D120,$E$4:$CZ$32,28,FALSE)*'Incremental Repayments'!$I$22)),0),0)</f>
        <v>0</v>
      </c>
      <c r="Y120" s="783">
        <f>IF('Incremental Repayments'!$R$22="Debt",IF(AND(Y$4&gt;=$D120,Y$4&lt;$D120+'Incremental Repayments'!$I$31),-PMT('Interest Rate'!$J$16,'Incremental Repayments'!$I$31,(HLOOKUP($D120,$E$4:$CZ$32,28,FALSE)*'Incremental Repayments'!$I$22)),0),0)</f>
        <v>0</v>
      </c>
      <c r="Z120" s="783">
        <f>IF('Incremental Repayments'!$R$22="Debt",IF(AND(Z$4&gt;=$D120,Z$4&lt;$D120+'Incremental Repayments'!$I$31),-PMT('Interest Rate'!$J$16,'Incremental Repayments'!$I$31,(HLOOKUP($D120,$E$4:$CZ$32,28,FALSE)*'Incremental Repayments'!$I$22)),0),0)</f>
        <v>0</v>
      </c>
      <c r="AA120" s="783">
        <f>IF('Incremental Repayments'!$R$22="Debt",IF(AND(AA$4&gt;=$D120,AA$4&lt;$D120+'Incremental Repayments'!$I$31),-PMT('Interest Rate'!$J$16,'Incremental Repayments'!$I$31,(HLOOKUP($D120,$E$4:$CZ$32,28,FALSE)*'Incremental Repayments'!$I$22)),0),0)</f>
        <v>0</v>
      </c>
      <c r="AB120" s="783">
        <f>IF('Incremental Repayments'!$R$22="Debt",IF(AND(AB$4&gt;=$D120,AB$4&lt;$D120+'Incremental Repayments'!$I$31),-PMT('Interest Rate'!$J$16,'Incremental Repayments'!$I$31,(HLOOKUP($D120,$E$4:$CZ$32,28,FALSE)*'Incremental Repayments'!$I$22)),0),0)</f>
        <v>0</v>
      </c>
      <c r="AC120" s="783">
        <f>IF('Incremental Repayments'!$R$22="Debt",IF(AND(AC$4&gt;=$D120,AC$4&lt;$D120+'Incremental Repayments'!$I$31),-PMT('Interest Rate'!$J$16,'Incremental Repayments'!$I$31,(HLOOKUP($D120,$E$4:$CZ$32,28,FALSE)*'Incremental Repayments'!$I$22)),0),0)</f>
        <v>0</v>
      </c>
      <c r="AD120" s="783">
        <f>IF('Incremental Repayments'!$R$22="Debt",IF(AND(AD$4&gt;=$D120,AD$4&lt;$D120+'Incremental Repayments'!$I$31),-PMT('Interest Rate'!$J$16,'Incremental Repayments'!$I$31,(HLOOKUP($D120,$E$4:$CZ$32,28,FALSE)*'Incremental Repayments'!$I$22)),0),0)</f>
        <v>0</v>
      </c>
      <c r="AE120" s="783">
        <f>IF('Incremental Repayments'!$R$22="Debt",IF(AND(AE$4&gt;=$D120,AE$4&lt;$D120+'Incremental Repayments'!$I$31),-PMT('Interest Rate'!$J$16,'Incremental Repayments'!$I$31,(HLOOKUP($D120,$E$4:$CZ$32,28,FALSE)*'Incremental Repayments'!$I$22)),0),0)</f>
        <v>0</v>
      </c>
      <c r="AF120" s="783">
        <f>IF('Incremental Repayments'!$R$22="Debt",IF(AND(AF$4&gt;=$D120,AF$4&lt;$D120+'Incremental Repayments'!$I$31),-PMT('Interest Rate'!$J$16,'Incremental Repayments'!$I$31,(HLOOKUP($D120,$E$4:$CZ$32,28,FALSE)*'Incremental Repayments'!$I$22)),0),0)</f>
        <v>0</v>
      </c>
      <c r="AG120" s="783">
        <f>IF('Incremental Repayments'!$R$22="Debt",IF(AND(AG$4&gt;=$D120,AG$4&lt;$D120+'Incremental Repayments'!$I$31),-PMT('Interest Rate'!$J$16,'Incremental Repayments'!$I$31,(HLOOKUP($D120,$E$4:$CZ$32,28,FALSE)*'Incremental Repayments'!$I$22)),0),0)</f>
        <v>0</v>
      </c>
      <c r="AH120" s="783">
        <f>IF('Incremental Repayments'!$R$22="Debt",IF(AND(AH$4&gt;=$D120,AH$4&lt;$D120+'Incremental Repayments'!$I$31),-PMT('Interest Rate'!$J$16,'Incremental Repayments'!$I$31,(HLOOKUP($D120,$E$4:$CZ$32,28,FALSE)*'Incremental Repayments'!$I$22)),0),0)</f>
        <v>0</v>
      </c>
      <c r="AI120" s="783">
        <f>IF('Incremental Repayments'!$R$22="Debt",IF(AND(AI$4&gt;=$D120,AI$4&lt;$D120+'Incremental Repayments'!$I$31),-PMT('Interest Rate'!$J$16,'Incremental Repayments'!$I$31,(HLOOKUP($D120,$E$4:$CZ$32,28,FALSE)*'Incremental Repayments'!$I$22)),0),0)</f>
        <v>0</v>
      </c>
      <c r="AJ120" s="783">
        <f>IF('Incremental Repayments'!$R$22="Debt",IF(AND(AJ$4&gt;=$D120,AJ$4&lt;$D120+'Incremental Repayments'!$I$31),-PMT('Interest Rate'!$J$16,'Incremental Repayments'!$I$31,(HLOOKUP($D120,$E$4:$CZ$32,28,FALSE)*'Incremental Repayments'!$I$22)),0),0)</f>
        <v>0</v>
      </c>
      <c r="AK120" s="783">
        <f>IF('Incremental Repayments'!$R$22="Debt",IF(AND(AK$4&gt;=$D120,AK$4&lt;$D120+'Incremental Repayments'!$I$31),-PMT('Interest Rate'!$J$16,'Incremental Repayments'!$I$31,(HLOOKUP($D120,$E$4:$CZ$32,28,FALSE)*'Incremental Repayments'!$I$22)),0),0)</f>
        <v>0</v>
      </c>
      <c r="AL120" s="783">
        <f>IF('Incremental Repayments'!$R$22="Debt",IF(AND(AL$4&gt;=$D120,AL$4&lt;$D120+'Incremental Repayments'!$I$31),-PMT('Interest Rate'!$J$16,'Incremental Repayments'!$I$31,(HLOOKUP($D120,$E$4:$CZ$32,28,FALSE)*'Incremental Repayments'!$I$22)),0),0)</f>
        <v>0</v>
      </c>
      <c r="AM120" s="783">
        <f>IF('Incremental Repayments'!$R$22="Debt",IF(AND(AM$4&gt;=$D120,AM$4&lt;$D120+'Incremental Repayments'!$I$31),-PMT('Interest Rate'!$J$16,'Incremental Repayments'!$I$31,(HLOOKUP($D120,$E$4:$CZ$32,28,FALSE)*'Incremental Repayments'!$I$22)),0),0)</f>
        <v>0</v>
      </c>
      <c r="AN120" s="783">
        <f>IF('Incremental Repayments'!$R$22="Debt",IF(AND(AN$4&gt;=$D120,AN$4&lt;$D120+'Incremental Repayments'!$I$31),-PMT('Interest Rate'!$J$16,'Incremental Repayments'!$I$31,(HLOOKUP($D120,$E$4:$CZ$32,28,FALSE)*'Incremental Repayments'!$I$22)),0),0)</f>
        <v>0</v>
      </c>
      <c r="AO120" s="783">
        <f>IF('Incremental Repayments'!$R$22="Debt",IF(AND(AO$4&gt;=$D120,AO$4&lt;$D120+'Incremental Repayments'!$I$31),-PMT('Interest Rate'!$J$16,'Incremental Repayments'!$I$31,(HLOOKUP($D120,$E$4:$CZ$32,28,FALSE)*'Incremental Repayments'!$I$22)),0),0)</f>
        <v>0</v>
      </c>
      <c r="AP120" s="783">
        <f>IF('Incremental Repayments'!$R$22="Debt",IF(AND(AP$4&gt;=$D120,AP$4&lt;$D120+'Incremental Repayments'!$I$31),-PMT('Interest Rate'!$J$16,'Incremental Repayments'!$I$31,(HLOOKUP($D120,$E$4:$CZ$32,28,FALSE)*'Incremental Repayments'!$I$22)),0),0)</f>
        <v>0</v>
      </c>
      <c r="AQ120" s="783">
        <f>IF('Incremental Repayments'!$R$22="Debt",IF(AND(AQ$4&gt;=$D120,AQ$4&lt;$D120+'Incremental Repayments'!$I$31),-PMT('Interest Rate'!$J$16,'Incremental Repayments'!$I$31,(HLOOKUP($D120,$E$4:$CZ$32,28,FALSE)*'Incremental Repayments'!$I$22)),0),0)</f>
        <v>0</v>
      </c>
      <c r="AR120" s="783">
        <f>IF('Incremental Repayments'!$R$22="Debt",IF(AND(AR$4&gt;=$D120,AR$4&lt;$D120+'Incremental Repayments'!$I$31),-PMT('Interest Rate'!$J$16,'Incremental Repayments'!$I$31,(HLOOKUP($D120,$E$4:$CZ$32,28,FALSE)*'Incremental Repayments'!$I$22)),0),0)</f>
        <v>0</v>
      </c>
      <c r="AS120" s="783">
        <f>IF('Incremental Repayments'!$R$22="Debt",IF(AND(AS$4&gt;=$D120,AS$4&lt;$D120+'Incremental Repayments'!$I$31),-PMT('Interest Rate'!$J$16,'Incremental Repayments'!$I$31,(HLOOKUP($D120,$E$4:$CZ$32,28,FALSE)*'Incremental Repayments'!$I$22)),0),0)</f>
        <v>0</v>
      </c>
      <c r="AT120" s="783">
        <f>IF('Incremental Repayments'!$R$22="Debt",IF(AND(AT$4&gt;=$D120,AT$4&lt;$D120+'Incremental Repayments'!$I$31),-PMT('Interest Rate'!$J$16,'Incremental Repayments'!$I$31,(HLOOKUP($D120,$E$4:$CZ$32,28,FALSE)*'Incremental Repayments'!$I$22)),0),0)</f>
        <v>0</v>
      </c>
      <c r="AU120" s="783">
        <f>IF('Incremental Repayments'!$R$22="Debt",IF(AND(AU$4&gt;=$D120,AU$4&lt;$D120+'Incremental Repayments'!$I$31),-PMT('Interest Rate'!$J$16,'Incremental Repayments'!$I$31,(HLOOKUP($D120,$E$4:$CZ$32,28,FALSE)*'Incremental Repayments'!$I$22)),0),0)</f>
        <v>0</v>
      </c>
      <c r="AV120" s="783">
        <f>IF('Incremental Repayments'!$R$22="Debt",IF(AND(AV$4&gt;=$D120,AV$4&lt;$D120+'Incremental Repayments'!$I$31),-PMT('Interest Rate'!$J$16,'Incremental Repayments'!$I$31,(HLOOKUP($D120,$E$4:$CZ$32,28,FALSE)*'Incremental Repayments'!$I$22)),0),0)</f>
        <v>0</v>
      </c>
      <c r="AW120" s="783">
        <f>IF('Incremental Repayments'!$R$22="Debt",IF(AND(AW$4&gt;=$D120,AW$4&lt;$D120+'Incremental Repayments'!$I$31),-PMT('Interest Rate'!$J$16,'Incremental Repayments'!$I$31,(HLOOKUP($D120,$E$4:$CZ$32,28,FALSE)*'Incremental Repayments'!$I$22)),0),0)</f>
        <v>0</v>
      </c>
      <c r="AX120" s="783">
        <f>IF('Incremental Repayments'!$R$22="Debt",IF(AND(AX$4&gt;=$D120,AX$4&lt;$D120+'Incremental Repayments'!$I$31),-PMT('Interest Rate'!$J$16,'Incremental Repayments'!$I$31,(HLOOKUP($D120,$E$4:$CZ$32,28,FALSE)*'Incremental Repayments'!$I$22)),0),0)</f>
        <v>0</v>
      </c>
      <c r="AY120" s="783">
        <f>IF('Incremental Repayments'!$R$22="Debt",IF(AND(AY$4&gt;=$D120,AY$4&lt;$D120+'Incremental Repayments'!$I$31),-PMT('Interest Rate'!$J$16,'Incremental Repayments'!$I$31,(HLOOKUP($D120,$E$4:$CZ$32,28,FALSE)*'Incremental Repayments'!$I$22)),0),0)</f>
        <v>0</v>
      </c>
      <c r="AZ120" s="783">
        <f>IF('Incremental Repayments'!$R$22="Debt",IF(AND(AZ$4&gt;=$D120,AZ$4&lt;$D120+'Incremental Repayments'!$I$31),-PMT('Interest Rate'!$J$16,'Incremental Repayments'!$I$31,(HLOOKUP($D120,$E$4:$CZ$32,28,FALSE)*'Incremental Repayments'!$I$22)),0),0)</f>
        <v>0</v>
      </c>
      <c r="BA120" s="783">
        <f>IF('Incremental Repayments'!$R$22="Debt",IF(AND(BA$4&gt;=$D120,BA$4&lt;$D120+'Incremental Repayments'!$I$31),-PMT('Interest Rate'!$J$16,'Incremental Repayments'!$I$31,(HLOOKUP($D120,$E$4:$CZ$32,28,FALSE)*'Incremental Repayments'!$I$22)),0),0)</f>
        <v>0</v>
      </c>
      <c r="BB120" s="783">
        <f>IF('Incremental Repayments'!$R$22="Debt",IF(AND(BB$4&gt;=$D120,BB$4&lt;$D120+'Incremental Repayments'!$I$31),-PMT('Interest Rate'!$J$16,'Incremental Repayments'!$I$31,(HLOOKUP($D120,$E$4:$CZ$32,28,FALSE)*'Incremental Repayments'!$I$22)),0),0)</f>
        <v>0</v>
      </c>
      <c r="BC120" s="783">
        <f>IF('Incremental Repayments'!$R$22="Debt",IF(AND(BC$4&gt;=$D120,BC$4&lt;$D120+'Incremental Repayments'!$I$31),-PMT('Interest Rate'!$J$16,'Incremental Repayments'!$I$31,(HLOOKUP($D120,$E$4:$CZ$32,28,FALSE)*'Incremental Repayments'!$I$22)),0),0)</f>
        <v>0</v>
      </c>
      <c r="BD120" s="783">
        <f>IF('Incremental Repayments'!$R$22="Debt",IF(AND(BD$4&gt;=$D120,BD$4&lt;$D120+'Incremental Repayments'!$I$31),-PMT('Interest Rate'!$J$16,'Incremental Repayments'!$I$31,(HLOOKUP($D120,$E$4:$CZ$32,28,FALSE)*'Incremental Repayments'!$I$22)),0),0)</f>
        <v>0</v>
      </c>
      <c r="BE120" s="783">
        <f>IF('Incremental Repayments'!$R$22="Debt",IF(AND(BE$4&gt;=$D120,BE$4&lt;$D120+'Incremental Repayments'!$I$31),-PMT('Interest Rate'!$J$16,'Incremental Repayments'!$I$31,(HLOOKUP($D120,$E$4:$CZ$32,28,FALSE)*'Incremental Repayments'!$I$22)),0),0)</f>
        <v>0</v>
      </c>
      <c r="BF120" s="783">
        <f>IF('Incremental Repayments'!$R$22="Debt",IF(AND(BF$4&gt;=$D120,BF$4&lt;$D120+'Incremental Repayments'!$I$31),-PMT('Interest Rate'!$J$16,'Incremental Repayments'!$I$31,(HLOOKUP($D120,$E$4:$CZ$32,28,FALSE)*'Incremental Repayments'!$I$22)),0),0)</f>
        <v>0</v>
      </c>
      <c r="BG120" s="783">
        <f>IF('Incremental Repayments'!$R$22="Debt",IF(AND(BG$4&gt;=$D120,BG$4&lt;$D120+'Incremental Repayments'!$I$31),-PMT('Interest Rate'!$J$16,'Incremental Repayments'!$I$31,(HLOOKUP($D120,$E$4:$CZ$32,28,FALSE)*'Incremental Repayments'!$I$22)),0),0)</f>
        <v>0</v>
      </c>
      <c r="BH120" s="783">
        <f>IF('Incremental Repayments'!$R$22="Debt",IF(AND(BH$4&gt;=$D120,BH$4&lt;$D120+'Incremental Repayments'!$I$31),-PMT('Interest Rate'!$J$16,'Incremental Repayments'!$I$31,(HLOOKUP($D120,$E$4:$CZ$32,28,FALSE)*'Incremental Repayments'!$I$22)),0),0)</f>
        <v>0</v>
      </c>
      <c r="BI120" s="783">
        <f>IF('Incremental Repayments'!$R$22="Debt",IF(AND(BI$4&gt;=$D120,BI$4&lt;$D120+'Incremental Repayments'!$I$31),-PMT('Interest Rate'!$J$16,'Incremental Repayments'!$I$31,(HLOOKUP($D120,$E$4:$CZ$32,28,FALSE)*'Incremental Repayments'!$I$22)),0),0)</f>
        <v>0</v>
      </c>
      <c r="BJ120" s="783">
        <f>IF('Incremental Repayments'!$R$22="Debt",IF(AND(BJ$4&gt;=$D120,BJ$4&lt;$D120+'Incremental Repayments'!$I$31),-PMT('Interest Rate'!$J$16,'Incremental Repayments'!$I$31,(HLOOKUP($D120,$E$4:$CZ$32,28,FALSE)*'Incremental Repayments'!$I$22)),0),0)</f>
        <v>0</v>
      </c>
      <c r="BK120" s="783">
        <f>IF('Incremental Repayments'!$R$22="Debt",IF(AND(BK$4&gt;=$D120,BK$4&lt;$D120+'Incremental Repayments'!$I$31),-PMT('Interest Rate'!$J$16,'Incremental Repayments'!$I$31,(HLOOKUP($D120,$E$4:$CZ$32,28,FALSE)*'Incremental Repayments'!$I$22)),0),0)</f>
        <v>0</v>
      </c>
      <c r="BL120" s="783">
        <f>IF('Incremental Repayments'!$R$22="Debt",IF(AND(BL$4&gt;=$D120,BL$4&lt;$D120+'Incremental Repayments'!$I$31),-PMT('Interest Rate'!$J$16,'Incremental Repayments'!$I$31,(HLOOKUP($D120,$E$4:$CZ$32,28,FALSE)*'Incremental Repayments'!$I$22)),0),0)</f>
        <v>0</v>
      </c>
      <c r="BM120" s="783">
        <f>IF('Incremental Repayments'!$R$22="Debt",IF(AND(BM$4&gt;=$D120,BM$4&lt;$D120+'Incremental Repayments'!$I$31),-PMT('Interest Rate'!$J$16,'Incremental Repayments'!$I$31,(HLOOKUP($D120,$E$4:$CZ$32,28,FALSE)*'Incremental Repayments'!$I$22)),0),0)</f>
        <v>0</v>
      </c>
      <c r="BN120" s="783">
        <f>IF('Incremental Repayments'!$R$22="Debt",IF(AND(BN$4&gt;=$D120,BN$4&lt;$D120+'Incremental Repayments'!$I$31),-PMT('Interest Rate'!$J$16,'Incremental Repayments'!$I$31,(HLOOKUP($D120,$E$4:$CZ$32,28,FALSE)*'Incremental Repayments'!$I$22)),0),0)</f>
        <v>0</v>
      </c>
      <c r="BO120" s="783">
        <f>IF('Incremental Repayments'!$R$22="Debt",IF(AND(BO$4&gt;=$D120,BO$4&lt;$D120+'Incremental Repayments'!$I$31),-PMT('Interest Rate'!$J$16,'Incremental Repayments'!$I$31,(HLOOKUP($D120,$E$4:$CZ$32,28,FALSE)*'Incremental Repayments'!$I$22)),0),0)</f>
        <v>0</v>
      </c>
      <c r="BP120" s="783">
        <f>IF('Incremental Repayments'!$R$22="Debt",IF(AND(BP$4&gt;=$D120,BP$4&lt;$D120+'Incremental Repayments'!$I$31),-PMT('Interest Rate'!$J$16,'Incremental Repayments'!$I$31,(HLOOKUP($D120,$E$4:$CZ$32,28,FALSE)*'Incremental Repayments'!$I$22)),0),0)</f>
        <v>0</v>
      </c>
      <c r="BQ120" s="783">
        <f>IF('Incremental Repayments'!$R$22="Debt",IF(AND(BQ$4&gt;=$D120,BQ$4&lt;$D120+'Incremental Repayments'!$I$31),-PMT('Interest Rate'!$J$16,'Incremental Repayments'!$I$31,(HLOOKUP($D120,$E$4:$CZ$32,28,FALSE)*'Incremental Repayments'!$I$22)),0),0)</f>
        <v>0</v>
      </c>
      <c r="BR120" s="783">
        <f>IF('Incremental Repayments'!$R$22="Debt",IF(AND(BR$4&gt;=$D120,BR$4&lt;$D120+'Incremental Repayments'!$I$31),-PMT('Interest Rate'!$J$16,'Incremental Repayments'!$I$31,(HLOOKUP($D120,$E$4:$CZ$32,28,FALSE)*'Incremental Repayments'!$I$22)),0),0)</f>
        <v>0</v>
      </c>
      <c r="BS120" s="783">
        <f>IF('Incremental Repayments'!$R$22="Debt",IF(AND(BS$4&gt;=$D120,BS$4&lt;$D120+'Incremental Repayments'!$I$31),-PMT('Interest Rate'!$J$16,'Incremental Repayments'!$I$31,(HLOOKUP($D120,$E$4:$CZ$32,28,FALSE)*'Incremental Repayments'!$I$22)),0),0)</f>
        <v>0</v>
      </c>
      <c r="BT120" s="783">
        <f>IF('Incremental Repayments'!$R$22="Debt",IF(AND(BT$4&gt;=$D120,BT$4&lt;$D120+'Incremental Repayments'!$I$31),-PMT('Interest Rate'!$J$16,'Incremental Repayments'!$I$31,(HLOOKUP($D120,$E$4:$CZ$32,28,FALSE)*'Incremental Repayments'!$I$22)),0),0)</f>
        <v>0</v>
      </c>
      <c r="BU120" s="783">
        <f>IF('Incremental Repayments'!$R$22="Debt",IF(AND(BU$4&gt;=$D120,BU$4&lt;$D120+'Incremental Repayments'!$I$31),-PMT('Interest Rate'!$J$16,'Incremental Repayments'!$I$31,(HLOOKUP($D120,$E$4:$CZ$32,28,FALSE)*'Incremental Repayments'!$I$22)),0),0)</f>
        <v>0</v>
      </c>
      <c r="BV120" s="783">
        <f>IF('Incremental Repayments'!$R$22="Debt",IF(AND(BV$4&gt;=$D120,BV$4&lt;$D120+'Incremental Repayments'!$I$31),-PMT('Interest Rate'!$J$16,'Incremental Repayments'!$I$31,(HLOOKUP($D120,$E$4:$CZ$32,28,FALSE)*'Incremental Repayments'!$I$22)),0),0)</f>
        <v>0</v>
      </c>
      <c r="BW120" s="783">
        <f>IF('Incremental Repayments'!$R$22="Debt",IF(AND(BW$4&gt;=$D120,BW$4&lt;$D120+'Incremental Repayments'!$I$31),-PMT('Interest Rate'!$J$16,'Incremental Repayments'!$I$31,(HLOOKUP($D120,$E$4:$CZ$32,28,FALSE)*'Incremental Repayments'!$I$22)),0),0)</f>
        <v>0</v>
      </c>
      <c r="BX120" s="783">
        <f>IF('Incremental Repayments'!$R$22="Debt",IF(AND(BX$4&gt;=$D120,BX$4&lt;$D120+'Incremental Repayments'!$I$31),-PMT('Interest Rate'!$J$16,'Incremental Repayments'!$I$31,(HLOOKUP($D120,$E$4:$CZ$32,28,FALSE)*'Incremental Repayments'!$I$22)),0),0)</f>
        <v>0</v>
      </c>
      <c r="BY120" s="783">
        <f>IF('Incremental Repayments'!$R$22="Debt",IF(AND(BY$4&gt;=$D120,BY$4&lt;$D120+'Incremental Repayments'!$I$31),-PMT('Interest Rate'!$J$16,'Incremental Repayments'!$I$31,(HLOOKUP($D120,$E$4:$CZ$32,28,FALSE)*'Incremental Repayments'!$I$22)),0),0)</f>
        <v>0</v>
      </c>
      <c r="BZ120" s="783">
        <f>IF('Incremental Repayments'!$R$22="Debt",IF(AND(BZ$4&gt;=$D120,BZ$4&lt;$D120+'Incremental Repayments'!$I$31),-PMT('Interest Rate'!$J$16,'Incremental Repayments'!$I$31,(HLOOKUP($D120,$E$4:$CZ$32,28,FALSE)*'Incremental Repayments'!$I$22)),0),0)</f>
        <v>0</v>
      </c>
      <c r="CA120" s="783">
        <f>IF('Incremental Repayments'!$R$22="Debt",IF(AND(CA$4&gt;=$D120,CA$4&lt;$D120+'Incremental Repayments'!$I$31),-PMT('Interest Rate'!$J$16,'Incremental Repayments'!$I$31,(HLOOKUP($D120,$E$4:$CZ$32,28,FALSE)*'Incremental Repayments'!$I$22)),0),0)</f>
        <v>0</v>
      </c>
      <c r="CB120" s="783">
        <f>IF('Incremental Repayments'!$R$22="Debt",IF(AND(CB$4&gt;=$D120,CB$4&lt;$D120+'Incremental Repayments'!$I$31),-PMT('Interest Rate'!$J$16,'Incremental Repayments'!$I$31,(HLOOKUP($D120,$E$4:$CZ$32,28,FALSE)*'Incremental Repayments'!$I$22)),0),0)</f>
        <v>0</v>
      </c>
      <c r="CC120" s="783">
        <f>IF('Incremental Repayments'!$R$22="Debt",IF(AND(CC$4&gt;=$D120,CC$4&lt;$D120+'Incremental Repayments'!$I$31),-PMT('Interest Rate'!$J$16,'Incremental Repayments'!$I$31,(HLOOKUP($D120,$E$4:$CZ$32,28,FALSE)*'Incremental Repayments'!$I$22)),0),0)</f>
        <v>0</v>
      </c>
      <c r="CD120" s="783">
        <f>IF('Incremental Repayments'!$R$22="Debt",IF(AND(CD$4&gt;=$D120,CD$4&lt;$D120+'Incremental Repayments'!$I$31),-PMT('Interest Rate'!$J$16,'Incremental Repayments'!$I$31,(HLOOKUP($D120,$E$4:$CZ$32,28,FALSE)*'Incremental Repayments'!$I$22)),0),0)</f>
        <v>0</v>
      </c>
      <c r="CE120" s="783">
        <f>IF('Incremental Repayments'!$R$22="Debt",IF(AND(CE$4&gt;=$D120,CE$4&lt;$D120+'Incremental Repayments'!$I$31),-PMT('Interest Rate'!$J$16,'Incremental Repayments'!$I$31,(HLOOKUP($D120,$E$4:$CZ$32,28,FALSE)*'Incremental Repayments'!$I$22)),0),0)</f>
        <v>0</v>
      </c>
      <c r="CF120" s="783">
        <f>IF('Incremental Repayments'!$R$22="Debt",IF(AND(CF$4&gt;=$D120,CF$4&lt;$D120+'Incremental Repayments'!$I$31),-PMT('Interest Rate'!$J$16,'Incremental Repayments'!$I$31,(HLOOKUP($D120,$E$4:$CZ$32,28,FALSE)*'Incremental Repayments'!$I$22)),0),0)</f>
        <v>0</v>
      </c>
      <c r="CG120" s="783">
        <f>IF('Incremental Repayments'!$R$22="Debt",IF(AND(CG$4&gt;=$D120,CG$4&lt;$D120+'Incremental Repayments'!$I$31),-PMT('Interest Rate'!$J$16,'Incremental Repayments'!$I$31,(HLOOKUP($D120,$E$4:$CZ$32,28,FALSE)*'Incremental Repayments'!$I$22)),0),0)</f>
        <v>0</v>
      </c>
      <c r="CH120" s="783">
        <f>IF('Incremental Repayments'!$R$22="Debt",IF(AND(CH$4&gt;=$D120,CH$4&lt;$D120+'Incremental Repayments'!$I$31),-PMT('Interest Rate'!$J$16,'Incremental Repayments'!$I$31,(HLOOKUP($D120,$E$4:$CZ$32,28,FALSE)*'Incremental Repayments'!$I$22)),0),0)</f>
        <v>0</v>
      </c>
      <c r="CI120" s="783">
        <f>IF('Incremental Repayments'!$R$22="Debt",IF(AND(CI$4&gt;=$D120,CI$4&lt;$D120+'Incremental Repayments'!$I$31),-PMT('Interest Rate'!$J$16,'Incremental Repayments'!$I$31,(HLOOKUP($D120,$E$4:$CZ$32,28,FALSE)*'Incremental Repayments'!$I$22)),0),0)</f>
        <v>0</v>
      </c>
      <c r="CJ120" s="783">
        <f>IF('Incremental Repayments'!$R$22="Debt",IF(AND(CJ$4&gt;=$D120,CJ$4&lt;$D120+'Incremental Repayments'!$I$31),-PMT('Interest Rate'!$J$16,'Incremental Repayments'!$I$31,(HLOOKUP($D120,$E$4:$CZ$32,28,FALSE)*'Incremental Repayments'!$I$22)),0),0)</f>
        <v>0</v>
      </c>
      <c r="CK120" s="783">
        <f>IF('Incremental Repayments'!$R$22="Debt",IF(AND(CK$4&gt;=$D120,CK$4&lt;$D120+'Incremental Repayments'!$I$31),-PMT('Interest Rate'!$J$16,'Incremental Repayments'!$I$31,(HLOOKUP($D120,$E$4:$CZ$32,28,FALSE)*'Incremental Repayments'!$I$22)),0),0)</f>
        <v>0</v>
      </c>
      <c r="CL120" s="783">
        <f>IF('Incremental Repayments'!$R$22="Debt",IF(AND(CL$4&gt;=$D120,CL$4&lt;$D120+'Incremental Repayments'!$I$31),-PMT('Interest Rate'!$J$16,'Incremental Repayments'!$I$31,(HLOOKUP($D120,$E$4:$CZ$32,28,FALSE)*'Incremental Repayments'!$I$22)),0),0)</f>
        <v>0</v>
      </c>
      <c r="CM120" s="783">
        <f>IF('Incremental Repayments'!$R$22="Debt",IF(AND(CM$4&gt;=$D120,CM$4&lt;$D120+'Incremental Repayments'!$I$31),-PMT('Interest Rate'!$J$16,'Incremental Repayments'!$I$31,(HLOOKUP($D120,$E$4:$CZ$32,28,FALSE)*'Incremental Repayments'!$I$22)),0),0)</f>
        <v>0</v>
      </c>
      <c r="CN120" s="783">
        <f>IF('Incremental Repayments'!$R$22="Debt",IF(AND(CN$4&gt;=$D120,CN$4&lt;$D120+'Incremental Repayments'!$I$31),-PMT('Interest Rate'!$J$16,'Incremental Repayments'!$I$31,(HLOOKUP($D120,$E$4:$CZ$32,28,FALSE)*'Incremental Repayments'!$I$22)),0),0)</f>
        <v>0</v>
      </c>
      <c r="CO120" s="783">
        <f>IF('Incremental Repayments'!$R$22="Debt",IF(AND(CO$4&gt;=$D120,CO$4&lt;$D120+'Incremental Repayments'!$I$31),-PMT('Interest Rate'!$J$16,'Incremental Repayments'!$I$31,(HLOOKUP($D120,$E$4:$CZ$32,28,FALSE)*'Incremental Repayments'!$I$22)),0),0)</f>
        <v>0</v>
      </c>
      <c r="CP120" s="783">
        <f>IF('Incremental Repayments'!$R$22="Debt",IF(AND(CP$4&gt;=$D120,CP$4&lt;$D120+'Incremental Repayments'!$I$31),-PMT('Interest Rate'!$J$16,'Incremental Repayments'!$I$31,(HLOOKUP($D120,$E$4:$CZ$32,28,FALSE)*'Incremental Repayments'!$I$22)),0),0)</f>
        <v>0</v>
      </c>
      <c r="CQ120" s="783">
        <f>IF('Incremental Repayments'!$R$22="Debt",IF(AND(CQ$4&gt;=$D120,CQ$4&lt;$D120+'Incremental Repayments'!$I$31),-PMT('Interest Rate'!$J$16,'Incremental Repayments'!$I$31,(HLOOKUP($D120,$E$4:$CZ$32,28,FALSE)*'Incremental Repayments'!$I$22)),0),0)</f>
        <v>0</v>
      </c>
      <c r="CR120" s="783">
        <f>IF('Incremental Repayments'!$R$22="Debt",IF(AND(CR$4&gt;=$D120,CR$4&lt;$D120+'Incremental Repayments'!$I$31),-PMT('Interest Rate'!$J$16,'Incremental Repayments'!$I$31,(HLOOKUP($D120,$E$4:$CZ$32,28,FALSE)*'Incremental Repayments'!$I$22)),0),0)</f>
        <v>0</v>
      </c>
      <c r="CS120" s="783">
        <f>IF('Incremental Repayments'!$R$22="Debt",IF(AND(CS$4&gt;=$D120,CS$4&lt;$D120+'Incremental Repayments'!$I$31),-PMT('Interest Rate'!$J$16,'Incremental Repayments'!$I$31,(HLOOKUP($D120,$E$4:$CZ$32,28,FALSE)*'Incremental Repayments'!$I$22)),0),0)</f>
        <v>0</v>
      </c>
      <c r="CT120" s="783">
        <f>IF('Incremental Repayments'!$R$22="Debt",IF(AND(CT$4&gt;=$D120,CT$4&lt;$D120+'Incremental Repayments'!$I$31),-PMT('Interest Rate'!$J$16,'Incremental Repayments'!$I$31,(HLOOKUP($D120,$E$4:$CZ$32,28,FALSE)*'Incremental Repayments'!$I$22)),0),0)</f>
        <v>0</v>
      </c>
      <c r="CU120" s="783">
        <f>IF('Incremental Repayments'!$R$22="Debt",IF(AND(CU$4&gt;=$D120,CU$4&lt;$D120+'Incremental Repayments'!$I$31),-PMT('Interest Rate'!$J$16,'Incremental Repayments'!$I$31,(HLOOKUP($D120,$E$4:$CZ$32,28,FALSE)*'Incremental Repayments'!$I$22)),0),0)</f>
        <v>0</v>
      </c>
      <c r="CV120" s="783">
        <f>IF('Incremental Repayments'!$R$22="Debt",IF(AND(CV$4&gt;=$D120,CV$4&lt;$D120+'Incremental Repayments'!$I$31),-PMT('Interest Rate'!$J$16,'Incremental Repayments'!$I$31,(HLOOKUP($D120,$E$4:$CZ$32,28,FALSE)*'Incremental Repayments'!$I$22)),0),0)</f>
        <v>0</v>
      </c>
      <c r="CW120" s="783">
        <f>IF('Incremental Repayments'!$R$22="Debt",IF(AND(CW$4&gt;=$D120,CW$4&lt;$D120+'Incremental Repayments'!$I$31),-PMT('Interest Rate'!$J$16,'Incremental Repayments'!$I$31,(HLOOKUP($D120,$E$4:$CZ$32,28,FALSE)*'Incremental Repayments'!$I$22)),0),0)</f>
        <v>0</v>
      </c>
      <c r="CX120" s="783">
        <f>IF('Incremental Repayments'!$R$22="Debt",IF(AND(CX$4&gt;=$D120,CX$4&lt;$D120+'Incremental Repayments'!$I$31),-PMT('Interest Rate'!$J$16,'Incremental Repayments'!$I$31,(HLOOKUP($D120,$E$4:$CZ$32,28,FALSE)*'Incremental Repayments'!$I$22)),0),0)</f>
        <v>0</v>
      </c>
      <c r="CY120" s="783">
        <f>IF('Incremental Repayments'!$R$22="Debt",IF(AND(CY$4&gt;=$D120,CY$4&lt;$D120+'Incremental Repayments'!$I$31),-PMT('Interest Rate'!$J$16,'Incremental Repayments'!$I$31,(HLOOKUP($D120,$E$4:$CZ$32,28,FALSE)*'Incremental Repayments'!$I$22)),0),0)</f>
        <v>0</v>
      </c>
      <c r="CZ120" s="783">
        <f>IF('Incremental Repayments'!$R$22="Debt",IF(AND(CZ$4&gt;=$D120,CZ$4&lt;$D120+'Incremental Repayments'!$I$31),-PMT('Interest Rate'!$J$16,'Incremental Repayments'!$I$31,(HLOOKUP($D120,$E$4:$CZ$32,28,FALSE)*'Incremental Repayments'!$I$22)),0),0)</f>
        <v>0</v>
      </c>
    </row>
    <row r="121" spans="1:104" x14ac:dyDescent="0.25">
      <c r="B121" s="480" t="str">
        <f>CONCATENATE("Series ",D121,"A Bonds (at ",'Interest Rate'!$J$16*100,"% Interest)")</f>
        <v>Series 2099A Bonds (at 4.5% Interest)</v>
      </c>
      <c r="C121" s="480"/>
      <c r="D121" s="492">
        <f t="shared" si="48"/>
        <v>2099</v>
      </c>
      <c r="E121" s="783">
        <f>IF('Incremental Repayments'!$R$22="Debt",IF(AND(E$4&gt;=$D121,E$4&lt;$D121+'Incremental Repayments'!$I$31),-PMT('Interest Rate'!$J$16,'Incremental Repayments'!$I$31,(HLOOKUP($D121,$E$4:$CZ$32,28,FALSE)*'Incremental Repayments'!$I$22)),0),0)</f>
        <v>0</v>
      </c>
      <c r="F121" s="783">
        <f>IF('Incremental Repayments'!$R$22="Debt",IF(AND(F$4&gt;=$D121,F$4&lt;$D121+'Incremental Repayments'!$I$31),-PMT('Interest Rate'!$J$16,'Incremental Repayments'!$I$31,(HLOOKUP($D121,$E$4:$CZ$32,28,FALSE)*'Incremental Repayments'!$I$22)),0),0)</f>
        <v>0</v>
      </c>
      <c r="G121" s="783">
        <f>IF('Incremental Repayments'!$R$22="Debt",IF(AND(G$4&gt;=$D121,G$4&lt;$D121+'Incremental Repayments'!$I$31),-PMT('Interest Rate'!$J$16,'Incremental Repayments'!$I$31,(HLOOKUP($D121,$E$4:$CZ$32,28,FALSE)*'Incremental Repayments'!$I$22)),0),0)</f>
        <v>0</v>
      </c>
      <c r="H121" s="783">
        <f>IF('Incremental Repayments'!$R$22="Debt",IF(AND(H$4&gt;=$D121,H$4&lt;$D121+'Incremental Repayments'!$I$31),-PMT('Interest Rate'!$J$16,'Incremental Repayments'!$I$31,(HLOOKUP($D121,$E$4:$CZ$32,28,FALSE)*'Incremental Repayments'!$I$22)),0),0)</f>
        <v>0</v>
      </c>
      <c r="I121" s="783">
        <f>IF('Incremental Repayments'!$R$22="Debt",IF(AND(I$4&gt;=$D121,I$4&lt;$D121+'Incremental Repayments'!$I$31),-PMT('Interest Rate'!$J$16,'Incremental Repayments'!$I$31,(HLOOKUP($D121,$E$4:$CZ$32,28,FALSE)*'Incremental Repayments'!$I$22)),0),0)</f>
        <v>0</v>
      </c>
      <c r="J121" s="783">
        <f>IF('Incremental Repayments'!$R$22="Debt",IF(AND(J$4&gt;=$D121,J$4&lt;$D121+'Incremental Repayments'!$I$31),-PMT('Interest Rate'!$J$16,'Incremental Repayments'!$I$31,(HLOOKUP($D121,$E$4:$CZ$32,28,FALSE)*'Incremental Repayments'!$I$22)),0),0)</f>
        <v>0</v>
      </c>
      <c r="K121" s="783">
        <f>IF('Incremental Repayments'!$R$22="Debt",IF(AND(K$4&gt;=$D121,K$4&lt;$D121+'Incremental Repayments'!$I$31),-PMT('Interest Rate'!$J$16,'Incremental Repayments'!$I$31,(HLOOKUP($D121,$E$4:$CZ$32,28,FALSE)*'Incremental Repayments'!$I$22)),0),0)</f>
        <v>0</v>
      </c>
      <c r="L121" s="783">
        <f>IF('Incremental Repayments'!$R$22="Debt",IF(AND(L$4&gt;=$D121,L$4&lt;$D121+'Incremental Repayments'!$I$31),-PMT('Interest Rate'!$J$16,'Incremental Repayments'!$I$31,(HLOOKUP($D121,$E$4:$CZ$32,28,FALSE)*'Incremental Repayments'!$I$22)),0),0)</f>
        <v>0</v>
      </c>
      <c r="M121" s="783">
        <f>IF('Incremental Repayments'!$R$22="Debt",IF(AND(M$4&gt;=$D121,M$4&lt;$D121+'Incremental Repayments'!$I$31),-PMT('Interest Rate'!$J$16,'Incremental Repayments'!$I$31,(HLOOKUP($D121,$E$4:$CZ$32,28,FALSE)*'Incremental Repayments'!$I$22)),0),0)</f>
        <v>0</v>
      </c>
      <c r="N121" s="783">
        <f>IF('Incremental Repayments'!$R$22="Debt",IF(AND(N$4&gt;=$D121,N$4&lt;$D121+'Incremental Repayments'!$I$31),-PMT('Interest Rate'!$J$16,'Incremental Repayments'!$I$31,(HLOOKUP($D121,$E$4:$CZ$32,28,FALSE)*'Incremental Repayments'!$I$22)),0),0)</f>
        <v>0</v>
      </c>
      <c r="O121" s="783">
        <f>IF('Incremental Repayments'!$R$22="Debt",IF(AND(O$4&gt;=$D121,O$4&lt;$D121+'Incremental Repayments'!$I$31),-PMT('Interest Rate'!$J$16,'Incremental Repayments'!$I$31,(HLOOKUP($D121,$E$4:$CZ$32,28,FALSE)*'Incremental Repayments'!$I$22)),0),0)</f>
        <v>0</v>
      </c>
      <c r="P121" s="783">
        <f>IF('Incremental Repayments'!$R$22="Debt",IF(AND(P$4&gt;=$D121,P$4&lt;$D121+'Incremental Repayments'!$I$31),-PMT('Interest Rate'!$J$16,'Incremental Repayments'!$I$31,(HLOOKUP($D121,$E$4:$CZ$32,28,FALSE)*'Incremental Repayments'!$I$22)),0),0)</f>
        <v>0</v>
      </c>
      <c r="Q121" s="783">
        <f>IF('Incremental Repayments'!$R$22="Debt",IF(AND(Q$4&gt;=$D121,Q$4&lt;$D121+'Incremental Repayments'!$I$31),-PMT('Interest Rate'!$J$16,'Incremental Repayments'!$I$31,(HLOOKUP($D121,$E$4:$CZ$32,28,FALSE)*'Incremental Repayments'!$I$22)),0),0)</f>
        <v>0</v>
      </c>
      <c r="R121" s="783">
        <f>IF('Incremental Repayments'!$R$22="Debt",IF(AND(R$4&gt;=$D121,R$4&lt;$D121+'Incremental Repayments'!$I$31),-PMT('Interest Rate'!$J$16,'Incremental Repayments'!$I$31,(HLOOKUP($D121,$E$4:$CZ$32,28,FALSE)*'Incremental Repayments'!$I$22)),0),0)</f>
        <v>0</v>
      </c>
      <c r="S121" s="783">
        <f>IF('Incremental Repayments'!$R$22="Debt",IF(AND(S$4&gt;=$D121,S$4&lt;$D121+'Incremental Repayments'!$I$31),-PMT('Interest Rate'!$J$16,'Incremental Repayments'!$I$31,(HLOOKUP($D121,$E$4:$CZ$32,28,FALSE)*'Incremental Repayments'!$I$22)),0),0)</f>
        <v>0</v>
      </c>
      <c r="T121" s="783">
        <f>IF('Incremental Repayments'!$R$22="Debt",IF(AND(T$4&gt;=$D121,T$4&lt;$D121+'Incremental Repayments'!$I$31),-PMT('Interest Rate'!$J$16,'Incremental Repayments'!$I$31,(HLOOKUP($D121,$E$4:$CZ$32,28,FALSE)*'Incremental Repayments'!$I$22)),0),0)</f>
        <v>0</v>
      </c>
      <c r="U121" s="783">
        <f>IF('Incremental Repayments'!$R$22="Debt",IF(AND(U$4&gt;=$D121,U$4&lt;$D121+'Incremental Repayments'!$I$31),-PMT('Interest Rate'!$J$16,'Incremental Repayments'!$I$31,(HLOOKUP($D121,$E$4:$CZ$32,28,FALSE)*'Incremental Repayments'!$I$22)),0),0)</f>
        <v>0</v>
      </c>
      <c r="V121" s="783">
        <f>IF('Incremental Repayments'!$R$22="Debt",IF(AND(V$4&gt;=$D121,V$4&lt;$D121+'Incremental Repayments'!$I$31),-PMT('Interest Rate'!$J$16,'Incremental Repayments'!$I$31,(HLOOKUP($D121,$E$4:$CZ$32,28,FALSE)*'Incremental Repayments'!$I$22)),0),0)</f>
        <v>0</v>
      </c>
      <c r="W121" s="783">
        <f>IF('Incremental Repayments'!$R$22="Debt",IF(AND(W$4&gt;=$D121,W$4&lt;$D121+'Incremental Repayments'!$I$31),-PMT('Interest Rate'!$J$16,'Incremental Repayments'!$I$31,(HLOOKUP($D121,$E$4:$CZ$32,28,FALSE)*'Incremental Repayments'!$I$22)),0),0)</f>
        <v>0</v>
      </c>
      <c r="X121" s="783">
        <f>IF('Incremental Repayments'!$R$22="Debt",IF(AND(X$4&gt;=$D121,X$4&lt;$D121+'Incremental Repayments'!$I$31),-PMT('Interest Rate'!$J$16,'Incremental Repayments'!$I$31,(HLOOKUP($D121,$E$4:$CZ$32,28,FALSE)*'Incremental Repayments'!$I$22)),0),0)</f>
        <v>0</v>
      </c>
      <c r="Y121" s="783">
        <f>IF('Incremental Repayments'!$R$22="Debt",IF(AND(Y$4&gt;=$D121,Y$4&lt;$D121+'Incremental Repayments'!$I$31),-PMT('Interest Rate'!$J$16,'Incremental Repayments'!$I$31,(HLOOKUP($D121,$E$4:$CZ$32,28,FALSE)*'Incremental Repayments'!$I$22)),0),0)</f>
        <v>0</v>
      </c>
      <c r="Z121" s="783">
        <f>IF('Incremental Repayments'!$R$22="Debt",IF(AND(Z$4&gt;=$D121,Z$4&lt;$D121+'Incremental Repayments'!$I$31),-PMT('Interest Rate'!$J$16,'Incremental Repayments'!$I$31,(HLOOKUP($D121,$E$4:$CZ$32,28,FALSE)*'Incremental Repayments'!$I$22)),0),0)</f>
        <v>0</v>
      </c>
      <c r="AA121" s="783">
        <f>IF('Incremental Repayments'!$R$22="Debt",IF(AND(AA$4&gt;=$D121,AA$4&lt;$D121+'Incremental Repayments'!$I$31),-PMT('Interest Rate'!$J$16,'Incremental Repayments'!$I$31,(HLOOKUP($D121,$E$4:$CZ$32,28,FALSE)*'Incremental Repayments'!$I$22)),0),0)</f>
        <v>0</v>
      </c>
      <c r="AB121" s="783">
        <f>IF('Incremental Repayments'!$R$22="Debt",IF(AND(AB$4&gt;=$D121,AB$4&lt;$D121+'Incremental Repayments'!$I$31),-PMT('Interest Rate'!$J$16,'Incremental Repayments'!$I$31,(HLOOKUP($D121,$E$4:$CZ$32,28,FALSE)*'Incremental Repayments'!$I$22)),0),0)</f>
        <v>0</v>
      </c>
      <c r="AC121" s="783">
        <f>IF('Incremental Repayments'!$R$22="Debt",IF(AND(AC$4&gt;=$D121,AC$4&lt;$D121+'Incremental Repayments'!$I$31),-PMT('Interest Rate'!$J$16,'Incremental Repayments'!$I$31,(HLOOKUP($D121,$E$4:$CZ$32,28,FALSE)*'Incremental Repayments'!$I$22)),0),0)</f>
        <v>0</v>
      </c>
      <c r="AD121" s="783">
        <f>IF('Incremental Repayments'!$R$22="Debt",IF(AND(AD$4&gt;=$D121,AD$4&lt;$D121+'Incremental Repayments'!$I$31),-PMT('Interest Rate'!$J$16,'Incremental Repayments'!$I$31,(HLOOKUP($D121,$E$4:$CZ$32,28,FALSE)*'Incremental Repayments'!$I$22)),0),0)</f>
        <v>0</v>
      </c>
      <c r="AE121" s="783">
        <f>IF('Incremental Repayments'!$R$22="Debt",IF(AND(AE$4&gt;=$D121,AE$4&lt;$D121+'Incremental Repayments'!$I$31),-PMT('Interest Rate'!$J$16,'Incremental Repayments'!$I$31,(HLOOKUP($D121,$E$4:$CZ$32,28,FALSE)*'Incremental Repayments'!$I$22)),0),0)</f>
        <v>0</v>
      </c>
      <c r="AF121" s="783">
        <f>IF('Incremental Repayments'!$R$22="Debt",IF(AND(AF$4&gt;=$D121,AF$4&lt;$D121+'Incremental Repayments'!$I$31),-PMT('Interest Rate'!$J$16,'Incremental Repayments'!$I$31,(HLOOKUP($D121,$E$4:$CZ$32,28,FALSE)*'Incremental Repayments'!$I$22)),0),0)</f>
        <v>0</v>
      </c>
      <c r="AG121" s="783">
        <f>IF('Incremental Repayments'!$R$22="Debt",IF(AND(AG$4&gt;=$D121,AG$4&lt;$D121+'Incremental Repayments'!$I$31),-PMT('Interest Rate'!$J$16,'Incremental Repayments'!$I$31,(HLOOKUP($D121,$E$4:$CZ$32,28,FALSE)*'Incremental Repayments'!$I$22)),0),0)</f>
        <v>0</v>
      </c>
      <c r="AH121" s="783">
        <f>IF('Incremental Repayments'!$R$22="Debt",IF(AND(AH$4&gt;=$D121,AH$4&lt;$D121+'Incremental Repayments'!$I$31),-PMT('Interest Rate'!$J$16,'Incremental Repayments'!$I$31,(HLOOKUP($D121,$E$4:$CZ$32,28,FALSE)*'Incremental Repayments'!$I$22)),0),0)</f>
        <v>0</v>
      </c>
      <c r="AI121" s="783">
        <f>IF('Incremental Repayments'!$R$22="Debt",IF(AND(AI$4&gt;=$D121,AI$4&lt;$D121+'Incremental Repayments'!$I$31),-PMT('Interest Rate'!$J$16,'Incremental Repayments'!$I$31,(HLOOKUP($D121,$E$4:$CZ$32,28,FALSE)*'Incremental Repayments'!$I$22)),0),0)</f>
        <v>0</v>
      </c>
      <c r="AJ121" s="783">
        <f>IF('Incremental Repayments'!$R$22="Debt",IF(AND(AJ$4&gt;=$D121,AJ$4&lt;$D121+'Incremental Repayments'!$I$31),-PMT('Interest Rate'!$J$16,'Incremental Repayments'!$I$31,(HLOOKUP($D121,$E$4:$CZ$32,28,FALSE)*'Incremental Repayments'!$I$22)),0),0)</f>
        <v>0</v>
      </c>
      <c r="AK121" s="783">
        <f>IF('Incremental Repayments'!$R$22="Debt",IF(AND(AK$4&gt;=$D121,AK$4&lt;$D121+'Incremental Repayments'!$I$31),-PMT('Interest Rate'!$J$16,'Incremental Repayments'!$I$31,(HLOOKUP($D121,$E$4:$CZ$32,28,FALSE)*'Incremental Repayments'!$I$22)),0),0)</f>
        <v>0</v>
      </c>
      <c r="AL121" s="783">
        <f>IF('Incremental Repayments'!$R$22="Debt",IF(AND(AL$4&gt;=$D121,AL$4&lt;$D121+'Incremental Repayments'!$I$31),-PMT('Interest Rate'!$J$16,'Incremental Repayments'!$I$31,(HLOOKUP($D121,$E$4:$CZ$32,28,FALSE)*'Incremental Repayments'!$I$22)),0),0)</f>
        <v>0</v>
      </c>
      <c r="AM121" s="783">
        <f>IF('Incremental Repayments'!$R$22="Debt",IF(AND(AM$4&gt;=$D121,AM$4&lt;$D121+'Incremental Repayments'!$I$31),-PMT('Interest Rate'!$J$16,'Incremental Repayments'!$I$31,(HLOOKUP($D121,$E$4:$CZ$32,28,FALSE)*'Incremental Repayments'!$I$22)),0),0)</f>
        <v>0</v>
      </c>
      <c r="AN121" s="783">
        <f>IF('Incremental Repayments'!$R$22="Debt",IF(AND(AN$4&gt;=$D121,AN$4&lt;$D121+'Incremental Repayments'!$I$31),-PMT('Interest Rate'!$J$16,'Incremental Repayments'!$I$31,(HLOOKUP($D121,$E$4:$CZ$32,28,FALSE)*'Incremental Repayments'!$I$22)),0),0)</f>
        <v>0</v>
      </c>
      <c r="AO121" s="783">
        <f>IF('Incremental Repayments'!$R$22="Debt",IF(AND(AO$4&gt;=$D121,AO$4&lt;$D121+'Incremental Repayments'!$I$31),-PMT('Interest Rate'!$J$16,'Incremental Repayments'!$I$31,(HLOOKUP($D121,$E$4:$CZ$32,28,FALSE)*'Incremental Repayments'!$I$22)),0),0)</f>
        <v>0</v>
      </c>
      <c r="AP121" s="783">
        <f>IF('Incremental Repayments'!$R$22="Debt",IF(AND(AP$4&gt;=$D121,AP$4&lt;$D121+'Incremental Repayments'!$I$31),-PMT('Interest Rate'!$J$16,'Incremental Repayments'!$I$31,(HLOOKUP($D121,$E$4:$CZ$32,28,FALSE)*'Incremental Repayments'!$I$22)),0),0)</f>
        <v>0</v>
      </c>
      <c r="AQ121" s="783">
        <f>IF('Incremental Repayments'!$R$22="Debt",IF(AND(AQ$4&gt;=$D121,AQ$4&lt;$D121+'Incremental Repayments'!$I$31),-PMT('Interest Rate'!$J$16,'Incremental Repayments'!$I$31,(HLOOKUP($D121,$E$4:$CZ$32,28,FALSE)*'Incremental Repayments'!$I$22)),0),0)</f>
        <v>0</v>
      </c>
      <c r="AR121" s="783">
        <f>IF('Incremental Repayments'!$R$22="Debt",IF(AND(AR$4&gt;=$D121,AR$4&lt;$D121+'Incremental Repayments'!$I$31),-PMT('Interest Rate'!$J$16,'Incremental Repayments'!$I$31,(HLOOKUP($D121,$E$4:$CZ$32,28,FALSE)*'Incremental Repayments'!$I$22)),0),0)</f>
        <v>0</v>
      </c>
      <c r="AS121" s="783">
        <f>IF('Incremental Repayments'!$R$22="Debt",IF(AND(AS$4&gt;=$D121,AS$4&lt;$D121+'Incremental Repayments'!$I$31),-PMT('Interest Rate'!$J$16,'Incremental Repayments'!$I$31,(HLOOKUP($D121,$E$4:$CZ$32,28,FALSE)*'Incremental Repayments'!$I$22)),0),0)</f>
        <v>0</v>
      </c>
      <c r="AT121" s="783">
        <f>IF('Incremental Repayments'!$R$22="Debt",IF(AND(AT$4&gt;=$D121,AT$4&lt;$D121+'Incremental Repayments'!$I$31),-PMT('Interest Rate'!$J$16,'Incremental Repayments'!$I$31,(HLOOKUP($D121,$E$4:$CZ$32,28,FALSE)*'Incremental Repayments'!$I$22)),0),0)</f>
        <v>0</v>
      </c>
      <c r="AU121" s="783">
        <f>IF('Incremental Repayments'!$R$22="Debt",IF(AND(AU$4&gt;=$D121,AU$4&lt;$D121+'Incremental Repayments'!$I$31),-PMT('Interest Rate'!$J$16,'Incremental Repayments'!$I$31,(HLOOKUP($D121,$E$4:$CZ$32,28,FALSE)*'Incremental Repayments'!$I$22)),0),0)</f>
        <v>0</v>
      </c>
      <c r="AV121" s="783">
        <f>IF('Incremental Repayments'!$R$22="Debt",IF(AND(AV$4&gt;=$D121,AV$4&lt;$D121+'Incremental Repayments'!$I$31),-PMT('Interest Rate'!$J$16,'Incremental Repayments'!$I$31,(HLOOKUP($D121,$E$4:$CZ$32,28,FALSE)*'Incremental Repayments'!$I$22)),0),0)</f>
        <v>0</v>
      </c>
      <c r="AW121" s="783">
        <f>IF('Incremental Repayments'!$R$22="Debt",IF(AND(AW$4&gt;=$D121,AW$4&lt;$D121+'Incremental Repayments'!$I$31),-PMT('Interest Rate'!$J$16,'Incremental Repayments'!$I$31,(HLOOKUP($D121,$E$4:$CZ$32,28,FALSE)*'Incremental Repayments'!$I$22)),0),0)</f>
        <v>0</v>
      </c>
      <c r="AX121" s="783">
        <f>IF('Incremental Repayments'!$R$22="Debt",IF(AND(AX$4&gt;=$D121,AX$4&lt;$D121+'Incremental Repayments'!$I$31),-PMT('Interest Rate'!$J$16,'Incremental Repayments'!$I$31,(HLOOKUP($D121,$E$4:$CZ$32,28,FALSE)*'Incremental Repayments'!$I$22)),0),0)</f>
        <v>0</v>
      </c>
      <c r="AY121" s="783">
        <f>IF('Incremental Repayments'!$R$22="Debt",IF(AND(AY$4&gt;=$D121,AY$4&lt;$D121+'Incremental Repayments'!$I$31),-PMT('Interest Rate'!$J$16,'Incremental Repayments'!$I$31,(HLOOKUP($D121,$E$4:$CZ$32,28,FALSE)*'Incremental Repayments'!$I$22)),0),0)</f>
        <v>0</v>
      </c>
      <c r="AZ121" s="783">
        <f>IF('Incremental Repayments'!$R$22="Debt",IF(AND(AZ$4&gt;=$D121,AZ$4&lt;$D121+'Incremental Repayments'!$I$31),-PMT('Interest Rate'!$J$16,'Incremental Repayments'!$I$31,(HLOOKUP($D121,$E$4:$CZ$32,28,FALSE)*'Incremental Repayments'!$I$22)),0),0)</f>
        <v>0</v>
      </c>
      <c r="BA121" s="783">
        <f>IF('Incremental Repayments'!$R$22="Debt",IF(AND(BA$4&gt;=$D121,BA$4&lt;$D121+'Incremental Repayments'!$I$31),-PMT('Interest Rate'!$J$16,'Incremental Repayments'!$I$31,(HLOOKUP($D121,$E$4:$CZ$32,28,FALSE)*'Incremental Repayments'!$I$22)),0),0)</f>
        <v>0</v>
      </c>
      <c r="BB121" s="783">
        <f>IF('Incremental Repayments'!$R$22="Debt",IF(AND(BB$4&gt;=$D121,BB$4&lt;$D121+'Incremental Repayments'!$I$31),-PMT('Interest Rate'!$J$16,'Incremental Repayments'!$I$31,(HLOOKUP($D121,$E$4:$CZ$32,28,FALSE)*'Incremental Repayments'!$I$22)),0),0)</f>
        <v>0</v>
      </c>
      <c r="BC121" s="783">
        <f>IF('Incremental Repayments'!$R$22="Debt",IF(AND(BC$4&gt;=$D121,BC$4&lt;$D121+'Incremental Repayments'!$I$31),-PMT('Interest Rate'!$J$16,'Incremental Repayments'!$I$31,(HLOOKUP($D121,$E$4:$CZ$32,28,FALSE)*'Incremental Repayments'!$I$22)),0),0)</f>
        <v>0</v>
      </c>
      <c r="BD121" s="783">
        <f>IF('Incremental Repayments'!$R$22="Debt",IF(AND(BD$4&gt;=$D121,BD$4&lt;$D121+'Incremental Repayments'!$I$31),-PMT('Interest Rate'!$J$16,'Incremental Repayments'!$I$31,(HLOOKUP($D121,$E$4:$CZ$32,28,FALSE)*'Incremental Repayments'!$I$22)),0),0)</f>
        <v>0</v>
      </c>
      <c r="BE121" s="783">
        <f>IF('Incremental Repayments'!$R$22="Debt",IF(AND(BE$4&gt;=$D121,BE$4&lt;$D121+'Incremental Repayments'!$I$31),-PMT('Interest Rate'!$J$16,'Incremental Repayments'!$I$31,(HLOOKUP($D121,$E$4:$CZ$32,28,FALSE)*'Incremental Repayments'!$I$22)),0),0)</f>
        <v>0</v>
      </c>
      <c r="BF121" s="783">
        <f>IF('Incremental Repayments'!$R$22="Debt",IF(AND(BF$4&gt;=$D121,BF$4&lt;$D121+'Incremental Repayments'!$I$31),-PMT('Interest Rate'!$J$16,'Incremental Repayments'!$I$31,(HLOOKUP($D121,$E$4:$CZ$32,28,FALSE)*'Incremental Repayments'!$I$22)),0),0)</f>
        <v>0</v>
      </c>
      <c r="BG121" s="783">
        <f>IF('Incremental Repayments'!$R$22="Debt",IF(AND(BG$4&gt;=$D121,BG$4&lt;$D121+'Incremental Repayments'!$I$31),-PMT('Interest Rate'!$J$16,'Incremental Repayments'!$I$31,(HLOOKUP($D121,$E$4:$CZ$32,28,FALSE)*'Incremental Repayments'!$I$22)),0),0)</f>
        <v>0</v>
      </c>
      <c r="BH121" s="783">
        <f>IF('Incremental Repayments'!$R$22="Debt",IF(AND(BH$4&gt;=$D121,BH$4&lt;$D121+'Incremental Repayments'!$I$31),-PMT('Interest Rate'!$J$16,'Incremental Repayments'!$I$31,(HLOOKUP($D121,$E$4:$CZ$32,28,FALSE)*'Incremental Repayments'!$I$22)),0),0)</f>
        <v>0</v>
      </c>
      <c r="BI121" s="783">
        <f>IF('Incremental Repayments'!$R$22="Debt",IF(AND(BI$4&gt;=$D121,BI$4&lt;$D121+'Incremental Repayments'!$I$31),-PMT('Interest Rate'!$J$16,'Incremental Repayments'!$I$31,(HLOOKUP($D121,$E$4:$CZ$32,28,FALSE)*'Incremental Repayments'!$I$22)),0),0)</f>
        <v>0</v>
      </c>
      <c r="BJ121" s="783">
        <f>IF('Incremental Repayments'!$R$22="Debt",IF(AND(BJ$4&gt;=$D121,BJ$4&lt;$D121+'Incremental Repayments'!$I$31),-PMT('Interest Rate'!$J$16,'Incremental Repayments'!$I$31,(HLOOKUP($D121,$E$4:$CZ$32,28,FALSE)*'Incremental Repayments'!$I$22)),0),0)</f>
        <v>0</v>
      </c>
      <c r="BK121" s="783">
        <f>IF('Incremental Repayments'!$R$22="Debt",IF(AND(BK$4&gt;=$D121,BK$4&lt;$D121+'Incremental Repayments'!$I$31),-PMT('Interest Rate'!$J$16,'Incremental Repayments'!$I$31,(HLOOKUP($D121,$E$4:$CZ$32,28,FALSE)*'Incremental Repayments'!$I$22)),0),0)</f>
        <v>0</v>
      </c>
      <c r="BL121" s="783">
        <f>IF('Incremental Repayments'!$R$22="Debt",IF(AND(BL$4&gt;=$D121,BL$4&lt;$D121+'Incremental Repayments'!$I$31),-PMT('Interest Rate'!$J$16,'Incremental Repayments'!$I$31,(HLOOKUP($D121,$E$4:$CZ$32,28,FALSE)*'Incremental Repayments'!$I$22)),0),0)</f>
        <v>0</v>
      </c>
      <c r="BM121" s="783">
        <f>IF('Incremental Repayments'!$R$22="Debt",IF(AND(BM$4&gt;=$D121,BM$4&lt;$D121+'Incremental Repayments'!$I$31),-PMT('Interest Rate'!$J$16,'Incremental Repayments'!$I$31,(HLOOKUP($D121,$E$4:$CZ$32,28,FALSE)*'Incremental Repayments'!$I$22)),0),0)</f>
        <v>0</v>
      </c>
      <c r="BN121" s="783">
        <f>IF('Incremental Repayments'!$R$22="Debt",IF(AND(BN$4&gt;=$D121,BN$4&lt;$D121+'Incremental Repayments'!$I$31),-PMT('Interest Rate'!$J$16,'Incremental Repayments'!$I$31,(HLOOKUP($D121,$E$4:$CZ$32,28,FALSE)*'Incremental Repayments'!$I$22)),0),0)</f>
        <v>0</v>
      </c>
      <c r="BO121" s="783">
        <f>IF('Incremental Repayments'!$R$22="Debt",IF(AND(BO$4&gt;=$D121,BO$4&lt;$D121+'Incremental Repayments'!$I$31),-PMT('Interest Rate'!$J$16,'Incremental Repayments'!$I$31,(HLOOKUP($D121,$E$4:$CZ$32,28,FALSE)*'Incremental Repayments'!$I$22)),0),0)</f>
        <v>0</v>
      </c>
      <c r="BP121" s="783">
        <f>IF('Incremental Repayments'!$R$22="Debt",IF(AND(BP$4&gt;=$D121,BP$4&lt;$D121+'Incremental Repayments'!$I$31),-PMT('Interest Rate'!$J$16,'Incremental Repayments'!$I$31,(HLOOKUP($D121,$E$4:$CZ$32,28,FALSE)*'Incremental Repayments'!$I$22)),0),0)</f>
        <v>0</v>
      </c>
      <c r="BQ121" s="783">
        <f>IF('Incremental Repayments'!$R$22="Debt",IF(AND(BQ$4&gt;=$D121,BQ$4&lt;$D121+'Incremental Repayments'!$I$31),-PMT('Interest Rate'!$J$16,'Incremental Repayments'!$I$31,(HLOOKUP($D121,$E$4:$CZ$32,28,FALSE)*'Incremental Repayments'!$I$22)),0),0)</f>
        <v>0</v>
      </c>
      <c r="BR121" s="783">
        <f>IF('Incremental Repayments'!$R$22="Debt",IF(AND(BR$4&gt;=$D121,BR$4&lt;$D121+'Incremental Repayments'!$I$31),-PMT('Interest Rate'!$J$16,'Incremental Repayments'!$I$31,(HLOOKUP($D121,$E$4:$CZ$32,28,FALSE)*'Incremental Repayments'!$I$22)),0),0)</f>
        <v>0</v>
      </c>
      <c r="BS121" s="783">
        <f>IF('Incremental Repayments'!$R$22="Debt",IF(AND(BS$4&gt;=$D121,BS$4&lt;$D121+'Incremental Repayments'!$I$31),-PMT('Interest Rate'!$J$16,'Incremental Repayments'!$I$31,(HLOOKUP($D121,$E$4:$CZ$32,28,FALSE)*'Incremental Repayments'!$I$22)),0),0)</f>
        <v>0</v>
      </c>
      <c r="BT121" s="783">
        <f>IF('Incremental Repayments'!$R$22="Debt",IF(AND(BT$4&gt;=$D121,BT$4&lt;$D121+'Incremental Repayments'!$I$31),-PMT('Interest Rate'!$J$16,'Incremental Repayments'!$I$31,(HLOOKUP($D121,$E$4:$CZ$32,28,FALSE)*'Incremental Repayments'!$I$22)),0),0)</f>
        <v>0</v>
      </c>
      <c r="BU121" s="783">
        <f>IF('Incremental Repayments'!$R$22="Debt",IF(AND(BU$4&gt;=$D121,BU$4&lt;$D121+'Incremental Repayments'!$I$31),-PMT('Interest Rate'!$J$16,'Incremental Repayments'!$I$31,(HLOOKUP($D121,$E$4:$CZ$32,28,FALSE)*'Incremental Repayments'!$I$22)),0),0)</f>
        <v>0</v>
      </c>
      <c r="BV121" s="783">
        <f>IF('Incremental Repayments'!$R$22="Debt",IF(AND(BV$4&gt;=$D121,BV$4&lt;$D121+'Incremental Repayments'!$I$31),-PMT('Interest Rate'!$J$16,'Incremental Repayments'!$I$31,(HLOOKUP($D121,$E$4:$CZ$32,28,FALSE)*'Incremental Repayments'!$I$22)),0),0)</f>
        <v>0</v>
      </c>
      <c r="BW121" s="783">
        <f>IF('Incremental Repayments'!$R$22="Debt",IF(AND(BW$4&gt;=$D121,BW$4&lt;$D121+'Incremental Repayments'!$I$31),-PMT('Interest Rate'!$J$16,'Incremental Repayments'!$I$31,(HLOOKUP($D121,$E$4:$CZ$32,28,FALSE)*'Incremental Repayments'!$I$22)),0),0)</f>
        <v>0</v>
      </c>
      <c r="BX121" s="783">
        <f>IF('Incremental Repayments'!$R$22="Debt",IF(AND(BX$4&gt;=$D121,BX$4&lt;$D121+'Incremental Repayments'!$I$31),-PMT('Interest Rate'!$J$16,'Incremental Repayments'!$I$31,(HLOOKUP($D121,$E$4:$CZ$32,28,FALSE)*'Incremental Repayments'!$I$22)),0),0)</f>
        <v>0</v>
      </c>
      <c r="BY121" s="783">
        <f>IF('Incremental Repayments'!$R$22="Debt",IF(AND(BY$4&gt;=$D121,BY$4&lt;$D121+'Incremental Repayments'!$I$31),-PMT('Interest Rate'!$J$16,'Incremental Repayments'!$I$31,(HLOOKUP($D121,$E$4:$CZ$32,28,FALSE)*'Incremental Repayments'!$I$22)),0),0)</f>
        <v>0</v>
      </c>
      <c r="BZ121" s="783">
        <f>IF('Incremental Repayments'!$R$22="Debt",IF(AND(BZ$4&gt;=$D121,BZ$4&lt;$D121+'Incremental Repayments'!$I$31),-PMT('Interest Rate'!$J$16,'Incremental Repayments'!$I$31,(HLOOKUP($D121,$E$4:$CZ$32,28,FALSE)*'Incremental Repayments'!$I$22)),0),0)</f>
        <v>0</v>
      </c>
      <c r="CA121" s="783">
        <f>IF('Incremental Repayments'!$R$22="Debt",IF(AND(CA$4&gt;=$D121,CA$4&lt;$D121+'Incremental Repayments'!$I$31),-PMT('Interest Rate'!$J$16,'Incremental Repayments'!$I$31,(HLOOKUP($D121,$E$4:$CZ$32,28,FALSE)*'Incremental Repayments'!$I$22)),0),0)</f>
        <v>0</v>
      </c>
      <c r="CB121" s="783">
        <f>IF('Incremental Repayments'!$R$22="Debt",IF(AND(CB$4&gt;=$D121,CB$4&lt;$D121+'Incremental Repayments'!$I$31),-PMT('Interest Rate'!$J$16,'Incremental Repayments'!$I$31,(HLOOKUP($D121,$E$4:$CZ$32,28,FALSE)*'Incremental Repayments'!$I$22)),0),0)</f>
        <v>0</v>
      </c>
      <c r="CC121" s="783">
        <f>IF('Incremental Repayments'!$R$22="Debt",IF(AND(CC$4&gt;=$D121,CC$4&lt;$D121+'Incremental Repayments'!$I$31),-PMT('Interest Rate'!$J$16,'Incremental Repayments'!$I$31,(HLOOKUP($D121,$E$4:$CZ$32,28,FALSE)*'Incremental Repayments'!$I$22)),0),0)</f>
        <v>0</v>
      </c>
      <c r="CD121" s="783">
        <f>IF('Incremental Repayments'!$R$22="Debt",IF(AND(CD$4&gt;=$D121,CD$4&lt;$D121+'Incremental Repayments'!$I$31),-PMT('Interest Rate'!$J$16,'Incremental Repayments'!$I$31,(HLOOKUP($D121,$E$4:$CZ$32,28,FALSE)*'Incremental Repayments'!$I$22)),0),0)</f>
        <v>0</v>
      </c>
      <c r="CE121" s="783">
        <f>IF('Incremental Repayments'!$R$22="Debt",IF(AND(CE$4&gt;=$D121,CE$4&lt;$D121+'Incremental Repayments'!$I$31),-PMT('Interest Rate'!$J$16,'Incremental Repayments'!$I$31,(HLOOKUP($D121,$E$4:$CZ$32,28,FALSE)*'Incremental Repayments'!$I$22)),0),0)</f>
        <v>0</v>
      </c>
      <c r="CF121" s="783">
        <f>IF('Incremental Repayments'!$R$22="Debt",IF(AND(CF$4&gt;=$D121,CF$4&lt;$D121+'Incremental Repayments'!$I$31),-PMT('Interest Rate'!$J$16,'Incremental Repayments'!$I$31,(HLOOKUP($D121,$E$4:$CZ$32,28,FALSE)*'Incremental Repayments'!$I$22)),0),0)</f>
        <v>0</v>
      </c>
      <c r="CG121" s="783">
        <f>IF('Incremental Repayments'!$R$22="Debt",IF(AND(CG$4&gt;=$D121,CG$4&lt;$D121+'Incremental Repayments'!$I$31),-PMT('Interest Rate'!$J$16,'Incremental Repayments'!$I$31,(HLOOKUP($D121,$E$4:$CZ$32,28,FALSE)*'Incremental Repayments'!$I$22)),0),0)</f>
        <v>0</v>
      </c>
      <c r="CH121" s="783">
        <f>IF('Incremental Repayments'!$R$22="Debt",IF(AND(CH$4&gt;=$D121,CH$4&lt;$D121+'Incremental Repayments'!$I$31),-PMT('Interest Rate'!$J$16,'Incremental Repayments'!$I$31,(HLOOKUP($D121,$E$4:$CZ$32,28,FALSE)*'Incremental Repayments'!$I$22)),0),0)</f>
        <v>0</v>
      </c>
      <c r="CI121" s="783">
        <f>IF('Incremental Repayments'!$R$22="Debt",IF(AND(CI$4&gt;=$D121,CI$4&lt;$D121+'Incremental Repayments'!$I$31),-PMT('Interest Rate'!$J$16,'Incremental Repayments'!$I$31,(HLOOKUP($D121,$E$4:$CZ$32,28,FALSE)*'Incremental Repayments'!$I$22)),0),0)</f>
        <v>0</v>
      </c>
      <c r="CJ121" s="783">
        <f>IF('Incremental Repayments'!$R$22="Debt",IF(AND(CJ$4&gt;=$D121,CJ$4&lt;$D121+'Incremental Repayments'!$I$31),-PMT('Interest Rate'!$J$16,'Incremental Repayments'!$I$31,(HLOOKUP($D121,$E$4:$CZ$32,28,FALSE)*'Incremental Repayments'!$I$22)),0),0)</f>
        <v>0</v>
      </c>
      <c r="CK121" s="783">
        <f>IF('Incremental Repayments'!$R$22="Debt",IF(AND(CK$4&gt;=$D121,CK$4&lt;$D121+'Incremental Repayments'!$I$31),-PMT('Interest Rate'!$J$16,'Incremental Repayments'!$I$31,(HLOOKUP($D121,$E$4:$CZ$32,28,FALSE)*'Incremental Repayments'!$I$22)),0),0)</f>
        <v>0</v>
      </c>
      <c r="CL121" s="783">
        <f>IF('Incremental Repayments'!$R$22="Debt",IF(AND(CL$4&gt;=$D121,CL$4&lt;$D121+'Incremental Repayments'!$I$31),-PMT('Interest Rate'!$J$16,'Incremental Repayments'!$I$31,(HLOOKUP($D121,$E$4:$CZ$32,28,FALSE)*'Incremental Repayments'!$I$22)),0),0)</f>
        <v>0</v>
      </c>
      <c r="CM121" s="783">
        <f>IF('Incremental Repayments'!$R$22="Debt",IF(AND(CM$4&gt;=$D121,CM$4&lt;$D121+'Incremental Repayments'!$I$31),-PMT('Interest Rate'!$J$16,'Incremental Repayments'!$I$31,(HLOOKUP($D121,$E$4:$CZ$32,28,FALSE)*'Incremental Repayments'!$I$22)),0),0)</f>
        <v>0</v>
      </c>
      <c r="CN121" s="783">
        <f>IF('Incremental Repayments'!$R$22="Debt",IF(AND(CN$4&gt;=$D121,CN$4&lt;$D121+'Incremental Repayments'!$I$31),-PMT('Interest Rate'!$J$16,'Incremental Repayments'!$I$31,(HLOOKUP($D121,$E$4:$CZ$32,28,FALSE)*'Incremental Repayments'!$I$22)),0),0)</f>
        <v>0</v>
      </c>
      <c r="CO121" s="783">
        <f>IF('Incremental Repayments'!$R$22="Debt",IF(AND(CO$4&gt;=$D121,CO$4&lt;$D121+'Incremental Repayments'!$I$31),-PMT('Interest Rate'!$J$16,'Incremental Repayments'!$I$31,(HLOOKUP($D121,$E$4:$CZ$32,28,FALSE)*'Incremental Repayments'!$I$22)),0),0)</f>
        <v>0</v>
      </c>
      <c r="CP121" s="783">
        <f>IF('Incremental Repayments'!$R$22="Debt",IF(AND(CP$4&gt;=$D121,CP$4&lt;$D121+'Incremental Repayments'!$I$31),-PMT('Interest Rate'!$J$16,'Incremental Repayments'!$I$31,(HLOOKUP($D121,$E$4:$CZ$32,28,FALSE)*'Incremental Repayments'!$I$22)),0),0)</f>
        <v>0</v>
      </c>
      <c r="CQ121" s="783">
        <f>IF('Incremental Repayments'!$R$22="Debt",IF(AND(CQ$4&gt;=$D121,CQ$4&lt;$D121+'Incremental Repayments'!$I$31),-PMT('Interest Rate'!$J$16,'Incremental Repayments'!$I$31,(HLOOKUP($D121,$E$4:$CZ$32,28,FALSE)*'Incremental Repayments'!$I$22)),0),0)</f>
        <v>0</v>
      </c>
      <c r="CR121" s="783">
        <f>IF('Incremental Repayments'!$R$22="Debt",IF(AND(CR$4&gt;=$D121,CR$4&lt;$D121+'Incremental Repayments'!$I$31),-PMT('Interest Rate'!$J$16,'Incremental Repayments'!$I$31,(HLOOKUP($D121,$E$4:$CZ$32,28,FALSE)*'Incremental Repayments'!$I$22)),0),0)</f>
        <v>0</v>
      </c>
      <c r="CS121" s="783">
        <f>IF('Incremental Repayments'!$R$22="Debt",IF(AND(CS$4&gt;=$D121,CS$4&lt;$D121+'Incremental Repayments'!$I$31),-PMT('Interest Rate'!$J$16,'Incremental Repayments'!$I$31,(HLOOKUP($D121,$E$4:$CZ$32,28,FALSE)*'Incremental Repayments'!$I$22)),0),0)</f>
        <v>0</v>
      </c>
      <c r="CT121" s="783">
        <f>IF('Incremental Repayments'!$R$22="Debt",IF(AND(CT$4&gt;=$D121,CT$4&lt;$D121+'Incremental Repayments'!$I$31),-PMT('Interest Rate'!$J$16,'Incremental Repayments'!$I$31,(HLOOKUP($D121,$E$4:$CZ$32,28,FALSE)*'Incremental Repayments'!$I$22)),0),0)</f>
        <v>0</v>
      </c>
      <c r="CU121" s="783">
        <f>IF('Incremental Repayments'!$R$22="Debt",IF(AND(CU$4&gt;=$D121,CU$4&lt;$D121+'Incremental Repayments'!$I$31),-PMT('Interest Rate'!$J$16,'Incremental Repayments'!$I$31,(HLOOKUP($D121,$E$4:$CZ$32,28,FALSE)*'Incremental Repayments'!$I$22)),0),0)</f>
        <v>0</v>
      </c>
      <c r="CV121" s="783">
        <f>IF('Incremental Repayments'!$R$22="Debt",IF(AND(CV$4&gt;=$D121,CV$4&lt;$D121+'Incremental Repayments'!$I$31),-PMT('Interest Rate'!$J$16,'Incremental Repayments'!$I$31,(HLOOKUP($D121,$E$4:$CZ$32,28,FALSE)*'Incremental Repayments'!$I$22)),0),0)</f>
        <v>0</v>
      </c>
      <c r="CW121" s="783">
        <f>IF('Incremental Repayments'!$R$22="Debt",IF(AND(CW$4&gt;=$D121,CW$4&lt;$D121+'Incremental Repayments'!$I$31),-PMT('Interest Rate'!$J$16,'Incremental Repayments'!$I$31,(HLOOKUP($D121,$E$4:$CZ$32,28,FALSE)*'Incremental Repayments'!$I$22)),0),0)</f>
        <v>0</v>
      </c>
      <c r="CX121" s="783">
        <f>IF('Incremental Repayments'!$R$22="Debt",IF(AND(CX$4&gt;=$D121,CX$4&lt;$D121+'Incremental Repayments'!$I$31),-PMT('Interest Rate'!$J$16,'Incremental Repayments'!$I$31,(HLOOKUP($D121,$E$4:$CZ$32,28,FALSE)*'Incremental Repayments'!$I$22)),0),0)</f>
        <v>0</v>
      </c>
      <c r="CY121" s="783">
        <f>IF('Incremental Repayments'!$R$22="Debt",IF(AND(CY$4&gt;=$D121,CY$4&lt;$D121+'Incremental Repayments'!$I$31),-PMT('Interest Rate'!$J$16,'Incremental Repayments'!$I$31,(HLOOKUP($D121,$E$4:$CZ$32,28,FALSE)*'Incremental Repayments'!$I$22)),0),0)</f>
        <v>0</v>
      </c>
      <c r="CZ121" s="783">
        <f>IF('Incremental Repayments'!$R$22="Debt",IF(AND(CZ$4&gt;=$D121,CZ$4&lt;$D121+'Incremental Repayments'!$I$31),-PMT('Interest Rate'!$J$16,'Incremental Repayments'!$I$31,(HLOOKUP($D121,$E$4:$CZ$32,28,FALSE)*'Incremental Repayments'!$I$22)),0),0)</f>
        <v>0</v>
      </c>
    </row>
    <row r="122" spans="1:104" x14ac:dyDescent="0.25">
      <c r="B122" s="480" t="str">
        <f>CONCATENATE("Series ",D122,"A Bonds (at ",'Interest Rate'!$J$16*100,"% Interest)")</f>
        <v>Series 2100A Bonds (at 4.5% Interest)</v>
      </c>
      <c r="C122" s="480"/>
      <c r="D122" s="492">
        <f t="shared" si="48"/>
        <v>2100</v>
      </c>
      <c r="E122" s="783">
        <f>IF('Incremental Repayments'!$R$22="Debt",IF(AND(E$4&gt;=$D122,E$4&lt;$D122+'Incremental Repayments'!$I$31),-PMT('Interest Rate'!$J$16,'Incremental Repayments'!$I$31,(HLOOKUP($D122,$E$4:$CZ$32,28,FALSE)*'Incremental Repayments'!$I$22)),0),0)</f>
        <v>0</v>
      </c>
      <c r="F122" s="783">
        <f>IF('Incremental Repayments'!$R$22="Debt",IF(AND(F$4&gt;=$D122,F$4&lt;$D122+'Incremental Repayments'!$I$31),-PMT('Interest Rate'!$J$16,'Incremental Repayments'!$I$31,(HLOOKUP($D122,$E$4:$CZ$32,28,FALSE)*'Incremental Repayments'!$I$22)),0),0)</f>
        <v>0</v>
      </c>
      <c r="G122" s="783">
        <f>IF('Incremental Repayments'!$R$22="Debt",IF(AND(G$4&gt;=$D122,G$4&lt;$D122+'Incremental Repayments'!$I$31),-PMT('Interest Rate'!$J$16,'Incremental Repayments'!$I$31,(HLOOKUP($D122,$E$4:$CZ$32,28,FALSE)*'Incremental Repayments'!$I$22)),0),0)</f>
        <v>0</v>
      </c>
      <c r="H122" s="783">
        <f>IF('Incremental Repayments'!$R$22="Debt",IF(AND(H$4&gt;=$D122,H$4&lt;$D122+'Incremental Repayments'!$I$31),-PMT('Interest Rate'!$J$16,'Incremental Repayments'!$I$31,(HLOOKUP($D122,$E$4:$CZ$32,28,FALSE)*'Incremental Repayments'!$I$22)),0),0)</f>
        <v>0</v>
      </c>
      <c r="I122" s="783">
        <f>IF('Incremental Repayments'!$R$22="Debt",IF(AND(I$4&gt;=$D122,I$4&lt;$D122+'Incremental Repayments'!$I$31),-PMT('Interest Rate'!$J$16,'Incremental Repayments'!$I$31,(HLOOKUP($D122,$E$4:$CZ$32,28,FALSE)*'Incremental Repayments'!$I$22)),0),0)</f>
        <v>0</v>
      </c>
      <c r="J122" s="783">
        <f>IF('Incremental Repayments'!$R$22="Debt",IF(AND(J$4&gt;=$D122,J$4&lt;$D122+'Incremental Repayments'!$I$31),-PMT('Interest Rate'!$J$16,'Incremental Repayments'!$I$31,(HLOOKUP($D122,$E$4:$CZ$32,28,FALSE)*'Incremental Repayments'!$I$22)),0),0)</f>
        <v>0</v>
      </c>
      <c r="K122" s="783">
        <f>IF('Incremental Repayments'!$R$22="Debt",IF(AND(K$4&gt;=$D122,K$4&lt;$D122+'Incremental Repayments'!$I$31),-PMT('Interest Rate'!$J$16,'Incremental Repayments'!$I$31,(HLOOKUP($D122,$E$4:$CZ$32,28,FALSE)*'Incremental Repayments'!$I$22)),0),0)</f>
        <v>0</v>
      </c>
      <c r="L122" s="783">
        <f>IF('Incremental Repayments'!$R$22="Debt",IF(AND(L$4&gt;=$D122,L$4&lt;$D122+'Incremental Repayments'!$I$31),-PMT('Interest Rate'!$J$16,'Incremental Repayments'!$I$31,(HLOOKUP($D122,$E$4:$CZ$32,28,FALSE)*'Incremental Repayments'!$I$22)),0),0)</f>
        <v>0</v>
      </c>
      <c r="M122" s="783">
        <f>IF('Incremental Repayments'!$R$22="Debt",IF(AND(M$4&gt;=$D122,M$4&lt;$D122+'Incremental Repayments'!$I$31),-PMT('Interest Rate'!$J$16,'Incremental Repayments'!$I$31,(HLOOKUP($D122,$E$4:$CZ$32,28,FALSE)*'Incremental Repayments'!$I$22)),0),0)</f>
        <v>0</v>
      </c>
      <c r="N122" s="783">
        <f>IF('Incremental Repayments'!$R$22="Debt",IF(AND(N$4&gt;=$D122,N$4&lt;$D122+'Incremental Repayments'!$I$31),-PMT('Interest Rate'!$J$16,'Incremental Repayments'!$I$31,(HLOOKUP($D122,$E$4:$CZ$32,28,FALSE)*'Incremental Repayments'!$I$22)),0),0)</f>
        <v>0</v>
      </c>
      <c r="O122" s="783">
        <f>IF('Incremental Repayments'!$R$22="Debt",IF(AND(O$4&gt;=$D122,O$4&lt;$D122+'Incremental Repayments'!$I$31),-PMT('Interest Rate'!$J$16,'Incremental Repayments'!$I$31,(HLOOKUP($D122,$E$4:$CZ$32,28,FALSE)*'Incremental Repayments'!$I$22)),0),0)</f>
        <v>0</v>
      </c>
      <c r="P122" s="783">
        <f>IF('Incremental Repayments'!$R$22="Debt",IF(AND(P$4&gt;=$D122,P$4&lt;$D122+'Incremental Repayments'!$I$31),-PMT('Interest Rate'!$J$16,'Incremental Repayments'!$I$31,(HLOOKUP($D122,$E$4:$CZ$32,28,FALSE)*'Incremental Repayments'!$I$22)),0),0)</f>
        <v>0</v>
      </c>
      <c r="Q122" s="783">
        <f>IF('Incremental Repayments'!$R$22="Debt",IF(AND(Q$4&gt;=$D122,Q$4&lt;$D122+'Incremental Repayments'!$I$31),-PMT('Interest Rate'!$J$16,'Incremental Repayments'!$I$31,(HLOOKUP($D122,$E$4:$CZ$32,28,FALSE)*'Incremental Repayments'!$I$22)),0),0)</f>
        <v>0</v>
      </c>
      <c r="R122" s="783">
        <f>IF('Incremental Repayments'!$R$22="Debt",IF(AND(R$4&gt;=$D122,R$4&lt;$D122+'Incremental Repayments'!$I$31),-PMT('Interest Rate'!$J$16,'Incremental Repayments'!$I$31,(HLOOKUP($D122,$E$4:$CZ$32,28,FALSE)*'Incremental Repayments'!$I$22)),0),0)</f>
        <v>0</v>
      </c>
      <c r="S122" s="783">
        <f>IF('Incremental Repayments'!$R$22="Debt",IF(AND(S$4&gt;=$D122,S$4&lt;$D122+'Incremental Repayments'!$I$31),-PMT('Interest Rate'!$J$16,'Incremental Repayments'!$I$31,(HLOOKUP($D122,$E$4:$CZ$32,28,FALSE)*'Incremental Repayments'!$I$22)),0),0)</f>
        <v>0</v>
      </c>
      <c r="T122" s="783">
        <f>IF('Incremental Repayments'!$R$22="Debt",IF(AND(T$4&gt;=$D122,T$4&lt;$D122+'Incremental Repayments'!$I$31),-PMT('Interest Rate'!$J$16,'Incremental Repayments'!$I$31,(HLOOKUP($D122,$E$4:$CZ$32,28,FALSE)*'Incremental Repayments'!$I$22)),0),0)</f>
        <v>0</v>
      </c>
      <c r="U122" s="783">
        <f>IF('Incremental Repayments'!$R$22="Debt",IF(AND(U$4&gt;=$D122,U$4&lt;$D122+'Incremental Repayments'!$I$31),-PMT('Interest Rate'!$J$16,'Incremental Repayments'!$I$31,(HLOOKUP($D122,$E$4:$CZ$32,28,FALSE)*'Incremental Repayments'!$I$22)),0),0)</f>
        <v>0</v>
      </c>
      <c r="V122" s="783">
        <f>IF('Incremental Repayments'!$R$22="Debt",IF(AND(V$4&gt;=$D122,V$4&lt;$D122+'Incremental Repayments'!$I$31),-PMT('Interest Rate'!$J$16,'Incremental Repayments'!$I$31,(HLOOKUP($D122,$E$4:$CZ$32,28,FALSE)*'Incremental Repayments'!$I$22)),0),0)</f>
        <v>0</v>
      </c>
      <c r="W122" s="783">
        <f>IF('Incremental Repayments'!$R$22="Debt",IF(AND(W$4&gt;=$D122,W$4&lt;$D122+'Incremental Repayments'!$I$31),-PMT('Interest Rate'!$J$16,'Incremental Repayments'!$I$31,(HLOOKUP($D122,$E$4:$CZ$32,28,FALSE)*'Incremental Repayments'!$I$22)),0),0)</f>
        <v>0</v>
      </c>
      <c r="X122" s="783">
        <f>IF('Incremental Repayments'!$R$22="Debt",IF(AND(X$4&gt;=$D122,X$4&lt;$D122+'Incremental Repayments'!$I$31),-PMT('Interest Rate'!$J$16,'Incremental Repayments'!$I$31,(HLOOKUP($D122,$E$4:$CZ$32,28,FALSE)*'Incremental Repayments'!$I$22)),0),0)</f>
        <v>0</v>
      </c>
      <c r="Y122" s="783">
        <f>IF('Incremental Repayments'!$R$22="Debt",IF(AND(Y$4&gt;=$D122,Y$4&lt;$D122+'Incremental Repayments'!$I$31),-PMT('Interest Rate'!$J$16,'Incremental Repayments'!$I$31,(HLOOKUP($D122,$E$4:$CZ$32,28,FALSE)*'Incremental Repayments'!$I$22)),0),0)</f>
        <v>0</v>
      </c>
      <c r="Z122" s="783">
        <f>IF('Incremental Repayments'!$R$22="Debt",IF(AND(Z$4&gt;=$D122,Z$4&lt;$D122+'Incremental Repayments'!$I$31),-PMT('Interest Rate'!$J$16,'Incremental Repayments'!$I$31,(HLOOKUP($D122,$E$4:$CZ$32,28,FALSE)*'Incremental Repayments'!$I$22)),0),0)</f>
        <v>0</v>
      </c>
      <c r="AA122" s="783">
        <f>IF('Incremental Repayments'!$R$22="Debt",IF(AND(AA$4&gt;=$D122,AA$4&lt;$D122+'Incremental Repayments'!$I$31),-PMT('Interest Rate'!$J$16,'Incremental Repayments'!$I$31,(HLOOKUP($D122,$E$4:$CZ$32,28,FALSE)*'Incremental Repayments'!$I$22)),0),0)</f>
        <v>0</v>
      </c>
      <c r="AB122" s="783">
        <f>IF('Incremental Repayments'!$R$22="Debt",IF(AND(AB$4&gt;=$D122,AB$4&lt;$D122+'Incremental Repayments'!$I$31),-PMT('Interest Rate'!$J$16,'Incremental Repayments'!$I$31,(HLOOKUP($D122,$E$4:$CZ$32,28,FALSE)*'Incremental Repayments'!$I$22)),0),0)</f>
        <v>0</v>
      </c>
      <c r="AC122" s="783">
        <f>IF('Incremental Repayments'!$R$22="Debt",IF(AND(AC$4&gt;=$D122,AC$4&lt;$D122+'Incremental Repayments'!$I$31),-PMT('Interest Rate'!$J$16,'Incremental Repayments'!$I$31,(HLOOKUP($D122,$E$4:$CZ$32,28,FALSE)*'Incremental Repayments'!$I$22)),0),0)</f>
        <v>0</v>
      </c>
      <c r="AD122" s="783">
        <f>IF('Incremental Repayments'!$R$22="Debt",IF(AND(AD$4&gt;=$D122,AD$4&lt;$D122+'Incremental Repayments'!$I$31),-PMT('Interest Rate'!$J$16,'Incremental Repayments'!$I$31,(HLOOKUP($D122,$E$4:$CZ$32,28,FALSE)*'Incremental Repayments'!$I$22)),0),0)</f>
        <v>0</v>
      </c>
      <c r="AE122" s="783">
        <f>IF('Incremental Repayments'!$R$22="Debt",IF(AND(AE$4&gt;=$D122,AE$4&lt;$D122+'Incremental Repayments'!$I$31),-PMT('Interest Rate'!$J$16,'Incremental Repayments'!$I$31,(HLOOKUP($D122,$E$4:$CZ$32,28,FALSE)*'Incremental Repayments'!$I$22)),0),0)</f>
        <v>0</v>
      </c>
      <c r="AF122" s="783">
        <f>IF('Incremental Repayments'!$R$22="Debt",IF(AND(AF$4&gt;=$D122,AF$4&lt;$D122+'Incremental Repayments'!$I$31),-PMT('Interest Rate'!$J$16,'Incremental Repayments'!$I$31,(HLOOKUP($D122,$E$4:$CZ$32,28,FALSE)*'Incremental Repayments'!$I$22)),0),0)</f>
        <v>0</v>
      </c>
      <c r="AG122" s="783">
        <f>IF('Incremental Repayments'!$R$22="Debt",IF(AND(AG$4&gt;=$D122,AG$4&lt;$D122+'Incremental Repayments'!$I$31),-PMT('Interest Rate'!$J$16,'Incremental Repayments'!$I$31,(HLOOKUP($D122,$E$4:$CZ$32,28,FALSE)*'Incremental Repayments'!$I$22)),0),0)</f>
        <v>0</v>
      </c>
      <c r="AH122" s="783">
        <f>IF('Incremental Repayments'!$R$22="Debt",IF(AND(AH$4&gt;=$D122,AH$4&lt;$D122+'Incremental Repayments'!$I$31),-PMT('Interest Rate'!$J$16,'Incremental Repayments'!$I$31,(HLOOKUP($D122,$E$4:$CZ$32,28,FALSE)*'Incremental Repayments'!$I$22)),0),0)</f>
        <v>0</v>
      </c>
      <c r="AI122" s="783">
        <f>IF('Incremental Repayments'!$R$22="Debt",IF(AND(AI$4&gt;=$D122,AI$4&lt;$D122+'Incremental Repayments'!$I$31),-PMT('Interest Rate'!$J$16,'Incremental Repayments'!$I$31,(HLOOKUP($D122,$E$4:$CZ$32,28,FALSE)*'Incremental Repayments'!$I$22)),0),0)</f>
        <v>0</v>
      </c>
      <c r="AJ122" s="783">
        <f>IF('Incremental Repayments'!$R$22="Debt",IF(AND(AJ$4&gt;=$D122,AJ$4&lt;$D122+'Incremental Repayments'!$I$31),-PMT('Interest Rate'!$J$16,'Incremental Repayments'!$I$31,(HLOOKUP($D122,$E$4:$CZ$32,28,FALSE)*'Incremental Repayments'!$I$22)),0),0)</f>
        <v>0</v>
      </c>
      <c r="AK122" s="783">
        <f>IF('Incremental Repayments'!$R$22="Debt",IF(AND(AK$4&gt;=$D122,AK$4&lt;$D122+'Incremental Repayments'!$I$31),-PMT('Interest Rate'!$J$16,'Incremental Repayments'!$I$31,(HLOOKUP($D122,$E$4:$CZ$32,28,FALSE)*'Incremental Repayments'!$I$22)),0),0)</f>
        <v>0</v>
      </c>
      <c r="AL122" s="783">
        <f>IF('Incremental Repayments'!$R$22="Debt",IF(AND(AL$4&gt;=$D122,AL$4&lt;$D122+'Incremental Repayments'!$I$31),-PMT('Interest Rate'!$J$16,'Incremental Repayments'!$I$31,(HLOOKUP($D122,$E$4:$CZ$32,28,FALSE)*'Incremental Repayments'!$I$22)),0),0)</f>
        <v>0</v>
      </c>
      <c r="AM122" s="783">
        <f>IF('Incremental Repayments'!$R$22="Debt",IF(AND(AM$4&gt;=$D122,AM$4&lt;$D122+'Incremental Repayments'!$I$31),-PMT('Interest Rate'!$J$16,'Incremental Repayments'!$I$31,(HLOOKUP($D122,$E$4:$CZ$32,28,FALSE)*'Incremental Repayments'!$I$22)),0),0)</f>
        <v>0</v>
      </c>
      <c r="AN122" s="783">
        <f>IF('Incremental Repayments'!$R$22="Debt",IF(AND(AN$4&gt;=$D122,AN$4&lt;$D122+'Incremental Repayments'!$I$31),-PMT('Interest Rate'!$J$16,'Incremental Repayments'!$I$31,(HLOOKUP($D122,$E$4:$CZ$32,28,FALSE)*'Incremental Repayments'!$I$22)),0),0)</f>
        <v>0</v>
      </c>
      <c r="AO122" s="783">
        <f>IF('Incremental Repayments'!$R$22="Debt",IF(AND(AO$4&gt;=$D122,AO$4&lt;$D122+'Incremental Repayments'!$I$31),-PMT('Interest Rate'!$J$16,'Incremental Repayments'!$I$31,(HLOOKUP($D122,$E$4:$CZ$32,28,FALSE)*'Incremental Repayments'!$I$22)),0),0)</f>
        <v>0</v>
      </c>
      <c r="AP122" s="783">
        <f>IF('Incremental Repayments'!$R$22="Debt",IF(AND(AP$4&gt;=$D122,AP$4&lt;$D122+'Incremental Repayments'!$I$31),-PMT('Interest Rate'!$J$16,'Incremental Repayments'!$I$31,(HLOOKUP($D122,$E$4:$CZ$32,28,FALSE)*'Incremental Repayments'!$I$22)),0),0)</f>
        <v>0</v>
      </c>
      <c r="AQ122" s="783">
        <f>IF('Incremental Repayments'!$R$22="Debt",IF(AND(AQ$4&gt;=$D122,AQ$4&lt;$D122+'Incremental Repayments'!$I$31),-PMT('Interest Rate'!$J$16,'Incremental Repayments'!$I$31,(HLOOKUP($D122,$E$4:$CZ$32,28,FALSE)*'Incremental Repayments'!$I$22)),0),0)</f>
        <v>0</v>
      </c>
      <c r="AR122" s="783">
        <f>IF('Incremental Repayments'!$R$22="Debt",IF(AND(AR$4&gt;=$D122,AR$4&lt;$D122+'Incremental Repayments'!$I$31),-PMT('Interest Rate'!$J$16,'Incremental Repayments'!$I$31,(HLOOKUP($D122,$E$4:$CZ$32,28,FALSE)*'Incremental Repayments'!$I$22)),0),0)</f>
        <v>0</v>
      </c>
      <c r="AS122" s="783">
        <f>IF('Incremental Repayments'!$R$22="Debt",IF(AND(AS$4&gt;=$D122,AS$4&lt;$D122+'Incremental Repayments'!$I$31),-PMT('Interest Rate'!$J$16,'Incremental Repayments'!$I$31,(HLOOKUP($D122,$E$4:$CZ$32,28,FALSE)*'Incremental Repayments'!$I$22)),0),0)</f>
        <v>0</v>
      </c>
      <c r="AT122" s="783">
        <f>IF('Incremental Repayments'!$R$22="Debt",IF(AND(AT$4&gt;=$D122,AT$4&lt;$D122+'Incremental Repayments'!$I$31),-PMT('Interest Rate'!$J$16,'Incremental Repayments'!$I$31,(HLOOKUP($D122,$E$4:$CZ$32,28,FALSE)*'Incremental Repayments'!$I$22)),0),0)</f>
        <v>0</v>
      </c>
      <c r="AU122" s="783">
        <f>IF('Incremental Repayments'!$R$22="Debt",IF(AND(AU$4&gt;=$D122,AU$4&lt;$D122+'Incremental Repayments'!$I$31),-PMT('Interest Rate'!$J$16,'Incremental Repayments'!$I$31,(HLOOKUP($D122,$E$4:$CZ$32,28,FALSE)*'Incremental Repayments'!$I$22)),0),0)</f>
        <v>0</v>
      </c>
      <c r="AV122" s="783">
        <f>IF('Incremental Repayments'!$R$22="Debt",IF(AND(AV$4&gt;=$D122,AV$4&lt;$D122+'Incremental Repayments'!$I$31),-PMT('Interest Rate'!$J$16,'Incremental Repayments'!$I$31,(HLOOKUP($D122,$E$4:$CZ$32,28,FALSE)*'Incremental Repayments'!$I$22)),0),0)</f>
        <v>0</v>
      </c>
      <c r="AW122" s="783">
        <f>IF('Incremental Repayments'!$R$22="Debt",IF(AND(AW$4&gt;=$D122,AW$4&lt;$D122+'Incremental Repayments'!$I$31),-PMT('Interest Rate'!$J$16,'Incremental Repayments'!$I$31,(HLOOKUP($D122,$E$4:$CZ$32,28,FALSE)*'Incremental Repayments'!$I$22)),0),0)</f>
        <v>0</v>
      </c>
      <c r="AX122" s="783">
        <f>IF('Incremental Repayments'!$R$22="Debt",IF(AND(AX$4&gt;=$D122,AX$4&lt;$D122+'Incremental Repayments'!$I$31),-PMT('Interest Rate'!$J$16,'Incremental Repayments'!$I$31,(HLOOKUP($D122,$E$4:$CZ$32,28,FALSE)*'Incremental Repayments'!$I$22)),0),0)</f>
        <v>0</v>
      </c>
      <c r="AY122" s="783">
        <f>IF('Incremental Repayments'!$R$22="Debt",IF(AND(AY$4&gt;=$D122,AY$4&lt;$D122+'Incremental Repayments'!$I$31),-PMT('Interest Rate'!$J$16,'Incremental Repayments'!$I$31,(HLOOKUP($D122,$E$4:$CZ$32,28,FALSE)*'Incremental Repayments'!$I$22)),0),0)</f>
        <v>0</v>
      </c>
      <c r="AZ122" s="783">
        <f>IF('Incremental Repayments'!$R$22="Debt",IF(AND(AZ$4&gt;=$D122,AZ$4&lt;$D122+'Incremental Repayments'!$I$31),-PMT('Interest Rate'!$J$16,'Incremental Repayments'!$I$31,(HLOOKUP($D122,$E$4:$CZ$32,28,FALSE)*'Incremental Repayments'!$I$22)),0),0)</f>
        <v>0</v>
      </c>
      <c r="BA122" s="783">
        <f>IF('Incremental Repayments'!$R$22="Debt",IF(AND(BA$4&gt;=$D122,BA$4&lt;$D122+'Incremental Repayments'!$I$31),-PMT('Interest Rate'!$J$16,'Incremental Repayments'!$I$31,(HLOOKUP($D122,$E$4:$CZ$32,28,FALSE)*'Incremental Repayments'!$I$22)),0),0)</f>
        <v>0</v>
      </c>
      <c r="BB122" s="783">
        <f>IF('Incremental Repayments'!$R$22="Debt",IF(AND(BB$4&gt;=$D122,BB$4&lt;$D122+'Incremental Repayments'!$I$31),-PMT('Interest Rate'!$J$16,'Incremental Repayments'!$I$31,(HLOOKUP($D122,$E$4:$CZ$32,28,FALSE)*'Incremental Repayments'!$I$22)),0),0)</f>
        <v>0</v>
      </c>
      <c r="BC122" s="783">
        <f>IF('Incremental Repayments'!$R$22="Debt",IF(AND(BC$4&gt;=$D122,BC$4&lt;$D122+'Incremental Repayments'!$I$31),-PMT('Interest Rate'!$J$16,'Incremental Repayments'!$I$31,(HLOOKUP($D122,$E$4:$CZ$32,28,FALSE)*'Incremental Repayments'!$I$22)),0),0)</f>
        <v>0</v>
      </c>
      <c r="BD122" s="783">
        <f>IF('Incremental Repayments'!$R$22="Debt",IF(AND(BD$4&gt;=$D122,BD$4&lt;$D122+'Incremental Repayments'!$I$31),-PMT('Interest Rate'!$J$16,'Incremental Repayments'!$I$31,(HLOOKUP($D122,$E$4:$CZ$32,28,FALSE)*'Incremental Repayments'!$I$22)),0),0)</f>
        <v>0</v>
      </c>
      <c r="BE122" s="783">
        <f>IF('Incremental Repayments'!$R$22="Debt",IF(AND(BE$4&gt;=$D122,BE$4&lt;$D122+'Incremental Repayments'!$I$31),-PMT('Interest Rate'!$J$16,'Incremental Repayments'!$I$31,(HLOOKUP($D122,$E$4:$CZ$32,28,FALSE)*'Incremental Repayments'!$I$22)),0),0)</f>
        <v>0</v>
      </c>
      <c r="BF122" s="783">
        <f>IF('Incremental Repayments'!$R$22="Debt",IF(AND(BF$4&gt;=$D122,BF$4&lt;$D122+'Incremental Repayments'!$I$31),-PMT('Interest Rate'!$J$16,'Incremental Repayments'!$I$31,(HLOOKUP($D122,$E$4:$CZ$32,28,FALSE)*'Incremental Repayments'!$I$22)),0),0)</f>
        <v>0</v>
      </c>
      <c r="BG122" s="783">
        <f>IF('Incremental Repayments'!$R$22="Debt",IF(AND(BG$4&gt;=$D122,BG$4&lt;$D122+'Incremental Repayments'!$I$31),-PMT('Interest Rate'!$J$16,'Incremental Repayments'!$I$31,(HLOOKUP($D122,$E$4:$CZ$32,28,FALSE)*'Incremental Repayments'!$I$22)),0),0)</f>
        <v>0</v>
      </c>
      <c r="BH122" s="783">
        <f>IF('Incremental Repayments'!$R$22="Debt",IF(AND(BH$4&gt;=$D122,BH$4&lt;$D122+'Incremental Repayments'!$I$31),-PMT('Interest Rate'!$J$16,'Incremental Repayments'!$I$31,(HLOOKUP($D122,$E$4:$CZ$32,28,FALSE)*'Incremental Repayments'!$I$22)),0),0)</f>
        <v>0</v>
      </c>
      <c r="BI122" s="783">
        <f>IF('Incremental Repayments'!$R$22="Debt",IF(AND(BI$4&gt;=$D122,BI$4&lt;$D122+'Incremental Repayments'!$I$31),-PMT('Interest Rate'!$J$16,'Incremental Repayments'!$I$31,(HLOOKUP($D122,$E$4:$CZ$32,28,FALSE)*'Incremental Repayments'!$I$22)),0),0)</f>
        <v>0</v>
      </c>
      <c r="BJ122" s="783">
        <f>IF('Incremental Repayments'!$R$22="Debt",IF(AND(BJ$4&gt;=$D122,BJ$4&lt;$D122+'Incremental Repayments'!$I$31),-PMT('Interest Rate'!$J$16,'Incremental Repayments'!$I$31,(HLOOKUP($D122,$E$4:$CZ$32,28,FALSE)*'Incremental Repayments'!$I$22)),0),0)</f>
        <v>0</v>
      </c>
      <c r="BK122" s="783">
        <f>IF('Incremental Repayments'!$R$22="Debt",IF(AND(BK$4&gt;=$D122,BK$4&lt;$D122+'Incremental Repayments'!$I$31),-PMT('Interest Rate'!$J$16,'Incremental Repayments'!$I$31,(HLOOKUP($D122,$E$4:$CZ$32,28,FALSE)*'Incremental Repayments'!$I$22)),0),0)</f>
        <v>0</v>
      </c>
      <c r="BL122" s="783">
        <f>IF('Incremental Repayments'!$R$22="Debt",IF(AND(BL$4&gt;=$D122,BL$4&lt;$D122+'Incremental Repayments'!$I$31),-PMT('Interest Rate'!$J$16,'Incremental Repayments'!$I$31,(HLOOKUP($D122,$E$4:$CZ$32,28,FALSE)*'Incremental Repayments'!$I$22)),0),0)</f>
        <v>0</v>
      </c>
      <c r="BM122" s="783">
        <f>IF('Incremental Repayments'!$R$22="Debt",IF(AND(BM$4&gt;=$D122,BM$4&lt;$D122+'Incremental Repayments'!$I$31),-PMT('Interest Rate'!$J$16,'Incremental Repayments'!$I$31,(HLOOKUP($D122,$E$4:$CZ$32,28,FALSE)*'Incremental Repayments'!$I$22)),0),0)</f>
        <v>0</v>
      </c>
      <c r="BN122" s="783">
        <f>IF('Incremental Repayments'!$R$22="Debt",IF(AND(BN$4&gt;=$D122,BN$4&lt;$D122+'Incremental Repayments'!$I$31),-PMT('Interest Rate'!$J$16,'Incremental Repayments'!$I$31,(HLOOKUP($D122,$E$4:$CZ$32,28,FALSE)*'Incremental Repayments'!$I$22)),0),0)</f>
        <v>0</v>
      </c>
      <c r="BO122" s="783">
        <f>IF('Incremental Repayments'!$R$22="Debt",IF(AND(BO$4&gt;=$D122,BO$4&lt;$D122+'Incremental Repayments'!$I$31),-PMT('Interest Rate'!$J$16,'Incremental Repayments'!$I$31,(HLOOKUP($D122,$E$4:$CZ$32,28,FALSE)*'Incremental Repayments'!$I$22)),0),0)</f>
        <v>0</v>
      </c>
      <c r="BP122" s="783">
        <f>IF('Incremental Repayments'!$R$22="Debt",IF(AND(BP$4&gt;=$D122,BP$4&lt;$D122+'Incremental Repayments'!$I$31),-PMT('Interest Rate'!$J$16,'Incremental Repayments'!$I$31,(HLOOKUP($D122,$E$4:$CZ$32,28,FALSE)*'Incremental Repayments'!$I$22)),0),0)</f>
        <v>0</v>
      </c>
      <c r="BQ122" s="783">
        <f>IF('Incremental Repayments'!$R$22="Debt",IF(AND(BQ$4&gt;=$D122,BQ$4&lt;$D122+'Incremental Repayments'!$I$31),-PMT('Interest Rate'!$J$16,'Incremental Repayments'!$I$31,(HLOOKUP($D122,$E$4:$CZ$32,28,FALSE)*'Incremental Repayments'!$I$22)),0),0)</f>
        <v>0</v>
      </c>
      <c r="BR122" s="783">
        <f>IF('Incremental Repayments'!$R$22="Debt",IF(AND(BR$4&gt;=$D122,BR$4&lt;$D122+'Incremental Repayments'!$I$31),-PMT('Interest Rate'!$J$16,'Incremental Repayments'!$I$31,(HLOOKUP($D122,$E$4:$CZ$32,28,FALSE)*'Incremental Repayments'!$I$22)),0),0)</f>
        <v>0</v>
      </c>
      <c r="BS122" s="783">
        <f>IF('Incremental Repayments'!$R$22="Debt",IF(AND(BS$4&gt;=$D122,BS$4&lt;$D122+'Incremental Repayments'!$I$31),-PMT('Interest Rate'!$J$16,'Incremental Repayments'!$I$31,(HLOOKUP($D122,$E$4:$CZ$32,28,FALSE)*'Incremental Repayments'!$I$22)),0),0)</f>
        <v>0</v>
      </c>
      <c r="BT122" s="783">
        <f>IF('Incremental Repayments'!$R$22="Debt",IF(AND(BT$4&gt;=$D122,BT$4&lt;$D122+'Incremental Repayments'!$I$31),-PMT('Interest Rate'!$J$16,'Incremental Repayments'!$I$31,(HLOOKUP($D122,$E$4:$CZ$32,28,FALSE)*'Incremental Repayments'!$I$22)),0),0)</f>
        <v>0</v>
      </c>
      <c r="BU122" s="783">
        <f>IF('Incremental Repayments'!$R$22="Debt",IF(AND(BU$4&gt;=$D122,BU$4&lt;$D122+'Incremental Repayments'!$I$31),-PMT('Interest Rate'!$J$16,'Incremental Repayments'!$I$31,(HLOOKUP($D122,$E$4:$CZ$32,28,FALSE)*'Incremental Repayments'!$I$22)),0),0)</f>
        <v>0</v>
      </c>
      <c r="BV122" s="783">
        <f>IF('Incremental Repayments'!$R$22="Debt",IF(AND(BV$4&gt;=$D122,BV$4&lt;$D122+'Incremental Repayments'!$I$31),-PMT('Interest Rate'!$J$16,'Incremental Repayments'!$I$31,(HLOOKUP($D122,$E$4:$CZ$32,28,FALSE)*'Incremental Repayments'!$I$22)),0),0)</f>
        <v>0</v>
      </c>
      <c r="BW122" s="783">
        <f>IF('Incremental Repayments'!$R$22="Debt",IF(AND(BW$4&gt;=$D122,BW$4&lt;$D122+'Incremental Repayments'!$I$31),-PMT('Interest Rate'!$J$16,'Incremental Repayments'!$I$31,(HLOOKUP($D122,$E$4:$CZ$32,28,FALSE)*'Incremental Repayments'!$I$22)),0),0)</f>
        <v>0</v>
      </c>
      <c r="BX122" s="783">
        <f>IF('Incremental Repayments'!$R$22="Debt",IF(AND(BX$4&gt;=$D122,BX$4&lt;$D122+'Incremental Repayments'!$I$31),-PMT('Interest Rate'!$J$16,'Incremental Repayments'!$I$31,(HLOOKUP($D122,$E$4:$CZ$32,28,FALSE)*'Incremental Repayments'!$I$22)),0),0)</f>
        <v>0</v>
      </c>
      <c r="BY122" s="783">
        <f>IF('Incremental Repayments'!$R$22="Debt",IF(AND(BY$4&gt;=$D122,BY$4&lt;$D122+'Incremental Repayments'!$I$31),-PMT('Interest Rate'!$J$16,'Incremental Repayments'!$I$31,(HLOOKUP($D122,$E$4:$CZ$32,28,FALSE)*'Incremental Repayments'!$I$22)),0),0)</f>
        <v>0</v>
      </c>
      <c r="BZ122" s="783">
        <f>IF('Incremental Repayments'!$R$22="Debt",IF(AND(BZ$4&gt;=$D122,BZ$4&lt;$D122+'Incremental Repayments'!$I$31),-PMT('Interest Rate'!$J$16,'Incremental Repayments'!$I$31,(HLOOKUP($D122,$E$4:$CZ$32,28,FALSE)*'Incremental Repayments'!$I$22)),0),0)</f>
        <v>0</v>
      </c>
      <c r="CA122" s="783">
        <f>IF('Incremental Repayments'!$R$22="Debt",IF(AND(CA$4&gt;=$D122,CA$4&lt;$D122+'Incremental Repayments'!$I$31),-PMT('Interest Rate'!$J$16,'Incremental Repayments'!$I$31,(HLOOKUP($D122,$E$4:$CZ$32,28,FALSE)*'Incremental Repayments'!$I$22)),0),0)</f>
        <v>0</v>
      </c>
      <c r="CB122" s="783">
        <f>IF('Incremental Repayments'!$R$22="Debt",IF(AND(CB$4&gt;=$D122,CB$4&lt;$D122+'Incremental Repayments'!$I$31),-PMT('Interest Rate'!$J$16,'Incremental Repayments'!$I$31,(HLOOKUP($D122,$E$4:$CZ$32,28,FALSE)*'Incremental Repayments'!$I$22)),0),0)</f>
        <v>0</v>
      </c>
      <c r="CC122" s="783">
        <f>IF('Incremental Repayments'!$R$22="Debt",IF(AND(CC$4&gt;=$D122,CC$4&lt;$D122+'Incremental Repayments'!$I$31),-PMT('Interest Rate'!$J$16,'Incremental Repayments'!$I$31,(HLOOKUP($D122,$E$4:$CZ$32,28,FALSE)*'Incremental Repayments'!$I$22)),0),0)</f>
        <v>0</v>
      </c>
      <c r="CD122" s="783">
        <f>IF('Incremental Repayments'!$R$22="Debt",IF(AND(CD$4&gt;=$D122,CD$4&lt;$D122+'Incremental Repayments'!$I$31),-PMT('Interest Rate'!$J$16,'Incremental Repayments'!$I$31,(HLOOKUP($D122,$E$4:$CZ$32,28,FALSE)*'Incremental Repayments'!$I$22)),0),0)</f>
        <v>0</v>
      </c>
      <c r="CE122" s="783">
        <f>IF('Incremental Repayments'!$R$22="Debt",IF(AND(CE$4&gt;=$D122,CE$4&lt;$D122+'Incremental Repayments'!$I$31),-PMT('Interest Rate'!$J$16,'Incremental Repayments'!$I$31,(HLOOKUP($D122,$E$4:$CZ$32,28,FALSE)*'Incremental Repayments'!$I$22)),0),0)</f>
        <v>0</v>
      </c>
      <c r="CF122" s="783">
        <f>IF('Incremental Repayments'!$R$22="Debt",IF(AND(CF$4&gt;=$D122,CF$4&lt;$D122+'Incremental Repayments'!$I$31),-PMT('Interest Rate'!$J$16,'Incremental Repayments'!$I$31,(HLOOKUP($D122,$E$4:$CZ$32,28,FALSE)*'Incremental Repayments'!$I$22)),0),0)</f>
        <v>0</v>
      </c>
      <c r="CG122" s="783">
        <f>IF('Incremental Repayments'!$R$22="Debt",IF(AND(CG$4&gt;=$D122,CG$4&lt;$D122+'Incremental Repayments'!$I$31),-PMT('Interest Rate'!$J$16,'Incremental Repayments'!$I$31,(HLOOKUP($D122,$E$4:$CZ$32,28,FALSE)*'Incremental Repayments'!$I$22)),0),0)</f>
        <v>0</v>
      </c>
      <c r="CH122" s="783">
        <f>IF('Incremental Repayments'!$R$22="Debt",IF(AND(CH$4&gt;=$D122,CH$4&lt;$D122+'Incremental Repayments'!$I$31),-PMT('Interest Rate'!$J$16,'Incremental Repayments'!$I$31,(HLOOKUP($D122,$E$4:$CZ$32,28,FALSE)*'Incremental Repayments'!$I$22)),0),0)</f>
        <v>0</v>
      </c>
      <c r="CI122" s="783">
        <f>IF('Incremental Repayments'!$R$22="Debt",IF(AND(CI$4&gt;=$D122,CI$4&lt;$D122+'Incremental Repayments'!$I$31),-PMT('Interest Rate'!$J$16,'Incremental Repayments'!$I$31,(HLOOKUP($D122,$E$4:$CZ$32,28,FALSE)*'Incremental Repayments'!$I$22)),0),0)</f>
        <v>0</v>
      </c>
      <c r="CJ122" s="783">
        <f>IF('Incremental Repayments'!$R$22="Debt",IF(AND(CJ$4&gt;=$D122,CJ$4&lt;$D122+'Incremental Repayments'!$I$31),-PMT('Interest Rate'!$J$16,'Incremental Repayments'!$I$31,(HLOOKUP($D122,$E$4:$CZ$32,28,FALSE)*'Incremental Repayments'!$I$22)),0),0)</f>
        <v>0</v>
      </c>
      <c r="CK122" s="783">
        <f>IF('Incremental Repayments'!$R$22="Debt",IF(AND(CK$4&gt;=$D122,CK$4&lt;$D122+'Incremental Repayments'!$I$31),-PMT('Interest Rate'!$J$16,'Incremental Repayments'!$I$31,(HLOOKUP($D122,$E$4:$CZ$32,28,FALSE)*'Incremental Repayments'!$I$22)),0),0)</f>
        <v>0</v>
      </c>
      <c r="CL122" s="783">
        <f>IF('Incremental Repayments'!$R$22="Debt",IF(AND(CL$4&gt;=$D122,CL$4&lt;$D122+'Incremental Repayments'!$I$31),-PMT('Interest Rate'!$J$16,'Incremental Repayments'!$I$31,(HLOOKUP($D122,$E$4:$CZ$32,28,FALSE)*'Incremental Repayments'!$I$22)),0),0)</f>
        <v>0</v>
      </c>
      <c r="CM122" s="783">
        <f>IF('Incremental Repayments'!$R$22="Debt",IF(AND(CM$4&gt;=$D122,CM$4&lt;$D122+'Incremental Repayments'!$I$31),-PMT('Interest Rate'!$J$16,'Incremental Repayments'!$I$31,(HLOOKUP($D122,$E$4:$CZ$32,28,FALSE)*'Incremental Repayments'!$I$22)),0),0)</f>
        <v>0</v>
      </c>
      <c r="CN122" s="783">
        <f>IF('Incremental Repayments'!$R$22="Debt",IF(AND(CN$4&gt;=$D122,CN$4&lt;$D122+'Incremental Repayments'!$I$31),-PMT('Interest Rate'!$J$16,'Incremental Repayments'!$I$31,(HLOOKUP($D122,$E$4:$CZ$32,28,FALSE)*'Incremental Repayments'!$I$22)),0),0)</f>
        <v>0</v>
      </c>
      <c r="CO122" s="783">
        <f>IF('Incremental Repayments'!$R$22="Debt",IF(AND(CO$4&gt;=$D122,CO$4&lt;$D122+'Incremental Repayments'!$I$31),-PMT('Interest Rate'!$J$16,'Incremental Repayments'!$I$31,(HLOOKUP($D122,$E$4:$CZ$32,28,FALSE)*'Incremental Repayments'!$I$22)),0),0)</f>
        <v>0</v>
      </c>
      <c r="CP122" s="783">
        <f>IF('Incremental Repayments'!$R$22="Debt",IF(AND(CP$4&gt;=$D122,CP$4&lt;$D122+'Incremental Repayments'!$I$31),-PMT('Interest Rate'!$J$16,'Incremental Repayments'!$I$31,(HLOOKUP($D122,$E$4:$CZ$32,28,FALSE)*'Incremental Repayments'!$I$22)),0),0)</f>
        <v>0</v>
      </c>
      <c r="CQ122" s="783">
        <f>IF('Incremental Repayments'!$R$22="Debt",IF(AND(CQ$4&gt;=$D122,CQ$4&lt;$D122+'Incremental Repayments'!$I$31),-PMT('Interest Rate'!$J$16,'Incremental Repayments'!$I$31,(HLOOKUP($D122,$E$4:$CZ$32,28,FALSE)*'Incremental Repayments'!$I$22)),0),0)</f>
        <v>0</v>
      </c>
      <c r="CR122" s="783">
        <f>IF('Incremental Repayments'!$R$22="Debt",IF(AND(CR$4&gt;=$D122,CR$4&lt;$D122+'Incremental Repayments'!$I$31),-PMT('Interest Rate'!$J$16,'Incremental Repayments'!$I$31,(HLOOKUP($D122,$E$4:$CZ$32,28,FALSE)*'Incremental Repayments'!$I$22)),0),0)</f>
        <v>0</v>
      </c>
      <c r="CS122" s="783">
        <f>IF('Incremental Repayments'!$R$22="Debt",IF(AND(CS$4&gt;=$D122,CS$4&lt;$D122+'Incremental Repayments'!$I$31),-PMT('Interest Rate'!$J$16,'Incremental Repayments'!$I$31,(HLOOKUP($D122,$E$4:$CZ$32,28,FALSE)*'Incremental Repayments'!$I$22)),0),0)</f>
        <v>0</v>
      </c>
      <c r="CT122" s="783">
        <f>IF('Incremental Repayments'!$R$22="Debt",IF(AND(CT$4&gt;=$D122,CT$4&lt;$D122+'Incremental Repayments'!$I$31),-PMT('Interest Rate'!$J$16,'Incremental Repayments'!$I$31,(HLOOKUP($D122,$E$4:$CZ$32,28,FALSE)*'Incremental Repayments'!$I$22)),0),0)</f>
        <v>0</v>
      </c>
      <c r="CU122" s="783">
        <f>IF('Incremental Repayments'!$R$22="Debt",IF(AND(CU$4&gt;=$D122,CU$4&lt;$D122+'Incremental Repayments'!$I$31),-PMT('Interest Rate'!$J$16,'Incremental Repayments'!$I$31,(HLOOKUP($D122,$E$4:$CZ$32,28,FALSE)*'Incremental Repayments'!$I$22)),0),0)</f>
        <v>0</v>
      </c>
      <c r="CV122" s="783">
        <f>IF('Incremental Repayments'!$R$22="Debt",IF(AND(CV$4&gt;=$D122,CV$4&lt;$D122+'Incremental Repayments'!$I$31),-PMT('Interest Rate'!$J$16,'Incremental Repayments'!$I$31,(HLOOKUP($D122,$E$4:$CZ$32,28,FALSE)*'Incremental Repayments'!$I$22)),0),0)</f>
        <v>0</v>
      </c>
      <c r="CW122" s="783">
        <f>IF('Incremental Repayments'!$R$22="Debt",IF(AND(CW$4&gt;=$D122,CW$4&lt;$D122+'Incremental Repayments'!$I$31),-PMT('Interest Rate'!$J$16,'Incremental Repayments'!$I$31,(HLOOKUP($D122,$E$4:$CZ$32,28,FALSE)*'Incremental Repayments'!$I$22)),0),0)</f>
        <v>0</v>
      </c>
      <c r="CX122" s="783">
        <f>IF('Incremental Repayments'!$R$22="Debt",IF(AND(CX$4&gt;=$D122,CX$4&lt;$D122+'Incremental Repayments'!$I$31),-PMT('Interest Rate'!$J$16,'Incremental Repayments'!$I$31,(HLOOKUP($D122,$E$4:$CZ$32,28,FALSE)*'Incremental Repayments'!$I$22)),0),0)</f>
        <v>0</v>
      </c>
      <c r="CY122" s="783">
        <f>IF('Incremental Repayments'!$R$22="Debt",IF(AND(CY$4&gt;=$D122,CY$4&lt;$D122+'Incremental Repayments'!$I$31),-PMT('Interest Rate'!$J$16,'Incremental Repayments'!$I$31,(HLOOKUP($D122,$E$4:$CZ$32,28,FALSE)*'Incremental Repayments'!$I$22)),0),0)</f>
        <v>0</v>
      </c>
      <c r="CZ122" s="783">
        <f>IF('Incremental Repayments'!$R$22="Debt",IF(AND(CZ$4&gt;=$D122,CZ$4&lt;$D122+'Incremental Repayments'!$I$31),-PMT('Interest Rate'!$J$16,'Incremental Repayments'!$I$31,(HLOOKUP($D122,$E$4:$CZ$32,28,FALSE)*'Incremental Repayments'!$I$22)),0),0)</f>
        <v>0</v>
      </c>
    </row>
    <row r="123" spans="1:104" x14ac:dyDescent="0.25">
      <c r="B123" s="480" t="str">
        <f>CONCATENATE("Series ",D123,"A Bonds (at ",'Interest Rate'!$J$16*100,"% Interest)")</f>
        <v>Series 2101A Bonds (at 4.5% Interest)</v>
      </c>
      <c r="C123" s="480"/>
      <c r="D123" s="492">
        <f t="shared" si="48"/>
        <v>2101</v>
      </c>
      <c r="E123" s="783">
        <f>IF('Incremental Repayments'!$R$22="Debt",IF(AND(E$4&gt;=$D123,E$4&lt;$D123+'Incremental Repayments'!$I$31),-PMT('Interest Rate'!$J$16,'Incremental Repayments'!$I$31,(HLOOKUP($D123,$E$4:$CZ$32,28,FALSE)*'Incremental Repayments'!$I$22)),0),0)</f>
        <v>0</v>
      </c>
      <c r="F123" s="783">
        <f>IF('Incremental Repayments'!$R$22="Debt",IF(AND(F$4&gt;=$D123,F$4&lt;$D123+'Incremental Repayments'!$I$31),-PMT('Interest Rate'!$J$16,'Incremental Repayments'!$I$31,(HLOOKUP($D123,$E$4:$CZ$32,28,FALSE)*'Incremental Repayments'!$I$22)),0),0)</f>
        <v>0</v>
      </c>
      <c r="G123" s="783">
        <f>IF('Incremental Repayments'!$R$22="Debt",IF(AND(G$4&gt;=$D123,G$4&lt;$D123+'Incremental Repayments'!$I$31),-PMT('Interest Rate'!$J$16,'Incremental Repayments'!$I$31,(HLOOKUP($D123,$E$4:$CZ$32,28,FALSE)*'Incremental Repayments'!$I$22)),0),0)</f>
        <v>0</v>
      </c>
      <c r="H123" s="783">
        <f>IF('Incremental Repayments'!$R$22="Debt",IF(AND(H$4&gt;=$D123,H$4&lt;$D123+'Incremental Repayments'!$I$31),-PMT('Interest Rate'!$J$16,'Incremental Repayments'!$I$31,(HLOOKUP($D123,$E$4:$CZ$32,28,FALSE)*'Incremental Repayments'!$I$22)),0),0)</f>
        <v>0</v>
      </c>
      <c r="I123" s="783">
        <f>IF('Incremental Repayments'!$R$22="Debt",IF(AND(I$4&gt;=$D123,I$4&lt;$D123+'Incremental Repayments'!$I$31),-PMT('Interest Rate'!$J$16,'Incremental Repayments'!$I$31,(HLOOKUP($D123,$E$4:$CZ$32,28,FALSE)*'Incremental Repayments'!$I$22)),0),0)</f>
        <v>0</v>
      </c>
      <c r="J123" s="783">
        <f>IF('Incremental Repayments'!$R$22="Debt",IF(AND(J$4&gt;=$D123,J$4&lt;$D123+'Incremental Repayments'!$I$31),-PMT('Interest Rate'!$J$16,'Incremental Repayments'!$I$31,(HLOOKUP($D123,$E$4:$CZ$32,28,FALSE)*'Incremental Repayments'!$I$22)),0),0)</f>
        <v>0</v>
      </c>
      <c r="K123" s="783">
        <f>IF('Incremental Repayments'!$R$22="Debt",IF(AND(K$4&gt;=$D123,K$4&lt;$D123+'Incremental Repayments'!$I$31),-PMT('Interest Rate'!$J$16,'Incremental Repayments'!$I$31,(HLOOKUP($D123,$E$4:$CZ$32,28,FALSE)*'Incremental Repayments'!$I$22)),0),0)</f>
        <v>0</v>
      </c>
      <c r="L123" s="783">
        <f>IF('Incremental Repayments'!$R$22="Debt",IF(AND(L$4&gt;=$D123,L$4&lt;$D123+'Incremental Repayments'!$I$31),-PMT('Interest Rate'!$J$16,'Incremental Repayments'!$I$31,(HLOOKUP($D123,$E$4:$CZ$32,28,FALSE)*'Incremental Repayments'!$I$22)),0),0)</f>
        <v>0</v>
      </c>
      <c r="M123" s="783">
        <f>IF('Incremental Repayments'!$R$22="Debt",IF(AND(M$4&gt;=$D123,M$4&lt;$D123+'Incremental Repayments'!$I$31),-PMT('Interest Rate'!$J$16,'Incremental Repayments'!$I$31,(HLOOKUP($D123,$E$4:$CZ$32,28,FALSE)*'Incremental Repayments'!$I$22)),0),0)</f>
        <v>0</v>
      </c>
      <c r="N123" s="783">
        <f>IF('Incremental Repayments'!$R$22="Debt",IF(AND(N$4&gt;=$D123,N$4&lt;$D123+'Incremental Repayments'!$I$31),-PMT('Interest Rate'!$J$16,'Incremental Repayments'!$I$31,(HLOOKUP($D123,$E$4:$CZ$32,28,FALSE)*'Incremental Repayments'!$I$22)),0),0)</f>
        <v>0</v>
      </c>
      <c r="O123" s="783">
        <f>IF('Incremental Repayments'!$R$22="Debt",IF(AND(O$4&gt;=$D123,O$4&lt;$D123+'Incremental Repayments'!$I$31),-PMT('Interest Rate'!$J$16,'Incremental Repayments'!$I$31,(HLOOKUP($D123,$E$4:$CZ$32,28,FALSE)*'Incremental Repayments'!$I$22)),0),0)</f>
        <v>0</v>
      </c>
      <c r="P123" s="783">
        <f>IF('Incremental Repayments'!$R$22="Debt",IF(AND(P$4&gt;=$D123,P$4&lt;$D123+'Incremental Repayments'!$I$31),-PMT('Interest Rate'!$J$16,'Incremental Repayments'!$I$31,(HLOOKUP($D123,$E$4:$CZ$32,28,FALSE)*'Incremental Repayments'!$I$22)),0),0)</f>
        <v>0</v>
      </c>
      <c r="Q123" s="783">
        <f>IF('Incremental Repayments'!$R$22="Debt",IF(AND(Q$4&gt;=$D123,Q$4&lt;$D123+'Incremental Repayments'!$I$31),-PMT('Interest Rate'!$J$16,'Incremental Repayments'!$I$31,(HLOOKUP($D123,$E$4:$CZ$32,28,FALSE)*'Incremental Repayments'!$I$22)),0),0)</f>
        <v>0</v>
      </c>
      <c r="R123" s="783">
        <f>IF('Incremental Repayments'!$R$22="Debt",IF(AND(R$4&gt;=$D123,R$4&lt;$D123+'Incremental Repayments'!$I$31),-PMT('Interest Rate'!$J$16,'Incremental Repayments'!$I$31,(HLOOKUP($D123,$E$4:$CZ$32,28,FALSE)*'Incremental Repayments'!$I$22)),0),0)</f>
        <v>0</v>
      </c>
      <c r="S123" s="783">
        <f>IF('Incremental Repayments'!$R$22="Debt",IF(AND(S$4&gt;=$D123,S$4&lt;$D123+'Incremental Repayments'!$I$31),-PMT('Interest Rate'!$J$16,'Incremental Repayments'!$I$31,(HLOOKUP($D123,$E$4:$CZ$32,28,FALSE)*'Incremental Repayments'!$I$22)),0),0)</f>
        <v>0</v>
      </c>
      <c r="T123" s="783">
        <f>IF('Incremental Repayments'!$R$22="Debt",IF(AND(T$4&gt;=$D123,T$4&lt;$D123+'Incremental Repayments'!$I$31),-PMT('Interest Rate'!$J$16,'Incremental Repayments'!$I$31,(HLOOKUP($D123,$E$4:$CZ$32,28,FALSE)*'Incremental Repayments'!$I$22)),0),0)</f>
        <v>0</v>
      </c>
      <c r="U123" s="783">
        <f>IF('Incremental Repayments'!$R$22="Debt",IF(AND(U$4&gt;=$D123,U$4&lt;$D123+'Incremental Repayments'!$I$31),-PMT('Interest Rate'!$J$16,'Incremental Repayments'!$I$31,(HLOOKUP($D123,$E$4:$CZ$32,28,FALSE)*'Incremental Repayments'!$I$22)),0),0)</f>
        <v>0</v>
      </c>
      <c r="V123" s="783">
        <f>IF('Incremental Repayments'!$R$22="Debt",IF(AND(V$4&gt;=$D123,V$4&lt;$D123+'Incremental Repayments'!$I$31),-PMT('Interest Rate'!$J$16,'Incremental Repayments'!$I$31,(HLOOKUP($D123,$E$4:$CZ$32,28,FALSE)*'Incremental Repayments'!$I$22)),0),0)</f>
        <v>0</v>
      </c>
      <c r="W123" s="783">
        <f>IF('Incremental Repayments'!$R$22="Debt",IF(AND(W$4&gt;=$D123,W$4&lt;$D123+'Incremental Repayments'!$I$31),-PMT('Interest Rate'!$J$16,'Incremental Repayments'!$I$31,(HLOOKUP($D123,$E$4:$CZ$32,28,FALSE)*'Incremental Repayments'!$I$22)),0),0)</f>
        <v>0</v>
      </c>
      <c r="X123" s="783">
        <f>IF('Incremental Repayments'!$R$22="Debt",IF(AND(X$4&gt;=$D123,X$4&lt;$D123+'Incremental Repayments'!$I$31),-PMT('Interest Rate'!$J$16,'Incremental Repayments'!$I$31,(HLOOKUP($D123,$E$4:$CZ$32,28,FALSE)*'Incremental Repayments'!$I$22)),0),0)</f>
        <v>0</v>
      </c>
      <c r="Y123" s="783">
        <f>IF('Incremental Repayments'!$R$22="Debt",IF(AND(Y$4&gt;=$D123,Y$4&lt;$D123+'Incremental Repayments'!$I$31),-PMT('Interest Rate'!$J$16,'Incremental Repayments'!$I$31,(HLOOKUP($D123,$E$4:$CZ$32,28,FALSE)*'Incremental Repayments'!$I$22)),0),0)</f>
        <v>0</v>
      </c>
      <c r="Z123" s="783">
        <f>IF('Incremental Repayments'!$R$22="Debt",IF(AND(Z$4&gt;=$D123,Z$4&lt;$D123+'Incremental Repayments'!$I$31),-PMT('Interest Rate'!$J$16,'Incremental Repayments'!$I$31,(HLOOKUP($D123,$E$4:$CZ$32,28,FALSE)*'Incremental Repayments'!$I$22)),0),0)</f>
        <v>0</v>
      </c>
      <c r="AA123" s="783">
        <f>IF('Incremental Repayments'!$R$22="Debt",IF(AND(AA$4&gt;=$D123,AA$4&lt;$D123+'Incremental Repayments'!$I$31),-PMT('Interest Rate'!$J$16,'Incremental Repayments'!$I$31,(HLOOKUP($D123,$E$4:$CZ$32,28,FALSE)*'Incremental Repayments'!$I$22)),0),0)</f>
        <v>0</v>
      </c>
      <c r="AB123" s="783">
        <f>IF('Incremental Repayments'!$R$22="Debt",IF(AND(AB$4&gt;=$D123,AB$4&lt;$D123+'Incremental Repayments'!$I$31),-PMT('Interest Rate'!$J$16,'Incremental Repayments'!$I$31,(HLOOKUP($D123,$E$4:$CZ$32,28,FALSE)*'Incremental Repayments'!$I$22)),0),0)</f>
        <v>0</v>
      </c>
      <c r="AC123" s="783">
        <f>IF('Incremental Repayments'!$R$22="Debt",IF(AND(AC$4&gt;=$D123,AC$4&lt;$D123+'Incremental Repayments'!$I$31),-PMT('Interest Rate'!$J$16,'Incremental Repayments'!$I$31,(HLOOKUP($D123,$E$4:$CZ$32,28,FALSE)*'Incremental Repayments'!$I$22)),0),0)</f>
        <v>0</v>
      </c>
      <c r="AD123" s="783">
        <f>IF('Incremental Repayments'!$R$22="Debt",IF(AND(AD$4&gt;=$D123,AD$4&lt;$D123+'Incremental Repayments'!$I$31),-PMT('Interest Rate'!$J$16,'Incremental Repayments'!$I$31,(HLOOKUP($D123,$E$4:$CZ$32,28,FALSE)*'Incremental Repayments'!$I$22)),0),0)</f>
        <v>0</v>
      </c>
      <c r="AE123" s="783">
        <f>IF('Incremental Repayments'!$R$22="Debt",IF(AND(AE$4&gt;=$D123,AE$4&lt;$D123+'Incremental Repayments'!$I$31),-PMT('Interest Rate'!$J$16,'Incremental Repayments'!$I$31,(HLOOKUP($D123,$E$4:$CZ$32,28,FALSE)*'Incremental Repayments'!$I$22)),0),0)</f>
        <v>0</v>
      </c>
      <c r="AF123" s="783">
        <f>IF('Incremental Repayments'!$R$22="Debt",IF(AND(AF$4&gt;=$D123,AF$4&lt;$D123+'Incremental Repayments'!$I$31),-PMT('Interest Rate'!$J$16,'Incremental Repayments'!$I$31,(HLOOKUP($D123,$E$4:$CZ$32,28,FALSE)*'Incremental Repayments'!$I$22)),0),0)</f>
        <v>0</v>
      </c>
      <c r="AG123" s="783">
        <f>IF('Incremental Repayments'!$R$22="Debt",IF(AND(AG$4&gt;=$D123,AG$4&lt;$D123+'Incremental Repayments'!$I$31),-PMT('Interest Rate'!$J$16,'Incremental Repayments'!$I$31,(HLOOKUP($D123,$E$4:$CZ$32,28,FALSE)*'Incremental Repayments'!$I$22)),0),0)</f>
        <v>0</v>
      </c>
      <c r="AH123" s="783">
        <f>IF('Incremental Repayments'!$R$22="Debt",IF(AND(AH$4&gt;=$D123,AH$4&lt;$D123+'Incremental Repayments'!$I$31),-PMT('Interest Rate'!$J$16,'Incremental Repayments'!$I$31,(HLOOKUP($D123,$E$4:$CZ$32,28,FALSE)*'Incremental Repayments'!$I$22)),0),0)</f>
        <v>0</v>
      </c>
      <c r="AI123" s="783">
        <f>IF('Incremental Repayments'!$R$22="Debt",IF(AND(AI$4&gt;=$D123,AI$4&lt;$D123+'Incremental Repayments'!$I$31),-PMT('Interest Rate'!$J$16,'Incremental Repayments'!$I$31,(HLOOKUP($D123,$E$4:$CZ$32,28,FALSE)*'Incremental Repayments'!$I$22)),0),0)</f>
        <v>0</v>
      </c>
      <c r="AJ123" s="783">
        <f>IF('Incremental Repayments'!$R$22="Debt",IF(AND(AJ$4&gt;=$D123,AJ$4&lt;$D123+'Incremental Repayments'!$I$31),-PMT('Interest Rate'!$J$16,'Incremental Repayments'!$I$31,(HLOOKUP($D123,$E$4:$CZ$32,28,FALSE)*'Incremental Repayments'!$I$22)),0),0)</f>
        <v>0</v>
      </c>
      <c r="AK123" s="783">
        <f>IF('Incremental Repayments'!$R$22="Debt",IF(AND(AK$4&gt;=$D123,AK$4&lt;$D123+'Incremental Repayments'!$I$31),-PMT('Interest Rate'!$J$16,'Incremental Repayments'!$I$31,(HLOOKUP($D123,$E$4:$CZ$32,28,FALSE)*'Incremental Repayments'!$I$22)),0),0)</f>
        <v>0</v>
      </c>
      <c r="AL123" s="783">
        <f>IF('Incremental Repayments'!$R$22="Debt",IF(AND(AL$4&gt;=$D123,AL$4&lt;$D123+'Incremental Repayments'!$I$31),-PMT('Interest Rate'!$J$16,'Incremental Repayments'!$I$31,(HLOOKUP($D123,$E$4:$CZ$32,28,FALSE)*'Incremental Repayments'!$I$22)),0),0)</f>
        <v>0</v>
      </c>
      <c r="AM123" s="783">
        <f>IF('Incremental Repayments'!$R$22="Debt",IF(AND(AM$4&gt;=$D123,AM$4&lt;$D123+'Incremental Repayments'!$I$31),-PMT('Interest Rate'!$J$16,'Incremental Repayments'!$I$31,(HLOOKUP($D123,$E$4:$CZ$32,28,FALSE)*'Incremental Repayments'!$I$22)),0),0)</f>
        <v>0</v>
      </c>
      <c r="AN123" s="783">
        <f>IF('Incremental Repayments'!$R$22="Debt",IF(AND(AN$4&gt;=$D123,AN$4&lt;$D123+'Incremental Repayments'!$I$31),-PMT('Interest Rate'!$J$16,'Incremental Repayments'!$I$31,(HLOOKUP($D123,$E$4:$CZ$32,28,FALSE)*'Incremental Repayments'!$I$22)),0),0)</f>
        <v>0</v>
      </c>
      <c r="AO123" s="783">
        <f>IF('Incremental Repayments'!$R$22="Debt",IF(AND(AO$4&gt;=$D123,AO$4&lt;$D123+'Incremental Repayments'!$I$31),-PMT('Interest Rate'!$J$16,'Incremental Repayments'!$I$31,(HLOOKUP($D123,$E$4:$CZ$32,28,FALSE)*'Incremental Repayments'!$I$22)),0),0)</f>
        <v>0</v>
      </c>
      <c r="AP123" s="783">
        <f>IF('Incremental Repayments'!$R$22="Debt",IF(AND(AP$4&gt;=$D123,AP$4&lt;$D123+'Incremental Repayments'!$I$31),-PMT('Interest Rate'!$J$16,'Incremental Repayments'!$I$31,(HLOOKUP($D123,$E$4:$CZ$32,28,FALSE)*'Incremental Repayments'!$I$22)),0),0)</f>
        <v>0</v>
      </c>
      <c r="AQ123" s="783">
        <f>IF('Incremental Repayments'!$R$22="Debt",IF(AND(AQ$4&gt;=$D123,AQ$4&lt;$D123+'Incremental Repayments'!$I$31),-PMT('Interest Rate'!$J$16,'Incremental Repayments'!$I$31,(HLOOKUP($D123,$E$4:$CZ$32,28,FALSE)*'Incremental Repayments'!$I$22)),0),0)</f>
        <v>0</v>
      </c>
      <c r="AR123" s="783">
        <f>IF('Incremental Repayments'!$R$22="Debt",IF(AND(AR$4&gt;=$D123,AR$4&lt;$D123+'Incremental Repayments'!$I$31),-PMT('Interest Rate'!$J$16,'Incremental Repayments'!$I$31,(HLOOKUP($D123,$E$4:$CZ$32,28,FALSE)*'Incremental Repayments'!$I$22)),0),0)</f>
        <v>0</v>
      </c>
      <c r="AS123" s="783">
        <f>IF('Incremental Repayments'!$R$22="Debt",IF(AND(AS$4&gt;=$D123,AS$4&lt;$D123+'Incremental Repayments'!$I$31),-PMT('Interest Rate'!$J$16,'Incremental Repayments'!$I$31,(HLOOKUP($D123,$E$4:$CZ$32,28,FALSE)*'Incremental Repayments'!$I$22)),0),0)</f>
        <v>0</v>
      </c>
      <c r="AT123" s="783">
        <f>IF('Incremental Repayments'!$R$22="Debt",IF(AND(AT$4&gt;=$D123,AT$4&lt;$D123+'Incremental Repayments'!$I$31),-PMT('Interest Rate'!$J$16,'Incremental Repayments'!$I$31,(HLOOKUP($D123,$E$4:$CZ$32,28,FALSE)*'Incremental Repayments'!$I$22)),0),0)</f>
        <v>0</v>
      </c>
      <c r="AU123" s="783">
        <f>IF('Incremental Repayments'!$R$22="Debt",IF(AND(AU$4&gt;=$D123,AU$4&lt;$D123+'Incremental Repayments'!$I$31),-PMT('Interest Rate'!$J$16,'Incremental Repayments'!$I$31,(HLOOKUP($D123,$E$4:$CZ$32,28,FALSE)*'Incremental Repayments'!$I$22)),0),0)</f>
        <v>0</v>
      </c>
      <c r="AV123" s="783">
        <f>IF('Incremental Repayments'!$R$22="Debt",IF(AND(AV$4&gt;=$D123,AV$4&lt;$D123+'Incremental Repayments'!$I$31),-PMT('Interest Rate'!$J$16,'Incremental Repayments'!$I$31,(HLOOKUP($D123,$E$4:$CZ$32,28,FALSE)*'Incremental Repayments'!$I$22)),0),0)</f>
        <v>0</v>
      </c>
      <c r="AW123" s="783">
        <f>IF('Incremental Repayments'!$R$22="Debt",IF(AND(AW$4&gt;=$D123,AW$4&lt;$D123+'Incremental Repayments'!$I$31),-PMT('Interest Rate'!$J$16,'Incremental Repayments'!$I$31,(HLOOKUP($D123,$E$4:$CZ$32,28,FALSE)*'Incremental Repayments'!$I$22)),0),0)</f>
        <v>0</v>
      </c>
      <c r="AX123" s="783">
        <f>IF('Incremental Repayments'!$R$22="Debt",IF(AND(AX$4&gt;=$D123,AX$4&lt;$D123+'Incremental Repayments'!$I$31),-PMT('Interest Rate'!$J$16,'Incremental Repayments'!$I$31,(HLOOKUP($D123,$E$4:$CZ$32,28,FALSE)*'Incremental Repayments'!$I$22)),0),0)</f>
        <v>0</v>
      </c>
      <c r="AY123" s="783">
        <f>IF('Incremental Repayments'!$R$22="Debt",IF(AND(AY$4&gt;=$D123,AY$4&lt;$D123+'Incremental Repayments'!$I$31),-PMT('Interest Rate'!$J$16,'Incremental Repayments'!$I$31,(HLOOKUP($D123,$E$4:$CZ$32,28,FALSE)*'Incremental Repayments'!$I$22)),0),0)</f>
        <v>0</v>
      </c>
      <c r="AZ123" s="783">
        <f>IF('Incremental Repayments'!$R$22="Debt",IF(AND(AZ$4&gt;=$D123,AZ$4&lt;$D123+'Incremental Repayments'!$I$31),-PMT('Interest Rate'!$J$16,'Incremental Repayments'!$I$31,(HLOOKUP($D123,$E$4:$CZ$32,28,FALSE)*'Incremental Repayments'!$I$22)),0),0)</f>
        <v>0</v>
      </c>
      <c r="BA123" s="783">
        <f>IF('Incremental Repayments'!$R$22="Debt",IF(AND(BA$4&gt;=$D123,BA$4&lt;$D123+'Incremental Repayments'!$I$31),-PMT('Interest Rate'!$J$16,'Incremental Repayments'!$I$31,(HLOOKUP($D123,$E$4:$CZ$32,28,FALSE)*'Incremental Repayments'!$I$22)),0),0)</f>
        <v>0</v>
      </c>
      <c r="BB123" s="783">
        <f>IF('Incremental Repayments'!$R$22="Debt",IF(AND(BB$4&gt;=$D123,BB$4&lt;$D123+'Incremental Repayments'!$I$31),-PMT('Interest Rate'!$J$16,'Incremental Repayments'!$I$31,(HLOOKUP($D123,$E$4:$CZ$32,28,FALSE)*'Incremental Repayments'!$I$22)),0),0)</f>
        <v>0</v>
      </c>
      <c r="BC123" s="783">
        <f>IF('Incremental Repayments'!$R$22="Debt",IF(AND(BC$4&gt;=$D123,BC$4&lt;$D123+'Incremental Repayments'!$I$31),-PMT('Interest Rate'!$J$16,'Incremental Repayments'!$I$31,(HLOOKUP($D123,$E$4:$CZ$32,28,FALSE)*'Incremental Repayments'!$I$22)),0),0)</f>
        <v>0</v>
      </c>
      <c r="BD123" s="783">
        <f>IF('Incremental Repayments'!$R$22="Debt",IF(AND(BD$4&gt;=$D123,BD$4&lt;$D123+'Incremental Repayments'!$I$31),-PMT('Interest Rate'!$J$16,'Incremental Repayments'!$I$31,(HLOOKUP($D123,$E$4:$CZ$32,28,FALSE)*'Incremental Repayments'!$I$22)),0),0)</f>
        <v>0</v>
      </c>
      <c r="BE123" s="783">
        <f>IF('Incremental Repayments'!$R$22="Debt",IF(AND(BE$4&gt;=$D123,BE$4&lt;$D123+'Incremental Repayments'!$I$31),-PMT('Interest Rate'!$J$16,'Incremental Repayments'!$I$31,(HLOOKUP($D123,$E$4:$CZ$32,28,FALSE)*'Incremental Repayments'!$I$22)),0),0)</f>
        <v>0</v>
      </c>
      <c r="BF123" s="783">
        <f>IF('Incremental Repayments'!$R$22="Debt",IF(AND(BF$4&gt;=$D123,BF$4&lt;$D123+'Incremental Repayments'!$I$31),-PMT('Interest Rate'!$J$16,'Incremental Repayments'!$I$31,(HLOOKUP($D123,$E$4:$CZ$32,28,FALSE)*'Incremental Repayments'!$I$22)),0),0)</f>
        <v>0</v>
      </c>
      <c r="BG123" s="783">
        <f>IF('Incremental Repayments'!$R$22="Debt",IF(AND(BG$4&gt;=$D123,BG$4&lt;$D123+'Incremental Repayments'!$I$31),-PMT('Interest Rate'!$J$16,'Incremental Repayments'!$I$31,(HLOOKUP($D123,$E$4:$CZ$32,28,FALSE)*'Incremental Repayments'!$I$22)),0),0)</f>
        <v>0</v>
      </c>
      <c r="BH123" s="783">
        <f>IF('Incremental Repayments'!$R$22="Debt",IF(AND(BH$4&gt;=$D123,BH$4&lt;$D123+'Incremental Repayments'!$I$31),-PMT('Interest Rate'!$J$16,'Incremental Repayments'!$I$31,(HLOOKUP($D123,$E$4:$CZ$32,28,FALSE)*'Incremental Repayments'!$I$22)),0),0)</f>
        <v>0</v>
      </c>
      <c r="BI123" s="783">
        <f>IF('Incremental Repayments'!$R$22="Debt",IF(AND(BI$4&gt;=$D123,BI$4&lt;$D123+'Incremental Repayments'!$I$31),-PMT('Interest Rate'!$J$16,'Incremental Repayments'!$I$31,(HLOOKUP($D123,$E$4:$CZ$32,28,FALSE)*'Incremental Repayments'!$I$22)),0),0)</f>
        <v>0</v>
      </c>
      <c r="BJ123" s="783">
        <f>IF('Incremental Repayments'!$R$22="Debt",IF(AND(BJ$4&gt;=$D123,BJ$4&lt;$D123+'Incremental Repayments'!$I$31),-PMT('Interest Rate'!$J$16,'Incremental Repayments'!$I$31,(HLOOKUP($D123,$E$4:$CZ$32,28,FALSE)*'Incremental Repayments'!$I$22)),0),0)</f>
        <v>0</v>
      </c>
      <c r="BK123" s="783">
        <f>IF('Incremental Repayments'!$R$22="Debt",IF(AND(BK$4&gt;=$D123,BK$4&lt;$D123+'Incremental Repayments'!$I$31),-PMT('Interest Rate'!$J$16,'Incremental Repayments'!$I$31,(HLOOKUP($D123,$E$4:$CZ$32,28,FALSE)*'Incremental Repayments'!$I$22)),0),0)</f>
        <v>0</v>
      </c>
      <c r="BL123" s="783">
        <f>IF('Incremental Repayments'!$R$22="Debt",IF(AND(BL$4&gt;=$D123,BL$4&lt;$D123+'Incremental Repayments'!$I$31),-PMT('Interest Rate'!$J$16,'Incremental Repayments'!$I$31,(HLOOKUP($D123,$E$4:$CZ$32,28,FALSE)*'Incremental Repayments'!$I$22)),0),0)</f>
        <v>0</v>
      </c>
      <c r="BM123" s="783">
        <f>IF('Incremental Repayments'!$R$22="Debt",IF(AND(BM$4&gt;=$D123,BM$4&lt;$D123+'Incremental Repayments'!$I$31),-PMT('Interest Rate'!$J$16,'Incremental Repayments'!$I$31,(HLOOKUP($D123,$E$4:$CZ$32,28,FALSE)*'Incremental Repayments'!$I$22)),0),0)</f>
        <v>0</v>
      </c>
      <c r="BN123" s="783">
        <f>IF('Incremental Repayments'!$R$22="Debt",IF(AND(BN$4&gt;=$D123,BN$4&lt;$D123+'Incremental Repayments'!$I$31),-PMT('Interest Rate'!$J$16,'Incremental Repayments'!$I$31,(HLOOKUP($D123,$E$4:$CZ$32,28,FALSE)*'Incremental Repayments'!$I$22)),0),0)</f>
        <v>0</v>
      </c>
      <c r="BO123" s="783">
        <f>IF('Incremental Repayments'!$R$22="Debt",IF(AND(BO$4&gt;=$D123,BO$4&lt;$D123+'Incremental Repayments'!$I$31),-PMT('Interest Rate'!$J$16,'Incremental Repayments'!$I$31,(HLOOKUP($D123,$E$4:$CZ$32,28,FALSE)*'Incremental Repayments'!$I$22)),0),0)</f>
        <v>0</v>
      </c>
      <c r="BP123" s="783">
        <f>IF('Incremental Repayments'!$R$22="Debt",IF(AND(BP$4&gt;=$D123,BP$4&lt;$D123+'Incremental Repayments'!$I$31),-PMT('Interest Rate'!$J$16,'Incremental Repayments'!$I$31,(HLOOKUP($D123,$E$4:$CZ$32,28,FALSE)*'Incremental Repayments'!$I$22)),0),0)</f>
        <v>0</v>
      </c>
      <c r="BQ123" s="783">
        <f>IF('Incremental Repayments'!$R$22="Debt",IF(AND(BQ$4&gt;=$D123,BQ$4&lt;$D123+'Incremental Repayments'!$I$31),-PMT('Interest Rate'!$J$16,'Incremental Repayments'!$I$31,(HLOOKUP($D123,$E$4:$CZ$32,28,FALSE)*'Incremental Repayments'!$I$22)),0),0)</f>
        <v>0</v>
      </c>
      <c r="BR123" s="783">
        <f>IF('Incremental Repayments'!$R$22="Debt",IF(AND(BR$4&gt;=$D123,BR$4&lt;$D123+'Incremental Repayments'!$I$31),-PMT('Interest Rate'!$J$16,'Incremental Repayments'!$I$31,(HLOOKUP($D123,$E$4:$CZ$32,28,FALSE)*'Incremental Repayments'!$I$22)),0),0)</f>
        <v>0</v>
      </c>
      <c r="BS123" s="783">
        <f>IF('Incremental Repayments'!$R$22="Debt",IF(AND(BS$4&gt;=$D123,BS$4&lt;$D123+'Incremental Repayments'!$I$31),-PMT('Interest Rate'!$J$16,'Incremental Repayments'!$I$31,(HLOOKUP($D123,$E$4:$CZ$32,28,FALSE)*'Incremental Repayments'!$I$22)),0),0)</f>
        <v>0</v>
      </c>
      <c r="BT123" s="783">
        <f>IF('Incremental Repayments'!$R$22="Debt",IF(AND(BT$4&gt;=$D123,BT$4&lt;$D123+'Incremental Repayments'!$I$31),-PMT('Interest Rate'!$J$16,'Incremental Repayments'!$I$31,(HLOOKUP($D123,$E$4:$CZ$32,28,FALSE)*'Incremental Repayments'!$I$22)),0),0)</f>
        <v>0</v>
      </c>
      <c r="BU123" s="783">
        <f>IF('Incremental Repayments'!$R$22="Debt",IF(AND(BU$4&gt;=$D123,BU$4&lt;$D123+'Incremental Repayments'!$I$31),-PMT('Interest Rate'!$J$16,'Incremental Repayments'!$I$31,(HLOOKUP($D123,$E$4:$CZ$32,28,FALSE)*'Incremental Repayments'!$I$22)),0),0)</f>
        <v>0</v>
      </c>
      <c r="BV123" s="783">
        <f>IF('Incremental Repayments'!$R$22="Debt",IF(AND(BV$4&gt;=$D123,BV$4&lt;$D123+'Incremental Repayments'!$I$31),-PMT('Interest Rate'!$J$16,'Incremental Repayments'!$I$31,(HLOOKUP($D123,$E$4:$CZ$32,28,FALSE)*'Incremental Repayments'!$I$22)),0),0)</f>
        <v>0</v>
      </c>
      <c r="BW123" s="783">
        <f>IF('Incremental Repayments'!$R$22="Debt",IF(AND(BW$4&gt;=$D123,BW$4&lt;$D123+'Incremental Repayments'!$I$31),-PMT('Interest Rate'!$J$16,'Incremental Repayments'!$I$31,(HLOOKUP($D123,$E$4:$CZ$32,28,FALSE)*'Incremental Repayments'!$I$22)),0),0)</f>
        <v>0</v>
      </c>
      <c r="BX123" s="783">
        <f>IF('Incremental Repayments'!$R$22="Debt",IF(AND(BX$4&gt;=$D123,BX$4&lt;$D123+'Incremental Repayments'!$I$31),-PMT('Interest Rate'!$J$16,'Incremental Repayments'!$I$31,(HLOOKUP($D123,$E$4:$CZ$32,28,FALSE)*'Incremental Repayments'!$I$22)),0),0)</f>
        <v>0</v>
      </c>
      <c r="BY123" s="783">
        <f>IF('Incremental Repayments'!$R$22="Debt",IF(AND(BY$4&gt;=$D123,BY$4&lt;$D123+'Incremental Repayments'!$I$31),-PMT('Interest Rate'!$J$16,'Incremental Repayments'!$I$31,(HLOOKUP($D123,$E$4:$CZ$32,28,FALSE)*'Incremental Repayments'!$I$22)),0),0)</f>
        <v>0</v>
      </c>
      <c r="BZ123" s="783">
        <f>IF('Incremental Repayments'!$R$22="Debt",IF(AND(BZ$4&gt;=$D123,BZ$4&lt;$D123+'Incremental Repayments'!$I$31),-PMT('Interest Rate'!$J$16,'Incremental Repayments'!$I$31,(HLOOKUP($D123,$E$4:$CZ$32,28,FALSE)*'Incremental Repayments'!$I$22)),0),0)</f>
        <v>0</v>
      </c>
      <c r="CA123" s="783">
        <f>IF('Incremental Repayments'!$R$22="Debt",IF(AND(CA$4&gt;=$D123,CA$4&lt;$D123+'Incremental Repayments'!$I$31),-PMT('Interest Rate'!$J$16,'Incremental Repayments'!$I$31,(HLOOKUP($D123,$E$4:$CZ$32,28,FALSE)*'Incremental Repayments'!$I$22)),0),0)</f>
        <v>0</v>
      </c>
      <c r="CB123" s="783">
        <f>IF('Incremental Repayments'!$R$22="Debt",IF(AND(CB$4&gt;=$D123,CB$4&lt;$D123+'Incremental Repayments'!$I$31),-PMT('Interest Rate'!$J$16,'Incremental Repayments'!$I$31,(HLOOKUP($D123,$E$4:$CZ$32,28,FALSE)*'Incremental Repayments'!$I$22)),0),0)</f>
        <v>0</v>
      </c>
      <c r="CC123" s="783">
        <f>IF('Incremental Repayments'!$R$22="Debt",IF(AND(CC$4&gt;=$D123,CC$4&lt;$D123+'Incremental Repayments'!$I$31),-PMT('Interest Rate'!$J$16,'Incremental Repayments'!$I$31,(HLOOKUP($D123,$E$4:$CZ$32,28,FALSE)*'Incremental Repayments'!$I$22)),0),0)</f>
        <v>0</v>
      </c>
      <c r="CD123" s="783">
        <f>IF('Incremental Repayments'!$R$22="Debt",IF(AND(CD$4&gt;=$D123,CD$4&lt;$D123+'Incremental Repayments'!$I$31),-PMT('Interest Rate'!$J$16,'Incremental Repayments'!$I$31,(HLOOKUP($D123,$E$4:$CZ$32,28,FALSE)*'Incremental Repayments'!$I$22)),0),0)</f>
        <v>0</v>
      </c>
      <c r="CE123" s="783">
        <f>IF('Incremental Repayments'!$R$22="Debt",IF(AND(CE$4&gt;=$D123,CE$4&lt;$D123+'Incremental Repayments'!$I$31),-PMT('Interest Rate'!$J$16,'Incremental Repayments'!$I$31,(HLOOKUP($D123,$E$4:$CZ$32,28,FALSE)*'Incremental Repayments'!$I$22)),0),0)</f>
        <v>0</v>
      </c>
      <c r="CF123" s="783">
        <f>IF('Incremental Repayments'!$R$22="Debt",IF(AND(CF$4&gt;=$D123,CF$4&lt;$D123+'Incremental Repayments'!$I$31),-PMT('Interest Rate'!$J$16,'Incremental Repayments'!$I$31,(HLOOKUP($D123,$E$4:$CZ$32,28,FALSE)*'Incremental Repayments'!$I$22)),0),0)</f>
        <v>0</v>
      </c>
      <c r="CG123" s="783">
        <f>IF('Incremental Repayments'!$R$22="Debt",IF(AND(CG$4&gt;=$D123,CG$4&lt;$D123+'Incremental Repayments'!$I$31),-PMT('Interest Rate'!$J$16,'Incremental Repayments'!$I$31,(HLOOKUP($D123,$E$4:$CZ$32,28,FALSE)*'Incremental Repayments'!$I$22)),0),0)</f>
        <v>0</v>
      </c>
      <c r="CH123" s="783">
        <f>IF('Incremental Repayments'!$R$22="Debt",IF(AND(CH$4&gt;=$D123,CH$4&lt;$D123+'Incremental Repayments'!$I$31),-PMT('Interest Rate'!$J$16,'Incremental Repayments'!$I$31,(HLOOKUP($D123,$E$4:$CZ$32,28,FALSE)*'Incremental Repayments'!$I$22)),0),0)</f>
        <v>0</v>
      </c>
      <c r="CI123" s="783">
        <f>IF('Incremental Repayments'!$R$22="Debt",IF(AND(CI$4&gt;=$D123,CI$4&lt;$D123+'Incremental Repayments'!$I$31),-PMT('Interest Rate'!$J$16,'Incremental Repayments'!$I$31,(HLOOKUP($D123,$E$4:$CZ$32,28,FALSE)*'Incremental Repayments'!$I$22)),0),0)</f>
        <v>0</v>
      </c>
      <c r="CJ123" s="783">
        <f>IF('Incremental Repayments'!$R$22="Debt",IF(AND(CJ$4&gt;=$D123,CJ$4&lt;$D123+'Incremental Repayments'!$I$31),-PMT('Interest Rate'!$J$16,'Incremental Repayments'!$I$31,(HLOOKUP($D123,$E$4:$CZ$32,28,FALSE)*'Incremental Repayments'!$I$22)),0),0)</f>
        <v>0</v>
      </c>
      <c r="CK123" s="783">
        <f>IF('Incremental Repayments'!$R$22="Debt",IF(AND(CK$4&gt;=$D123,CK$4&lt;$D123+'Incremental Repayments'!$I$31),-PMT('Interest Rate'!$J$16,'Incremental Repayments'!$I$31,(HLOOKUP($D123,$E$4:$CZ$32,28,FALSE)*'Incremental Repayments'!$I$22)),0),0)</f>
        <v>0</v>
      </c>
      <c r="CL123" s="783">
        <f>IF('Incremental Repayments'!$R$22="Debt",IF(AND(CL$4&gt;=$D123,CL$4&lt;$D123+'Incremental Repayments'!$I$31),-PMT('Interest Rate'!$J$16,'Incremental Repayments'!$I$31,(HLOOKUP($D123,$E$4:$CZ$32,28,FALSE)*'Incremental Repayments'!$I$22)),0),0)</f>
        <v>0</v>
      </c>
      <c r="CM123" s="783">
        <f>IF('Incremental Repayments'!$R$22="Debt",IF(AND(CM$4&gt;=$D123,CM$4&lt;$D123+'Incremental Repayments'!$I$31),-PMT('Interest Rate'!$J$16,'Incremental Repayments'!$I$31,(HLOOKUP($D123,$E$4:$CZ$32,28,FALSE)*'Incremental Repayments'!$I$22)),0),0)</f>
        <v>0</v>
      </c>
      <c r="CN123" s="783">
        <f>IF('Incremental Repayments'!$R$22="Debt",IF(AND(CN$4&gt;=$D123,CN$4&lt;$D123+'Incremental Repayments'!$I$31),-PMT('Interest Rate'!$J$16,'Incremental Repayments'!$I$31,(HLOOKUP($D123,$E$4:$CZ$32,28,FALSE)*'Incremental Repayments'!$I$22)),0),0)</f>
        <v>0</v>
      </c>
      <c r="CO123" s="783">
        <f>IF('Incremental Repayments'!$R$22="Debt",IF(AND(CO$4&gt;=$D123,CO$4&lt;$D123+'Incremental Repayments'!$I$31),-PMT('Interest Rate'!$J$16,'Incremental Repayments'!$I$31,(HLOOKUP($D123,$E$4:$CZ$32,28,FALSE)*'Incremental Repayments'!$I$22)),0),0)</f>
        <v>0</v>
      </c>
      <c r="CP123" s="783">
        <f>IF('Incremental Repayments'!$R$22="Debt",IF(AND(CP$4&gt;=$D123,CP$4&lt;$D123+'Incremental Repayments'!$I$31),-PMT('Interest Rate'!$J$16,'Incremental Repayments'!$I$31,(HLOOKUP($D123,$E$4:$CZ$32,28,FALSE)*'Incremental Repayments'!$I$22)),0),0)</f>
        <v>0</v>
      </c>
      <c r="CQ123" s="783">
        <f>IF('Incremental Repayments'!$R$22="Debt",IF(AND(CQ$4&gt;=$D123,CQ$4&lt;$D123+'Incremental Repayments'!$I$31),-PMT('Interest Rate'!$J$16,'Incremental Repayments'!$I$31,(HLOOKUP($D123,$E$4:$CZ$32,28,FALSE)*'Incremental Repayments'!$I$22)),0),0)</f>
        <v>0</v>
      </c>
      <c r="CR123" s="783">
        <f>IF('Incremental Repayments'!$R$22="Debt",IF(AND(CR$4&gt;=$D123,CR$4&lt;$D123+'Incremental Repayments'!$I$31),-PMT('Interest Rate'!$J$16,'Incremental Repayments'!$I$31,(HLOOKUP($D123,$E$4:$CZ$32,28,FALSE)*'Incremental Repayments'!$I$22)),0),0)</f>
        <v>0</v>
      </c>
      <c r="CS123" s="783">
        <f>IF('Incremental Repayments'!$R$22="Debt",IF(AND(CS$4&gt;=$D123,CS$4&lt;$D123+'Incremental Repayments'!$I$31),-PMT('Interest Rate'!$J$16,'Incremental Repayments'!$I$31,(HLOOKUP($D123,$E$4:$CZ$32,28,FALSE)*'Incremental Repayments'!$I$22)),0),0)</f>
        <v>0</v>
      </c>
      <c r="CT123" s="783">
        <f>IF('Incremental Repayments'!$R$22="Debt",IF(AND(CT$4&gt;=$D123,CT$4&lt;$D123+'Incremental Repayments'!$I$31),-PMT('Interest Rate'!$J$16,'Incremental Repayments'!$I$31,(HLOOKUP($D123,$E$4:$CZ$32,28,FALSE)*'Incremental Repayments'!$I$22)),0),0)</f>
        <v>0</v>
      </c>
      <c r="CU123" s="783">
        <f>IF('Incremental Repayments'!$R$22="Debt",IF(AND(CU$4&gt;=$D123,CU$4&lt;$D123+'Incremental Repayments'!$I$31),-PMT('Interest Rate'!$J$16,'Incremental Repayments'!$I$31,(HLOOKUP($D123,$E$4:$CZ$32,28,FALSE)*'Incremental Repayments'!$I$22)),0),0)</f>
        <v>0</v>
      </c>
      <c r="CV123" s="783">
        <f>IF('Incremental Repayments'!$R$22="Debt",IF(AND(CV$4&gt;=$D123,CV$4&lt;$D123+'Incremental Repayments'!$I$31),-PMT('Interest Rate'!$J$16,'Incremental Repayments'!$I$31,(HLOOKUP($D123,$E$4:$CZ$32,28,FALSE)*'Incremental Repayments'!$I$22)),0),0)</f>
        <v>0</v>
      </c>
      <c r="CW123" s="783">
        <f>IF('Incremental Repayments'!$R$22="Debt",IF(AND(CW$4&gt;=$D123,CW$4&lt;$D123+'Incremental Repayments'!$I$31),-PMT('Interest Rate'!$J$16,'Incremental Repayments'!$I$31,(HLOOKUP($D123,$E$4:$CZ$32,28,FALSE)*'Incremental Repayments'!$I$22)),0),0)</f>
        <v>0</v>
      </c>
      <c r="CX123" s="783">
        <f>IF('Incremental Repayments'!$R$22="Debt",IF(AND(CX$4&gt;=$D123,CX$4&lt;$D123+'Incremental Repayments'!$I$31),-PMT('Interest Rate'!$J$16,'Incremental Repayments'!$I$31,(HLOOKUP($D123,$E$4:$CZ$32,28,FALSE)*'Incremental Repayments'!$I$22)),0),0)</f>
        <v>0</v>
      </c>
      <c r="CY123" s="783">
        <f>IF('Incremental Repayments'!$R$22="Debt",IF(AND(CY$4&gt;=$D123,CY$4&lt;$D123+'Incremental Repayments'!$I$31),-PMT('Interest Rate'!$J$16,'Incremental Repayments'!$I$31,(HLOOKUP($D123,$E$4:$CZ$32,28,FALSE)*'Incremental Repayments'!$I$22)),0),0)</f>
        <v>0</v>
      </c>
      <c r="CZ123" s="783">
        <f>IF('Incremental Repayments'!$R$22="Debt",IF(AND(CZ$4&gt;=$D123,CZ$4&lt;$D123+'Incremental Repayments'!$I$31),-PMT('Interest Rate'!$J$16,'Incremental Repayments'!$I$31,(HLOOKUP($D123,$E$4:$CZ$32,28,FALSE)*'Incremental Repayments'!$I$22)),0),0)</f>
        <v>0</v>
      </c>
    </row>
    <row r="124" spans="1:104" s="762" customFormat="1" x14ac:dyDescent="0.25">
      <c r="B124" s="765" t="s">
        <v>532</v>
      </c>
      <c r="C124" s="765"/>
      <c r="D124" s="766"/>
      <c r="E124" s="477">
        <f>IF('Incremental Repayments'!$R$22="Debt",IF(AND(E$4&gt;=$D124,E$4&lt;$D124+'Incremental Repayments'!$I$31),-PMT('Interest Rate'!$J$16,'Incremental Repayments'!$I$31,(HLOOKUP($D124,$E$4:$CZ$32,28,FALSE)*(1+'Interest Rate'!$J$16)^($D124-$E$4)*'Incremental Repayments'!$I$22)),0),0)</f>
        <v>0</v>
      </c>
      <c r="F124" s="767">
        <f t="shared" ref="F124:T124" si="49">SUM(F53:F123)</f>
        <v>3069577.1454296578</v>
      </c>
      <c r="G124" s="767">
        <f t="shared" si="49"/>
        <v>3069577.1454296578</v>
      </c>
      <c r="H124" s="767">
        <f t="shared" si="49"/>
        <v>3069577.1454296578</v>
      </c>
      <c r="I124" s="767">
        <f t="shared" si="49"/>
        <v>3069577.1454296578</v>
      </c>
      <c r="J124" s="767">
        <f t="shared" si="49"/>
        <v>3069577.1454296578</v>
      </c>
      <c r="K124" s="767">
        <f t="shared" si="49"/>
        <v>3069577.1454296578</v>
      </c>
      <c r="L124" s="767">
        <f t="shared" si="49"/>
        <v>3069577.1454296578</v>
      </c>
      <c r="M124" s="767">
        <f t="shared" si="49"/>
        <v>3069577.1454296578</v>
      </c>
      <c r="N124" s="767">
        <f t="shared" si="49"/>
        <v>3069577.1454296578</v>
      </c>
      <c r="O124" s="767">
        <f t="shared" si="49"/>
        <v>3069577.1454296578</v>
      </c>
      <c r="P124" s="767">
        <f t="shared" si="49"/>
        <v>3069577.1454296578</v>
      </c>
      <c r="Q124" s="767">
        <f t="shared" si="49"/>
        <v>3069577.1454296578</v>
      </c>
      <c r="R124" s="767">
        <f t="shared" si="49"/>
        <v>3069577.1454296578</v>
      </c>
      <c r="S124" s="767">
        <f t="shared" si="49"/>
        <v>3069577.1454296578</v>
      </c>
      <c r="T124" s="767">
        <f t="shared" si="49"/>
        <v>3069577.1454296578</v>
      </c>
      <c r="U124" s="767">
        <f>SUM(U53:U123)</f>
        <v>3069577.1454296578</v>
      </c>
      <c r="V124" s="767">
        <f t="shared" ref="V124:CG124" si="50">SUM(V53:V123)</f>
        <v>3069577.1454296578</v>
      </c>
      <c r="W124" s="767">
        <f t="shared" si="50"/>
        <v>3798917.7972390321</v>
      </c>
      <c r="X124" s="767">
        <f t="shared" si="50"/>
        <v>6003890.6920353984</v>
      </c>
      <c r="Y124" s="767">
        <f t="shared" si="50"/>
        <v>9731704.343377864</v>
      </c>
      <c r="Z124" s="767">
        <f t="shared" si="50"/>
        <v>14921554.575133795</v>
      </c>
      <c r="AA124" s="767">
        <f t="shared" si="50"/>
        <v>21399691.541300599</v>
      </c>
      <c r="AB124" s="767">
        <f t="shared" si="50"/>
        <v>28888304.598284606</v>
      </c>
      <c r="AC124" s="767">
        <f t="shared" si="50"/>
        <v>37028565.508216701</v>
      </c>
      <c r="AD124" s="767">
        <f t="shared" si="50"/>
        <v>45415616.038890213</v>
      </c>
      <c r="AE124" s="767">
        <f t="shared" si="50"/>
        <v>53640817.991705678</v>
      </c>
      <c r="AF124" s="767">
        <f t="shared" si="50"/>
        <v>61334817.391377605</v>
      </c>
      <c r="AG124" s="767">
        <f t="shared" si="50"/>
        <v>68204443.121133313</v>
      </c>
      <c r="AH124" s="767">
        <f t="shared" si="50"/>
        <v>74057434.905724376</v>
      </c>
      <c r="AI124" s="767">
        <f t="shared" si="50"/>
        <v>75741780.103136554</v>
      </c>
      <c r="AJ124" s="767">
        <f t="shared" si="50"/>
        <v>79416700.980754092</v>
      </c>
      <c r="AK124" s="767">
        <f t="shared" si="50"/>
        <v>82114484.68821986</v>
      </c>
      <c r="AL124" s="767">
        <f t="shared" si="50"/>
        <v>83990008.115352631</v>
      </c>
      <c r="AM124" s="767">
        <f t="shared" si="50"/>
        <v>85220631.45489198</v>
      </c>
      <c r="AN124" s="767">
        <f t="shared" si="50"/>
        <v>85985287.981565163</v>
      </c>
      <c r="AO124" s="767">
        <f t="shared" si="50"/>
        <v>86426370.36411792</v>
      </c>
      <c r="AP124" s="767">
        <f t="shared" si="50"/>
        <v>86660890.618987143</v>
      </c>
      <c r="AQ124" s="767">
        <f t="shared" si="50"/>
        <v>86774821.459125191</v>
      </c>
      <c r="AR124" s="767">
        <f t="shared" si="50"/>
        <v>86824844.943533227</v>
      </c>
      <c r="AS124" s="767">
        <f t="shared" si="50"/>
        <v>86844424.056874514</v>
      </c>
      <c r="AT124" s="767">
        <f t="shared" si="50"/>
        <v>86851134.06804125</v>
      </c>
      <c r="AU124" s="767">
        <f t="shared" si="50"/>
        <v>86853099.691648096</v>
      </c>
      <c r="AV124" s="767">
        <f t="shared" si="50"/>
        <v>86853575.391444504</v>
      </c>
      <c r="AW124" s="767">
        <f t="shared" si="50"/>
        <v>86853665.7083368</v>
      </c>
      <c r="AX124" s="767">
        <f t="shared" si="50"/>
        <v>86853678.030520633</v>
      </c>
      <c r="AY124" s="767">
        <f t="shared" si="50"/>
        <v>86853679.036823899</v>
      </c>
      <c r="AZ124" s="767">
        <f t="shared" si="50"/>
        <v>86853679.061760142</v>
      </c>
      <c r="BA124" s="767">
        <f t="shared" si="50"/>
        <v>86124338.409950763</v>
      </c>
      <c r="BB124" s="767">
        <f t="shared" si="50"/>
        <v>83919365.515154406</v>
      </c>
      <c r="BC124" s="767">
        <f t="shared" si="50"/>
        <v>80191551.863811925</v>
      </c>
      <c r="BD124" s="767">
        <f t="shared" si="50"/>
        <v>75001701.632055998</v>
      </c>
      <c r="BE124" s="767">
        <f t="shared" si="50"/>
        <v>68523564.665889218</v>
      </c>
      <c r="BF124" s="767">
        <f t="shared" si="50"/>
        <v>61034951.608905211</v>
      </c>
      <c r="BG124" s="767">
        <f t="shared" si="50"/>
        <v>52894690.698973119</v>
      </c>
      <c r="BH124" s="767">
        <f t="shared" si="50"/>
        <v>44507640.168299615</v>
      </c>
      <c r="BI124" s="767">
        <f t="shared" si="50"/>
        <v>36282438.215484142</v>
      </c>
      <c r="BJ124" s="767">
        <f t="shared" si="50"/>
        <v>28588438.815812219</v>
      </c>
      <c r="BK124" s="767">
        <f t="shared" si="50"/>
        <v>21718813.086056516</v>
      </c>
      <c r="BL124" s="767">
        <f t="shared" si="50"/>
        <v>15865821.301465454</v>
      </c>
      <c r="BM124" s="767">
        <f t="shared" si="50"/>
        <v>11111898.95862361</v>
      </c>
      <c r="BN124" s="767">
        <f t="shared" si="50"/>
        <v>7436978.0810060687</v>
      </c>
      <c r="BO124" s="767">
        <f t="shared" si="50"/>
        <v>4739194.3735402962</v>
      </c>
      <c r="BP124" s="767">
        <f t="shared" si="50"/>
        <v>2863670.9464075188</v>
      </c>
      <c r="BQ124" s="767">
        <f t="shared" si="50"/>
        <v>1633047.6068681639</v>
      </c>
      <c r="BR124" s="767">
        <f t="shared" si="50"/>
        <v>868391.08019497455</v>
      </c>
      <c r="BS124" s="767">
        <f t="shared" si="50"/>
        <v>427308.69764222164</v>
      </c>
      <c r="BT124" s="767">
        <f t="shared" si="50"/>
        <v>192788.44277300133</v>
      </c>
      <c r="BU124" s="767">
        <f t="shared" si="50"/>
        <v>78857.602634946059</v>
      </c>
      <c r="BV124" s="767">
        <f t="shared" si="50"/>
        <v>28834.118226911552</v>
      </c>
      <c r="BW124" s="767">
        <f t="shared" si="50"/>
        <v>9255.0048856246431</v>
      </c>
      <c r="BX124" s="767">
        <f t="shared" si="50"/>
        <v>2544.9937188871513</v>
      </c>
      <c r="BY124" s="767">
        <f t="shared" si="50"/>
        <v>579.37011204170119</v>
      </c>
      <c r="BZ124" s="767">
        <f t="shared" si="50"/>
        <v>103.67031563860294</v>
      </c>
      <c r="CA124" s="767">
        <f t="shared" si="50"/>
        <v>13.353423342194869</v>
      </c>
      <c r="CB124" s="767">
        <f t="shared" si="50"/>
        <v>1.0312395171124851</v>
      </c>
      <c r="CC124" s="767">
        <f t="shared" si="50"/>
        <v>2.4936244468260826E-2</v>
      </c>
      <c r="CD124" s="767">
        <f t="shared" si="50"/>
        <v>0</v>
      </c>
      <c r="CE124" s="767">
        <f t="shared" si="50"/>
        <v>0</v>
      </c>
      <c r="CF124" s="767">
        <f t="shared" si="50"/>
        <v>0</v>
      </c>
      <c r="CG124" s="767">
        <f t="shared" si="50"/>
        <v>0</v>
      </c>
      <c r="CH124" s="767">
        <f t="shared" ref="CH124:CZ124" si="51">SUM(CH53:CH123)</f>
        <v>0</v>
      </c>
      <c r="CI124" s="767">
        <f t="shared" si="51"/>
        <v>0</v>
      </c>
      <c r="CJ124" s="767">
        <f t="shared" si="51"/>
        <v>0</v>
      </c>
      <c r="CK124" s="767">
        <f t="shared" si="51"/>
        <v>0</v>
      </c>
      <c r="CL124" s="767">
        <f t="shared" si="51"/>
        <v>0</v>
      </c>
      <c r="CM124" s="767">
        <f t="shared" si="51"/>
        <v>0</v>
      </c>
      <c r="CN124" s="767">
        <f t="shared" si="51"/>
        <v>0</v>
      </c>
      <c r="CO124" s="767">
        <f t="shared" si="51"/>
        <v>0</v>
      </c>
      <c r="CP124" s="767">
        <f t="shared" si="51"/>
        <v>0</v>
      </c>
      <c r="CQ124" s="767">
        <f t="shared" si="51"/>
        <v>0</v>
      </c>
      <c r="CR124" s="767">
        <f t="shared" si="51"/>
        <v>0</v>
      </c>
      <c r="CS124" s="767">
        <f t="shared" si="51"/>
        <v>0</v>
      </c>
      <c r="CT124" s="767">
        <f t="shared" si="51"/>
        <v>0</v>
      </c>
      <c r="CU124" s="767">
        <f t="shared" si="51"/>
        <v>0</v>
      </c>
      <c r="CV124" s="767">
        <f t="shared" si="51"/>
        <v>0</v>
      </c>
      <c r="CW124" s="767">
        <f t="shared" si="51"/>
        <v>0</v>
      </c>
      <c r="CX124" s="767">
        <f t="shared" si="51"/>
        <v>0</v>
      </c>
      <c r="CY124" s="767">
        <f t="shared" si="51"/>
        <v>0</v>
      </c>
      <c r="CZ124" s="767">
        <f t="shared" si="51"/>
        <v>0</v>
      </c>
    </row>
    <row r="125" spans="1:104" x14ac:dyDescent="0.25">
      <c r="B125" s="480"/>
      <c r="C125" s="782" t="s">
        <v>596</v>
      </c>
      <c r="D125" s="492"/>
      <c r="E125" s="477">
        <f>IF('Incremental Repayments'!$R$22="Debt",IF(AND(E$4&gt;=$D125,E$4&lt;$D125+'Incremental Repayments'!$I$31),-PMT('Interest Rate'!$J$16,'Incremental Repayments'!$I$31,(HLOOKUP($D125,$E$4:$CZ$32,28,FALSE)*(1+'Interest Rate'!$J$16)^($D125-$E$4)*'Incremental Repayments'!$I$22)),0),0)</f>
        <v>0</v>
      </c>
      <c r="F125" s="790">
        <f t="shared" ref="F125:BQ125" si="52">F52*(F124+F129)</f>
        <v>2937394.3975403425</v>
      </c>
      <c r="G125" s="790">
        <f t="shared" si="52"/>
        <v>2810903.7297036774</v>
      </c>
      <c r="H125" s="790">
        <f t="shared" si="52"/>
        <v>2689860.0284245713</v>
      </c>
      <c r="I125" s="790">
        <f t="shared" si="52"/>
        <v>2574028.7353345188</v>
      </c>
      <c r="J125" s="790">
        <f t="shared" si="52"/>
        <v>2463185.3926646113</v>
      </c>
      <c r="K125" s="790">
        <f t="shared" si="52"/>
        <v>2357115.2082914948</v>
      </c>
      <c r="L125" s="790">
        <f t="shared" si="52"/>
        <v>2255612.639513392</v>
      </c>
      <c r="M125" s="790">
        <f t="shared" si="52"/>
        <v>2158480.9947496583</v>
      </c>
      <c r="N125" s="790">
        <f t="shared" si="52"/>
        <v>2065532.0523920176</v>
      </c>
      <c r="O125" s="790">
        <f t="shared" si="52"/>
        <v>1976585.6960689165</v>
      </c>
      <c r="P125" s="790">
        <f t="shared" si="52"/>
        <v>1891469.5656161881</v>
      </c>
      <c r="Q125" s="790">
        <f t="shared" si="52"/>
        <v>1810018.7230776923</v>
      </c>
      <c r="R125" s="790">
        <f t="shared" si="52"/>
        <v>1732075.3330887007</v>
      </c>
      <c r="S125" s="790">
        <f t="shared" si="52"/>
        <v>1657488.3570226806</v>
      </c>
      <c r="T125" s="790">
        <f t="shared" si="52"/>
        <v>1586113.2603087851</v>
      </c>
      <c r="U125" s="790">
        <f t="shared" si="52"/>
        <v>1517811.732352905</v>
      </c>
      <c r="V125" s="790">
        <f t="shared" si="52"/>
        <v>1452451.4185195263</v>
      </c>
      <c r="W125" s="790">
        <f t="shared" si="52"/>
        <v>7099487.0424779877</v>
      </c>
      <c r="X125" s="790">
        <f t="shared" si="52"/>
        <v>18164205.269047014</v>
      </c>
      <c r="Y125" s="790">
        <f t="shared" si="52"/>
        <v>29213101.0138002</v>
      </c>
      <c r="Z125" s="790">
        <f t="shared" si="52"/>
        <v>39463860.95899874</v>
      </c>
      <c r="AA125" s="790">
        <f t="shared" si="52"/>
        <v>48192146.18088875</v>
      </c>
      <c r="AB125" s="790">
        <f t="shared" si="52"/>
        <v>54818448.065920331</v>
      </c>
      <c r="AC125" s="790">
        <f t="shared" si="52"/>
        <v>58978982.015262343</v>
      </c>
      <c r="AD125" s="790">
        <f t="shared" si="52"/>
        <v>60567398.817304119</v>
      </c>
      <c r="AE125" s="790">
        <f t="shared" si="52"/>
        <v>59738742.938185737</v>
      </c>
      <c r="AF125" s="790">
        <f t="shared" si="52"/>
        <v>56874153.631644435</v>
      </c>
      <c r="AG125" s="790">
        <f t="shared" si="52"/>
        <v>52512759.529122248</v>
      </c>
      <c r="AH125" s="790">
        <f t="shared" si="52"/>
        <v>47264073.9277431</v>
      </c>
      <c r="AI125" s="790">
        <f t="shared" si="52"/>
        <v>40898499.350799151</v>
      </c>
      <c r="AJ125" s="790">
        <f t="shared" si="52"/>
        <v>35585628.583461754</v>
      </c>
      <c r="AK125" s="790">
        <f t="shared" si="52"/>
        <v>30821263.402016584</v>
      </c>
      <c r="AL125" s="790">
        <f t="shared" si="52"/>
        <v>26799108.871902037</v>
      </c>
      <c r="AM125" s="790">
        <f t="shared" si="52"/>
        <v>23568651.331416477</v>
      </c>
      <c r="AN125" s="790">
        <f t="shared" si="52"/>
        <v>21091355.717646968</v>
      </c>
      <c r="AO125" s="790">
        <f t="shared" si="52"/>
        <v>19192915.389232993</v>
      </c>
      <c r="AP125" s="790">
        <f t="shared" si="52"/>
        <v>17752293.799222458</v>
      </c>
      <c r="AQ125" s="790">
        <f t="shared" si="52"/>
        <v>16640439.427725142</v>
      </c>
      <c r="AR125" s="790">
        <f t="shared" si="52"/>
        <v>15745824.827416599</v>
      </c>
      <c r="AS125" s="790">
        <f t="shared" si="52"/>
        <v>14985880.86913332</v>
      </c>
      <c r="AT125" s="790">
        <f t="shared" si="52"/>
        <v>14307171.520331351</v>
      </c>
      <c r="AU125" s="790">
        <f t="shared" si="52"/>
        <v>13679215.584136724</v>
      </c>
      <c r="AV125" s="790">
        <f t="shared" si="52"/>
        <v>13086573.711768817</v>
      </c>
      <c r="AW125" s="790">
        <f t="shared" si="52"/>
        <v>12522145.02735989</v>
      </c>
      <c r="AX125" s="790">
        <f t="shared" si="52"/>
        <v>11982740.325371413</v>
      </c>
      <c r="AY125" s="790">
        <f t="shared" si="52"/>
        <v>11466712.951371672</v>
      </c>
      <c r="AZ125" s="790">
        <f t="shared" si="52"/>
        <v>10972929.037532242</v>
      </c>
      <c r="BA125" s="790">
        <f t="shared" si="52"/>
        <v>10412234.901790779</v>
      </c>
      <c r="BB125" s="790">
        <f t="shared" si="52"/>
        <v>9708764.3426908683</v>
      </c>
      <c r="BC125" s="790">
        <f t="shared" si="52"/>
        <v>8877978.6370450575</v>
      </c>
      <c r="BD125" s="790">
        <f t="shared" si="52"/>
        <v>7945848.9325485174</v>
      </c>
      <c r="BE125" s="790">
        <f t="shared" si="52"/>
        <v>6946928.7411545776</v>
      </c>
      <c r="BF125" s="790">
        <f t="shared" si="52"/>
        <v>5921274.7208846686</v>
      </c>
      <c r="BG125" s="790">
        <f t="shared" si="52"/>
        <v>4910575.5576941473</v>
      </c>
      <c r="BH125" s="790">
        <f t="shared" si="52"/>
        <v>3954017.5595140122</v>
      </c>
      <c r="BI125" s="790">
        <f t="shared" si="52"/>
        <v>3084495.9145216784</v>
      </c>
      <c r="BJ125" s="790">
        <f t="shared" si="52"/>
        <v>2325743.8657678016</v>
      </c>
      <c r="BK125" s="790">
        <f t="shared" si="52"/>
        <v>1690796.1171823267</v>
      </c>
      <c r="BL125" s="790">
        <f t="shared" si="52"/>
        <v>1181956.3061172501</v>
      </c>
      <c r="BM125" s="790">
        <f t="shared" si="52"/>
        <v>792156.25687606307</v>
      </c>
      <c r="BN125" s="790">
        <f t="shared" si="52"/>
        <v>507344.29856509314</v>
      </c>
      <c r="BO125" s="790">
        <f t="shared" si="52"/>
        <v>309381.62307579955</v>
      </c>
      <c r="BP125" s="790">
        <f t="shared" si="52"/>
        <v>178894.42854935757</v>
      </c>
      <c r="BQ125" s="790">
        <f t="shared" si="52"/>
        <v>97623.923272854663</v>
      </c>
      <c r="BR125" s="790">
        <f t="shared" ref="BR125:CZ125" si="53">BR52*(BR124+BR129)</f>
        <v>49677.127421318757</v>
      </c>
      <c r="BS125" s="790">
        <f t="shared" si="53"/>
        <v>23391.9573389498</v>
      </c>
      <c r="BT125" s="790">
        <f t="shared" si="53"/>
        <v>10099.259590940754</v>
      </c>
      <c r="BU125" s="790">
        <f t="shared" si="53"/>
        <v>3953.0819665625645</v>
      </c>
      <c r="BV125" s="790">
        <f t="shared" si="53"/>
        <v>1383.1925272786616</v>
      </c>
      <c r="BW125" s="790">
        <f t="shared" si="53"/>
        <v>424.85068327576039</v>
      </c>
      <c r="BX125" s="790">
        <f t="shared" si="53"/>
        <v>111.79698542618399</v>
      </c>
      <c r="BY125" s="790">
        <f t="shared" si="53"/>
        <v>24.354721926251322</v>
      </c>
      <c r="BZ125" s="790">
        <f t="shared" si="53"/>
        <v>4.1702800279986896</v>
      </c>
      <c r="CA125" s="790">
        <f t="shared" si="53"/>
        <v>0.51402841202539051</v>
      </c>
      <c r="CB125" s="790">
        <f t="shared" si="53"/>
        <v>3.7987241984913482E-2</v>
      </c>
      <c r="CC125" s="790">
        <f t="shared" si="53"/>
        <v>8.7900829416651647E-4</v>
      </c>
      <c r="CD125" s="790">
        <f t="shared" si="53"/>
        <v>0</v>
      </c>
      <c r="CE125" s="790">
        <f t="shared" si="53"/>
        <v>0</v>
      </c>
      <c r="CF125" s="790">
        <f t="shared" si="53"/>
        <v>0</v>
      </c>
      <c r="CG125" s="790">
        <f t="shared" si="53"/>
        <v>0</v>
      </c>
      <c r="CH125" s="790">
        <f t="shared" si="53"/>
        <v>0</v>
      </c>
      <c r="CI125" s="790">
        <f t="shared" si="53"/>
        <v>0</v>
      </c>
      <c r="CJ125" s="790">
        <f t="shared" si="53"/>
        <v>0</v>
      </c>
      <c r="CK125" s="790">
        <f t="shared" si="53"/>
        <v>0</v>
      </c>
      <c r="CL125" s="790">
        <f t="shared" si="53"/>
        <v>0</v>
      </c>
      <c r="CM125" s="790">
        <f t="shared" si="53"/>
        <v>0</v>
      </c>
      <c r="CN125" s="790">
        <f t="shared" si="53"/>
        <v>0</v>
      </c>
      <c r="CO125" s="790">
        <f t="shared" si="53"/>
        <v>0</v>
      </c>
      <c r="CP125" s="790">
        <f t="shared" si="53"/>
        <v>0</v>
      </c>
      <c r="CQ125" s="790">
        <f t="shared" si="53"/>
        <v>0</v>
      </c>
      <c r="CR125" s="790">
        <f t="shared" si="53"/>
        <v>0</v>
      </c>
      <c r="CS125" s="790">
        <f t="shared" si="53"/>
        <v>0</v>
      </c>
      <c r="CT125" s="790">
        <f t="shared" si="53"/>
        <v>0</v>
      </c>
      <c r="CU125" s="790">
        <f t="shared" si="53"/>
        <v>0</v>
      </c>
      <c r="CV125" s="790">
        <f t="shared" si="53"/>
        <v>0</v>
      </c>
      <c r="CW125" s="790">
        <f t="shared" si="53"/>
        <v>0</v>
      </c>
      <c r="CX125" s="790">
        <f t="shared" si="53"/>
        <v>0</v>
      </c>
      <c r="CY125" s="790">
        <f t="shared" si="53"/>
        <v>0</v>
      </c>
      <c r="CZ125" s="790">
        <f t="shared" si="53"/>
        <v>0</v>
      </c>
    </row>
    <row r="126" spans="1:104" s="410" customFormat="1" x14ac:dyDescent="0.25">
      <c r="A126" s="762" t="s">
        <v>533</v>
      </c>
      <c r="B126" s="768"/>
      <c r="C126" s="768"/>
      <c r="D126" s="769"/>
      <c r="E126" s="770"/>
      <c r="F126" s="770"/>
      <c r="G126" s="770"/>
      <c r="H126" s="770"/>
      <c r="I126" s="770"/>
      <c r="J126" s="770"/>
      <c r="K126" s="770"/>
      <c r="L126" s="770"/>
      <c r="M126" s="770"/>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c r="AN126" s="770"/>
      <c r="AO126" s="770"/>
      <c r="AP126" s="770"/>
      <c r="AQ126" s="770"/>
      <c r="AR126" s="770"/>
      <c r="AS126" s="770"/>
      <c r="AT126" s="770"/>
      <c r="AU126" s="770"/>
      <c r="AV126" s="770"/>
      <c r="AW126" s="770"/>
      <c r="AX126" s="770"/>
      <c r="AY126" s="770"/>
      <c r="AZ126" s="770"/>
      <c r="BA126" s="770"/>
      <c r="BB126" s="770"/>
      <c r="BC126" s="770"/>
      <c r="BD126" s="770"/>
      <c r="BE126" s="770"/>
      <c r="BF126" s="770"/>
      <c r="BG126" s="770"/>
      <c r="BH126" s="770"/>
      <c r="BI126" s="770"/>
      <c r="BJ126" s="770"/>
      <c r="BK126" s="770"/>
      <c r="BL126" s="770"/>
      <c r="BM126" s="770"/>
      <c r="BN126" s="770"/>
      <c r="BO126" s="770"/>
      <c r="BP126" s="770"/>
      <c r="BQ126" s="770"/>
      <c r="BR126" s="770"/>
      <c r="BS126" s="770"/>
      <c r="BT126" s="770"/>
      <c r="BU126" s="770"/>
      <c r="BV126" s="770"/>
      <c r="BW126" s="770"/>
      <c r="BX126" s="770"/>
      <c r="BY126" s="770"/>
      <c r="BZ126" s="770"/>
      <c r="CA126" s="770"/>
      <c r="CB126" s="770"/>
      <c r="CC126" s="770"/>
      <c r="CD126" s="770"/>
      <c r="CE126" s="770"/>
      <c r="CF126" s="770"/>
      <c r="CG126" s="770"/>
      <c r="CH126" s="770"/>
      <c r="CI126" s="770"/>
      <c r="CJ126" s="770"/>
      <c r="CK126" s="770"/>
      <c r="CL126" s="770"/>
      <c r="CM126" s="770"/>
      <c r="CN126" s="770"/>
      <c r="CO126" s="770"/>
      <c r="CP126" s="770"/>
      <c r="CQ126" s="770"/>
      <c r="CR126" s="770"/>
      <c r="CS126" s="770"/>
      <c r="CT126" s="770"/>
      <c r="CU126" s="770"/>
      <c r="CV126" s="770"/>
      <c r="CW126" s="770"/>
      <c r="CX126" s="770"/>
      <c r="CY126" s="770"/>
      <c r="CZ126" s="770"/>
    </row>
    <row r="127" spans="1:104" s="410" customFormat="1" x14ac:dyDescent="0.25">
      <c r="B127" s="768" t="s">
        <v>534</v>
      </c>
      <c r="C127" s="768"/>
      <c r="D127" s="769"/>
      <c r="E127" s="763">
        <f>E124+E37+E40+E48</f>
        <v>0</v>
      </c>
      <c r="F127" s="763">
        <f t="shared" ref="F127:Y127" si="54">F124+F37+F40+F48</f>
        <v>3069577.1454296578</v>
      </c>
      <c r="G127" s="763">
        <f t="shared" si="54"/>
        <v>3069577.1454296578</v>
      </c>
      <c r="H127" s="763">
        <f t="shared" si="54"/>
        <v>3069577.1454296578</v>
      </c>
      <c r="I127" s="763">
        <f t="shared" si="54"/>
        <v>3069577.1454296578</v>
      </c>
      <c r="J127" s="763">
        <f t="shared" si="54"/>
        <v>3069577.1454296578</v>
      </c>
      <c r="K127" s="763">
        <f t="shared" si="54"/>
        <v>3069577.1454296578</v>
      </c>
      <c r="L127" s="763">
        <f t="shared" si="54"/>
        <v>3069577.1454296578</v>
      </c>
      <c r="M127" s="763">
        <f t="shared" si="54"/>
        <v>3069577.1454296578</v>
      </c>
      <c r="N127" s="763">
        <f t="shared" si="54"/>
        <v>3069577.1454296578</v>
      </c>
      <c r="O127" s="763">
        <f t="shared" si="54"/>
        <v>3069577.1454296578</v>
      </c>
      <c r="P127" s="763">
        <f t="shared" si="54"/>
        <v>3069577.1454296578</v>
      </c>
      <c r="Q127" s="763">
        <f t="shared" si="54"/>
        <v>3069577.1454296578</v>
      </c>
      <c r="R127" s="763">
        <f t="shared" si="54"/>
        <v>3069577.1454296578</v>
      </c>
      <c r="S127" s="763">
        <f t="shared" si="54"/>
        <v>3069577.1454296578</v>
      </c>
      <c r="T127" s="763">
        <f t="shared" si="54"/>
        <v>3069577.1454296578</v>
      </c>
      <c r="U127" s="763">
        <f t="shared" si="54"/>
        <v>3069577.1454296578</v>
      </c>
      <c r="V127" s="763">
        <f t="shared" si="54"/>
        <v>3069577.1454296578</v>
      </c>
      <c r="W127" s="763">
        <f t="shared" si="54"/>
        <v>15679066.385380907</v>
      </c>
      <c r="X127" s="763">
        <f t="shared" si="54"/>
        <v>41920448.418551341</v>
      </c>
      <c r="Y127" s="763">
        <f t="shared" si="54"/>
        <v>70453645.423973709</v>
      </c>
      <c r="Z127" s="763">
        <f>Z124+Z37+Z40+Z48</f>
        <v>99458446.561757788</v>
      </c>
      <c r="AA127" s="763">
        <f>AA124+AA37+AA40+AA48</f>
        <v>126921342.55782911</v>
      </c>
      <c r="AB127" s="763">
        <f t="shared" ref="AB127:CN127" si="55">AB124+AB37+AB40+AB48</f>
        <v>150869488.03480327</v>
      </c>
      <c r="AC127" s="763">
        <f t="shared" si="55"/>
        <v>169624368.1915319</v>
      </c>
      <c r="AD127" s="763">
        <f t="shared" si="55"/>
        <v>182031347.34834963</v>
      </c>
      <c r="AE127" s="763">
        <f t="shared" si="55"/>
        <v>187620215.85538375</v>
      </c>
      <c r="AF127" s="763">
        <f t="shared" si="55"/>
        <v>186661516.07245889</v>
      </c>
      <c r="AG127" s="763">
        <f t="shared" si="55"/>
        <v>180103010.97410285</v>
      </c>
      <c r="AH127" s="763">
        <f t="shared" si="55"/>
        <v>169396165.73556638</v>
      </c>
      <c r="AI127" s="763">
        <f t="shared" si="55"/>
        <v>153177891.29389185</v>
      </c>
      <c r="AJ127" s="763">
        <f t="shared" si="55"/>
        <v>139277077.56534636</v>
      </c>
      <c r="AK127" s="763">
        <f t="shared" si="55"/>
        <v>126058382.81572819</v>
      </c>
      <c r="AL127" s="763">
        <f t="shared" si="55"/>
        <v>114540200.18212107</v>
      </c>
      <c r="AM127" s="763">
        <f t="shared" si="55"/>
        <v>105266117.87264906</v>
      </c>
      <c r="AN127" s="763">
        <f t="shared" si="55"/>
        <v>98440692.919207782</v>
      </c>
      <c r="AO127" s="763">
        <f t="shared" si="55"/>
        <v>93611112.132369086</v>
      </c>
      <c r="AP127" s="763">
        <f t="shared" si="55"/>
        <v>90480964.911930084</v>
      </c>
      <c r="AQ127" s="763">
        <f t="shared" si="55"/>
        <v>88630628.215891168</v>
      </c>
      <c r="AR127" s="763">
        <f t="shared" si="55"/>
        <v>87639671.905652672</v>
      </c>
      <c r="AS127" s="763">
        <f t="shared" si="55"/>
        <v>87163346.051886737</v>
      </c>
      <c r="AT127" s="763">
        <f t="shared" si="55"/>
        <v>86960432.692067176</v>
      </c>
      <c r="AU127" s="763">
        <f t="shared" si="55"/>
        <v>86885117.515500024</v>
      </c>
      <c r="AV127" s="763">
        <f t="shared" si="55"/>
        <v>86861324.012408659</v>
      </c>
      <c r="AW127" s="763">
        <f t="shared" si="55"/>
        <v>86855136.870129079</v>
      </c>
      <c r="AX127" s="763">
        <f t="shared" si="55"/>
        <v>86853878.745199576</v>
      </c>
      <c r="AY127" s="763">
        <f t="shared" si="55"/>
        <v>86853695.428385749</v>
      </c>
      <c r="AZ127" s="763">
        <f t="shared" si="55"/>
        <v>86853679.467943847</v>
      </c>
      <c r="BA127" s="763">
        <f t="shared" si="55"/>
        <v>86124338.409950763</v>
      </c>
      <c r="BB127" s="763">
        <f t="shared" si="55"/>
        <v>83919365.515154406</v>
      </c>
      <c r="BC127" s="763">
        <f t="shared" si="55"/>
        <v>80191551.863811925</v>
      </c>
      <c r="BD127" s="763">
        <f t="shared" si="55"/>
        <v>75001701.632055998</v>
      </c>
      <c r="BE127" s="763">
        <f t="shared" si="55"/>
        <v>68523564.665889218</v>
      </c>
      <c r="BF127" s="763">
        <f t="shared" si="55"/>
        <v>61034951.608905211</v>
      </c>
      <c r="BG127" s="763">
        <f t="shared" si="55"/>
        <v>52894690.698973119</v>
      </c>
      <c r="BH127" s="763">
        <f t="shared" si="55"/>
        <v>44507640.168299615</v>
      </c>
      <c r="BI127" s="763">
        <f t="shared" si="55"/>
        <v>36282438.215484142</v>
      </c>
      <c r="BJ127" s="763">
        <f t="shared" si="55"/>
        <v>28588438.815812219</v>
      </c>
      <c r="BK127" s="763">
        <f t="shared" si="55"/>
        <v>21718813.086056516</v>
      </c>
      <c r="BL127" s="763">
        <f t="shared" si="55"/>
        <v>15865821.301465454</v>
      </c>
      <c r="BM127" s="763">
        <f t="shared" si="55"/>
        <v>11111898.95862361</v>
      </c>
      <c r="BN127" s="763">
        <f t="shared" si="55"/>
        <v>7436978.0810060687</v>
      </c>
      <c r="BO127" s="763">
        <f t="shared" si="55"/>
        <v>4739194.3735402962</v>
      </c>
      <c r="BP127" s="763">
        <f t="shared" si="55"/>
        <v>2863670.9464075188</v>
      </c>
      <c r="BQ127" s="763">
        <f t="shared" si="55"/>
        <v>1633047.6068681639</v>
      </c>
      <c r="BR127" s="763">
        <f t="shared" si="55"/>
        <v>868391.08019497455</v>
      </c>
      <c r="BS127" s="763">
        <f t="shared" si="55"/>
        <v>427308.69764222164</v>
      </c>
      <c r="BT127" s="763">
        <f t="shared" si="55"/>
        <v>192788.44277300133</v>
      </c>
      <c r="BU127" s="763">
        <f t="shared" si="55"/>
        <v>78857.602634946059</v>
      </c>
      <c r="BV127" s="763">
        <f t="shared" si="55"/>
        <v>28834.118226911552</v>
      </c>
      <c r="BW127" s="763">
        <f t="shared" si="55"/>
        <v>9255.0048856246431</v>
      </c>
      <c r="BX127" s="763">
        <f t="shared" si="55"/>
        <v>2544.9937188871513</v>
      </c>
      <c r="BY127" s="763">
        <f t="shared" si="55"/>
        <v>579.37011204170119</v>
      </c>
      <c r="BZ127" s="763">
        <f t="shared" si="55"/>
        <v>103.67031563860294</v>
      </c>
      <c r="CA127" s="763">
        <f t="shared" si="55"/>
        <v>13.353423342194869</v>
      </c>
      <c r="CB127" s="763">
        <f t="shared" si="55"/>
        <v>1.0312395171124851</v>
      </c>
      <c r="CC127" s="763">
        <f t="shared" si="55"/>
        <v>2.4936244468260826E-2</v>
      </c>
      <c r="CD127" s="763">
        <f t="shared" si="55"/>
        <v>0</v>
      </c>
      <c r="CE127" s="763">
        <f t="shared" si="55"/>
        <v>0</v>
      </c>
      <c r="CF127" s="763">
        <f t="shared" si="55"/>
        <v>0</v>
      </c>
      <c r="CG127" s="763">
        <f t="shared" si="55"/>
        <v>0</v>
      </c>
      <c r="CH127" s="763">
        <f t="shared" si="55"/>
        <v>0</v>
      </c>
      <c r="CI127" s="763">
        <f t="shared" si="55"/>
        <v>0</v>
      </c>
      <c r="CJ127" s="763">
        <f t="shared" si="55"/>
        <v>0</v>
      </c>
      <c r="CK127" s="763">
        <f t="shared" si="55"/>
        <v>0</v>
      </c>
      <c r="CL127" s="763">
        <f t="shared" si="55"/>
        <v>0</v>
      </c>
      <c r="CM127" s="763">
        <f>CM124+CM37+CM40+CM48</f>
        <v>0</v>
      </c>
      <c r="CN127" s="763">
        <f t="shared" si="55"/>
        <v>0</v>
      </c>
      <c r="CO127" s="763">
        <f t="shared" ref="CO127:CP127" si="56">CO124+CO37+CO40+CO48</f>
        <v>0</v>
      </c>
      <c r="CP127" s="763">
        <f t="shared" si="56"/>
        <v>0</v>
      </c>
      <c r="CQ127" s="763">
        <f t="shared" ref="CQ127:CZ127" si="57">CQ124+CQ37+CQ40+CQ48+CQ124</f>
        <v>0</v>
      </c>
      <c r="CR127" s="763">
        <f t="shared" si="57"/>
        <v>0</v>
      </c>
      <c r="CS127" s="763">
        <f t="shared" si="57"/>
        <v>0</v>
      </c>
      <c r="CT127" s="763">
        <f t="shared" si="57"/>
        <v>0</v>
      </c>
      <c r="CU127" s="763">
        <f t="shared" si="57"/>
        <v>0</v>
      </c>
      <c r="CV127" s="763">
        <f t="shared" si="57"/>
        <v>0</v>
      </c>
      <c r="CW127" s="763">
        <f t="shared" si="57"/>
        <v>0</v>
      </c>
      <c r="CX127" s="763">
        <f t="shared" si="57"/>
        <v>0</v>
      </c>
      <c r="CY127" s="763">
        <f t="shared" si="57"/>
        <v>0</v>
      </c>
      <c r="CZ127" s="763">
        <f t="shared" si="57"/>
        <v>0</v>
      </c>
    </row>
    <row r="128" spans="1:104" s="410" customFormat="1" x14ac:dyDescent="0.25">
      <c r="B128" s="768"/>
      <c r="C128" s="768" t="s">
        <v>378</v>
      </c>
      <c r="D128" s="769"/>
      <c r="E128" s="763">
        <f>E37+E45+E124</f>
        <v>0</v>
      </c>
      <c r="F128" s="763">
        <f t="shared" ref="F128:BQ128" si="58">F37+F45+F124</f>
        <v>3069577.1454296578</v>
      </c>
      <c r="G128" s="763">
        <f t="shared" si="58"/>
        <v>3069577.1454296578</v>
      </c>
      <c r="H128" s="763">
        <f t="shared" si="58"/>
        <v>3069577.1454296578</v>
      </c>
      <c r="I128" s="763">
        <f t="shared" si="58"/>
        <v>3069577.1454296578</v>
      </c>
      <c r="J128" s="763">
        <f t="shared" si="58"/>
        <v>3069577.1454296578</v>
      </c>
      <c r="K128" s="763">
        <f t="shared" si="58"/>
        <v>3069577.1454296578</v>
      </c>
      <c r="L128" s="763">
        <f t="shared" si="58"/>
        <v>3069577.1454296578</v>
      </c>
      <c r="M128" s="763">
        <f t="shared" si="58"/>
        <v>3069577.1454296578</v>
      </c>
      <c r="N128" s="763">
        <f t="shared" si="58"/>
        <v>3069577.1454296578</v>
      </c>
      <c r="O128" s="763">
        <f t="shared" si="58"/>
        <v>3069577.1454296578</v>
      </c>
      <c r="P128" s="763">
        <f t="shared" si="58"/>
        <v>3069577.1454296578</v>
      </c>
      <c r="Q128" s="763">
        <f t="shared" si="58"/>
        <v>3069577.1454296578</v>
      </c>
      <c r="R128" s="763">
        <f t="shared" si="58"/>
        <v>3069577.1454296578</v>
      </c>
      <c r="S128" s="763">
        <f t="shared" si="58"/>
        <v>3069577.1454296578</v>
      </c>
      <c r="T128" s="763">
        <f t="shared" si="58"/>
        <v>3069577.1454296578</v>
      </c>
      <c r="U128" s="763">
        <f t="shared" si="58"/>
        <v>3069577.1454296578</v>
      </c>
      <c r="V128" s="763">
        <f t="shared" si="58"/>
        <v>3069577.1454296578</v>
      </c>
      <c r="W128" s="763">
        <f t="shared" si="58"/>
        <v>3798917.7972390321</v>
      </c>
      <c r="X128" s="763">
        <f t="shared" si="58"/>
        <v>6003890.6920353984</v>
      </c>
      <c r="Y128" s="763">
        <f t="shared" si="58"/>
        <v>9731704.343377864</v>
      </c>
      <c r="Z128" s="763">
        <f t="shared" si="58"/>
        <v>14921554.575133795</v>
      </c>
      <c r="AA128" s="763">
        <f t="shared" si="58"/>
        <v>21399691.541300599</v>
      </c>
      <c r="AB128" s="763">
        <f t="shared" si="58"/>
        <v>28888304.598284606</v>
      </c>
      <c r="AC128" s="763">
        <f t="shared" si="58"/>
        <v>37028565.508216701</v>
      </c>
      <c r="AD128" s="763">
        <f t="shared" si="58"/>
        <v>45415616.038890213</v>
      </c>
      <c r="AE128" s="763">
        <f t="shared" si="58"/>
        <v>53640817.991705678</v>
      </c>
      <c r="AF128" s="763">
        <f t="shared" si="58"/>
        <v>61334817.391377605</v>
      </c>
      <c r="AG128" s="763">
        <f t="shared" si="58"/>
        <v>68204443.121133313</v>
      </c>
      <c r="AH128" s="763">
        <f t="shared" si="58"/>
        <v>74057434.905724376</v>
      </c>
      <c r="AI128" s="763">
        <f t="shared" si="58"/>
        <v>75741780.103136554</v>
      </c>
      <c r="AJ128" s="763">
        <f t="shared" si="58"/>
        <v>79416700.980754092</v>
      </c>
      <c r="AK128" s="763">
        <f t="shared" si="58"/>
        <v>82114484.68821986</v>
      </c>
      <c r="AL128" s="763">
        <f t="shared" si="58"/>
        <v>83990008.115352631</v>
      </c>
      <c r="AM128" s="763">
        <f t="shared" si="58"/>
        <v>85220631.45489198</v>
      </c>
      <c r="AN128" s="763">
        <f t="shared" si="58"/>
        <v>85985287.981565163</v>
      </c>
      <c r="AO128" s="763">
        <f t="shared" si="58"/>
        <v>86426370.36411792</v>
      </c>
      <c r="AP128" s="763">
        <f t="shared" si="58"/>
        <v>86660890.618987143</v>
      </c>
      <c r="AQ128" s="763">
        <f t="shared" si="58"/>
        <v>86774821.459125191</v>
      </c>
      <c r="AR128" s="763">
        <f t="shared" si="58"/>
        <v>86824844.943533227</v>
      </c>
      <c r="AS128" s="763">
        <f t="shared" si="58"/>
        <v>86844424.056874514</v>
      </c>
      <c r="AT128" s="763">
        <f t="shared" si="58"/>
        <v>86851134.06804125</v>
      </c>
      <c r="AU128" s="763">
        <f t="shared" si="58"/>
        <v>86853099.691648096</v>
      </c>
      <c r="AV128" s="763">
        <f t="shared" si="58"/>
        <v>86853575.391444504</v>
      </c>
      <c r="AW128" s="763">
        <f t="shared" si="58"/>
        <v>86853665.7083368</v>
      </c>
      <c r="AX128" s="763">
        <f t="shared" si="58"/>
        <v>86853678.030520633</v>
      </c>
      <c r="AY128" s="763">
        <f t="shared" si="58"/>
        <v>86853679.036823899</v>
      </c>
      <c r="AZ128" s="763">
        <f t="shared" si="58"/>
        <v>86853679.061760142</v>
      </c>
      <c r="BA128" s="763">
        <f t="shared" si="58"/>
        <v>86124338.409950763</v>
      </c>
      <c r="BB128" s="763">
        <f t="shared" si="58"/>
        <v>83919365.515154406</v>
      </c>
      <c r="BC128" s="763">
        <f t="shared" si="58"/>
        <v>80191551.863811925</v>
      </c>
      <c r="BD128" s="763">
        <f t="shared" si="58"/>
        <v>75001701.632055998</v>
      </c>
      <c r="BE128" s="763">
        <f t="shared" si="58"/>
        <v>68523564.665889218</v>
      </c>
      <c r="BF128" s="763">
        <f t="shared" si="58"/>
        <v>61034951.608905211</v>
      </c>
      <c r="BG128" s="763">
        <f t="shared" si="58"/>
        <v>52894690.698973119</v>
      </c>
      <c r="BH128" s="763">
        <f t="shared" si="58"/>
        <v>44507640.168299615</v>
      </c>
      <c r="BI128" s="763">
        <f t="shared" si="58"/>
        <v>36282438.215484142</v>
      </c>
      <c r="BJ128" s="763">
        <f t="shared" si="58"/>
        <v>28588438.815812219</v>
      </c>
      <c r="BK128" s="763">
        <f t="shared" si="58"/>
        <v>21718813.086056516</v>
      </c>
      <c r="BL128" s="763">
        <f t="shared" si="58"/>
        <v>15865821.301465454</v>
      </c>
      <c r="BM128" s="763">
        <f t="shared" si="58"/>
        <v>11111898.95862361</v>
      </c>
      <c r="BN128" s="763">
        <f t="shared" si="58"/>
        <v>7436978.0810060687</v>
      </c>
      <c r="BO128" s="763">
        <f t="shared" si="58"/>
        <v>4739194.3735402962</v>
      </c>
      <c r="BP128" s="763">
        <f t="shared" si="58"/>
        <v>2863670.9464075188</v>
      </c>
      <c r="BQ128" s="763">
        <f t="shared" si="58"/>
        <v>1633047.6068681639</v>
      </c>
      <c r="BR128" s="763">
        <f t="shared" ref="BR128:CZ128" si="59">BR37+BR45+BR124</f>
        <v>868391.08019497455</v>
      </c>
      <c r="BS128" s="763">
        <f t="shared" si="59"/>
        <v>427308.69764222164</v>
      </c>
      <c r="BT128" s="763">
        <f t="shared" si="59"/>
        <v>192788.44277300133</v>
      </c>
      <c r="BU128" s="763">
        <f t="shared" si="59"/>
        <v>78857.602634946059</v>
      </c>
      <c r="BV128" s="763">
        <f t="shared" si="59"/>
        <v>28834.118226911552</v>
      </c>
      <c r="BW128" s="763">
        <f t="shared" si="59"/>
        <v>9255.0048856246431</v>
      </c>
      <c r="BX128" s="763">
        <f t="shared" si="59"/>
        <v>2544.9937188871513</v>
      </c>
      <c r="BY128" s="763">
        <f t="shared" si="59"/>
        <v>579.37011204170119</v>
      </c>
      <c r="BZ128" s="763">
        <f t="shared" si="59"/>
        <v>103.67031563860294</v>
      </c>
      <c r="CA128" s="763">
        <f t="shared" si="59"/>
        <v>13.353423342194869</v>
      </c>
      <c r="CB128" s="763">
        <f t="shared" si="59"/>
        <v>1.0312395171124851</v>
      </c>
      <c r="CC128" s="763">
        <f t="shared" si="59"/>
        <v>2.4936244468260826E-2</v>
      </c>
      <c r="CD128" s="763">
        <f t="shared" si="59"/>
        <v>0</v>
      </c>
      <c r="CE128" s="763">
        <f t="shared" si="59"/>
        <v>0</v>
      </c>
      <c r="CF128" s="763">
        <f t="shared" si="59"/>
        <v>0</v>
      </c>
      <c r="CG128" s="763">
        <f t="shared" si="59"/>
        <v>0</v>
      </c>
      <c r="CH128" s="763">
        <f t="shared" si="59"/>
        <v>0</v>
      </c>
      <c r="CI128" s="763">
        <f t="shared" si="59"/>
        <v>0</v>
      </c>
      <c r="CJ128" s="763">
        <f t="shared" si="59"/>
        <v>0</v>
      </c>
      <c r="CK128" s="763">
        <f t="shared" si="59"/>
        <v>0</v>
      </c>
      <c r="CL128" s="763">
        <f t="shared" si="59"/>
        <v>0</v>
      </c>
      <c r="CM128" s="763">
        <f t="shared" si="59"/>
        <v>0</v>
      </c>
      <c r="CN128" s="763">
        <f t="shared" si="59"/>
        <v>0</v>
      </c>
      <c r="CO128" s="763">
        <f t="shared" si="59"/>
        <v>0</v>
      </c>
      <c r="CP128" s="763">
        <f t="shared" si="59"/>
        <v>0</v>
      </c>
      <c r="CQ128" s="763">
        <f t="shared" si="59"/>
        <v>0</v>
      </c>
      <c r="CR128" s="763">
        <f t="shared" si="59"/>
        <v>0</v>
      </c>
      <c r="CS128" s="763">
        <f t="shared" si="59"/>
        <v>0</v>
      </c>
      <c r="CT128" s="763">
        <f t="shared" si="59"/>
        <v>0</v>
      </c>
      <c r="CU128" s="763">
        <f t="shared" si="59"/>
        <v>0</v>
      </c>
      <c r="CV128" s="763">
        <f t="shared" si="59"/>
        <v>0</v>
      </c>
      <c r="CW128" s="763">
        <f t="shared" si="59"/>
        <v>0</v>
      </c>
      <c r="CX128" s="763">
        <f t="shared" si="59"/>
        <v>0</v>
      </c>
      <c r="CY128" s="763">
        <f t="shared" si="59"/>
        <v>0</v>
      </c>
      <c r="CZ128" s="763">
        <f t="shared" si="59"/>
        <v>0</v>
      </c>
    </row>
    <row r="129" spans="1:104" s="410" customFormat="1" x14ac:dyDescent="0.25">
      <c r="B129" s="768"/>
      <c r="C129" s="768" t="s">
        <v>379</v>
      </c>
      <c r="D129" s="769"/>
      <c r="E129" s="763">
        <f>E40+E48</f>
        <v>0</v>
      </c>
      <c r="F129" s="763">
        <f t="shared" ref="F129:BQ129" si="60">F40+F48</f>
        <v>0</v>
      </c>
      <c r="G129" s="763">
        <f t="shared" si="60"/>
        <v>0</v>
      </c>
      <c r="H129" s="763">
        <f t="shared" si="60"/>
        <v>0</v>
      </c>
      <c r="I129" s="763">
        <f t="shared" si="60"/>
        <v>0</v>
      </c>
      <c r="J129" s="763">
        <f t="shared" si="60"/>
        <v>0</v>
      </c>
      <c r="K129" s="763">
        <f t="shared" si="60"/>
        <v>0</v>
      </c>
      <c r="L129" s="763">
        <f t="shared" si="60"/>
        <v>0</v>
      </c>
      <c r="M129" s="763">
        <f t="shared" si="60"/>
        <v>0</v>
      </c>
      <c r="N129" s="763">
        <f t="shared" si="60"/>
        <v>0</v>
      </c>
      <c r="O129" s="763">
        <f t="shared" si="60"/>
        <v>0</v>
      </c>
      <c r="P129" s="763">
        <f t="shared" si="60"/>
        <v>0</v>
      </c>
      <c r="Q129" s="763">
        <f t="shared" si="60"/>
        <v>0</v>
      </c>
      <c r="R129" s="763">
        <f t="shared" si="60"/>
        <v>0</v>
      </c>
      <c r="S129" s="763">
        <f t="shared" si="60"/>
        <v>0</v>
      </c>
      <c r="T129" s="763">
        <f t="shared" si="60"/>
        <v>0</v>
      </c>
      <c r="U129" s="763">
        <f t="shared" si="60"/>
        <v>0</v>
      </c>
      <c r="V129" s="763">
        <f t="shared" si="60"/>
        <v>0</v>
      </c>
      <c r="W129" s="763">
        <f t="shared" si="60"/>
        <v>11880148.588141875</v>
      </c>
      <c r="X129" s="763">
        <f t="shared" si="60"/>
        <v>35916557.726515941</v>
      </c>
      <c r="Y129" s="763">
        <f t="shared" si="60"/>
        <v>60721941.080595851</v>
      </c>
      <c r="Z129" s="763">
        <f t="shared" si="60"/>
        <v>84536891.986623988</v>
      </c>
      <c r="AA129" s="763">
        <f t="shared" si="60"/>
        <v>105521651.01652852</v>
      </c>
      <c r="AB129" s="763">
        <f t="shared" si="60"/>
        <v>121981183.43651867</v>
      </c>
      <c r="AC129" s="763">
        <f t="shared" si="60"/>
        <v>132595802.6833152</v>
      </c>
      <c r="AD129" s="763">
        <f t="shared" si="60"/>
        <v>136615731.30945942</v>
      </c>
      <c r="AE129" s="763">
        <f t="shared" si="60"/>
        <v>133979397.86367808</v>
      </c>
      <c r="AF129" s="763">
        <f t="shared" si="60"/>
        <v>125326698.68108128</v>
      </c>
      <c r="AG129" s="763">
        <f t="shared" si="60"/>
        <v>111898567.85296954</v>
      </c>
      <c r="AH129" s="763">
        <f t="shared" si="60"/>
        <v>95338730.829842001</v>
      </c>
      <c r="AI129" s="763">
        <f t="shared" si="60"/>
        <v>77436111.190755293</v>
      </c>
      <c r="AJ129" s="763">
        <f t="shared" si="60"/>
        <v>59860376.584592275</v>
      </c>
      <c r="AK129" s="763">
        <f t="shared" si="60"/>
        <v>43943898.12750832</v>
      </c>
      <c r="AL129" s="763">
        <f t="shared" si="60"/>
        <v>30550192.066768438</v>
      </c>
      <c r="AM129" s="763">
        <f t="shared" si="60"/>
        <v>20045486.417757083</v>
      </c>
      <c r="AN129" s="763">
        <f t="shared" si="60"/>
        <v>12455404.937642613</v>
      </c>
      <c r="AO129" s="763">
        <f t="shared" si="60"/>
        <v>7184741.7682511657</v>
      </c>
      <c r="AP129" s="763">
        <f t="shared" si="60"/>
        <v>3820074.292942944</v>
      </c>
      <c r="AQ129" s="763">
        <f t="shared" si="60"/>
        <v>1855806.7567659724</v>
      </c>
      <c r="AR129" s="763">
        <f t="shared" si="60"/>
        <v>814826.96211944486</v>
      </c>
      <c r="AS129" s="763">
        <f t="shared" si="60"/>
        <v>318921.99501222133</v>
      </c>
      <c r="AT129" s="763">
        <f t="shared" si="60"/>
        <v>109298.62402592052</v>
      </c>
      <c r="AU129" s="763">
        <f t="shared" si="60"/>
        <v>32017.823851928562</v>
      </c>
      <c r="AV129" s="763">
        <f t="shared" si="60"/>
        <v>7748.620964150964</v>
      </c>
      <c r="AW129" s="763">
        <f t="shared" si="60"/>
        <v>1471.1617922827311</v>
      </c>
      <c r="AX129" s="763">
        <f t="shared" si="60"/>
        <v>200.7146789490057</v>
      </c>
      <c r="AY129" s="763">
        <f t="shared" si="60"/>
        <v>16.391561849854877</v>
      </c>
      <c r="AZ129" s="763">
        <f t="shared" si="60"/>
        <v>0.40618370685663974</v>
      </c>
      <c r="BA129" s="763">
        <f t="shared" si="60"/>
        <v>0</v>
      </c>
      <c r="BB129" s="763">
        <f t="shared" si="60"/>
        <v>0</v>
      </c>
      <c r="BC129" s="763">
        <f t="shared" si="60"/>
        <v>0</v>
      </c>
      <c r="BD129" s="763">
        <f t="shared" si="60"/>
        <v>0</v>
      </c>
      <c r="BE129" s="763">
        <f t="shared" si="60"/>
        <v>0</v>
      </c>
      <c r="BF129" s="763">
        <f t="shared" si="60"/>
        <v>0</v>
      </c>
      <c r="BG129" s="763">
        <f t="shared" si="60"/>
        <v>0</v>
      </c>
      <c r="BH129" s="763">
        <f t="shared" si="60"/>
        <v>0</v>
      </c>
      <c r="BI129" s="763">
        <f t="shared" si="60"/>
        <v>0</v>
      </c>
      <c r="BJ129" s="763">
        <f t="shared" si="60"/>
        <v>0</v>
      </c>
      <c r="BK129" s="763">
        <f t="shared" si="60"/>
        <v>0</v>
      </c>
      <c r="BL129" s="763">
        <f t="shared" si="60"/>
        <v>0</v>
      </c>
      <c r="BM129" s="763">
        <f t="shared" si="60"/>
        <v>0</v>
      </c>
      <c r="BN129" s="763">
        <f t="shared" si="60"/>
        <v>0</v>
      </c>
      <c r="BO129" s="763">
        <f t="shared" si="60"/>
        <v>0</v>
      </c>
      <c r="BP129" s="763">
        <f t="shared" si="60"/>
        <v>0</v>
      </c>
      <c r="BQ129" s="763">
        <f t="shared" si="60"/>
        <v>0</v>
      </c>
      <c r="BR129" s="763">
        <f t="shared" ref="BR129:CZ129" si="61">BR40+BR48</f>
        <v>0</v>
      </c>
      <c r="BS129" s="763">
        <f t="shared" si="61"/>
        <v>0</v>
      </c>
      <c r="BT129" s="763">
        <f t="shared" si="61"/>
        <v>0</v>
      </c>
      <c r="BU129" s="763">
        <f t="shared" si="61"/>
        <v>0</v>
      </c>
      <c r="BV129" s="763">
        <f t="shared" si="61"/>
        <v>0</v>
      </c>
      <c r="BW129" s="763">
        <f t="shared" si="61"/>
        <v>0</v>
      </c>
      <c r="BX129" s="763">
        <f t="shared" si="61"/>
        <v>0</v>
      </c>
      <c r="BY129" s="763">
        <f t="shared" si="61"/>
        <v>0</v>
      </c>
      <c r="BZ129" s="763">
        <f t="shared" si="61"/>
        <v>0</v>
      </c>
      <c r="CA129" s="763">
        <f t="shared" si="61"/>
        <v>0</v>
      </c>
      <c r="CB129" s="763">
        <f t="shared" si="61"/>
        <v>0</v>
      </c>
      <c r="CC129" s="763">
        <f t="shared" si="61"/>
        <v>0</v>
      </c>
      <c r="CD129" s="763">
        <f t="shared" si="61"/>
        <v>0</v>
      </c>
      <c r="CE129" s="763">
        <f t="shared" si="61"/>
        <v>0</v>
      </c>
      <c r="CF129" s="763">
        <f t="shared" si="61"/>
        <v>0</v>
      </c>
      <c r="CG129" s="763">
        <f t="shared" si="61"/>
        <v>0</v>
      </c>
      <c r="CH129" s="763">
        <f t="shared" si="61"/>
        <v>0</v>
      </c>
      <c r="CI129" s="763">
        <f t="shared" si="61"/>
        <v>0</v>
      </c>
      <c r="CJ129" s="763">
        <f t="shared" si="61"/>
        <v>0</v>
      </c>
      <c r="CK129" s="763">
        <f t="shared" si="61"/>
        <v>0</v>
      </c>
      <c r="CL129" s="763">
        <f t="shared" si="61"/>
        <v>0</v>
      </c>
      <c r="CM129" s="763">
        <f t="shared" si="61"/>
        <v>0</v>
      </c>
      <c r="CN129" s="763">
        <f t="shared" si="61"/>
        <v>0</v>
      </c>
      <c r="CO129" s="763">
        <f t="shared" si="61"/>
        <v>0</v>
      </c>
      <c r="CP129" s="763">
        <f t="shared" si="61"/>
        <v>0</v>
      </c>
      <c r="CQ129" s="763">
        <f t="shared" si="61"/>
        <v>0</v>
      </c>
      <c r="CR129" s="763">
        <f t="shared" si="61"/>
        <v>0</v>
      </c>
      <c r="CS129" s="763">
        <f t="shared" si="61"/>
        <v>0</v>
      </c>
      <c r="CT129" s="763">
        <f t="shared" si="61"/>
        <v>0</v>
      </c>
      <c r="CU129" s="763">
        <f t="shared" si="61"/>
        <v>0</v>
      </c>
      <c r="CV129" s="763">
        <f t="shared" si="61"/>
        <v>0</v>
      </c>
      <c r="CW129" s="763">
        <f t="shared" si="61"/>
        <v>0</v>
      </c>
      <c r="CX129" s="763">
        <f t="shared" si="61"/>
        <v>0</v>
      </c>
      <c r="CY129" s="763">
        <f t="shared" si="61"/>
        <v>0</v>
      </c>
      <c r="CZ129" s="763">
        <f t="shared" si="61"/>
        <v>0</v>
      </c>
    </row>
    <row r="130" spans="1:104" x14ac:dyDescent="0.25">
      <c r="B130" s="480" t="s">
        <v>323</v>
      </c>
      <c r="C130" s="480"/>
      <c r="D130" s="492"/>
      <c r="E130" s="477">
        <f>E127</f>
        <v>0</v>
      </c>
      <c r="F130" s="477">
        <f t="shared" ref="F130:BQ130" si="62">E130+F127</f>
        <v>3069577.1454296578</v>
      </c>
      <c r="G130" s="477">
        <f t="shared" si="62"/>
        <v>6139154.2908593155</v>
      </c>
      <c r="H130" s="477">
        <f t="shared" si="62"/>
        <v>9208731.4362889733</v>
      </c>
      <c r="I130" s="477">
        <f t="shared" si="62"/>
        <v>12278308.581718631</v>
      </c>
      <c r="J130" s="477">
        <f t="shared" si="62"/>
        <v>15347885.727148289</v>
      </c>
      <c r="K130" s="477">
        <f t="shared" si="62"/>
        <v>18417462.872577947</v>
      </c>
      <c r="L130" s="477">
        <f t="shared" si="62"/>
        <v>21487040.018007606</v>
      </c>
      <c r="M130" s="477">
        <f t="shared" si="62"/>
        <v>24556617.163437262</v>
      </c>
      <c r="N130" s="477">
        <f t="shared" si="62"/>
        <v>27626194.308866918</v>
      </c>
      <c r="O130" s="477">
        <f t="shared" si="62"/>
        <v>30695771.454296574</v>
      </c>
      <c r="P130" s="477">
        <f t="shared" si="62"/>
        <v>33765348.59972623</v>
      </c>
      <c r="Q130" s="477">
        <f t="shared" si="62"/>
        <v>36834925.745155886</v>
      </c>
      <c r="R130" s="477">
        <f t="shared" si="62"/>
        <v>39904502.890585542</v>
      </c>
      <c r="S130" s="477">
        <f t="shared" si="62"/>
        <v>42974080.036015198</v>
      </c>
      <c r="T130" s="477">
        <f t="shared" si="62"/>
        <v>46043657.181444854</v>
      </c>
      <c r="U130" s="477">
        <f t="shared" si="62"/>
        <v>49113234.326874509</v>
      </c>
      <c r="V130" s="477">
        <f t="shared" si="62"/>
        <v>52182811.472304165</v>
      </c>
      <c r="W130" s="477">
        <f t="shared" si="62"/>
        <v>67861877.857685074</v>
      </c>
      <c r="X130" s="477">
        <f t="shared" si="62"/>
        <v>109782326.27623641</v>
      </c>
      <c r="Y130" s="477">
        <f t="shared" si="62"/>
        <v>180235971.70021012</v>
      </c>
      <c r="Z130" s="477">
        <f t="shared" si="62"/>
        <v>279694418.2619679</v>
      </c>
      <c r="AA130" s="477">
        <f t="shared" si="62"/>
        <v>406615760.81979704</v>
      </c>
      <c r="AB130" s="477">
        <f t="shared" si="62"/>
        <v>557485248.85460031</v>
      </c>
      <c r="AC130" s="477">
        <f t="shared" si="62"/>
        <v>727109617.04613221</v>
      </c>
      <c r="AD130" s="477">
        <f t="shared" si="62"/>
        <v>909140964.3944819</v>
      </c>
      <c r="AE130" s="477">
        <f t="shared" si="62"/>
        <v>1096761180.2498655</v>
      </c>
      <c r="AF130" s="477">
        <f t="shared" si="62"/>
        <v>1283422696.3223245</v>
      </c>
      <c r="AG130" s="477">
        <f t="shared" si="62"/>
        <v>1463525707.2964272</v>
      </c>
      <c r="AH130" s="477">
        <f t="shared" si="62"/>
        <v>1632921873.0319936</v>
      </c>
      <c r="AI130" s="477">
        <f t="shared" si="62"/>
        <v>1786099764.3258855</v>
      </c>
      <c r="AJ130" s="477">
        <f t="shared" si="62"/>
        <v>1925376841.891232</v>
      </c>
      <c r="AK130" s="477">
        <f t="shared" si="62"/>
        <v>2051435224.7069602</v>
      </c>
      <c r="AL130" s="477">
        <f t="shared" si="62"/>
        <v>2165975424.8890815</v>
      </c>
      <c r="AM130" s="477">
        <f t="shared" si="62"/>
        <v>2271241542.7617307</v>
      </c>
      <c r="AN130" s="477">
        <f t="shared" si="62"/>
        <v>2369682235.6809382</v>
      </c>
      <c r="AO130" s="477">
        <f t="shared" si="62"/>
        <v>2463293347.8133073</v>
      </c>
      <c r="AP130" s="477">
        <f t="shared" si="62"/>
        <v>2553774312.7252374</v>
      </c>
      <c r="AQ130" s="477">
        <f t="shared" si="62"/>
        <v>2642404940.9411287</v>
      </c>
      <c r="AR130" s="477">
        <f t="shared" si="62"/>
        <v>2730044612.8467813</v>
      </c>
      <c r="AS130" s="477">
        <f t="shared" si="62"/>
        <v>2817207958.8986678</v>
      </c>
      <c r="AT130" s="477">
        <f t="shared" si="62"/>
        <v>2904168391.590735</v>
      </c>
      <c r="AU130" s="477">
        <f t="shared" si="62"/>
        <v>2991053509.106235</v>
      </c>
      <c r="AV130" s="477">
        <f t="shared" si="62"/>
        <v>3077914833.1186438</v>
      </c>
      <c r="AW130" s="477">
        <f t="shared" si="62"/>
        <v>3164769969.9887729</v>
      </c>
      <c r="AX130" s="477">
        <f t="shared" si="62"/>
        <v>3251623848.7339725</v>
      </c>
      <c r="AY130" s="477">
        <f t="shared" si="62"/>
        <v>3338477544.1623583</v>
      </c>
      <c r="AZ130" s="477">
        <f t="shared" si="62"/>
        <v>3425331223.630302</v>
      </c>
      <c r="BA130" s="477">
        <f t="shared" si="62"/>
        <v>3511455562.0402527</v>
      </c>
      <c r="BB130" s="477">
        <f t="shared" si="62"/>
        <v>3595374927.555407</v>
      </c>
      <c r="BC130" s="477">
        <f t="shared" si="62"/>
        <v>3675566479.419219</v>
      </c>
      <c r="BD130" s="477">
        <f t="shared" si="62"/>
        <v>3750568181.0512753</v>
      </c>
      <c r="BE130" s="477">
        <f t="shared" si="62"/>
        <v>3819091745.7171645</v>
      </c>
      <c r="BF130" s="477">
        <f t="shared" si="62"/>
        <v>3880126697.3260698</v>
      </c>
      <c r="BG130" s="477">
        <f t="shared" si="62"/>
        <v>3933021388.025043</v>
      </c>
      <c r="BH130" s="477">
        <f t="shared" si="62"/>
        <v>3977529028.1933427</v>
      </c>
      <c r="BI130" s="477">
        <f t="shared" si="62"/>
        <v>4013811466.4088268</v>
      </c>
      <c r="BJ130" s="477">
        <f t="shared" si="62"/>
        <v>4042399905.2246389</v>
      </c>
      <c r="BK130" s="477">
        <f t="shared" si="62"/>
        <v>4064118718.3106956</v>
      </c>
      <c r="BL130" s="477">
        <f t="shared" si="62"/>
        <v>4079984539.6121612</v>
      </c>
      <c r="BM130" s="477">
        <f t="shared" si="62"/>
        <v>4091096438.5707846</v>
      </c>
      <c r="BN130" s="477">
        <f t="shared" si="62"/>
        <v>4098533416.6517906</v>
      </c>
      <c r="BO130" s="477">
        <f t="shared" si="62"/>
        <v>4103272611.025331</v>
      </c>
      <c r="BP130" s="477">
        <f t="shared" si="62"/>
        <v>4106136281.9717383</v>
      </c>
      <c r="BQ130" s="477">
        <f t="shared" si="62"/>
        <v>4107769329.5786066</v>
      </c>
      <c r="BR130" s="477">
        <f t="shared" ref="BR130:CZ130" si="63">BQ130+BR127</f>
        <v>4108637720.6588016</v>
      </c>
      <c r="BS130" s="477">
        <f t="shared" si="63"/>
        <v>4109065029.3564439</v>
      </c>
      <c r="BT130" s="477">
        <f t="shared" si="63"/>
        <v>4109257817.7992167</v>
      </c>
      <c r="BU130" s="477">
        <f t="shared" si="63"/>
        <v>4109336675.4018517</v>
      </c>
      <c r="BV130" s="477">
        <f t="shared" si="63"/>
        <v>4109365509.5200787</v>
      </c>
      <c r="BW130" s="477">
        <f t="shared" si="63"/>
        <v>4109374764.5249643</v>
      </c>
      <c r="BX130" s="477">
        <f t="shared" si="63"/>
        <v>4109377309.5186834</v>
      </c>
      <c r="BY130" s="477">
        <f t="shared" si="63"/>
        <v>4109377888.8887954</v>
      </c>
      <c r="BZ130" s="477">
        <f t="shared" si="63"/>
        <v>4109377992.5591111</v>
      </c>
      <c r="CA130" s="477">
        <f t="shared" si="63"/>
        <v>4109378005.9125342</v>
      </c>
      <c r="CB130" s="477">
        <f t="shared" si="63"/>
        <v>4109378006.9437737</v>
      </c>
      <c r="CC130" s="477">
        <f t="shared" si="63"/>
        <v>4109378006.9687099</v>
      </c>
      <c r="CD130" s="477">
        <f t="shared" si="63"/>
        <v>4109378006.9687099</v>
      </c>
      <c r="CE130" s="477">
        <f t="shared" si="63"/>
        <v>4109378006.9687099</v>
      </c>
      <c r="CF130" s="477">
        <f t="shared" si="63"/>
        <v>4109378006.9687099</v>
      </c>
      <c r="CG130" s="477">
        <f t="shared" si="63"/>
        <v>4109378006.9687099</v>
      </c>
      <c r="CH130" s="477">
        <f t="shared" si="63"/>
        <v>4109378006.9687099</v>
      </c>
      <c r="CI130" s="477">
        <f t="shared" si="63"/>
        <v>4109378006.9687099</v>
      </c>
      <c r="CJ130" s="477">
        <f t="shared" si="63"/>
        <v>4109378006.9687099</v>
      </c>
      <c r="CK130" s="477">
        <f t="shared" si="63"/>
        <v>4109378006.9687099</v>
      </c>
      <c r="CL130" s="477">
        <f t="shared" si="63"/>
        <v>4109378006.9687099</v>
      </c>
      <c r="CM130" s="477">
        <f t="shared" si="63"/>
        <v>4109378006.9687099</v>
      </c>
      <c r="CN130" s="477">
        <f t="shared" si="63"/>
        <v>4109378006.9687099</v>
      </c>
      <c r="CO130" s="477">
        <f t="shared" si="63"/>
        <v>4109378006.9687099</v>
      </c>
      <c r="CP130" s="477">
        <f t="shared" si="63"/>
        <v>4109378006.9687099</v>
      </c>
      <c r="CQ130" s="477">
        <f t="shared" si="63"/>
        <v>4109378006.9687099</v>
      </c>
      <c r="CR130" s="477">
        <f t="shared" si="63"/>
        <v>4109378006.9687099</v>
      </c>
      <c r="CS130" s="477">
        <f t="shared" si="63"/>
        <v>4109378006.9687099</v>
      </c>
      <c r="CT130" s="477">
        <f t="shared" si="63"/>
        <v>4109378006.9687099</v>
      </c>
      <c r="CU130" s="477">
        <f t="shared" si="63"/>
        <v>4109378006.9687099</v>
      </c>
      <c r="CV130" s="477">
        <f t="shared" si="63"/>
        <v>4109378006.9687099</v>
      </c>
      <c r="CW130" s="477">
        <f t="shared" si="63"/>
        <v>4109378006.9687099</v>
      </c>
      <c r="CX130" s="477">
        <f t="shared" si="63"/>
        <v>4109378006.9687099</v>
      </c>
      <c r="CY130" s="477">
        <f t="shared" si="63"/>
        <v>4109378006.9687099</v>
      </c>
      <c r="CZ130" s="477">
        <f t="shared" si="63"/>
        <v>4109378006.9687099</v>
      </c>
    </row>
    <row r="131" spans="1:104" x14ac:dyDescent="0.25">
      <c r="C131" s="784" t="s">
        <v>597</v>
      </c>
      <c r="E131" s="783">
        <f>E125</f>
        <v>0</v>
      </c>
      <c r="F131" s="783">
        <f>E131+F125</f>
        <v>2937394.3975403425</v>
      </c>
      <c r="G131" s="783">
        <f>F131+G125</f>
        <v>5748298.1272440199</v>
      </c>
      <c r="H131" s="783">
        <f t="shared" ref="H131:BS131" si="64">G131+H125</f>
        <v>8438158.1556685902</v>
      </c>
      <c r="I131" s="783">
        <f t="shared" si="64"/>
        <v>11012186.89100311</v>
      </c>
      <c r="J131" s="783">
        <f t="shared" si="64"/>
        <v>13475372.283667721</v>
      </c>
      <c r="K131" s="783">
        <f t="shared" si="64"/>
        <v>15832487.491959216</v>
      </c>
      <c r="L131" s="783">
        <f t="shared" si="64"/>
        <v>18088100.13147261</v>
      </c>
      <c r="M131" s="783">
        <f t="shared" si="64"/>
        <v>20246581.126222268</v>
      </c>
      <c r="N131" s="783">
        <f t="shared" si="64"/>
        <v>22312113.178614285</v>
      </c>
      <c r="O131" s="783">
        <f t="shared" si="64"/>
        <v>24288698.874683201</v>
      </c>
      <c r="P131" s="783">
        <f t="shared" si="64"/>
        <v>26180168.440299388</v>
      </c>
      <c r="Q131" s="783">
        <f t="shared" si="64"/>
        <v>27990187.16337708</v>
      </c>
      <c r="R131" s="783">
        <f t="shared" si="64"/>
        <v>29722262.49646578</v>
      </c>
      <c r="S131" s="783">
        <f t="shared" si="64"/>
        <v>31379750.85348846</v>
      </c>
      <c r="T131" s="783">
        <f t="shared" si="64"/>
        <v>32965864.113797244</v>
      </c>
      <c r="U131" s="783">
        <f t="shared" si="64"/>
        <v>34483675.846150145</v>
      </c>
      <c r="V131" s="783">
        <f t="shared" si="64"/>
        <v>35936127.264669672</v>
      </c>
      <c r="W131" s="783">
        <f t="shared" si="64"/>
        <v>43035614.307147659</v>
      </c>
      <c r="X131" s="783">
        <f t="shared" si="64"/>
        <v>61199819.576194674</v>
      </c>
      <c r="Y131" s="783">
        <f t="shared" si="64"/>
        <v>90412920.589994878</v>
      </c>
      <c r="Z131" s="783">
        <f t="shared" si="64"/>
        <v>129876781.54899362</v>
      </c>
      <c r="AA131" s="783">
        <f t="shared" si="64"/>
        <v>178068927.72988236</v>
      </c>
      <c r="AB131" s="783">
        <f t="shared" si="64"/>
        <v>232887375.79580268</v>
      </c>
      <c r="AC131" s="783">
        <f t="shared" si="64"/>
        <v>291866357.81106502</v>
      </c>
      <c r="AD131" s="783">
        <f t="shared" si="64"/>
        <v>352433756.62836915</v>
      </c>
      <c r="AE131" s="783">
        <f t="shared" si="64"/>
        <v>412172499.5665549</v>
      </c>
      <c r="AF131" s="783">
        <f t="shared" si="64"/>
        <v>469046653.19819933</v>
      </c>
      <c r="AG131" s="783">
        <f t="shared" si="64"/>
        <v>521559412.72732157</v>
      </c>
      <c r="AH131" s="783">
        <f t="shared" si="64"/>
        <v>568823486.6550647</v>
      </c>
      <c r="AI131" s="783">
        <f t="shared" si="64"/>
        <v>609721986.0058639</v>
      </c>
      <c r="AJ131" s="783">
        <f t="shared" si="64"/>
        <v>645307614.58932567</v>
      </c>
      <c r="AK131" s="783">
        <f t="shared" si="64"/>
        <v>676128877.99134231</v>
      </c>
      <c r="AL131" s="783">
        <f t="shared" si="64"/>
        <v>702927986.8632443</v>
      </c>
      <c r="AM131" s="783">
        <f t="shared" si="64"/>
        <v>726496638.19466078</v>
      </c>
      <c r="AN131" s="783">
        <f t="shared" si="64"/>
        <v>747587993.91230774</v>
      </c>
      <c r="AO131" s="783">
        <f t="shared" si="64"/>
        <v>766780909.30154073</v>
      </c>
      <c r="AP131" s="783">
        <f t="shared" si="64"/>
        <v>784533203.1007632</v>
      </c>
      <c r="AQ131" s="783">
        <f t="shared" si="64"/>
        <v>801173642.5284884</v>
      </c>
      <c r="AR131" s="783">
        <f t="shared" si="64"/>
        <v>816919467.35590506</v>
      </c>
      <c r="AS131" s="783">
        <f t="shared" si="64"/>
        <v>831905348.22503841</v>
      </c>
      <c r="AT131" s="783">
        <f t="shared" si="64"/>
        <v>846212519.74536979</v>
      </c>
      <c r="AU131" s="783">
        <f t="shared" si="64"/>
        <v>859891735.32950652</v>
      </c>
      <c r="AV131" s="783">
        <f t="shared" si="64"/>
        <v>872978309.04127538</v>
      </c>
      <c r="AW131" s="783">
        <f t="shared" si="64"/>
        <v>885500454.06863523</v>
      </c>
      <c r="AX131" s="783">
        <f t="shared" si="64"/>
        <v>897483194.39400661</v>
      </c>
      <c r="AY131" s="783">
        <f t="shared" si="64"/>
        <v>908949907.34537828</v>
      </c>
      <c r="AZ131" s="783">
        <f t="shared" si="64"/>
        <v>919922836.38291049</v>
      </c>
      <c r="BA131" s="783">
        <f t="shared" si="64"/>
        <v>930335071.28470123</v>
      </c>
      <c r="BB131" s="783">
        <f t="shared" si="64"/>
        <v>940043835.62739205</v>
      </c>
      <c r="BC131" s="783">
        <f t="shared" si="64"/>
        <v>948921814.26443708</v>
      </c>
      <c r="BD131" s="783">
        <f t="shared" si="64"/>
        <v>956867663.1969856</v>
      </c>
      <c r="BE131" s="783">
        <f t="shared" si="64"/>
        <v>963814591.93814015</v>
      </c>
      <c r="BF131" s="783">
        <f t="shared" si="64"/>
        <v>969735866.65902483</v>
      </c>
      <c r="BG131" s="783">
        <f t="shared" si="64"/>
        <v>974646442.21671903</v>
      </c>
      <c r="BH131" s="783">
        <f t="shared" si="64"/>
        <v>978600459.77623308</v>
      </c>
      <c r="BI131" s="783">
        <f t="shared" si="64"/>
        <v>981684955.69075477</v>
      </c>
      <c r="BJ131" s="783">
        <f t="shared" si="64"/>
        <v>984010699.55652261</v>
      </c>
      <c r="BK131" s="783">
        <f t="shared" si="64"/>
        <v>985701495.67370498</v>
      </c>
      <c r="BL131" s="783">
        <f t="shared" si="64"/>
        <v>986883451.97982228</v>
      </c>
      <c r="BM131" s="783">
        <f t="shared" si="64"/>
        <v>987675608.23669839</v>
      </c>
      <c r="BN131" s="783">
        <f t="shared" si="64"/>
        <v>988182952.53526354</v>
      </c>
      <c r="BO131" s="783">
        <f t="shared" si="64"/>
        <v>988492334.15833938</v>
      </c>
      <c r="BP131" s="783">
        <f t="shared" si="64"/>
        <v>988671228.58688879</v>
      </c>
      <c r="BQ131" s="783">
        <f t="shared" si="64"/>
        <v>988768852.51016164</v>
      </c>
      <c r="BR131" s="783">
        <f t="shared" si="64"/>
        <v>988818529.6375829</v>
      </c>
      <c r="BS131" s="783">
        <f t="shared" si="64"/>
        <v>988841921.59492183</v>
      </c>
      <c r="BT131" s="783">
        <f t="shared" ref="BT131:CZ131" si="65">BS131+BT125</f>
        <v>988852020.85451281</v>
      </c>
      <c r="BU131" s="783">
        <f t="shared" si="65"/>
        <v>988855973.93647933</v>
      </c>
      <c r="BV131" s="783">
        <f t="shared" si="65"/>
        <v>988857357.12900662</v>
      </c>
      <c r="BW131" s="783">
        <f t="shared" si="65"/>
        <v>988857781.97968996</v>
      </c>
      <c r="BX131" s="783">
        <f t="shared" si="65"/>
        <v>988857893.77667534</v>
      </c>
      <c r="BY131" s="783">
        <f t="shared" si="65"/>
        <v>988857918.13139725</v>
      </c>
      <c r="BZ131" s="783">
        <f t="shared" si="65"/>
        <v>988857922.30167723</v>
      </c>
      <c r="CA131" s="783">
        <f t="shared" si="65"/>
        <v>988857922.81570566</v>
      </c>
      <c r="CB131" s="783">
        <f t="shared" si="65"/>
        <v>988857922.85369289</v>
      </c>
      <c r="CC131" s="783">
        <f t="shared" si="65"/>
        <v>988857922.85457194</v>
      </c>
      <c r="CD131" s="783">
        <f t="shared" si="65"/>
        <v>988857922.85457194</v>
      </c>
      <c r="CE131" s="783">
        <f t="shared" si="65"/>
        <v>988857922.85457194</v>
      </c>
      <c r="CF131" s="783">
        <f t="shared" si="65"/>
        <v>988857922.85457194</v>
      </c>
      <c r="CG131" s="783">
        <f t="shared" si="65"/>
        <v>988857922.85457194</v>
      </c>
      <c r="CH131" s="783">
        <f t="shared" si="65"/>
        <v>988857922.85457194</v>
      </c>
      <c r="CI131" s="783">
        <f t="shared" si="65"/>
        <v>988857922.85457194</v>
      </c>
      <c r="CJ131" s="783">
        <f t="shared" si="65"/>
        <v>988857922.85457194</v>
      </c>
      <c r="CK131" s="783">
        <f t="shared" si="65"/>
        <v>988857922.85457194</v>
      </c>
      <c r="CL131" s="783">
        <f t="shared" si="65"/>
        <v>988857922.85457194</v>
      </c>
      <c r="CM131" s="783">
        <f t="shared" si="65"/>
        <v>988857922.85457194</v>
      </c>
      <c r="CN131" s="783">
        <f t="shared" si="65"/>
        <v>988857922.85457194</v>
      </c>
      <c r="CO131" s="783">
        <f t="shared" si="65"/>
        <v>988857922.85457194</v>
      </c>
      <c r="CP131" s="783">
        <f t="shared" si="65"/>
        <v>988857922.85457194</v>
      </c>
      <c r="CQ131" s="783">
        <f t="shared" si="65"/>
        <v>988857922.85457194</v>
      </c>
      <c r="CR131" s="783">
        <f t="shared" si="65"/>
        <v>988857922.85457194</v>
      </c>
      <c r="CS131" s="783">
        <f t="shared" si="65"/>
        <v>988857922.85457194</v>
      </c>
      <c r="CT131" s="783">
        <f t="shared" si="65"/>
        <v>988857922.85457194</v>
      </c>
      <c r="CU131" s="783">
        <f t="shared" si="65"/>
        <v>988857922.85457194</v>
      </c>
      <c r="CV131" s="783">
        <f t="shared" si="65"/>
        <v>988857922.85457194</v>
      </c>
      <c r="CW131" s="783">
        <f t="shared" si="65"/>
        <v>988857922.85457194</v>
      </c>
      <c r="CX131" s="783">
        <f t="shared" si="65"/>
        <v>988857922.85457194</v>
      </c>
      <c r="CY131" s="783">
        <f t="shared" si="65"/>
        <v>988857922.85457194</v>
      </c>
      <c r="CZ131" s="783">
        <f t="shared" si="65"/>
        <v>988857922.85457194</v>
      </c>
    </row>
    <row r="132" spans="1:104" x14ac:dyDescent="0.25">
      <c r="A132" s="472" t="s">
        <v>278</v>
      </c>
      <c r="E132" s="477"/>
    </row>
    <row r="133" spans="1:104" x14ac:dyDescent="0.25">
      <c r="A133" s="472"/>
      <c r="B133" s="609" t="s">
        <v>283</v>
      </c>
      <c r="E133" s="478">
        <f>(E37+E124+E45)/(E10*1000000/1000)</f>
        <v>0</v>
      </c>
      <c r="F133" s="478">
        <f t="shared" ref="F133:BQ133" si="66">(F37+F124)/(F10*1000000/1000)</f>
        <v>0.19694413969228072</v>
      </c>
      <c r="G133" s="478">
        <f t="shared" si="66"/>
        <v>0.19342977703859141</v>
      </c>
      <c r="H133" s="478">
        <f t="shared" si="66"/>
        <v>0.18999768864999636</v>
      </c>
      <c r="I133" s="478">
        <f t="shared" si="66"/>
        <v>0.18664611021456065</v>
      </c>
      <c r="J133" s="478">
        <f t="shared" si="66"/>
        <v>0.18337332454293712</v>
      </c>
      <c r="K133" s="478">
        <f t="shared" si="66"/>
        <v>0.18017766067240609</v>
      </c>
      <c r="L133" s="478">
        <f t="shared" si="66"/>
        <v>0.17705749300833373</v>
      </c>
      <c r="M133" s="478">
        <f t="shared" si="66"/>
        <v>0.17401124050322159</v>
      </c>
      <c r="N133" s="478">
        <f t="shared" si="66"/>
        <v>0.1710373658736101</v>
      </c>
      <c r="O133" s="478">
        <f t="shared" si="66"/>
        <v>0.16813437485519328</v>
      </c>
      <c r="P133" s="478">
        <f t="shared" si="66"/>
        <v>0.16530081549660786</v>
      </c>
      <c r="Q133" s="478">
        <f t="shared" si="66"/>
        <v>0.16112309504593553</v>
      </c>
      <c r="R133" s="478">
        <f t="shared" si="66"/>
        <v>0.15705194646867854</v>
      </c>
      <c r="S133" s="478">
        <f t="shared" si="66"/>
        <v>0.15308463131858913</v>
      </c>
      <c r="T133" s="478">
        <f t="shared" si="66"/>
        <v>0.14921848193524914</v>
      </c>
      <c r="U133" s="478">
        <f t="shared" si="66"/>
        <v>0.1454508996051978</v>
      </c>
      <c r="V133" s="478">
        <f t="shared" si="66"/>
        <v>0.14177935277103351</v>
      </c>
      <c r="W133" s="478">
        <f t="shared" si="66"/>
        <v>0.17103843275719069</v>
      </c>
      <c r="X133" s="478">
        <f t="shared" si="66"/>
        <v>0.26349281444744188</v>
      </c>
      <c r="Y133" s="478">
        <f t="shared" si="66"/>
        <v>0.41632253506333489</v>
      </c>
      <c r="Z133" s="478">
        <f t="shared" si="66"/>
        <v>0.62224718295662707</v>
      </c>
      <c r="AA133" s="478">
        <f t="shared" si="66"/>
        <v>0.86989551263563958</v>
      </c>
      <c r="AB133" s="478">
        <f t="shared" si="66"/>
        <v>1.1447093007731648</v>
      </c>
      <c r="AC133" s="478">
        <f t="shared" si="66"/>
        <v>1.4302979267729488</v>
      </c>
      <c r="AD133" s="478">
        <f t="shared" si="66"/>
        <v>1.710071209122197</v>
      </c>
      <c r="AE133" s="478">
        <f t="shared" si="66"/>
        <v>1.9689135908648949</v>
      </c>
      <c r="AF133" s="478">
        <f t="shared" si="66"/>
        <v>2.1946413142112458</v>
      </c>
      <c r="AG133" s="478">
        <f t="shared" si="66"/>
        <v>2.3790156316320896</v>
      </c>
      <c r="AH133" s="478">
        <f t="shared" si="66"/>
        <v>2.5181663073428333</v>
      </c>
      <c r="AI133" s="478">
        <f t="shared" si="66"/>
        <v>2.5106451944287311</v>
      </c>
      <c r="AJ133" s="478">
        <f t="shared" si="66"/>
        <v>2.5662488030010473</v>
      </c>
      <c r="AK133" s="478">
        <f t="shared" si="66"/>
        <v>2.5867042699603093</v>
      </c>
      <c r="AL133" s="478">
        <f t="shared" si="66"/>
        <v>2.5792755749646852</v>
      </c>
      <c r="AM133" s="478">
        <f t="shared" si="66"/>
        <v>2.5512970314883847</v>
      </c>
      <c r="AN133" s="478">
        <f t="shared" si="66"/>
        <v>2.5095140717619313</v>
      </c>
      <c r="AO133" s="478">
        <f t="shared" si="66"/>
        <v>2.4590312091389448</v>
      </c>
      <c r="AP133" s="478">
        <f t="shared" si="66"/>
        <v>2.3973785665859033</v>
      </c>
      <c r="AQ133" s="478">
        <f t="shared" si="66"/>
        <v>2.3340110242300152</v>
      </c>
      <c r="AR133" s="478">
        <f t="shared" si="66"/>
        <v>2.2706431914506258</v>
      </c>
      <c r="AS133" s="478">
        <f t="shared" si="66"/>
        <v>2.2082209279417699</v>
      </c>
      <c r="AT133" s="478">
        <f t="shared" si="66"/>
        <v>2.1471964468063955</v>
      </c>
      <c r="AU133" s="478">
        <f t="shared" si="66"/>
        <v>2.0877443289960831</v>
      </c>
      <c r="AV133" s="478">
        <f t="shared" si="66"/>
        <v>2.0299035135642596</v>
      </c>
      <c r="AW133" s="478">
        <f t="shared" si="66"/>
        <v>1.9736564165395145</v>
      </c>
      <c r="AX133" s="478">
        <f t="shared" si="66"/>
        <v>1.9189661609605528</v>
      </c>
      <c r="AY133" s="478">
        <f t="shared" si="66"/>
        <v>1.8657911358231021</v>
      </c>
      <c r="AZ133" s="478">
        <f t="shared" si="66"/>
        <v>1.8140895832365413</v>
      </c>
      <c r="BA133" s="478">
        <f t="shared" si="66"/>
        <v>1.7490092756011733</v>
      </c>
      <c r="BB133" s="478">
        <f t="shared" si="66"/>
        <v>1.6570061089508992</v>
      </c>
      <c r="BC133" s="478">
        <f t="shared" si="66"/>
        <v>1.5395232069022786</v>
      </c>
      <c r="BD133" s="478">
        <f t="shared" si="66"/>
        <v>1.3999884172694981</v>
      </c>
      <c r="BE133" s="478">
        <f t="shared" si="66"/>
        <v>1.2436236634705442</v>
      </c>
      <c r="BF133" s="478">
        <f t="shared" si="66"/>
        <v>1.0770189342415479</v>
      </c>
      <c r="BG133" s="478">
        <f t="shared" si="66"/>
        <v>0.907512299413471</v>
      </c>
      <c r="BH133" s="478">
        <f t="shared" si="66"/>
        <v>0.74245598068814223</v>
      </c>
      <c r="BI133" s="478">
        <f t="shared" si="66"/>
        <v>0.58847539633939572</v>
      </c>
      <c r="BJ133" s="478">
        <f t="shared" si="66"/>
        <v>0.4636841869045038</v>
      </c>
      <c r="BK133" s="478">
        <f t="shared" si="66"/>
        <v>0.3425024144824364</v>
      </c>
      <c r="BL133" s="478">
        <f t="shared" si="66"/>
        <v>0.24326846349051834</v>
      </c>
      <c r="BM133" s="478">
        <f t="shared" si="66"/>
        <v>0.16565602699752283</v>
      </c>
      <c r="BN133" s="478">
        <f t="shared" si="66"/>
        <v>0.10779811410272828</v>
      </c>
      <c r="BO133" s="478">
        <f t="shared" si="66"/>
        <v>6.6790529547349389E-2</v>
      </c>
      <c r="BP133" s="478">
        <f t="shared" si="66"/>
        <v>3.9240016639749957E-2</v>
      </c>
      <c r="BQ133" s="478">
        <f t="shared" si="66"/>
        <v>2.1757080520465176E-2</v>
      </c>
      <c r="BR133" s="478">
        <f t="shared" ref="BR133:CZ133" si="67">(BR37+BR124)/(BR10*1000000/1000)</f>
        <v>1.1248971884975161E-2</v>
      </c>
      <c r="BS133" s="478">
        <f>(BS37+BS124)/(BS10*1000000/1000)</f>
        <v>5.3818912038203076E-3</v>
      </c>
      <c r="BT133" s="478">
        <f t="shared" si="67"/>
        <v>2.360858079813536E-3</v>
      </c>
      <c r="BU133" s="478">
        <f t="shared" si="67"/>
        <v>9.3891906846936123E-4</v>
      </c>
      <c r="BV133" s="478">
        <f t="shared" si="67"/>
        <v>3.3380048868791743E-4</v>
      </c>
      <c r="BW133" s="478">
        <f t="shared" si="67"/>
        <v>1.0417239514660962E-4</v>
      </c>
      <c r="BX133" s="478">
        <f t="shared" si="67"/>
        <v>2.7852130160376265E-5</v>
      </c>
      <c r="BY133" s="478">
        <f t="shared" si="67"/>
        <v>6.1648638927715004E-6</v>
      </c>
      <c r="BZ133" s="478">
        <f t="shared" si="67"/>
        <v>1.0725499574961548E-6</v>
      </c>
      <c r="CA133" s="478">
        <f t="shared" si="67"/>
        <v>1.3432332410866889E-7</v>
      </c>
      <c r="CB133" s="478">
        <f t="shared" si="67"/>
        <v>1.0085886207061823E-8</v>
      </c>
      <c r="CC133" s="478">
        <f t="shared" si="67"/>
        <v>2.3712714262681162E-10</v>
      </c>
      <c r="CD133" s="478" t="e">
        <f t="shared" si="67"/>
        <v>#DIV/0!</v>
      </c>
      <c r="CE133" s="478" t="e">
        <f t="shared" si="67"/>
        <v>#DIV/0!</v>
      </c>
      <c r="CF133" s="478" t="e">
        <f t="shared" si="67"/>
        <v>#DIV/0!</v>
      </c>
      <c r="CG133" s="478" t="e">
        <f t="shared" si="67"/>
        <v>#DIV/0!</v>
      </c>
      <c r="CH133" s="478" t="e">
        <f t="shared" si="67"/>
        <v>#DIV/0!</v>
      </c>
      <c r="CI133" s="478" t="e">
        <f t="shared" si="67"/>
        <v>#DIV/0!</v>
      </c>
      <c r="CJ133" s="478" t="e">
        <f t="shared" si="67"/>
        <v>#DIV/0!</v>
      </c>
      <c r="CK133" s="478" t="e">
        <f t="shared" si="67"/>
        <v>#DIV/0!</v>
      </c>
      <c r="CL133" s="478" t="e">
        <f t="shared" si="67"/>
        <v>#DIV/0!</v>
      </c>
      <c r="CM133" s="478" t="e">
        <f t="shared" si="67"/>
        <v>#DIV/0!</v>
      </c>
      <c r="CN133" s="478" t="e">
        <f t="shared" si="67"/>
        <v>#DIV/0!</v>
      </c>
      <c r="CO133" s="478" t="e">
        <f t="shared" si="67"/>
        <v>#DIV/0!</v>
      </c>
      <c r="CP133" s="478" t="e">
        <f t="shared" si="67"/>
        <v>#DIV/0!</v>
      </c>
      <c r="CQ133" s="478" t="e">
        <f t="shared" si="67"/>
        <v>#DIV/0!</v>
      </c>
      <c r="CR133" s="478" t="e">
        <f t="shared" si="67"/>
        <v>#DIV/0!</v>
      </c>
      <c r="CS133" s="478" t="e">
        <f t="shared" si="67"/>
        <v>#DIV/0!</v>
      </c>
      <c r="CT133" s="478" t="e">
        <f t="shared" si="67"/>
        <v>#DIV/0!</v>
      </c>
      <c r="CU133" s="478" t="e">
        <f t="shared" si="67"/>
        <v>#DIV/0!</v>
      </c>
      <c r="CV133" s="478" t="e">
        <f t="shared" si="67"/>
        <v>#DIV/0!</v>
      </c>
      <c r="CW133" s="478" t="e">
        <f t="shared" si="67"/>
        <v>#DIV/0!</v>
      </c>
      <c r="CX133" s="478" t="e">
        <f t="shared" si="67"/>
        <v>#DIV/0!</v>
      </c>
      <c r="CY133" s="478" t="e">
        <f t="shared" si="67"/>
        <v>#DIV/0!</v>
      </c>
      <c r="CZ133" s="478" t="e">
        <f t="shared" si="67"/>
        <v>#DIV/0!</v>
      </c>
    </row>
    <row r="134" spans="1:104" x14ac:dyDescent="0.25">
      <c r="B134" s="609" t="s">
        <v>279</v>
      </c>
      <c r="E134" s="479">
        <f t="shared" ref="E134:BP134" si="68">E127/E6</f>
        <v>0</v>
      </c>
      <c r="F134" s="479">
        <f t="shared" si="68"/>
        <v>19.178827924192298</v>
      </c>
      <c r="G134" s="479">
        <f t="shared" si="68"/>
        <v>18.647377660857853</v>
      </c>
      <c r="H134" s="479">
        <f t="shared" si="68"/>
        <v>18.130654021252166</v>
      </c>
      <c r="I134" s="479">
        <f t="shared" si="68"/>
        <v>17.628248926837305</v>
      </c>
      <c r="J134" s="479">
        <f t="shared" si="68"/>
        <v>17.139765607036757</v>
      </c>
      <c r="K134" s="479">
        <f t="shared" si="68"/>
        <v>16.664818285888924</v>
      </c>
      <c r="L134" s="479">
        <f t="shared" si="68"/>
        <v>16.203031877383495</v>
      </c>
      <c r="M134" s="479">
        <f t="shared" si="68"/>
        <v>15.75404168924015</v>
      </c>
      <c r="N134" s="479">
        <f t="shared" si="68"/>
        <v>15.317493134895626</v>
      </c>
      <c r="O134" s="479">
        <f t="shared" si="68"/>
        <v>14.893041453471684</v>
      </c>
      <c r="P134" s="479">
        <f t="shared" si="68"/>
        <v>14.480351437502854</v>
      </c>
      <c r="Q134" s="479">
        <f t="shared" si="68"/>
        <v>14.0790971682089</v>
      </c>
      <c r="R134" s="479">
        <f t="shared" si="68"/>
        <v>13.688961758102966</v>
      </c>
      <c r="S134" s="479">
        <f t="shared" si="68"/>
        <v>13.3096371007321</v>
      </c>
      <c r="T134" s="479">
        <f t="shared" si="68"/>
        <v>12.940823627352554</v>
      </c>
      <c r="U134" s="479">
        <f t="shared" si="68"/>
        <v>12.582230070347645</v>
      </c>
      <c r="V134" s="479">
        <f t="shared" si="68"/>
        <v>12.233573233201406</v>
      </c>
      <c r="W134" s="479">
        <f t="shared" si="68"/>
        <v>60.756210252000145</v>
      </c>
      <c r="X134" s="479">
        <f t="shared" si="68"/>
        <v>157.93998811470715</v>
      </c>
      <c r="Y134" s="479">
        <f t="shared" si="68"/>
        <v>258.08653962684673</v>
      </c>
      <c r="Z134" s="479">
        <f t="shared" si="68"/>
        <v>354.24135552092309</v>
      </c>
      <c r="AA134" s="479">
        <f t="shared" si="68"/>
        <v>439.52942069296796</v>
      </c>
      <c r="AB134" s="479">
        <f t="shared" si="68"/>
        <v>507.98444490185335</v>
      </c>
      <c r="AC134" s="479">
        <f t="shared" si="68"/>
        <v>555.30673941930604</v>
      </c>
      <c r="AD134" s="479">
        <f t="shared" si="68"/>
        <v>579.41080375375259</v>
      </c>
      <c r="AE134" s="479">
        <f t="shared" si="68"/>
        <v>580.65175157757346</v>
      </c>
      <c r="AF134" s="479">
        <f t="shared" si="68"/>
        <v>561.67695034982717</v>
      </c>
      <c r="AG134" s="479">
        <f t="shared" si="68"/>
        <v>526.92461946628043</v>
      </c>
      <c r="AH134" s="479">
        <f t="shared" si="68"/>
        <v>481.86656919222611</v>
      </c>
      <c r="AI134" s="479">
        <f t="shared" si="68"/>
        <v>423.65760974579098</v>
      </c>
      <c r="AJ134" s="479">
        <f t="shared" si="68"/>
        <v>374.53660930041121</v>
      </c>
      <c r="AK134" s="479">
        <f t="shared" si="68"/>
        <v>329.59610009486966</v>
      </c>
      <c r="AL134" s="479">
        <f t="shared" si="68"/>
        <v>291.18163128989937</v>
      </c>
      <c r="AM134" s="479">
        <f t="shared" si="68"/>
        <v>260.18984820450623</v>
      </c>
      <c r="AN134" s="479">
        <f t="shared" si="68"/>
        <v>236.57677483601623</v>
      </c>
      <c r="AO134" s="479">
        <f t="shared" si="68"/>
        <v>218.73614493011462</v>
      </c>
      <c r="AP134" s="479">
        <f t="shared" si="68"/>
        <v>205.5635343987565</v>
      </c>
      <c r="AQ134" s="479">
        <f t="shared" si="68"/>
        <v>195.7800271571451</v>
      </c>
      <c r="AR134" s="479">
        <f t="shared" si="68"/>
        <v>188.22660273540126</v>
      </c>
      <c r="AS134" s="479">
        <f t="shared" si="68"/>
        <v>182.01612255680982</v>
      </c>
      <c r="AT134" s="479">
        <f t="shared" si="68"/>
        <v>176.5604230430468</v>
      </c>
      <c r="AU134" s="479">
        <f t="shared" si="68"/>
        <v>171.51920914642017</v>
      </c>
      <c r="AV134" s="479">
        <f t="shared" si="68"/>
        <v>166.72069867188122</v>
      </c>
      <c r="AW134" s="479">
        <f t="shared" si="68"/>
        <v>162.08927869420936</v>
      </c>
      <c r="AX134" s="479">
        <f t="shared" si="68"/>
        <v>157.59546016358416</v>
      </c>
      <c r="AY134" s="479">
        <f t="shared" si="68"/>
        <v>153.22812594762374</v>
      </c>
      <c r="AZ134" s="479">
        <f t="shared" si="68"/>
        <v>148.98210772003736</v>
      </c>
      <c r="BA134" s="479">
        <f t="shared" si="68"/>
        <v>143.63738675874654</v>
      </c>
      <c r="BB134" s="479">
        <f t="shared" si="68"/>
        <v>136.08162669759275</v>
      </c>
      <c r="BC134" s="479">
        <f t="shared" si="68"/>
        <v>126.43334336684978</v>
      </c>
      <c r="BD134" s="479">
        <f t="shared" si="68"/>
        <v>114.97404876825767</v>
      </c>
      <c r="BE134" s="479">
        <f t="shared" si="68"/>
        <v>102.13259336251855</v>
      </c>
      <c r="BF134" s="479">
        <f t="shared" si="68"/>
        <v>88.450179974587215</v>
      </c>
      <c r="BG134" s="479">
        <f t="shared" si="68"/>
        <v>74.529447589331383</v>
      </c>
      <c r="BH134" s="479">
        <f t="shared" si="68"/>
        <v>60.974197414013751</v>
      </c>
      <c r="BI134" s="479">
        <f t="shared" si="68"/>
        <v>48.328541924372935</v>
      </c>
      <c r="BJ134" s="479">
        <f t="shared" si="68"/>
        <v>38.080063849532422</v>
      </c>
      <c r="BK134" s="479">
        <f t="shared" si="68"/>
        <v>28.128010789370123</v>
      </c>
      <c r="BL134" s="479">
        <f t="shared" si="68"/>
        <v>19.978422564158844</v>
      </c>
      <c r="BM134" s="479">
        <f t="shared" si="68"/>
        <v>13.604501217171578</v>
      </c>
      <c r="BN134" s="479">
        <f t="shared" si="68"/>
        <v>8.8529201206865711</v>
      </c>
      <c r="BO134" s="479">
        <f t="shared" si="68"/>
        <v>5.4851722390760749</v>
      </c>
      <c r="BP134" s="479">
        <f t="shared" si="68"/>
        <v>3.2225863665394683</v>
      </c>
      <c r="BQ134" s="479">
        <f t="shared" ref="BQ134:CZ134" si="69">BQ127/BQ6</f>
        <v>1.7868002377432044</v>
      </c>
      <c r="BR134" s="479">
        <f t="shared" si="69"/>
        <v>0.92382181605358604</v>
      </c>
      <c r="BS134" s="479">
        <f t="shared" si="69"/>
        <v>0.44198781511374319</v>
      </c>
      <c r="BT134" s="479">
        <f t="shared" si="69"/>
        <v>0.19388546980468685</v>
      </c>
      <c r="BU134" s="479">
        <f t="shared" si="69"/>
        <v>7.7108728498046369E-2</v>
      </c>
      <c r="BV134" s="479">
        <f t="shared" si="69"/>
        <v>2.7413365133495248E-2</v>
      </c>
      <c r="BW134" s="479">
        <f t="shared" si="69"/>
        <v>8.5551579514153257E-3</v>
      </c>
      <c r="BX134" s="479">
        <f t="shared" si="69"/>
        <v>2.2873561894209034E-3</v>
      </c>
      <c r="BY134" s="479">
        <f t="shared" si="69"/>
        <v>5.0628944719386E-4</v>
      </c>
      <c r="BZ134" s="479">
        <f t="shared" si="69"/>
        <v>8.808316525937181E-5</v>
      </c>
      <c r="CA134" s="479">
        <f t="shared" si="69"/>
        <v>1.1031302992424443E-5</v>
      </c>
      <c r="CB134" s="479">
        <f t="shared" si="69"/>
        <v>8.283034047549532E-7</v>
      </c>
      <c r="CC134" s="479">
        <f t="shared" si="69"/>
        <v>1.9474066588226928E-8</v>
      </c>
      <c r="CD134" s="479">
        <f t="shared" si="69"/>
        <v>0</v>
      </c>
      <c r="CE134" s="479" t="e">
        <f t="shared" si="69"/>
        <v>#N/A</v>
      </c>
      <c r="CF134" s="479" t="e">
        <f t="shared" si="69"/>
        <v>#N/A</v>
      </c>
      <c r="CG134" s="479" t="e">
        <f t="shared" si="69"/>
        <v>#N/A</v>
      </c>
      <c r="CH134" s="479" t="e">
        <f t="shared" si="69"/>
        <v>#N/A</v>
      </c>
      <c r="CI134" s="479" t="e">
        <f t="shared" si="69"/>
        <v>#N/A</v>
      </c>
      <c r="CJ134" s="479" t="e">
        <f t="shared" si="69"/>
        <v>#N/A</v>
      </c>
      <c r="CK134" s="479" t="e">
        <f t="shared" si="69"/>
        <v>#N/A</v>
      </c>
      <c r="CL134" s="479" t="e">
        <f t="shared" si="69"/>
        <v>#N/A</v>
      </c>
      <c r="CM134" s="479" t="e">
        <f t="shared" si="69"/>
        <v>#N/A</v>
      </c>
      <c r="CN134" s="479" t="e">
        <f t="shared" si="69"/>
        <v>#N/A</v>
      </c>
      <c r="CO134" s="479" t="e">
        <f t="shared" si="69"/>
        <v>#N/A</v>
      </c>
      <c r="CP134" s="479" t="e">
        <f t="shared" si="69"/>
        <v>#N/A</v>
      </c>
      <c r="CQ134" s="479" t="e">
        <f t="shared" si="69"/>
        <v>#N/A</v>
      </c>
      <c r="CR134" s="479" t="e">
        <f t="shared" si="69"/>
        <v>#N/A</v>
      </c>
      <c r="CS134" s="479" t="e">
        <f t="shared" si="69"/>
        <v>#N/A</v>
      </c>
      <c r="CT134" s="479" t="e">
        <f t="shared" si="69"/>
        <v>#N/A</v>
      </c>
      <c r="CU134" s="479" t="e">
        <f t="shared" si="69"/>
        <v>#N/A</v>
      </c>
      <c r="CV134" s="479" t="e">
        <f t="shared" si="69"/>
        <v>#N/A</v>
      </c>
      <c r="CW134" s="479" t="e">
        <f t="shared" si="69"/>
        <v>#N/A</v>
      </c>
      <c r="CX134" s="479" t="e">
        <f t="shared" si="69"/>
        <v>#N/A</v>
      </c>
      <c r="CY134" s="479" t="e">
        <f t="shared" si="69"/>
        <v>#N/A</v>
      </c>
      <c r="CZ134" s="479" t="e">
        <f t="shared" si="69"/>
        <v>#N/A</v>
      </c>
    </row>
    <row r="135" spans="1:104" x14ac:dyDescent="0.25">
      <c r="B135" s="609" t="s">
        <v>280</v>
      </c>
      <c r="E135" s="479">
        <f>E134/12*2.8</f>
        <v>0</v>
      </c>
      <c r="F135" s="479">
        <f t="shared" ref="F135:BQ135" si="70">F134/12*2.8</f>
        <v>4.4750598489782023</v>
      </c>
      <c r="G135" s="479">
        <f t="shared" si="70"/>
        <v>4.3510547875334984</v>
      </c>
      <c r="H135" s="479">
        <f t="shared" si="70"/>
        <v>4.2304859382921718</v>
      </c>
      <c r="I135" s="479">
        <f t="shared" si="70"/>
        <v>4.113258082928704</v>
      </c>
      <c r="J135" s="479">
        <f t="shared" si="70"/>
        <v>3.9992786416419097</v>
      </c>
      <c r="K135" s="479">
        <f t="shared" si="70"/>
        <v>3.8884576000407485</v>
      </c>
      <c r="L135" s="479">
        <f t="shared" si="70"/>
        <v>3.7807074380561487</v>
      </c>
      <c r="M135" s="479">
        <f t="shared" si="70"/>
        <v>3.6759430608227013</v>
      </c>
      <c r="N135" s="479">
        <f t="shared" si="70"/>
        <v>3.5740817314756459</v>
      </c>
      <c r="O135" s="479">
        <f t="shared" si="70"/>
        <v>3.4750430058100594</v>
      </c>
      <c r="P135" s="479">
        <f t="shared" si="70"/>
        <v>3.3787486687506658</v>
      </c>
      <c r="Q135" s="479">
        <f t="shared" si="70"/>
        <v>3.2851226725820761</v>
      </c>
      <c r="R135" s="479">
        <f t="shared" si="70"/>
        <v>3.1940910768906918</v>
      </c>
      <c r="S135" s="479">
        <f t="shared" si="70"/>
        <v>3.105581990170823</v>
      </c>
      <c r="T135" s="479">
        <f t="shared" si="70"/>
        <v>3.0195255130489294</v>
      </c>
      <c r="U135" s="479">
        <f t="shared" si="70"/>
        <v>2.9358536830811168</v>
      </c>
      <c r="V135" s="479">
        <f t="shared" si="70"/>
        <v>2.8545004210803282</v>
      </c>
      <c r="W135" s="479">
        <f t="shared" si="70"/>
        <v>14.176449058800033</v>
      </c>
      <c r="X135" s="479">
        <f t="shared" si="70"/>
        <v>36.852663893431668</v>
      </c>
      <c r="Y135" s="479">
        <f t="shared" si="70"/>
        <v>60.220192579597565</v>
      </c>
      <c r="Z135" s="479">
        <f t="shared" si="70"/>
        <v>82.656316288215393</v>
      </c>
      <c r="AA135" s="479">
        <f t="shared" si="70"/>
        <v>102.55686482835918</v>
      </c>
      <c r="AB135" s="479">
        <f t="shared" si="70"/>
        <v>118.52970381043244</v>
      </c>
      <c r="AC135" s="479">
        <f t="shared" si="70"/>
        <v>129.5715725311714</v>
      </c>
      <c r="AD135" s="479">
        <f t="shared" si="70"/>
        <v>135.19585420920893</v>
      </c>
      <c r="AE135" s="479">
        <f t="shared" si="70"/>
        <v>135.48540870143381</v>
      </c>
      <c r="AF135" s="479">
        <f t="shared" si="70"/>
        <v>131.05795508162632</v>
      </c>
      <c r="AG135" s="479">
        <f t="shared" si="70"/>
        <v>122.94907787546542</v>
      </c>
      <c r="AH135" s="479">
        <f t="shared" si="70"/>
        <v>112.43553281151942</v>
      </c>
      <c r="AI135" s="479">
        <f t="shared" si="70"/>
        <v>98.85344227401788</v>
      </c>
      <c r="AJ135" s="479">
        <f t="shared" si="70"/>
        <v>87.391875503429276</v>
      </c>
      <c r="AK135" s="479">
        <f t="shared" si="70"/>
        <v>76.905756688802924</v>
      </c>
      <c r="AL135" s="479">
        <f t="shared" si="70"/>
        <v>67.942380634309842</v>
      </c>
      <c r="AM135" s="479">
        <f t="shared" si="70"/>
        <v>60.710964581051456</v>
      </c>
      <c r="AN135" s="479">
        <f t="shared" si="70"/>
        <v>55.201247461737118</v>
      </c>
      <c r="AO135" s="479">
        <f t="shared" si="70"/>
        <v>51.038433817026736</v>
      </c>
      <c r="AP135" s="479">
        <f t="shared" si="70"/>
        <v>47.964824693043184</v>
      </c>
      <c r="AQ135" s="479">
        <f t="shared" si="70"/>
        <v>45.682006336667193</v>
      </c>
      <c r="AR135" s="479">
        <f t="shared" si="70"/>
        <v>43.919540638260287</v>
      </c>
      <c r="AS135" s="479">
        <f t="shared" si="70"/>
        <v>42.470428596588953</v>
      </c>
      <c r="AT135" s="479">
        <f t="shared" si="70"/>
        <v>41.197432043377582</v>
      </c>
      <c r="AU135" s="479">
        <f t="shared" si="70"/>
        <v>40.021148800831369</v>
      </c>
      <c r="AV135" s="479">
        <f t="shared" si="70"/>
        <v>38.901496356772284</v>
      </c>
      <c r="AW135" s="479">
        <f t="shared" si="70"/>
        <v>37.820831695315512</v>
      </c>
      <c r="AX135" s="479">
        <f t="shared" si="70"/>
        <v>36.772274038169634</v>
      </c>
      <c r="AY135" s="479">
        <f t="shared" si="70"/>
        <v>35.753229387778873</v>
      </c>
      <c r="AZ135" s="479">
        <f t="shared" si="70"/>
        <v>34.762491801342051</v>
      </c>
      <c r="BA135" s="479">
        <f t="shared" si="70"/>
        <v>33.515390243707522</v>
      </c>
      <c r="BB135" s="479">
        <f t="shared" si="70"/>
        <v>31.75237956277164</v>
      </c>
      <c r="BC135" s="479">
        <f t="shared" si="70"/>
        <v>29.501113452264946</v>
      </c>
      <c r="BD135" s="479">
        <f t="shared" si="70"/>
        <v>26.827278045926789</v>
      </c>
      <c r="BE135" s="479">
        <f t="shared" si="70"/>
        <v>23.83093845125433</v>
      </c>
      <c r="BF135" s="479">
        <f t="shared" si="70"/>
        <v>20.638375327403683</v>
      </c>
      <c r="BG135" s="479">
        <f t="shared" si="70"/>
        <v>17.390204437510654</v>
      </c>
      <c r="BH135" s="479">
        <f t="shared" si="70"/>
        <v>14.227312729936541</v>
      </c>
      <c r="BI135" s="479">
        <f t="shared" si="70"/>
        <v>11.276659782353684</v>
      </c>
      <c r="BJ135" s="479">
        <f t="shared" si="70"/>
        <v>8.8853482315575647</v>
      </c>
      <c r="BK135" s="479">
        <f t="shared" si="70"/>
        <v>6.5632025175196942</v>
      </c>
      <c r="BL135" s="479">
        <f t="shared" si="70"/>
        <v>4.6616319316370634</v>
      </c>
      <c r="BM135" s="479">
        <f t="shared" si="70"/>
        <v>3.1743836173400344</v>
      </c>
      <c r="BN135" s="479">
        <f t="shared" si="70"/>
        <v>2.065681361493533</v>
      </c>
      <c r="BO135" s="479">
        <f t="shared" si="70"/>
        <v>1.2798735224510842</v>
      </c>
      <c r="BP135" s="479">
        <f t="shared" si="70"/>
        <v>0.75193681885920927</v>
      </c>
      <c r="BQ135" s="479">
        <f t="shared" si="70"/>
        <v>0.41692005547341437</v>
      </c>
      <c r="BR135" s="479">
        <f t="shared" ref="BR135:CZ135" si="71">BR134/12*2.8</f>
        <v>0.21555842374583672</v>
      </c>
      <c r="BS135" s="479">
        <f t="shared" si="71"/>
        <v>0.10313049019320675</v>
      </c>
      <c r="BT135" s="479">
        <f t="shared" si="71"/>
        <v>4.5239942954426932E-2</v>
      </c>
      <c r="BU135" s="479">
        <f t="shared" si="71"/>
        <v>1.7992036649544154E-2</v>
      </c>
      <c r="BV135" s="479">
        <f t="shared" si="71"/>
        <v>6.3964518644822246E-3</v>
      </c>
      <c r="BW135" s="479">
        <f t="shared" si="71"/>
        <v>1.996203521996909E-3</v>
      </c>
      <c r="BX135" s="479">
        <f t="shared" si="71"/>
        <v>5.3371644419821071E-4</v>
      </c>
      <c r="BY135" s="479">
        <f t="shared" si="71"/>
        <v>1.1813420434523399E-4</v>
      </c>
      <c r="BZ135" s="479">
        <f t="shared" si="71"/>
        <v>2.0552738560520087E-5</v>
      </c>
      <c r="CA135" s="479">
        <f t="shared" si="71"/>
        <v>2.5739706982323696E-6</v>
      </c>
      <c r="CB135" s="479">
        <f t="shared" si="71"/>
        <v>1.932707944428224E-7</v>
      </c>
      <c r="CC135" s="479">
        <f t="shared" si="71"/>
        <v>4.5439488705862824E-9</v>
      </c>
      <c r="CD135" s="479">
        <f t="shared" si="71"/>
        <v>0</v>
      </c>
      <c r="CE135" s="479" t="e">
        <f t="shared" si="71"/>
        <v>#N/A</v>
      </c>
      <c r="CF135" s="479" t="e">
        <f t="shared" si="71"/>
        <v>#N/A</v>
      </c>
      <c r="CG135" s="479" t="e">
        <f t="shared" si="71"/>
        <v>#N/A</v>
      </c>
      <c r="CH135" s="479" t="e">
        <f t="shared" si="71"/>
        <v>#N/A</v>
      </c>
      <c r="CI135" s="479" t="e">
        <f t="shared" si="71"/>
        <v>#N/A</v>
      </c>
      <c r="CJ135" s="479" t="e">
        <f t="shared" si="71"/>
        <v>#N/A</v>
      </c>
      <c r="CK135" s="479" t="e">
        <f t="shared" si="71"/>
        <v>#N/A</v>
      </c>
      <c r="CL135" s="479" t="e">
        <f t="shared" si="71"/>
        <v>#N/A</v>
      </c>
      <c r="CM135" s="479" t="e">
        <f t="shared" si="71"/>
        <v>#N/A</v>
      </c>
      <c r="CN135" s="479" t="e">
        <f t="shared" si="71"/>
        <v>#N/A</v>
      </c>
      <c r="CO135" s="479" t="e">
        <f t="shared" si="71"/>
        <v>#N/A</v>
      </c>
      <c r="CP135" s="479" t="e">
        <f t="shared" si="71"/>
        <v>#N/A</v>
      </c>
      <c r="CQ135" s="479" t="e">
        <f t="shared" si="71"/>
        <v>#N/A</v>
      </c>
      <c r="CR135" s="479" t="e">
        <f t="shared" si="71"/>
        <v>#N/A</v>
      </c>
      <c r="CS135" s="479" t="e">
        <f t="shared" si="71"/>
        <v>#N/A</v>
      </c>
      <c r="CT135" s="479" t="e">
        <f t="shared" si="71"/>
        <v>#N/A</v>
      </c>
      <c r="CU135" s="479" t="e">
        <f t="shared" si="71"/>
        <v>#N/A</v>
      </c>
      <c r="CV135" s="479" t="e">
        <f t="shared" si="71"/>
        <v>#N/A</v>
      </c>
      <c r="CW135" s="479" t="e">
        <f t="shared" si="71"/>
        <v>#N/A</v>
      </c>
      <c r="CX135" s="479" t="e">
        <f t="shared" si="71"/>
        <v>#N/A</v>
      </c>
      <c r="CY135" s="479" t="e">
        <f t="shared" si="71"/>
        <v>#N/A</v>
      </c>
      <c r="CZ135" s="479" t="e">
        <f t="shared" si="71"/>
        <v>#N/A</v>
      </c>
    </row>
    <row r="136" spans="1:104" x14ac:dyDescent="0.25">
      <c r="B136" s="609" t="s">
        <v>324</v>
      </c>
      <c r="E136" s="477">
        <f t="shared" ref="E136:BP136" si="72">(E40+E48)/E7</f>
        <v>0</v>
      </c>
      <c r="F136" s="477">
        <f t="shared" si="72"/>
        <v>0</v>
      </c>
      <c r="G136" s="477">
        <f t="shared" si="72"/>
        <v>0</v>
      </c>
      <c r="H136" s="477">
        <f t="shared" si="72"/>
        <v>0</v>
      </c>
      <c r="I136" s="477">
        <f t="shared" si="72"/>
        <v>0</v>
      </c>
      <c r="J136" s="477">
        <f t="shared" si="72"/>
        <v>0</v>
      </c>
      <c r="K136" s="477">
        <f t="shared" si="72"/>
        <v>0</v>
      </c>
      <c r="L136" s="477">
        <f t="shared" si="72"/>
        <v>0</v>
      </c>
      <c r="M136" s="477">
        <f t="shared" si="72"/>
        <v>0</v>
      </c>
      <c r="N136" s="477">
        <f t="shared" si="72"/>
        <v>0</v>
      </c>
      <c r="O136" s="477">
        <f t="shared" si="72"/>
        <v>0</v>
      </c>
      <c r="P136" s="477">
        <f t="shared" si="72"/>
        <v>0</v>
      </c>
      <c r="Q136" s="477">
        <f t="shared" si="72"/>
        <v>0</v>
      </c>
      <c r="R136" s="477">
        <f t="shared" si="72"/>
        <v>0</v>
      </c>
      <c r="S136" s="477">
        <f t="shared" si="72"/>
        <v>0</v>
      </c>
      <c r="T136" s="477">
        <f t="shared" si="72"/>
        <v>0</v>
      </c>
      <c r="U136" s="477">
        <f t="shared" si="72"/>
        <v>0</v>
      </c>
      <c r="V136" s="477">
        <f t="shared" si="72"/>
        <v>0</v>
      </c>
      <c r="W136" s="477">
        <f t="shared" si="72"/>
        <v>4884.2638465667296</v>
      </c>
      <c r="X136" s="477">
        <f t="shared" si="72"/>
        <v>14357.130722092135</v>
      </c>
      <c r="Y136" s="477">
        <f t="shared" si="72"/>
        <v>23600.1247075869</v>
      </c>
      <c r="Z136" s="477">
        <f t="shared" si="72"/>
        <v>31945.5693418886</v>
      </c>
      <c r="AA136" s="477">
        <f t="shared" si="72"/>
        <v>38770.521025472379</v>
      </c>
      <c r="AB136" s="477">
        <f t="shared" si="72"/>
        <v>43576.12481175729</v>
      </c>
      <c r="AC136" s="477">
        <f t="shared" si="72"/>
        <v>46055.47272593934</v>
      </c>
      <c r="AD136" s="477">
        <f t="shared" si="72"/>
        <v>46136.843968423265</v>
      </c>
      <c r="AE136" s="477">
        <f t="shared" si="72"/>
        <v>43992.728377364161</v>
      </c>
      <c r="AF136" s="477">
        <f t="shared" si="72"/>
        <v>40011.255515519013</v>
      </c>
      <c r="AG136" s="477">
        <f t="shared" si="72"/>
        <v>34734.320856816623</v>
      </c>
      <c r="AH136" s="477">
        <f t="shared" si="72"/>
        <v>28773.94132881079</v>
      </c>
      <c r="AI136" s="477">
        <f t="shared" si="72"/>
        <v>22723.186149349378</v>
      </c>
      <c r="AJ136" s="477">
        <f t="shared" si="72"/>
        <v>17078.937142011284</v>
      </c>
      <c r="AK136" s="477">
        <f t="shared" si="72"/>
        <v>12190.336069645939</v>
      </c>
      <c r="AL136" s="477">
        <f t="shared" si="72"/>
        <v>8239.991208997164</v>
      </c>
      <c r="AM136" s="477">
        <f t="shared" si="72"/>
        <v>5256.8442091666238</v>
      </c>
      <c r="AN136" s="477">
        <f t="shared" si="72"/>
        <v>3175.8652169863835</v>
      </c>
      <c r="AO136" s="477">
        <f t="shared" si="72"/>
        <v>1781.1934063298488</v>
      </c>
      <c r="AP136" s="477">
        <f t="shared" si="72"/>
        <v>920.80449025882638</v>
      </c>
      <c r="AQ136" s="477">
        <f t="shared" si="72"/>
        <v>434.9347169018402</v>
      </c>
      <c r="AR136" s="477">
        <f t="shared" si="72"/>
        <v>185.67456636567312</v>
      </c>
      <c r="AS136" s="477">
        <f t="shared" si="72"/>
        <v>70.658953880953121</v>
      </c>
      <c r="AT136" s="477">
        <f t="shared" si="72"/>
        <v>23.544698297314362</v>
      </c>
      <c r="AU136" s="477">
        <f t="shared" si="72"/>
        <v>6.7060370745945601</v>
      </c>
      <c r="AV136" s="477">
        <f t="shared" si="72"/>
        <v>1.5779537153811032</v>
      </c>
      <c r="AW136" s="477">
        <f t="shared" si="72"/>
        <v>0.29129027418346853</v>
      </c>
      <c r="AX136" s="477">
        <f t="shared" si="72"/>
        <v>3.8640290794197646E-2</v>
      </c>
      <c r="AY136" s="477">
        <f t="shared" si="72"/>
        <v>3.0681549704684231E-3</v>
      </c>
      <c r="AZ136" s="477">
        <f t="shared" si="72"/>
        <v>7.392224667061483E-5</v>
      </c>
      <c r="BA136" s="477">
        <f t="shared" si="72"/>
        <v>0</v>
      </c>
      <c r="BB136" s="477">
        <f t="shared" si="72"/>
        <v>0</v>
      </c>
      <c r="BC136" s="477">
        <f t="shared" si="72"/>
        <v>0</v>
      </c>
      <c r="BD136" s="477">
        <f t="shared" si="72"/>
        <v>0</v>
      </c>
      <c r="BE136" s="477">
        <f t="shared" si="72"/>
        <v>0</v>
      </c>
      <c r="BF136" s="477">
        <f t="shared" si="72"/>
        <v>0</v>
      </c>
      <c r="BG136" s="477">
        <f t="shared" si="72"/>
        <v>0</v>
      </c>
      <c r="BH136" s="477">
        <f t="shared" si="72"/>
        <v>0</v>
      </c>
      <c r="BI136" s="477">
        <f t="shared" si="72"/>
        <v>0</v>
      </c>
      <c r="BJ136" s="477">
        <f t="shared" si="72"/>
        <v>0</v>
      </c>
      <c r="BK136" s="477">
        <f t="shared" si="72"/>
        <v>0</v>
      </c>
      <c r="BL136" s="477">
        <f t="shared" si="72"/>
        <v>0</v>
      </c>
      <c r="BM136" s="477">
        <f t="shared" si="72"/>
        <v>0</v>
      </c>
      <c r="BN136" s="477">
        <f t="shared" si="72"/>
        <v>0</v>
      </c>
      <c r="BO136" s="477">
        <f t="shared" si="72"/>
        <v>0</v>
      </c>
      <c r="BP136" s="477">
        <f t="shared" si="72"/>
        <v>0</v>
      </c>
      <c r="BQ136" s="477">
        <f t="shared" ref="BQ136:CZ136" si="73">(BQ40+BQ48)/BQ7</f>
        <v>0</v>
      </c>
      <c r="BR136" s="477">
        <f t="shared" si="73"/>
        <v>0</v>
      </c>
      <c r="BS136" s="477">
        <f t="shared" si="73"/>
        <v>0</v>
      </c>
      <c r="BT136" s="477">
        <f t="shared" si="73"/>
        <v>0</v>
      </c>
      <c r="BU136" s="477">
        <f t="shared" si="73"/>
        <v>0</v>
      </c>
      <c r="BV136" s="477">
        <f t="shared" si="73"/>
        <v>0</v>
      </c>
      <c r="BW136" s="477">
        <f t="shared" si="73"/>
        <v>0</v>
      </c>
      <c r="BX136" s="477">
        <f t="shared" si="73"/>
        <v>0</v>
      </c>
      <c r="BY136" s="477">
        <f t="shared" si="73"/>
        <v>0</v>
      </c>
      <c r="BZ136" s="477">
        <f t="shared" si="73"/>
        <v>0</v>
      </c>
      <c r="CA136" s="477">
        <f t="shared" si="73"/>
        <v>0</v>
      </c>
      <c r="CB136" s="477">
        <f t="shared" si="73"/>
        <v>0</v>
      </c>
      <c r="CC136" s="477">
        <f t="shared" si="73"/>
        <v>0</v>
      </c>
      <c r="CD136" s="477" t="e">
        <f t="shared" si="73"/>
        <v>#DIV/0!</v>
      </c>
      <c r="CE136" s="477" t="e">
        <f t="shared" si="73"/>
        <v>#DIV/0!</v>
      </c>
      <c r="CF136" s="477" t="e">
        <f t="shared" si="73"/>
        <v>#DIV/0!</v>
      </c>
      <c r="CG136" s="477" t="e">
        <f t="shared" si="73"/>
        <v>#DIV/0!</v>
      </c>
      <c r="CH136" s="477" t="e">
        <f t="shared" si="73"/>
        <v>#DIV/0!</v>
      </c>
      <c r="CI136" s="477" t="e">
        <f t="shared" si="73"/>
        <v>#DIV/0!</v>
      </c>
      <c r="CJ136" s="477" t="e">
        <f t="shared" si="73"/>
        <v>#DIV/0!</v>
      </c>
      <c r="CK136" s="477" t="e">
        <f t="shared" si="73"/>
        <v>#DIV/0!</v>
      </c>
      <c r="CL136" s="477" t="e">
        <f t="shared" si="73"/>
        <v>#DIV/0!</v>
      </c>
      <c r="CM136" s="477" t="e">
        <f t="shared" si="73"/>
        <v>#DIV/0!</v>
      </c>
      <c r="CN136" s="477" t="e">
        <f t="shared" si="73"/>
        <v>#DIV/0!</v>
      </c>
      <c r="CO136" s="477" t="e">
        <f t="shared" si="73"/>
        <v>#DIV/0!</v>
      </c>
      <c r="CP136" s="477" t="e">
        <f t="shared" si="73"/>
        <v>#DIV/0!</v>
      </c>
      <c r="CQ136" s="477" t="e">
        <f t="shared" si="73"/>
        <v>#DIV/0!</v>
      </c>
      <c r="CR136" s="477" t="e">
        <f t="shared" si="73"/>
        <v>#DIV/0!</v>
      </c>
      <c r="CS136" s="477" t="e">
        <f t="shared" si="73"/>
        <v>#DIV/0!</v>
      </c>
      <c r="CT136" s="477" t="e">
        <f t="shared" si="73"/>
        <v>#DIV/0!</v>
      </c>
      <c r="CU136" s="477" t="e">
        <f t="shared" si="73"/>
        <v>#DIV/0!</v>
      </c>
      <c r="CV136" s="477" t="e">
        <f t="shared" si="73"/>
        <v>#DIV/0!</v>
      </c>
      <c r="CW136" s="477" t="e">
        <f t="shared" si="73"/>
        <v>#DIV/0!</v>
      </c>
      <c r="CX136" s="477" t="e">
        <f t="shared" si="73"/>
        <v>#DIV/0!</v>
      </c>
      <c r="CY136" s="477" t="e">
        <f t="shared" si="73"/>
        <v>#DIV/0!</v>
      </c>
      <c r="CZ136" s="477" t="e">
        <f t="shared" si="73"/>
        <v>#DIV/0!</v>
      </c>
    </row>
    <row r="137" spans="1:104" x14ac:dyDescent="0.25">
      <c r="B137" s="802" t="s">
        <v>600</v>
      </c>
      <c r="C137" s="802"/>
      <c r="F137" s="796">
        <f>F127/F6</f>
        <v>19.178827924192298</v>
      </c>
      <c r="G137" s="796">
        <f t="shared" ref="G137:BR137" si="74">G127/G6</f>
        <v>18.647377660857853</v>
      </c>
      <c r="H137" s="796">
        <f t="shared" si="74"/>
        <v>18.130654021252166</v>
      </c>
      <c r="I137" s="796">
        <f t="shared" si="74"/>
        <v>17.628248926837305</v>
      </c>
      <c r="J137" s="796">
        <f t="shared" si="74"/>
        <v>17.139765607036757</v>
      </c>
      <c r="K137" s="796">
        <f t="shared" si="74"/>
        <v>16.664818285888924</v>
      </c>
      <c r="L137" s="796">
        <f t="shared" si="74"/>
        <v>16.203031877383495</v>
      </c>
      <c r="M137" s="796">
        <f t="shared" si="74"/>
        <v>15.75404168924015</v>
      </c>
      <c r="N137" s="796">
        <f t="shared" si="74"/>
        <v>15.317493134895626</v>
      </c>
      <c r="O137" s="796">
        <f t="shared" si="74"/>
        <v>14.893041453471684</v>
      </c>
      <c r="P137" s="796">
        <f t="shared" si="74"/>
        <v>14.480351437502854</v>
      </c>
      <c r="Q137" s="796">
        <f t="shared" si="74"/>
        <v>14.0790971682089</v>
      </c>
      <c r="R137" s="796">
        <f t="shared" si="74"/>
        <v>13.688961758102966</v>
      </c>
      <c r="S137" s="796">
        <f t="shared" si="74"/>
        <v>13.3096371007321</v>
      </c>
      <c r="T137" s="796">
        <f t="shared" si="74"/>
        <v>12.940823627352554</v>
      </c>
      <c r="U137" s="796">
        <f t="shared" si="74"/>
        <v>12.582230070347645</v>
      </c>
      <c r="V137" s="796">
        <f t="shared" si="74"/>
        <v>12.233573233201406</v>
      </c>
      <c r="W137" s="796">
        <f t="shared" si="74"/>
        <v>60.756210252000145</v>
      </c>
      <c r="X137" s="796">
        <f t="shared" si="74"/>
        <v>157.93998811470715</v>
      </c>
      <c r="Y137" s="796">
        <f t="shared" si="74"/>
        <v>258.08653962684673</v>
      </c>
      <c r="Z137" s="796">
        <f t="shared" si="74"/>
        <v>354.24135552092309</v>
      </c>
      <c r="AA137" s="796">
        <f t="shared" si="74"/>
        <v>439.52942069296796</v>
      </c>
      <c r="AB137" s="796">
        <f t="shared" si="74"/>
        <v>507.98444490185335</v>
      </c>
      <c r="AC137" s="796">
        <f t="shared" si="74"/>
        <v>555.30673941930604</v>
      </c>
      <c r="AD137" s="796">
        <f t="shared" si="74"/>
        <v>579.41080375375259</v>
      </c>
      <c r="AE137" s="796">
        <f t="shared" si="74"/>
        <v>580.65175157757346</v>
      </c>
      <c r="AF137" s="796">
        <f t="shared" si="74"/>
        <v>561.67695034982717</v>
      </c>
      <c r="AG137" s="796">
        <f t="shared" si="74"/>
        <v>526.92461946628043</v>
      </c>
      <c r="AH137" s="796">
        <f t="shared" si="74"/>
        <v>481.86656919222611</v>
      </c>
      <c r="AI137" s="796">
        <f t="shared" si="74"/>
        <v>423.65760974579098</v>
      </c>
      <c r="AJ137" s="796">
        <f t="shared" si="74"/>
        <v>374.53660930041121</v>
      </c>
      <c r="AK137" s="796">
        <f t="shared" si="74"/>
        <v>329.59610009486966</v>
      </c>
      <c r="AL137" s="796">
        <f t="shared" si="74"/>
        <v>291.18163128989937</v>
      </c>
      <c r="AM137" s="796">
        <f t="shared" si="74"/>
        <v>260.18984820450623</v>
      </c>
      <c r="AN137" s="796">
        <f t="shared" si="74"/>
        <v>236.57677483601623</v>
      </c>
      <c r="AO137" s="796">
        <f t="shared" si="74"/>
        <v>218.73614493011462</v>
      </c>
      <c r="AP137" s="796">
        <f t="shared" si="74"/>
        <v>205.5635343987565</v>
      </c>
      <c r="AQ137" s="796">
        <f t="shared" si="74"/>
        <v>195.7800271571451</v>
      </c>
      <c r="AR137" s="796">
        <f t="shared" si="74"/>
        <v>188.22660273540126</v>
      </c>
      <c r="AS137" s="796">
        <f t="shared" si="74"/>
        <v>182.01612255680982</v>
      </c>
      <c r="AT137" s="796">
        <f t="shared" si="74"/>
        <v>176.5604230430468</v>
      </c>
      <c r="AU137" s="796">
        <f t="shared" si="74"/>
        <v>171.51920914642017</v>
      </c>
      <c r="AV137" s="796">
        <f t="shared" si="74"/>
        <v>166.72069867188122</v>
      </c>
      <c r="AW137" s="796">
        <f t="shared" si="74"/>
        <v>162.08927869420936</v>
      </c>
      <c r="AX137" s="796">
        <f t="shared" si="74"/>
        <v>157.59546016358416</v>
      </c>
      <c r="AY137" s="796">
        <f t="shared" si="74"/>
        <v>153.22812594762374</v>
      </c>
      <c r="AZ137" s="796">
        <f t="shared" si="74"/>
        <v>148.98210772003736</v>
      </c>
      <c r="BA137" s="796">
        <f t="shared" si="74"/>
        <v>143.63738675874654</v>
      </c>
      <c r="BB137" s="796">
        <f t="shared" si="74"/>
        <v>136.08162669759275</v>
      </c>
      <c r="BC137" s="796">
        <f t="shared" si="74"/>
        <v>126.43334336684978</v>
      </c>
      <c r="BD137" s="796">
        <f t="shared" si="74"/>
        <v>114.97404876825767</v>
      </c>
      <c r="BE137" s="796">
        <f t="shared" si="74"/>
        <v>102.13259336251855</v>
      </c>
      <c r="BF137" s="796">
        <f t="shared" si="74"/>
        <v>88.450179974587215</v>
      </c>
      <c r="BG137" s="796">
        <f t="shared" si="74"/>
        <v>74.529447589331383</v>
      </c>
      <c r="BH137" s="796">
        <f t="shared" si="74"/>
        <v>60.974197414013751</v>
      </c>
      <c r="BI137" s="796">
        <f t="shared" si="74"/>
        <v>48.328541924372935</v>
      </c>
      <c r="BJ137" s="796">
        <f t="shared" si="74"/>
        <v>38.080063849532422</v>
      </c>
      <c r="BK137" s="796">
        <f t="shared" si="74"/>
        <v>28.128010789370123</v>
      </c>
      <c r="BL137" s="796">
        <f t="shared" si="74"/>
        <v>19.978422564158844</v>
      </c>
      <c r="BM137" s="796">
        <f t="shared" si="74"/>
        <v>13.604501217171578</v>
      </c>
      <c r="BN137" s="796">
        <f t="shared" si="74"/>
        <v>8.8529201206865711</v>
      </c>
      <c r="BO137" s="796">
        <f t="shared" si="74"/>
        <v>5.4851722390760749</v>
      </c>
      <c r="BP137" s="796">
        <f t="shared" si="74"/>
        <v>3.2225863665394683</v>
      </c>
      <c r="BQ137" s="796">
        <f t="shared" si="74"/>
        <v>1.7868002377432044</v>
      </c>
      <c r="BR137" s="796">
        <f t="shared" si="74"/>
        <v>0.92382181605358604</v>
      </c>
      <c r="BS137" s="796">
        <f t="shared" ref="BS137:CZ137" si="75">BS127/BS6</f>
        <v>0.44198781511374319</v>
      </c>
      <c r="BT137" s="796">
        <f t="shared" si="75"/>
        <v>0.19388546980468685</v>
      </c>
      <c r="BU137" s="796">
        <f t="shared" si="75"/>
        <v>7.7108728498046369E-2</v>
      </c>
      <c r="BV137" s="796">
        <f t="shared" si="75"/>
        <v>2.7413365133495248E-2</v>
      </c>
      <c r="BW137" s="796">
        <f t="shared" si="75"/>
        <v>8.5551579514153257E-3</v>
      </c>
      <c r="BX137" s="796">
        <f t="shared" si="75"/>
        <v>2.2873561894209034E-3</v>
      </c>
      <c r="BY137" s="796">
        <f t="shared" si="75"/>
        <v>5.0628944719386E-4</v>
      </c>
      <c r="BZ137" s="796">
        <f t="shared" si="75"/>
        <v>8.808316525937181E-5</v>
      </c>
      <c r="CA137" s="796">
        <f t="shared" si="75"/>
        <v>1.1031302992424443E-5</v>
      </c>
      <c r="CB137" s="796">
        <f t="shared" si="75"/>
        <v>8.283034047549532E-7</v>
      </c>
      <c r="CC137" s="796">
        <f t="shared" si="75"/>
        <v>1.9474066588226928E-8</v>
      </c>
      <c r="CD137" s="796">
        <f t="shared" si="75"/>
        <v>0</v>
      </c>
      <c r="CE137" s="796" t="e">
        <f t="shared" si="75"/>
        <v>#N/A</v>
      </c>
      <c r="CF137" s="796" t="e">
        <f t="shared" si="75"/>
        <v>#N/A</v>
      </c>
      <c r="CG137" s="796" t="e">
        <f t="shared" si="75"/>
        <v>#N/A</v>
      </c>
      <c r="CH137" s="796" t="e">
        <f t="shared" si="75"/>
        <v>#N/A</v>
      </c>
      <c r="CI137" s="796" t="e">
        <f t="shared" si="75"/>
        <v>#N/A</v>
      </c>
      <c r="CJ137" s="796" t="e">
        <f t="shared" si="75"/>
        <v>#N/A</v>
      </c>
      <c r="CK137" s="796" t="e">
        <f t="shared" si="75"/>
        <v>#N/A</v>
      </c>
      <c r="CL137" s="796" t="e">
        <f t="shared" si="75"/>
        <v>#N/A</v>
      </c>
      <c r="CM137" s="796" t="e">
        <f t="shared" si="75"/>
        <v>#N/A</v>
      </c>
      <c r="CN137" s="796" t="e">
        <f t="shared" si="75"/>
        <v>#N/A</v>
      </c>
      <c r="CO137" s="796" t="e">
        <f t="shared" si="75"/>
        <v>#N/A</v>
      </c>
      <c r="CP137" s="796" t="e">
        <f t="shared" si="75"/>
        <v>#N/A</v>
      </c>
      <c r="CQ137" s="796" t="e">
        <f t="shared" si="75"/>
        <v>#N/A</v>
      </c>
      <c r="CR137" s="796" t="e">
        <f t="shared" si="75"/>
        <v>#N/A</v>
      </c>
      <c r="CS137" s="796" t="e">
        <f t="shared" si="75"/>
        <v>#N/A</v>
      </c>
      <c r="CT137" s="796" t="e">
        <f t="shared" si="75"/>
        <v>#N/A</v>
      </c>
      <c r="CU137" s="796" t="e">
        <f t="shared" si="75"/>
        <v>#N/A</v>
      </c>
      <c r="CV137" s="796" t="e">
        <f t="shared" si="75"/>
        <v>#N/A</v>
      </c>
      <c r="CW137" s="796" t="e">
        <f t="shared" si="75"/>
        <v>#N/A</v>
      </c>
      <c r="CX137" s="796" t="e">
        <f t="shared" si="75"/>
        <v>#N/A</v>
      </c>
      <c r="CY137" s="796" t="e">
        <f t="shared" si="75"/>
        <v>#N/A</v>
      </c>
      <c r="CZ137" s="796" t="e">
        <f t="shared" si="75"/>
        <v>#N/A</v>
      </c>
    </row>
    <row r="138" spans="1:104" x14ac:dyDescent="0.25">
      <c r="A138" s="803" t="s">
        <v>601</v>
      </c>
      <c r="B138" s="802"/>
      <c r="C138" s="802"/>
      <c r="W138" s="783">
        <v>23493230.614828616</v>
      </c>
      <c r="X138" s="783">
        <f>W138*1.04</f>
        <v>24432959.83942176</v>
      </c>
      <c r="Y138" s="783">
        <f>X138*1.04</f>
        <v>25410278.232998632</v>
      </c>
      <c r="Z138" s="783">
        <f t="shared" ref="Z138:CK138" si="76">Y138*1.04</f>
        <v>26426689.362318579</v>
      </c>
      <c r="AA138" s="783">
        <f t="shared" si="76"/>
        <v>27483756.936811324</v>
      </c>
      <c r="AB138" s="783">
        <f t="shared" si="76"/>
        <v>28583107.214283779</v>
      </c>
      <c r="AC138" s="783">
        <f t="shared" si="76"/>
        <v>29726431.502855133</v>
      </c>
      <c r="AD138" s="783">
        <f t="shared" si="76"/>
        <v>30915488.762969341</v>
      </c>
      <c r="AE138" s="783">
        <f t="shared" si="76"/>
        <v>32152108.313488115</v>
      </c>
      <c r="AF138" s="783">
        <f t="shared" si="76"/>
        <v>33438192.64602764</v>
      </c>
      <c r="AG138" s="783">
        <f t="shared" si="76"/>
        <v>34775720.351868749</v>
      </c>
      <c r="AH138" s="783">
        <f t="shared" si="76"/>
        <v>36166749.165943503</v>
      </c>
      <c r="AI138" s="783">
        <f t="shared" si="76"/>
        <v>37613419.132581241</v>
      </c>
      <c r="AJ138" s="783">
        <f t="shared" si="76"/>
        <v>39117955.897884496</v>
      </c>
      <c r="AK138" s="783">
        <f t="shared" si="76"/>
        <v>40682674.133799873</v>
      </c>
      <c r="AL138" s="783">
        <f t="shared" si="76"/>
        <v>42309981.099151872</v>
      </c>
      <c r="AM138" s="783">
        <f t="shared" si="76"/>
        <v>44002380.343117945</v>
      </c>
      <c r="AN138" s="783">
        <f t="shared" si="76"/>
        <v>45762475.556842662</v>
      </c>
      <c r="AO138" s="783">
        <f t="shared" si="76"/>
        <v>47592974.579116367</v>
      </c>
      <c r="AP138" s="783">
        <f t="shared" si="76"/>
        <v>49496693.56228102</v>
      </c>
      <c r="AQ138" s="783">
        <f t="shared" si="76"/>
        <v>51476561.304772265</v>
      </c>
      <c r="AR138" s="783">
        <f t="shared" si="76"/>
        <v>53535623.756963156</v>
      </c>
      <c r="AS138" s="783">
        <f t="shared" si="76"/>
        <v>55677048.707241684</v>
      </c>
      <c r="AT138" s="783">
        <f t="shared" si="76"/>
        <v>57904130.655531354</v>
      </c>
      <c r="AU138" s="783">
        <f t="shared" si="76"/>
        <v>60220295.88175261</v>
      </c>
      <c r="AV138" s="783">
        <f t="shared" si="76"/>
        <v>62629107.717022717</v>
      </c>
      <c r="AW138" s="783">
        <f t="shared" si="76"/>
        <v>65134272.025703631</v>
      </c>
      <c r="AX138" s="783">
        <f t="shared" si="76"/>
        <v>67739642.906731784</v>
      </c>
      <c r="AY138" s="783">
        <f t="shared" si="76"/>
        <v>70449228.623001054</v>
      </c>
      <c r="AZ138" s="783">
        <f t="shared" si="76"/>
        <v>73267197.767921105</v>
      </c>
      <c r="BA138" s="783">
        <f t="shared" si="76"/>
        <v>76197885.678637952</v>
      </c>
      <c r="BB138" s="783">
        <f t="shared" si="76"/>
        <v>79245801.105783477</v>
      </c>
      <c r="BC138" s="783">
        <f t="shared" si="76"/>
        <v>82415633.150014818</v>
      </c>
      <c r="BD138" s="783">
        <f t="shared" si="76"/>
        <v>85712258.476015419</v>
      </c>
      <c r="BE138" s="783">
        <f t="shared" si="76"/>
        <v>89140748.815056041</v>
      </c>
      <c r="BF138" s="783">
        <f t="shared" si="76"/>
        <v>92706378.767658278</v>
      </c>
      <c r="BG138" s="783">
        <f t="shared" si="76"/>
        <v>96414633.918364614</v>
      </c>
      <c r="BH138" s="783">
        <f t="shared" si="76"/>
        <v>100271219.2750992</v>
      </c>
      <c r="BI138" s="783">
        <f t="shared" si="76"/>
        <v>104282068.04610318</v>
      </c>
      <c r="BJ138" s="783">
        <f t="shared" si="76"/>
        <v>108453350.76794732</v>
      </c>
      <c r="BK138" s="783">
        <f t="shared" si="76"/>
        <v>112791484.79866521</v>
      </c>
      <c r="BL138" s="783">
        <f t="shared" si="76"/>
        <v>117303144.19061182</v>
      </c>
      <c r="BM138" s="783">
        <f t="shared" si="76"/>
        <v>121995269.95823631</v>
      </c>
      <c r="BN138" s="783">
        <f t="shared" si="76"/>
        <v>126875080.75656576</v>
      </c>
      <c r="BO138" s="783">
        <f t="shared" si="76"/>
        <v>131950083.9868284</v>
      </c>
      <c r="BP138" s="783">
        <f t="shared" si="76"/>
        <v>137228087.34630156</v>
      </c>
      <c r="BQ138" s="783">
        <f t="shared" si="76"/>
        <v>142717210.84015363</v>
      </c>
      <c r="BR138" s="783">
        <f t="shared" si="76"/>
        <v>148425899.27375978</v>
      </c>
      <c r="BS138" s="783">
        <f t="shared" si="76"/>
        <v>154362935.24471018</v>
      </c>
      <c r="BT138" s="783">
        <f t="shared" si="76"/>
        <v>160537452.65449858</v>
      </c>
      <c r="BU138" s="783">
        <f t="shared" si="76"/>
        <v>166958950.76067853</v>
      </c>
      <c r="BV138" s="783">
        <f t="shared" si="76"/>
        <v>173637308.79110569</v>
      </c>
      <c r="BW138" s="783">
        <f t="shared" si="76"/>
        <v>180582801.14274994</v>
      </c>
      <c r="BX138" s="783">
        <f t="shared" si="76"/>
        <v>187806113.18845993</v>
      </c>
      <c r="BY138" s="783">
        <f t="shared" si="76"/>
        <v>195318357.71599835</v>
      </c>
      <c r="BZ138" s="783">
        <f t="shared" si="76"/>
        <v>203131092.0246383</v>
      </c>
      <c r="CA138" s="783">
        <f t="shared" si="76"/>
        <v>211256335.70562384</v>
      </c>
      <c r="CB138" s="783">
        <f t="shared" si="76"/>
        <v>219706589.13384879</v>
      </c>
      <c r="CC138" s="783">
        <f t="shared" si="76"/>
        <v>228494852.69920275</v>
      </c>
      <c r="CD138" s="783">
        <f t="shared" si="76"/>
        <v>237634646.80717087</v>
      </c>
      <c r="CE138" s="783">
        <f t="shared" si="76"/>
        <v>247140032.67945772</v>
      </c>
      <c r="CF138" s="783">
        <f t="shared" si="76"/>
        <v>257025633.98663604</v>
      </c>
      <c r="CG138" s="783">
        <f t="shared" si="76"/>
        <v>267306659.34610149</v>
      </c>
      <c r="CH138" s="783">
        <f t="shared" si="76"/>
        <v>277998925.71994555</v>
      </c>
      <c r="CI138" s="783">
        <f t="shared" si="76"/>
        <v>289118882.74874336</v>
      </c>
      <c r="CJ138" s="783">
        <f t="shared" si="76"/>
        <v>300683638.05869311</v>
      </c>
      <c r="CK138" s="783">
        <f t="shared" si="76"/>
        <v>312710983.58104086</v>
      </c>
      <c r="CL138" s="783">
        <f t="shared" ref="CL138:CZ138" si="77">CK138*1.04</f>
        <v>325219422.92428249</v>
      </c>
      <c r="CM138" s="783">
        <f t="shared" si="77"/>
        <v>338228199.84125382</v>
      </c>
      <c r="CN138" s="783">
        <f t="shared" si="77"/>
        <v>351757327.83490396</v>
      </c>
      <c r="CO138" s="783">
        <f t="shared" si="77"/>
        <v>365827620.94830012</v>
      </c>
      <c r="CP138" s="783">
        <f t="shared" si="77"/>
        <v>380460725.78623211</v>
      </c>
      <c r="CQ138" s="783">
        <f t="shared" si="77"/>
        <v>395679154.81768143</v>
      </c>
      <c r="CR138" s="783">
        <f t="shared" si="77"/>
        <v>411506321.01038873</v>
      </c>
      <c r="CS138" s="783">
        <f t="shared" si="77"/>
        <v>427966573.85080427</v>
      </c>
      <c r="CT138" s="783">
        <f t="shared" si="77"/>
        <v>445085236.80483645</v>
      </c>
      <c r="CU138" s="783">
        <f t="shared" si="77"/>
        <v>462888646.27702993</v>
      </c>
      <c r="CV138" s="783">
        <f t="shared" si="77"/>
        <v>481404192.12811112</v>
      </c>
      <c r="CW138" s="783">
        <f t="shared" si="77"/>
        <v>500660359.81323558</v>
      </c>
      <c r="CX138" s="783">
        <f t="shared" si="77"/>
        <v>520686774.20576501</v>
      </c>
      <c r="CY138" s="783">
        <f t="shared" si="77"/>
        <v>541514245.17399561</v>
      </c>
      <c r="CZ138" s="783">
        <f t="shared" si="77"/>
        <v>563174814.98095548</v>
      </c>
    </row>
    <row r="139" spans="1:104" x14ac:dyDescent="0.25">
      <c r="A139" s="472"/>
      <c r="B139" s="802" t="s">
        <v>603</v>
      </c>
      <c r="C139" s="802"/>
      <c r="F139" s="796">
        <f>F138*F52</f>
        <v>0</v>
      </c>
      <c r="G139" s="796">
        <f t="shared" ref="G139:BR139" si="78">G138*G52</f>
        <v>0</v>
      </c>
      <c r="H139" s="796">
        <f t="shared" si="78"/>
        <v>0</v>
      </c>
      <c r="I139" s="796">
        <f t="shared" si="78"/>
        <v>0</v>
      </c>
      <c r="J139" s="796">
        <f t="shared" si="78"/>
        <v>0</v>
      </c>
      <c r="K139" s="796">
        <f t="shared" si="78"/>
        <v>0</v>
      </c>
      <c r="L139" s="796">
        <f t="shared" si="78"/>
        <v>0</v>
      </c>
      <c r="M139" s="796">
        <f t="shared" si="78"/>
        <v>0</v>
      </c>
      <c r="N139" s="796">
        <f t="shared" si="78"/>
        <v>0</v>
      </c>
      <c r="O139" s="796">
        <f t="shared" si="78"/>
        <v>0</v>
      </c>
      <c r="P139" s="796">
        <f t="shared" si="78"/>
        <v>0</v>
      </c>
      <c r="Q139" s="796">
        <f t="shared" si="78"/>
        <v>0</v>
      </c>
      <c r="R139" s="796">
        <f t="shared" si="78"/>
        <v>0</v>
      </c>
      <c r="S139" s="796">
        <f t="shared" si="78"/>
        <v>0</v>
      </c>
      <c r="T139" s="796">
        <f t="shared" si="78"/>
        <v>0</v>
      </c>
      <c r="U139" s="796">
        <f t="shared" si="78"/>
        <v>0</v>
      </c>
      <c r="V139" s="796">
        <f t="shared" si="78"/>
        <v>0</v>
      </c>
      <c r="W139" s="796">
        <f t="shared" si="78"/>
        <v>10637743.4878034</v>
      </c>
      <c r="X139" s="796">
        <f t="shared" si="78"/>
        <v>10586845.193603383</v>
      </c>
      <c r="Y139" s="796">
        <f t="shared" si="78"/>
        <v>10536190.431911504</v>
      </c>
      <c r="Z139" s="796">
        <f t="shared" si="78"/>
        <v>10485778.037500445</v>
      </c>
      <c r="AA139" s="796">
        <f t="shared" si="78"/>
        <v>10435606.85071815</v>
      </c>
      <c r="AB139" s="796">
        <f t="shared" si="78"/>
        <v>10385675.717461126</v>
      </c>
      <c r="AC139" s="796">
        <f t="shared" si="78"/>
        <v>10335983.489147916</v>
      </c>
      <c r="AD139" s="796">
        <f t="shared" si="78"/>
        <v>10286529.022692665</v>
      </c>
      <c r="AE139" s="796">
        <f t="shared" si="78"/>
        <v>10237311.180478828</v>
      </c>
      <c r="AF139" s="796">
        <f t="shared" si="78"/>
        <v>10188328.830332996</v>
      </c>
      <c r="AG139" s="796">
        <f t="shared" si="78"/>
        <v>10139580.845498871</v>
      </c>
      <c r="AH139" s="796">
        <f t="shared" si="78"/>
        <v>10091066.104611317</v>
      </c>
      <c r="AI139" s="796">
        <f t="shared" si="78"/>
        <v>10042783.491670595</v>
      </c>
      <c r="AJ139" s="796">
        <f t="shared" si="78"/>
        <v>9994731.8960166685</v>
      </c>
      <c r="AK139" s="796">
        <f t="shared" si="78"/>
        <v>9946910.2123036738</v>
      </c>
      <c r="AL139" s="796">
        <f t="shared" si="78"/>
        <v>9899317.3404744733</v>
      </c>
      <c r="AM139" s="796">
        <f t="shared" si="78"/>
        <v>9851952.1857353598</v>
      </c>
      <c r="AN139" s="796">
        <f t="shared" si="78"/>
        <v>9804813.6585308854</v>
      </c>
      <c r="AO139" s="796">
        <f t="shared" si="78"/>
        <v>9757900.6745187771</v>
      </c>
      <c r="AP139" s="796">
        <f t="shared" si="78"/>
        <v>9711212.1545450035</v>
      </c>
      <c r="AQ139" s="796">
        <f t="shared" si="78"/>
        <v>9664747.0246189535</v>
      </c>
      <c r="AR139" s="796">
        <f t="shared" si="78"/>
        <v>9618504.21588872</v>
      </c>
      <c r="AS139" s="796">
        <f t="shared" si="78"/>
        <v>9572482.664616527</v>
      </c>
      <c r="AT139" s="796">
        <f t="shared" si="78"/>
        <v>9526681.3121542484</v>
      </c>
      <c r="AU139" s="796">
        <f t="shared" si="78"/>
        <v>9481099.1049190629</v>
      </c>
      <c r="AV139" s="796">
        <f t="shared" si="78"/>
        <v>9435734.9943692107</v>
      </c>
      <c r="AW139" s="796">
        <f t="shared" si="78"/>
        <v>9390587.9369798861</v>
      </c>
      <c r="AX139" s="796">
        <f t="shared" si="78"/>
        <v>9345656.8942192197</v>
      </c>
      <c r="AY139" s="796">
        <f t="shared" si="78"/>
        <v>9300940.8325243909</v>
      </c>
      <c r="AZ139" s="796">
        <f t="shared" si="78"/>
        <v>9256438.7232778631</v>
      </c>
      <c r="BA139" s="796">
        <f t="shared" si="78"/>
        <v>9212149.5427837148</v>
      </c>
      <c r="BB139" s="796">
        <f t="shared" si="78"/>
        <v>9168072.2722440809</v>
      </c>
      <c r="BC139" s="796">
        <f t="shared" si="78"/>
        <v>9124205.8977357373</v>
      </c>
      <c r="BD139" s="796">
        <f t="shared" si="78"/>
        <v>9080549.4101867639</v>
      </c>
      <c r="BE139" s="796">
        <f t="shared" si="78"/>
        <v>9037101.8053533379</v>
      </c>
      <c r="BF139" s="796">
        <f t="shared" si="78"/>
        <v>8993862.0837966222</v>
      </c>
      <c r="BG139" s="796">
        <f t="shared" si="78"/>
        <v>8950829.2508597989</v>
      </c>
      <c r="BH139" s="796">
        <f t="shared" si="78"/>
        <v>8908002.3166451585</v>
      </c>
      <c r="BI139" s="796">
        <f t="shared" si="78"/>
        <v>8865380.2959913574</v>
      </c>
      <c r="BJ139" s="796">
        <f t="shared" si="78"/>
        <v>8822962.2084507309</v>
      </c>
      <c r="BK139" s="796">
        <f t="shared" si="78"/>
        <v>8780747.0782667585</v>
      </c>
      <c r="BL139" s="796">
        <f t="shared" si="78"/>
        <v>8738733.9343516063</v>
      </c>
      <c r="BM139" s="796">
        <f t="shared" si="78"/>
        <v>8696921.8102638014</v>
      </c>
      <c r="BN139" s="796">
        <f t="shared" si="78"/>
        <v>8655309.7441859841</v>
      </c>
      <c r="BO139" s="796">
        <f t="shared" si="78"/>
        <v>8613896.7789028008</v>
      </c>
      <c r="BP139" s="796">
        <f t="shared" si="78"/>
        <v>8572681.9617788624</v>
      </c>
      <c r="BQ139" s="796">
        <f t="shared" si="78"/>
        <v>8531664.3447368648</v>
      </c>
      <c r="BR139" s="796">
        <f t="shared" si="78"/>
        <v>8490842.9842357319</v>
      </c>
      <c r="BS139" s="796">
        <f t="shared" ref="BS139:CZ139" si="79">BS138*BS52</f>
        <v>8450216.9412489608</v>
      </c>
      <c r="BT139" s="796">
        <f t="shared" si="79"/>
        <v>8409785.2812429834</v>
      </c>
      <c r="BU139" s="796">
        <f t="shared" si="79"/>
        <v>8369547.0741556985</v>
      </c>
      <c r="BV139" s="796">
        <f t="shared" si="79"/>
        <v>8329501.3943750504</v>
      </c>
      <c r="BW139" s="796">
        <f t="shared" si="79"/>
        <v>8289647.3207177566</v>
      </c>
      <c r="BX139" s="796">
        <f t="shared" si="79"/>
        <v>8249983.9364081025</v>
      </c>
      <c r="BY139" s="796">
        <f t="shared" si="79"/>
        <v>8210510.3290568702</v>
      </c>
      <c r="BZ139" s="796">
        <f t="shared" si="79"/>
        <v>8171225.5906403325</v>
      </c>
      <c r="CA139" s="796">
        <f t="shared" si="79"/>
        <v>8132128.8174793748</v>
      </c>
      <c r="CB139" s="796">
        <f t="shared" si="79"/>
        <v>8093219.1102187084</v>
      </c>
      <c r="CC139" s="796">
        <f t="shared" si="79"/>
        <v>8054495.5738061797</v>
      </c>
      <c r="CD139" s="796">
        <f t="shared" si="79"/>
        <v>8015957.3174721794</v>
      </c>
      <c r="CE139" s="796">
        <f t="shared" si="79"/>
        <v>7977603.4547091564</v>
      </c>
      <c r="CF139" s="796">
        <f t="shared" si="79"/>
        <v>7939433.1032512188</v>
      </c>
      <c r="CG139" s="796">
        <f t="shared" si="79"/>
        <v>7901445.385053847</v>
      </c>
      <c r="CH139" s="796">
        <f t="shared" si="79"/>
        <v>7863639.4262736859</v>
      </c>
      <c r="CI139" s="796">
        <f t="shared" si="79"/>
        <v>7826014.3572484534</v>
      </c>
      <c r="CJ139" s="796">
        <f t="shared" si="79"/>
        <v>7788569.3124769311</v>
      </c>
      <c r="CK139" s="796">
        <f t="shared" si="79"/>
        <v>7751303.4305990534</v>
      </c>
      <c r="CL139" s="796">
        <f t="shared" si="79"/>
        <v>7714215.8543760907</v>
      </c>
      <c r="CM139" s="796">
        <f t="shared" si="79"/>
        <v>7677305.7306709448</v>
      </c>
      <c r="CN139" s="796">
        <f t="shared" si="79"/>
        <v>7640572.2104284987</v>
      </c>
      <c r="CO139" s="796">
        <f t="shared" si="79"/>
        <v>7604014.4486561157</v>
      </c>
      <c r="CP139" s="796">
        <f t="shared" si="79"/>
        <v>7567631.6044041729</v>
      </c>
      <c r="CQ139" s="796">
        <f t="shared" si="79"/>
        <v>7531422.8407467389</v>
      </c>
      <c r="CR139" s="796">
        <f t="shared" si="79"/>
        <v>7495387.3247623052</v>
      </c>
      <c r="CS139" s="796">
        <f t="shared" si="79"/>
        <v>7459524.2275146414</v>
      </c>
      <c r="CT139" s="796">
        <f t="shared" si="79"/>
        <v>7423832.7240337078</v>
      </c>
      <c r="CU139" s="796">
        <f t="shared" si="79"/>
        <v>7388311.993296708</v>
      </c>
      <c r="CV139" s="796">
        <f t="shared" si="79"/>
        <v>7352961.2182091624</v>
      </c>
      <c r="CW139" s="796">
        <f t="shared" si="79"/>
        <v>7317779.5855861558</v>
      </c>
      <c r="CX139" s="796">
        <f t="shared" si="79"/>
        <v>7282766.2861335929</v>
      </c>
      <c r="CY139" s="796">
        <f t="shared" si="79"/>
        <v>7247920.5144296046</v>
      </c>
      <c r="CZ139" s="796">
        <f t="shared" si="79"/>
        <v>7213241.4689060189</v>
      </c>
    </row>
    <row r="140" spans="1:104" x14ac:dyDescent="0.25">
      <c r="A140" s="472"/>
      <c r="B140" s="803" t="s">
        <v>608</v>
      </c>
      <c r="C140" s="802"/>
      <c r="F140" s="796">
        <v>13231636</v>
      </c>
      <c r="G140" s="796">
        <f>F140*(1+'Dynamic Assumptions'!G2)</f>
        <v>13608737.626</v>
      </c>
      <c r="H140" s="796">
        <f>G140*(1+'Dynamic Assumptions'!H2)</f>
        <v>13608737.626</v>
      </c>
      <c r="I140" s="796">
        <f>H140*(1+'Dynamic Assumptions'!I2)</f>
        <v>13608737.626</v>
      </c>
      <c r="J140" s="796">
        <f>I140*(1+'Dynamic Assumptions'!J2)</f>
        <v>13608737.626</v>
      </c>
      <c r="K140" s="796">
        <f>J140*(1+'Dynamic Assumptions'!K2)</f>
        <v>13608737.626</v>
      </c>
      <c r="L140" s="796">
        <f>K140*(1+'Dynamic Assumptions'!L2)</f>
        <v>13608737.626</v>
      </c>
      <c r="M140" s="796">
        <f>L140*(1+'Dynamic Assumptions'!M2)</f>
        <v>13608737.626</v>
      </c>
      <c r="N140" s="796">
        <f>M140*(1+'Dynamic Assumptions'!N2)</f>
        <v>13608737.626</v>
      </c>
      <c r="O140" s="796">
        <f>N140*(1+'Dynamic Assumptions'!O2)</f>
        <v>13608737.626</v>
      </c>
      <c r="P140" s="796">
        <f>O140*(1+'Dynamic Assumptions'!P2)</f>
        <v>13608737.626</v>
      </c>
      <c r="Q140" s="796">
        <f>P140*(1+'Dynamic Assumptions'!Q2)</f>
        <v>13608737.626</v>
      </c>
      <c r="R140" s="796">
        <f>Q140*(1+'Dynamic Assumptions'!R2)</f>
        <v>13608737.626</v>
      </c>
      <c r="S140" s="796">
        <f>R140*(1+'Dynamic Assumptions'!S2)</f>
        <v>13608737.626</v>
      </c>
      <c r="T140" s="796">
        <f>S140*(1+'Dynamic Assumptions'!T2)</f>
        <v>13608737.626</v>
      </c>
      <c r="U140" s="796">
        <f>T140*(1+'Dynamic Assumptions'!U2)</f>
        <v>13608737.626</v>
      </c>
      <c r="V140" s="796">
        <f>U140*(1+'Dynamic Assumptions'!V2)</f>
        <v>13608737.626</v>
      </c>
      <c r="W140" s="796">
        <f>V140*(1+'Dynamic Assumptions'!W2)</f>
        <v>13608737.626</v>
      </c>
      <c r="X140" s="796">
        <f>W140*(1+'Dynamic Assumptions'!X2)</f>
        <v>13608737.626</v>
      </c>
      <c r="Y140" s="796">
        <f>X140*(1+'Dynamic Assumptions'!Y2)</f>
        <v>13608737.626</v>
      </c>
      <c r="Z140" s="796">
        <f>Y140*(1+'Dynamic Assumptions'!Z2)</f>
        <v>13608737.626</v>
      </c>
      <c r="AA140" s="796">
        <f>Z140*(1+'Dynamic Assumptions'!AA2)</f>
        <v>13608737.626</v>
      </c>
      <c r="AB140" s="796">
        <f>AA140*(1+'Dynamic Assumptions'!AB2)</f>
        <v>13608737.626</v>
      </c>
      <c r="AC140" s="796">
        <f>AB140*(1+'Dynamic Assumptions'!AC2)</f>
        <v>13608737.626</v>
      </c>
      <c r="AD140" s="796">
        <f>AC140*(1+'Dynamic Assumptions'!AD2)</f>
        <v>13608737.626</v>
      </c>
      <c r="AE140" s="796">
        <f>AD140*(1+'Dynamic Assumptions'!AE2)</f>
        <v>13608737.626</v>
      </c>
      <c r="AF140" s="796">
        <f>AE140*(1+'Dynamic Assumptions'!AF2)</f>
        <v>13608737.626</v>
      </c>
      <c r="AG140" s="796">
        <f>AF140*(1+'Dynamic Assumptions'!AG2)</f>
        <v>13608737.626</v>
      </c>
      <c r="AH140" s="796">
        <f>AG140*(1+'Dynamic Assumptions'!AH2)</f>
        <v>13608737.626</v>
      </c>
      <c r="AI140" s="796">
        <f>AH140*(1+'Dynamic Assumptions'!AI2)</f>
        <v>13608737.626</v>
      </c>
      <c r="AJ140" s="796">
        <f>AI140*(1+'Dynamic Assumptions'!AJ2)</f>
        <v>13608737.626</v>
      </c>
      <c r="AK140" s="796">
        <f>AJ140*(1+'Dynamic Assumptions'!AK2)</f>
        <v>13608737.626</v>
      </c>
      <c r="AL140" s="796">
        <f>AK140*(1+'Dynamic Assumptions'!AL2)</f>
        <v>13608737.626</v>
      </c>
      <c r="AM140" s="796">
        <f>AL140*(1+'Dynamic Assumptions'!AM2)</f>
        <v>13608737.626</v>
      </c>
      <c r="AN140" s="796">
        <f>AM140*(1+'Dynamic Assumptions'!AN2)</f>
        <v>13608737.626</v>
      </c>
      <c r="AO140" s="796">
        <f>AN140*(1+'Dynamic Assumptions'!AO2)</f>
        <v>13608737.626</v>
      </c>
      <c r="AP140" s="796">
        <f>AO140*(1+'Dynamic Assumptions'!AP2)</f>
        <v>13608737.626</v>
      </c>
      <c r="AQ140" s="796">
        <f>AP140*(1+'Dynamic Assumptions'!AQ2)</f>
        <v>13608737.626</v>
      </c>
      <c r="AR140" s="796">
        <f>AQ140*(1+'Dynamic Assumptions'!AR2)</f>
        <v>13608737.626</v>
      </c>
      <c r="AS140" s="796">
        <f>AR140*(1+'Dynamic Assumptions'!AS2)</f>
        <v>13608737.626</v>
      </c>
      <c r="AT140" s="796">
        <f>AS140*(1+'Dynamic Assumptions'!AT2)</f>
        <v>13608737.626</v>
      </c>
      <c r="AU140" s="796">
        <f>AT140*(1+'Dynamic Assumptions'!AU2)</f>
        <v>13608737.626</v>
      </c>
      <c r="AV140" s="796">
        <f>AU140*(1+'Dynamic Assumptions'!AV2)</f>
        <v>13608737.626</v>
      </c>
      <c r="AW140" s="796">
        <f>AV140*(1+'Dynamic Assumptions'!AW2)</f>
        <v>13608737.626</v>
      </c>
      <c r="AX140" s="796">
        <f>AW140*(1+'Dynamic Assumptions'!AX2)</f>
        <v>13608737.626</v>
      </c>
      <c r="AY140" s="796">
        <f>AX140*(1+'Dynamic Assumptions'!AY2)</f>
        <v>13608737.626</v>
      </c>
      <c r="AZ140" s="796">
        <f>AY140*(1+'Dynamic Assumptions'!AZ2)</f>
        <v>13608737.626</v>
      </c>
      <c r="BA140" s="796">
        <f>AZ140*(1+'Dynamic Assumptions'!BA2)</f>
        <v>13608737.626</v>
      </c>
      <c r="BB140" s="796">
        <f>BA140*(1+'Dynamic Assumptions'!BB2)</f>
        <v>13608737.626</v>
      </c>
      <c r="BC140" s="796">
        <f>BB140*(1+'Dynamic Assumptions'!BC2)</f>
        <v>13608737.626</v>
      </c>
      <c r="BD140" s="796">
        <f>BC140*(1+'Dynamic Assumptions'!BD2)</f>
        <v>13608737.626</v>
      </c>
      <c r="BE140" s="796">
        <f>BD140*(1+'Dynamic Assumptions'!BE2)</f>
        <v>13608737.626</v>
      </c>
      <c r="BF140" s="796">
        <f>BE140*(1+'Dynamic Assumptions'!BF2)</f>
        <v>13608737.626</v>
      </c>
      <c r="BG140" s="796">
        <f>BF140*(1+'Dynamic Assumptions'!BG2)</f>
        <v>13608737.626</v>
      </c>
      <c r="BH140" s="796">
        <f>BG140*(1+'Dynamic Assumptions'!BH2)</f>
        <v>13608737.626</v>
      </c>
      <c r="BI140" s="796">
        <f>BH140*(1+'Dynamic Assumptions'!BI2)</f>
        <v>13608737.626</v>
      </c>
      <c r="BJ140" s="796">
        <f>BI140*(1+'Dynamic Assumptions'!BJ2)</f>
        <v>13608737.626</v>
      </c>
      <c r="BK140" s="796">
        <f>BJ140*(1+'Dynamic Assumptions'!BK2)</f>
        <v>13608737.626</v>
      </c>
      <c r="BL140" s="796">
        <f>BK140*(1+'Dynamic Assumptions'!BL2)</f>
        <v>13608737.626</v>
      </c>
      <c r="BM140" s="796">
        <f>BL140*(1+'Dynamic Assumptions'!BM2)</f>
        <v>13608737.626</v>
      </c>
      <c r="BN140" s="796">
        <f>BM140*(1+'Dynamic Assumptions'!BN2)</f>
        <v>13608737.626</v>
      </c>
      <c r="BO140" s="796">
        <f>BN140*(1+'Dynamic Assumptions'!BO2)</f>
        <v>13608737.626</v>
      </c>
      <c r="BP140" s="796">
        <f>BO140*(1+'Dynamic Assumptions'!BP2)</f>
        <v>13608737.626</v>
      </c>
      <c r="BQ140" s="796">
        <f>BP140*(1+'Dynamic Assumptions'!BQ2)</f>
        <v>13608737.626</v>
      </c>
      <c r="BR140" s="796">
        <f>BQ140*(1+'Dynamic Assumptions'!BR2)</f>
        <v>13608737.626</v>
      </c>
      <c r="BS140" s="796">
        <f>BR140*(1+'Dynamic Assumptions'!BS2)</f>
        <v>13608737.626</v>
      </c>
      <c r="BT140" s="796">
        <f>BS140*(1+'Dynamic Assumptions'!BT2)</f>
        <v>13608737.626</v>
      </c>
      <c r="BU140" s="796">
        <f>BT140*(1+'Dynamic Assumptions'!BU2)</f>
        <v>13608737.626</v>
      </c>
      <c r="BV140" s="796">
        <f>BU140*(1+'Dynamic Assumptions'!BV2)</f>
        <v>13608737.626</v>
      </c>
      <c r="BW140" s="796">
        <f>BV140*(1+'Dynamic Assumptions'!BW2)</f>
        <v>13608737.626</v>
      </c>
      <c r="BX140" s="796">
        <f>BW140*(1+'Dynamic Assumptions'!BX2)</f>
        <v>13608737.626</v>
      </c>
      <c r="BY140" s="796">
        <f>BX140*(1+'Dynamic Assumptions'!BY2)</f>
        <v>13608737.626</v>
      </c>
      <c r="BZ140" s="796">
        <f>BY140*(1+'Dynamic Assumptions'!BZ2)</f>
        <v>13608737.626</v>
      </c>
      <c r="CA140" s="796">
        <f>BZ140*(1+'Dynamic Assumptions'!CA2)</f>
        <v>13608737.626</v>
      </c>
      <c r="CB140" s="796">
        <f>CA140*(1+'Dynamic Assumptions'!CB2)</f>
        <v>13608737.626</v>
      </c>
      <c r="CC140" s="796">
        <f>CB140*(1+'Dynamic Assumptions'!CC2)</f>
        <v>13608737.626</v>
      </c>
      <c r="CD140" s="796"/>
      <c r="CE140" s="796"/>
      <c r="CF140" s="796"/>
      <c r="CG140" s="796"/>
      <c r="CH140" s="796"/>
      <c r="CI140" s="796"/>
      <c r="CJ140" s="796"/>
      <c r="CK140" s="796"/>
      <c r="CL140" s="796"/>
      <c r="CM140" s="796"/>
      <c r="CN140" s="796"/>
      <c r="CO140" s="796"/>
      <c r="CP140" s="796"/>
      <c r="CQ140" s="796"/>
      <c r="CR140" s="796"/>
      <c r="CS140" s="796"/>
      <c r="CT140" s="796"/>
      <c r="CU140" s="796"/>
      <c r="CV140" s="796"/>
      <c r="CW140" s="796"/>
      <c r="CX140" s="796"/>
      <c r="CY140" s="796"/>
      <c r="CZ140" s="796"/>
    </row>
    <row r="141" spans="1:104" x14ac:dyDescent="0.25">
      <c r="A141" s="472"/>
      <c r="B141" s="802" t="s">
        <v>609</v>
      </c>
      <c r="C141" s="802"/>
      <c r="F141" s="796">
        <f>F140*F52</f>
        <v>12661852.631578948</v>
      </c>
      <c r="G141" s="796">
        <f t="shared" ref="G141:BR141" si="80">G140*G52</f>
        <v>12461928.642659282</v>
      </c>
      <c r="H141" s="796">
        <f t="shared" si="80"/>
        <v>11925290.567138068</v>
      </c>
      <c r="I141" s="796">
        <f t="shared" si="80"/>
        <v>11411761.308266098</v>
      </c>
      <c r="J141" s="796">
        <f t="shared" si="80"/>
        <v>10920345.749536935</v>
      </c>
      <c r="K141" s="796">
        <f t="shared" si="80"/>
        <v>10450091.626351137</v>
      </c>
      <c r="L141" s="796">
        <f t="shared" si="80"/>
        <v>10000087.680718791</v>
      </c>
      <c r="M141" s="796">
        <f t="shared" si="80"/>
        <v>9569461.8954246826</v>
      </c>
      <c r="N141" s="796">
        <f t="shared" si="80"/>
        <v>9157379.8042341471</v>
      </c>
      <c r="O141" s="796">
        <f t="shared" si="80"/>
        <v>8763042.8748652134</v>
      </c>
      <c r="P141" s="796">
        <f t="shared" si="80"/>
        <v>8385686.9615935069</v>
      </c>
      <c r="Q141" s="796">
        <f t="shared" si="80"/>
        <v>8024580.8244913947</v>
      </c>
      <c r="R141" s="796">
        <f t="shared" si="80"/>
        <v>7679024.712431957</v>
      </c>
      <c r="S141" s="796">
        <f t="shared" si="80"/>
        <v>7348349.0071119219</v>
      </c>
      <c r="T141" s="796">
        <f t="shared" si="80"/>
        <v>7031912.9254659545</v>
      </c>
      <c r="U141" s="796">
        <f t="shared" si="80"/>
        <v>6729103.2779578539</v>
      </c>
      <c r="V141" s="796">
        <f t="shared" si="80"/>
        <v>6439333.2803424429</v>
      </c>
      <c r="W141" s="796">
        <f t="shared" si="80"/>
        <v>6162041.4165956406</v>
      </c>
      <c r="X141" s="796">
        <f t="shared" si="80"/>
        <v>5896690.3508092258</v>
      </c>
      <c r="Y141" s="796">
        <f t="shared" si="80"/>
        <v>5642765.8859418444</v>
      </c>
      <c r="Z141" s="796">
        <f t="shared" si="80"/>
        <v>5399775.9674084634</v>
      </c>
      <c r="AA141" s="796">
        <f t="shared" si="80"/>
        <v>5167249.729577478</v>
      </c>
      <c r="AB141" s="796">
        <f t="shared" si="80"/>
        <v>4944736.5833277302</v>
      </c>
      <c r="AC141" s="796">
        <f t="shared" si="80"/>
        <v>4731805.34289735</v>
      </c>
      <c r="AD141" s="796">
        <f t="shared" si="80"/>
        <v>4528043.3903323933</v>
      </c>
      <c r="AE141" s="796">
        <f t="shared" si="80"/>
        <v>4333055.8759161662</v>
      </c>
      <c r="AF141" s="796">
        <f t="shared" si="80"/>
        <v>4146464.9530298249</v>
      </c>
      <c r="AG141" s="796">
        <f t="shared" si="80"/>
        <v>3967909.0459615556</v>
      </c>
      <c r="AH141" s="796">
        <f t="shared" si="80"/>
        <v>3797042.1492455071</v>
      </c>
      <c r="AI141" s="796">
        <f t="shared" si="80"/>
        <v>3633533.1571727358</v>
      </c>
      <c r="AJ141" s="796">
        <f t="shared" si="80"/>
        <v>3477065.2221748661</v>
      </c>
      <c r="AK141" s="796">
        <f t="shared" si="80"/>
        <v>3327335.1408371939</v>
      </c>
      <c r="AL141" s="796">
        <f t="shared" si="80"/>
        <v>3184052.7663513822</v>
      </c>
      <c r="AM141" s="796">
        <f t="shared" si="80"/>
        <v>3046940.4462692654</v>
      </c>
      <c r="AN141" s="796">
        <f t="shared" si="80"/>
        <v>2915732.4844681965</v>
      </c>
      <c r="AO141" s="796">
        <f t="shared" si="80"/>
        <v>2790174.626285356</v>
      </c>
      <c r="AP141" s="796">
        <f t="shared" si="80"/>
        <v>2670023.5658233077</v>
      </c>
      <c r="AQ141" s="796">
        <f t="shared" si="80"/>
        <v>2555046.474472065</v>
      </c>
      <c r="AR141" s="796">
        <f t="shared" si="80"/>
        <v>2445020.5497340336</v>
      </c>
      <c r="AS141" s="796">
        <f t="shared" si="80"/>
        <v>2339732.5834775446</v>
      </c>
      <c r="AT141" s="796">
        <f t="shared" si="80"/>
        <v>2238978.5487823393</v>
      </c>
      <c r="AU141" s="796">
        <f t="shared" si="80"/>
        <v>2142563.204576402</v>
      </c>
      <c r="AV141" s="796">
        <f t="shared" si="80"/>
        <v>2050299.7172979922</v>
      </c>
      <c r="AW141" s="796">
        <f t="shared" si="80"/>
        <v>1962009.2988497536</v>
      </c>
      <c r="AX141" s="796">
        <f t="shared" si="80"/>
        <v>1877520.860143305</v>
      </c>
      <c r="AY141" s="796">
        <f t="shared" si="80"/>
        <v>1796670.6795629715</v>
      </c>
      <c r="AZ141" s="796">
        <f t="shared" si="80"/>
        <v>1719302.0857061928</v>
      </c>
      <c r="BA141" s="796">
        <f t="shared" si="80"/>
        <v>1645265.1537858311</v>
      </c>
      <c r="BB141" s="796">
        <f t="shared" si="80"/>
        <v>1574416.4151060584</v>
      </c>
      <c r="BC141" s="796">
        <f t="shared" si="80"/>
        <v>1506618.5790488601</v>
      </c>
      <c r="BD141" s="796">
        <f t="shared" si="80"/>
        <v>1441740.2670324019</v>
      </c>
      <c r="BE141" s="796">
        <f t="shared" si="80"/>
        <v>1379655.7579257439</v>
      </c>
      <c r="BF141" s="796">
        <f t="shared" si="80"/>
        <v>1320244.7444265489</v>
      </c>
      <c r="BG141" s="796">
        <f t="shared" si="80"/>
        <v>1263392.0999297125</v>
      </c>
      <c r="BH141" s="796">
        <f t="shared" si="80"/>
        <v>1208987.6554351314</v>
      </c>
      <c r="BI141" s="796">
        <f t="shared" si="80"/>
        <v>1156925.9860623269</v>
      </c>
      <c r="BJ141" s="796">
        <f t="shared" si="80"/>
        <v>1107106.2067582079</v>
      </c>
      <c r="BK141" s="796">
        <f t="shared" si="80"/>
        <v>1059431.776802113</v>
      </c>
      <c r="BL141" s="796">
        <f t="shared" si="80"/>
        <v>1013810.3127292948</v>
      </c>
      <c r="BM141" s="796">
        <f t="shared" si="80"/>
        <v>970153.40931032994</v>
      </c>
      <c r="BN141" s="796">
        <f t="shared" si="80"/>
        <v>928376.46823955013</v>
      </c>
      <c r="BO141" s="796">
        <f t="shared" si="80"/>
        <v>888398.53420052677</v>
      </c>
      <c r="BP141" s="796">
        <f t="shared" si="80"/>
        <v>850142.13799093454</v>
      </c>
      <c r="BQ141" s="796">
        <f t="shared" si="80"/>
        <v>813533.1464028086</v>
      </c>
      <c r="BR141" s="796">
        <f t="shared" si="80"/>
        <v>778500.61856728094</v>
      </c>
      <c r="BS141" s="796">
        <f t="shared" ref="BS141:CC141" si="81">BS140*BS52</f>
        <v>744976.66848543647</v>
      </c>
      <c r="BT141" s="796">
        <f t="shared" si="81"/>
        <v>712896.33347888663</v>
      </c>
      <c r="BU141" s="796">
        <f t="shared" si="81"/>
        <v>682197.4483051548</v>
      </c>
      <c r="BV141" s="796">
        <f t="shared" si="81"/>
        <v>652820.52469392808</v>
      </c>
      <c r="BW141" s="796">
        <f t="shared" si="81"/>
        <v>624708.63607074472</v>
      </c>
      <c r="BX141" s="796">
        <f t="shared" si="81"/>
        <v>597807.30724473181</v>
      </c>
      <c r="BY141" s="796">
        <f t="shared" si="81"/>
        <v>572064.40884663339</v>
      </c>
      <c r="BZ141" s="796">
        <f t="shared" si="81"/>
        <v>547430.0563125679</v>
      </c>
      <c r="CA141" s="796">
        <f t="shared" si="81"/>
        <v>523856.5132177684</v>
      </c>
      <c r="CB141" s="796">
        <f t="shared" si="81"/>
        <v>501298.09877298417</v>
      </c>
      <c r="CC141" s="796">
        <f t="shared" si="81"/>
        <v>479711.09930429107</v>
      </c>
      <c r="CD141" s="796"/>
      <c r="CE141" s="796"/>
      <c r="CF141" s="796"/>
      <c r="CG141" s="796"/>
      <c r="CH141" s="796"/>
      <c r="CI141" s="796"/>
      <c r="CJ141" s="796"/>
      <c r="CK141" s="796"/>
      <c r="CL141" s="796"/>
      <c r="CM141" s="796"/>
      <c r="CN141" s="796"/>
      <c r="CO141" s="796"/>
      <c r="CP141" s="796"/>
      <c r="CQ141" s="796"/>
      <c r="CR141" s="796"/>
      <c r="CS141" s="796"/>
      <c r="CT141" s="796"/>
      <c r="CU141" s="796"/>
      <c r="CV141" s="796"/>
      <c r="CW141" s="796"/>
      <c r="CX141" s="796"/>
      <c r="CY141" s="796"/>
      <c r="CZ141" s="796"/>
    </row>
    <row r="142" spans="1:104" x14ac:dyDescent="0.25">
      <c r="B142" s="802" t="s">
        <v>610</v>
      </c>
      <c r="C142" s="802"/>
      <c r="F142" s="796">
        <f>(F127+F138+F140)/F6</f>
        <v>101.85056346841415</v>
      </c>
      <c r="G142" s="796">
        <f t="shared" ref="G142:BR142" si="82">(G127+G138+G140)/G6</f>
        <v>101.31911320507972</v>
      </c>
      <c r="H142" s="796">
        <f t="shared" si="82"/>
        <v>98.511534472610336</v>
      </c>
      <c r="I142" s="796">
        <f t="shared" si="82"/>
        <v>95.781754470209364</v>
      </c>
      <c r="J142" s="796">
        <f t="shared" si="82"/>
        <v>93.127617375021259</v>
      </c>
      <c r="K142" s="796">
        <f t="shared" si="82"/>
        <v>90.547027102597241</v>
      </c>
      <c r="L142" s="796">
        <f t="shared" si="82"/>
        <v>88.037945651528688</v>
      </c>
      <c r="M142" s="796">
        <f t="shared" si="82"/>
        <v>85.598391493951084</v>
      </c>
      <c r="N142" s="796">
        <f t="shared" si="82"/>
        <v>83.226438010647627</v>
      </c>
      <c r="O142" s="796">
        <f t="shared" si="82"/>
        <v>80.920211969516416</v>
      </c>
      <c r="P142" s="796">
        <f t="shared" si="82"/>
        <v>78.67789204619973</v>
      </c>
      <c r="Q142" s="796">
        <f t="shared" si="82"/>
        <v>76.497707385707074</v>
      </c>
      <c r="R142" s="796">
        <f t="shared" si="82"/>
        <v>74.377936203896041</v>
      </c>
      <c r="S142" s="796">
        <f t="shared" si="82"/>
        <v>72.316904427706405</v>
      </c>
      <c r="T142" s="796">
        <f t="shared" si="82"/>
        <v>70.312984373073803</v>
      </c>
      <c r="U142" s="796">
        <f t="shared" si="82"/>
        <v>68.36459345947867</v>
      </c>
      <c r="V142" s="796">
        <f t="shared" si="82"/>
        <v>66.470192960115384</v>
      </c>
      <c r="W142" s="796">
        <f t="shared" si="82"/>
        <v>204.52593019556761</v>
      </c>
      <c r="X142" s="796">
        <f t="shared" si="82"/>
        <v>301.26634725959411</v>
      </c>
      <c r="Y142" s="796">
        <f t="shared" si="82"/>
        <v>401.02141151450263</v>
      </c>
      <c r="Z142" s="796">
        <f t="shared" si="82"/>
        <v>496.83561890904679</v>
      </c>
      <c r="AA142" s="796">
        <f t="shared" si="82"/>
        <v>581.83299207058803</v>
      </c>
      <c r="AB142" s="796">
        <f t="shared" si="82"/>
        <v>650.04631015874645</v>
      </c>
      <c r="AC142" s="796">
        <f t="shared" si="82"/>
        <v>697.17498469380826</v>
      </c>
      <c r="AD142" s="796">
        <f t="shared" si="82"/>
        <v>721.1326454823535</v>
      </c>
      <c r="AE142" s="796">
        <f t="shared" si="82"/>
        <v>722.27356576904674</v>
      </c>
      <c r="AF142" s="796">
        <f t="shared" si="82"/>
        <v>703.24430110602498</v>
      </c>
      <c r="AG142" s="796">
        <f t="shared" si="82"/>
        <v>668.48228677111331</v>
      </c>
      <c r="AH142" s="796">
        <f t="shared" si="82"/>
        <v>623.45857598976158</v>
      </c>
      <c r="AI142" s="796">
        <f t="shared" si="82"/>
        <v>565.3272483278314</v>
      </c>
      <c r="AJ142" s="796">
        <f t="shared" si="82"/>
        <v>516.32646702335342</v>
      </c>
      <c r="AK142" s="796">
        <f t="shared" si="82"/>
        <v>471.54808444510945</v>
      </c>
      <c r="AL142" s="796">
        <f t="shared" si="82"/>
        <v>433.33699431651598</v>
      </c>
      <c r="AM142" s="796">
        <f t="shared" si="82"/>
        <v>402.5892103374519</v>
      </c>
      <c r="AN142" s="796">
        <f t="shared" si="82"/>
        <v>379.26014810753708</v>
      </c>
      <c r="AO142" s="796">
        <f t="shared" si="82"/>
        <v>361.74295561664735</v>
      </c>
      <c r="AP142" s="796">
        <f t="shared" si="82"/>
        <v>348.93264510007435</v>
      </c>
      <c r="AQ142" s="796">
        <f t="shared" si="82"/>
        <v>339.54975832907007</v>
      </c>
      <c r="AR142" s="796">
        <f t="shared" si="82"/>
        <v>332.43475369195522</v>
      </c>
      <c r="AS142" s="796">
        <f t="shared" si="82"/>
        <v>326.6999919572466</v>
      </c>
      <c r="AT142" s="796">
        <f t="shared" si="82"/>
        <v>321.75682887878588</v>
      </c>
      <c r="AU142" s="796">
        <f t="shared" si="82"/>
        <v>317.26450824249639</v>
      </c>
      <c r="AV142" s="796">
        <f t="shared" si="82"/>
        <v>313.05080571712745</v>
      </c>
      <c r="AW142" s="796">
        <f t="shared" si="82"/>
        <v>309.03968481400386</v>
      </c>
      <c r="AX142" s="796">
        <f t="shared" si="82"/>
        <v>305.20125104862029</v>
      </c>
      <c r="AY142" s="796">
        <f t="shared" si="82"/>
        <v>301.52399955179447</v>
      </c>
      <c r="AZ142" s="796">
        <f t="shared" si="82"/>
        <v>298.0023915401739</v>
      </c>
      <c r="BA142" s="796">
        <f t="shared" si="82"/>
        <v>293.41605470860594</v>
      </c>
      <c r="BB142" s="796">
        <f t="shared" si="82"/>
        <v>286.65231558815537</v>
      </c>
      <c r="BC142" s="796">
        <f t="shared" si="82"/>
        <v>277.82936900466143</v>
      </c>
      <c r="BD142" s="796">
        <f t="shared" si="82"/>
        <v>267.22842168323677</v>
      </c>
      <c r="BE142" s="796">
        <f t="shared" si="82"/>
        <v>255.27803417633979</v>
      </c>
      <c r="BF142" s="796">
        <f t="shared" si="82"/>
        <v>242.51913442045662</v>
      </c>
      <c r="BG142" s="796">
        <f t="shared" si="82"/>
        <v>229.55410119367599</v>
      </c>
      <c r="BH142" s="796">
        <f t="shared" si="82"/>
        <v>216.98648985032787</v>
      </c>
      <c r="BI142" s="796">
        <f t="shared" si="82"/>
        <v>205.36018104918898</v>
      </c>
      <c r="BJ142" s="796">
        <f t="shared" si="82"/>
        <v>200.66788998426733</v>
      </c>
      <c r="BK142" s="796">
        <f t="shared" si="82"/>
        <v>191.82879895179164</v>
      </c>
      <c r="BL142" s="796">
        <f t="shared" si="82"/>
        <v>184.82415250818133</v>
      </c>
      <c r="BM142" s="796">
        <f t="shared" si="82"/>
        <v>179.62696894320985</v>
      </c>
      <c r="BN142" s="796">
        <f t="shared" si="82"/>
        <v>176.08375082143385</v>
      </c>
      <c r="BO142" s="796">
        <f t="shared" si="82"/>
        <v>173.95583297436826</v>
      </c>
      <c r="BP142" s="796">
        <f t="shared" si="82"/>
        <v>172.96439847579501</v>
      </c>
      <c r="BQ142" s="796">
        <f t="shared" si="82"/>
        <v>172.83095149824288</v>
      </c>
      <c r="BR142" s="796">
        <f t="shared" si="82"/>
        <v>173.30137835510769</v>
      </c>
      <c r="BS142" s="796">
        <f t="shared" ref="BS142:CD142" si="83">(BS127+BS138+BS140)/BS6</f>
        <v>174.18390578395108</v>
      </c>
      <c r="BT142" s="796">
        <f t="shared" si="83"/>
        <v>175.33102248681331</v>
      </c>
      <c r="BU142" s="796">
        <f t="shared" si="83"/>
        <v>176.64023509924633</v>
      </c>
      <c r="BV142" s="796">
        <f t="shared" si="83"/>
        <v>178.04722308640766</v>
      </c>
      <c r="BW142" s="796">
        <f t="shared" si="83"/>
        <v>179.51567671285491</v>
      </c>
      <c r="BX142" s="796">
        <f t="shared" si="83"/>
        <v>181.02729430716778</v>
      </c>
      <c r="BY142" s="796">
        <f t="shared" si="83"/>
        <v>182.57392767592302</v>
      </c>
      <c r="BZ142" s="796">
        <f t="shared" si="83"/>
        <v>184.15241863029487</v>
      </c>
      <c r="CA142" s="796">
        <f t="shared" si="83"/>
        <v>185.76172117619839</v>
      </c>
      <c r="CB142" s="796">
        <f t="shared" si="83"/>
        <v>187.40154656989984</v>
      </c>
      <c r="CC142" s="796">
        <f t="shared" si="83"/>
        <v>189.07183259806442</v>
      </c>
      <c r="CD142" s="796">
        <f t="shared" si="83"/>
        <v>227.0629998143265</v>
      </c>
      <c r="CE142" s="796" t="e">
        <f t="shared" ref="CE142:CZ142" si="84">(CE127+CE138)/CE6</f>
        <v>#N/A</v>
      </c>
      <c r="CF142" s="796" t="e">
        <f t="shared" si="84"/>
        <v>#N/A</v>
      </c>
      <c r="CG142" s="796" t="e">
        <f t="shared" si="84"/>
        <v>#N/A</v>
      </c>
      <c r="CH142" s="796" t="e">
        <f t="shared" si="84"/>
        <v>#N/A</v>
      </c>
      <c r="CI142" s="796" t="e">
        <f t="shared" si="84"/>
        <v>#N/A</v>
      </c>
      <c r="CJ142" s="796" t="e">
        <f t="shared" si="84"/>
        <v>#N/A</v>
      </c>
      <c r="CK142" s="796" t="e">
        <f t="shared" si="84"/>
        <v>#N/A</v>
      </c>
      <c r="CL142" s="796" t="e">
        <f t="shared" si="84"/>
        <v>#N/A</v>
      </c>
      <c r="CM142" s="796" t="e">
        <f t="shared" si="84"/>
        <v>#N/A</v>
      </c>
      <c r="CN142" s="796" t="e">
        <f t="shared" si="84"/>
        <v>#N/A</v>
      </c>
      <c r="CO142" s="796" t="e">
        <f t="shared" si="84"/>
        <v>#N/A</v>
      </c>
      <c r="CP142" s="796" t="e">
        <f t="shared" si="84"/>
        <v>#N/A</v>
      </c>
      <c r="CQ142" s="796" t="e">
        <f t="shared" si="84"/>
        <v>#N/A</v>
      </c>
      <c r="CR142" s="796" t="e">
        <f t="shared" si="84"/>
        <v>#N/A</v>
      </c>
      <c r="CS142" s="796" t="e">
        <f t="shared" si="84"/>
        <v>#N/A</v>
      </c>
      <c r="CT142" s="796" t="e">
        <f t="shared" si="84"/>
        <v>#N/A</v>
      </c>
      <c r="CU142" s="796" t="e">
        <f t="shared" si="84"/>
        <v>#N/A</v>
      </c>
      <c r="CV142" s="796" t="e">
        <f t="shared" si="84"/>
        <v>#N/A</v>
      </c>
      <c r="CW142" s="796" t="e">
        <f t="shared" si="84"/>
        <v>#N/A</v>
      </c>
      <c r="CX142" s="796" t="e">
        <f t="shared" si="84"/>
        <v>#N/A</v>
      </c>
      <c r="CY142" s="796" t="e">
        <f t="shared" si="84"/>
        <v>#N/A</v>
      </c>
      <c r="CZ142" s="796" t="e">
        <f t="shared" si="84"/>
        <v>#N/A</v>
      </c>
    </row>
    <row r="145" spans="3:81" x14ac:dyDescent="0.25">
      <c r="C145" s="784" t="s">
        <v>607</v>
      </c>
      <c r="E145" s="796">
        <f>CC131</f>
        <v>988857922.85457194</v>
      </c>
      <c r="F145" s="797" t="s">
        <v>604</v>
      </c>
      <c r="G145" s="797"/>
      <c r="H145" s="797"/>
    </row>
    <row r="146" spans="3:81" x14ac:dyDescent="0.25">
      <c r="E146" s="796">
        <f>SUM(F139:CZ139) + SUM(F141:CZ141)</f>
        <v>1014329445.6561662</v>
      </c>
      <c r="F146" s="797" t="s">
        <v>611</v>
      </c>
    </row>
    <row r="147" spans="3:81" x14ac:dyDescent="0.25">
      <c r="E147" s="796">
        <f>SUM(E145:E146)</f>
        <v>2003187368.5107381</v>
      </c>
      <c r="F147" s="797" t="s">
        <v>606</v>
      </c>
    </row>
    <row r="148" spans="3:81" x14ac:dyDescent="0.25">
      <c r="C148" s="609" t="s">
        <v>633</v>
      </c>
    </row>
    <row r="149" spans="3:81" x14ac:dyDescent="0.25">
      <c r="C149" s="804">
        <v>7013377</v>
      </c>
      <c r="D149" s="805" t="s">
        <v>612</v>
      </c>
    </row>
    <row r="150" spans="3:81" x14ac:dyDescent="0.25">
      <c r="C150" s="804">
        <f>C149*(1+'Dynamic Assumptions'!G2)</f>
        <v>7213258.2445</v>
      </c>
      <c r="D150" s="609" t="s">
        <v>613</v>
      </c>
    </row>
    <row r="151" spans="3:81" x14ac:dyDescent="0.25">
      <c r="C151" s="609">
        <f>SQRT(E10*1000000  *  C150)</f>
        <v>332278092.04853034</v>
      </c>
      <c r="D151" s="609" t="s">
        <v>632</v>
      </c>
      <c r="G151" s="609" t="s">
        <v>616</v>
      </c>
    </row>
    <row r="152" spans="3:81" x14ac:dyDescent="0.25">
      <c r="C152" s="806" t="s">
        <v>614</v>
      </c>
      <c r="F152" s="796">
        <f>(1+'Dynamic Assumptions'!$G$2)^(2*(F4-$E$4)) *  $C$151^2  /  (F10*1000000)</f>
        <v>7493358.6234543836</v>
      </c>
      <c r="G152" s="796">
        <f>(1+'Dynamic Assumptions'!$G$2)^(2*(G4-$E$4)) *  $C$151^2  /  (G10*1000000)</f>
        <v>7785121.2124395967</v>
      </c>
      <c r="H152" s="796">
        <f>(1+'Dynamic Assumptions'!$G$2)^(2*(H4-$E$4)) *  $C$151^2  /  (H10*1000000)</f>
        <v>8089076.7746391408</v>
      </c>
      <c r="I152" s="796">
        <f>(1+'Dynamic Assumptions'!$G$2)^(2*(I4-$E$4)) *  $C$151^2  /  (I10*1000000)</f>
        <v>8405783.0181291662</v>
      </c>
      <c r="J152" s="796">
        <f>(1+'Dynamic Assumptions'!$G$2)^(2*(J4-$E$4)) *  $C$151^2  /  (J10*1000000)</f>
        <v>8735826.1485712007</v>
      </c>
      <c r="K152" s="796">
        <f>(1+'Dynamic Assumptions'!$G$2)^(2*(K4-$E$4)) *  $C$151^2  /  (K10*1000000)</f>
        <v>9079822.5245455019</v>
      </c>
      <c r="L152" s="796">
        <f>(1+'Dynamic Assumptions'!$G$2)^(2*(L4-$E$4)) *  $C$151^2  /  (L10*1000000)</f>
        <v>9438420.4233235065</v>
      </c>
      <c r="M152" s="796">
        <f>(1+'Dynamic Assumptions'!$G$2)^(2*(M4-$E$4)) *  $C$151^2  /  (M10*1000000)</f>
        <v>9812301.9255553838</v>
      </c>
      <c r="N152" s="796">
        <f>(1+'Dynamic Assumptions'!$G$2)^(2*(N4-$E$4)) *  $C$151^2  /  (N10*1000000)</f>
        <v>10202184.928092878</v>
      </c>
      <c r="O152" s="796">
        <f>(1+'Dynamic Assumptions'!$G$2)^(2*(O4-$E$4)) *  $C$151^2  /  (O10*1000000)</f>
        <v>10608825.294985907</v>
      </c>
      <c r="P152" s="796">
        <f>(1+'Dynamic Assumptions'!$G$2)^(2*(P4-$E$4)) *  $C$151^2  /  (P10*1000000)</f>
        <v>11033019.157591967</v>
      </c>
      <c r="Q152" s="796">
        <f>(1+'Dynamic Assumptions'!$G$2)^(2*(Q4-$E$4)) *  $C$151^2  /  (Q10*1000000)</f>
        <v>11375899.953467002</v>
      </c>
      <c r="R152" s="796">
        <f>(1+'Dynamic Assumptions'!$G$2)^(2*(R4-$E$4)) *  $C$151^2  /  (R10*1000000)</f>
        <v>11729510.371241668</v>
      </c>
      <c r="S152" s="796">
        <f>(1+'Dynamic Assumptions'!$G$2)^(2*(S4-$E$4)) *  $C$151^2  /  (S10*1000000)</f>
        <v>12094188.825932439</v>
      </c>
      <c r="T152" s="796">
        <f>(1+'Dynamic Assumptions'!$G$2)^(2*(T4-$E$4)) *  $C$151^2  /  (T10*1000000)</f>
        <v>12470284.503449976</v>
      </c>
      <c r="U152" s="796">
        <f>(1+'Dynamic Assumptions'!$G$2)^(2*(U4-$E$4)) *  $C$151^2  /  (U10*1000000)</f>
        <v>12858157.707018042</v>
      </c>
      <c r="V152" s="796">
        <f>(1+'Dynamic Assumptions'!$G$2)^(2*(V4-$E$4)) *  $C$151^2  /  (V10*1000000)</f>
        <v>13258180.214870261</v>
      </c>
      <c r="W152" s="796">
        <f>(1+'Dynamic Assumptions'!$G$2)^(2*(W4-$E$4)) *  $C$151^2  /  (W10*1000000)</f>
        <v>13670735.649597103</v>
      </c>
      <c r="X152" s="796">
        <f>(1+'Dynamic Assumptions'!$G$2)^(2*(X4-$E$4)) *  $C$151^2  /  (X10*1000000)</f>
        <v>14096219.859528</v>
      </c>
      <c r="Y152" s="796">
        <f>(1+'Dynamic Assumptions'!$G$2)^(2*(Y4-$E$4)) *  $C$151^2  /  (Y10*1000000)</f>
        <v>14535041.312546343</v>
      </c>
      <c r="Z152" s="796">
        <f>(1+'Dynamic Assumptions'!$G$2)^(2*(Z4-$E$4)) *  $C$151^2  /  (Z10*1000000)</f>
        <v>14987621.502748674</v>
      </c>
      <c r="AA152" s="796">
        <f>(1+'Dynamic Assumptions'!$G$2)^(2*(AA4-$E$4)) *  $C$151^2  /  (AA10*1000000)</f>
        <v>15454395.370372834</v>
      </c>
      <c r="AB152" s="796">
        <f>(1+'Dynamic Assumptions'!$G$2)^(2*(AB4-$E$4)) *  $C$151^2  /  (AB10*1000000)</f>
        <v>15935811.735434717</v>
      </c>
      <c r="AC152" s="796">
        <f>(1+'Dynamic Assumptions'!$G$2)^(2*(AC4-$E$4)) *  $C$151^2  /  (AC10*1000000)</f>
        <v>16432333.745527409</v>
      </c>
      <c r="AD152" s="796">
        <f>(1+'Dynamic Assumptions'!$G$2)^(2*(AD4-$E$4)) *  $C$151^2  /  (AD10*1000000)</f>
        <v>16944439.338252336</v>
      </c>
      <c r="AE152" s="796">
        <f>(1+'Dynamic Assumptions'!$G$2)^(2*(AE4-$E$4)) *  $C$151^2  /  (AE10*1000000)</f>
        <v>17472621.718767572</v>
      </c>
      <c r="AF152" s="796">
        <f>(1+'Dynamic Assumptions'!$G$2)^(2*(AF4-$E$4)) *  $C$151^2  /  (AF10*1000000)</f>
        <v>18017389.852954935</v>
      </c>
      <c r="AG152" s="796">
        <f>(1+'Dynamic Assumptions'!$G$2)^(2*(AG4-$E$4)) *  $C$151^2  /  (AG10*1000000)</f>
        <v>18579268.976724364</v>
      </c>
      <c r="AH152" s="796">
        <f>(1+'Dynamic Assumptions'!$G$2)^(2*(AH4-$E$4)) *  $C$151^2  /  (AH10*1000000)</f>
        <v>19158801.121991802</v>
      </c>
      <c r="AI152" s="796">
        <f>(1+'Dynamic Assumptions'!$G$2)^(2*(AI4-$E$4)) *  $C$151^2  /  (AI10*1000000)</f>
        <v>19756545.659884494</v>
      </c>
      <c r="AJ152" s="796">
        <f>(1+'Dynamic Assumptions'!$G$2)^(2*(AJ4-$E$4)) *  $C$151^2  /  (AJ10*1000000)</f>
        <v>20373079.861746967</v>
      </c>
      <c r="AK152" s="796">
        <f>(1+'Dynamic Assumptions'!$G$2)^(2*(AK4-$E$4)) *  $C$151^2  /  (AK10*1000000)</f>
        <v>21008999.478539757</v>
      </c>
      <c r="AL152" s="796">
        <f>(1+'Dynamic Assumptions'!$G$2)^(2*(AL4-$E$4)) *  $C$151^2  /  (AL10*1000000)</f>
        <v>21664919.339243427</v>
      </c>
      <c r="AM152" s="796">
        <f>(1+'Dynamic Assumptions'!$G$2)^(2*(AM4-$E$4)) *  $C$151^2  /  (AM10*1000000)</f>
        <v>22341473.96890102</v>
      </c>
      <c r="AN152" s="796">
        <f>(1+'Dynamic Assumptions'!$G$2)^(2*(AN4-$E$4)) *  $C$151^2  /  (AN10*1000000)</f>
        <v>23039318.226953574</v>
      </c>
      <c r="AO152" s="796">
        <f>(1+'Dynamic Assumptions'!$G$2)^(2*(AO4-$E$4)) *  $C$151^2  /  (AO10*1000000)</f>
        <v>23759127.966545533</v>
      </c>
      <c r="AP152" s="796">
        <f>(1+'Dynamic Assumptions'!$G$2)^(2*(AP4-$E$4)) *  $C$151^2  /  (AP10*1000000)</f>
        <v>24436263.113592084</v>
      </c>
      <c r="AQ152" s="796">
        <f>(1+'Dynamic Assumptions'!$G$2)^(2*(AQ4-$E$4)) *  $C$151^2  /  (AQ10*1000000)</f>
        <v>25132696.612329461</v>
      </c>
      <c r="AR152" s="796">
        <f>(1+'Dynamic Assumptions'!$G$2)^(2*(AR4-$E$4)) *  $C$151^2  /  (AR10*1000000)</f>
        <v>25848978.465780847</v>
      </c>
      <c r="AS152" s="796">
        <f>(1+'Dynamic Assumptions'!$G$2)^(2*(AS4-$E$4)) *  $C$151^2  /  (AS10*1000000)</f>
        <v>26585674.352055602</v>
      </c>
      <c r="AT152" s="796">
        <f>(1+'Dynamic Assumptions'!$G$2)^(2*(AT4-$E$4)) *  $C$151^2  /  (AT10*1000000)</f>
        <v>27343366.071089186</v>
      </c>
      <c r="AU152" s="796">
        <f>(1+'Dynamic Assumptions'!$G$2)^(2*(AU4-$E$4)) *  $C$151^2  /  (AU10*1000000)</f>
        <v>28122652.00411522</v>
      </c>
      <c r="AV152" s="796">
        <f>(1+'Dynamic Assumptions'!$G$2)^(2*(AV4-$E$4)) *  $C$151^2  /  (AV10*1000000)</f>
        <v>28924147.586232521</v>
      </c>
      <c r="AW152" s="796">
        <f>(1+'Dynamic Assumptions'!$G$2)^(2*(AW4-$E$4)) *  $C$151^2  /  (AW10*1000000)</f>
        <v>29748485.792440139</v>
      </c>
      <c r="AX152" s="796">
        <f>(1+'Dynamic Assumptions'!$G$2)^(2*(AX4-$E$4)) *  $C$151^2  /  (AX10*1000000)</f>
        <v>30596317.637524683</v>
      </c>
      <c r="AY152" s="796">
        <f>(1+'Dynamic Assumptions'!$G$2)^(2*(AY4-$E$4)) *  $C$151^2  /  (AY10*1000000)</f>
        <v>31468312.690194137</v>
      </c>
      <c r="AZ152" s="796">
        <f>(1+'Dynamic Assumptions'!$G$2)^(2*(AZ4-$E$4)) *  $C$151^2  /  (AZ10*1000000)</f>
        <v>32365159.601864673</v>
      </c>
      <c r="BA152" s="796">
        <f>(1+'Dynamic Assumptions'!$G$2)^(2*(BA4-$E$4)) *  $C$151^2  /  (BA10*1000000)</f>
        <v>33287566.650517818</v>
      </c>
      <c r="BB152" s="796">
        <f>(1+'Dynamic Assumptions'!$G$2)^(2*(BB4-$E$4)) *  $C$151^2  /  (BB10*1000000)</f>
        <v>34236262.300057575</v>
      </c>
      <c r="BC152" s="796">
        <f>(1+'Dynamic Assumptions'!$G$2)^(2*(BC4-$E$4)) *  $C$151^2  /  (BC10*1000000)</f>
        <v>35211995.775609218</v>
      </c>
      <c r="BD152" s="796">
        <f>(1+'Dynamic Assumptions'!$G$2)^(2*(BD4-$E$4)) *  $C$151^2  /  (BD10*1000000)</f>
        <v>36215537.655214086</v>
      </c>
      <c r="BE152" s="796">
        <f>(1+'Dynamic Assumptions'!$G$2)^(2*(BE4-$E$4)) *  $C$151^2  /  (BE10*1000000)</f>
        <v>37247680.478387684</v>
      </c>
      <c r="BF152" s="796">
        <f>(1+'Dynamic Assumptions'!$G$2)^(2*(BF4-$E$4)) *  $C$151^2  /  (BF10*1000000)</f>
        <v>38309239.372021735</v>
      </c>
      <c r="BG152" s="796">
        <f>(1+'Dynamic Assumptions'!$G$2)^(2*(BG4-$E$4)) *  $C$151^2  /  (BG10*1000000)</f>
        <v>39401052.694124356</v>
      </c>
      <c r="BH152" s="796">
        <f>(1+'Dynamic Assumptions'!$G$2)^(2*(BH4-$E$4)) *  $C$151^2  /  (BH10*1000000)</f>
        <v>40523982.6959069</v>
      </c>
      <c r="BI152" s="796">
        <f>(1+'Dynamic Assumptions'!$G$2)^(2*(BI4-$E$4)) *  $C$151^2  /  (BI10*1000000)</f>
        <v>41678916.202740245</v>
      </c>
      <c r="BJ152" s="796">
        <f>(1+'Dynamic Assumptions'!$G$2)^(2*(BJ4-$E$4)) *  $C$151^2  /  (BJ10*1000000)</f>
        <v>44088468.125982113</v>
      </c>
      <c r="BK152" s="796">
        <f>(1+'Dynamic Assumptions'!$G$2)^(2*(BK4-$E$4)) *  $C$151^2  /  (BK10*1000000)</f>
        <v>45344989.467572607</v>
      </c>
      <c r="BL152" s="796">
        <f>(1+'Dynamic Assumptions'!$G$2)^(2*(BL4-$E$4)) *  $C$151^2  /  (BL10*1000000)</f>
        <v>46637321.667398438</v>
      </c>
      <c r="BM152" s="796">
        <f>(1+'Dynamic Assumptions'!$G$2)^(2*(BM4-$E$4)) *  $C$151^2  /  (BM10*1000000)</f>
        <v>47966485.334919281</v>
      </c>
      <c r="BN152" s="796">
        <f>(1+'Dynamic Assumptions'!$G$2)^(2*(BN4-$E$4)) *  $C$151^2  /  (BN10*1000000)</f>
        <v>49333530.166964486</v>
      </c>
      <c r="BO152" s="796">
        <f>(1+'Dynamic Assumptions'!$G$2)^(2*(BO4-$E$4)) *  $C$151^2  /  (BO10*1000000)</f>
        <v>50739535.776722975</v>
      </c>
      <c r="BP152" s="796">
        <f>(1+'Dynamic Assumptions'!$G$2)^(2*(BP4-$E$4)) *  $C$151^2  /  (BP10*1000000)</f>
        <v>52185612.546359591</v>
      </c>
      <c r="BQ152" s="796">
        <f>(1+'Dynamic Assumptions'!$G$2)^(2*(BQ4-$E$4)) *  $C$151^2  /  (BQ10*1000000)</f>
        <v>53672902.503930844</v>
      </c>
      <c r="BR152" s="796">
        <f>(1+'Dynamic Assumptions'!$G$2)^(2*(BR4-$E$4)) *  $C$151^2  /  (BR10*1000000)</f>
        <v>55202580.225292876</v>
      </c>
      <c r="BS152" s="796">
        <f>(1+'Dynamic Assumptions'!$G$2)^(2*(BS4-$E$4)) *  $C$151^2  /  (BS10*1000000)</f>
        <v>56775853.761713721</v>
      </c>
      <c r="BT152" s="796">
        <f>(1+'Dynamic Assumptions'!$G$2)^(2*(BT4-$E$4)) *  $C$151^2  /  (BT10*1000000)</f>
        <v>58393965.59392257</v>
      </c>
      <c r="BU152" s="796">
        <f>(1+'Dynamic Assumptions'!$G$2)^(2*(BU4-$E$4)) *  $C$151^2  /  (BU10*1000000)</f>
        <v>60058193.613349363</v>
      </c>
      <c r="BV152" s="796">
        <f>(1+'Dynamic Assumptions'!$G$2)^(2*(BV4-$E$4)) *  $C$151^2  /  (BV10*1000000)</f>
        <v>61769852.131329812</v>
      </c>
      <c r="BW152" s="796">
        <f>(1+'Dynamic Assumptions'!$G$2)^(2*(BW4-$E$4)) *  $C$151^2  /  (BW10*1000000)</f>
        <v>63530292.917072713</v>
      </c>
      <c r="BX152" s="796">
        <f>(1+'Dynamic Assumptions'!$G$2)^(2*(BX4-$E$4)) *  $C$151^2  /  (BX10*1000000)</f>
        <v>65340906.26520928</v>
      </c>
      <c r="BY152" s="796">
        <f>(1+'Dynamic Assumptions'!$G$2)^(2*(BY4-$E$4)) *  $C$151^2  /  (BY10*1000000)</f>
        <v>67203122.093767762</v>
      </c>
      <c r="BZ152" s="796">
        <f>(1+'Dynamic Assumptions'!$G$2)^(2*(BZ4-$E$4)) *  $C$151^2  /  (BZ10*1000000)</f>
        <v>69118411.073440135</v>
      </c>
      <c r="CA152" s="796">
        <f>(1+'Dynamic Assumptions'!$G$2)^(2*(CA4-$E$4)) *  $C$151^2  /  (CA10*1000000)</f>
        <v>71088285.789033189</v>
      </c>
      <c r="CB152" s="796">
        <f>(1+'Dynamic Assumptions'!$G$2)^(2*(CB4-$E$4)) *  $C$151^2  /  (CB10*1000000)</f>
        <v>73114301.934020624</v>
      </c>
      <c r="CC152" s="796">
        <f>(1+'Dynamic Assumptions'!$G$2)^(2*(CC4-$E$4)) *  $C$151^2  /  (CC10*1000000)</f>
        <v>75198059.53914021</v>
      </c>
    </row>
    <row r="153" spans="3:81" x14ac:dyDescent="0.25">
      <c r="C153" s="806" t="s">
        <v>615</v>
      </c>
      <c r="F153" s="796">
        <f>F152-F128</f>
        <v>4423781.4780247258</v>
      </c>
      <c r="G153" s="796">
        <f t="shared" ref="G153:BR153" si="85">G152-G128</f>
        <v>4715544.0670099389</v>
      </c>
      <c r="H153" s="796">
        <f t="shared" si="85"/>
        <v>5019499.629209483</v>
      </c>
      <c r="I153" s="796">
        <f t="shared" si="85"/>
        <v>5336205.8726995084</v>
      </c>
      <c r="J153" s="796">
        <f t="shared" si="85"/>
        <v>5666249.0031415429</v>
      </c>
      <c r="K153" s="796">
        <f t="shared" si="85"/>
        <v>6010245.3791158441</v>
      </c>
      <c r="L153" s="796">
        <f t="shared" si="85"/>
        <v>6368843.2778938487</v>
      </c>
      <c r="M153" s="796">
        <f t="shared" si="85"/>
        <v>6742724.780125726</v>
      </c>
      <c r="N153" s="796">
        <f t="shared" si="85"/>
        <v>7132607.7826632205</v>
      </c>
      <c r="O153" s="796">
        <f t="shared" si="85"/>
        <v>7539248.1495562494</v>
      </c>
      <c r="P153" s="796">
        <f t="shared" si="85"/>
        <v>7963442.0121623091</v>
      </c>
      <c r="Q153" s="796">
        <f t="shared" si="85"/>
        <v>8306322.8080373444</v>
      </c>
      <c r="R153" s="796">
        <f t="shared" si="85"/>
        <v>8659933.2258120105</v>
      </c>
      <c r="S153" s="796">
        <f t="shared" si="85"/>
        <v>9024611.6805027816</v>
      </c>
      <c r="T153" s="796">
        <f t="shared" si="85"/>
        <v>9400707.3580203187</v>
      </c>
      <c r="U153" s="796">
        <f t="shared" si="85"/>
        <v>9788580.5615883842</v>
      </c>
      <c r="V153" s="796">
        <f t="shared" si="85"/>
        <v>10188603.069440603</v>
      </c>
      <c r="W153" s="796">
        <f t="shared" si="85"/>
        <v>9871817.8523580711</v>
      </c>
      <c r="X153" s="796">
        <f t="shared" si="85"/>
        <v>8092329.1674926011</v>
      </c>
      <c r="Y153" s="796">
        <f t="shared" si="85"/>
        <v>4803336.9691684786</v>
      </c>
      <c r="Z153" s="796">
        <f t="shared" si="85"/>
        <v>66066.927614878863</v>
      </c>
      <c r="AA153" s="796">
        <f t="shared" si="85"/>
        <v>-5945296.1709277648</v>
      </c>
      <c r="AB153" s="796">
        <f t="shared" si="85"/>
        <v>-12952492.862849889</v>
      </c>
      <c r="AC153" s="796">
        <f t="shared" si="85"/>
        <v>-20596231.762689292</v>
      </c>
      <c r="AD153" s="796">
        <f t="shared" si="85"/>
        <v>-28471176.700637877</v>
      </c>
      <c r="AE153" s="796">
        <f t="shared" si="85"/>
        <v>-36168196.272938102</v>
      </c>
      <c r="AF153" s="796">
        <f t="shared" si="85"/>
        <v>-43317427.538422674</v>
      </c>
      <c r="AG153" s="796">
        <f t="shared" si="85"/>
        <v>-49625174.144408949</v>
      </c>
      <c r="AH153" s="796">
        <f t="shared" si="85"/>
        <v>-54898633.783732578</v>
      </c>
      <c r="AI153" s="796">
        <f t="shared" si="85"/>
        <v>-55985234.443252057</v>
      </c>
      <c r="AJ153" s="796">
        <f t="shared" si="85"/>
        <v>-59043621.119007125</v>
      </c>
      <c r="AK153" s="796">
        <f t="shared" si="85"/>
        <v>-61105485.209680103</v>
      </c>
      <c r="AL153" s="796">
        <f t="shared" si="85"/>
        <v>-62325088.776109204</v>
      </c>
      <c r="AM153" s="796">
        <f t="shared" si="85"/>
        <v>-62879157.485990956</v>
      </c>
      <c r="AN153" s="796">
        <f t="shared" si="85"/>
        <v>-62945969.754611589</v>
      </c>
      <c r="AO153" s="796">
        <f t="shared" si="85"/>
        <v>-62667242.397572383</v>
      </c>
      <c r="AP153" s="796">
        <f t="shared" si="85"/>
        <v>-62224627.505395055</v>
      </c>
      <c r="AQ153" s="796">
        <f t="shared" si="85"/>
        <v>-61642124.84679573</v>
      </c>
      <c r="AR153" s="796">
        <f t="shared" si="85"/>
        <v>-60975866.47775238</v>
      </c>
      <c r="AS153" s="796">
        <f t="shared" si="85"/>
        <v>-60258749.704818912</v>
      </c>
      <c r="AT153" s="796">
        <f t="shared" si="85"/>
        <v>-59507767.996952064</v>
      </c>
      <c r="AU153" s="796">
        <f t="shared" si="85"/>
        <v>-58730447.687532872</v>
      </c>
      <c r="AV153" s="796">
        <f t="shared" si="85"/>
        <v>-57929427.805211984</v>
      </c>
      <c r="AW153" s="796">
        <f t="shared" si="85"/>
        <v>-57105179.915896662</v>
      </c>
      <c r="AX153" s="796">
        <f t="shared" si="85"/>
        <v>-56257360.392995954</v>
      </c>
      <c r="AY153" s="796">
        <f t="shared" si="85"/>
        <v>-55385366.346629761</v>
      </c>
      <c r="AZ153" s="796">
        <f t="shared" si="85"/>
        <v>-54488519.459895469</v>
      </c>
      <c r="BA153" s="796">
        <f t="shared" si="85"/>
        <v>-52836771.759432942</v>
      </c>
      <c r="BB153" s="796">
        <f t="shared" si="85"/>
        <v>-49683103.215096831</v>
      </c>
      <c r="BC153" s="796">
        <f t="shared" si="85"/>
        <v>-44979556.088202707</v>
      </c>
      <c r="BD153" s="796">
        <f t="shared" si="85"/>
        <v>-38786163.976841912</v>
      </c>
      <c r="BE153" s="796">
        <f t="shared" si="85"/>
        <v>-31275884.187501535</v>
      </c>
      <c r="BF153" s="796">
        <f t="shared" si="85"/>
        <v>-22725712.236883476</v>
      </c>
      <c r="BG153" s="796">
        <f t="shared" si="85"/>
        <v>-13493638.004848763</v>
      </c>
      <c r="BH153" s="796">
        <f t="shared" si="85"/>
        <v>-3983657.4723927155</v>
      </c>
      <c r="BI153" s="796">
        <f t="shared" si="85"/>
        <v>5396477.9872561023</v>
      </c>
      <c r="BJ153" s="796">
        <f t="shared" si="85"/>
        <v>15500029.310169894</v>
      </c>
      <c r="BK153" s="796">
        <f t="shared" si="85"/>
        <v>23626176.381516092</v>
      </c>
      <c r="BL153" s="796">
        <f t="shared" si="85"/>
        <v>30771500.365932986</v>
      </c>
      <c r="BM153" s="796">
        <f t="shared" si="85"/>
        <v>36854586.376295671</v>
      </c>
      <c r="BN153" s="796">
        <f t="shared" si="85"/>
        <v>41896552.085958421</v>
      </c>
      <c r="BO153" s="796">
        <f t="shared" si="85"/>
        <v>46000341.403182678</v>
      </c>
      <c r="BP153" s="796">
        <f t="shared" si="85"/>
        <v>49321941.599952072</v>
      </c>
      <c r="BQ153" s="796">
        <f t="shared" si="85"/>
        <v>52039854.897062682</v>
      </c>
      <c r="BR153" s="796">
        <f t="shared" si="85"/>
        <v>54334189.145097904</v>
      </c>
      <c r="BS153" s="796">
        <f t="shared" ref="BS153:CC153" si="86">BS152-BS128</f>
        <v>56348545.064071499</v>
      </c>
      <c r="BT153" s="796">
        <f t="shared" si="86"/>
        <v>58201177.151149571</v>
      </c>
      <c r="BU153" s="796">
        <f t="shared" si="86"/>
        <v>59979336.010714419</v>
      </c>
      <c r="BV153" s="796">
        <f t="shared" si="86"/>
        <v>61741018.013102904</v>
      </c>
      <c r="BW153" s="796">
        <f t="shared" si="86"/>
        <v>63521037.912187092</v>
      </c>
      <c r="BX153" s="796">
        <f t="shared" si="86"/>
        <v>65338361.271490395</v>
      </c>
      <c r="BY153" s="796">
        <f t="shared" si="86"/>
        <v>67202542.723655716</v>
      </c>
      <c r="BZ153" s="796">
        <f t="shared" si="86"/>
        <v>69118307.403124496</v>
      </c>
      <c r="CA153" s="796">
        <f t="shared" si="86"/>
        <v>71088272.435609847</v>
      </c>
      <c r="CB153" s="796">
        <f t="shared" si="86"/>
        <v>73114300.902781099</v>
      </c>
      <c r="CC153" s="796">
        <f t="shared" si="86"/>
        <v>75198059.514203966</v>
      </c>
    </row>
    <row r="154" spans="3:81" x14ac:dyDescent="0.25">
      <c r="C154" s="806" t="s">
        <v>634</v>
      </c>
      <c r="F154" s="1126">
        <f>(  (1+'Dynamic Assumptions'!$G$2)^(2*(F4-$E$4)) *  $C$151^2  /  F128  )  *  (1/1000000)</f>
        <v>38048.142154229776</v>
      </c>
      <c r="G154" s="1126">
        <f>(  (1+'Dynamic Assumptions'!$G$2)^(2*(G4-$E$4)) *  $C$151^2  /  G128  )  *  (1/1000000)</f>
        <v>40247.790860485649</v>
      </c>
      <c r="H154" s="1126">
        <f>(  (1+'Dynamic Assumptions'!$G$2)^(2*(H4-$E$4)) *  $C$151^2  /  H128  )  *  (1/1000000)</f>
        <v>42574.606207659759</v>
      </c>
      <c r="I154" s="1126">
        <f>(  (1+'Dynamic Assumptions'!$G$2)^(2*(I4-$E$4)) *  $C$151^2  /  I128  )  *  (1/1000000)</f>
        <v>45035.939985388533</v>
      </c>
      <c r="J154" s="1126">
        <f>(  (1+'Dynamic Assumptions'!$G$2)^(2*(J4-$E$4)) *  $C$151^2  /  J128  )  *  (1/1000000)</f>
        <v>47639.569006808815</v>
      </c>
      <c r="K154" s="1126">
        <f>(  (1+'Dynamic Assumptions'!$G$2)^(2*(K4-$E$4)) *  $C$151^2  /  K128  )  *  (1/1000000)</f>
        <v>50393.719680122704</v>
      </c>
      <c r="L154" s="1126">
        <f>(  (1+'Dynamic Assumptions'!$G$2)^(2*(L4-$E$4)) *  $C$151^2  /  L128  )  *  (1/1000000)</f>
        <v>53307.094000699872</v>
      </c>
      <c r="M154" s="1126">
        <f>(  (1+'Dynamic Assumptions'!$G$2)^(2*(M4-$E$4)) *  $C$151^2  /  M128  )  *  (1/1000000)</f>
        <v>56388.897045841826</v>
      </c>
      <c r="N154" s="1126">
        <f>(  (1+'Dynamic Assumptions'!$G$2)^(2*(N4-$E$4)) *  $C$151^2  /  N128  )  *  (1/1000000)</f>
        <v>59648.86605908029</v>
      </c>
      <c r="O154" s="1126">
        <f>(  (1+'Dynamic Assumptions'!$G$2)^(2*(O4-$E$4)) *  $C$151^2  /  O128  )  *  (1/1000000)</f>
        <v>63097.301215904357</v>
      </c>
      <c r="P154" s="1126">
        <f>(  (1+'Dynamic Assumptions'!$G$2)^(2*(P4-$E$4)) *  $C$151^2  /  P128  )  *  (1/1000000)</f>
        <v>66745.098168123528</v>
      </c>
      <c r="Q154" s="1126">
        <f>(  (1+'Dynamic Assumptions'!$G$2)^(2*(Q4-$E$4)) *  $C$151^2  /  Q128  )  *  (1/1000000)</f>
        <v>70603.782469693615</v>
      </c>
      <c r="R154" s="1126">
        <f>(  (1+'Dynamic Assumptions'!$G$2)^(2*(R4-$E$4)) *  $C$151^2  /  R128  )  *  (1/1000000)</f>
        <v>74685.545992777159</v>
      </c>
      <c r="S154" s="1126">
        <f>(  (1+'Dynamic Assumptions'!$G$2)^(2*(S4-$E$4)) *  $C$151^2  /  S128  )  *  (1/1000000)</f>
        <v>79003.285449098097</v>
      </c>
      <c r="T154" s="1126">
        <f>(  (1+'Dynamic Assumptions'!$G$2)^(2*(T4-$E$4)) *  $C$151^2  /  T128  )  *  (1/1000000)</f>
        <v>83570.643138302708</v>
      </c>
      <c r="U154" s="1126">
        <f>(  (1+'Dynamic Assumptions'!$G$2)^(2*(U4-$E$4)) *  $C$151^2  /  U128  )  *  (1/1000000)</f>
        <v>88402.05005207505</v>
      </c>
      <c r="V154" s="1126">
        <f>(  (1+'Dynamic Assumptions'!$G$2)^(2*(V4-$E$4)) *  $C$151^2  /  V128  )  *  (1/1000000)</f>
        <v>93512.771470198131</v>
      </c>
      <c r="W154" s="1126">
        <f>(  (1+'Dynamic Assumptions'!$G$2)^(2*(W4-$E$4)) *  $C$151^2  /  W128  )  *  (1/1000000)</f>
        <v>79927.858489000137</v>
      </c>
      <c r="X154" s="1126">
        <f>(  (1+'Dynamic Assumptions'!$G$2)^(2*(X4-$E$4)) *  $C$151^2  /  X128  )  *  (1/1000000)</f>
        <v>53497.549407897524</v>
      </c>
      <c r="Y154" s="1126">
        <f>(  (1+'Dynamic Assumptions'!$G$2)^(2*(Y4-$E$4)) *  $C$151^2  /  Y128  )  *  (1/1000000)</f>
        <v>34912.934295846215</v>
      </c>
      <c r="Z154" s="1126">
        <f>(  (1+'Dynamic Assumptions'!$G$2)^(2*(Z4-$E$4)) *  $C$151^2  /  Z128  )  *  (1/1000000)</f>
        <v>24086.282611251874</v>
      </c>
      <c r="AA154" s="1126">
        <f>(  (1+'Dynamic Assumptions'!$G$2)^(2*(AA4-$E$4)) *  $C$151^2  /  AA128  )  *  (1/1000000)</f>
        <v>17765.806520312508</v>
      </c>
      <c r="AB154" s="1126">
        <f>(  (1+'Dynamic Assumptions'!$G$2)^(2*(AB4-$E$4)) *  $C$151^2  /  AB128  )  *  (1/1000000)</f>
        <v>13921.273920523994</v>
      </c>
      <c r="AC154" s="1126">
        <f>(  (1+'Dynamic Assumptions'!$G$2)^(2*(AC4-$E$4)) *  $C$151^2  /  AC128  )  *  (1/1000000)</f>
        <v>11488.748908839008</v>
      </c>
      <c r="AD154" s="1126">
        <f>(  (1+'Dynamic Assumptions'!$G$2)^(2*(AD4-$E$4)) *  $C$151^2  /  AD128  )  *  (1/1000000)</f>
        <v>9908.6162306364695</v>
      </c>
      <c r="AE154" s="1126">
        <f>(  (1+'Dynamic Assumptions'!$G$2)^(2*(AE4-$E$4)) *  $C$151^2  /  AE128  )  *  (1/1000000)</f>
        <v>8874.2450658244888</v>
      </c>
      <c r="AF154" s="1126">
        <f>(  (1+'Dynamic Assumptions'!$G$2)^(2*(AF4-$E$4)) *  $C$151^2  /  AF128  )  *  (1/1000000)</f>
        <v>8209.7196185475004</v>
      </c>
      <c r="AG154" s="1126">
        <f>(  (1+'Dynamic Assumptions'!$G$2)^(2*(AG4-$E$4)) *  $C$151^2  /  AG128  )  *  (1/1000000)</f>
        <v>7809.6456070691393</v>
      </c>
      <c r="AH154" s="1126">
        <f>(  (1+'Dynamic Assumptions'!$G$2)^(2*(AH4-$E$4)) *  $C$151^2  /  AH128  )  *  (1/1000000)</f>
        <v>7608.2350344080924</v>
      </c>
      <c r="AI154" s="1126">
        <f>(  (1+'Dynamic Assumptions'!$G$2)^(2*(AI4-$E$4)) *  $C$151^2  /  AI128  )  *  (1/1000000)</f>
        <v>7869.110977419441</v>
      </c>
      <c r="AJ154" s="1126">
        <f>(  (1+'Dynamic Assumptions'!$G$2)^(2*(AJ4-$E$4)) *  $C$151^2  /  AJ128  )  *  (1/1000000)</f>
        <v>7938.8560602238122</v>
      </c>
      <c r="AK154" s="1126">
        <f>(  (1+'Dynamic Assumptions'!$G$2)^(2*(AK4-$E$4)) *  $C$151^2  /  AK128  )  *  (1/1000000)</f>
        <v>8121.9178096698788</v>
      </c>
      <c r="AL154" s="1126">
        <f>(  (1+'Dynamic Assumptions'!$G$2)^(2*(AL4-$E$4)) *  $C$151^2  /  AL128  )  *  (1/1000000)</f>
        <v>8399.6140426135189</v>
      </c>
      <c r="AM154" s="1126">
        <f>(  (1+'Dynamic Assumptions'!$G$2)^(2*(AM4-$E$4)) *  $C$151^2  /  AM128  )  *  (1/1000000)</f>
        <v>8756.9082287009787</v>
      </c>
      <c r="AN154" s="1126">
        <f>(  (1+'Dynamic Assumptions'!$G$2)^(2*(AN4-$E$4)) *  $C$151^2  /  AN128  )  *  (1/1000000)</f>
        <v>9180.7886180839996</v>
      </c>
      <c r="AO154" s="1126">
        <f>(  (1+'Dynamic Assumptions'!$G$2)^(2*(AO4-$E$4)) *  $C$151^2  /  AO128  )  *  (1/1000000)</f>
        <v>9661.9871591076862</v>
      </c>
      <c r="AP154" s="1126">
        <f>(  (1+'Dynamic Assumptions'!$G$2)^(2*(AP4-$E$4)) *  $C$151^2  /  AP128  )  *  (1/1000000)</f>
        <v>10192.909644800764</v>
      </c>
      <c r="AQ154" s="1126">
        <f>(  (1+'Dynamic Assumptions'!$G$2)^(2*(AQ4-$E$4)) *  $C$151^2  /  AQ128  )  *  (1/1000000)</f>
        <v>10768.028236122271</v>
      </c>
      <c r="AR154" s="1126">
        <f>(  (1+'Dynamic Assumptions'!$G$2)^(2*(AR4-$E$4)) *  $C$151^2  /  AR128  )  *  (1/1000000)</f>
        <v>11383.989595153846</v>
      </c>
      <c r="AS154" s="1126">
        <f>(  (1+'Dynamic Assumptions'!$G$2)^(2*(AS4-$E$4)) *  $C$151^2  /  AS128  )  *  (1/1000000)</f>
        <v>12039.408745589364</v>
      </c>
      <c r="AT154" s="1126">
        <f>(  (1+'Dynamic Assumptions'!$G$2)^(2*(AT4-$E$4)) *  $C$151^2  /  AT128  )  *  (1/1000000)</f>
        <v>12734.450129962715</v>
      </c>
      <c r="AU154" s="1126">
        <f>(  (1+'Dynamic Assumptions'!$G$2)^(2*(AU4-$E$4)) *  $C$151^2  /  AU128  )  *  (1/1000000)</f>
        <v>13470.35248211563</v>
      </c>
      <c r="AV154" s="1126">
        <f>(  (1+'Dynamic Assumptions'!$G$2)^(2*(AV4-$E$4)) *  $C$151^2  /  AV128  )  *  (1/1000000)</f>
        <v>14249.025824604485</v>
      </c>
      <c r="AW154" s="1126">
        <f>(  (1+'Dynamic Assumptions'!$G$2)^(2*(AW4-$E$4)) *  $C$151^2  /  AW128  )  *  (1/1000000)</f>
        <v>15072.778394022233</v>
      </c>
      <c r="AX154" s="1126">
        <f>(  (1+'Dynamic Assumptions'!$G$2)^(2*(AX4-$E$4)) *  $C$151^2  /  AX128  )  *  (1/1000000)</f>
        <v>15944.167364686342</v>
      </c>
      <c r="AY154" s="1126">
        <f>(  (1+'Dynamic Assumptions'!$G$2)^(2*(AY4-$E$4)) *  $C$151^2  /  AY128  )  *  (1/1000000)</f>
        <v>16865.935359003488</v>
      </c>
      <c r="AZ154" s="1126">
        <f>(  (1+'Dynamic Assumptions'!$G$2)^(2*(AZ4-$E$4)) *  $C$151^2  /  AZ128  )  *  (1/1000000)</f>
        <v>17840.993025339776</v>
      </c>
      <c r="BA154" s="1126">
        <f>(  (1+'Dynamic Assumptions'!$G$2)^(2*(BA4-$E$4)) *  $C$151^2  /  BA128  )  *  (1/1000000)</f>
        <v>19032.24134650523</v>
      </c>
      <c r="BB154" s="1126">
        <f>(  (1+'Dynamic Assumptions'!$G$2)^(2*(BB4-$E$4)) *  $C$151^2  /  BB128  )  *  (1/1000000)</f>
        <v>20661.518454952224</v>
      </c>
      <c r="BC154" s="1126">
        <f>(  (1+'Dynamic Assumptions'!$G$2)^(2*(BC4-$E$4)) *  $C$151^2  /  BC128  )  *  (1/1000000)</f>
        <v>22872.013632363709</v>
      </c>
      <c r="BD154" s="1126">
        <f>(  (1+'Dynamic Assumptions'!$G$2)^(2*(BD4-$E$4)) *  $C$151^2  /  BD128  )  *  (1/1000000)</f>
        <v>25868.45520182799</v>
      </c>
      <c r="BE154" s="1126">
        <f>(  (1+'Dynamic Assumptions'!$G$2)^(2*(BE4-$E$4)) *  $C$151^2  /  BE128  )  *  (1/1000000)</f>
        <v>29950.92613021022</v>
      </c>
      <c r="BF154" s="1126">
        <f>(  (1+'Dynamic Assumptions'!$G$2)^(2*(BF4-$E$4)) *  $C$151^2  /  BF128  )  *  (1/1000000)</f>
        <v>35569.699059190309</v>
      </c>
      <c r="BG154" s="1126">
        <f>(  (1+'Dynamic Assumptions'!$G$2)^(2*(BG4-$E$4)) *  $C$151^2  /  BG128  )  *  (1/1000000)</f>
        <v>43416.549527306044</v>
      </c>
      <c r="BH154" s="1126">
        <f>(  (1+'Dynamic Assumptions'!$G$2)^(2*(BH4-$E$4)) *  $C$151^2  /  BH128  )  *  (1/1000000)</f>
        <v>54580.990321267818</v>
      </c>
      <c r="BI154" s="1126">
        <f>(  (1+'Dynamic Assumptions'!$G$2)^(2*(BI4-$E$4)) *  $C$151^2  /  BI128  )  *  (1/1000000)</f>
        <v>70825.248535458668</v>
      </c>
      <c r="BJ154" s="1126">
        <f>(  (1+'Dynamic Assumptions'!$G$2)^(2*(BJ4-$E$4)) *  $C$151^2  /  BJ128  )  *  (1/1000000)</f>
        <v>95082.966750087115</v>
      </c>
      <c r="BK154" s="1126">
        <f>(  (1+'Dynamic Assumptions'!$G$2)^(2*(BK4-$E$4)) *  $C$151^2  /  BK128  )  *  (1/1000000)</f>
        <v>132393.19651540124</v>
      </c>
      <c r="BL154" s="1126">
        <f>(  (1+'Dynamic Assumptions'!$G$2)^(2*(BL4-$E$4)) *  $C$151^2  /  BL128  )  *  (1/1000000)</f>
        <v>191711.33404727644</v>
      </c>
      <c r="BM154" s="1126">
        <f>(  (1+'Dynamic Assumptions'!$G$2)^(2*(BM4-$E$4)) *  $C$151^2  /  BM128  )  *  (1/1000000)</f>
        <v>289554.72495809983</v>
      </c>
      <c r="BN154" s="1126">
        <f>(  (1+'Dynamic Assumptions'!$G$2)^(2*(BN4-$E$4)) *  $C$151^2  /  BN128  )  *  (1/1000000)</f>
        <v>457647.4326809757</v>
      </c>
      <c r="BO154" s="1126">
        <f>(  (1+'Dynamic Assumptions'!$G$2)^(2*(BO4-$E$4)) *  $C$151^2  /  BO128  )  *  (1/1000000)</f>
        <v>759681.59139616508</v>
      </c>
      <c r="BP154" s="1126">
        <f>(  (1+'Dynamic Assumptions'!$G$2)^(2*(BP4-$E$4)) *  $C$151^2  /  BP128  )  *  (1/1000000)</f>
        <v>1329908.0126662282</v>
      </c>
      <c r="BQ154" s="1126">
        <f>(  (1+'Dynamic Assumptions'!$G$2)^(2*(BQ4-$E$4)) *  $C$151^2  /  BQ128  )  *  (1/1000000)</f>
        <v>2466916.5724438513</v>
      </c>
      <c r="BR154" s="1126">
        <f>(  (1+'Dynamic Assumptions'!$G$2)^(2*(BR4-$E$4)) *  $C$151^2  /  BR128  )  *  (1/1000000)</f>
        <v>4907344.4924353426</v>
      </c>
      <c r="BS154" s="1126">
        <f>(  (1+'Dynamic Assumptions'!$G$2)^(2*(BS4-$E$4)) *  $C$151^2  /  BS128  )  *  (1/1000000)</f>
        <v>10549424.284424717</v>
      </c>
      <c r="BT154" s="1126">
        <f>(  (1+'Dynamic Assumptions'!$G$2)^(2*(BT4-$E$4)) *  $C$151^2  /  BT128  )  *  (1/1000000)</f>
        <v>24734212.570090026</v>
      </c>
      <c r="BU154" s="1126">
        <f>(  (1+'Dynamic Assumptions'!$G$2)^(2*(BU4-$E$4)) *  $C$151^2  /  BU128  )  *  (1/1000000)</f>
        <v>63965250.712457098</v>
      </c>
      <c r="BV154" s="1126">
        <f>(  (1+'Dynamic Assumptions'!$G$2)^(2*(BV4-$E$4)) *  $C$151^2  /  BV128  )  *  (1/1000000)</f>
        <v>185050214.79786018</v>
      </c>
      <c r="BW154" s="1126">
        <f>(  (1+'Dynamic Assumptions'!$G$2)^(2*(BW4-$E$4)) *  $C$151^2  /  BW128  )  *  (1/1000000)</f>
        <v>609857273.87434793</v>
      </c>
      <c r="BX154" s="1126">
        <f>(  (1+'Dynamic Assumptions'!$G$2)^(2*(BX4-$E$4)) *  $C$151^2  /  BX128  )  *  (1/1000000)</f>
        <v>2345993139.0873032</v>
      </c>
      <c r="BY154" s="1126">
        <f>(  (1+'Dynamic Assumptions'!$G$2)^(2*(BY4-$E$4)) *  $C$151^2  /  BY128  )  *  (1/1000000)</f>
        <v>10900990396.976252</v>
      </c>
      <c r="BZ154" s="1126">
        <f>(  (1+'Dynamic Assumptions'!$G$2)^(2*(BZ4-$E$4)) *  $C$151^2  /  BZ128  )  *  (1/1000000)</f>
        <v>64443069145.977676</v>
      </c>
      <c r="CA154" s="1126">
        <f>(  (1+'Dynamic Assumptions'!$G$2)^(2*(CA4-$E$4)) *  $C$151^2  /  CA128  )  *  (1/1000000)</f>
        <v>529232627771.49609</v>
      </c>
      <c r="CB154" s="1126">
        <f>(  (1+'Dynamic Assumptions'!$G$2)^(2*(CB4-$E$4)) *  $C$151^2  /  CB128  )  *  (1/1000000)</f>
        <v>7249169823354.5674</v>
      </c>
      <c r="CC154" s="1126">
        <f>(  (1+'Dynamic Assumptions'!$G$2)^(2*(CC4-$E$4)) *  $C$151^2  /  CC128  )  *  (1/1000000)</f>
        <v>317121265436433.75</v>
      </c>
    </row>
    <row r="155" spans="3:81" x14ac:dyDescent="0.25">
      <c r="C155" s="806" t="s">
        <v>636</v>
      </c>
      <c r="F155" s="1126">
        <f>F154/1000</f>
        <v>38.048142154229772</v>
      </c>
      <c r="G155" s="1126">
        <f t="shared" ref="G155:BR155" si="87">G154/1000</f>
        <v>40.247790860485651</v>
      </c>
      <c r="H155" s="1126">
        <f t="shared" si="87"/>
        <v>42.574606207659762</v>
      </c>
      <c r="I155" s="1126">
        <f t="shared" si="87"/>
        <v>45.035939985388531</v>
      </c>
      <c r="J155" s="1126">
        <f t="shared" si="87"/>
        <v>47.639569006808813</v>
      </c>
      <c r="K155" s="1126">
        <f t="shared" si="87"/>
        <v>50.3937196801227</v>
      </c>
      <c r="L155" s="1126">
        <f t="shared" si="87"/>
        <v>53.30709400069987</v>
      </c>
      <c r="M155" s="1126">
        <f t="shared" si="87"/>
        <v>56.388897045841823</v>
      </c>
      <c r="N155" s="1126">
        <f t="shared" si="87"/>
        <v>59.648866059080291</v>
      </c>
      <c r="O155" s="1126">
        <f t="shared" si="87"/>
        <v>63.097301215904359</v>
      </c>
      <c r="P155" s="1126">
        <f t="shared" si="87"/>
        <v>66.745098168123533</v>
      </c>
      <c r="Q155" s="1126">
        <f t="shared" si="87"/>
        <v>70.603782469693613</v>
      </c>
      <c r="R155" s="1126">
        <f t="shared" si="87"/>
        <v>74.685545992777165</v>
      </c>
      <c r="S155" s="1126">
        <f t="shared" si="87"/>
        <v>79.003285449098101</v>
      </c>
      <c r="T155" s="1126">
        <f t="shared" si="87"/>
        <v>83.570643138302714</v>
      </c>
      <c r="U155" s="1126">
        <f t="shared" si="87"/>
        <v>88.402050052075055</v>
      </c>
      <c r="V155" s="1126">
        <f t="shared" si="87"/>
        <v>93.512771470198132</v>
      </c>
      <c r="W155" s="1126">
        <f t="shared" si="87"/>
        <v>79.92785848900013</v>
      </c>
      <c r="X155" s="1126">
        <f t="shared" si="87"/>
        <v>53.497549407897523</v>
      </c>
      <c r="Y155" s="1126">
        <f t="shared" si="87"/>
        <v>34.912934295846213</v>
      </c>
      <c r="Z155" s="1126">
        <f t="shared" si="87"/>
        <v>24.086282611251875</v>
      </c>
      <c r="AA155" s="1126">
        <f t="shared" si="87"/>
        <v>17.765806520312509</v>
      </c>
      <c r="AB155" s="1126">
        <f t="shared" si="87"/>
        <v>13.921273920523994</v>
      </c>
      <c r="AC155" s="1126">
        <f t="shared" si="87"/>
        <v>11.488748908839009</v>
      </c>
      <c r="AD155" s="1126">
        <f t="shared" si="87"/>
        <v>9.9086162306364702</v>
      </c>
      <c r="AE155" s="1126">
        <f t="shared" si="87"/>
        <v>8.8742450658244891</v>
      </c>
      <c r="AF155" s="1126">
        <f t="shared" si="87"/>
        <v>8.209719618547501</v>
      </c>
      <c r="AG155" s="1126">
        <f t="shared" si="87"/>
        <v>7.8096456070691396</v>
      </c>
      <c r="AH155" s="1126">
        <f t="shared" si="87"/>
        <v>7.608235034408092</v>
      </c>
      <c r="AI155" s="1126">
        <f t="shared" si="87"/>
        <v>7.8691109774194414</v>
      </c>
      <c r="AJ155" s="1126">
        <f t="shared" si="87"/>
        <v>7.9388560602238121</v>
      </c>
      <c r="AK155" s="1126">
        <f t="shared" si="87"/>
        <v>8.1219178096698794</v>
      </c>
      <c r="AL155" s="1126">
        <f t="shared" si="87"/>
        <v>8.3996140426135195</v>
      </c>
      <c r="AM155" s="1126">
        <f t="shared" si="87"/>
        <v>8.7569082287009792</v>
      </c>
      <c r="AN155" s="1126">
        <f t="shared" si="87"/>
        <v>9.1807886180839997</v>
      </c>
      <c r="AO155" s="1126">
        <f t="shared" si="87"/>
        <v>9.6619871591076869</v>
      </c>
      <c r="AP155" s="1126">
        <f t="shared" si="87"/>
        <v>10.192909644800764</v>
      </c>
      <c r="AQ155" s="1126">
        <f t="shared" si="87"/>
        <v>10.768028236122271</v>
      </c>
      <c r="AR155" s="1126">
        <f t="shared" si="87"/>
        <v>11.383989595153846</v>
      </c>
      <c r="AS155" s="1126">
        <f t="shared" si="87"/>
        <v>12.039408745589364</v>
      </c>
      <c r="AT155" s="1126">
        <f t="shared" si="87"/>
        <v>12.734450129962715</v>
      </c>
      <c r="AU155" s="1126">
        <f t="shared" si="87"/>
        <v>13.470352482115629</v>
      </c>
      <c r="AV155" s="1126">
        <f t="shared" si="87"/>
        <v>14.249025824604486</v>
      </c>
      <c r="AW155" s="1126">
        <f t="shared" si="87"/>
        <v>15.072778394022233</v>
      </c>
      <c r="AX155" s="1126">
        <f t="shared" si="87"/>
        <v>15.944167364686342</v>
      </c>
      <c r="AY155" s="1126">
        <f t="shared" si="87"/>
        <v>16.865935359003487</v>
      </c>
      <c r="AZ155" s="1126">
        <f t="shared" si="87"/>
        <v>17.840993025339777</v>
      </c>
      <c r="BA155" s="1126">
        <f t="shared" si="87"/>
        <v>19.032241346505231</v>
      </c>
      <c r="BB155" s="1126">
        <f t="shared" si="87"/>
        <v>20.661518454952223</v>
      </c>
      <c r="BC155" s="1126">
        <f t="shared" si="87"/>
        <v>22.872013632363711</v>
      </c>
      <c r="BD155" s="1126">
        <f t="shared" si="87"/>
        <v>25.868455201827992</v>
      </c>
      <c r="BE155" s="1126">
        <f t="shared" si="87"/>
        <v>29.95092613021022</v>
      </c>
      <c r="BF155" s="1126">
        <f t="shared" si="87"/>
        <v>35.569699059190306</v>
      </c>
      <c r="BG155" s="1126">
        <f t="shared" si="87"/>
        <v>43.416549527306046</v>
      </c>
      <c r="BH155" s="1126">
        <f t="shared" si="87"/>
        <v>54.580990321267819</v>
      </c>
      <c r="BI155" s="1126">
        <f t="shared" si="87"/>
        <v>70.82524853545867</v>
      </c>
      <c r="BJ155" s="1126">
        <f t="shared" si="87"/>
        <v>95.08296675008711</v>
      </c>
      <c r="BK155" s="1126">
        <f t="shared" si="87"/>
        <v>132.39319651540126</v>
      </c>
      <c r="BL155" s="1126">
        <f t="shared" si="87"/>
        <v>191.71133404727644</v>
      </c>
      <c r="BM155" s="1126">
        <f t="shared" si="87"/>
        <v>289.55472495809983</v>
      </c>
      <c r="BN155" s="1126">
        <f t="shared" si="87"/>
        <v>457.64743268097573</v>
      </c>
      <c r="BO155" s="1126">
        <f t="shared" si="87"/>
        <v>759.68159139616512</v>
      </c>
      <c r="BP155" s="1126">
        <f t="shared" si="87"/>
        <v>1329.9080126662282</v>
      </c>
      <c r="BQ155" s="1126">
        <f t="shared" si="87"/>
        <v>2466.9165724438512</v>
      </c>
      <c r="BR155" s="1126">
        <f t="shared" si="87"/>
        <v>4907.3444924353425</v>
      </c>
      <c r="BS155" s="1126">
        <f t="shared" ref="BS155:CC155" si="88">BS154/1000</f>
        <v>10549.424284424716</v>
      </c>
      <c r="BT155" s="1126">
        <f t="shared" si="88"/>
        <v>24734.212570090025</v>
      </c>
      <c r="BU155" s="1126">
        <f t="shared" si="88"/>
        <v>63965.250712457098</v>
      </c>
      <c r="BV155" s="1126">
        <f t="shared" si="88"/>
        <v>185050.21479786019</v>
      </c>
      <c r="BW155" s="1126">
        <f t="shared" si="88"/>
        <v>609857.27387434791</v>
      </c>
      <c r="BX155" s="1126">
        <f t="shared" si="88"/>
        <v>2345993.1390873031</v>
      </c>
      <c r="BY155" s="1126">
        <f t="shared" si="88"/>
        <v>10900990.396976251</v>
      </c>
      <c r="BZ155" s="1126">
        <f t="shared" si="88"/>
        <v>64443069.145977676</v>
      </c>
      <c r="CA155" s="1126">
        <f t="shared" si="88"/>
        <v>529232627.77149612</v>
      </c>
      <c r="CB155" s="1126">
        <f t="shared" si="88"/>
        <v>7249169823.3545675</v>
      </c>
      <c r="CC155" s="1126">
        <f t="shared" si="88"/>
        <v>317121265436.43378</v>
      </c>
    </row>
    <row r="156" spans="3:81" x14ac:dyDescent="0.25">
      <c r="C156" s="806" t="s">
        <v>635</v>
      </c>
      <c r="F156" s="1126">
        <f>F10/1000</f>
        <v>15.586029369677004</v>
      </c>
      <c r="G156" s="1126">
        <f t="shared" ref="G156:BR156" si="89">G10/1000</f>
        <v>15.869206863725241</v>
      </c>
      <c r="H156" s="1126">
        <f t="shared" si="89"/>
        <v>16.155865722578707</v>
      </c>
      <c r="I156" s="1126">
        <f t="shared" si="89"/>
        <v>16.445974373111763</v>
      </c>
      <c r="J156" s="1126">
        <f t="shared" si="89"/>
        <v>16.739496614792039</v>
      </c>
      <c r="K156" s="1126">
        <f t="shared" si="89"/>
        <v>17.036391381563533</v>
      </c>
      <c r="L156" s="1126">
        <f t="shared" si="89"/>
        <v>17.336612493915627</v>
      </c>
      <c r="M156" s="1126">
        <f t="shared" si="89"/>
        <v>17.640108400772124</v>
      </c>
      <c r="N156" s="1126">
        <f t="shared" si="89"/>
        <v>17.946821910821257</v>
      </c>
      <c r="O156" s="1126">
        <f t="shared" si="89"/>
        <v>18.256689912894664</v>
      </c>
      <c r="P156" s="1126">
        <f t="shared" si="89"/>
        <v>18.569643084989188</v>
      </c>
      <c r="Q156" s="1126">
        <f t="shared" si="89"/>
        <v>19.051130718129105</v>
      </c>
      <c r="R156" s="1126">
        <f t="shared" si="89"/>
        <v>19.544979953762208</v>
      </c>
      <c r="S156" s="1126">
        <f t="shared" si="89"/>
        <v>20.051504314900605</v>
      </c>
      <c r="T156" s="1126">
        <f t="shared" si="89"/>
        <v>20.571025154656439</v>
      </c>
      <c r="U156" s="1126">
        <f t="shared" si="89"/>
        <v>21.103871847898585</v>
      </c>
      <c r="V156" s="1126">
        <f t="shared" si="89"/>
        <v>21.650381987473658</v>
      </c>
      <c r="W156" s="1126">
        <f t="shared" si="89"/>
        <v>22.210901585096057</v>
      </c>
      <c r="X156" s="1126">
        <f t="shared" si="89"/>
        <v>22.785785277013602</v>
      </c>
      <c r="Y156" s="1126">
        <f t="shared" si="89"/>
        <v>23.375396534557961</v>
      </c>
      <c r="Z156" s="1126">
        <f t="shared" si="89"/>
        <v>23.980107879691083</v>
      </c>
      <c r="AA156" s="1126">
        <f t="shared" si="89"/>
        <v>24.600301105661611</v>
      </c>
      <c r="AB156" s="1126">
        <f t="shared" si="89"/>
        <v>25.23636750288718</v>
      </c>
      <c r="AC156" s="1126">
        <f t="shared" si="89"/>
        <v>25.888708090181527</v>
      </c>
      <c r="AD156" s="1126">
        <f t="shared" si="89"/>
        <v>26.557733851447431</v>
      </c>
      <c r="AE156" s="1126">
        <f t="shared" si="89"/>
        <v>27.243865977959246</v>
      </c>
      <c r="AF156" s="1126">
        <f t="shared" si="89"/>
        <v>27.947536116361384</v>
      </c>
      <c r="AG156" s="1126">
        <f t="shared" si="89"/>
        <v>28.669186622511862</v>
      </c>
      <c r="AH156" s="1126">
        <f t="shared" si="89"/>
        <v>29.409270821302389</v>
      </c>
      <c r="AI156" s="1126">
        <f t="shared" si="89"/>
        <v>30.168253272589855</v>
      </c>
      <c r="AJ156" s="1126">
        <f t="shared" si="89"/>
        <v>30.946610043376094</v>
      </c>
      <c r="AK156" s="1126">
        <f t="shared" si="89"/>
        <v>31.74482898637649</v>
      </c>
      <c r="AL156" s="1126">
        <f t="shared" si="89"/>
        <v>32.563410025120177</v>
      </c>
      <c r="AM156" s="1126">
        <f t="shared" si="89"/>
        <v>33.402865445728075</v>
      </c>
      <c r="AN156" s="1126">
        <f t="shared" si="89"/>
        <v>34.263720195517706</v>
      </c>
      <c r="AO156" s="1126">
        <f t="shared" si="89"/>
        <v>35.146512188587067</v>
      </c>
      <c r="AP156" s="1126">
        <f t="shared" si="89"/>
        <v>36.148187785961788</v>
      </c>
      <c r="AQ156" s="1126">
        <f t="shared" si="89"/>
        <v>37.178411137861701</v>
      </c>
      <c r="AR156" s="1126">
        <f t="shared" si="89"/>
        <v>38.237995855290762</v>
      </c>
      <c r="AS156" s="1126">
        <f t="shared" si="89"/>
        <v>39.327778737166547</v>
      </c>
      <c r="AT156" s="1126">
        <f t="shared" si="89"/>
        <v>40.448620431175797</v>
      </c>
      <c r="AU156" s="1126">
        <f t="shared" si="89"/>
        <v>41.601406113464314</v>
      </c>
      <c r="AV156" s="1126">
        <f t="shared" si="89"/>
        <v>42.787046187698031</v>
      </c>
      <c r="AW156" s="1126">
        <f t="shared" si="89"/>
        <v>44.006477004047433</v>
      </c>
      <c r="AX156" s="1126">
        <f t="shared" si="89"/>
        <v>45.260661598662779</v>
      </c>
      <c r="AY156" s="1126">
        <f t="shared" si="89"/>
        <v>46.550590454224668</v>
      </c>
      <c r="AZ156" s="1126">
        <f t="shared" si="89"/>
        <v>47.877282282170071</v>
      </c>
      <c r="BA156" s="1126">
        <f t="shared" si="89"/>
        <v>49.241784827211916</v>
      </c>
      <c r="BB156" s="1126">
        <f t="shared" si="89"/>
        <v>50.645175694787454</v>
      </c>
      <c r="BC156" s="1126">
        <f t="shared" si="89"/>
        <v>52.088563202088892</v>
      </c>
      <c r="BD156" s="1126">
        <f t="shared" si="89"/>
        <v>53.573087253348433</v>
      </c>
      <c r="BE156" s="1126">
        <f t="shared" si="89"/>
        <v>55.099920240068869</v>
      </c>
      <c r="BF156" s="1126">
        <f t="shared" si="89"/>
        <v>56.670267966910814</v>
      </c>
      <c r="BG156" s="1126">
        <f t="shared" si="89"/>
        <v>58.28537060396777</v>
      </c>
      <c r="BH156" s="1126">
        <f t="shared" si="89"/>
        <v>59.946503666180845</v>
      </c>
      <c r="BI156" s="1126">
        <f t="shared" si="89"/>
        <v>61.654979020667</v>
      </c>
      <c r="BJ156" s="1126">
        <f t="shared" si="89"/>
        <v>61.654979020667</v>
      </c>
      <c r="BK156" s="1126">
        <f t="shared" si="89"/>
        <v>63.412145922756004</v>
      </c>
      <c r="BL156" s="1126">
        <f t="shared" si="89"/>
        <v>65.219392081554545</v>
      </c>
      <c r="BM156" s="1126">
        <f t="shared" si="89"/>
        <v>67.078144755878853</v>
      </c>
      <c r="BN156" s="1126">
        <f t="shared" si="89"/>
        <v>68.989871881421394</v>
      </c>
      <c r="BO156" s="1126">
        <f t="shared" si="89"/>
        <v>70.956083230041898</v>
      </c>
      <c r="BP156" s="1126">
        <f t="shared" si="89"/>
        <v>72.978331602098081</v>
      </c>
      <c r="BQ156" s="1126">
        <f t="shared" si="89"/>
        <v>75.058214052757876</v>
      </c>
      <c r="BR156" s="1126">
        <f t="shared" si="89"/>
        <v>77.197373153261481</v>
      </c>
      <c r="BS156" s="1126">
        <f t="shared" ref="BS156:CC156" si="90">BS10/1000</f>
        <v>79.397498288129427</v>
      </c>
      <c r="BT156" s="1126">
        <f t="shared" si="90"/>
        <v>81.660326989341101</v>
      </c>
      <c r="BU156" s="1126">
        <f t="shared" si="90"/>
        <v>83.987646308537336</v>
      </c>
      <c r="BV156" s="1126">
        <f t="shared" si="90"/>
        <v>86.38129422833066</v>
      </c>
      <c r="BW156" s="1126">
        <f t="shared" si="90"/>
        <v>88.843161113838065</v>
      </c>
      <c r="BX156" s="1126">
        <f t="shared" si="90"/>
        <v>91.375191205582468</v>
      </c>
      <c r="BY156" s="1126">
        <f t="shared" si="90"/>
        <v>93.979384154941542</v>
      </c>
      <c r="BZ156" s="1126">
        <f t="shared" si="90"/>
        <v>96.657796603357397</v>
      </c>
      <c r="CA156" s="1126">
        <f t="shared" si="90"/>
        <v>99.41254380655306</v>
      </c>
      <c r="CB156" s="1126">
        <f t="shared" si="90"/>
        <v>102.24580130503985</v>
      </c>
      <c r="CC156" s="1126">
        <f t="shared" si="90"/>
        <v>105.15980664223345</v>
      </c>
    </row>
    <row r="181" spans="3:92" x14ac:dyDescent="0.25">
      <c r="P181" s="609" t="s">
        <v>617</v>
      </c>
    </row>
    <row r="182" spans="3:92" x14ac:dyDescent="0.25">
      <c r="P182" s="609" t="s">
        <v>618</v>
      </c>
    </row>
    <row r="183" spans="3:92" x14ac:dyDescent="0.25">
      <c r="P183" s="609" t="s">
        <v>619</v>
      </c>
    </row>
    <row r="184" spans="3:92" x14ac:dyDescent="0.25">
      <c r="P184" s="609" t="s">
        <v>620</v>
      </c>
    </row>
    <row r="187" spans="3:92" x14ac:dyDescent="0.25">
      <c r="N187" s="609" t="s">
        <v>629</v>
      </c>
      <c r="O187" s="609" t="s">
        <v>630</v>
      </c>
    </row>
    <row r="188" spans="3:92" x14ac:dyDescent="0.25">
      <c r="C188" s="806" t="s">
        <v>628</v>
      </c>
      <c r="E188" s="609" t="s">
        <v>622</v>
      </c>
      <c r="F188" s="609" t="s">
        <v>623</v>
      </c>
      <c r="G188" s="609" t="s">
        <v>624</v>
      </c>
      <c r="H188" s="609" t="s">
        <v>625</v>
      </c>
      <c r="I188" s="609" t="s">
        <v>626</v>
      </c>
      <c r="J188" s="609" t="s">
        <v>627</v>
      </c>
      <c r="L188" s="609" t="s">
        <v>629</v>
      </c>
      <c r="M188" s="609" t="s">
        <v>630</v>
      </c>
      <c r="N188" s="609" t="s">
        <v>631</v>
      </c>
      <c r="O188" s="609" t="s">
        <v>631</v>
      </c>
    </row>
    <row r="189" spans="3:92" x14ac:dyDescent="0.25">
      <c r="D189" s="609">
        <v>2015</v>
      </c>
      <c r="E189" s="810">
        <v>19.178827924192298</v>
      </c>
      <c r="F189" s="810">
        <v>19.178827924192298</v>
      </c>
      <c r="G189" s="810">
        <v>19.178827924192298</v>
      </c>
      <c r="H189" s="810">
        <v>101.85056346841415</v>
      </c>
      <c r="I189" s="810"/>
      <c r="J189" s="609">
        <f>I189/1000000</f>
        <v>0</v>
      </c>
      <c r="K189" s="610">
        <v>1</v>
      </c>
      <c r="L189" s="609">
        <v>7493358.6234543836</v>
      </c>
      <c r="M189" s="609">
        <v>3069577.1454296578</v>
      </c>
      <c r="N189" s="810">
        <f>L189/1000000</f>
        <v>7.4933586234543839</v>
      </c>
      <c r="O189" s="810">
        <f>M189/1000000</f>
        <v>3.0695771454296579</v>
      </c>
    </row>
    <row r="190" spans="3:92" x14ac:dyDescent="0.25">
      <c r="D190" s="609">
        <v>2016</v>
      </c>
      <c r="E190" s="810">
        <v>18.647377660857853</v>
      </c>
      <c r="F190" s="810">
        <v>18.647377660857853</v>
      </c>
      <c r="G190" s="810">
        <v>18.647377660857853</v>
      </c>
      <c r="H190" s="810">
        <v>101.31911320507972</v>
      </c>
      <c r="I190" s="810"/>
      <c r="J190" s="609">
        <f t="shared" ref="J190:J253" si="91">I190/1000000</f>
        <v>0</v>
      </c>
      <c r="K190" s="610">
        <v>2</v>
      </c>
      <c r="L190" s="609">
        <v>7785121.2124395967</v>
      </c>
      <c r="M190" s="609">
        <v>3069577.1454296578</v>
      </c>
      <c r="N190" s="810">
        <f t="shared" ref="N190:N253" si="92">L190/1000000</f>
        <v>7.7851212124395968</v>
      </c>
      <c r="O190" s="810">
        <f t="shared" ref="O190:O253" si="93">M190/1000000</f>
        <v>3.0695771454296579</v>
      </c>
      <c r="Q190" s="609">
        <v>7493358.6234543836</v>
      </c>
      <c r="R190" s="609">
        <v>7785121.2124395967</v>
      </c>
      <c r="S190" s="609">
        <v>8089076.7746391408</v>
      </c>
      <c r="T190" s="609">
        <v>8405783.0181291662</v>
      </c>
      <c r="U190" s="609">
        <v>8735826.1485712007</v>
      </c>
      <c r="V190" s="609">
        <v>9079822.5245455019</v>
      </c>
      <c r="W190" s="609">
        <v>9438420.4233235065</v>
      </c>
      <c r="X190" s="609">
        <v>9812301.9255553838</v>
      </c>
      <c r="Y190" s="609">
        <v>10202184.928092878</v>
      </c>
      <c r="Z190" s="609">
        <v>10608825.294985907</v>
      </c>
      <c r="AA190" s="609">
        <v>11033019.157591967</v>
      </c>
      <c r="AB190" s="609">
        <v>11375899.953467002</v>
      </c>
      <c r="AC190" s="609">
        <v>11729510.371241668</v>
      </c>
      <c r="AD190" s="609">
        <v>12094188.825932439</v>
      </c>
      <c r="AE190" s="609">
        <v>12470284.503449976</v>
      </c>
      <c r="AF190" s="609">
        <v>12858157.707018042</v>
      </c>
      <c r="AG190" s="609">
        <v>13258180.214870261</v>
      </c>
      <c r="AH190" s="609">
        <v>13670735.649597103</v>
      </c>
      <c r="AI190" s="609">
        <v>14096219.859528</v>
      </c>
      <c r="AJ190" s="609">
        <v>14535041.312546343</v>
      </c>
      <c r="AK190" s="609">
        <v>14987621.502748674</v>
      </c>
      <c r="AL190" s="609">
        <v>15454395.370372834</v>
      </c>
      <c r="AM190" s="609">
        <v>15935811.735434717</v>
      </c>
      <c r="AN190" s="609">
        <v>16432333.745527409</v>
      </c>
      <c r="AO190" s="609">
        <v>16944439.338252336</v>
      </c>
      <c r="AP190" s="609">
        <v>17472621.718767572</v>
      </c>
      <c r="AQ190" s="609">
        <v>18017389.852954935</v>
      </c>
      <c r="AR190" s="609">
        <v>18579268.976724364</v>
      </c>
      <c r="AS190" s="609">
        <v>19158801.121991802</v>
      </c>
      <c r="AT190" s="609">
        <v>19756545.659884494</v>
      </c>
      <c r="AU190" s="609">
        <v>20373079.861746967</v>
      </c>
      <c r="AV190" s="609">
        <v>21008999.478539757</v>
      </c>
      <c r="AW190" s="609">
        <v>21664919.339243427</v>
      </c>
      <c r="AX190" s="609">
        <v>22341473.96890102</v>
      </c>
      <c r="AY190" s="609">
        <v>23039318.226953574</v>
      </c>
      <c r="AZ190" s="609">
        <v>23759127.966545533</v>
      </c>
      <c r="BA190" s="609">
        <v>24436263.113592084</v>
      </c>
      <c r="BB190" s="609">
        <v>25132696.612329461</v>
      </c>
      <c r="BC190" s="609">
        <v>25848978.465780847</v>
      </c>
      <c r="BD190" s="609">
        <v>26585674.352055602</v>
      </c>
      <c r="BE190" s="609">
        <v>27343366.071089186</v>
      </c>
      <c r="BF190" s="609">
        <v>28122652.00411522</v>
      </c>
      <c r="BG190" s="609">
        <v>28924147.586232521</v>
      </c>
      <c r="BH190" s="609">
        <v>29748485.792440139</v>
      </c>
      <c r="BI190" s="609">
        <v>30596317.637524683</v>
      </c>
      <c r="BJ190" s="609">
        <v>31468312.690194137</v>
      </c>
      <c r="BK190" s="609">
        <v>32365159.601864673</v>
      </c>
      <c r="BL190" s="609">
        <v>33287566.650517818</v>
      </c>
      <c r="BM190" s="609">
        <v>34236262.300057575</v>
      </c>
      <c r="BN190" s="609">
        <v>35211995.775609218</v>
      </c>
      <c r="BO190" s="609">
        <v>36215537.655214086</v>
      </c>
      <c r="BP190" s="609">
        <v>37247680.478387684</v>
      </c>
      <c r="BQ190" s="609">
        <v>38309239.372021735</v>
      </c>
      <c r="BR190" s="609">
        <v>39401052.694124356</v>
      </c>
      <c r="BS190" s="609">
        <v>40523982.6959069</v>
      </c>
      <c r="BT190" s="609">
        <v>41678916.202740245</v>
      </c>
      <c r="BU190" s="609">
        <v>44088468.125982113</v>
      </c>
      <c r="BV190" s="609">
        <v>45344989.467572607</v>
      </c>
      <c r="BW190" s="609">
        <v>46637321.667398438</v>
      </c>
      <c r="BX190" s="609">
        <v>47966485.334919281</v>
      </c>
      <c r="BY190" s="609">
        <v>49333530.166964486</v>
      </c>
      <c r="BZ190" s="609">
        <v>50739535.776722975</v>
      </c>
      <c r="CA190" s="609">
        <v>52185612.546359591</v>
      </c>
      <c r="CB190" s="609">
        <v>53672902.503930844</v>
      </c>
      <c r="CC190" s="609">
        <v>55202580.225292876</v>
      </c>
      <c r="CD190" s="609">
        <v>56775853.761713721</v>
      </c>
      <c r="CE190" s="609">
        <v>58393965.59392257</v>
      </c>
      <c r="CF190" s="609">
        <v>60058193.613349363</v>
      </c>
      <c r="CG190" s="609">
        <v>61769852.131329812</v>
      </c>
      <c r="CH190" s="609">
        <v>63530292.917072713</v>
      </c>
      <c r="CI190" s="609">
        <v>65340906.26520928</v>
      </c>
      <c r="CJ190" s="609">
        <v>67203122.093767762</v>
      </c>
      <c r="CK190" s="609">
        <v>69118411.073440135</v>
      </c>
      <c r="CL190" s="609">
        <v>71088285.789033189</v>
      </c>
      <c r="CM190" s="609">
        <v>73114301.934020624</v>
      </c>
      <c r="CN190" s="609">
        <v>75198059.53914021</v>
      </c>
    </row>
    <row r="191" spans="3:92" x14ac:dyDescent="0.25">
      <c r="D191" s="609">
        <v>2017</v>
      </c>
      <c r="E191" s="810">
        <v>18.130654021252166</v>
      </c>
      <c r="F191" s="810">
        <v>18.130654021252166</v>
      </c>
      <c r="G191" s="810">
        <v>18.130654021252166</v>
      </c>
      <c r="H191" s="810">
        <v>98.511534472610336</v>
      </c>
      <c r="I191" s="810"/>
      <c r="J191" s="609">
        <f t="shared" si="91"/>
        <v>0</v>
      </c>
      <c r="K191" s="610">
        <v>3</v>
      </c>
      <c r="L191" s="609">
        <v>8089076.7746391408</v>
      </c>
      <c r="M191" s="609">
        <v>3069577.1454296578</v>
      </c>
      <c r="N191" s="810">
        <f t="shared" si="92"/>
        <v>8.0890767746391408</v>
      </c>
      <c r="O191" s="810">
        <f t="shared" si="93"/>
        <v>3.0695771454296579</v>
      </c>
    </row>
    <row r="192" spans="3:92" x14ac:dyDescent="0.25">
      <c r="D192" s="609">
        <v>2018</v>
      </c>
      <c r="E192" s="810">
        <v>17.628248926837305</v>
      </c>
      <c r="F192" s="810">
        <v>17.628248926837305</v>
      </c>
      <c r="G192" s="810">
        <v>17.628248926837305</v>
      </c>
      <c r="H192" s="810">
        <v>95.781754470209364</v>
      </c>
      <c r="I192" s="810"/>
      <c r="J192" s="609">
        <f t="shared" si="91"/>
        <v>0</v>
      </c>
      <c r="K192" s="610">
        <v>4</v>
      </c>
      <c r="L192" s="609">
        <v>8405783.0181291662</v>
      </c>
      <c r="M192" s="609">
        <v>3069577.1454296578</v>
      </c>
      <c r="N192" s="810">
        <f t="shared" si="92"/>
        <v>8.4057830181291671</v>
      </c>
      <c r="O192" s="810">
        <f t="shared" si="93"/>
        <v>3.0695771454296579</v>
      </c>
    </row>
    <row r="193" spans="4:15" x14ac:dyDescent="0.25">
      <c r="D193" s="609">
        <v>2019</v>
      </c>
      <c r="E193" s="810">
        <v>17.139765607036757</v>
      </c>
      <c r="F193" s="810">
        <v>17.139765607036757</v>
      </c>
      <c r="G193" s="810">
        <v>17.139765607036757</v>
      </c>
      <c r="H193" s="810">
        <v>93.127617375021259</v>
      </c>
      <c r="I193" s="810"/>
      <c r="J193" s="609">
        <f t="shared" si="91"/>
        <v>0</v>
      </c>
      <c r="K193" s="610">
        <v>5</v>
      </c>
      <c r="L193" s="609">
        <v>8735826.1485712007</v>
      </c>
      <c r="M193" s="609">
        <v>3069577.1454296578</v>
      </c>
      <c r="N193" s="810">
        <f t="shared" si="92"/>
        <v>8.735826148571201</v>
      </c>
      <c r="O193" s="810">
        <f t="shared" si="93"/>
        <v>3.0695771454296579</v>
      </c>
    </row>
    <row r="194" spans="4:15" x14ac:dyDescent="0.25">
      <c r="D194" s="609">
        <v>2020</v>
      </c>
      <c r="E194" s="810">
        <v>16.664818285888924</v>
      </c>
      <c r="F194" s="810">
        <v>16.664818285888924</v>
      </c>
      <c r="G194" s="810">
        <v>16.664818285888924</v>
      </c>
      <c r="H194" s="810">
        <v>90.547027102597241</v>
      </c>
      <c r="I194" s="810"/>
      <c r="J194" s="609">
        <f t="shared" si="91"/>
        <v>0</v>
      </c>
      <c r="K194" s="610">
        <v>6</v>
      </c>
      <c r="L194" s="609">
        <v>9079822.5245455019</v>
      </c>
      <c r="M194" s="609">
        <v>3069577.1454296578</v>
      </c>
      <c r="N194" s="810">
        <f t="shared" si="92"/>
        <v>9.0798225245455022</v>
      </c>
      <c r="O194" s="810">
        <f t="shared" si="93"/>
        <v>3.0695771454296579</v>
      </c>
    </row>
    <row r="195" spans="4:15" x14ac:dyDescent="0.25">
      <c r="D195" s="609">
        <v>2021</v>
      </c>
      <c r="E195" s="810">
        <v>16.203031877383495</v>
      </c>
      <c r="F195" s="810">
        <v>16.203031877383495</v>
      </c>
      <c r="G195" s="810">
        <v>16.203031877383495</v>
      </c>
      <c r="H195" s="810">
        <v>88.037945651528688</v>
      </c>
      <c r="I195" s="810"/>
      <c r="J195" s="609">
        <f t="shared" si="91"/>
        <v>0</v>
      </c>
      <c r="K195" s="610">
        <v>7</v>
      </c>
      <c r="L195" s="609">
        <v>9438420.4233235065</v>
      </c>
      <c r="M195" s="609">
        <v>3069577.1454296578</v>
      </c>
      <c r="N195" s="810">
        <f t="shared" si="92"/>
        <v>9.4384204233235067</v>
      </c>
      <c r="O195" s="810">
        <f t="shared" si="93"/>
        <v>3.0695771454296579</v>
      </c>
    </row>
    <row r="196" spans="4:15" x14ac:dyDescent="0.25">
      <c r="D196" s="609">
        <v>2022</v>
      </c>
      <c r="E196" s="810">
        <v>15.75404168924015</v>
      </c>
      <c r="F196" s="810">
        <v>15.75404168924015</v>
      </c>
      <c r="G196" s="810">
        <v>15.75404168924015</v>
      </c>
      <c r="H196" s="810">
        <v>85.598391493951084</v>
      </c>
      <c r="I196" s="810"/>
      <c r="J196" s="609">
        <f t="shared" si="91"/>
        <v>0</v>
      </c>
      <c r="K196" s="610">
        <v>8</v>
      </c>
      <c r="L196" s="609">
        <v>9812301.9255553838</v>
      </c>
      <c r="M196" s="609">
        <v>3069577.1454296578</v>
      </c>
      <c r="N196" s="810">
        <f t="shared" si="92"/>
        <v>9.8123019255553832</v>
      </c>
      <c r="O196" s="810">
        <f t="shared" si="93"/>
        <v>3.0695771454296579</v>
      </c>
    </row>
    <row r="197" spans="4:15" x14ac:dyDescent="0.25">
      <c r="D197" s="609">
        <v>2023</v>
      </c>
      <c r="E197" s="810">
        <v>15.317493134895626</v>
      </c>
      <c r="F197" s="810">
        <v>15.317493134895626</v>
      </c>
      <c r="G197" s="810">
        <v>15.317493134895626</v>
      </c>
      <c r="H197" s="810">
        <v>83.226438010647627</v>
      </c>
      <c r="I197" s="810"/>
      <c r="J197" s="609">
        <f t="shared" si="91"/>
        <v>0</v>
      </c>
      <c r="K197" s="610">
        <v>9</v>
      </c>
      <c r="L197" s="609">
        <v>10202184.928092878</v>
      </c>
      <c r="M197" s="609">
        <v>3069577.1454296578</v>
      </c>
      <c r="N197" s="810">
        <f t="shared" si="92"/>
        <v>10.202184928092878</v>
      </c>
      <c r="O197" s="810">
        <f t="shared" si="93"/>
        <v>3.0695771454296579</v>
      </c>
    </row>
    <row r="198" spans="4:15" x14ac:dyDescent="0.25">
      <c r="D198" s="609">
        <v>2024</v>
      </c>
      <c r="E198" s="810">
        <v>14.893041453471684</v>
      </c>
      <c r="F198" s="810">
        <v>14.893041453471684</v>
      </c>
      <c r="G198" s="810">
        <v>14.893041453471684</v>
      </c>
      <c r="H198" s="810">
        <v>80.920211969516416</v>
      </c>
      <c r="I198" s="810"/>
      <c r="J198" s="609">
        <f t="shared" si="91"/>
        <v>0</v>
      </c>
      <c r="K198" s="610">
        <v>10</v>
      </c>
      <c r="L198" s="609">
        <v>10608825.294985907</v>
      </c>
      <c r="M198" s="609">
        <v>3069577.1454296578</v>
      </c>
      <c r="N198" s="810">
        <f t="shared" si="92"/>
        <v>10.608825294985907</v>
      </c>
      <c r="O198" s="810">
        <f t="shared" si="93"/>
        <v>3.0695771454296579</v>
      </c>
    </row>
    <row r="199" spans="4:15" x14ac:dyDescent="0.25">
      <c r="D199" s="609">
        <v>2025</v>
      </c>
      <c r="E199" s="810">
        <v>14.480351437502854</v>
      </c>
      <c r="F199" s="810">
        <v>14.480351437502854</v>
      </c>
      <c r="G199" s="810">
        <v>14.480351437502854</v>
      </c>
      <c r="H199" s="810">
        <v>78.67789204619973</v>
      </c>
      <c r="I199" s="810"/>
      <c r="J199" s="609">
        <f t="shared" si="91"/>
        <v>0</v>
      </c>
      <c r="K199" s="610">
        <v>11</v>
      </c>
      <c r="L199" s="609">
        <v>11033019.157591967</v>
      </c>
      <c r="M199" s="609">
        <v>3069577.1454296578</v>
      </c>
      <c r="N199" s="810">
        <f t="shared" si="92"/>
        <v>11.033019157591967</v>
      </c>
      <c r="O199" s="810">
        <f t="shared" si="93"/>
        <v>3.0695771454296579</v>
      </c>
    </row>
    <row r="200" spans="4:15" x14ac:dyDescent="0.25">
      <c r="D200" s="609">
        <v>2026</v>
      </c>
      <c r="E200" s="810">
        <v>14.0790971682089</v>
      </c>
      <c r="F200" s="810">
        <v>14.0790971682089</v>
      </c>
      <c r="G200" s="810">
        <v>14.0790971682089</v>
      </c>
      <c r="H200" s="810">
        <v>76.497707385707074</v>
      </c>
      <c r="I200" s="810"/>
      <c r="J200" s="609">
        <f t="shared" si="91"/>
        <v>0</v>
      </c>
      <c r="K200" s="610">
        <v>12</v>
      </c>
      <c r="L200" s="609">
        <v>11375899.953467002</v>
      </c>
      <c r="M200" s="609">
        <v>3069577.1454296578</v>
      </c>
      <c r="N200" s="810">
        <f t="shared" si="92"/>
        <v>11.375899953467002</v>
      </c>
      <c r="O200" s="810">
        <f t="shared" si="93"/>
        <v>3.0695771454296579</v>
      </c>
    </row>
    <row r="201" spans="4:15" x14ac:dyDescent="0.25">
      <c r="D201" s="609">
        <v>2027</v>
      </c>
      <c r="E201" s="810">
        <v>13.688961758102966</v>
      </c>
      <c r="F201" s="810">
        <v>13.688961758102966</v>
      </c>
      <c r="G201" s="810">
        <v>13.688961758102966</v>
      </c>
      <c r="H201" s="810">
        <v>74.377936203896041</v>
      </c>
      <c r="I201" s="810"/>
      <c r="J201" s="609">
        <f t="shared" si="91"/>
        <v>0</v>
      </c>
      <c r="K201" s="610">
        <v>13</v>
      </c>
      <c r="L201" s="609">
        <v>11729510.371241668</v>
      </c>
      <c r="M201" s="609">
        <v>3069577.1454296578</v>
      </c>
      <c r="N201" s="810">
        <f t="shared" si="92"/>
        <v>11.729510371241668</v>
      </c>
      <c r="O201" s="810">
        <f t="shared" si="93"/>
        <v>3.0695771454296579</v>
      </c>
    </row>
    <row r="202" spans="4:15" x14ac:dyDescent="0.25">
      <c r="D202" s="609">
        <v>2028</v>
      </c>
      <c r="E202" s="810">
        <v>13.3096371007321</v>
      </c>
      <c r="F202" s="810">
        <v>13.3096371007321</v>
      </c>
      <c r="G202" s="810">
        <v>13.3096371007321</v>
      </c>
      <c r="H202" s="810">
        <v>72.316904427706405</v>
      </c>
      <c r="I202" s="810"/>
      <c r="J202" s="609">
        <f t="shared" si="91"/>
        <v>0</v>
      </c>
      <c r="K202" s="610">
        <v>14</v>
      </c>
      <c r="L202" s="609">
        <v>12094188.825932439</v>
      </c>
      <c r="M202" s="609">
        <v>3069577.1454296578</v>
      </c>
      <c r="N202" s="810">
        <f t="shared" si="92"/>
        <v>12.09418882593244</v>
      </c>
      <c r="O202" s="810">
        <f t="shared" si="93"/>
        <v>3.0695771454296579</v>
      </c>
    </row>
    <row r="203" spans="4:15" x14ac:dyDescent="0.25">
      <c r="D203" s="609">
        <v>2029</v>
      </c>
      <c r="E203" s="810">
        <v>12.940823627352554</v>
      </c>
      <c r="F203" s="810">
        <v>12.940823627352554</v>
      </c>
      <c r="G203" s="810">
        <v>12.940823627352554</v>
      </c>
      <c r="H203" s="810">
        <v>70.312984373073803</v>
      </c>
      <c r="I203" s="810"/>
      <c r="J203" s="609">
        <f t="shared" si="91"/>
        <v>0</v>
      </c>
      <c r="K203" s="610">
        <v>15</v>
      </c>
      <c r="L203" s="609">
        <v>12470284.503449976</v>
      </c>
      <c r="M203" s="609">
        <v>3069577.1454296578</v>
      </c>
      <c r="N203" s="810">
        <f t="shared" si="92"/>
        <v>12.470284503449976</v>
      </c>
      <c r="O203" s="810">
        <f t="shared" si="93"/>
        <v>3.0695771454296579</v>
      </c>
    </row>
    <row r="204" spans="4:15" x14ac:dyDescent="0.25">
      <c r="D204" s="609">
        <v>2030</v>
      </c>
      <c r="E204" s="810">
        <v>12.582230070347645</v>
      </c>
      <c r="F204" s="810">
        <v>12.582230070347645</v>
      </c>
      <c r="G204" s="810">
        <v>12.582230070347645</v>
      </c>
      <c r="H204" s="810">
        <v>68.36459345947867</v>
      </c>
      <c r="I204" s="810"/>
      <c r="J204" s="609">
        <f t="shared" si="91"/>
        <v>0</v>
      </c>
      <c r="K204" s="610">
        <v>16</v>
      </c>
      <c r="L204" s="609">
        <v>12858157.707018042</v>
      </c>
      <c r="M204" s="609">
        <v>3069577.1454296578</v>
      </c>
      <c r="N204" s="810">
        <f t="shared" si="92"/>
        <v>12.858157707018043</v>
      </c>
      <c r="O204" s="810">
        <f t="shared" si="93"/>
        <v>3.0695771454296579</v>
      </c>
    </row>
    <row r="205" spans="4:15" x14ac:dyDescent="0.25">
      <c r="D205" s="609">
        <v>2031</v>
      </c>
      <c r="E205" s="810">
        <v>12.233573233201406</v>
      </c>
      <c r="F205" s="810">
        <v>12.233573233201406</v>
      </c>
      <c r="G205" s="810">
        <v>12.233573233201406</v>
      </c>
      <c r="H205" s="810">
        <v>66.470192960115384</v>
      </c>
      <c r="I205" s="810"/>
      <c r="J205" s="609">
        <f t="shared" si="91"/>
        <v>0</v>
      </c>
      <c r="K205" s="610">
        <v>17</v>
      </c>
      <c r="L205" s="609">
        <v>13258180.214870261</v>
      </c>
      <c r="M205" s="609">
        <v>3069577.1454296578</v>
      </c>
      <c r="N205" s="810">
        <f t="shared" si="92"/>
        <v>13.258180214870261</v>
      </c>
      <c r="O205" s="810">
        <f t="shared" si="93"/>
        <v>3.0695771454296579</v>
      </c>
    </row>
    <row r="206" spans="4:15" x14ac:dyDescent="0.25">
      <c r="D206" s="609">
        <v>2032</v>
      </c>
      <c r="E206" s="810">
        <v>34.01917207764749</v>
      </c>
      <c r="F206" s="810">
        <v>60.756210252000145</v>
      </c>
      <c r="G206" s="810">
        <v>151.79222117571931</v>
      </c>
      <c r="H206" s="810">
        <v>204.52593019556761</v>
      </c>
      <c r="I206" s="810"/>
      <c r="J206" s="609">
        <f t="shared" si="91"/>
        <v>0</v>
      </c>
      <c r="K206" s="610">
        <v>18</v>
      </c>
      <c r="L206" s="609">
        <v>13670735.649597103</v>
      </c>
      <c r="M206" s="609">
        <v>3798917.7972390321</v>
      </c>
      <c r="N206" s="810">
        <f t="shared" si="92"/>
        <v>13.670735649597102</v>
      </c>
      <c r="O206" s="810">
        <f t="shared" si="93"/>
        <v>3.798917797239032</v>
      </c>
    </row>
    <row r="207" spans="4:15" x14ac:dyDescent="0.25">
      <c r="D207" s="609">
        <v>2033</v>
      </c>
      <c r="E207" s="810">
        <v>54.268876848210887</v>
      </c>
      <c r="F207" s="810">
        <v>157.93998811470715</v>
      </c>
      <c r="G207" s="810">
        <v>249.99390290388357</v>
      </c>
      <c r="H207" s="810">
        <v>301.26634725959411</v>
      </c>
      <c r="I207" s="810"/>
      <c r="J207" s="609">
        <f t="shared" si="91"/>
        <v>0</v>
      </c>
      <c r="K207" s="610">
        <v>19</v>
      </c>
      <c r="L207" s="609">
        <v>14096219.859528</v>
      </c>
      <c r="M207" s="609">
        <v>6003890.6920353984</v>
      </c>
      <c r="N207" s="810">
        <f t="shared" si="92"/>
        <v>14.096219859528</v>
      </c>
      <c r="O207" s="810">
        <f t="shared" si="93"/>
        <v>6.003890692035398</v>
      </c>
    </row>
    <row r="208" spans="4:15" x14ac:dyDescent="0.25">
      <c r="D208" s="609">
        <v>2034</v>
      </c>
      <c r="E208" s="810">
        <v>56.128715344278227</v>
      </c>
      <c r="F208" s="810">
        <v>258.08653962684673</v>
      </c>
      <c r="G208" s="810">
        <v>351.16973980258183</v>
      </c>
      <c r="H208" s="810">
        <v>401.02141151450263</v>
      </c>
      <c r="I208" s="810"/>
      <c r="J208" s="609">
        <f t="shared" si="91"/>
        <v>0</v>
      </c>
      <c r="K208" s="610">
        <v>20</v>
      </c>
      <c r="L208" s="609">
        <v>14535041.312546343</v>
      </c>
      <c r="M208" s="609">
        <v>9731704.343377864</v>
      </c>
      <c r="N208" s="810">
        <f t="shared" si="92"/>
        <v>14.535041312546342</v>
      </c>
      <c r="O208" s="810">
        <f t="shared" si="93"/>
        <v>9.7317043433778636</v>
      </c>
    </row>
    <row r="209" spans="4:15" x14ac:dyDescent="0.25">
      <c r="D209" s="609">
        <v>2035</v>
      </c>
      <c r="E209" s="810">
        <v>57.927210701425786</v>
      </c>
      <c r="F209" s="810">
        <v>354.24135552092309</v>
      </c>
      <c r="G209" s="810">
        <v>448.36534986488459</v>
      </c>
      <c r="H209" s="810">
        <v>496.83561890904679</v>
      </c>
      <c r="I209" s="810"/>
      <c r="J209" s="609">
        <f t="shared" si="91"/>
        <v>0</v>
      </c>
      <c r="K209" s="610">
        <v>21</v>
      </c>
      <c r="L209" s="609">
        <v>14987621.502748674</v>
      </c>
      <c r="M209" s="609">
        <v>14921554.575133795</v>
      </c>
      <c r="N209" s="810">
        <f t="shared" si="92"/>
        <v>14.987621502748674</v>
      </c>
      <c r="O209" s="810">
        <f t="shared" si="93"/>
        <v>14.921554575133795</v>
      </c>
    </row>
    <row r="210" spans="4:15" x14ac:dyDescent="0.25">
      <c r="D210" s="609">
        <v>2036</v>
      </c>
      <c r="E210" s="810">
        <v>59.666062753839</v>
      </c>
      <c r="F210" s="810">
        <v>439.52942069296796</v>
      </c>
      <c r="G210" s="810">
        <v>534.70584667033313</v>
      </c>
      <c r="H210" s="810">
        <v>581.83299207058803</v>
      </c>
      <c r="I210" s="810"/>
      <c r="J210" s="609">
        <f t="shared" si="91"/>
        <v>0</v>
      </c>
      <c r="K210" s="610">
        <v>22</v>
      </c>
      <c r="L210" s="609">
        <v>15454395.370372834</v>
      </c>
      <c r="M210" s="609">
        <v>21399691.541300599</v>
      </c>
      <c r="N210" s="810">
        <f t="shared" si="92"/>
        <v>15.454395370372835</v>
      </c>
      <c r="O210" s="810">
        <f t="shared" si="93"/>
        <v>21.399691541300598</v>
      </c>
    </row>
    <row r="211" spans="4:15" x14ac:dyDescent="0.25">
      <c r="D211" s="609">
        <v>2037</v>
      </c>
      <c r="E211" s="810">
        <v>61.346924232859934</v>
      </c>
      <c r="F211" s="810">
        <v>507.98444490185335</v>
      </c>
      <c r="G211" s="810">
        <v>604.22507010016125</v>
      </c>
      <c r="H211" s="810">
        <v>650.04631015874645</v>
      </c>
      <c r="I211" s="810"/>
      <c r="J211" s="609">
        <f t="shared" si="91"/>
        <v>0</v>
      </c>
      <c r="K211" s="610">
        <v>23</v>
      </c>
      <c r="L211" s="609">
        <v>15935811.735434717</v>
      </c>
      <c r="M211" s="609">
        <v>28888304.598284606</v>
      </c>
      <c r="N211" s="810">
        <f t="shared" si="92"/>
        <v>15.935811735434717</v>
      </c>
      <c r="O211" s="810">
        <f t="shared" si="93"/>
        <v>28.888304598284606</v>
      </c>
    </row>
    <row r="212" spans="4:15" x14ac:dyDescent="0.25">
      <c r="D212" s="609">
        <v>2038</v>
      </c>
      <c r="E212" s="810">
        <v>62.971402072218964</v>
      </c>
      <c r="F212" s="810">
        <v>555.30673941930604</v>
      </c>
      <c r="G212" s="810">
        <v>652.62346300339971</v>
      </c>
      <c r="H212" s="810">
        <v>697.17498469380826</v>
      </c>
      <c r="I212" s="810"/>
      <c r="J212" s="609">
        <f t="shared" si="91"/>
        <v>0</v>
      </c>
      <c r="K212" s="610">
        <v>24</v>
      </c>
      <c r="L212" s="609">
        <v>16432333.745527409</v>
      </c>
      <c r="M212" s="609">
        <v>37028565.508216701</v>
      </c>
      <c r="N212" s="810">
        <f t="shared" si="92"/>
        <v>16.432333745527409</v>
      </c>
      <c r="O212" s="810">
        <f t="shared" si="93"/>
        <v>37.028565508216701</v>
      </c>
    </row>
    <row r="213" spans="4:15" x14ac:dyDescent="0.25">
      <c r="D213" s="609">
        <v>2039</v>
      </c>
      <c r="E213" s="810">
        <v>64.541058677097979</v>
      </c>
      <c r="F213" s="810">
        <v>579.41080375375259</v>
      </c>
      <c r="G213" s="810">
        <v>677.8156579369878</v>
      </c>
      <c r="H213" s="810">
        <v>721.1326454823535</v>
      </c>
      <c r="I213" s="810"/>
      <c r="J213" s="609">
        <f t="shared" si="91"/>
        <v>0</v>
      </c>
      <c r="K213" s="610">
        <v>25</v>
      </c>
      <c r="L213" s="609">
        <v>16944439.338252336</v>
      </c>
      <c r="M213" s="609">
        <v>45415616.038890213</v>
      </c>
      <c r="N213" s="810">
        <f t="shared" si="92"/>
        <v>16.944439338252337</v>
      </c>
      <c r="O213" s="810">
        <f t="shared" si="93"/>
        <v>45.415616038890214</v>
      </c>
    </row>
    <row r="214" spans="4:15" x14ac:dyDescent="0.25">
      <c r="D214" s="609">
        <v>2040</v>
      </c>
      <c r="E214" s="810">
        <v>66.057413158031139</v>
      </c>
      <c r="F214" s="810">
        <v>580.65175157757346</v>
      </c>
      <c r="G214" s="810">
        <v>680.15690310947878</v>
      </c>
      <c r="H214" s="810">
        <v>722.27356576904674</v>
      </c>
      <c r="I214" s="810"/>
      <c r="J214" s="609">
        <f t="shared" si="91"/>
        <v>0</v>
      </c>
      <c r="K214" s="610">
        <v>26</v>
      </c>
      <c r="L214" s="609">
        <v>17472621.718767572</v>
      </c>
      <c r="M214" s="609">
        <v>53640817.991705678</v>
      </c>
      <c r="N214" s="810">
        <f t="shared" si="92"/>
        <v>17.472621718767574</v>
      </c>
      <c r="O214" s="810">
        <f t="shared" si="93"/>
        <v>53.640817991705681</v>
      </c>
    </row>
    <row r="215" spans="4:15" x14ac:dyDescent="0.25">
      <c r="D215" s="609">
        <v>2041</v>
      </c>
      <c r="E215" s="810">
        <v>67.521942530604491</v>
      </c>
      <c r="F215" s="810">
        <v>561.67695034982717</v>
      </c>
      <c r="G215" s="810">
        <v>662.29470202039738</v>
      </c>
      <c r="H215" s="810">
        <v>703.24430110602498</v>
      </c>
      <c r="I215" s="810"/>
      <c r="J215" s="609">
        <f t="shared" si="91"/>
        <v>0</v>
      </c>
      <c r="K215" s="610">
        <v>27</v>
      </c>
      <c r="L215" s="609">
        <v>18017389.852954935</v>
      </c>
      <c r="M215" s="609">
        <v>61334817.391377605</v>
      </c>
      <c r="N215" s="810">
        <f t="shared" si="92"/>
        <v>18.017389852954935</v>
      </c>
      <c r="O215" s="810">
        <f t="shared" si="93"/>
        <v>61.334817391377605</v>
      </c>
    </row>
    <row r="216" spans="4:15" x14ac:dyDescent="0.25">
      <c r="D216" s="609">
        <v>2042</v>
      </c>
      <c r="E216" s="810">
        <v>68.936082881925898</v>
      </c>
      <c r="F216" s="810">
        <v>526.92461946628043</v>
      </c>
      <c r="G216" s="810">
        <v>628.66741162709036</v>
      </c>
      <c r="H216" s="810">
        <v>668.48228677111331</v>
      </c>
      <c r="I216" s="810"/>
      <c r="J216" s="609">
        <f t="shared" si="91"/>
        <v>0</v>
      </c>
      <c r="K216" s="610">
        <v>28</v>
      </c>
      <c r="L216" s="609">
        <v>18579268.976724364</v>
      </c>
      <c r="M216" s="609">
        <v>68204443.121133313</v>
      </c>
      <c r="N216" s="810">
        <f t="shared" si="92"/>
        <v>18.579268976724364</v>
      </c>
      <c r="O216" s="810">
        <f t="shared" si="93"/>
        <v>68.204443121133309</v>
      </c>
    </row>
    <row r="217" spans="4:15" x14ac:dyDescent="0.25">
      <c r="D217" s="609">
        <v>2043</v>
      </c>
      <c r="E217" s="810">
        <v>70.301230504755239</v>
      </c>
      <c r="F217" s="810">
        <v>481.86656919222611</v>
      </c>
      <c r="G217" s="810">
        <v>584.74698129455214</v>
      </c>
      <c r="H217" s="810">
        <v>623.45857598976158</v>
      </c>
      <c r="I217" s="810"/>
      <c r="J217" s="609">
        <f t="shared" si="91"/>
        <v>0</v>
      </c>
      <c r="K217" s="610">
        <v>29</v>
      </c>
      <c r="L217" s="609">
        <v>19158801.121991802</v>
      </c>
      <c r="M217" s="609">
        <v>74057434.905724376</v>
      </c>
      <c r="N217" s="810">
        <f t="shared" si="92"/>
        <v>19.158801121991804</v>
      </c>
      <c r="O217" s="810">
        <f t="shared" si="93"/>
        <v>74.057434905724378</v>
      </c>
    </row>
    <row r="218" spans="4:15" x14ac:dyDescent="0.25">
      <c r="D218" s="609">
        <v>2044</v>
      </c>
      <c r="E218" s="810">
        <v>63.128942642103425</v>
      </c>
      <c r="F218" s="810">
        <v>423.65760974579098</v>
      </c>
      <c r="G218" s="810">
        <v>527.68836189593117</v>
      </c>
      <c r="H218" s="810">
        <v>565.3272483278314</v>
      </c>
      <c r="I218" s="810"/>
      <c r="J218" s="609">
        <f t="shared" si="91"/>
        <v>0</v>
      </c>
      <c r="K218" s="610">
        <v>30</v>
      </c>
      <c r="L218" s="609">
        <v>19756545.659884494</v>
      </c>
      <c r="M218" s="609">
        <v>75741780.103136554</v>
      </c>
      <c r="N218" s="810">
        <f t="shared" si="92"/>
        <v>19.756545659884495</v>
      </c>
      <c r="O218" s="810">
        <f t="shared" si="93"/>
        <v>75.741780103136549</v>
      </c>
    </row>
    <row r="219" spans="4:15" x14ac:dyDescent="0.25">
      <c r="D219" s="609">
        <v>2045</v>
      </c>
      <c r="E219" s="810">
        <v>64.635394547241319</v>
      </c>
      <c r="F219" s="810">
        <v>374.53660930041121</v>
      </c>
      <c r="G219" s="810">
        <v>479.73056383239543</v>
      </c>
      <c r="H219" s="810">
        <v>516.32646702335342</v>
      </c>
      <c r="I219" s="810"/>
      <c r="J219" s="609">
        <f t="shared" si="91"/>
        <v>0</v>
      </c>
      <c r="K219" s="610">
        <v>31</v>
      </c>
      <c r="L219" s="609">
        <v>20373079.861746967</v>
      </c>
      <c r="M219" s="609">
        <v>79416700.980754092</v>
      </c>
      <c r="N219" s="810">
        <f t="shared" si="92"/>
        <v>20.373079861746966</v>
      </c>
      <c r="O219" s="810">
        <f t="shared" si="93"/>
        <v>79.416700980754086</v>
      </c>
    </row>
    <row r="220" spans="4:15" x14ac:dyDescent="0.25">
      <c r="D220" s="609">
        <v>2046</v>
      </c>
      <c r="E220" s="810">
        <v>66.0902957469483</v>
      </c>
      <c r="F220" s="810">
        <v>329.59610009486966</v>
      </c>
      <c r="G220" s="810">
        <v>435.96626316075555</v>
      </c>
      <c r="H220" s="810">
        <v>471.54808444510945</v>
      </c>
      <c r="I220" s="810"/>
      <c r="J220" s="609">
        <f t="shared" si="91"/>
        <v>0</v>
      </c>
      <c r="K220" s="610">
        <v>32</v>
      </c>
      <c r="L220" s="609">
        <v>21008999.478539757</v>
      </c>
      <c r="M220" s="609">
        <v>82114484.68821986</v>
      </c>
      <c r="N220" s="810">
        <f t="shared" si="92"/>
        <v>21.008999478539756</v>
      </c>
      <c r="O220" s="810">
        <f t="shared" si="93"/>
        <v>82.114484688219861</v>
      </c>
    </row>
    <row r="221" spans="4:15" x14ac:dyDescent="0.25">
      <c r="D221" s="609">
        <v>2047</v>
      </c>
      <c r="E221" s="810">
        <v>67.495074724551998</v>
      </c>
      <c r="F221" s="810">
        <v>291.18163128989937</v>
      </c>
      <c r="G221" s="810">
        <v>398.74115446784907</v>
      </c>
      <c r="H221" s="810">
        <v>433.33699431651598</v>
      </c>
      <c r="I221" s="810"/>
      <c r="J221" s="609">
        <f t="shared" si="91"/>
        <v>0</v>
      </c>
      <c r="K221" s="610">
        <v>33</v>
      </c>
      <c r="L221" s="609">
        <v>21664919.339243427</v>
      </c>
      <c r="M221" s="609">
        <v>83990008.115352631</v>
      </c>
      <c r="N221" s="810">
        <f t="shared" si="92"/>
        <v>21.664919339243426</v>
      </c>
      <c r="O221" s="810">
        <f t="shared" si="93"/>
        <v>83.990008115352637</v>
      </c>
    </row>
    <row r="222" spans="4:15" x14ac:dyDescent="0.25">
      <c r="D222" s="609">
        <v>2048</v>
      </c>
      <c r="E222" s="810">
        <v>68.851120379743207</v>
      </c>
      <c r="F222" s="810">
        <v>260.18984820450623</v>
      </c>
      <c r="G222" s="810">
        <v>368.95203012484433</v>
      </c>
      <c r="H222" s="810">
        <v>402.5892103374519</v>
      </c>
      <c r="I222" s="810"/>
      <c r="J222" s="609">
        <f t="shared" si="91"/>
        <v>0</v>
      </c>
      <c r="K222" s="610">
        <v>34</v>
      </c>
      <c r="L222" s="609">
        <v>22341473.96890102</v>
      </c>
      <c r="M222" s="609">
        <v>85220631.45489198</v>
      </c>
      <c r="N222" s="810">
        <f t="shared" si="92"/>
        <v>22.34147396890102</v>
      </c>
      <c r="O222" s="810">
        <f t="shared" si="93"/>
        <v>85.220631454891986</v>
      </c>
    </row>
    <row r="223" spans="4:15" x14ac:dyDescent="0.25">
      <c r="D223" s="609">
        <v>2049</v>
      </c>
      <c r="E223" s="810">
        <v>74.375429379613678</v>
      </c>
      <c r="F223" s="810">
        <v>236.57677483601623</v>
      </c>
      <c r="G223" s="810">
        <v>346.55506282546844</v>
      </c>
      <c r="H223" s="810">
        <v>379.26014810753708</v>
      </c>
      <c r="I223" s="810"/>
      <c r="J223" s="609">
        <f t="shared" si="91"/>
        <v>0</v>
      </c>
      <c r="K223" s="610">
        <v>35</v>
      </c>
      <c r="L223" s="609">
        <v>23039318.226953574</v>
      </c>
      <c r="M223" s="609">
        <v>85985287.981565163</v>
      </c>
      <c r="N223" s="810">
        <f t="shared" si="92"/>
        <v>23.039318226953572</v>
      </c>
      <c r="O223" s="810">
        <f t="shared" si="93"/>
        <v>85.985287981565165</v>
      </c>
    </row>
    <row r="224" spans="4:15" x14ac:dyDescent="0.25">
      <c r="D224" s="609">
        <v>2050</v>
      </c>
      <c r="E224" s="810">
        <v>75.99191769056803</v>
      </c>
      <c r="F224" s="810">
        <v>218.73614493011462</v>
      </c>
      <c r="G224" s="810">
        <v>329.94413667443183</v>
      </c>
      <c r="H224" s="810">
        <v>361.74295561664735</v>
      </c>
      <c r="I224" s="810"/>
      <c r="J224" s="609">
        <f t="shared" si="91"/>
        <v>0</v>
      </c>
      <c r="K224" s="610">
        <v>36</v>
      </c>
      <c r="L224" s="609">
        <v>23759127.966545533</v>
      </c>
      <c r="M224" s="609">
        <v>86426370.36411792</v>
      </c>
      <c r="N224" s="810">
        <f t="shared" si="92"/>
        <v>23.759127966545535</v>
      </c>
      <c r="O224" s="810">
        <f t="shared" si="93"/>
        <v>86.426370364117915</v>
      </c>
    </row>
    <row r="225" spans="4:15" x14ac:dyDescent="0.25">
      <c r="D225" s="609">
        <v>2051</v>
      </c>
      <c r="E225" s="810">
        <v>77.563612693926189</v>
      </c>
      <c r="F225" s="810">
        <v>205.5635343987565</v>
      </c>
      <c r="G225" s="810">
        <v>318.01497962392904</v>
      </c>
      <c r="H225" s="810">
        <v>348.93264510007435</v>
      </c>
      <c r="I225" s="810"/>
      <c r="J225" s="609">
        <f t="shared" si="91"/>
        <v>0</v>
      </c>
      <c r="K225" s="610">
        <v>37</v>
      </c>
      <c r="L225" s="609">
        <v>24436263.113592084</v>
      </c>
      <c r="M225" s="609">
        <v>86660890.618987143</v>
      </c>
      <c r="N225" s="810">
        <f t="shared" si="92"/>
        <v>24.436263113592084</v>
      </c>
      <c r="O225" s="810">
        <f t="shared" si="93"/>
        <v>86.660890618987139</v>
      </c>
    </row>
    <row r="226" spans="4:15" x14ac:dyDescent="0.25">
      <c r="D226" s="609">
        <v>2052</v>
      </c>
      <c r="E226" s="810">
        <v>79.0917556237832</v>
      </c>
      <c r="F226" s="810">
        <v>195.7800271571451</v>
      </c>
      <c r="G226" s="810">
        <v>309.4888293294149</v>
      </c>
      <c r="H226" s="810">
        <v>339.54975832907007</v>
      </c>
      <c r="I226" s="810"/>
      <c r="J226" s="609">
        <f t="shared" si="91"/>
        <v>0</v>
      </c>
      <c r="K226" s="610">
        <v>38</v>
      </c>
      <c r="L226" s="609">
        <v>25132696.612329461</v>
      </c>
      <c r="M226" s="609">
        <v>86774821.459125191</v>
      </c>
      <c r="N226" s="810">
        <f t="shared" si="92"/>
        <v>25.132696612329461</v>
      </c>
      <c r="O226" s="810">
        <f t="shared" si="93"/>
        <v>86.774821459125192</v>
      </c>
    </row>
    <row r="227" spans="4:15" x14ac:dyDescent="0.25">
      <c r="D227" s="609">
        <v>2053</v>
      </c>
      <c r="E227" s="810">
        <v>80.577553319317872</v>
      </c>
      <c r="F227" s="810">
        <v>188.22660273540126</v>
      </c>
      <c r="G227" s="810">
        <v>303.20682078028267</v>
      </c>
      <c r="H227" s="810">
        <v>332.43475369195522</v>
      </c>
      <c r="I227" s="810"/>
      <c r="J227" s="609">
        <f t="shared" si="91"/>
        <v>0</v>
      </c>
      <c r="K227" s="610">
        <v>39</v>
      </c>
      <c r="L227" s="609">
        <v>25848978.465780847</v>
      </c>
      <c r="M227" s="609">
        <v>86824844.943533227</v>
      </c>
      <c r="N227" s="810">
        <f t="shared" si="92"/>
        <v>25.848978465780846</v>
      </c>
      <c r="O227" s="810">
        <f t="shared" si="93"/>
        <v>86.824844943533222</v>
      </c>
    </row>
    <row r="228" spans="4:15" x14ac:dyDescent="0.25">
      <c r="D228" s="609">
        <v>2054</v>
      </c>
      <c r="E228" s="810">
        <v>82.02217917788326</v>
      </c>
      <c r="F228" s="810">
        <v>182.01612255680982</v>
      </c>
      <c r="G228" s="810">
        <v>298.28197259733167</v>
      </c>
      <c r="H228" s="810">
        <v>326.6999919572466</v>
      </c>
      <c r="I228" s="810"/>
      <c r="J228" s="609">
        <f t="shared" si="91"/>
        <v>0</v>
      </c>
      <c r="K228" s="610">
        <v>40</v>
      </c>
      <c r="L228" s="609">
        <v>26585674.352055602</v>
      </c>
      <c r="M228" s="609">
        <v>86844424.056874514</v>
      </c>
      <c r="N228" s="810">
        <f t="shared" si="92"/>
        <v>26.585674352055602</v>
      </c>
      <c r="O228" s="810">
        <f t="shared" si="93"/>
        <v>86.844424056874516</v>
      </c>
    </row>
    <row r="229" spans="4:15" x14ac:dyDescent="0.25">
      <c r="D229" s="609">
        <v>2055</v>
      </c>
      <c r="E229" s="810">
        <v>83.426774081689516</v>
      </c>
      <c r="F229" s="810">
        <v>176.5604230430468</v>
      </c>
      <c r="G229" s="810">
        <v>294.12628015742956</v>
      </c>
      <c r="H229" s="810">
        <v>321.75682887878588</v>
      </c>
      <c r="I229" s="810"/>
      <c r="J229" s="609">
        <f t="shared" si="91"/>
        <v>0</v>
      </c>
      <c r="K229" s="610">
        <v>41</v>
      </c>
      <c r="L229" s="609">
        <v>27343366.071089186</v>
      </c>
      <c r="M229" s="609">
        <v>86851134.06804125</v>
      </c>
      <c r="N229" s="810">
        <f t="shared" si="92"/>
        <v>27.343366071089186</v>
      </c>
      <c r="O229" s="810">
        <f t="shared" si="93"/>
        <v>86.851134068041247</v>
      </c>
    </row>
    <row r="230" spans="4:15" x14ac:dyDescent="0.25">
      <c r="D230" s="609">
        <v>2056</v>
      </c>
      <c r="E230" s="810">
        <v>84.792447298809051</v>
      </c>
      <c r="F230" s="810">
        <v>171.51920914642017</v>
      </c>
      <c r="G230" s="810">
        <v>290.39960914540711</v>
      </c>
      <c r="H230" s="810">
        <v>317.26450824249639</v>
      </c>
      <c r="I230" s="810"/>
      <c r="J230" s="609">
        <f t="shared" si="91"/>
        <v>0</v>
      </c>
      <c r="K230" s="610">
        <v>42</v>
      </c>
      <c r="L230" s="609">
        <v>28122652.00411522</v>
      </c>
      <c r="M230" s="609">
        <v>86853099.691648096</v>
      </c>
      <c r="N230" s="810">
        <f t="shared" si="92"/>
        <v>28.122652004115221</v>
      </c>
      <c r="O230" s="810">
        <f t="shared" si="93"/>
        <v>86.853099691648097</v>
      </c>
    </row>
    <row r="231" spans="4:15" x14ac:dyDescent="0.25">
      <c r="D231" s="609">
        <v>2057</v>
      </c>
      <c r="E231" s="810">
        <v>86.120277359206398</v>
      </c>
      <c r="F231" s="810">
        <v>166.72069867188122</v>
      </c>
      <c r="G231" s="810">
        <v>286.93033989594198</v>
      </c>
      <c r="H231" s="810">
        <v>313.05080571712745</v>
      </c>
      <c r="I231" s="810"/>
      <c r="J231" s="609">
        <f t="shared" si="91"/>
        <v>0</v>
      </c>
      <c r="K231" s="610">
        <v>43</v>
      </c>
      <c r="L231" s="609">
        <v>28924147.586232521</v>
      </c>
      <c r="M231" s="609">
        <v>86853575.391444504</v>
      </c>
      <c r="N231" s="810">
        <f t="shared" si="92"/>
        <v>28.924147586232522</v>
      </c>
      <c r="O231" s="810">
        <f t="shared" si="93"/>
        <v>86.853575391444508</v>
      </c>
    </row>
    <row r="232" spans="4:15" x14ac:dyDescent="0.25">
      <c r="D232" s="609">
        <v>2058</v>
      </c>
      <c r="E232" s="810">
        <v>87.411312906506197</v>
      </c>
      <c r="F232" s="810">
        <v>162.08927869420936</v>
      </c>
      <c r="G232" s="810">
        <v>283.64302383083862</v>
      </c>
      <c r="H232" s="810">
        <v>309.03968481400386</v>
      </c>
      <c r="I232" s="810"/>
      <c r="J232" s="609">
        <f t="shared" si="91"/>
        <v>0</v>
      </c>
      <c r="K232" s="610">
        <v>44</v>
      </c>
      <c r="L232" s="609">
        <v>29748485.792440139</v>
      </c>
      <c r="M232" s="609">
        <v>86853665.7083368</v>
      </c>
      <c r="N232" s="810">
        <f t="shared" si="92"/>
        <v>29.748485792440139</v>
      </c>
      <c r="O232" s="810">
        <f t="shared" si="93"/>
        <v>86.853665708336806</v>
      </c>
    </row>
    <row r="233" spans="4:15" x14ac:dyDescent="0.25">
      <c r="D233" s="609">
        <v>2059</v>
      </c>
      <c r="E233" s="810">
        <v>88.666573526145768</v>
      </c>
      <c r="F233" s="810">
        <v>157.59546016358416</v>
      </c>
      <c r="G233" s="810">
        <v>280.50833808492047</v>
      </c>
      <c r="H233" s="810">
        <v>305.20125104862029</v>
      </c>
      <c r="I233" s="810"/>
      <c r="J233" s="609">
        <f t="shared" si="91"/>
        <v>0</v>
      </c>
      <c r="K233" s="610">
        <v>45</v>
      </c>
      <c r="L233" s="609">
        <v>30596317.637524683</v>
      </c>
      <c r="M233" s="609">
        <v>86853678.030520633</v>
      </c>
      <c r="N233" s="810">
        <f t="shared" si="92"/>
        <v>30.596317637524685</v>
      </c>
      <c r="O233" s="810">
        <f t="shared" si="93"/>
        <v>86.853678030520626</v>
      </c>
    </row>
    <row r="234" spans="4:15" x14ac:dyDescent="0.25">
      <c r="D234" s="609">
        <v>2060</v>
      </c>
      <c r="E234" s="810">
        <v>89.887050550589436</v>
      </c>
      <c r="F234" s="810">
        <v>153.22812594762374</v>
      </c>
      <c r="G234" s="810">
        <v>277.51533356861529</v>
      </c>
      <c r="H234" s="810">
        <v>301.52399955179447</v>
      </c>
      <c r="I234" s="810"/>
      <c r="J234" s="609">
        <f t="shared" si="91"/>
        <v>0</v>
      </c>
      <c r="K234" s="610">
        <v>46</v>
      </c>
      <c r="L234" s="609">
        <v>31468312.690194137</v>
      </c>
      <c r="M234" s="609">
        <v>86853679.036823899</v>
      </c>
      <c r="N234" s="810">
        <f t="shared" si="92"/>
        <v>31.468312690194136</v>
      </c>
      <c r="O234" s="810">
        <f t="shared" si="93"/>
        <v>86.853679036823905</v>
      </c>
    </row>
    <row r="235" spans="4:15" x14ac:dyDescent="0.25">
      <c r="D235" s="609">
        <v>2061</v>
      </c>
      <c r="E235" s="810">
        <v>66.645722823475907</v>
      </c>
      <c r="F235" s="810">
        <v>148.98210772003736</v>
      </c>
      <c r="G235" s="810">
        <v>274.65901187738416</v>
      </c>
      <c r="H235" s="810">
        <v>298.0023915401739</v>
      </c>
      <c r="I235" s="810"/>
      <c r="J235" s="609">
        <f t="shared" si="91"/>
        <v>0</v>
      </c>
      <c r="K235" s="610">
        <v>47</v>
      </c>
      <c r="L235" s="609">
        <v>32365159.601864673</v>
      </c>
      <c r="M235" s="609">
        <v>86853679.061760142</v>
      </c>
      <c r="N235" s="810">
        <f t="shared" si="92"/>
        <v>32.365159601864676</v>
      </c>
      <c r="O235" s="810">
        <f t="shared" si="93"/>
        <v>86.853679061760147</v>
      </c>
    </row>
    <row r="236" spans="4:15" x14ac:dyDescent="0.25">
      <c r="D236" s="609">
        <v>2062</v>
      </c>
      <c r="E236" s="810">
        <v>46.496682468972118</v>
      </c>
      <c r="F236" s="810">
        <v>143.63738675874654</v>
      </c>
      <c r="G236" s="810">
        <v>270.71952611085226</v>
      </c>
      <c r="H236" s="810">
        <v>293.41605470860594</v>
      </c>
      <c r="I236" s="810"/>
      <c r="J236" s="609">
        <f t="shared" si="91"/>
        <v>0</v>
      </c>
      <c r="K236" s="610">
        <v>48</v>
      </c>
      <c r="L236" s="609">
        <v>33287566.650517818</v>
      </c>
      <c r="M236" s="609">
        <v>86124338.409950763</v>
      </c>
      <c r="N236" s="810">
        <f t="shared" si="92"/>
        <v>33.287566650517817</v>
      </c>
      <c r="O236" s="810">
        <f t="shared" si="93"/>
        <v>86.124338409950767</v>
      </c>
    </row>
    <row r="237" spans="4:15" x14ac:dyDescent="0.25">
      <c r="D237" s="609">
        <v>2063</v>
      </c>
      <c r="E237" s="810">
        <v>44.176128361445421</v>
      </c>
      <c r="F237" s="810">
        <v>136.08162669759275</v>
      </c>
      <c r="G237" s="810">
        <v>264.58471364575996</v>
      </c>
      <c r="H237" s="810">
        <v>286.65231558815537</v>
      </c>
      <c r="I237" s="810"/>
      <c r="J237" s="609">
        <f t="shared" si="91"/>
        <v>0</v>
      </c>
      <c r="K237" s="610">
        <v>49</v>
      </c>
      <c r="L237" s="609">
        <v>34236262.300057575</v>
      </c>
      <c r="M237" s="609">
        <v>83919365.515154406</v>
      </c>
      <c r="N237" s="810">
        <f t="shared" si="92"/>
        <v>34.236262300057575</v>
      </c>
      <c r="O237" s="810">
        <f t="shared" si="93"/>
        <v>83.919365515154411</v>
      </c>
    </row>
    <row r="238" spans="4:15" x14ac:dyDescent="0.25">
      <c r="D238" s="609">
        <v>2064</v>
      </c>
      <c r="E238" s="810">
        <v>41.922785502348397</v>
      </c>
      <c r="F238" s="810">
        <v>126.43334336684978</v>
      </c>
      <c r="G238" s="810">
        <v>256.37326599795711</v>
      </c>
      <c r="H238" s="810">
        <v>277.82936900466143</v>
      </c>
      <c r="I238" s="810"/>
      <c r="J238" s="609">
        <f t="shared" si="91"/>
        <v>0</v>
      </c>
      <c r="K238" s="610">
        <v>50</v>
      </c>
      <c r="L238" s="609">
        <v>35211995.775609218</v>
      </c>
      <c r="M238" s="609">
        <v>80191551.863811925</v>
      </c>
      <c r="N238" s="810">
        <f t="shared" si="92"/>
        <v>35.211995775609218</v>
      </c>
      <c r="O238" s="810">
        <f t="shared" si="93"/>
        <v>80.191551863811924</v>
      </c>
    </row>
    <row r="239" spans="4:15" x14ac:dyDescent="0.25">
      <c r="D239" s="609">
        <v>2065</v>
      </c>
      <c r="E239" s="810">
        <v>39.734791450669633</v>
      </c>
      <c r="F239" s="810">
        <v>114.97404876825767</v>
      </c>
      <c r="G239" s="810">
        <v>246.36687281915863</v>
      </c>
      <c r="H239" s="810">
        <v>267.22842168323677</v>
      </c>
      <c r="I239" s="810"/>
      <c r="J239" s="609">
        <f t="shared" si="91"/>
        <v>0</v>
      </c>
      <c r="K239" s="610">
        <v>51</v>
      </c>
      <c r="L239" s="609">
        <v>36215537.655214086</v>
      </c>
      <c r="M239" s="609">
        <v>75001701.632055998</v>
      </c>
      <c r="N239" s="810">
        <f t="shared" si="92"/>
        <v>36.215537655214085</v>
      </c>
      <c r="O239" s="810">
        <f t="shared" si="93"/>
        <v>75.001701632055997</v>
      </c>
    </row>
    <row r="240" spans="4:15" x14ac:dyDescent="0.25">
      <c r="D240" s="609">
        <v>2066</v>
      </c>
      <c r="E240" s="810">
        <v>37.610335374118016</v>
      </c>
      <c r="F240" s="810">
        <v>102.13259336251855</v>
      </c>
      <c r="G240" s="810">
        <v>234.99456420640479</v>
      </c>
      <c r="H240" s="810">
        <v>255.27803417633979</v>
      </c>
      <c r="I240" s="810"/>
      <c r="J240" s="609">
        <f t="shared" si="91"/>
        <v>0</v>
      </c>
      <c r="K240" s="610">
        <v>52</v>
      </c>
      <c r="L240" s="609">
        <v>37247680.478387684</v>
      </c>
      <c r="M240" s="609">
        <v>68523564.665889218</v>
      </c>
      <c r="N240" s="810">
        <f t="shared" si="92"/>
        <v>37.247680478387686</v>
      </c>
      <c r="O240" s="810">
        <f t="shared" si="93"/>
        <v>68.523564665889225</v>
      </c>
    </row>
    <row r="241" spans="4:15" x14ac:dyDescent="0.25">
      <c r="D241" s="609">
        <v>2067</v>
      </c>
      <c r="E241" s="810">
        <v>35.547656619031777</v>
      </c>
      <c r="F241" s="810">
        <v>88.450179974587215</v>
      </c>
      <c r="G241" s="810">
        <v>222.79772462956211</v>
      </c>
      <c r="H241" s="810">
        <v>242.51913442045662</v>
      </c>
      <c r="I241" s="810"/>
      <c r="J241" s="609">
        <f t="shared" si="91"/>
        <v>0</v>
      </c>
      <c r="K241" s="610">
        <v>53</v>
      </c>
      <c r="L241" s="609">
        <v>38309239.372021735</v>
      </c>
      <c r="M241" s="609">
        <v>61034951.608905211</v>
      </c>
      <c r="N241" s="810">
        <f t="shared" si="92"/>
        <v>38.309239372021736</v>
      </c>
      <c r="O241" s="810">
        <f t="shared" si="93"/>
        <v>61.03495160890521</v>
      </c>
    </row>
    <row r="242" spans="4:15" x14ac:dyDescent="0.25">
      <c r="D242" s="609">
        <v>2068</v>
      </c>
      <c r="E242" s="810">
        <v>33.54504331991577</v>
      </c>
      <c r="F242" s="810">
        <v>74.529447589331383</v>
      </c>
      <c r="G242" s="810">
        <v>210.37917674944214</v>
      </c>
      <c r="H242" s="810">
        <v>229.55410119367599</v>
      </c>
      <c r="I242" s="810"/>
      <c r="J242" s="609">
        <f t="shared" si="91"/>
        <v>0</v>
      </c>
      <c r="K242" s="610">
        <v>54</v>
      </c>
      <c r="L242" s="609">
        <v>39401052.694124356</v>
      </c>
      <c r="M242" s="609">
        <v>52894690.698973119</v>
      </c>
      <c r="N242" s="810">
        <f t="shared" si="92"/>
        <v>39.401052694124353</v>
      </c>
      <c r="O242" s="810">
        <f t="shared" si="93"/>
        <v>52.894690698973122</v>
      </c>
    </row>
    <row r="243" spans="4:15" x14ac:dyDescent="0.25">
      <c r="D243" s="609">
        <v>2069</v>
      </c>
      <c r="E243" s="810">
        <v>31.600831047508791</v>
      </c>
      <c r="F243" s="810">
        <v>60.974197414013751</v>
      </c>
      <c r="G243" s="810">
        <v>198.34290750299306</v>
      </c>
      <c r="H243" s="810">
        <v>216.98648985032787</v>
      </c>
      <c r="I243" s="810"/>
      <c r="J243" s="609">
        <f t="shared" si="91"/>
        <v>0</v>
      </c>
      <c r="K243" s="610">
        <v>55</v>
      </c>
      <c r="L243" s="609">
        <v>40523982.6959069</v>
      </c>
      <c r="M243" s="609">
        <v>44507640.168299615</v>
      </c>
      <c r="N243" s="810">
        <f t="shared" si="92"/>
        <v>40.523982695906902</v>
      </c>
      <c r="O243" s="810">
        <f t="shared" si="93"/>
        <v>44.507640168299616</v>
      </c>
    </row>
    <row r="244" spans="4:15" x14ac:dyDescent="0.25">
      <c r="D244" s="609">
        <v>2070</v>
      </c>
      <c r="E244" s="810">
        <v>29.713401494313299</v>
      </c>
      <c r="F244" s="810">
        <v>48.328541924372935</v>
      </c>
      <c r="G244" s="810">
        <v>187.23321717234424</v>
      </c>
      <c r="H244" s="810">
        <v>205.36018104918898</v>
      </c>
      <c r="I244" s="810"/>
      <c r="J244" s="609">
        <f t="shared" si="91"/>
        <v>0</v>
      </c>
      <c r="K244" s="610">
        <v>56</v>
      </c>
      <c r="L244" s="609">
        <v>41678916.202740245</v>
      </c>
      <c r="M244" s="609">
        <v>36282438.215484142</v>
      </c>
      <c r="N244" s="810">
        <f t="shared" si="92"/>
        <v>41.678916202740247</v>
      </c>
      <c r="O244" s="810">
        <f t="shared" si="93"/>
        <v>36.282438215484142</v>
      </c>
    </row>
    <row r="245" spans="4:15" x14ac:dyDescent="0.25">
      <c r="D245" s="609">
        <v>2071</v>
      </c>
      <c r="E245" s="810">
        <v>28.675794860651152</v>
      </c>
      <c r="F245" s="810">
        <v>38.080063849532422</v>
      </c>
      <c r="G245" s="810">
        <v>182.54092610742262</v>
      </c>
      <c r="H245" s="810">
        <v>200.66788998426733</v>
      </c>
      <c r="I245" s="810"/>
      <c r="J245" s="609">
        <f t="shared" si="91"/>
        <v>0</v>
      </c>
      <c r="K245" s="610">
        <v>57</v>
      </c>
      <c r="L245" s="609">
        <v>44088468.125982113</v>
      </c>
      <c r="M245" s="609">
        <v>28588438.815812219</v>
      </c>
      <c r="N245" s="810">
        <f t="shared" si="92"/>
        <v>44.088468125982111</v>
      </c>
      <c r="O245" s="810">
        <f t="shared" si="93"/>
        <v>28.588438815812218</v>
      </c>
    </row>
    <row r="246" spans="4:15" x14ac:dyDescent="0.25">
      <c r="D246" s="609">
        <v>2072</v>
      </c>
      <c r="E246" s="810">
        <v>26.846565539832756</v>
      </c>
      <c r="F246" s="810">
        <v>28.128010789370123</v>
      </c>
      <c r="G246" s="810">
        <v>174.20413791450946</v>
      </c>
      <c r="H246" s="810">
        <v>191.82879895179164</v>
      </c>
      <c r="I246" s="810"/>
      <c r="J246" s="609">
        <f t="shared" si="91"/>
        <v>0</v>
      </c>
      <c r="K246" s="610">
        <v>58</v>
      </c>
      <c r="L246" s="609">
        <v>45344989.467572607</v>
      </c>
      <c r="M246" s="609">
        <v>21718813.086056516</v>
      </c>
      <c r="N246" s="810">
        <f t="shared" si="92"/>
        <v>45.34498946757261</v>
      </c>
      <c r="O246" s="810">
        <f t="shared" si="93"/>
        <v>21.718813086056514</v>
      </c>
    </row>
    <row r="247" spans="4:15" x14ac:dyDescent="0.25">
      <c r="D247" s="609">
        <v>2073</v>
      </c>
      <c r="E247" s="810">
        <v>25.071015611753001</v>
      </c>
      <c r="F247" s="810">
        <v>19.978422564158844</v>
      </c>
      <c r="G247" s="810">
        <v>167.68787536935565</v>
      </c>
      <c r="H247" s="810">
        <v>184.82415250818133</v>
      </c>
      <c r="I247" s="810"/>
      <c r="J247" s="609">
        <f t="shared" si="91"/>
        <v>0</v>
      </c>
      <c r="K247" s="610">
        <v>59</v>
      </c>
      <c r="L247" s="609">
        <v>46637321.667398438</v>
      </c>
      <c r="M247" s="609">
        <v>15865821.301465454</v>
      </c>
      <c r="N247" s="810">
        <f t="shared" si="92"/>
        <v>46.637321667398439</v>
      </c>
      <c r="O247" s="810">
        <f t="shared" si="93"/>
        <v>15.865821301465454</v>
      </c>
    </row>
    <row r="248" spans="4:15" x14ac:dyDescent="0.25">
      <c r="D248" s="609">
        <v>2074</v>
      </c>
      <c r="E248" s="810">
        <v>23.347657606608248</v>
      </c>
      <c r="F248" s="810">
        <v>13.604501217171578</v>
      </c>
      <c r="G248" s="810">
        <v>162.96554245917906</v>
      </c>
      <c r="H248" s="810">
        <v>179.62696894320985</v>
      </c>
      <c r="I248" s="810"/>
      <c r="J248" s="609">
        <f t="shared" si="91"/>
        <v>0</v>
      </c>
      <c r="K248" s="610">
        <v>60</v>
      </c>
      <c r="L248" s="609">
        <v>47966485.334919281</v>
      </c>
      <c r="M248" s="609">
        <v>11111898.95862361</v>
      </c>
      <c r="N248" s="810">
        <f t="shared" si="92"/>
        <v>47.966485334919284</v>
      </c>
      <c r="O248" s="810">
        <f t="shared" si="93"/>
        <v>11.111898958623611</v>
      </c>
    </row>
    <row r="249" spans="4:15" x14ac:dyDescent="0.25">
      <c r="D249" s="609">
        <v>2075</v>
      </c>
      <c r="E249" s="810">
        <v>21.675045272766354</v>
      </c>
      <c r="F249" s="810">
        <v>8.8529201206865711</v>
      </c>
      <c r="G249" s="810">
        <v>159.88401675820509</v>
      </c>
      <c r="H249" s="810">
        <v>176.08375082143385</v>
      </c>
      <c r="I249" s="810"/>
      <c r="J249" s="609">
        <f t="shared" si="91"/>
        <v>0</v>
      </c>
      <c r="K249" s="610">
        <v>61</v>
      </c>
      <c r="L249" s="609">
        <v>49333530.166964486</v>
      </c>
      <c r="M249" s="609">
        <v>7436978.0810060687</v>
      </c>
      <c r="N249" s="810">
        <f t="shared" si="92"/>
        <v>49.333530166964486</v>
      </c>
      <c r="O249" s="810">
        <f t="shared" si="93"/>
        <v>7.4369780810060684</v>
      </c>
    </row>
    <row r="250" spans="4:15" x14ac:dyDescent="0.25">
      <c r="D250" s="609">
        <v>2076</v>
      </c>
      <c r="E250" s="810">
        <v>20.051772434600537</v>
      </c>
      <c r="F250" s="810">
        <v>5.4851722390760749</v>
      </c>
      <c r="G250" s="810">
        <v>158.20499771600294</v>
      </c>
      <c r="H250" s="810">
        <v>173.95583297436826</v>
      </c>
      <c r="I250" s="810"/>
      <c r="J250" s="609">
        <f t="shared" si="91"/>
        <v>0</v>
      </c>
      <c r="K250" s="610">
        <v>62</v>
      </c>
      <c r="L250" s="609">
        <v>50739535.776722975</v>
      </c>
      <c r="M250" s="609">
        <v>4739194.3735402962</v>
      </c>
      <c r="N250" s="810">
        <f t="shared" si="92"/>
        <v>50.739535776722974</v>
      </c>
      <c r="O250" s="810">
        <f t="shared" si="93"/>
        <v>4.7391943735402959</v>
      </c>
    </row>
    <row r="251" spans="4:15" x14ac:dyDescent="0.25">
      <c r="D251" s="609">
        <v>2077</v>
      </c>
      <c r="E251" s="810">
        <v>18.476471881972977</v>
      </c>
      <c r="F251" s="810">
        <v>3.2225863665394683</v>
      </c>
      <c r="G251" s="810">
        <v>157.65002292074848</v>
      </c>
      <c r="H251" s="810">
        <v>172.96439847579501</v>
      </c>
      <c r="I251" s="810"/>
      <c r="J251" s="609">
        <f t="shared" si="91"/>
        <v>0</v>
      </c>
      <c r="K251" s="610">
        <v>63</v>
      </c>
      <c r="L251" s="609">
        <v>52185612.546359591</v>
      </c>
      <c r="M251" s="609">
        <v>2863670.9464075188</v>
      </c>
      <c r="N251" s="810">
        <f t="shared" si="92"/>
        <v>52.185612546359593</v>
      </c>
      <c r="O251" s="810">
        <f t="shared" si="93"/>
        <v>2.863670946407519</v>
      </c>
    </row>
    <row r="252" spans="4:15" x14ac:dyDescent="0.25">
      <c r="D252" s="609">
        <v>2078</v>
      </c>
      <c r="E252" s="810">
        <v>16.94781429049101</v>
      </c>
      <c r="F252" s="810">
        <v>1.7868002377432044</v>
      </c>
      <c r="G252" s="810">
        <v>157.94094123567942</v>
      </c>
      <c r="H252" s="810">
        <v>172.83095149824288</v>
      </c>
      <c r="I252" s="810"/>
      <c r="J252" s="609">
        <f t="shared" si="91"/>
        <v>0</v>
      </c>
      <c r="K252" s="610">
        <v>64</v>
      </c>
      <c r="L252" s="609">
        <v>53672902.503930844</v>
      </c>
      <c r="M252" s="609">
        <v>1633047.6068681639</v>
      </c>
      <c r="N252" s="810">
        <f t="shared" si="92"/>
        <v>53.672902503930842</v>
      </c>
      <c r="O252" s="810">
        <f t="shared" si="93"/>
        <v>1.6330476068681639</v>
      </c>
    </row>
    <row r="253" spans="4:15" x14ac:dyDescent="0.25">
      <c r="D253" s="609">
        <v>2079</v>
      </c>
      <c r="E253" s="810">
        <v>15.356569635249588</v>
      </c>
      <c r="F253" s="810">
        <v>0.92382181605358604</v>
      </c>
      <c r="G253" s="810">
        <v>158.82397411343197</v>
      </c>
      <c r="H253" s="810">
        <v>173.30137835510769</v>
      </c>
      <c r="I253" s="810"/>
      <c r="J253" s="609">
        <f t="shared" si="91"/>
        <v>0</v>
      </c>
      <c r="K253" s="610">
        <v>65</v>
      </c>
      <c r="L253" s="609">
        <v>55202580.225292876</v>
      </c>
      <c r="M253" s="609">
        <v>868391.08019497455</v>
      </c>
      <c r="N253" s="810">
        <f t="shared" si="92"/>
        <v>55.202580225292877</v>
      </c>
      <c r="O253" s="810">
        <f t="shared" si="93"/>
        <v>0.86839108019497457</v>
      </c>
    </row>
    <row r="254" spans="4:15" x14ac:dyDescent="0.25">
      <c r="D254" s="609">
        <v>2080</v>
      </c>
      <c r="E254" s="810">
        <v>13.809418779399868</v>
      </c>
      <c r="F254" s="810">
        <v>0.44198781511374319</v>
      </c>
      <c r="G254" s="810">
        <v>160.1076741440136</v>
      </c>
      <c r="H254" s="810">
        <v>174.18390578395108</v>
      </c>
      <c r="I254" s="810"/>
      <c r="J254" s="609">
        <f t="shared" ref="J254:J264" si="94">I254/1000000</f>
        <v>0</v>
      </c>
      <c r="K254" s="610">
        <v>66</v>
      </c>
      <c r="L254" s="609">
        <v>56775853.761713721</v>
      </c>
      <c r="M254" s="609">
        <v>427308.69764222164</v>
      </c>
      <c r="N254" s="810">
        <f t="shared" ref="N254:N264" si="95">L254/1000000</f>
        <v>56.775853761713719</v>
      </c>
      <c r="O254" s="810">
        <f t="shared" ref="O254:O264" si="96">M254/1000000</f>
        <v>0.42730869764222162</v>
      </c>
    </row>
    <row r="255" spans="4:15" x14ac:dyDescent="0.25">
      <c r="D255" s="609">
        <v>2081</v>
      </c>
      <c r="E255" s="810">
        <v>12.305139872399653</v>
      </c>
      <c r="F255" s="810">
        <v>0.19388546980468685</v>
      </c>
      <c r="G255" s="810">
        <v>161.64484685245503</v>
      </c>
      <c r="H255" s="810">
        <v>175.33102248681331</v>
      </c>
      <c r="I255" s="810"/>
      <c r="J255" s="609">
        <f t="shared" si="94"/>
        <v>0</v>
      </c>
      <c r="K255" s="610">
        <v>67</v>
      </c>
      <c r="L255" s="609">
        <v>58393965.59392257</v>
      </c>
      <c r="M255" s="609">
        <v>192788.44277300133</v>
      </c>
      <c r="N255" s="810">
        <f t="shared" si="95"/>
        <v>58.393965593922573</v>
      </c>
      <c r="O255" s="810">
        <f t="shared" si="96"/>
        <v>0.19278844277300133</v>
      </c>
    </row>
    <row r="256" spans="4:15" x14ac:dyDescent="0.25">
      <c r="D256" s="609">
        <v>2082</v>
      </c>
      <c r="E256" s="810">
        <v>10.84254492150008</v>
      </c>
      <c r="F256" s="810">
        <v>7.7108728498046369E-2</v>
      </c>
      <c r="G256" s="810">
        <v>163.3333069180521</v>
      </c>
      <c r="H256" s="810">
        <v>176.64023509924633</v>
      </c>
      <c r="I256" s="810"/>
      <c r="J256" s="609">
        <f t="shared" si="94"/>
        <v>0</v>
      </c>
      <c r="K256" s="610">
        <v>68</v>
      </c>
      <c r="L256" s="609">
        <v>60058193.613349363</v>
      </c>
      <c r="M256" s="609">
        <v>78857.602634946059</v>
      </c>
      <c r="N256" s="810">
        <f t="shared" si="95"/>
        <v>60.05819361334936</v>
      </c>
      <c r="O256" s="810">
        <f t="shared" si="96"/>
        <v>7.8857602634946053E-2</v>
      </c>
    </row>
    <row r="257" spans="4:15" x14ac:dyDescent="0.25">
      <c r="D257" s="609">
        <v>2083</v>
      </c>
      <c r="E257" s="810">
        <v>9.4204788535374373</v>
      </c>
      <c r="F257" s="810">
        <v>2.7413365133495248E-2</v>
      </c>
      <c r="G257" s="810">
        <v>165.10903331373461</v>
      </c>
      <c r="H257" s="810">
        <v>178.04722308640766</v>
      </c>
      <c r="I257" s="810"/>
      <c r="J257" s="609">
        <f t="shared" si="94"/>
        <v>0</v>
      </c>
      <c r="K257" s="610">
        <v>69</v>
      </c>
      <c r="L257" s="609">
        <v>61769852.131329812</v>
      </c>
      <c r="M257" s="609">
        <v>28834.118226911552</v>
      </c>
      <c r="N257" s="810">
        <f t="shared" si="95"/>
        <v>61.769852131329813</v>
      </c>
      <c r="O257" s="810">
        <f t="shared" si="96"/>
        <v>2.8834118226911551E-2</v>
      </c>
    </row>
    <row r="258" spans="4:15" x14ac:dyDescent="0.25">
      <c r="D258" s="609">
        <v>2084</v>
      </c>
      <c r="E258" s="810">
        <v>8.0378186027230036</v>
      </c>
      <c r="F258" s="810">
        <v>8.5551579514153257E-3</v>
      </c>
      <c r="G258" s="810">
        <v>166.93600751239495</v>
      </c>
      <c r="H258" s="810">
        <v>179.51567671285491</v>
      </c>
      <c r="I258" s="810"/>
      <c r="J258" s="609">
        <f t="shared" si="94"/>
        <v>0</v>
      </c>
      <c r="K258" s="610">
        <v>70</v>
      </c>
      <c r="L258" s="609">
        <v>63530292.917072713</v>
      </c>
      <c r="M258" s="609">
        <v>9255.0048856246431</v>
      </c>
      <c r="N258" s="810">
        <f t="shared" si="95"/>
        <v>63.530292917072714</v>
      </c>
      <c r="O258" s="810">
        <f t="shared" si="96"/>
        <v>9.2550048856246438E-3</v>
      </c>
    </row>
    <row r="259" spans="4:15" x14ac:dyDescent="0.25">
      <c r="D259" s="609">
        <v>2085</v>
      </c>
      <c r="E259" s="810">
        <v>6.6934722237104456</v>
      </c>
      <c r="F259" s="810">
        <v>2.2873561894209034E-3</v>
      </c>
      <c r="G259" s="810">
        <v>168.79621098148965</v>
      </c>
      <c r="H259" s="810">
        <v>181.02729430716778</v>
      </c>
      <c r="I259" s="810"/>
      <c r="J259" s="609">
        <f t="shared" si="94"/>
        <v>0</v>
      </c>
      <c r="K259" s="610">
        <v>71</v>
      </c>
      <c r="L259" s="609">
        <v>65340906.26520928</v>
      </c>
      <c r="M259" s="609">
        <v>2544.9937188871513</v>
      </c>
      <c r="N259" s="810">
        <f t="shared" si="95"/>
        <v>65.340906265209284</v>
      </c>
      <c r="O259" s="810">
        <f t="shared" si="96"/>
        <v>2.5449937188871514E-3</v>
      </c>
    </row>
    <row r="260" spans="4:15" x14ac:dyDescent="0.25">
      <c r="D260" s="609">
        <v>2086</v>
      </c>
      <c r="E260" s="810">
        <v>5.3863780292402712</v>
      </c>
      <c r="F260" s="810">
        <v>5.0628944719386E-4</v>
      </c>
      <c r="G260" s="810">
        <v>170.68177082062098</v>
      </c>
      <c r="H260" s="810">
        <v>182.57392767592302</v>
      </c>
      <c r="I260" s="810"/>
      <c r="J260" s="609">
        <f t="shared" si="94"/>
        <v>0</v>
      </c>
      <c r="K260" s="610">
        <v>72</v>
      </c>
      <c r="L260" s="609">
        <v>67203122.093767762</v>
      </c>
      <c r="M260" s="609">
        <v>579.37011204170119</v>
      </c>
      <c r="N260" s="810">
        <f t="shared" si="95"/>
        <v>67.20312209376776</v>
      </c>
      <c r="O260" s="810">
        <f t="shared" si="96"/>
        <v>5.7937011204170117E-4</v>
      </c>
    </row>
    <row r="261" spans="4:15" x14ac:dyDescent="0.25">
      <c r="D261" s="609">
        <v>2087</v>
      </c>
      <c r="E261" s="810">
        <v>4.1155037516805564</v>
      </c>
      <c r="F261" s="810">
        <v>8.808316525937181E-5</v>
      </c>
      <c r="G261" s="810">
        <v>172.58979650554812</v>
      </c>
      <c r="H261" s="810">
        <v>184.15241863029487</v>
      </c>
      <c r="I261" s="810"/>
      <c r="J261" s="609">
        <f t="shared" si="94"/>
        <v>0</v>
      </c>
      <c r="K261" s="610">
        <v>73</v>
      </c>
      <c r="L261" s="609">
        <v>69118411.073440135</v>
      </c>
      <c r="M261" s="609">
        <v>103.67031563860294</v>
      </c>
      <c r="N261" s="810">
        <f t="shared" si="95"/>
        <v>69.118411073440129</v>
      </c>
      <c r="O261" s="810">
        <f t="shared" si="96"/>
        <v>1.0367031563860294E-4</v>
      </c>
    </row>
    <row r="262" spans="4:15" x14ac:dyDescent="0.25">
      <c r="D262" s="609">
        <v>2088</v>
      </c>
      <c r="E262" s="810">
        <v>2.8798457278013929</v>
      </c>
      <c r="F262" s="810">
        <v>1.1031302992424443E-5</v>
      </c>
      <c r="G262" s="810">
        <v>174.5195022897164</v>
      </c>
      <c r="H262" s="810">
        <v>185.76172117619839</v>
      </c>
      <c r="I262" s="810"/>
      <c r="J262" s="609">
        <f t="shared" si="94"/>
        <v>0</v>
      </c>
      <c r="K262" s="610">
        <v>74</v>
      </c>
      <c r="L262" s="609">
        <v>71088285.789033189</v>
      </c>
      <c r="M262" s="609">
        <v>13.353423342194869</v>
      </c>
      <c r="N262" s="810">
        <f t="shared" si="95"/>
        <v>71.088285789033193</v>
      </c>
      <c r="O262" s="810">
        <f t="shared" si="96"/>
        <v>1.3353423342194869E-5</v>
      </c>
    </row>
    <row r="263" spans="4:15" x14ac:dyDescent="0.25">
      <c r="D263" s="609">
        <v>2089</v>
      </c>
      <c r="E263" s="810">
        <v>1.6784281061395976</v>
      </c>
      <c r="F263" s="810">
        <v>8.283034047549532E-7</v>
      </c>
      <c r="G263" s="810">
        <v>176.47085246539618</v>
      </c>
      <c r="H263" s="810">
        <v>187.40154656989984</v>
      </c>
      <c r="I263" s="810"/>
      <c r="J263" s="609">
        <f t="shared" si="94"/>
        <v>0</v>
      </c>
      <c r="K263" s="610">
        <v>75</v>
      </c>
      <c r="L263" s="609">
        <v>73114301.934020624</v>
      </c>
      <c r="M263" s="609">
        <v>1.0312395171124851</v>
      </c>
      <c r="N263" s="810">
        <f t="shared" si="95"/>
        <v>73.114301934020617</v>
      </c>
      <c r="O263" s="810">
        <f t="shared" si="96"/>
        <v>1.031239517112485E-6</v>
      </c>
    </row>
    <row r="264" spans="4:15" x14ac:dyDescent="0.25">
      <c r="D264" s="609">
        <v>2090</v>
      </c>
      <c r="E264" s="810">
        <v>0.51030207632743707</v>
      </c>
      <c r="F264" s="810">
        <v>1.9474066588226928E-8</v>
      </c>
      <c r="G264" s="810">
        <v>178.44403084356404</v>
      </c>
      <c r="H264" s="810">
        <v>189.07183259806442</v>
      </c>
      <c r="I264" s="810"/>
      <c r="J264" s="609">
        <f t="shared" si="94"/>
        <v>0</v>
      </c>
      <c r="K264" s="610">
        <v>76</v>
      </c>
      <c r="L264" s="609">
        <v>75198059.53914021</v>
      </c>
      <c r="M264" s="609">
        <v>2.4936244468260826E-2</v>
      </c>
      <c r="N264" s="810">
        <f t="shared" si="95"/>
        <v>75.198059539140203</v>
      </c>
      <c r="O264" s="810">
        <f t="shared" si="96"/>
        <v>2.4936244468260824E-8</v>
      </c>
    </row>
    <row r="267" spans="4:15" x14ac:dyDescent="0.25">
      <c r="D267" s="609">
        <v>2050</v>
      </c>
      <c r="F267" s="806" t="s">
        <v>637</v>
      </c>
      <c r="G267" s="1127">
        <f>AO156</f>
        <v>35.146512188587067</v>
      </c>
      <c r="H267" s="809" t="s">
        <v>641</v>
      </c>
      <c r="I267" s="1129">
        <f>G269/(G267)</f>
        <v>676002.43913422234</v>
      </c>
      <c r="J267" s="609" t="s">
        <v>642</v>
      </c>
    </row>
    <row r="268" spans="4:15" x14ac:dyDescent="0.25">
      <c r="F268" s="806" t="s">
        <v>638</v>
      </c>
      <c r="G268" s="482">
        <f>AO128</f>
        <v>86426370.36411792</v>
      </c>
    </row>
    <row r="269" spans="4:15" x14ac:dyDescent="0.25">
      <c r="F269" s="806" t="s">
        <v>639</v>
      </c>
      <c r="G269" s="1128">
        <f>AO152</f>
        <v>23759127.966545533</v>
      </c>
    </row>
    <row r="270" spans="4:15" x14ac:dyDescent="0.25">
      <c r="F270" s="806" t="s">
        <v>640</v>
      </c>
      <c r="G270" s="1127">
        <f>AO155</f>
        <v>9.6619871591076869</v>
      </c>
      <c r="H270" s="809" t="s">
        <v>641</v>
      </c>
      <c r="I270" s="1129">
        <f>G268/(G270)</f>
        <v>8944989.1560505498</v>
      </c>
      <c r="J270" s="609" t="s">
        <v>642</v>
      </c>
    </row>
    <row r="272" spans="4:15" x14ac:dyDescent="0.25">
      <c r="G272" s="609" t="s">
        <v>646</v>
      </c>
      <c r="H272" s="609" t="s">
        <v>644</v>
      </c>
      <c r="I272" s="609" t="s">
        <v>643</v>
      </c>
      <c r="J272" s="609" t="s">
        <v>645</v>
      </c>
    </row>
    <row r="273" spans="7:10" x14ac:dyDescent="0.25">
      <c r="G273" s="1132">
        <f>H273/10</f>
        <v>9.1381096549909735</v>
      </c>
      <c r="H273" s="1133">
        <f>$C$151 *  (1+'Dynamic Assumptions'!$G$2)^(2050-$E$4-0)  *  (I273/1000000000)^(-1/2)   /   1000000000</f>
        <v>91.381096549909728</v>
      </c>
      <c r="I273" s="1134">
        <v>100000</v>
      </c>
      <c r="J273" s="1132">
        <f>I273/1000000</f>
        <v>0.1</v>
      </c>
    </row>
    <row r="274" spans="7:10" x14ac:dyDescent="0.25">
      <c r="G274" s="1132">
        <f t="shared" ref="G274:G277" si="97">H274/10</f>
        <v>6.4616193042703802</v>
      </c>
      <c r="H274" s="1133">
        <f>$C$151 *  (1+'Dynamic Assumptions'!$G$2)^(2050-$E$4-0)  *  (I274/1000000000)^(-1/2)   /   1000000000</f>
        <v>64.616193042703799</v>
      </c>
      <c r="I274" s="1134">
        <v>200000</v>
      </c>
      <c r="J274" s="1132">
        <f t="shared" ref="J274:J277" si="98">I274/1000000</f>
        <v>0.2</v>
      </c>
    </row>
    <row r="275" spans="7:10" x14ac:dyDescent="0.25">
      <c r="G275" s="674">
        <f t="shared" si="97"/>
        <v>5.2758900691933563</v>
      </c>
      <c r="H275" s="1130">
        <f>$C$151 *  (1+'Dynamic Assumptions'!$G$2)^(2050-$E$4-0)  *  (I275/1000000000)^(-1/2)   /   1000000000</f>
        <v>52.758900691933562</v>
      </c>
      <c r="I275" s="1131">
        <v>300000</v>
      </c>
      <c r="J275" s="674">
        <f t="shared" si="98"/>
        <v>0.3</v>
      </c>
    </row>
    <row r="276" spans="7:10" x14ac:dyDescent="0.25">
      <c r="G276" s="674">
        <f t="shared" si="97"/>
        <v>4.0866868748813934</v>
      </c>
      <c r="H276" s="1130">
        <f>$C$151 *  (1+'Dynamic Assumptions'!$G$2)^(2050-$E$4-0)  *  (I276/1000000000)^(-1/2)   /   1000000000</f>
        <v>40.866868748813935</v>
      </c>
      <c r="I276" s="1131">
        <v>500000</v>
      </c>
      <c r="J276" s="674">
        <f t="shared" si="98"/>
        <v>0.5</v>
      </c>
    </row>
    <row r="277" spans="7:10" x14ac:dyDescent="0.25">
      <c r="G277" s="674">
        <f t="shared" si="97"/>
        <v>3.7306176447213866</v>
      </c>
      <c r="H277" s="1130">
        <f>$C$151 *  (1+'Dynamic Assumptions'!$G$2)^(2050-$E$4-0)  *  (I277/1000000000)^(-1/2)   /   1000000000</f>
        <v>37.306176447213865</v>
      </c>
      <c r="I277" s="1131">
        <v>600000</v>
      </c>
      <c r="J277" s="674">
        <f t="shared" si="98"/>
        <v>0.6</v>
      </c>
    </row>
    <row r="278" spans="7:10" x14ac:dyDescent="0.25">
      <c r="G278" s="674">
        <f>H278/10</f>
        <v>3.4538808000491938</v>
      </c>
      <c r="H278" s="1130">
        <f>$C$151 *  (1+'Dynamic Assumptions'!$G$2)^(2050-$E$4-0)  *  (I278/1000000000)^(-1/2)   /   1000000000</f>
        <v>34.53880800049194</v>
      </c>
      <c r="I278" s="1131">
        <v>700000</v>
      </c>
      <c r="J278" s="674">
        <f>I278/1000000</f>
        <v>0.7</v>
      </c>
    </row>
    <row r="279" spans="7:10" x14ac:dyDescent="0.25">
      <c r="G279" s="674">
        <f>H279/10</f>
        <v>2.8897240018146935</v>
      </c>
      <c r="H279" s="1130">
        <f>$C$151 *  (1+'Dynamic Assumptions'!$G$2)^(2050-$E$4-0)  *  (I279/1000000000)^(-1/2)   /   1000000000</f>
        <v>28.897240018146935</v>
      </c>
      <c r="I279" s="1131">
        <v>1000000</v>
      </c>
      <c r="J279" s="674">
        <f>I279/1000000</f>
        <v>1</v>
      </c>
    </row>
    <row r="280" spans="7:10" x14ac:dyDescent="0.25">
      <c r="G280" s="674">
        <f>H280/10</f>
        <v>2.5846477217081523</v>
      </c>
      <c r="H280" s="1130">
        <f>$C$151 *  (1+'Dynamic Assumptions'!$G$2)^(2050-$E$4-0)  *  (I280/1000000000)^(-1/2)   /   1000000000</f>
        <v>25.846477217081521</v>
      </c>
      <c r="I280" s="1131">
        <v>1250000</v>
      </c>
      <c r="J280" s="674">
        <f>I280/1000000</f>
        <v>1.25</v>
      </c>
    </row>
    <row r="281" spans="7:10" x14ac:dyDescent="0.25">
      <c r="G281" s="674">
        <f>H281/10</f>
        <v>2.3594497673064825</v>
      </c>
      <c r="H281" s="1130">
        <f>$C$151 *  (1+'Dynamic Assumptions'!$G$2)^(2050-$E$4-0)  *  (I281/1000000000)^(-1/2)   /   1000000000</f>
        <v>23.594497673064826</v>
      </c>
      <c r="I281" s="1131">
        <v>1500000</v>
      </c>
      <c r="J281" s="674">
        <f>I281/1000000</f>
        <v>1.5</v>
      </c>
    </row>
    <row r="282" spans="7:10" x14ac:dyDescent="0.25">
      <c r="G282" s="674">
        <f>H282/10</f>
        <v>2.0433434374406967</v>
      </c>
      <c r="H282" s="1130">
        <f>$C$151 *  (1+'Dynamic Assumptions'!$G$2)^(2050-$E$4-0)  *  (I282/1000000000)^(-1/2)   /   1000000000</f>
        <v>20.433434374406968</v>
      </c>
      <c r="I282" s="1131">
        <v>2000000</v>
      </c>
      <c r="J282" s="674">
        <f>I282/1000000</f>
        <v>2</v>
      </c>
    </row>
    <row r="283" spans="7:10" x14ac:dyDescent="0.25">
      <c r="G283" s="674">
        <f>H283/10</f>
        <v>1.6683829303314355</v>
      </c>
      <c r="H283" s="1130">
        <f>$C$151 *  (1+'Dynamic Assumptions'!$G$2)^(2050-$E$4-0)  *  (I283/1000000000)^(-1/2)   /   1000000000</f>
        <v>16.683829303314354</v>
      </c>
      <c r="I283" s="1131">
        <v>3000000</v>
      </c>
      <c r="J283" s="674">
        <f>I283/1000000</f>
        <v>3</v>
      </c>
    </row>
    <row r="284" spans="7:10" x14ac:dyDescent="0.25">
      <c r="G284" s="674">
        <f>H284/10</f>
        <v>1.4448620009073467</v>
      </c>
      <c r="H284" s="1130">
        <f>$C$151 *  (1+'Dynamic Assumptions'!$G$2)^(2050-$E$4-0)  *  (I284/1000000000)^(-1/2)   /   1000000000</f>
        <v>14.448620009073467</v>
      </c>
      <c r="I284" s="1131">
        <v>4000000</v>
      </c>
      <c r="J284" s="674">
        <f>I284/1000000</f>
        <v>4</v>
      </c>
    </row>
    <row r="285" spans="7:10" x14ac:dyDescent="0.25">
      <c r="G285" s="674">
        <f>H285/10</f>
        <v>1.2923238608540761</v>
      </c>
      <c r="H285" s="1130">
        <f>$C$151 *  (1+'Dynamic Assumptions'!$G$2)^(2050-$E$4-0)  *  (I285/1000000000)^(-1/2)   /   1000000000</f>
        <v>12.92323860854076</v>
      </c>
      <c r="I285" s="1131">
        <v>5000000</v>
      </c>
      <c r="J285" s="674">
        <f>I285/1000000</f>
        <v>5</v>
      </c>
    </row>
    <row r="286" spans="7:10" x14ac:dyDescent="0.25">
      <c r="G286" s="674">
        <f>H286/10</f>
        <v>1.1797248836532412</v>
      </c>
      <c r="H286" s="1130">
        <f>$C$151 *  (1+'Dynamic Assumptions'!$G$2)^(2050-$E$4-0)  *  (I286/1000000000)^(-1/2)   /   1000000000</f>
        <v>11.797248836532413</v>
      </c>
      <c r="I286" s="1131">
        <v>6000000</v>
      </c>
      <c r="J286" s="674">
        <f>I286/1000000</f>
        <v>6</v>
      </c>
    </row>
    <row r="287" spans="7:10" x14ac:dyDescent="0.25">
      <c r="G287" s="674">
        <f>H287/10</f>
        <v>1.0922130094880056</v>
      </c>
      <c r="H287" s="1130">
        <f>$C$151 *  (1+'Dynamic Assumptions'!$G$2)^(2050-$E$4-0)  *  (I287/1000000000)^(-1/2)   /   1000000000</f>
        <v>10.922130094880057</v>
      </c>
      <c r="I287" s="1131">
        <v>7000000</v>
      </c>
      <c r="J287" s="674">
        <f>I287/1000000</f>
        <v>7</v>
      </c>
    </row>
    <row r="288" spans="7:10" x14ac:dyDescent="0.25">
      <c r="G288" s="674">
        <f>H288/10</f>
        <v>1.0216717187203483</v>
      </c>
      <c r="H288" s="1130">
        <f>$C$151 *  (1+'Dynamic Assumptions'!$G$2)^(2050-$E$4-0)  *  (I288/1000000000)^(-1/2)   /   1000000000</f>
        <v>10.216717187203484</v>
      </c>
      <c r="I288" s="1131">
        <v>8000000</v>
      </c>
      <c r="J288" s="674">
        <f>I288/1000000</f>
        <v>8</v>
      </c>
    </row>
    <row r="289" spans="7:10" x14ac:dyDescent="0.25">
      <c r="G289" s="674">
        <f>H289/10</f>
        <v>0.96324133393823119</v>
      </c>
      <c r="H289" s="1130">
        <f>$C$151 *  (1+'Dynamic Assumptions'!$G$2)^(2050-$E$4-0)  *  (I289/1000000000)^(-1/2)   /   1000000000</f>
        <v>9.6324133393823121</v>
      </c>
      <c r="I289" s="1131">
        <v>9000000</v>
      </c>
      <c r="J289" s="674">
        <f>I289/1000000</f>
        <v>9</v>
      </c>
    </row>
    <row r="290" spans="7:10" x14ac:dyDescent="0.25">
      <c r="G290" s="674">
        <f>H290/10</f>
        <v>0.91381096549909757</v>
      </c>
      <c r="H290" s="1130">
        <f>$C$151 *  (1+'Dynamic Assumptions'!$G$2)^(2050-$E$4-0)  *  (I290/1000000000)^(-1/2)   /   1000000000</f>
        <v>9.1381096549909753</v>
      </c>
      <c r="I290" s="1131">
        <v>10000000</v>
      </c>
      <c r="J290" s="674">
        <f>I290/1000000</f>
        <v>10</v>
      </c>
    </row>
    <row r="291" spans="7:10" x14ac:dyDescent="0.25">
      <c r="G291" s="674">
        <f>H291/10</f>
        <v>0.87128456924578401</v>
      </c>
      <c r="H291" s="1130">
        <f>$C$151 *  (1+'Dynamic Assumptions'!$G$2)^(2050-$E$4-0)  *  (I291/1000000000)^(-1/2)   /   1000000000</f>
        <v>8.7128456924578401</v>
      </c>
      <c r="I291" s="1131">
        <v>11000000</v>
      </c>
      <c r="J291" s="674">
        <f>I291/1000000</f>
        <v>11</v>
      </c>
    </row>
    <row r="292" spans="7:10" x14ac:dyDescent="0.25">
      <c r="G292" s="674">
        <f>H292/10</f>
        <v>0.83419146516571774</v>
      </c>
      <c r="H292" s="1130">
        <f>$C$151 *  (1+'Dynamic Assumptions'!$G$2)^(2050-$E$4-0)  *  (I292/1000000000)^(-1/2)   /   1000000000</f>
        <v>8.3419146516571772</v>
      </c>
      <c r="I292" s="1131">
        <v>12000000</v>
      </c>
      <c r="J292" s="674">
        <f>I292/1000000</f>
        <v>12</v>
      </c>
    </row>
    <row r="293" spans="7:10" x14ac:dyDescent="0.25">
      <c r="G293" s="674">
        <f>H293/10</f>
        <v>0.80146523542168224</v>
      </c>
      <c r="H293" s="1130">
        <f>$C$151 *  (1+'Dynamic Assumptions'!$G$2)^(2050-$E$4-0)  *  (I293/1000000000)^(-1/2)   /   1000000000</f>
        <v>8.0146523542168229</v>
      </c>
      <c r="I293" s="1131">
        <v>13000000</v>
      </c>
      <c r="J293" s="674">
        <f>I293/1000000</f>
        <v>13</v>
      </c>
    </row>
    <row r="294" spans="7:10" x14ac:dyDescent="0.25">
      <c r="G294" s="674">
        <f>H294/10</f>
        <v>0.77231122550913578</v>
      </c>
      <c r="H294" s="1130">
        <f>$C$151 *  (1+'Dynamic Assumptions'!$G$2)^(2050-$E$4-0)  *  (I294/1000000000)^(-1/2)   /   1000000000</f>
        <v>7.7231122550913582</v>
      </c>
      <c r="I294" s="1131">
        <v>14000000</v>
      </c>
      <c r="J294" s="674">
        <f>I294/1000000</f>
        <v>14</v>
      </c>
    </row>
    <row r="295" spans="7:10" x14ac:dyDescent="0.25">
      <c r="G295" s="674">
        <f>H295/10</f>
        <v>0.74612352894427736</v>
      </c>
      <c r="H295" s="1130">
        <f>$C$151 *  (1+'Dynamic Assumptions'!$G$2)^(2050-$E$4-0)  *  (I295/1000000000)^(-1/2)   /   1000000000</f>
        <v>7.4612352894427731</v>
      </c>
      <c r="I295" s="1131">
        <v>15000000</v>
      </c>
      <c r="J295" s="674">
        <f>I295/1000000</f>
        <v>15</v>
      </c>
    </row>
    <row r="298" spans="7:10" x14ac:dyDescent="0.25">
      <c r="G298" s="674">
        <f>H298/10</f>
        <v>3.5146512188587069</v>
      </c>
      <c r="H298" s="1130">
        <f>$C$151 *  (1+'Dynamic Assumptions'!$G$2)^(2050-$E$4-0)  *  (I298/1000000000)^(-1/2)   /   1000000000</f>
        <v>35.146512188587067</v>
      </c>
      <c r="I298" s="1131">
        <f>I267</f>
        <v>676002.43913422234</v>
      </c>
      <c r="J298" s="674">
        <f>I298/1000000</f>
        <v>0.67600243913422231</v>
      </c>
    </row>
    <row r="299" spans="7:10" x14ac:dyDescent="0.25">
      <c r="G299" s="674">
        <f>H299/10</f>
        <v>0.96619871591076867</v>
      </c>
      <c r="H299" s="1130">
        <f>$C$151 *  (1+'Dynamic Assumptions'!$G$2)^(2050-$E$4-0)  *  (I299/1000000000)^(-1/2)   /   1000000000</f>
        <v>9.6619871591076869</v>
      </c>
      <c r="I299" s="1131">
        <f>I270</f>
        <v>8944989.1560505498</v>
      </c>
      <c r="J299" s="674">
        <f>I299/1000000</f>
        <v>8.9449891560505499</v>
      </c>
    </row>
  </sheetData>
  <pageMargins left="0.7" right="0.7" top="0.75" bottom="0.75" header="0.3" footer="0.3"/>
  <pageSetup paperSize="17" scale="63" fitToWidth="6" fitToHeight="3" orientation="landscape" r:id="rId1"/>
  <headerFooter>
    <oddFooter xml:space="preserve">&amp;L&amp;"-,Bold"&amp;9This is a preliminary draft document. It is intended for discussion purposes only.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5:T30"/>
  <sheetViews>
    <sheetView showGridLines="0" zoomScale="80" zoomScaleNormal="80" workbookViewId="0">
      <selection activeCell="C10" sqref="C10"/>
    </sheetView>
  </sheetViews>
  <sheetFormatPr defaultRowHeight="12.75" x14ac:dyDescent="0.2"/>
  <cols>
    <col min="1" max="1" width="2.28515625" style="438" customWidth="1"/>
    <col min="2" max="2" width="67.42578125" style="438" customWidth="1"/>
    <col min="3" max="3" width="67.7109375" style="438" customWidth="1"/>
    <col min="4" max="4" width="2.28515625" style="438" customWidth="1"/>
    <col min="5" max="5" width="56.28515625" style="438" customWidth="1"/>
    <col min="6" max="6" width="44.7109375" style="438" customWidth="1"/>
    <col min="7" max="7" width="13.5703125" style="438" customWidth="1"/>
    <col min="8" max="8" width="37.28515625" style="438" customWidth="1"/>
    <col min="9" max="9" width="24" style="438" bestFit="1" customWidth="1"/>
    <col min="10" max="10" width="3.42578125" style="438" customWidth="1"/>
    <col min="11" max="11" width="10.85546875" style="438" customWidth="1"/>
    <col min="12" max="12" width="2.28515625" style="438" customWidth="1"/>
    <col min="13" max="13" width="8.28515625" style="438" customWidth="1"/>
    <col min="14" max="14" width="2.85546875" style="438" customWidth="1"/>
    <col min="15" max="15" width="9.140625" style="438"/>
    <col min="16" max="16" width="12.42578125" style="438" customWidth="1"/>
    <col min="17" max="16384" width="9.140625" style="438"/>
  </cols>
  <sheetData>
    <row r="5" spans="2:20" ht="93" customHeight="1" x14ac:dyDescent="0.35">
      <c r="B5" s="893" t="s">
        <v>508</v>
      </c>
      <c r="C5" s="893"/>
      <c r="D5" s="893"/>
      <c r="E5" s="893"/>
      <c r="F5" s="569"/>
      <c r="G5" s="569"/>
      <c r="H5" s="569"/>
      <c r="I5" s="569"/>
      <c r="J5" s="569"/>
      <c r="K5" s="569"/>
      <c r="L5" s="569"/>
      <c r="M5" s="569"/>
      <c r="N5" s="569"/>
      <c r="O5" s="569"/>
      <c r="P5" s="569"/>
    </row>
    <row r="6" spans="2:20" ht="27" customHeight="1" thickBot="1" x14ac:dyDescent="0.4">
      <c r="C6" s="569"/>
      <c r="D6" s="569"/>
      <c r="E6" s="569"/>
      <c r="F6" s="569"/>
      <c r="G6" s="569"/>
      <c r="H6" s="569"/>
      <c r="I6" s="569"/>
      <c r="J6" s="569"/>
      <c r="K6" s="569"/>
      <c r="L6" s="569"/>
      <c r="M6" s="569"/>
    </row>
    <row r="7" spans="2:20" ht="70.5" customHeight="1" thickTop="1" thickBot="1" x14ac:dyDescent="1">
      <c r="B7" s="556" t="s">
        <v>509</v>
      </c>
      <c r="C7" s="727" t="s">
        <v>297</v>
      </c>
      <c r="E7" s="556" t="s">
        <v>511</v>
      </c>
      <c r="F7" s="729">
        <v>30</v>
      </c>
      <c r="G7" s="556"/>
      <c r="H7" s="720"/>
      <c r="I7" s="439"/>
      <c r="J7" s="723"/>
      <c r="K7" s="723"/>
      <c r="L7" s="723"/>
      <c r="M7" s="723"/>
      <c r="N7" s="723"/>
      <c r="O7" s="723"/>
      <c r="P7" s="723"/>
      <c r="Q7" s="439"/>
    </row>
    <row r="8" spans="2:20" ht="13.5" hidden="1" customHeight="1" thickTop="1" x14ac:dyDescent="0.2">
      <c r="B8" s="555"/>
      <c r="C8" s="560"/>
      <c r="F8" s="560"/>
      <c r="G8" s="555"/>
      <c r="H8" s="721"/>
      <c r="I8" s="570"/>
      <c r="J8" s="570"/>
      <c r="K8" s="570"/>
      <c r="L8" s="570"/>
      <c r="M8" s="570"/>
      <c r="N8" s="570"/>
      <c r="O8" s="570"/>
      <c r="P8" s="570"/>
      <c r="Q8" s="439"/>
    </row>
    <row r="9" spans="2:20" ht="20.25" customHeight="1" thickTop="1" thickBot="1" x14ac:dyDescent="0.25">
      <c r="B9" s="555"/>
      <c r="C9" s="560"/>
      <c r="F9" s="560"/>
      <c r="G9" s="555"/>
      <c r="H9" s="721"/>
      <c r="I9" s="570"/>
      <c r="J9" s="570"/>
      <c r="K9" s="570"/>
      <c r="L9" s="570"/>
      <c r="M9" s="570"/>
      <c r="N9" s="570"/>
      <c r="O9" s="570"/>
      <c r="P9" s="570"/>
      <c r="Q9" s="439"/>
    </row>
    <row r="10" spans="2:20" ht="70.5" customHeight="1" thickTop="1" thickBot="1" x14ac:dyDescent="1">
      <c r="B10" s="556" t="s">
        <v>364</v>
      </c>
      <c r="C10" s="727">
        <v>50000000</v>
      </c>
      <c r="E10" s="556" t="s">
        <v>512</v>
      </c>
      <c r="F10" s="730">
        <v>0.55000000000000004</v>
      </c>
      <c r="G10" s="556"/>
      <c r="H10" s="720"/>
      <c r="I10" s="439"/>
      <c r="J10" s="724"/>
      <c r="K10" s="724"/>
      <c r="L10" s="724"/>
      <c r="M10" s="724"/>
      <c r="N10" s="724"/>
      <c r="O10" s="724"/>
      <c r="P10" s="724"/>
      <c r="Q10" s="451"/>
      <c r="R10" s="453"/>
      <c r="S10" s="453"/>
      <c r="T10" s="453"/>
    </row>
    <row r="11" spans="2:20" ht="20.25" customHeight="1" thickTop="1" thickBot="1" x14ac:dyDescent="0.25">
      <c r="B11" s="555"/>
      <c r="C11" s="560"/>
      <c r="F11" s="560"/>
      <c r="G11" s="555"/>
      <c r="H11" s="721"/>
      <c r="I11" s="570"/>
      <c r="J11" s="570"/>
      <c r="K11" s="570"/>
      <c r="L11" s="570"/>
      <c r="M11" s="570"/>
      <c r="N11" s="570"/>
      <c r="O11" s="570"/>
      <c r="P11" s="570"/>
      <c r="Q11" s="439"/>
    </row>
    <row r="12" spans="2:20" ht="70.5" customHeight="1" thickTop="1" thickBot="1" x14ac:dyDescent="1">
      <c r="B12" s="556" t="s">
        <v>510</v>
      </c>
      <c r="C12" s="728">
        <v>2014</v>
      </c>
      <c r="E12" s="556" t="s">
        <v>513</v>
      </c>
      <c r="F12" s="730">
        <v>0.45</v>
      </c>
      <c r="G12" s="556"/>
      <c r="H12" s="720"/>
      <c r="I12" s="439"/>
      <c r="J12" s="559"/>
      <c r="K12" s="559"/>
      <c r="L12" s="559"/>
      <c r="M12" s="559"/>
      <c r="N12" s="559"/>
      <c r="O12" s="559"/>
      <c r="P12" s="559"/>
      <c r="Q12" s="559"/>
      <c r="R12" s="559"/>
      <c r="S12" s="439"/>
      <c r="T12" s="453"/>
    </row>
    <row r="13" spans="2:20" ht="20.25" customHeight="1" thickTop="1" thickBot="1" x14ac:dyDescent="0.25">
      <c r="B13" s="555"/>
      <c r="C13" s="560"/>
      <c r="F13" s="560"/>
      <c r="G13" s="555"/>
      <c r="H13" s="721"/>
      <c r="I13" s="570"/>
      <c r="J13" s="570"/>
      <c r="K13" s="570"/>
      <c r="L13" s="570"/>
      <c r="M13" s="570"/>
      <c r="N13" s="570"/>
      <c r="O13" s="570"/>
      <c r="P13" s="570"/>
      <c r="Q13" s="439"/>
    </row>
    <row r="14" spans="2:20" ht="78.75" customHeight="1" thickTop="1" thickBot="1" x14ac:dyDescent="1">
      <c r="B14" s="556" t="s">
        <v>365</v>
      </c>
      <c r="C14" s="727" t="s">
        <v>298</v>
      </c>
      <c r="E14" s="556" t="s">
        <v>514</v>
      </c>
      <c r="F14" s="731">
        <f>F10+F12</f>
        <v>1</v>
      </c>
      <c r="G14" s="556"/>
      <c r="H14" s="720"/>
      <c r="I14" s="439"/>
      <c r="J14" s="723"/>
      <c r="K14" s="723"/>
      <c r="L14" s="723"/>
      <c r="M14" s="723"/>
      <c r="N14" s="723"/>
      <c r="O14" s="723"/>
      <c r="P14" s="723"/>
      <c r="Q14" s="439"/>
    </row>
    <row r="15" spans="2:20" ht="52.5" customHeight="1" thickTop="1" x14ac:dyDescent="0.25">
      <c r="B15" s="556"/>
      <c r="G15" s="556"/>
      <c r="H15" s="720"/>
      <c r="I15" s="723"/>
      <c r="J15" s="723"/>
      <c r="K15" s="723"/>
      <c r="L15" s="723"/>
      <c r="M15" s="723"/>
      <c r="N15" s="723"/>
      <c r="O15" s="723"/>
      <c r="P15" s="723"/>
      <c r="Q15" s="439"/>
    </row>
    <row r="16" spans="2:20" ht="6.75" customHeight="1" x14ac:dyDescent="0.5">
      <c r="B16" s="556"/>
      <c r="G16" s="556"/>
      <c r="H16" s="720"/>
      <c r="I16" s="722"/>
      <c r="J16" s="570"/>
      <c r="K16" s="570"/>
      <c r="L16" s="570"/>
      <c r="M16" s="570"/>
      <c r="N16" s="570"/>
      <c r="O16" s="570"/>
      <c r="P16" s="570"/>
      <c r="Q16" s="439"/>
    </row>
    <row r="17" spans="2:17" ht="9" customHeight="1" x14ac:dyDescent="0.25">
      <c r="G17" s="556"/>
      <c r="H17" s="720"/>
      <c r="I17" s="439"/>
      <c r="J17" s="725"/>
      <c r="K17" s="725"/>
      <c r="L17" s="725"/>
      <c r="M17" s="725"/>
      <c r="N17" s="725"/>
      <c r="O17" s="725"/>
      <c r="P17" s="725"/>
      <c r="Q17" s="439"/>
    </row>
    <row r="18" spans="2:17" ht="51" customHeight="1" x14ac:dyDescent="0.25">
      <c r="B18" s="556"/>
      <c r="E18" s="560"/>
      <c r="G18" s="556"/>
      <c r="H18" s="720"/>
      <c r="I18" s="725"/>
      <c r="J18" s="725"/>
      <c r="K18" s="725"/>
      <c r="L18" s="725"/>
      <c r="M18" s="725"/>
      <c r="N18" s="725"/>
      <c r="O18" s="725"/>
      <c r="P18" s="725"/>
      <c r="Q18" s="439"/>
    </row>
    <row r="19" spans="2:17" ht="6.75" customHeight="1" x14ac:dyDescent="0.2">
      <c r="B19" s="555"/>
      <c r="G19" s="555"/>
      <c r="H19" s="721"/>
      <c r="I19" s="570"/>
      <c r="J19" s="570"/>
      <c r="K19" s="570"/>
      <c r="L19" s="570"/>
      <c r="M19" s="570"/>
      <c r="N19" s="570"/>
      <c r="O19" s="570"/>
      <c r="P19" s="570"/>
      <c r="Q19" s="439"/>
    </row>
    <row r="20" spans="2:17" ht="13.5" customHeight="1" x14ac:dyDescent="0.25">
      <c r="G20" s="556"/>
      <c r="H20" s="720"/>
      <c r="I20" s="439"/>
      <c r="J20" s="726"/>
      <c r="K20" s="726"/>
      <c r="L20" s="726"/>
      <c r="M20" s="726"/>
      <c r="N20" s="726"/>
      <c r="O20" s="726"/>
      <c r="P20" s="726"/>
      <c r="Q20" s="439"/>
    </row>
    <row r="21" spans="2:17" ht="45" customHeight="1" x14ac:dyDescent="0.25">
      <c r="B21" s="556"/>
      <c r="G21" s="556"/>
      <c r="H21" s="720"/>
      <c r="I21" s="726"/>
      <c r="J21" s="726"/>
      <c r="K21" s="726"/>
      <c r="L21" s="726"/>
      <c r="M21" s="726"/>
      <c r="N21" s="726"/>
      <c r="O21" s="726"/>
      <c r="P21" s="726"/>
      <c r="Q21" s="439"/>
    </row>
    <row r="22" spans="2:17" ht="7.5" customHeight="1" x14ac:dyDescent="0.2">
      <c r="B22" s="555"/>
      <c r="G22" s="555"/>
      <c r="H22" s="721"/>
      <c r="I22" s="570"/>
      <c r="J22" s="570"/>
      <c r="K22" s="570"/>
      <c r="L22" s="570"/>
      <c r="M22" s="570"/>
      <c r="N22" s="570"/>
      <c r="O22" s="570"/>
      <c r="P22" s="570"/>
      <c r="Q22" s="439"/>
    </row>
    <row r="23" spans="2:17" ht="6" customHeight="1" x14ac:dyDescent="0.25">
      <c r="G23" s="556"/>
      <c r="H23" s="720"/>
      <c r="I23" s="439"/>
      <c r="J23" s="726"/>
      <c r="K23" s="726"/>
      <c r="L23" s="726"/>
      <c r="M23" s="726"/>
      <c r="N23" s="726"/>
      <c r="O23" s="726"/>
      <c r="P23" s="726"/>
      <c r="Q23" s="439"/>
    </row>
    <row r="24" spans="2:17" ht="51.75" customHeight="1" x14ac:dyDescent="0.25">
      <c r="B24" s="556"/>
      <c r="G24" s="556"/>
      <c r="H24" s="720"/>
      <c r="I24" s="726"/>
      <c r="J24" s="726"/>
      <c r="K24" s="726"/>
      <c r="L24" s="726"/>
      <c r="M24" s="726"/>
      <c r="N24" s="726"/>
      <c r="O24" s="726"/>
      <c r="P24" s="726"/>
      <c r="Q24" s="439"/>
    </row>
    <row r="25" spans="2:17" ht="7.5" customHeight="1" x14ac:dyDescent="0.2">
      <c r="B25" s="555"/>
      <c r="G25" s="555"/>
      <c r="H25" s="721"/>
      <c r="I25" s="570"/>
      <c r="J25" s="570"/>
      <c r="K25" s="570"/>
      <c r="L25" s="570"/>
      <c r="M25" s="570"/>
      <c r="N25" s="570"/>
      <c r="O25" s="570"/>
      <c r="P25" s="570"/>
      <c r="Q25" s="439"/>
    </row>
    <row r="26" spans="2:17" ht="13.5" customHeight="1" x14ac:dyDescent="0.25">
      <c r="G26" s="556"/>
      <c r="H26" s="720"/>
      <c r="I26" s="439"/>
      <c r="J26" s="726"/>
      <c r="K26" s="726"/>
      <c r="L26" s="726"/>
      <c r="M26" s="726"/>
      <c r="N26" s="726"/>
      <c r="O26" s="726"/>
      <c r="P26" s="726"/>
      <c r="Q26" s="439"/>
    </row>
    <row r="27" spans="2:17" ht="49.5" customHeight="1" x14ac:dyDescent="0.25">
      <c r="F27" s="556"/>
      <c r="G27" s="556"/>
      <c r="H27" s="720"/>
      <c r="I27" s="726"/>
      <c r="J27" s="726"/>
      <c r="K27" s="726"/>
      <c r="L27" s="726"/>
      <c r="M27" s="726"/>
      <c r="N27" s="726"/>
      <c r="O27" s="726"/>
      <c r="P27" s="726"/>
      <c r="Q27" s="439"/>
    </row>
    <row r="28" spans="2:17" x14ac:dyDescent="0.2">
      <c r="H28" s="439"/>
      <c r="I28" s="439"/>
      <c r="J28" s="439"/>
      <c r="K28" s="439"/>
      <c r="L28" s="439"/>
      <c r="M28" s="439"/>
      <c r="N28" s="439"/>
      <c r="O28" s="439"/>
      <c r="P28" s="439"/>
      <c r="Q28" s="439"/>
    </row>
    <row r="29" spans="2:17" x14ac:dyDescent="0.2">
      <c r="H29" s="439"/>
      <c r="I29" s="439"/>
      <c r="J29" s="439"/>
      <c r="K29" s="439"/>
      <c r="L29" s="439"/>
      <c r="M29" s="439"/>
      <c r="N29" s="439"/>
      <c r="O29" s="439"/>
      <c r="P29" s="439"/>
      <c r="Q29" s="439"/>
    </row>
    <row r="30" spans="2:17" x14ac:dyDescent="0.2">
      <c r="H30" s="439"/>
      <c r="I30" s="439"/>
      <c r="J30" s="439"/>
      <c r="K30" s="439"/>
      <c r="L30" s="439"/>
      <c r="M30" s="439"/>
      <c r="N30" s="439"/>
      <c r="O30" s="439"/>
      <c r="P30" s="439"/>
      <c r="Q30" s="439"/>
    </row>
  </sheetData>
  <mergeCells count="1">
    <mergeCell ref="B5:E5"/>
  </mergeCells>
  <dataValidations count="1">
    <dataValidation type="list" allowBlank="1" showInputMessage="1" showErrorMessage="1" sqref="C14">
      <formula1>PayDebt</formula1>
    </dataValidation>
  </dataValidations>
  <pageMargins left="0.7" right="0.7" top="0.75" bottom="0.75" header="0.3" footer="0.3"/>
  <pageSetup paperSize="17" scale="69" fitToHeight="0" orientation="landscape" r:id="rId1"/>
  <headerFooter>
    <oddFooter xml:space="preserve">&amp;L&amp;"-,Bold"&amp;9This is a preliminary draft document. It is intended for discussion purposes only.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C7:Y33"/>
  <sheetViews>
    <sheetView showGridLines="0" zoomScale="70" zoomScaleNormal="70" workbookViewId="0">
      <selection activeCell="I22" sqref="I22:P23"/>
    </sheetView>
  </sheetViews>
  <sheetFormatPr defaultRowHeight="12.75" x14ac:dyDescent="0.2"/>
  <cols>
    <col min="1" max="6" width="9.140625" style="438"/>
    <col min="7" max="7" width="13.5703125" style="438" customWidth="1"/>
    <col min="8" max="8" width="19" style="438" customWidth="1"/>
    <col min="9" max="9" width="24" style="438" bestFit="1" customWidth="1"/>
    <col min="10" max="10" width="3.42578125" style="438" customWidth="1"/>
    <col min="11" max="11" width="10.85546875" style="438" customWidth="1"/>
    <col min="12" max="12" width="2.28515625" style="438" customWidth="1"/>
    <col min="13" max="13" width="8.28515625" style="438" customWidth="1"/>
    <col min="14" max="14" width="2.85546875" style="438" customWidth="1"/>
    <col min="15" max="15" width="9.140625" style="438"/>
    <col min="16" max="16" width="14.140625" style="438" customWidth="1"/>
    <col min="17" max="16384" width="9.140625" style="438"/>
  </cols>
  <sheetData>
    <row r="7" spans="3:13" ht="15" customHeight="1" x14ac:dyDescent="0.2">
      <c r="C7" s="917"/>
      <c r="D7" s="917"/>
      <c r="E7" s="917"/>
      <c r="F7" s="917"/>
      <c r="G7" s="917"/>
      <c r="H7" s="917"/>
      <c r="I7" s="917"/>
      <c r="J7" s="917"/>
      <c r="K7" s="917"/>
      <c r="L7" s="917"/>
      <c r="M7" s="917"/>
    </row>
    <row r="8" spans="3:13" ht="15" customHeight="1" x14ac:dyDescent="0.2">
      <c r="C8" s="917"/>
      <c r="D8" s="917"/>
      <c r="E8" s="917"/>
      <c r="F8" s="917"/>
      <c r="G8" s="917"/>
      <c r="H8" s="917"/>
      <c r="I8" s="917"/>
      <c r="J8" s="917"/>
      <c r="K8" s="917"/>
      <c r="L8" s="917"/>
      <c r="M8" s="917"/>
    </row>
    <row r="9" spans="3:13" ht="15" customHeight="1" x14ac:dyDescent="0.2">
      <c r="C9" s="917"/>
      <c r="D9" s="917"/>
      <c r="E9" s="917"/>
      <c r="F9" s="917"/>
      <c r="G9" s="917"/>
      <c r="H9" s="917"/>
      <c r="I9" s="917"/>
      <c r="J9" s="917"/>
      <c r="K9" s="917"/>
      <c r="L9" s="917"/>
      <c r="M9" s="917"/>
    </row>
    <row r="10" spans="3:13" ht="15" customHeight="1" x14ac:dyDescent="0.2">
      <c r="C10" s="917"/>
      <c r="D10" s="917"/>
      <c r="E10" s="917"/>
      <c r="F10" s="917"/>
      <c r="G10" s="917"/>
      <c r="H10" s="917"/>
      <c r="I10" s="917"/>
      <c r="J10" s="917"/>
      <c r="K10" s="917"/>
      <c r="L10" s="917"/>
      <c r="M10" s="917"/>
    </row>
    <row r="11" spans="3:13" ht="12.75" customHeight="1" x14ac:dyDescent="0.2">
      <c r="C11" s="917"/>
      <c r="D11" s="917"/>
      <c r="E11" s="917"/>
      <c r="F11" s="917"/>
      <c r="G11" s="917"/>
      <c r="H11" s="917"/>
      <c r="I11" s="917"/>
      <c r="J11" s="917"/>
      <c r="K11" s="917"/>
      <c r="L11" s="917"/>
      <c r="M11" s="917"/>
    </row>
    <row r="12" spans="3:13" ht="12.75" customHeight="1" x14ac:dyDescent="0.2">
      <c r="C12" s="917"/>
      <c r="D12" s="917"/>
      <c r="E12" s="917"/>
      <c r="F12" s="917"/>
      <c r="G12" s="917"/>
      <c r="H12" s="917"/>
      <c r="I12" s="917"/>
      <c r="J12" s="917"/>
      <c r="K12" s="917"/>
      <c r="L12" s="917"/>
      <c r="M12" s="917"/>
    </row>
    <row r="13" spans="3:13" ht="36" customHeight="1" x14ac:dyDescent="0.2">
      <c r="C13" s="917"/>
      <c r="D13" s="917"/>
      <c r="E13" s="917"/>
      <c r="F13" s="917"/>
      <c r="G13" s="917"/>
      <c r="H13" s="917"/>
      <c r="I13" s="917"/>
      <c r="J13" s="917"/>
      <c r="K13" s="917"/>
      <c r="L13" s="917"/>
      <c r="M13" s="917"/>
    </row>
    <row r="14" spans="3:13" ht="27" customHeight="1" x14ac:dyDescent="0.2">
      <c r="C14" s="917"/>
      <c r="D14" s="917"/>
      <c r="E14" s="917"/>
      <c r="F14" s="917"/>
      <c r="G14" s="917"/>
      <c r="H14" s="917"/>
      <c r="I14" s="917"/>
      <c r="J14" s="917"/>
      <c r="K14" s="917"/>
      <c r="L14" s="917"/>
      <c r="M14" s="917"/>
    </row>
    <row r="18" spans="4:25" ht="13.5" thickBot="1" x14ac:dyDescent="0.25"/>
    <row r="19" spans="4:25" ht="30.75" customHeight="1" thickTop="1" x14ac:dyDescent="0.2">
      <c r="E19" s="441"/>
      <c r="F19" s="866" t="s">
        <v>310</v>
      </c>
      <c r="G19" s="866"/>
      <c r="H19" s="916"/>
      <c r="I19" s="918">
        <f>'LPP Cost'!I17-'Initial Capital Payment'!C10</f>
        <v>919000000</v>
      </c>
      <c r="J19" s="919"/>
      <c r="K19" s="919"/>
      <c r="L19" s="919"/>
      <c r="M19" s="919"/>
      <c r="N19" s="919"/>
      <c r="O19" s="919"/>
      <c r="P19" s="919"/>
      <c r="Q19" s="453"/>
      <c r="R19" s="453"/>
      <c r="S19" s="453"/>
      <c r="T19" s="453"/>
    </row>
    <row r="20" spans="4:25" ht="40.5" customHeight="1" thickBot="1" x14ac:dyDescent="0.25">
      <c r="D20" s="441"/>
      <c r="E20" s="441"/>
      <c r="F20" s="866"/>
      <c r="G20" s="866"/>
      <c r="H20" s="916"/>
      <c r="I20" s="920"/>
      <c r="J20" s="921"/>
      <c r="K20" s="921"/>
      <c r="L20" s="921"/>
      <c r="M20" s="921"/>
      <c r="N20" s="921"/>
      <c r="O20" s="921"/>
      <c r="P20" s="921"/>
      <c r="Q20" s="453"/>
      <c r="R20" s="453"/>
      <c r="S20" s="453"/>
      <c r="T20" s="453"/>
    </row>
    <row r="21" spans="4:25" ht="14.25" thickTop="1" thickBot="1" x14ac:dyDescent="0.25"/>
    <row r="22" spans="4:25" ht="13.5" thickTop="1" x14ac:dyDescent="0.2">
      <c r="F22" s="866" t="s">
        <v>299</v>
      </c>
      <c r="G22" s="866"/>
      <c r="H22" s="916"/>
      <c r="I22" s="912">
        <v>0.5</v>
      </c>
      <c r="J22" s="913"/>
      <c r="K22" s="913"/>
      <c r="L22" s="913"/>
      <c r="M22" s="913"/>
      <c r="N22" s="913"/>
      <c r="O22" s="913"/>
      <c r="P22" s="913"/>
      <c r="R22" s="912" t="s">
        <v>298</v>
      </c>
      <c r="S22" s="913"/>
      <c r="T22" s="913"/>
      <c r="U22" s="913"/>
      <c r="V22" s="913"/>
      <c r="W22" s="913"/>
      <c r="X22" s="913"/>
      <c r="Y22" s="913"/>
    </row>
    <row r="23" spans="4:25" ht="53.25" customHeight="1" thickBot="1" x14ac:dyDescent="0.25">
      <c r="F23" s="866"/>
      <c r="G23" s="866"/>
      <c r="H23" s="916"/>
      <c r="I23" s="914"/>
      <c r="J23" s="915"/>
      <c r="K23" s="915"/>
      <c r="L23" s="915"/>
      <c r="M23" s="915"/>
      <c r="N23" s="915"/>
      <c r="O23" s="915"/>
      <c r="P23" s="915"/>
      <c r="R23" s="914"/>
      <c r="S23" s="915"/>
      <c r="T23" s="915"/>
      <c r="U23" s="915"/>
      <c r="V23" s="915"/>
      <c r="W23" s="915"/>
      <c r="X23" s="915"/>
      <c r="Y23" s="915"/>
    </row>
    <row r="24" spans="4:25" ht="18.75" customHeight="1" thickTop="1" thickBot="1" x14ac:dyDescent="0.25"/>
    <row r="25" spans="4:25" ht="13.5" customHeight="1" thickTop="1" x14ac:dyDescent="0.2">
      <c r="F25" s="866" t="s">
        <v>300</v>
      </c>
      <c r="G25" s="866"/>
      <c r="H25" s="916"/>
      <c r="I25" s="912">
        <v>0.5</v>
      </c>
      <c r="J25" s="922"/>
      <c r="K25" s="922"/>
      <c r="L25" s="922"/>
      <c r="M25" s="922"/>
      <c r="N25" s="922"/>
      <c r="O25" s="922"/>
      <c r="P25" s="922"/>
      <c r="R25" s="912" t="s">
        <v>303</v>
      </c>
      <c r="S25" s="913"/>
      <c r="T25" s="913"/>
      <c r="U25" s="913"/>
      <c r="V25" s="913"/>
      <c r="W25" s="913"/>
      <c r="X25" s="913"/>
      <c r="Y25" s="913"/>
    </row>
    <row r="26" spans="4:25" ht="53.25" customHeight="1" thickBot="1" x14ac:dyDescent="0.25">
      <c r="F26" s="866"/>
      <c r="G26" s="866"/>
      <c r="H26" s="916"/>
      <c r="I26" s="923"/>
      <c r="J26" s="924"/>
      <c r="K26" s="924"/>
      <c r="L26" s="924"/>
      <c r="M26" s="924"/>
      <c r="N26" s="924"/>
      <c r="O26" s="924"/>
      <c r="P26" s="924"/>
      <c r="R26" s="914"/>
      <c r="S26" s="915"/>
      <c r="T26" s="915"/>
      <c r="U26" s="915"/>
      <c r="V26" s="915"/>
      <c r="W26" s="915"/>
      <c r="X26" s="915"/>
      <c r="Y26" s="915"/>
    </row>
    <row r="27" spans="4:25" ht="14.25" customHeight="1" thickTop="1" thickBot="1" x14ac:dyDescent="0.25"/>
    <row r="28" spans="4:25" ht="13.5" customHeight="1" thickTop="1" x14ac:dyDescent="0.2">
      <c r="F28" s="866" t="s">
        <v>311</v>
      </c>
      <c r="G28" s="866"/>
      <c r="H28" s="916"/>
      <c r="I28" s="925">
        <f>I22+I25</f>
        <v>1</v>
      </c>
      <c r="J28" s="926"/>
      <c r="K28" s="926"/>
      <c r="L28" s="926"/>
      <c r="M28" s="926"/>
      <c r="N28" s="926"/>
      <c r="O28" s="926"/>
      <c r="P28" s="926"/>
    </row>
    <row r="29" spans="4:25" ht="60" customHeight="1" thickBot="1" x14ac:dyDescent="0.25">
      <c r="F29" s="866"/>
      <c r="G29" s="866"/>
      <c r="H29" s="916"/>
      <c r="I29" s="927"/>
      <c r="J29" s="928"/>
      <c r="K29" s="928"/>
      <c r="L29" s="928"/>
      <c r="M29" s="928"/>
      <c r="N29" s="928"/>
      <c r="O29" s="928"/>
      <c r="P29" s="928"/>
    </row>
    <row r="30" spans="4:25" ht="13.5" customHeight="1" thickTop="1" thickBot="1" x14ac:dyDescent="0.25">
      <c r="F30" s="447"/>
      <c r="G30" s="447"/>
      <c r="H30" s="447"/>
    </row>
    <row r="31" spans="4:25" ht="13.5" thickTop="1" x14ac:dyDescent="0.2">
      <c r="F31" s="866" t="s">
        <v>301</v>
      </c>
      <c r="G31" s="866"/>
      <c r="H31" s="916"/>
      <c r="I31" s="904">
        <v>30</v>
      </c>
      <c r="J31" s="905"/>
      <c r="K31" s="905"/>
      <c r="L31" s="905"/>
      <c r="M31" s="905"/>
      <c r="N31" s="905"/>
      <c r="O31" s="905"/>
      <c r="P31" s="905"/>
    </row>
    <row r="32" spans="4:25" ht="60.75" customHeight="1" thickBot="1" x14ac:dyDescent="0.25">
      <c r="F32" s="866"/>
      <c r="G32" s="866"/>
      <c r="H32" s="916"/>
      <c r="I32" s="906"/>
      <c r="J32" s="907"/>
      <c r="K32" s="907"/>
      <c r="L32" s="907"/>
      <c r="M32" s="907"/>
      <c r="N32" s="907"/>
      <c r="O32" s="907"/>
      <c r="P32" s="907"/>
    </row>
    <row r="33" ht="13.5" thickTop="1" x14ac:dyDescent="0.2"/>
  </sheetData>
  <mergeCells count="13">
    <mergeCell ref="R22:Y23"/>
    <mergeCell ref="R25:Y26"/>
    <mergeCell ref="F31:H32"/>
    <mergeCell ref="I31:P32"/>
    <mergeCell ref="C7:M14"/>
    <mergeCell ref="F19:H20"/>
    <mergeCell ref="I19:P20"/>
    <mergeCell ref="F22:H23"/>
    <mergeCell ref="I22:P23"/>
    <mergeCell ref="F25:H26"/>
    <mergeCell ref="I25:P26"/>
    <mergeCell ref="F28:H29"/>
    <mergeCell ref="I28:P29"/>
  </mergeCells>
  <pageMargins left="0.7" right="0.7" top="0.75" bottom="0.75" header="0.3" footer="0.3"/>
  <pageSetup paperSize="17" scale="77" fitToHeight="0" orientation="landscape" r:id="rId1"/>
  <headerFooter>
    <oddFooter xml:space="preserve">&amp;L&amp;"-,Bold"&amp;9This is a preliminary draft document. It is intended for discussion purposes only.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K13"/>
  <sheetViews>
    <sheetView topLeftCell="A12" workbookViewId="0">
      <selection activeCell="B3" sqref="A1:Y40"/>
    </sheetView>
  </sheetViews>
  <sheetFormatPr defaultRowHeight="15" x14ac:dyDescent="0.25"/>
  <cols>
    <col min="1" max="1" width="9.140625" style="604"/>
    <col min="2" max="2" width="27.140625" style="604" customWidth="1"/>
    <col min="3" max="3" width="4.28515625" style="604" customWidth="1"/>
    <col min="4" max="4" width="6.28515625" style="604" customWidth="1"/>
    <col min="5" max="5" width="43.140625" style="604" customWidth="1"/>
    <col min="6" max="6" width="2.85546875" style="604" customWidth="1"/>
    <col min="7" max="7" width="40.5703125" style="604" customWidth="1"/>
    <col min="8" max="8" width="2.85546875" style="604" customWidth="1"/>
    <col min="9" max="9" width="43.28515625" style="604" customWidth="1"/>
    <col min="10" max="10" width="2.85546875" style="604" customWidth="1"/>
    <col min="11" max="11" width="49.7109375" style="604" customWidth="1"/>
    <col min="12" max="16384" width="9.140625" style="604"/>
  </cols>
  <sheetData>
    <row r="2" spans="1:11" ht="44.25" customHeight="1" thickBot="1" x14ac:dyDescent="0.3"/>
    <row r="3" spans="1:11" ht="78" customHeight="1" thickTop="1" thickBot="1" x14ac:dyDescent="1.1499999999999999">
      <c r="B3" s="892" t="s">
        <v>503</v>
      </c>
      <c r="C3" s="892"/>
      <c r="D3" s="892"/>
      <c r="E3" s="715">
        <v>2040</v>
      </c>
      <c r="F3" s="714"/>
    </row>
    <row r="4" spans="1:11" ht="102.75" customHeight="1" thickTop="1" x14ac:dyDescent="0.55000000000000004">
      <c r="E4" s="719" t="s">
        <v>505</v>
      </c>
      <c r="F4" s="710"/>
      <c r="G4" s="607" t="s">
        <v>507</v>
      </c>
      <c r="H4" s="710"/>
      <c r="I4" s="607" t="s">
        <v>501</v>
      </c>
      <c r="J4" s="710"/>
      <c r="K4" s="607" t="s">
        <v>506</v>
      </c>
    </row>
    <row r="5" spans="1:11" ht="8.25" customHeight="1" thickBot="1" x14ac:dyDescent="0.3"/>
    <row r="6" spans="1:11" ht="75" customHeight="1" thickTop="1" thickBot="1" x14ac:dyDescent="0.95">
      <c r="B6" s="708" t="s">
        <v>504</v>
      </c>
      <c r="E6" s="716">
        <f>Sheet1!F55</f>
        <v>1.5840000000000001</v>
      </c>
      <c r="F6" s="711"/>
      <c r="G6" s="716">
        <f>(('Summary Baseline Data'!U32*365)/1000)*E6</f>
        <v>157.35215794747455</v>
      </c>
      <c r="H6" s="712"/>
      <c r="I6" s="716">
        <f>(G6*'Underlying Assumptions'!E10)/12</f>
        <v>38.551278697131266</v>
      </c>
      <c r="J6" s="712"/>
      <c r="K6" s="779">
        <v>1433</v>
      </c>
    </row>
    <row r="7" spans="1:11" ht="22.5" customHeight="1" thickTop="1" thickBot="1" x14ac:dyDescent="0.95">
      <c r="B7" s="608"/>
      <c r="E7" s="711"/>
      <c r="F7" s="711"/>
      <c r="G7" s="711"/>
      <c r="H7" s="712"/>
      <c r="I7" s="711"/>
      <c r="J7" s="712"/>
      <c r="K7" s="711"/>
    </row>
    <row r="8" spans="1:11" ht="75" customHeight="1" thickTop="1" thickBot="1" x14ac:dyDescent="0.95">
      <c r="B8" s="708" t="s">
        <v>520</v>
      </c>
      <c r="E8" s="716">
        <f>HLOOKUP('LPP &amp; Econ Summ'!$E$3,'LPP Act Financing Plan'!$E$4:$CM$136,130)</f>
        <v>0.32931534575957189</v>
      </c>
      <c r="F8" s="711"/>
      <c r="G8" s="716">
        <f>HLOOKUP('LPP &amp; Econ Summ'!$E$3,'LPP Act Financing Plan'!$E$4:$CM$136,131)</f>
        <v>66.057413158031139</v>
      </c>
      <c r="H8" s="712"/>
      <c r="I8" s="716">
        <f>HLOOKUP('LPP &amp; Econ Summ'!$E$3,'LPP Act Financing Plan'!$E$4:$CM$136,132)</f>
        <v>15.413396403540599</v>
      </c>
      <c r="J8" s="712"/>
      <c r="K8" s="716">
        <f>HLOOKUP('LPP &amp; Econ Summ'!$E$3,'LPP Act Financing Plan'!$E$4:$CM$136,133)</f>
        <v>4062.6146226600804</v>
      </c>
    </row>
    <row r="9" spans="1:11" ht="22.5" customHeight="1" thickTop="1" thickBot="1" x14ac:dyDescent="0.95">
      <c r="B9" s="608"/>
      <c r="E9" s="711"/>
      <c r="F9" s="711"/>
      <c r="G9" s="711"/>
      <c r="H9" s="712"/>
      <c r="I9" s="711"/>
      <c r="J9" s="712"/>
      <c r="K9" s="711"/>
    </row>
    <row r="10" spans="1:11" ht="75" customHeight="1" thickTop="1" thickBot="1" x14ac:dyDescent="0.95">
      <c r="B10" s="606" t="s">
        <v>98</v>
      </c>
      <c r="E10" s="716">
        <f>'Economist Plan 1'!C27</f>
        <v>3.2034708451123572</v>
      </c>
      <c r="F10" s="711"/>
      <c r="G10" s="716">
        <f>'Economist Plan 1'!C28</f>
        <v>315.09427837316827</v>
      </c>
      <c r="H10" s="712"/>
      <c r="I10" s="716">
        <f>'Economist Plan 1'!C29</f>
        <v>73.521998287072591</v>
      </c>
      <c r="J10" s="712"/>
      <c r="K10" s="717">
        <f>'Economist Plan 1'!C30</f>
        <v>33430.839579017585</v>
      </c>
    </row>
    <row r="11" spans="1:11" ht="22.5" customHeight="1" thickTop="1" thickBot="1" x14ac:dyDescent="0.95">
      <c r="A11" s="605"/>
      <c r="B11" s="608"/>
      <c r="E11" s="711"/>
      <c r="F11" s="711"/>
      <c r="G11" s="711"/>
      <c r="H11" s="712"/>
      <c r="I11" s="711"/>
      <c r="J11" s="712"/>
      <c r="K11" s="711"/>
    </row>
    <row r="12" spans="1:11" ht="75" customHeight="1" thickTop="1" thickBot="1" x14ac:dyDescent="0.95">
      <c r="B12" s="606" t="s">
        <v>388</v>
      </c>
      <c r="E12" s="716">
        <f t="array" ref="E12">HLOOKUP($E$3,'Economist Plan 2'!$D$5:$BH$41,34)</f>
        <v>2.8066808965232233</v>
      </c>
      <c r="F12" s="711"/>
      <c r="G12" s="716">
        <f>HLOOKUP($E$3,'Economist Plan 2'!$D$5:$BH$41,35)</f>
        <v>236.64529979035578</v>
      </c>
      <c r="H12" s="712"/>
      <c r="I12" s="716">
        <f>HLOOKUP($E$3,'Economist Plan 2'!$D$5:$BH$41,36)</f>
        <v>55.217236617749677</v>
      </c>
      <c r="J12" s="712"/>
      <c r="K12" s="716">
        <f>HLOOKUP($E$3,'Economist Plan 2'!$D$5:$BH$41,37)</f>
        <v>25107.568107125666</v>
      </c>
    </row>
    <row r="13" spans="1:11" ht="15.75" thickTop="1" x14ac:dyDescent="0.25"/>
  </sheetData>
  <mergeCells count="1">
    <mergeCell ref="B3:D3"/>
  </mergeCells>
  <pageMargins left="0.7" right="0.7" top="0.75" bottom="0.75" header="0.3" footer="0.3"/>
  <pageSetup paperSize="17" scale="82" fitToHeight="0" orientation="landscape" r:id="rId1"/>
  <headerFooter>
    <oddFooter xml:space="preserve">&amp;L&amp;"-,Bold"&amp;9This is a preliminary draft document. It is intended for discussion purposes only.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5:M19"/>
  <sheetViews>
    <sheetView showGridLines="0" zoomScale="125" zoomScaleNormal="125" workbookViewId="0">
      <selection activeCell="I15" sqref="I15:K18"/>
    </sheetView>
  </sheetViews>
  <sheetFormatPr defaultRowHeight="12.75" x14ac:dyDescent="0.2"/>
  <cols>
    <col min="1" max="4" width="9.140625" style="439"/>
    <col min="5" max="5" width="13.42578125" style="439" customWidth="1"/>
    <col min="6" max="7" width="9.140625" style="439"/>
    <col min="8" max="8" width="18.28515625" style="439" customWidth="1"/>
    <col min="9" max="9" width="16.42578125" style="439" bestFit="1" customWidth="1"/>
    <col min="10" max="16384" width="9.140625" style="439"/>
  </cols>
  <sheetData>
    <row r="5" spans="2:13" ht="39.75" customHeight="1" x14ac:dyDescent="0.2"/>
    <row r="6" spans="2:13" ht="15.75" customHeight="1" x14ac:dyDescent="0.2">
      <c r="B6" s="811" t="s">
        <v>156</v>
      </c>
      <c r="C6" s="811"/>
      <c r="D6" s="811"/>
      <c r="E6" s="811"/>
      <c r="F6" s="811"/>
      <c r="G6" s="811"/>
      <c r="H6" s="811"/>
      <c r="I6" s="811"/>
      <c r="J6" s="811"/>
      <c r="K6" s="811"/>
      <c r="L6" s="811"/>
      <c r="M6" s="811"/>
    </row>
    <row r="7" spans="2:13" x14ac:dyDescent="0.2">
      <c r="B7" s="811"/>
      <c r="C7" s="811"/>
      <c r="D7" s="811"/>
      <c r="E7" s="811"/>
      <c r="F7" s="811"/>
      <c r="G7" s="811"/>
      <c r="H7" s="811"/>
      <c r="I7" s="811"/>
      <c r="J7" s="811"/>
      <c r="K7" s="811"/>
      <c r="L7" s="811"/>
      <c r="M7" s="811"/>
    </row>
    <row r="8" spans="2:13" x14ac:dyDescent="0.2">
      <c r="B8" s="811"/>
      <c r="C8" s="811"/>
      <c r="D8" s="811"/>
      <c r="E8" s="811"/>
      <c r="F8" s="811"/>
      <c r="G8" s="811"/>
      <c r="H8" s="811"/>
      <c r="I8" s="811"/>
      <c r="J8" s="811"/>
      <c r="K8" s="811"/>
      <c r="L8" s="811"/>
      <c r="M8" s="811"/>
    </row>
    <row r="9" spans="2:13" ht="15" customHeight="1" x14ac:dyDescent="0.2">
      <c r="B9" s="811"/>
      <c r="C9" s="811"/>
      <c r="D9" s="811"/>
      <c r="E9" s="811"/>
      <c r="F9" s="811"/>
      <c r="G9" s="811"/>
      <c r="H9" s="811"/>
      <c r="I9" s="811"/>
      <c r="J9" s="811"/>
      <c r="K9" s="811"/>
      <c r="L9" s="811"/>
      <c r="M9" s="811"/>
    </row>
    <row r="10" spans="2:13" ht="15" customHeight="1" x14ac:dyDescent="0.2">
      <c r="B10" s="811"/>
      <c r="C10" s="811"/>
      <c r="D10" s="811"/>
      <c r="E10" s="811"/>
      <c r="F10" s="811"/>
      <c r="G10" s="811"/>
      <c r="H10" s="811"/>
      <c r="I10" s="811"/>
      <c r="J10" s="811"/>
      <c r="K10" s="811"/>
      <c r="L10" s="811"/>
      <c r="M10" s="811"/>
    </row>
    <row r="11" spans="2:13" ht="12.75" customHeight="1" x14ac:dyDescent="0.25">
      <c r="D11" s="440"/>
      <c r="E11" s="440"/>
      <c r="F11" s="440"/>
      <c r="G11" s="440"/>
      <c r="H11" s="440"/>
      <c r="I11" s="440"/>
      <c r="J11" s="440"/>
      <c r="K11" s="440"/>
    </row>
    <row r="12" spans="2:13" ht="12.75" customHeight="1" x14ac:dyDescent="0.25">
      <c r="D12" s="440"/>
      <c r="E12" s="440"/>
      <c r="F12" s="440"/>
      <c r="G12" s="440"/>
      <c r="H12" s="440"/>
      <c r="I12" s="440"/>
      <c r="J12" s="440"/>
      <c r="K12" s="440"/>
    </row>
    <row r="13" spans="2:13" ht="12.75" customHeight="1" x14ac:dyDescent="0.25">
      <c r="D13" s="440"/>
      <c r="E13" s="440"/>
      <c r="F13" s="440"/>
      <c r="G13" s="440"/>
      <c r="H13" s="440"/>
      <c r="I13" s="440"/>
      <c r="J13" s="440"/>
      <c r="K13" s="440"/>
    </row>
    <row r="14" spans="2:13" ht="13.5" thickBot="1" x14ac:dyDescent="0.25"/>
    <row r="15" spans="2:13" ht="32.25" customHeight="1" thickTop="1" x14ac:dyDescent="0.2">
      <c r="E15" s="812" t="s">
        <v>153</v>
      </c>
      <c r="F15" s="812"/>
      <c r="G15" s="812"/>
      <c r="H15" s="812"/>
      <c r="I15" s="813">
        <v>2.8500000000000001E-2</v>
      </c>
      <c r="J15" s="814"/>
      <c r="K15" s="815"/>
    </row>
    <row r="16" spans="2:13" ht="13.5" customHeight="1" x14ac:dyDescent="0.2">
      <c r="E16" s="812"/>
      <c r="F16" s="812"/>
      <c r="G16" s="812"/>
      <c r="H16" s="812"/>
      <c r="I16" s="816"/>
      <c r="J16" s="817"/>
      <c r="K16" s="818"/>
    </row>
    <row r="17" spans="5:11" ht="13.5" customHeight="1" x14ac:dyDescent="0.2">
      <c r="E17" s="812"/>
      <c r="F17" s="812"/>
      <c r="G17" s="812"/>
      <c r="H17" s="812"/>
      <c r="I17" s="816"/>
      <c r="J17" s="817"/>
      <c r="K17" s="818"/>
    </row>
    <row r="18" spans="5:11" ht="13.5" thickBot="1" x14ac:dyDescent="0.25">
      <c r="E18" s="812"/>
      <c r="F18" s="812"/>
      <c r="G18" s="812"/>
      <c r="H18" s="812"/>
      <c r="I18" s="819"/>
      <c r="J18" s="820"/>
      <c r="K18" s="821"/>
    </row>
    <row r="19" spans="5:11" ht="13.5" thickTop="1" x14ac:dyDescent="0.2"/>
  </sheetData>
  <mergeCells count="3">
    <mergeCell ref="B6:M10"/>
    <mergeCell ref="E15:H18"/>
    <mergeCell ref="I15:K18"/>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L16"/>
  <sheetViews>
    <sheetView topLeftCell="A14" workbookViewId="0">
      <selection activeCell="B3" sqref="A1:Y40"/>
    </sheetView>
  </sheetViews>
  <sheetFormatPr defaultRowHeight="15" x14ac:dyDescent="0.25"/>
  <cols>
    <col min="1" max="1" width="6.7109375" style="604" customWidth="1"/>
    <col min="2" max="2" width="29.5703125" style="604" customWidth="1"/>
    <col min="3" max="3" width="4.28515625" style="604" customWidth="1"/>
    <col min="4" max="4" width="4.85546875" style="604" customWidth="1"/>
    <col min="5" max="5" width="43.140625" style="604" customWidth="1"/>
    <col min="6" max="6" width="2.85546875" style="604" customWidth="1"/>
    <col min="7" max="7" width="34" style="604" customWidth="1"/>
    <col min="8" max="8" width="2.85546875" style="604" customWidth="1"/>
    <col min="9" max="9" width="43.28515625" style="604" customWidth="1"/>
    <col min="10" max="10" width="2.85546875" style="604" customWidth="1"/>
    <col min="11" max="11" width="36.7109375" style="604" customWidth="1"/>
    <col min="12" max="12" width="40.5703125" style="604" customWidth="1"/>
    <col min="13" max="16384" width="9.140625" style="604"/>
  </cols>
  <sheetData>
    <row r="2" spans="1:12" ht="36" customHeight="1" x14ac:dyDescent="0.25"/>
    <row r="3" spans="1:12" ht="56.25" customHeight="1" thickBot="1" x14ac:dyDescent="0.3">
      <c r="B3" s="931" t="s">
        <v>521</v>
      </c>
      <c r="C3" s="931"/>
      <c r="D3" s="931"/>
      <c r="E3" s="931"/>
      <c r="F3" s="931"/>
      <c r="G3" s="931"/>
      <c r="H3" s="931"/>
      <c r="I3" s="931"/>
      <c r="J3" s="931"/>
      <c r="K3" s="931"/>
    </row>
    <row r="4" spans="1:12" ht="78" customHeight="1" thickTop="1" thickBot="1" x14ac:dyDescent="1.1499999999999999">
      <c r="B4" s="929" t="s">
        <v>503</v>
      </c>
      <c r="C4" s="930"/>
      <c r="D4" s="930"/>
      <c r="E4" s="743">
        <v>2040</v>
      </c>
      <c r="F4" s="713"/>
      <c r="G4" s="741" t="s">
        <v>504</v>
      </c>
      <c r="H4" s="742"/>
      <c r="I4" s="740">
        <f>Sheet1!$F$55</f>
        <v>1.5840000000000001</v>
      </c>
      <c r="J4" s="742"/>
      <c r="K4" s="741" t="s">
        <v>520</v>
      </c>
      <c r="L4" s="740">
        <f>'LPP &amp; Econ Summ'!E8</f>
        <v>0.32931534575957189</v>
      </c>
    </row>
    <row r="5" spans="1:12" ht="15.75" customHeight="1" thickTop="1" x14ac:dyDescent="1.1000000000000001">
      <c r="B5" s="744"/>
      <c r="C5" s="744"/>
      <c r="D5" s="744"/>
      <c r="E5" s="749"/>
      <c r="F5" s="714"/>
      <c r="G5" s="745"/>
      <c r="H5" s="733"/>
      <c r="I5" s="750"/>
      <c r="J5" s="733"/>
      <c r="K5" s="745"/>
      <c r="L5" s="750"/>
    </row>
    <row r="6" spans="1:12" ht="72.75" customHeight="1" x14ac:dyDescent="0.55000000000000004">
      <c r="E6" s="719" t="s">
        <v>522</v>
      </c>
      <c r="F6" s="710"/>
      <c r="G6" s="719"/>
      <c r="H6" s="710"/>
      <c r="I6" s="719" t="s">
        <v>522</v>
      </c>
      <c r="J6" s="710"/>
      <c r="K6" s="607"/>
      <c r="L6" s="719" t="s">
        <v>522</v>
      </c>
    </row>
    <row r="7" spans="1:12" ht="8.25" customHeight="1" thickBot="1" x14ac:dyDescent="0.3">
      <c r="G7" s="733"/>
    </row>
    <row r="8" spans="1:12" ht="75" customHeight="1" thickTop="1" thickBot="1" x14ac:dyDescent="0.95">
      <c r="B8" s="734" t="str">
        <f>Sheet1!A97</f>
        <v>Albuquerque</v>
      </c>
      <c r="E8" s="738">
        <f>Sheet1!F100</f>
        <v>2.5294895907866666</v>
      </c>
      <c r="F8" s="711"/>
      <c r="G8" s="746" t="str">
        <f>'Rates in Oth Jurisdictions'!A101</f>
        <v>Henderson</v>
      </c>
      <c r="H8" s="712"/>
      <c r="I8" s="738">
        <f>'Rates in Oth Jurisdictions'!F111</f>
        <v>3.0828574999999998</v>
      </c>
      <c r="J8" s="712"/>
      <c r="K8" s="748" t="str">
        <f>'Rates in Oth Jurisdictions'!A56</f>
        <v>Portland</v>
      </c>
      <c r="L8" s="738">
        <f>'Rates in Oth Jurisdictions'!F59</f>
        <v>5.6402812652933338</v>
      </c>
    </row>
    <row r="9" spans="1:12" ht="22.5" customHeight="1" thickTop="1" thickBot="1" x14ac:dyDescent="0.95">
      <c r="B9" s="735"/>
      <c r="E9" s="739"/>
      <c r="F9" s="711"/>
      <c r="G9" s="746"/>
      <c r="H9" s="712"/>
      <c r="I9" s="739"/>
      <c r="J9" s="712"/>
      <c r="K9" s="746"/>
      <c r="L9" s="739"/>
    </row>
    <row r="10" spans="1:12" ht="75" customHeight="1" thickTop="1" thickBot="1" x14ac:dyDescent="0.95">
      <c r="B10" s="734" t="str">
        <f>'Rates in Oth Jurisdictions'!A118</f>
        <v>Boise</v>
      </c>
      <c r="E10" s="738">
        <f>'Rates in Oth Jurisdictions'!F122</f>
        <v>3.6870818640746537</v>
      </c>
      <c r="F10" s="711"/>
      <c r="G10" s="734" t="str">
        <f>'Rates in Oth Jurisdictions'!A30</f>
        <v>Las Vegas</v>
      </c>
      <c r="H10" s="712"/>
      <c r="I10" s="738">
        <f>'Rates in Oth Jurisdictions'!F41</f>
        <v>3.9072466666666665</v>
      </c>
      <c r="J10" s="712"/>
      <c r="K10" s="746" t="str">
        <f>'Rates in Oth Jurisdictions'!A112</f>
        <v>Salt Lake City</v>
      </c>
      <c r="L10" s="738">
        <f>'Rates in Oth Jurisdictions'!F117</f>
        <v>2.395430565066667</v>
      </c>
    </row>
    <row r="11" spans="1:12" ht="20.25" customHeight="1" thickTop="1" thickBot="1" x14ac:dyDescent="0.95">
      <c r="B11" s="735"/>
      <c r="E11" s="739"/>
      <c r="F11" s="711"/>
      <c r="G11" s="746"/>
      <c r="H11" s="712"/>
      <c r="I11" s="739"/>
      <c r="J11" s="712"/>
      <c r="K11" s="746"/>
      <c r="L11" s="739"/>
    </row>
    <row r="12" spans="1:12" ht="75" customHeight="1" thickTop="1" thickBot="1" x14ac:dyDescent="0.95">
      <c r="B12" s="736" t="str">
        <f>'Rates in Oth Jurisdictions'!A60</f>
        <v>Colorado Springs</v>
      </c>
      <c r="E12" s="738">
        <f>'Rates in Oth Jurisdictions'!F65</f>
        <v>7.9599794936000015</v>
      </c>
      <c r="F12" s="711"/>
      <c r="G12" s="746" t="str">
        <f>'Rates in Oth Jurisdictions'!A72</f>
        <v>Los Angeles</v>
      </c>
      <c r="H12" s="712"/>
      <c r="I12" s="738">
        <f>'Rates in Oth Jurisdictions'!F76</f>
        <v>6.0636854425466673</v>
      </c>
      <c r="J12" s="712"/>
      <c r="K12" s="748" t="str">
        <f>'Rates in Oth Jurisdictions'!A77</f>
        <v>San Bernardino</v>
      </c>
      <c r="L12" s="738">
        <f>'Rates in Oth Jurisdictions'!F83</f>
        <v>2.2356597294666667</v>
      </c>
    </row>
    <row r="13" spans="1:12" ht="22.5" customHeight="1" thickTop="1" thickBot="1" x14ac:dyDescent="0.95">
      <c r="A13" s="605"/>
      <c r="B13" s="735"/>
      <c r="E13" s="739"/>
      <c r="F13" s="711"/>
      <c r="G13" s="746"/>
      <c r="H13" s="712"/>
      <c r="I13" s="739"/>
      <c r="J13" s="712"/>
      <c r="K13" s="746"/>
      <c r="L13" s="739"/>
    </row>
    <row r="14" spans="1:12" ht="75" customHeight="1" thickTop="1" thickBot="1" x14ac:dyDescent="0.95">
      <c r="B14" s="737" t="str">
        <f>'Rates in Oth Jurisdictions'!A19</f>
        <v>Denver</v>
      </c>
      <c r="E14" s="738">
        <f>'Rates in Oth Jurisdictions'!F24</f>
        <v>7.0590338754333324</v>
      </c>
      <c r="F14" s="711"/>
      <c r="G14" s="746" t="str">
        <f>'Rates in Oth Jurisdictions'!A25</f>
        <v>Phoenix</v>
      </c>
      <c r="H14" s="712"/>
      <c r="I14" s="738">
        <f>'Rates in Oth Jurisdictions'!F29</f>
        <v>4.4364097406666669</v>
      </c>
      <c r="J14" s="712"/>
      <c r="K14" s="746" t="str">
        <f>'Rates in Oth Jurisdictions'!A42</f>
        <v>San Diego</v>
      </c>
      <c r="L14" s="738">
        <f>'Rates in Oth Jurisdictions'!F47</f>
        <v>6.2279708528799995</v>
      </c>
    </row>
    <row r="15" spans="1:12" ht="15.75" thickTop="1" x14ac:dyDescent="0.25">
      <c r="G15" s="747"/>
    </row>
    <row r="16" spans="1:12" x14ac:dyDescent="0.25">
      <c r="G16" s="733"/>
    </row>
  </sheetData>
  <mergeCells count="2">
    <mergeCell ref="B4:D4"/>
    <mergeCell ref="B3:K3"/>
  </mergeCells>
  <pageMargins left="0.7" right="0.7" top="0.75" bottom="0.75" header="0.3" footer="0.3"/>
  <pageSetup paperSize="17" scale="76" fitToHeight="0" orientation="landscape" r:id="rId1"/>
  <headerFooter>
    <oddFooter xml:space="preserve">&amp;L&amp;"-,Bold"&amp;9This is a preliminary draft document. It is intended for discussion purposes only.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
  <sheetViews>
    <sheetView view="pageBreakPreview" zoomScale="160" zoomScaleNormal="100" zoomScaleSheetLayoutView="160" workbookViewId="0">
      <selection activeCell="G2" sqref="G2"/>
    </sheetView>
  </sheetViews>
  <sheetFormatPr defaultRowHeight="15.75" x14ac:dyDescent="0.25"/>
  <cols>
    <col min="1" max="6" width="9.140625" style="195"/>
    <col min="7" max="7" width="40.28515625" style="195" customWidth="1"/>
    <col min="8" max="16384" width="9.140625" style="195"/>
  </cols>
  <sheetData>
    <row r="1" spans="1:7" ht="16.5" thickBot="1" x14ac:dyDescent="0.3">
      <c r="A1" s="262" t="s">
        <v>109</v>
      </c>
      <c r="B1" s="263"/>
      <c r="C1" s="264"/>
      <c r="D1" s="264"/>
      <c r="E1" s="264"/>
      <c r="F1" s="264"/>
      <c r="G1" s="265"/>
    </row>
    <row r="2" spans="1:7" ht="16.5" thickBot="1" x14ac:dyDescent="0.3">
      <c r="A2" s="266" t="s">
        <v>1</v>
      </c>
      <c r="B2" s="194"/>
      <c r="C2" s="194"/>
      <c r="D2" s="194"/>
      <c r="E2" s="194"/>
      <c r="F2" s="194"/>
      <c r="G2" s="261">
        <f>'Population Input'!I15</f>
        <v>2.8500000000000001E-2</v>
      </c>
    </row>
    <row r="3" spans="1:7" ht="16.5" thickBot="1" x14ac:dyDescent="0.3">
      <c r="A3" s="266" t="s">
        <v>106</v>
      </c>
      <c r="B3" s="194"/>
      <c r="C3" s="194"/>
      <c r="D3" s="194"/>
      <c r="E3" s="194"/>
      <c r="F3" s="194"/>
      <c r="G3" s="434">
        <f>'Conservation Input'!I17</f>
        <v>240</v>
      </c>
    </row>
    <row r="4" spans="1:7" ht="16.5" thickBot="1" x14ac:dyDescent="0.3">
      <c r="A4" s="266" t="s">
        <v>107</v>
      </c>
      <c r="B4" s="194"/>
      <c r="C4" s="194"/>
      <c r="D4" s="194"/>
      <c r="E4" s="194"/>
      <c r="F4" s="194"/>
      <c r="G4" s="259">
        <f>'Conservation Input'!I22</f>
        <v>225</v>
      </c>
    </row>
    <row r="5" spans="1:7" ht="16.5" thickBot="1" x14ac:dyDescent="0.3">
      <c r="A5" s="266" t="s">
        <v>105</v>
      </c>
      <c r="B5" s="194"/>
      <c r="C5" s="194"/>
      <c r="D5" s="194"/>
      <c r="E5" s="194"/>
      <c r="F5" s="194"/>
      <c r="G5" s="260">
        <f>'Interest Rate'!J16</f>
        <v>4.4999999999999998E-2</v>
      </c>
    </row>
    <row r="6" spans="1:7" ht="16.5" thickBot="1" x14ac:dyDescent="0.3">
      <c r="A6" s="266" t="s">
        <v>110</v>
      </c>
      <c r="B6" s="194"/>
      <c r="C6" s="194"/>
      <c r="D6" s="194"/>
      <c r="E6" s="194"/>
      <c r="F6" s="194"/>
      <c r="G6" s="259" t="s">
        <v>120</v>
      </c>
    </row>
    <row r="7" spans="1:7" ht="16.5" thickBot="1" x14ac:dyDescent="0.3">
      <c r="A7" s="344" t="s">
        <v>123</v>
      </c>
      <c r="B7" s="194"/>
      <c r="C7" s="194"/>
      <c r="D7" s="194"/>
      <c r="E7" s="194"/>
      <c r="F7" s="194"/>
      <c r="G7" s="347">
        <v>4000</v>
      </c>
    </row>
    <row r="8" spans="1:7" ht="16.5" thickBot="1" x14ac:dyDescent="0.3">
      <c r="A8" s="345" t="s">
        <v>124</v>
      </c>
      <c r="B8" s="194"/>
      <c r="C8" s="194"/>
      <c r="D8" s="194"/>
      <c r="E8" s="194"/>
      <c r="F8" s="194"/>
      <c r="G8" s="346">
        <v>0.05</v>
      </c>
    </row>
    <row r="9" spans="1:7" ht="16.5" thickBot="1" x14ac:dyDescent="0.3">
      <c r="A9" s="267" t="s">
        <v>122</v>
      </c>
      <c r="B9" s="218"/>
      <c r="C9" s="218"/>
      <c r="D9" s="218"/>
      <c r="E9" s="218"/>
      <c r="F9" s="218"/>
      <c r="G9" s="259">
        <v>2015</v>
      </c>
    </row>
    <row r="10" spans="1:7" x14ac:dyDescent="0.25">
      <c r="A10" s="194" t="s">
        <v>125</v>
      </c>
      <c r="B10" s="194"/>
      <c r="C10" s="194"/>
      <c r="D10" s="194"/>
      <c r="E10" s="194"/>
      <c r="F10" s="194"/>
      <c r="G10" s="194"/>
    </row>
  </sheetData>
  <dataValidations count="1">
    <dataValidation type="list" allowBlank="1" showInputMessage="1" showErrorMessage="1" sqref="G6">
      <formula1>Categories</formula1>
    </dataValidation>
  </dataValidation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56"/>
  <sheetViews>
    <sheetView zoomScale="135" zoomScaleNormal="135" workbookViewId="0">
      <selection activeCell="A60" sqref="A60:A62"/>
    </sheetView>
  </sheetViews>
  <sheetFormatPr defaultColWidth="12.140625" defaultRowHeight="15" x14ac:dyDescent="0.25"/>
  <cols>
    <col min="1" max="1" width="34.7109375" bestFit="1" customWidth="1"/>
    <col min="2" max="2" width="3.28515625" hidden="1" customWidth="1"/>
    <col min="3" max="6" width="12" hidden="1" customWidth="1"/>
    <col min="7" max="7" width="12.140625" bestFit="1" customWidth="1"/>
    <col min="8" max="8" width="12.85546875" bestFit="1" customWidth="1"/>
    <col min="9" max="9" width="12.140625" customWidth="1"/>
    <col min="10" max="26" width="12.85546875" bestFit="1" customWidth="1"/>
    <col min="27" max="41" width="12" bestFit="1" customWidth="1"/>
    <col min="42" max="78" width="13" bestFit="1" customWidth="1"/>
    <col min="79" max="86" width="13.7109375" bestFit="1" customWidth="1"/>
    <col min="87" max="87" width="15.28515625" bestFit="1" customWidth="1"/>
  </cols>
  <sheetData>
    <row r="1" spans="1:86" x14ac:dyDescent="0.25">
      <c r="C1" s="411">
        <v>2010</v>
      </c>
      <c r="D1" s="411">
        <v>2011</v>
      </c>
      <c r="E1" s="411">
        <v>2012</v>
      </c>
      <c r="F1" s="411">
        <v>2013</v>
      </c>
      <c r="G1" s="411">
        <v>2014</v>
      </c>
      <c r="H1" s="411">
        <v>2015</v>
      </c>
      <c r="I1" s="411">
        <v>2016</v>
      </c>
      <c r="J1" s="411">
        <v>2017</v>
      </c>
      <c r="K1" s="411">
        <v>2018</v>
      </c>
      <c r="L1" s="411">
        <v>2019</v>
      </c>
      <c r="M1" s="411">
        <v>2020</v>
      </c>
      <c r="N1" s="411">
        <v>2021</v>
      </c>
      <c r="O1" s="411">
        <v>2022</v>
      </c>
      <c r="P1" s="411">
        <v>2023</v>
      </c>
      <c r="Q1" s="411">
        <v>2024</v>
      </c>
      <c r="R1" s="411">
        <v>2025</v>
      </c>
      <c r="S1" s="411">
        <v>2026</v>
      </c>
      <c r="T1" s="411">
        <v>2027</v>
      </c>
      <c r="U1" s="411">
        <v>2028</v>
      </c>
      <c r="V1" s="411">
        <v>2029</v>
      </c>
      <c r="W1" s="411">
        <v>2030</v>
      </c>
      <c r="X1" s="411">
        <v>2031</v>
      </c>
      <c r="Y1" s="411">
        <v>2032</v>
      </c>
      <c r="Z1" s="411">
        <v>2033</v>
      </c>
      <c r="AA1" s="411">
        <v>2034</v>
      </c>
      <c r="AB1" s="411">
        <v>2035</v>
      </c>
      <c r="AC1" s="411">
        <v>2036</v>
      </c>
      <c r="AD1" s="411">
        <v>2037</v>
      </c>
      <c r="AE1" s="411">
        <v>2038</v>
      </c>
      <c r="AF1" s="411">
        <v>2039</v>
      </c>
      <c r="AG1" s="411">
        <v>2040</v>
      </c>
      <c r="AH1" s="411">
        <v>2041</v>
      </c>
      <c r="AI1" s="411">
        <v>2042</v>
      </c>
      <c r="AJ1" s="411">
        <v>2043</v>
      </c>
      <c r="AK1" s="411">
        <v>2044</v>
      </c>
      <c r="AL1" s="411">
        <v>2045</v>
      </c>
      <c r="AM1" s="411">
        <v>2046</v>
      </c>
      <c r="AN1" s="411">
        <v>2047</v>
      </c>
      <c r="AO1" s="411">
        <v>2048</v>
      </c>
      <c r="AP1" s="411">
        <v>2049</v>
      </c>
      <c r="AQ1" s="411">
        <v>2050</v>
      </c>
      <c r="AR1" s="411">
        <v>2051</v>
      </c>
      <c r="AS1" s="411">
        <v>2052</v>
      </c>
      <c r="AT1" s="411">
        <v>2053</v>
      </c>
      <c r="AU1" s="411">
        <v>2054</v>
      </c>
      <c r="AV1" s="411">
        <v>2055</v>
      </c>
      <c r="AW1" s="411">
        <v>2056</v>
      </c>
      <c r="AX1" s="411">
        <v>2057</v>
      </c>
      <c r="AY1" s="411">
        <v>2058</v>
      </c>
      <c r="AZ1" s="411">
        <v>2059</v>
      </c>
      <c r="BA1" s="411">
        <v>2060</v>
      </c>
      <c r="BB1" s="411">
        <v>2061</v>
      </c>
      <c r="BC1" s="411">
        <v>2062</v>
      </c>
      <c r="BD1" s="411">
        <v>2063</v>
      </c>
      <c r="BE1" s="411">
        <v>2064</v>
      </c>
      <c r="BF1" s="411">
        <v>2065</v>
      </c>
      <c r="BG1" s="411">
        <v>2066</v>
      </c>
      <c r="BH1" s="411">
        <v>2067</v>
      </c>
      <c r="BI1" s="411">
        <v>2068</v>
      </c>
      <c r="BJ1" s="411">
        <v>2069</v>
      </c>
      <c r="BK1" s="411">
        <v>2070</v>
      </c>
      <c r="BL1" s="411">
        <v>2071</v>
      </c>
      <c r="BM1" s="411">
        <v>2072</v>
      </c>
      <c r="BN1" s="411">
        <v>2073</v>
      </c>
      <c r="BO1" s="411">
        <v>2074</v>
      </c>
      <c r="BP1" s="411">
        <v>2075</v>
      </c>
      <c r="BQ1" s="411">
        <v>2076</v>
      </c>
      <c r="BR1" s="411">
        <v>2077</v>
      </c>
      <c r="BS1" s="411">
        <v>2078</v>
      </c>
      <c r="BT1" s="411">
        <v>2079</v>
      </c>
      <c r="BU1" s="411">
        <v>2080</v>
      </c>
      <c r="BV1" s="411">
        <v>2081</v>
      </c>
      <c r="BW1" s="411">
        <v>2082</v>
      </c>
      <c r="BX1" s="411">
        <v>2083</v>
      </c>
      <c r="BY1" s="411">
        <v>2084</v>
      </c>
      <c r="BZ1" s="411">
        <v>2085</v>
      </c>
      <c r="CA1" s="411">
        <v>2086</v>
      </c>
      <c r="CB1" s="411">
        <v>2087</v>
      </c>
      <c r="CC1" s="411">
        <v>2088</v>
      </c>
      <c r="CD1" s="411">
        <v>2089</v>
      </c>
      <c r="CE1" s="411">
        <v>2090</v>
      </c>
      <c r="CF1" s="411">
        <v>0</v>
      </c>
      <c r="CG1" s="411" t="s">
        <v>560</v>
      </c>
      <c r="CH1" s="411">
        <v>0</v>
      </c>
    </row>
    <row r="2" spans="1:86" x14ac:dyDescent="0.25">
      <c r="A2" s="415" t="s">
        <v>148</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416"/>
      <c r="CG2" s="416"/>
      <c r="CH2" s="417"/>
    </row>
    <row r="3" spans="1:86" s="413" customFormat="1" ht="12.75" x14ac:dyDescent="0.2">
      <c r="A3" s="418" t="s">
        <v>145</v>
      </c>
      <c r="B3" s="419"/>
      <c r="C3" s="419">
        <v>140470</v>
      </c>
      <c r="D3" s="419">
        <v>142553.69330000001</v>
      </c>
      <c r="E3" s="419">
        <v>144577.5791</v>
      </c>
      <c r="F3" s="419">
        <v>149040.00671250001</v>
      </c>
      <c r="G3" s="419">
        <v>155857.43432500001</v>
      </c>
      <c r="H3" s="419">
        <v>162674.86193750001</v>
      </c>
      <c r="I3" s="419">
        <v>169492.28955000002</v>
      </c>
      <c r="J3" s="419">
        <v>176309.71716250002</v>
      </c>
      <c r="K3" s="419">
        <v>183127.14477500002</v>
      </c>
      <c r="L3" s="419">
        <v>189944.57238750003</v>
      </c>
      <c r="M3" s="419">
        <v>196762</v>
      </c>
      <c r="N3" s="419">
        <v>205141.6</v>
      </c>
      <c r="O3" s="419">
        <v>213521.2</v>
      </c>
      <c r="P3" s="419">
        <v>221900.80000000002</v>
      </c>
      <c r="Q3" s="419">
        <v>230280.40000000002</v>
      </c>
      <c r="R3" s="419">
        <v>238660.00000000003</v>
      </c>
      <c r="S3" s="419">
        <v>247039.60000000003</v>
      </c>
      <c r="T3" s="419">
        <v>255419.20000000004</v>
      </c>
      <c r="U3" s="419">
        <v>263798.80000000005</v>
      </c>
      <c r="V3" s="419">
        <v>272178.40000000002</v>
      </c>
      <c r="W3" s="419">
        <v>280558</v>
      </c>
      <c r="X3" s="419">
        <v>289676.5</v>
      </c>
      <c r="Y3" s="419">
        <v>298795</v>
      </c>
      <c r="Z3" s="419">
        <v>307913.5</v>
      </c>
      <c r="AA3" s="419">
        <v>317032</v>
      </c>
      <c r="AB3" s="419">
        <v>326150.5</v>
      </c>
      <c r="AC3" s="419">
        <v>335269</v>
      </c>
      <c r="AD3" s="419">
        <v>344387.5</v>
      </c>
      <c r="AE3" s="419">
        <v>353506</v>
      </c>
      <c r="AF3" s="419">
        <v>362624.5</v>
      </c>
      <c r="AG3" s="419">
        <v>371743</v>
      </c>
      <c r="AH3" s="419">
        <v>381825.4</v>
      </c>
      <c r="AI3" s="419">
        <v>391907.80000000005</v>
      </c>
      <c r="AJ3" s="419">
        <v>401990.20000000007</v>
      </c>
      <c r="AK3" s="419">
        <v>412072.60000000009</v>
      </c>
      <c r="AL3" s="419">
        <v>422155.00000000012</v>
      </c>
      <c r="AM3" s="419">
        <v>432237.40000000014</v>
      </c>
      <c r="AN3" s="419">
        <v>442319.80000000016</v>
      </c>
      <c r="AO3" s="419">
        <v>452402.20000000019</v>
      </c>
      <c r="AP3" s="419">
        <v>462484.60000000021</v>
      </c>
      <c r="AQ3" s="419">
        <v>472567</v>
      </c>
      <c r="AR3" s="419">
        <v>483483.4</v>
      </c>
      <c r="AS3" s="419">
        <v>494399.80000000005</v>
      </c>
      <c r="AT3" s="419">
        <v>505316.20000000007</v>
      </c>
      <c r="AU3" s="419">
        <v>516232.60000000009</v>
      </c>
      <c r="AV3" s="419">
        <v>527149.00000000012</v>
      </c>
      <c r="AW3" s="419">
        <v>538065.40000000014</v>
      </c>
      <c r="AX3" s="419">
        <v>548981.80000000016</v>
      </c>
      <c r="AY3" s="419">
        <v>559898.20000000019</v>
      </c>
      <c r="AZ3" s="419">
        <v>570814.60000000021</v>
      </c>
      <c r="BA3" s="419">
        <v>581731</v>
      </c>
      <c r="BB3" s="419">
        <v>590456.96499999997</v>
      </c>
      <c r="BC3" s="419">
        <v>599313.81947499991</v>
      </c>
      <c r="BD3" s="419">
        <v>608303.52676712489</v>
      </c>
      <c r="BE3" s="419">
        <v>617428.07966863166</v>
      </c>
      <c r="BF3" s="419">
        <v>626689.50086366106</v>
      </c>
      <c r="BG3" s="419">
        <v>636089.8433766159</v>
      </c>
      <c r="BH3" s="419">
        <v>645631.19102726504</v>
      </c>
      <c r="BI3" s="419">
        <v>655315.65889267391</v>
      </c>
      <c r="BJ3" s="419">
        <v>665145.39377606392</v>
      </c>
      <c r="BK3" s="419">
        <v>675122.57468270487</v>
      </c>
      <c r="BL3" s="419">
        <v>681873.80042953196</v>
      </c>
      <c r="BM3" s="419">
        <v>688692.53843382723</v>
      </c>
      <c r="BN3" s="419">
        <v>695579.46381816547</v>
      </c>
      <c r="BO3" s="419">
        <v>695579.46381816547</v>
      </c>
      <c r="BP3" s="419">
        <v>695579.46381816547</v>
      </c>
      <c r="BQ3" s="419">
        <v>695579.46381816547</v>
      </c>
      <c r="BR3" s="419">
        <v>695579.46381816547</v>
      </c>
      <c r="BS3" s="419">
        <v>695579.46381816547</v>
      </c>
      <c r="BT3" s="419">
        <v>695579.46381816547</v>
      </c>
      <c r="BU3" s="419">
        <v>695579.46381816547</v>
      </c>
      <c r="BV3" s="419">
        <v>695579.46381816547</v>
      </c>
      <c r="BW3" s="419">
        <v>695579.46381816547</v>
      </c>
      <c r="BX3" s="419">
        <v>695579.46381816547</v>
      </c>
      <c r="BY3" s="419">
        <v>695579.46381816547</v>
      </c>
      <c r="BZ3" s="419">
        <v>695579.46381816547</v>
      </c>
      <c r="CA3" s="419">
        <v>695579.46381816547</v>
      </c>
      <c r="CB3" s="419">
        <v>695579.46381816547</v>
      </c>
      <c r="CC3" s="419">
        <v>695579.46381816547</v>
      </c>
      <c r="CD3" s="419">
        <v>695579.46381816547</v>
      </c>
      <c r="CE3" s="419">
        <v>695579.46381816547</v>
      </c>
      <c r="CF3" s="419">
        <v>0</v>
      </c>
      <c r="CG3" s="419" t="s">
        <v>559</v>
      </c>
      <c r="CH3" s="420">
        <v>0</v>
      </c>
    </row>
    <row r="4" spans="1:86" s="414" customFormat="1" x14ac:dyDescent="0.25">
      <c r="A4" s="418" t="s">
        <v>146</v>
      </c>
      <c r="B4" s="421"/>
      <c r="C4" s="419">
        <v>47778.911564625851</v>
      </c>
      <c r="D4" s="419">
        <v>48487.650782312929</v>
      </c>
      <c r="E4" s="419">
        <v>49176.04731292517</v>
      </c>
      <c r="F4" s="419">
        <v>50693.879834183674</v>
      </c>
      <c r="G4" s="419">
        <v>53012.732763605447</v>
      </c>
      <c r="H4" s="419">
        <v>55331.585693027213</v>
      </c>
      <c r="I4" s="419">
        <v>57650.438622448986</v>
      </c>
      <c r="J4" s="419">
        <v>59969.291551870752</v>
      </c>
      <c r="K4" s="419">
        <v>62288.144481292526</v>
      </c>
      <c r="L4" s="419">
        <v>64606.997410714299</v>
      </c>
      <c r="M4" s="419">
        <v>66925.85034013605</v>
      </c>
      <c r="N4" s="419">
        <v>69776.054421768713</v>
      </c>
      <c r="O4" s="419">
        <v>72626.258503401361</v>
      </c>
      <c r="P4" s="419">
        <v>75476.462585034024</v>
      </c>
      <c r="Q4" s="419">
        <v>78326.666666666672</v>
      </c>
      <c r="R4" s="419">
        <v>81176.870748299334</v>
      </c>
      <c r="S4" s="419">
        <v>84027.074829931982</v>
      </c>
      <c r="T4" s="419">
        <v>86877.278911564645</v>
      </c>
      <c r="U4" s="419">
        <v>89727.482993197293</v>
      </c>
      <c r="V4" s="419">
        <v>92577.687074829941</v>
      </c>
      <c r="W4" s="419">
        <v>95427.891156462589</v>
      </c>
      <c r="X4" s="419">
        <v>98529.421768707485</v>
      </c>
      <c r="Y4" s="419">
        <v>101630.95238095238</v>
      </c>
      <c r="Z4" s="419">
        <v>104732.48299319728</v>
      </c>
      <c r="AA4" s="419">
        <v>107834.01360544217</v>
      </c>
      <c r="AB4" s="419">
        <v>110935.54421768707</v>
      </c>
      <c r="AC4" s="419">
        <v>114037.07482993198</v>
      </c>
      <c r="AD4" s="419">
        <v>117138.60544217688</v>
      </c>
      <c r="AE4" s="419">
        <v>120240.13605442178</v>
      </c>
      <c r="AF4" s="419">
        <v>123341.66666666667</v>
      </c>
      <c r="AG4" s="419">
        <v>126443.19727891157</v>
      </c>
      <c r="AH4" s="419">
        <v>129872.58503401361</v>
      </c>
      <c r="AI4" s="419">
        <v>133301.97278911565</v>
      </c>
      <c r="AJ4" s="419">
        <v>136731.36054421772</v>
      </c>
      <c r="AK4" s="419">
        <v>140160.74829931976</v>
      </c>
      <c r="AL4" s="419">
        <v>143590.1360544218</v>
      </c>
      <c r="AM4" s="419">
        <v>147019.52380952385</v>
      </c>
      <c r="AN4" s="419">
        <v>150448.91156462592</v>
      </c>
      <c r="AO4" s="419">
        <v>153878.29931972796</v>
      </c>
      <c r="AP4" s="419">
        <v>157307.68707483</v>
      </c>
      <c r="AQ4" s="419">
        <v>160737.07482993198</v>
      </c>
      <c r="AR4" s="419">
        <v>164450.13605442178</v>
      </c>
      <c r="AS4" s="419">
        <v>168163.1972789116</v>
      </c>
      <c r="AT4" s="419">
        <v>171876.25850340139</v>
      </c>
      <c r="AU4" s="419">
        <v>175589.31972789118</v>
      </c>
      <c r="AV4" s="419">
        <v>179302.38095238101</v>
      </c>
      <c r="AW4" s="419">
        <v>183015.4421768708</v>
      </c>
      <c r="AX4" s="419">
        <v>186728.50340136059</v>
      </c>
      <c r="AY4" s="419">
        <v>190441.56462585041</v>
      </c>
      <c r="AZ4" s="419">
        <v>194154.62585034021</v>
      </c>
      <c r="BA4" s="419">
        <v>197867.68707482994</v>
      </c>
      <c r="BB4" s="419">
        <v>200835.70238095237</v>
      </c>
      <c r="BC4" s="419">
        <v>203848.23791666664</v>
      </c>
      <c r="BD4" s="419">
        <v>206905.96148541663</v>
      </c>
      <c r="BE4" s="419">
        <v>210009.55090769785</v>
      </c>
      <c r="BF4" s="419">
        <v>213159.69417131328</v>
      </c>
      <c r="BG4" s="419">
        <v>216357.08958388297</v>
      </c>
      <c r="BH4" s="419">
        <v>219602.44592764118</v>
      </c>
      <c r="BI4" s="419">
        <v>222896.48261655576</v>
      </c>
      <c r="BJ4" s="419">
        <v>226239.92985580405</v>
      </c>
      <c r="BK4" s="419">
        <v>229633.52880364112</v>
      </c>
      <c r="BL4" s="419">
        <v>231929.86409167753</v>
      </c>
      <c r="BM4" s="419">
        <v>234249.1627325943</v>
      </c>
      <c r="BN4" s="419">
        <v>236591.65435992024</v>
      </c>
      <c r="BO4" s="419">
        <v>236591.65435992024</v>
      </c>
      <c r="BP4" s="419">
        <v>236591.65435992024</v>
      </c>
      <c r="BQ4" s="419">
        <v>236591.65435992024</v>
      </c>
      <c r="BR4" s="419">
        <v>236591.65435992024</v>
      </c>
      <c r="BS4" s="419">
        <v>236591.65435992024</v>
      </c>
      <c r="BT4" s="419">
        <v>236591.65435992024</v>
      </c>
      <c r="BU4" s="419">
        <v>236591.65435992024</v>
      </c>
      <c r="BV4" s="419">
        <v>236591.65435992024</v>
      </c>
      <c r="BW4" s="419">
        <v>236591.65435992024</v>
      </c>
      <c r="BX4" s="419">
        <v>236591.65435992024</v>
      </c>
      <c r="BY4" s="419">
        <v>236591.65435992024</v>
      </c>
      <c r="BZ4" s="419">
        <v>236591.65435992024</v>
      </c>
      <c r="CA4" s="419">
        <v>236591.65435992024</v>
      </c>
      <c r="CB4" s="419">
        <v>236591.65435992024</v>
      </c>
      <c r="CC4" s="419">
        <v>236591.65435992024</v>
      </c>
      <c r="CD4" s="419">
        <v>236591.65435992024</v>
      </c>
      <c r="CE4" s="419">
        <v>236591.65435992024</v>
      </c>
      <c r="CF4" s="419">
        <v>0</v>
      </c>
      <c r="CG4" s="419" t="s">
        <v>561</v>
      </c>
      <c r="CH4" s="420">
        <v>0</v>
      </c>
    </row>
    <row r="5" spans="1:86" x14ac:dyDescent="0.25">
      <c r="A5" s="422" t="s">
        <v>147</v>
      </c>
      <c r="B5" s="423"/>
      <c r="C5" s="424">
        <v>265.80207413273052</v>
      </c>
      <c r="D5" s="424">
        <v>257.40767963448661</v>
      </c>
      <c r="E5" s="424">
        <v>249.27839164160787</v>
      </c>
      <c r="F5" s="424">
        <v>241.4058377266129</v>
      </c>
      <c r="G5" s="424">
        <v>233.78190987477711</v>
      </c>
      <c r="H5" s="424">
        <v>226.39875613361474</v>
      </c>
      <c r="I5" s="424">
        <v>219.24877252608178</v>
      </c>
      <c r="J5" s="424">
        <v>212.32459521917099</v>
      </c>
      <c r="K5" s="424">
        <v>205.61909293983342</v>
      </c>
      <c r="L5" s="424">
        <v>199.12535963041566</v>
      </c>
      <c r="M5" s="424">
        <v>192.83670733604828</v>
      </c>
      <c r="N5" s="424">
        <v>186.7466593166605</v>
      </c>
      <c r="O5" s="424">
        <v>180.84894337652679</v>
      </c>
      <c r="P5" s="424">
        <v>175.13748540447554</v>
      </c>
      <c r="Q5" s="424">
        <v>169.60640311810684</v>
      </c>
      <c r="R5" s="424">
        <v>164.25000000557651</v>
      </c>
      <c r="S5" s="424">
        <v>164.25</v>
      </c>
      <c r="T5" s="424">
        <v>164.25</v>
      </c>
      <c r="U5" s="424">
        <v>164.25</v>
      </c>
      <c r="V5" s="424">
        <v>164.25</v>
      </c>
      <c r="W5" s="424">
        <v>164.25</v>
      </c>
      <c r="X5" s="424">
        <v>164.25</v>
      </c>
      <c r="Y5" s="424">
        <v>164.25</v>
      </c>
      <c r="Z5" s="424">
        <v>164.25</v>
      </c>
      <c r="AA5" s="424">
        <v>164.25</v>
      </c>
      <c r="AB5" s="424">
        <v>164.25</v>
      </c>
      <c r="AC5" s="424">
        <v>164.25</v>
      </c>
      <c r="AD5" s="424">
        <v>164.25</v>
      </c>
      <c r="AE5" s="424">
        <v>164.25</v>
      </c>
      <c r="AF5" s="424">
        <v>164.25</v>
      </c>
      <c r="AG5" s="424">
        <v>164.25</v>
      </c>
      <c r="AH5" s="424">
        <v>164.25</v>
      </c>
      <c r="AI5" s="424">
        <v>164.25</v>
      </c>
      <c r="AJ5" s="424">
        <v>164.25</v>
      </c>
      <c r="AK5" s="424">
        <v>164.25</v>
      </c>
      <c r="AL5" s="424">
        <v>164.25</v>
      </c>
      <c r="AM5" s="424">
        <v>164.25</v>
      </c>
      <c r="AN5" s="424">
        <v>164.25</v>
      </c>
      <c r="AO5" s="424">
        <v>164.25</v>
      </c>
      <c r="AP5" s="424">
        <v>164.25</v>
      </c>
      <c r="AQ5" s="424">
        <v>164.25</v>
      </c>
      <c r="AR5" s="424">
        <v>164.25</v>
      </c>
      <c r="AS5" s="424">
        <v>164.25</v>
      </c>
      <c r="AT5" s="424">
        <v>164.25</v>
      </c>
      <c r="AU5" s="424">
        <v>164.25</v>
      </c>
      <c r="AV5" s="424">
        <v>164.25</v>
      </c>
      <c r="AW5" s="424">
        <v>164.25</v>
      </c>
      <c r="AX5" s="424">
        <v>164.25</v>
      </c>
      <c r="AY5" s="424">
        <v>164.25</v>
      </c>
      <c r="AZ5" s="424">
        <v>164.25</v>
      </c>
      <c r="BA5" s="424">
        <v>164.25</v>
      </c>
      <c r="BB5" s="424">
        <v>164.25</v>
      </c>
      <c r="BC5" s="424">
        <v>164.25</v>
      </c>
      <c r="BD5" s="424">
        <v>164.25</v>
      </c>
      <c r="BE5" s="424">
        <v>164.25</v>
      </c>
      <c r="BF5" s="424">
        <v>164.25</v>
      </c>
      <c r="BG5" s="424">
        <v>164.25</v>
      </c>
      <c r="BH5" s="424">
        <v>164.25</v>
      </c>
      <c r="BI5" s="424">
        <v>164.25</v>
      </c>
      <c r="BJ5" s="424">
        <v>164.25</v>
      </c>
      <c r="BK5" s="424">
        <v>164.25</v>
      </c>
      <c r="BL5" s="424">
        <v>164.25</v>
      </c>
      <c r="BM5" s="424">
        <v>164.25</v>
      </c>
      <c r="BN5" s="424">
        <v>164.25</v>
      </c>
      <c r="BO5" s="424">
        <v>164.25</v>
      </c>
      <c r="BP5" s="424">
        <v>164.25</v>
      </c>
      <c r="BQ5" s="424">
        <v>164.25</v>
      </c>
      <c r="BR5" s="424">
        <v>164.25</v>
      </c>
      <c r="BS5" s="424">
        <v>164.25</v>
      </c>
      <c r="BT5" s="424">
        <v>164.25</v>
      </c>
      <c r="BU5" s="424">
        <v>164.25</v>
      </c>
      <c r="BV5" s="424">
        <v>164.25</v>
      </c>
      <c r="BW5" s="424">
        <v>164.25</v>
      </c>
      <c r="BX5" s="424">
        <v>164.25</v>
      </c>
      <c r="BY5" s="424">
        <v>164.25</v>
      </c>
      <c r="BZ5" s="424">
        <v>164.25</v>
      </c>
      <c r="CA5" s="424">
        <v>164.25</v>
      </c>
      <c r="CB5" s="424">
        <v>164.25</v>
      </c>
      <c r="CC5" s="424">
        <v>164.25</v>
      </c>
      <c r="CD5" s="424">
        <v>164.25</v>
      </c>
      <c r="CE5" s="424">
        <v>164.25</v>
      </c>
      <c r="CF5" s="424">
        <v>0</v>
      </c>
      <c r="CG5" s="424" t="s">
        <v>562</v>
      </c>
      <c r="CH5" s="425">
        <v>0</v>
      </c>
    </row>
    <row r="6" spans="1:86" x14ac:dyDescent="0.25">
      <c r="A6" s="352"/>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row>
    <row r="7" spans="1:86" s="412" customFormat="1" x14ac:dyDescent="0.25">
      <c r="A7" s="354"/>
      <c r="B7" s="355"/>
      <c r="C7" s="355" t="e">
        <f>#REF!</f>
        <v>#REF!</v>
      </c>
      <c r="D7" s="355" t="e">
        <f>#REF!</f>
        <v>#REF!</v>
      </c>
      <c r="E7" s="355" t="e">
        <f>#REF!</f>
        <v>#REF!</v>
      </c>
      <c r="F7" s="355" t="e">
        <f>#REF!</f>
        <v>#REF!</v>
      </c>
      <c r="G7" s="355">
        <f>G1</f>
        <v>2014</v>
      </c>
      <c r="H7" s="355">
        <f>H1</f>
        <v>2015</v>
      </c>
      <c r="I7" s="355">
        <f t="shared" ref="I7:K7" si="0">I1</f>
        <v>2016</v>
      </c>
      <c r="J7" s="355">
        <f t="shared" si="0"/>
        <v>2017</v>
      </c>
      <c r="K7" s="355">
        <f t="shared" si="0"/>
        <v>2018</v>
      </c>
      <c r="L7" s="355">
        <f t="shared" ref="L7:Q7" si="1">L1</f>
        <v>2019</v>
      </c>
      <c r="M7" s="355">
        <f t="shared" si="1"/>
        <v>2020</v>
      </c>
      <c r="N7" s="355">
        <f t="shared" si="1"/>
        <v>2021</v>
      </c>
      <c r="O7" s="355">
        <f t="shared" si="1"/>
        <v>2022</v>
      </c>
      <c r="P7" s="355">
        <f t="shared" si="1"/>
        <v>2023</v>
      </c>
      <c r="Q7" s="355">
        <f t="shared" si="1"/>
        <v>2024</v>
      </c>
      <c r="R7" s="355">
        <f t="shared" ref="R7:CC7" si="2">R1</f>
        <v>2025</v>
      </c>
      <c r="S7" s="355">
        <f t="shared" si="2"/>
        <v>2026</v>
      </c>
      <c r="T7" s="355">
        <f t="shared" si="2"/>
        <v>2027</v>
      </c>
      <c r="U7" s="355">
        <f t="shared" si="2"/>
        <v>2028</v>
      </c>
      <c r="V7" s="355">
        <f t="shared" si="2"/>
        <v>2029</v>
      </c>
      <c r="W7" s="355">
        <f t="shared" si="2"/>
        <v>2030</v>
      </c>
      <c r="X7" s="355">
        <f t="shared" si="2"/>
        <v>2031</v>
      </c>
      <c r="Y7" s="355">
        <f t="shared" si="2"/>
        <v>2032</v>
      </c>
      <c r="Z7" s="355">
        <f t="shared" si="2"/>
        <v>2033</v>
      </c>
      <c r="AA7" s="355">
        <f t="shared" si="2"/>
        <v>2034</v>
      </c>
      <c r="AB7" s="355">
        <f t="shared" si="2"/>
        <v>2035</v>
      </c>
      <c r="AC7" s="355">
        <f t="shared" si="2"/>
        <v>2036</v>
      </c>
      <c r="AD7" s="355">
        <f t="shared" si="2"/>
        <v>2037</v>
      </c>
      <c r="AE7" s="355">
        <f t="shared" si="2"/>
        <v>2038</v>
      </c>
      <c r="AF7" s="355">
        <f t="shared" si="2"/>
        <v>2039</v>
      </c>
      <c r="AG7" s="355">
        <f t="shared" si="2"/>
        <v>2040</v>
      </c>
      <c r="AH7" s="355">
        <f t="shared" si="2"/>
        <v>2041</v>
      </c>
      <c r="AI7" s="355">
        <f t="shared" si="2"/>
        <v>2042</v>
      </c>
      <c r="AJ7" s="355">
        <f t="shared" si="2"/>
        <v>2043</v>
      </c>
      <c r="AK7" s="355">
        <f t="shared" si="2"/>
        <v>2044</v>
      </c>
      <c r="AL7" s="355">
        <f t="shared" si="2"/>
        <v>2045</v>
      </c>
      <c r="AM7" s="355">
        <f t="shared" si="2"/>
        <v>2046</v>
      </c>
      <c r="AN7" s="355">
        <f t="shared" si="2"/>
        <v>2047</v>
      </c>
      <c r="AO7" s="355">
        <f t="shared" si="2"/>
        <v>2048</v>
      </c>
      <c r="AP7" s="355">
        <f t="shared" si="2"/>
        <v>2049</v>
      </c>
      <c r="AQ7" s="355">
        <f t="shared" si="2"/>
        <v>2050</v>
      </c>
      <c r="AR7" s="355">
        <f t="shared" si="2"/>
        <v>2051</v>
      </c>
      <c r="AS7" s="355">
        <f t="shared" si="2"/>
        <v>2052</v>
      </c>
      <c r="AT7" s="355">
        <f t="shared" si="2"/>
        <v>2053</v>
      </c>
      <c r="AU7" s="355">
        <f t="shared" si="2"/>
        <v>2054</v>
      </c>
      <c r="AV7" s="355">
        <f t="shared" si="2"/>
        <v>2055</v>
      </c>
      <c r="AW7" s="355">
        <f t="shared" si="2"/>
        <v>2056</v>
      </c>
      <c r="AX7" s="355">
        <f t="shared" si="2"/>
        <v>2057</v>
      </c>
      <c r="AY7" s="355">
        <f t="shared" si="2"/>
        <v>2058</v>
      </c>
      <c r="AZ7" s="355">
        <f t="shared" si="2"/>
        <v>2059</v>
      </c>
      <c r="BA7" s="355">
        <f t="shared" si="2"/>
        <v>2060</v>
      </c>
      <c r="BB7" s="355">
        <f t="shared" si="2"/>
        <v>2061</v>
      </c>
      <c r="BC7" s="355">
        <f t="shared" si="2"/>
        <v>2062</v>
      </c>
      <c r="BD7" s="355">
        <f t="shared" si="2"/>
        <v>2063</v>
      </c>
      <c r="BE7" s="355">
        <f t="shared" si="2"/>
        <v>2064</v>
      </c>
      <c r="BF7" s="355">
        <f t="shared" si="2"/>
        <v>2065</v>
      </c>
      <c r="BG7" s="355">
        <f t="shared" si="2"/>
        <v>2066</v>
      </c>
      <c r="BH7" s="355">
        <f t="shared" si="2"/>
        <v>2067</v>
      </c>
      <c r="BI7" s="355">
        <f t="shared" si="2"/>
        <v>2068</v>
      </c>
      <c r="BJ7" s="355">
        <f t="shared" si="2"/>
        <v>2069</v>
      </c>
      <c r="BK7" s="355">
        <f t="shared" si="2"/>
        <v>2070</v>
      </c>
      <c r="BL7" s="355">
        <f t="shared" si="2"/>
        <v>2071</v>
      </c>
      <c r="BM7" s="355">
        <f t="shared" si="2"/>
        <v>2072</v>
      </c>
      <c r="BN7" s="355">
        <f t="shared" si="2"/>
        <v>2073</v>
      </c>
      <c r="BO7" s="355">
        <f t="shared" si="2"/>
        <v>2074</v>
      </c>
      <c r="BP7" s="355">
        <f t="shared" si="2"/>
        <v>2075</v>
      </c>
      <c r="BQ7" s="355">
        <f t="shared" si="2"/>
        <v>2076</v>
      </c>
      <c r="BR7" s="355">
        <f t="shared" si="2"/>
        <v>2077</v>
      </c>
      <c r="BS7" s="355">
        <f t="shared" si="2"/>
        <v>2078</v>
      </c>
      <c r="BT7" s="355">
        <f t="shared" si="2"/>
        <v>2079</v>
      </c>
      <c r="BU7" s="355">
        <f t="shared" si="2"/>
        <v>2080</v>
      </c>
      <c r="BV7" s="355">
        <f t="shared" si="2"/>
        <v>2081</v>
      </c>
      <c r="BW7" s="355">
        <f t="shared" si="2"/>
        <v>2082</v>
      </c>
      <c r="BX7" s="355">
        <f t="shared" si="2"/>
        <v>2083</v>
      </c>
      <c r="BY7" s="355">
        <f t="shared" si="2"/>
        <v>2084</v>
      </c>
      <c r="BZ7" s="355">
        <f t="shared" si="2"/>
        <v>2085</v>
      </c>
      <c r="CA7" s="355">
        <f t="shared" si="2"/>
        <v>2086</v>
      </c>
      <c r="CB7" s="355">
        <f t="shared" si="2"/>
        <v>2087</v>
      </c>
      <c r="CC7" s="355">
        <f t="shared" si="2"/>
        <v>2088</v>
      </c>
      <c r="CD7" s="355">
        <f t="shared" ref="CD7:CH7" si="3">CD1</f>
        <v>2089</v>
      </c>
      <c r="CE7" s="355">
        <f t="shared" si="3"/>
        <v>2090</v>
      </c>
      <c r="CF7" s="355">
        <f t="shared" si="3"/>
        <v>0</v>
      </c>
      <c r="CG7" s="355" t="str">
        <f t="shared" si="3"/>
        <v>A</v>
      </c>
      <c r="CH7" s="355">
        <f t="shared" si="3"/>
        <v>0</v>
      </c>
    </row>
    <row r="8" spans="1:86" x14ac:dyDescent="0.25">
      <c r="A8" s="365" t="s">
        <v>137</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8"/>
      <c r="CA8" s="357"/>
      <c r="CB8" s="357"/>
      <c r="CC8" s="357"/>
      <c r="CD8" s="357"/>
      <c r="CE8" s="357"/>
      <c r="CF8" s="357"/>
      <c r="CG8" s="357"/>
      <c r="CH8" s="358"/>
    </row>
    <row r="9" spans="1:86" x14ac:dyDescent="0.25">
      <c r="A9" s="359" t="s">
        <v>545</v>
      </c>
      <c r="B9" s="360">
        <v>7.3904991353544211E-2</v>
      </c>
      <c r="C9" s="360">
        <v>8594173</v>
      </c>
      <c r="D9" s="360">
        <v>13749590</v>
      </c>
      <c r="E9" s="360">
        <v>10260917</v>
      </c>
      <c r="F9" s="360">
        <v>9303875</v>
      </c>
      <c r="G9" s="360">
        <v>7955735</v>
      </c>
      <c r="H9" s="360">
        <v>8347291</v>
      </c>
      <c r="I9" s="360">
        <v>8962536.436947247</v>
      </c>
      <c r="J9" s="360">
        <v>9622570.64786065</v>
      </c>
      <c r="K9" s="360">
        <v>10330497.629288755</v>
      </c>
      <c r="L9" s="360">
        <v>11089627.624875233</v>
      </c>
      <c r="M9" s="360">
        <v>11903490.501649976</v>
      </c>
      <c r="N9" s="360">
        <v>12775849.965299264</v>
      </c>
      <c r="O9" s="360">
        <v>13710718.667757118</v>
      </c>
      <c r="P9" s="360">
        <v>14788469.075234367</v>
      </c>
      <c r="Q9" s="360">
        <v>15945641.988648891</v>
      </c>
      <c r="R9" s="360">
        <v>17187756.008028481</v>
      </c>
      <c r="S9" s="360">
        <v>18520696.589062992</v>
      </c>
      <c r="T9" s="360">
        <v>20880587.363583084</v>
      </c>
      <c r="U9" s="360">
        <v>22442320.516355671</v>
      </c>
      <c r="V9" s="360">
        <v>24797593.503531642</v>
      </c>
      <c r="W9" s="360">
        <v>27470090.968136985</v>
      </c>
      <c r="X9" s="360">
        <v>30322280.839079998</v>
      </c>
      <c r="Y9" s="360">
        <v>33365168.780906521</v>
      </c>
      <c r="Z9" s="360">
        <v>36753741.10939984</v>
      </c>
      <c r="AA9" s="360">
        <v>40368482.186891094</v>
      </c>
      <c r="AB9" s="360">
        <v>44223256.022676751</v>
      </c>
      <c r="AC9" s="360">
        <v>48332762.714928873</v>
      </c>
      <c r="AD9" s="360">
        <v>52712588.941341117</v>
      </c>
      <c r="AE9" s="360">
        <v>57379261.499576807</v>
      </c>
      <c r="AF9" s="360">
        <v>62350304.08212468</v>
      </c>
      <c r="AG9" s="360">
        <v>67644297.481220379</v>
      </c>
      <c r="AH9" s="360">
        <v>73280943.431217298</v>
      </c>
      <c r="AI9" s="360">
        <v>79281132.308228165</v>
      </c>
      <c r="AJ9" s="360">
        <v>85945505.550775707</v>
      </c>
      <c r="AK9" s="360">
        <v>93042081.517792746</v>
      </c>
      <c r="AL9" s="360">
        <v>100597322.28387028</v>
      </c>
      <c r="AM9" s="360">
        <v>108639292.92865203</v>
      </c>
      <c r="AN9" s="360">
        <v>117197758.66017015</v>
      </c>
      <c r="AO9" s="360">
        <v>126304287.81856014</v>
      </c>
      <c r="AP9" s="360">
        <v>135992361.11559448</v>
      </c>
      <c r="AQ9" s="360">
        <v>146297487.48683161</v>
      </c>
      <c r="AR9" s="360">
        <v>157257326.95581451</v>
      </c>
      <c r="AS9" s="360">
        <v>168911820.93375066</v>
      </c>
      <c r="AT9" s="360">
        <v>181667092.73296556</v>
      </c>
      <c r="AU9" s="360">
        <v>195235431.59780088</v>
      </c>
      <c r="AV9" s="360">
        <v>209666652.46882233</v>
      </c>
      <c r="AW9" s="360">
        <v>223714861.91020659</v>
      </c>
      <c r="AX9" s="360">
        <v>237508466.34501132</v>
      </c>
      <c r="AY9" s="360">
        <v>252182977.74531054</v>
      </c>
      <c r="AZ9" s="360">
        <v>267794726.71011266</v>
      </c>
      <c r="BA9" s="360">
        <v>284403608.21472847</v>
      </c>
      <c r="BB9" s="360">
        <v>302073304.21529961</v>
      </c>
      <c r="BC9" s="360">
        <v>320871519.97997528</v>
      </c>
      <c r="BD9" s="360">
        <v>339999134.58113474</v>
      </c>
      <c r="BE9" s="360">
        <v>360364576.43488884</v>
      </c>
      <c r="BF9" s="360">
        <v>382051313.08397919</v>
      </c>
      <c r="BG9" s="360">
        <v>405148549.11738992</v>
      </c>
      <c r="BH9" s="360">
        <v>429751623.87645286</v>
      </c>
      <c r="BI9" s="360">
        <v>455962436.83375776</v>
      </c>
      <c r="BJ9" s="360">
        <v>483889902.57347471</v>
      </c>
      <c r="BK9" s="360">
        <v>513650437.43620241</v>
      </c>
      <c r="BL9" s="360">
        <v>545368480.03534222</v>
      </c>
      <c r="BM9" s="360">
        <v>579177048.00592458</v>
      </c>
      <c r="BN9" s="360">
        <v>612927883.58371282</v>
      </c>
      <c r="BO9" s="360">
        <v>648754964.12732732</v>
      </c>
      <c r="BP9" s="360">
        <v>686789613.46034288</v>
      </c>
      <c r="BQ9" s="360">
        <v>721556643.25221968</v>
      </c>
      <c r="BR9" s="360">
        <v>758146457.67551076</v>
      </c>
      <c r="BS9" s="360">
        <v>796656627.82472956</v>
      </c>
      <c r="BT9" s="360">
        <v>837190010.7427814</v>
      </c>
      <c r="BU9" s="360">
        <v>879855037.73427105</v>
      </c>
      <c r="BV9" s="360">
        <v>924766018.46362567</v>
      </c>
      <c r="BW9" s="360">
        <v>972043461.70402813</v>
      </c>
      <c r="BX9" s="360">
        <v>1021814413.650714</v>
      </c>
      <c r="BY9" s="360">
        <v>1074212814.7623706</v>
      </c>
      <c r="BZ9" s="361">
        <v>1129379876.1473086</v>
      </c>
      <c r="CA9" s="366">
        <v>1187464476.5669224</v>
      </c>
      <c r="CB9" s="366">
        <v>1248623581.1878746</v>
      </c>
      <c r="CC9" s="366">
        <v>1313022683.2765863</v>
      </c>
      <c r="CD9" s="366">
        <v>1380836270.0951924</v>
      </c>
      <c r="CE9" s="366">
        <v>1452248314.3272882</v>
      </c>
      <c r="CF9" s="366">
        <v>1527452792.4347689</v>
      </c>
      <c r="CG9" s="366">
        <v>1606654231.4240599</v>
      </c>
      <c r="CH9" s="367">
        <v>0</v>
      </c>
    </row>
    <row r="10" spans="1:86" s="402" customFormat="1" ht="12.75" x14ac:dyDescent="0.25">
      <c r="A10" s="397" t="s">
        <v>563</v>
      </c>
      <c r="B10" s="398" t="s">
        <v>564</v>
      </c>
      <c r="C10" s="399">
        <v>5914600</v>
      </c>
      <c r="D10" s="399">
        <v>6011459</v>
      </c>
      <c r="E10" s="399">
        <v>6276435</v>
      </c>
      <c r="F10" s="399">
        <v>6550742</v>
      </c>
      <c r="G10" s="399">
        <v>6710416</v>
      </c>
      <c r="H10" s="399">
        <v>5516173</v>
      </c>
      <c r="I10" s="399">
        <v>6060847.8299315246</v>
      </c>
      <c r="J10" s="399">
        <v>6648194.3156187357</v>
      </c>
      <c r="K10" s="399">
        <v>7281252.9400638621</v>
      </c>
      <c r="L10" s="399">
        <v>7963268.5279578697</v>
      </c>
      <c r="M10" s="399">
        <v>8697703.5648093689</v>
      </c>
      <c r="N10" s="399">
        <v>9488252.3533377182</v>
      </c>
      <c r="O10" s="399">
        <v>10338856.060421003</v>
      </c>
      <c r="P10" s="399">
        <v>11329813.522662446</v>
      </c>
      <c r="Q10" s="399">
        <v>12397589.702484092</v>
      </c>
      <c r="R10" s="399">
        <v>13547625.086263014</v>
      </c>
      <c r="S10" s="399">
        <v>14785724.67262884</v>
      </c>
      <c r="T10" s="399">
        <v>16118081.650074111</v>
      </c>
      <c r="U10" s="399">
        <v>17551302.564425703</v>
      </c>
      <c r="V10" s="399">
        <v>19092434.070071552</v>
      </c>
      <c r="W10" s="399">
        <v>20748991.364326078</v>
      </c>
      <c r="X10" s="399">
        <v>22528988.410197798</v>
      </c>
      <c r="Y10" s="399">
        <v>24440970.059102654</v>
      </c>
      <c r="Z10" s="399">
        <v>26554581.59461499</v>
      </c>
      <c r="AA10" s="399">
        <v>28825465.12240649</v>
      </c>
      <c r="AB10" s="399">
        <v>31264498.311084185</v>
      </c>
      <c r="AC10" s="399">
        <v>33883277.744770378</v>
      </c>
      <c r="AD10" s="399">
        <v>36694165.071053654</v>
      </c>
      <c r="AE10" s="399">
        <v>39710336.043636248</v>
      </c>
      <c r="AF10" s="399">
        <v>42945832.638885565</v>
      </c>
      <c r="AG10" s="399">
        <v>46415618.436365612</v>
      </c>
      <c r="AH10" s="399">
        <v>50135637.464959323</v>
      </c>
      <c r="AI10" s="399">
        <v>54122876.728433639</v>
      </c>
      <c r="AJ10" s="399">
        <v>58528792.077192329</v>
      </c>
      <c r="AK10" s="399">
        <v>63253614.218825452</v>
      </c>
      <c r="AL10" s="399">
        <v>68319040.084132746</v>
      </c>
      <c r="AM10" s="399">
        <v>73748185.666677579</v>
      </c>
      <c r="AN10" s="399">
        <v>79565676.398214832</v>
      </c>
      <c r="AO10" s="399">
        <v>85797743.16517131</v>
      </c>
      <c r="AP10" s="399">
        <v>92472324.313332364</v>
      </c>
      <c r="AQ10" s="399">
        <v>99619174.008962333</v>
      </c>
      <c r="AR10" s="399">
        <v>107269977.34693414</v>
      </c>
      <c r="AS10" s="399">
        <v>115458472.62013917</v>
      </c>
      <c r="AT10" s="399">
        <v>124415584.46736297</v>
      </c>
      <c r="AU10" s="399">
        <v>134005550.90858044</v>
      </c>
      <c r="AV10" s="399">
        <v>144270792.4800165</v>
      </c>
      <c r="AW10" s="399">
        <v>155256476.89022213</v>
      </c>
      <c r="AX10" s="399">
        <v>167010692.70741165</v>
      </c>
      <c r="AY10" s="399">
        <v>179584633.83156714</v>
      </c>
      <c r="AZ10" s="399">
        <v>193032795.41194126</v>
      </c>
      <c r="BA10" s="399">
        <v>207413181.91059619</v>
      </c>
      <c r="BB10" s="399">
        <v>222787528.0550276</v>
      </c>
      <c r="BC10" s="399">
        <v>239221533.46787944</v>
      </c>
      <c r="BD10" s="399">
        <v>255914011.40666029</v>
      </c>
      <c r="BE10" s="399">
        <v>273771262.49816442</v>
      </c>
      <c r="BF10" s="399">
        <v>292874562.66213733</v>
      </c>
      <c r="BG10" s="399">
        <v>313310859.11587703</v>
      </c>
      <c r="BH10" s="399">
        <v>335173166.10787892</v>
      </c>
      <c r="BI10" s="399">
        <v>358560988.26511091</v>
      </c>
      <c r="BJ10" s="399">
        <v>383580773.48075271</v>
      </c>
      <c r="BK10" s="399">
        <v>410346397.40368301</v>
      </c>
      <c r="BL10" s="399">
        <v>438979681.73483157</v>
      </c>
      <c r="BM10" s="399">
        <v>469610948.68938279</v>
      </c>
      <c r="BN10" s="399">
        <v>500089164.22065914</v>
      </c>
      <c r="BO10" s="399">
        <v>532545446.11636627</v>
      </c>
      <c r="BP10" s="399">
        <v>567108172.84203732</v>
      </c>
      <c r="BQ10" s="399">
        <v>598299122.34834933</v>
      </c>
      <c r="BR10" s="399">
        <v>631205574.07750845</v>
      </c>
      <c r="BS10" s="399">
        <v>665921880.65177143</v>
      </c>
      <c r="BT10" s="399">
        <v>702547584.08761883</v>
      </c>
      <c r="BU10" s="399">
        <v>741187701.21243787</v>
      </c>
      <c r="BV10" s="399">
        <v>781953024.77912188</v>
      </c>
      <c r="BW10" s="399">
        <v>824960441.1419735</v>
      </c>
      <c r="BX10" s="399">
        <v>870333265.40478194</v>
      </c>
      <c r="BY10" s="399">
        <v>918201595.00204492</v>
      </c>
      <c r="BZ10" s="399">
        <v>968702682.72715735</v>
      </c>
      <c r="CA10" s="400">
        <v>1021981330.277151</v>
      </c>
      <c r="CB10" s="400">
        <v>1078190303.4423943</v>
      </c>
      <c r="CC10" s="400">
        <v>1137490770.1317258</v>
      </c>
      <c r="CD10" s="400">
        <v>1200052762.4889705</v>
      </c>
      <c r="CE10" s="400">
        <v>1266055664.4258637</v>
      </c>
      <c r="CF10" s="400">
        <v>1335688725.9692862</v>
      </c>
      <c r="CG10" s="400">
        <v>1409151605.8975968</v>
      </c>
      <c r="CH10" s="401">
        <v>1409151605.8975968</v>
      </c>
    </row>
    <row r="11" spans="1:86" s="402" customFormat="1" ht="12.75" x14ac:dyDescent="0.25">
      <c r="A11" s="397" t="s">
        <v>565</v>
      </c>
      <c r="B11" s="393" t="s">
        <v>566</v>
      </c>
      <c r="C11" s="399">
        <v>2679573</v>
      </c>
      <c r="D11" s="399">
        <v>7738131</v>
      </c>
      <c r="E11" s="399">
        <v>3984482</v>
      </c>
      <c r="F11" s="399">
        <v>2753133</v>
      </c>
      <c r="G11" s="399">
        <v>1245319</v>
      </c>
      <c r="H11" s="399">
        <v>2831118</v>
      </c>
      <c r="I11" s="399">
        <v>2901688.607015722</v>
      </c>
      <c r="J11" s="399">
        <v>2974376.3322419152</v>
      </c>
      <c r="K11" s="399">
        <v>3049244.6892248942</v>
      </c>
      <c r="L11" s="399">
        <v>3126359.0969173629</v>
      </c>
      <c r="M11" s="399">
        <v>3205786.9368406059</v>
      </c>
      <c r="N11" s="399">
        <v>3287597.6119615459</v>
      </c>
      <c r="O11" s="399">
        <v>3371862.6073361146</v>
      </c>
      <c r="P11" s="399">
        <v>3458655.5525719202</v>
      </c>
      <c r="Q11" s="399">
        <v>3548052.2861647997</v>
      </c>
      <c r="R11" s="399">
        <v>3640130.9217654658</v>
      </c>
      <c r="S11" s="399">
        <v>3734971.9164341507</v>
      </c>
      <c r="T11" s="399">
        <v>3832658.1409428976</v>
      </c>
      <c r="U11" s="399">
        <v>3933274.9521869072</v>
      </c>
      <c r="V11" s="399">
        <v>4036910.2677682363</v>
      </c>
      <c r="W11" s="399">
        <v>4143654.642817006</v>
      </c>
      <c r="X11" s="399">
        <v>4253601.3491172381</v>
      </c>
      <c r="Y11" s="399">
        <v>4366846.4566064784</v>
      </c>
      <c r="Z11" s="399">
        <v>4483488.9173203949</v>
      </c>
      <c r="AA11" s="399">
        <v>4603630.6518557286</v>
      </c>
      <c r="AB11" s="399">
        <v>4727376.6384271225</v>
      </c>
      <c r="AC11" s="399">
        <v>4854835.0045956578</v>
      </c>
      <c r="AD11" s="399">
        <v>4986117.1217492502</v>
      </c>
      <c r="AE11" s="399">
        <v>5121337.7024174491</v>
      </c>
      <c r="AF11" s="399">
        <v>5260614.9005056946</v>
      </c>
      <c r="AG11" s="399">
        <v>5404070.414536587</v>
      </c>
      <c r="AH11" s="399">
        <v>5551829.5939884074</v>
      </c>
      <c r="AI11" s="399">
        <v>5704021.5488237804</v>
      </c>
      <c r="AJ11" s="399">
        <v>5860779.2623042166</v>
      </c>
      <c r="AK11" s="399">
        <v>6022239.7071890645</v>
      </c>
      <c r="AL11" s="399">
        <v>6188543.9654204603</v>
      </c>
      <c r="AM11" s="399">
        <v>6359837.3513987958</v>
      </c>
      <c r="AN11" s="399">
        <v>6536269.538956481</v>
      </c>
      <c r="AO11" s="399">
        <v>6717994.6921408968</v>
      </c>
      <c r="AP11" s="399">
        <v>6905171.5999208465</v>
      </c>
      <c r="AQ11" s="399">
        <v>7097963.8149341932</v>
      </c>
      <c r="AR11" s="399">
        <v>7296539.7963979412</v>
      </c>
      <c r="AS11" s="399">
        <v>7501073.0573056005</v>
      </c>
      <c r="AT11" s="399">
        <v>7711742.3160404917</v>
      </c>
      <c r="AU11" s="399">
        <v>7928731.6525374288</v>
      </c>
      <c r="AV11" s="399">
        <v>8152230.6691292729</v>
      </c>
      <c r="AW11" s="399">
        <v>8382434.6562188743</v>
      </c>
      <c r="AX11" s="399">
        <v>8619544.7629211619</v>
      </c>
      <c r="AY11" s="399">
        <v>8863768.1728245188</v>
      </c>
      <c r="AZ11" s="399">
        <v>9115318.2850249764</v>
      </c>
      <c r="BA11" s="399">
        <v>9374414.9005914479</v>
      </c>
      <c r="BB11" s="399">
        <v>9641284.4146249145</v>
      </c>
      <c r="BC11" s="399">
        <v>9916160.0140793845</v>
      </c>
      <c r="BD11" s="399">
        <v>10199281.881517487</v>
      </c>
      <c r="BE11" s="399">
        <v>10490897.404978732</v>
      </c>
      <c r="BF11" s="399">
        <v>10791261.394143812</v>
      </c>
      <c r="BG11" s="399">
        <v>11100636.30298385</v>
      </c>
      <c r="BH11" s="399">
        <v>11419292.459089087</v>
      </c>
      <c r="BI11" s="399">
        <v>11747508.299877483</v>
      </c>
      <c r="BJ11" s="399">
        <v>12085570.615889529</v>
      </c>
      <c r="BK11" s="399">
        <v>12433774.801381934</v>
      </c>
      <c r="BL11" s="399">
        <v>12792425.112439115</v>
      </c>
      <c r="BM11" s="399">
        <v>13161834.932828013</v>
      </c>
      <c r="BN11" s="399">
        <v>13542327.047828574</v>
      </c>
      <c r="BO11" s="399">
        <v>13934233.926279154</v>
      </c>
      <c r="BP11" s="399">
        <v>14337898.011083249</v>
      </c>
      <c r="BQ11" s="399">
        <v>14753672.018431468</v>
      </c>
      <c r="BR11" s="399">
        <v>15181919.246000135</v>
      </c>
      <c r="BS11" s="399">
        <v>15623013.890395861</v>
      </c>
      <c r="BT11" s="399">
        <v>16077341.374123462</v>
      </c>
      <c r="BU11" s="399">
        <v>16545298.68236289</v>
      </c>
      <c r="BV11" s="399">
        <v>17027294.709849499</v>
      </c>
      <c r="BW11" s="399">
        <v>17523750.618160706</v>
      </c>
      <c r="BX11" s="399">
        <v>18035100.203721248</v>
      </c>
      <c r="BY11" s="399">
        <v>18561790.276848607</v>
      </c>
      <c r="BZ11" s="399">
        <v>19104281.052169785</v>
      </c>
      <c r="CA11" s="400">
        <v>19663046.550750602</v>
      </c>
      <c r="CB11" s="400">
        <v>20238575.014288843</v>
      </c>
      <c r="CC11" s="400">
        <v>20831369.331733231</v>
      </c>
      <c r="CD11" s="400">
        <v>21441947.478700947</v>
      </c>
      <c r="CE11" s="400">
        <v>22070842.970077697</v>
      </c>
      <c r="CF11" s="400">
        <v>22718605.32619575</v>
      </c>
      <c r="CG11" s="400">
        <v>23385800.552997347</v>
      </c>
      <c r="CH11" s="401">
        <v>24073011.63660299</v>
      </c>
    </row>
    <row r="12" spans="1:86" x14ac:dyDescent="0.25">
      <c r="A12" s="359" t="s">
        <v>546</v>
      </c>
      <c r="B12" s="360">
        <v>0</v>
      </c>
      <c r="C12" s="360">
        <v>9449908</v>
      </c>
      <c r="D12" s="360">
        <v>9604162</v>
      </c>
      <c r="E12" s="360">
        <v>9557759</v>
      </c>
      <c r="F12" s="360">
        <v>10841391</v>
      </c>
      <c r="G12" s="360">
        <v>9874636</v>
      </c>
      <c r="H12" s="360">
        <v>8366536.9970039995</v>
      </c>
      <c r="I12" s="360">
        <v>8533867.7369440813</v>
      </c>
      <c r="J12" s="360">
        <v>8704545.0916829631</v>
      </c>
      <c r="K12" s="360">
        <v>8878635.9935166221</v>
      </c>
      <c r="L12" s="360">
        <v>9056208.7133869566</v>
      </c>
      <c r="M12" s="360">
        <v>9237332.8876546938</v>
      </c>
      <c r="N12" s="360">
        <v>9422079.5454077888</v>
      </c>
      <c r="O12" s="360">
        <v>9610521.1363159437</v>
      </c>
      <c r="P12" s="360">
        <v>9802731.5590422619</v>
      </c>
      <c r="Q12" s="360">
        <v>9998786.1902231071</v>
      </c>
      <c r="R12" s="360">
        <v>10198761.91402757</v>
      </c>
      <c r="S12" s="360">
        <v>10402737.152308121</v>
      </c>
      <c r="T12" s="360">
        <v>10610791.895354284</v>
      </c>
      <c r="U12" s="360">
        <v>10823007.733261369</v>
      </c>
      <c r="V12" s="360">
        <v>11039467.887926597</v>
      </c>
      <c r="W12" s="360">
        <v>11260257.245685128</v>
      </c>
      <c r="X12" s="360">
        <v>11485462.39059883</v>
      </c>
      <c r="Y12" s="360">
        <v>11715171.638410809</v>
      </c>
      <c r="Z12" s="360">
        <v>11949475.071179025</v>
      </c>
      <c r="AA12" s="360">
        <v>12188464.572602605</v>
      </c>
      <c r="AB12" s="360">
        <v>12432233.864054658</v>
      </c>
      <c r="AC12" s="360">
        <v>12680878.54133575</v>
      </c>
      <c r="AD12" s="360">
        <v>12934496.112162465</v>
      </c>
      <c r="AE12" s="360">
        <v>13193186.034405714</v>
      </c>
      <c r="AF12" s="360">
        <v>13457049.755093828</v>
      </c>
      <c r="AG12" s="360">
        <v>13726190.750195704</v>
      </c>
      <c r="AH12" s="360">
        <v>14000714.565199619</v>
      </c>
      <c r="AI12" s="360">
        <v>14280728.856503611</v>
      </c>
      <c r="AJ12" s="360">
        <v>14566343.433633685</v>
      </c>
      <c r="AK12" s="360">
        <v>14857670.302306358</v>
      </c>
      <c r="AL12" s="360">
        <v>15154823.708352486</v>
      </c>
      <c r="AM12" s="360">
        <v>15457920.182519535</v>
      </c>
      <c r="AN12" s="360">
        <v>15767078.586169926</v>
      </c>
      <c r="AO12" s="360">
        <v>16082420.157893324</v>
      </c>
      <c r="AP12" s="360">
        <v>16404068.561051192</v>
      </c>
      <c r="AQ12" s="360">
        <v>16732149.932272216</v>
      </c>
      <c r="AR12" s="360">
        <v>17066792.930917662</v>
      </c>
      <c r="AS12" s="360">
        <v>17408128.789536014</v>
      </c>
      <c r="AT12" s="360">
        <v>17756291.365326736</v>
      </c>
      <c r="AU12" s="360">
        <v>18111417.192633271</v>
      </c>
      <c r="AV12" s="360">
        <v>18473645.53648594</v>
      </c>
      <c r="AW12" s="360">
        <v>18843118.447215658</v>
      </c>
      <c r="AX12" s="360">
        <v>19219980.816159971</v>
      </c>
      <c r="AY12" s="360">
        <v>19604380.43248317</v>
      </c>
      <c r="AZ12" s="360">
        <v>19996468.041132834</v>
      </c>
      <c r="BA12" s="360">
        <v>20396397.401955493</v>
      </c>
      <c r="BB12" s="360">
        <v>20804325.3499946</v>
      </c>
      <c r="BC12" s="360">
        <v>21220411.856994491</v>
      </c>
      <c r="BD12" s="360">
        <v>21644820.094134383</v>
      </c>
      <c r="BE12" s="360">
        <v>22077716.496017069</v>
      </c>
      <c r="BF12" s="360">
        <v>22519270.825937413</v>
      </c>
      <c r="BG12" s="360">
        <v>22969656.24245616</v>
      </c>
      <c r="BH12" s="360">
        <v>23429049.367305283</v>
      </c>
      <c r="BI12" s="360">
        <v>23897630.354651388</v>
      </c>
      <c r="BJ12" s="360">
        <v>24375582.961744417</v>
      </c>
      <c r="BK12" s="360">
        <v>24863094.620979305</v>
      </c>
      <c r="BL12" s="360">
        <v>25360356.513398893</v>
      </c>
      <c r="BM12" s="360">
        <v>25867563.643666867</v>
      </c>
      <c r="BN12" s="360">
        <v>26384914.916540209</v>
      </c>
      <c r="BO12" s="360">
        <v>26912613.214871015</v>
      </c>
      <c r="BP12" s="360">
        <v>27450865.479168437</v>
      </c>
      <c r="BQ12" s="360">
        <v>27999882.788751803</v>
      </c>
      <c r="BR12" s="360">
        <v>28559880.44452684</v>
      </c>
      <c r="BS12" s="360">
        <v>29131078.053417373</v>
      </c>
      <c r="BT12" s="360">
        <v>29713699.614485722</v>
      </c>
      <c r="BU12" s="360">
        <v>30307973.606775437</v>
      </c>
      <c r="BV12" s="360">
        <v>30914133.078910947</v>
      </c>
      <c r="BW12" s="360">
        <v>31532415.740489166</v>
      </c>
      <c r="BX12" s="360">
        <v>32163064.055298947</v>
      </c>
      <c r="BY12" s="360">
        <v>32806325.336404931</v>
      </c>
      <c r="BZ12" s="360">
        <v>33462451.843133029</v>
      </c>
      <c r="CA12" s="366">
        <v>34131700.879995689</v>
      </c>
      <c r="CB12" s="366">
        <v>34814334.897595599</v>
      </c>
      <c r="CC12" s="366">
        <v>35510621.595547512</v>
      </c>
      <c r="CD12" s="366">
        <v>36220834.027458459</v>
      </c>
      <c r="CE12" s="366">
        <v>36945250.708007626</v>
      </c>
      <c r="CF12" s="366">
        <v>37684155.722167782</v>
      </c>
      <c r="CG12" s="366">
        <v>38437838.836611144</v>
      </c>
      <c r="CH12" s="367">
        <v>0</v>
      </c>
    </row>
    <row r="13" spans="1:86" x14ac:dyDescent="0.25">
      <c r="A13" s="369">
        <v>0</v>
      </c>
      <c r="B13" s="366">
        <v>0</v>
      </c>
      <c r="C13" s="366">
        <v>0</v>
      </c>
      <c r="D13" s="366">
        <v>0</v>
      </c>
      <c r="E13" s="366">
        <v>0</v>
      </c>
      <c r="F13" s="366">
        <v>0</v>
      </c>
      <c r="G13" s="366">
        <v>0</v>
      </c>
      <c r="H13" s="366">
        <v>0</v>
      </c>
      <c r="I13" s="366">
        <v>4127558.2143707434</v>
      </c>
      <c r="J13" s="366">
        <v>4127558.2143707578</v>
      </c>
      <c r="K13" s="366">
        <v>4127558.2143707578</v>
      </c>
      <c r="L13" s="366">
        <v>4127558.2143707578</v>
      </c>
      <c r="M13" s="366">
        <v>4127558.2143707434</v>
      </c>
      <c r="N13" s="366">
        <v>4127558.2143707434</v>
      </c>
      <c r="O13" s="366">
        <v>4127558.2143707289</v>
      </c>
      <c r="P13" s="366">
        <v>5073363.2653061217</v>
      </c>
      <c r="Q13" s="366">
        <v>5073363.2653061505</v>
      </c>
      <c r="R13" s="366">
        <v>5073363.2653061217</v>
      </c>
      <c r="S13" s="366">
        <v>5073363.2653061356</v>
      </c>
      <c r="T13" s="366">
        <v>5073363.2653061068</v>
      </c>
      <c r="U13" s="366">
        <v>5073363.2653061356</v>
      </c>
      <c r="V13" s="366">
        <v>5073363.2653061356</v>
      </c>
      <c r="W13" s="366">
        <v>5073363.2653060779</v>
      </c>
      <c r="X13" s="366">
        <v>5073363.2653061356</v>
      </c>
      <c r="Y13" s="366">
        <v>5073363.2653061068</v>
      </c>
      <c r="Z13" s="366">
        <v>5520724.4897959176</v>
      </c>
      <c r="AA13" s="366">
        <v>5520724.4897959176</v>
      </c>
      <c r="AB13" s="366">
        <v>5520724.4897959465</v>
      </c>
      <c r="AC13" s="366">
        <v>5520724.4897959176</v>
      </c>
      <c r="AD13" s="366">
        <v>5520724.4897959176</v>
      </c>
      <c r="AE13" s="366">
        <v>5520724.4897958878</v>
      </c>
      <c r="AF13" s="366">
        <v>5520724.4897959465</v>
      </c>
      <c r="AG13" s="366">
        <v>5520724.4897959176</v>
      </c>
      <c r="AH13" s="366">
        <v>5520724.4897958878</v>
      </c>
      <c r="AI13" s="366">
        <v>5520724.4897959465</v>
      </c>
      <c r="AJ13" s="366">
        <v>6104310.2040816154</v>
      </c>
      <c r="AK13" s="366">
        <v>6104310.2040816452</v>
      </c>
      <c r="AL13" s="366">
        <v>6104310.2040816452</v>
      </c>
      <c r="AM13" s="366">
        <v>6104310.2040816741</v>
      </c>
      <c r="AN13" s="366">
        <v>6104310.2040815866</v>
      </c>
      <c r="AO13" s="366">
        <v>6104310.2040816741</v>
      </c>
      <c r="AP13" s="366">
        <v>6104310.2040816741</v>
      </c>
      <c r="AQ13" s="366">
        <v>6104310.2040816452</v>
      </c>
      <c r="AR13" s="366">
        <v>6104310.204081703</v>
      </c>
      <c r="AS13" s="366">
        <v>6104310.2040814701</v>
      </c>
      <c r="AT13" s="366">
        <v>6609248.9795918223</v>
      </c>
      <c r="AU13" s="366">
        <v>6609248.9795918809</v>
      </c>
      <c r="AV13" s="366">
        <v>6609248.9795918223</v>
      </c>
      <c r="AW13" s="366">
        <v>6609248.9795918809</v>
      </c>
      <c r="AX13" s="366">
        <v>6609248.9795918223</v>
      </c>
      <c r="AY13" s="366">
        <v>6609248.9795918223</v>
      </c>
      <c r="AZ13" s="366">
        <v>6609248.9795918809</v>
      </c>
      <c r="BA13" s="366">
        <v>6609248.9795918223</v>
      </c>
      <c r="BB13" s="366">
        <v>6609248.9795918809</v>
      </c>
      <c r="BC13" s="366">
        <v>6609248.9795917068</v>
      </c>
      <c r="BD13" s="366">
        <v>5283067.2448980045</v>
      </c>
      <c r="BE13" s="366">
        <v>5362313.2535713958</v>
      </c>
      <c r="BF13" s="366">
        <v>5442747.9523749789</v>
      </c>
      <c r="BG13" s="366">
        <v>5524389.1716605285</v>
      </c>
      <c r="BH13" s="366">
        <v>5607255.009235465</v>
      </c>
      <c r="BI13" s="366">
        <v>5691363.8343740609</v>
      </c>
      <c r="BJ13" s="366">
        <v>5776734.291889647</v>
      </c>
      <c r="BK13" s="366">
        <v>5863385.3062678827</v>
      </c>
      <c r="BL13" s="366">
        <v>5951336.0858620144</v>
      </c>
      <c r="BM13" s="366">
        <v>6040606.1271499489</v>
      </c>
      <c r="BN13" s="366">
        <v>4087476.8127048737</v>
      </c>
      <c r="BO13" s="366">
        <v>4128351.5808318043</v>
      </c>
      <c r="BP13" s="366">
        <v>4169635.0966401515</v>
      </c>
      <c r="BQ13" s="366">
        <v>0</v>
      </c>
      <c r="BR13" s="366">
        <v>0</v>
      </c>
      <c r="BS13" s="366">
        <v>0</v>
      </c>
      <c r="BT13" s="366">
        <v>0</v>
      </c>
      <c r="BU13" s="366">
        <v>0</v>
      </c>
      <c r="BV13" s="366">
        <v>0</v>
      </c>
      <c r="BW13" s="366">
        <v>0</v>
      </c>
      <c r="BX13" s="366">
        <v>0</v>
      </c>
      <c r="BY13" s="366">
        <v>0</v>
      </c>
      <c r="BZ13" s="366">
        <v>0</v>
      </c>
      <c r="CA13" s="366">
        <v>0</v>
      </c>
      <c r="CB13" s="366">
        <v>0</v>
      </c>
      <c r="CC13" s="366">
        <v>0</v>
      </c>
      <c r="CD13" s="366">
        <v>0</v>
      </c>
      <c r="CE13" s="366">
        <v>0</v>
      </c>
      <c r="CF13" s="366">
        <v>0</v>
      </c>
      <c r="CG13" s="366">
        <v>0</v>
      </c>
      <c r="CH13" s="367">
        <v>0</v>
      </c>
    </row>
    <row r="14" spans="1:86" x14ac:dyDescent="0.25">
      <c r="A14" s="369" t="s">
        <v>548</v>
      </c>
      <c r="B14" s="366">
        <v>0</v>
      </c>
      <c r="C14" s="366">
        <v>-337360.12500000006</v>
      </c>
      <c r="D14" s="366">
        <v>-881527.80900000001</v>
      </c>
      <c r="E14" s="366">
        <v>-667043.97500000009</v>
      </c>
      <c r="F14" s="366">
        <v>-239994.386</v>
      </c>
      <c r="G14" s="366">
        <v>-106423.571</v>
      </c>
      <c r="H14" s="366">
        <v>-1350000</v>
      </c>
      <c r="I14" s="366">
        <v>-1404000</v>
      </c>
      <c r="J14" s="366">
        <v>-1460160.0000000005</v>
      </c>
      <c r="K14" s="366">
        <v>-1518566.4000000004</v>
      </c>
      <c r="L14" s="366">
        <v>-1579309.0560000003</v>
      </c>
      <c r="M14" s="366">
        <v>-547493.80608000024</v>
      </c>
      <c r="N14" s="366">
        <v>-569393.55832320021</v>
      </c>
      <c r="O14" s="366">
        <v>-592169.30065612809</v>
      </c>
      <c r="P14" s="366">
        <v>-615856.07268237346</v>
      </c>
      <c r="Q14" s="366">
        <v>-640490.31558966835</v>
      </c>
      <c r="R14" s="366">
        <v>-400000</v>
      </c>
      <c r="S14" s="366">
        <v>-400000</v>
      </c>
      <c r="T14" s="366">
        <v>0</v>
      </c>
      <c r="U14" s="366">
        <v>0</v>
      </c>
      <c r="V14" s="366">
        <v>0</v>
      </c>
      <c r="W14" s="366">
        <v>0</v>
      </c>
      <c r="X14" s="366">
        <v>0</v>
      </c>
      <c r="Y14" s="366">
        <v>0</v>
      </c>
      <c r="Z14" s="366">
        <v>0</v>
      </c>
      <c r="AA14" s="366">
        <v>0</v>
      </c>
      <c r="AB14" s="366">
        <v>0</v>
      </c>
      <c r="AC14" s="366">
        <v>0</v>
      </c>
      <c r="AD14" s="366">
        <v>0</v>
      </c>
      <c r="AE14" s="366">
        <v>0</v>
      </c>
      <c r="AF14" s="366">
        <v>0</v>
      </c>
      <c r="AG14" s="366">
        <v>0</v>
      </c>
      <c r="AH14" s="366">
        <v>0</v>
      </c>
      <c r="AI14" s="366">
        <v>0</v>
      </c>
      <c r="AJ14" s="366">
        <v>0</v>
      </c>
      <c r="AK14" s="366">
        <v>0</v>
      </c>
      <c r="AL14" s="366">
        <v>0</v>
      </c>
      <c r="AM14" s="366">
        <v>0</v>
      </c>
      <c r="AN14" s="366">
        <v>0</v>
      </c>
      <c r="AO14" s="366">
        <v>0</v>
      </c>
      <c r="AP14" s="366">
        <v>0</v>
      </c>
      <c r="AQ14" s="366">
        <v>0</v>
      </c>
      <c r="AR14" s="366">
        <v>0</v>
      </c>
      <c r="AS14" s="366">
        <v>0</v>
      </c>
      <c r="AT14" s="366">
        <v>0</v>
      </c>
      <c r="AU14" s="366">
        <v>0</v>
      </c>
      <c r="AV14" s="366">
        <v>0</v>
      </c>
      <c r="AW14" s="366">
        <v>0</v>
      </c>
      <c r="AX14" s="366">
        <v>0</v>
      </c>
      <c r="AY14" s="366">
        <v>0</v>
      </c>
      <c r="AZ14" s="366">
        <v>0</v>
      </c>
      <c r="BA14" s="366">
        <v>0</v>
      </c>
      <c r="BB14" s="366">
        <v>0</v>
      </c>
      <c r="BC14" s="366">
        <v>0</v>
      </c>
      <c r="BD14" s="366">
        <v>0</v>
      </c>
      <c r="BE14" s="366">
        <v>0</v>
      </c>
      <c r="BF14" s="366">
        <v>0</v>
      </c>
      <c r="BG14" s="366">
        <v>0</v>
      </c>
      <c r="BH14" s="366">
        <v>0</v>
      </c>
      <c r="BI14" s="366">
        <v>0</v>
      </c>
      <c r="BJ14" s="366">
        <v>0</v>
      </c>
      <c r="BK14" s="366">
        <v>0</v>
      </c>
      <c r="BL14" s="366">
        <v>0</v>
      </c>
      <c r="BM14" s="366">
        <v>0</v>
      </c>
      <c r="BN14" s="366">
        <v>0</v>
      </c>
      <c r="BO14" s="366">
        <v>0</v>
      </c>
      <c r="BP14" s="366">
        <v>0</v>
      </c>
      <c r="BQ14" s="366">
        <v>0</v>
      </c>
      <c r="BR14" s="366">
        <v>0</v>
      </c>
      <c r="BS14" s="366">
        <v>0</v>
      </c>
      <c r="BT14" s="366">
        <v>0</v>
      </c>
      <c r="BU14" s="366">
        <v>0</v>
      </c>
      <c r="BV14" s="366">
        <v>0</v>
      </c>
      <c r="BW14" s="366">
        <v>0</v>
      </c>
      <c r="BX14" s="366">
        <v>0</v>
      </c>
      <c r="BY14" s="366">
        <v>0</v>
      </c>
      <c r="BZ14" s="366">
        <v>0</v>
      </c>
      <c r="CA14" s="366">
        <v>0</v>
      </c>
      <c r="CB14" s="366">
        <v>0</v>
      </c>
      <c r="CC14" s="366">
        <v>0</v>
      </c>
      <c r="CD14" s="366">
        <v>0</v>
      </c>
      <c r="CE14" s="366">
        <v>0</v>
      </c>
      <c r="CF14" s="366">
        <v>0</v>
      </c>
      <c r="CG14" s="366">
        <v>1</v>
      </c>
      <c r="CH14" s="367">
        <v>0</v>
      </c>
    </row>
    <row r="15" spans="1:86" x14ac:dyDescent="0.25">
      <c r="A15" s="369" t="s">
        <v>549</v>
      </c>
      <c r="B15" s="366">
        <v>0</v>
      </c>
      <c r="C15" s="366">
        <v>0</v>
      </c>
      <c r="D15" s="366">
        <v>0</v>
      </c>
      <c r="E15" s="366">
        <v>0</v>
      </c>
      <c r="F15" s="366">
        <v>0</v>
      </c>
      <c r="G15" s="366">
        <v>0</v>
      </c>
      <c r="H15" s="366">
        <v>0</v>
      </c>
      <c r="I15" s="366">
        <v>0</v>
      </c>
      <c r="J15" s="366">
        <v>0</v>
      </c>
      <c r="K15" s="366">
        <v>0</v>
      </c>
      <c r="L15" s="366">
        <v>0</v>
      </c>
      <c r="M15" s="366">
        <v>0</v>
      </c>
      <c r="N15" s="366">
        <v>0</v>
      </c>
      <c r="O15" s="366">
        <v>0</v>
      </c>
      <c r="P15" s="366">
        <v>0</v>
      </c>
      <c r="Q15" s="366">
        <v>0</v>
      </c>
      <c r="R15" s="366">
        <v>0</v>
      </c>
      <c r="S15" s="366">
        <v>0</v>
      </c>
      <c r="T15" s="366">
        <v>-1531849.8789690041</v>
      </c>
      <c r="U15" s="366">
        <v>-236578.06164817151</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7">
        <v>0</v>
      </c>
    </row>
    <row r="16" spans="1:86" x14ac:dyDescent="0.25">
      <c r="A16" s="370" t="s">
        <v>137</v>
      </c>
      <c r="B16" s="371">
        <f>SUM(B9:B15)</f>
        <v>7.3904991353544211E-2</v>
      </c>
      <c r="C16" s="371">
        <f t="shared" ref="C16:AH16" si="4">SUM(C9,C12:C15)</f>
        <v>17706720.875</v>
      </c>
      <c r="D16" s="371">
        <f t="shared" si="4"/>
        <v>22472224.191</v>
      </c>
      <c r="E16" s="371">
        <f t="shared" si="4"/>
        <v>19151632.024999999</v>
      </c>
      <c r="F16" s="371">
        <f t="shared" si="4"/>
        <v>19905271.614</v>
      </c>
      <c r="G16" s="371">
        <f t="shared" si="4"/>
        <v>17723947.429000001</v>
      </c>
      <c r="H16" s="371">
        <f t="shared" si="4"/>
        <v>15363827.997003999</v>
      </c>
      <c r="I16" s="371">
        <f t="shared" si="4"/>
        <v>20219962.388262071</v>
      </c>
      <c r="J16" s="371">
        <f t="shared" si="4"/>
        <v>20994513.95391437</v>
      </c>
      <c r="K16" s="371">
        <f t="shared" si="4"/>
        <v>21818125.437176138</v>
      </c>
      <c r="L16" s="371">
        <f t="shared" si="4"/>
        <v>22694085.496632945</v>
      </c>
      <c r="M16" s="371">
        <f t="shared" si="4"/>
        <v>24720887.797595412</v>
      </c>
      <c r="N16" s="371">
        <f t="shared" si="4"/>
        <v>25756094.166754592</v>
      </c>
      <c r="O16" s="371">
        <f t="shared" si="4"/>
        <v>26856628.717787661</v>
      </c>
      <c r="P16" s="371">
        <f t="shared" si="4"/>
        <v>29048707.826900378</v>
      </c>
      <c r="Q16" s="371">
        <f t="shared" si="4"/>
        <v>30377301.128588479</v>
      </c>
      <c r="R16" s="371">
        <f t="shared" si="4"/>
        <v>32059881.187362172</v>
      </c>
      <c r="S16" s="371">
        <f t="shared" si="4"/>
        <v>33596797.006677248</v>
      </c>
      <c r="T16" s="371">
        <f t="shared" si="4"/>
        <v>35032892.645274468</v>
      </c>
      <c r="U16" s="371">
        <f t="shared" si="4"/>
        <v>38102113.453275003</v>
      </c>
      <c r="V16" s="371">
        <f t="shared" si="4"/>
        <v>40910424.656764381</v>
      </c>
      <c r="W16" s="371">
        <f t="shared" si="4"/>
        <v>43803711.479128189</v>
      </c>
      <c r="X16" s="371">
        <f t="shared" si="4"/>
        <v>46881106.494984962</v>
      </c>
      <c r="Y16" s="371">
        <f t="shared" si="4"/>
        <v>50153703.684623435</v>
      </c>
      <c r="Z16" s="371">
        <f t="shared" si="4"/>
        <v>54223940.670374781</v>
      </c>
      <c r="AA16" s="371">
        <f t="shared" si="4"/>
        <v>58077671.249289617</v>
      </c>
      <c r="AB16" s="371">
        <f t="shared" si="4"/>
        <v>62176214.376527354</v>
      </c>
      <c r="AC16" s="371">
        <f t="shared" si="4"/>
        <v>66534365.746060543</v>
      </c>
      <c r="AD16" s="371">
        <f t="shared" si="4"/>
        <v>71167809.543299496</v>
      </c>
      <c r="AE16" s="371">
        <f t="shared" si="4"/>
        <v>76093172.023778409</v>
      </c>
      <c r="AF16" s="371">
        <f t="shared" si="4"/>
        <v>81328078.327014461</v>
      </c>
      <c r="AG16" s="371">
        <f t="shared" si="4"/>
        <v>86891212.721212</v>
      </c>
      <c r="AH16" s="371">
        <f t="shared" si="4"/>
        <v>92802382.486212805</v>
      </c>
      <c r="AI16" s="371">
        <f t="shared" ref="AI16:BN16" si="5">SUM(AI9,AI12:AI15)</f>
        <v>99082585.654527724</v>
      </c>
      <c r="AJ16" s="371">
        <f t="shared" si="5"/>
        <v>106616159.188491</v>
      </c>
      <c r="AK16" s="371">
        <f t="shared" si="5"/>
        <v>114004062.02418074</v>
      </c>
      <c r="AL16" s="371">
        <f t="shared" si="5"/>
        <v>121856456.19630441</v>
      </c>
      <c r="AM16" s="371">
        <f t="shared" si="5"/>
        <v>130201523.31525324</v>
      </c>
      <c r="AN16" s="371">
        <f t="shared" si="5"/>
        <v>139069147.45042166</v>
      </c>
      <c r="AO16" s="371">
        <f t="shared" si="5"/>
        <v>148491018.18053514</v>
      </c>
      <c r="AP16" s="371">
        <f t="shared" si="5"/>
        <v>158500739.88072735</v>
      </c>
      <c r="AQ16" s="371">
        <f t="shared" si="5"/>
        <v>169133947.62318549</v>
      </c>
      <c r="AR16" s="371">
        <f t="shared" si="5"/>
        <v>180428430.09081388</v>
      </c>
      <c r="AS16" s="371">
        <f t="shared" si="5"/>
        <v>192424259.92736816</v>
      </c>
      <c r="AT16" s="371">
        <f t="shared" si="5"/>
        <v>206032633.07788411</v>
      </c>
      <c r="AU16" s="371">
        <f t="shared" si="5"/>
        <v>219956097.77002603</v>
      </c>
      <c r="AV16" s="371">
        <f t="shared" si="5"/>
        <v>234749546.98490009</v>
      </c>
      <c r="AW16" s="371">
        <f t="shared" si="5"/>
        <v>249167229.33701411</v>
      </c>
      <c r="AX16" s="371">
        <f t="shared" si="5"/>
        <v>263337696.1407631</v>
      </c>
      <c r="AY16" s="371">
        <f t="shared" si="5"/>
        <v>278396607.15738559</v>
      </c>
      <c r="AZ16" s="371">
        <f t="shared" si="5"/>
        <v>294400443.7308374</v>
      </c>
      <c r="BA16" s="371">
        <f t="shared" si="5"/>
        <v>311409254.59627581</v>
      </c>
      <c r="BB16" s="371">
        <f t="shared" si="5"/>
        <v>329486878.54488611</v>
      </c>
      <c r="BC16" s="371">
        <f t="shared" si="5"/>
        <v>348701180.81656152</v>
      </c>
      <c r="BD16" s="371">
        <f t="shared" si="5"/>
        <v>366927021.92016715</v>
      </c>
      <c r="BE16" s="371">
        <f t="shared" si="5"/>
        <v>387804606.18447733</v>
      </c>
      <c r="BF16" s="371">
        <f t="shared" si="5"/>
        <v>410013331.86229157</v>
      </c>
      <c r="BG16" s="371">
        <f t="shared" si="5"/>
        <v>433642594.5315066</v>
      </c>
      <c r="BH16" s="371">
        <f t="shared" si="5"/>
        <v>458787928.25299358</v>
      </c>
      <c r="BI16" s="371">
        <f t="shared" si="5"/>
        <v>485551431.02278322</v>
      </c>
      <c r="BJ16" s="371">
        <f t="shared" si="5"/>
        <v>514042219.8271088</v>
      </c>
      <c r="BK16" s="371">
        <f t="shared" si="5"/>
        <v>544376917.36344957</v>
      </c>
      <c r="BL16" s="371">
        <f t="shared" si="5"/>
        <v>576680172.63460314</v>
      </c>
      <c r="BM16" s="371">
        <f t="shared" si="5"/>
        <v>611085217.77674139</v>
      </c>
      <c r="BN16" s="371">
        <f t="shared" si="5"/>
        <v>643400275.312958</v>
      </c>
      <c r="BO16" s="371">
        <f t="shared" ref="BO16:CH16" si="6">SUM(BO9,BO12:BO15)</f>
        <v>679795928.92303014</v>
      </c>
      <c r="BP16" s="371">
        <f t="shared" si="6"/>
        <v>718410114.03615141</v>
      </c>
      <c r="BQ16" s="371">
        <f t="shared" si="6"/>
        <v>749556526.04097152</v>
      </c>
      <c r="BR16" s="371">
        <f t="shared" si="6"/>
        <v>786706338.12003756</v>
      </c>
      <c r="BS16" s="371">
        <f t="shared" si="6"/>
        <v>825787705.87814689</v>
      </c>
      <c r="BT16" s="371">
        <f t="shared" si="6"/>
        <v>866903710.35726714</v>
      </c>
      <c r="BU16" s="371">
        <f t="shared" si="6"/>
        <v>910163011.34104645</v>
      </c>
      <c r="BV16" s="371">
        <f t="shared" si="6"/>
        <v>955680151.54253662</v>
      </c>
      <c r="BW16" s="371">
        <f t="shared" si="6"/>
        <v>1003575877.4445173</v>
      </c>
      <c r="BX16" s="371">
        <f t="shared" si="6"/>
        <v>1053977477.706013</v>
      </c>
      <c r="BY16" s="371">
        <f t="shared" si="6"/>
        <v>1107019140.0987756</v>
      </c>
      <c r="BZ16" s="371">
        <f t="shared" si="6"/>
        <v>1162842327.9904416</v>
      </c>
      <c r="CA16" s="371">
        <f t="shared" si="6"/>
        <v>1221596177.446918</v>
      </c>
      <c r="CB16" s="371">
        <f t="shared" si="6"/>
        <v>1283437916.0854702</v>
      </c>
      <c r="CC16" s="371">
        <f t="shared" si="6"/>
        <v>1348533304.8721337</v>
      </c>
      <c r="CD16" s="371">
        <f t="shared" si="6"/>
        <v>1417057104.1226509</v>
      </c>
      <c r="CE16" s="371">
        <f t="shared" si="6"/>
        <v>1489193565.0352957</v>
      </c>
      <c r="CF16" s="371">
        <f t="shared" si="6"/>
        <v>1565136948.1569366</v>
      </c>
      <c r="CG16" s="371">
        <f t="shared" si="6"/>
        <v>1645092071.2606709</v>
      </c>
      <c r="CH16" s="371">
        <f t="shared" si="6"/>
        <v>0</v>
      </c>
    </row>
    <row r="17" spans="1:87" hidden="1" x14ac:dyDescent="0.25">
      <c r="A17" s="467" t="s">
        <v>157</v>
      </c>
      <c r="B17" s="373"/>
      <c r="C17" s="373"/>
      <c r="D17" s="373"/>
      <c r="E17" s="373"/>
      <c r="F17" s="373"/>
      <c r="G17" s="373">
        <f>G16+F16</f>
        <v>37629219.042999998</v>
      </c>
      <c r="H17" s="373">
        <f>H16+G17</f>
        <v>52993047.040004</v>
      </c>
      <c r="I17" s="373">
        <f t="shared" ref="I17:BT17" si="7">I16+H17</f>
        <v>73213009.428266078</v>
      </c>
      <c r="J17" s="373">
        <f t="shared" si="7"/>
        <v>94207523.382180452</v>
      </c>
      <c r="K17" s="373">
        <f t="shared" si="7"/>
        <v>116025648.81935659</v>
      </c>
      <c r="L17" s="373">
        <f t="shared" si="7"/>
        <v>138719734.31598952</v>
      </c>
      <c r="M17" s="373">
        <f t="shared" si="7"/>
        <v>163440622.11358494</v>
      </c>
      <c r="N17" s="373">
        <f t="shared" si="7"/>
        <v>189196716.28033954</v>
      </c>
      <c r="O17" s="373">
        <f t="shared" si="7"/>
        <v>216053344.99812719</v>
      </c>
      <c r="P17" s="373">
        <f t="shared" si="7"/>
        <v>245102052.82502759</v>
      </c>
      <c r="Q17" s="373">
        <f t="shared" si="7"/>
        <v>275479353.95361608</v>
      </c>
      <c r="R17" s="373">
        <f t="shared" si="7"/>
        <v>307539235.14097828</v>
      </c>
      <c r="S17" s="373">
        <f t="shared" si="7"/>
        <v>341136032.14765555</v>
      </c>
      <c r="T17" s="373">
        <f t="shared" si="7"/>
        <v>376168924.79293001</v>
      </c>
      <c r="U17" s="373">
        <f t="shared" si="7"/>
        <v>414271038.24620503</v>
      </c>
      <c r="V17" s="373">
        <f t="shared" si="7"/>
        <v>455181462.90296942</v>
      </c>
      <c r="W17" s="373">
        <f t="shared" si="7"/>
        <v>498985174.3820976</v>
      </c>
      <c r="X17" s="373">
        <f t="shared" si="7"/>
        <v>545866280.87708259</v>
      </c>
      <c r="Y17" s="373">
        <f t="shared" si="7"/>
        <v>596019984.56170607</v>
      </c>
      <c r="Z17" s="373">
        <f t="shared" si="7"/>
        <v>650243925.23208082</v>
      </c>
      <c r="AA17" s="373">
        <f t="shared" si="7"/>
        <v>708321596.48137045</v>
      </c>
      <c r="AB17" s="373">
        <f t="shared" si="7"/>
        <v>770497810.85789776</v>
      </c>
      <c r="AC17" s="373">
        <f t="shared" si="7"/>
        <v>837032176.60395825</v>
      </c>
      <c r="AD17" s="373">
        <f t="shared" si="7"/>
        <v>908199986.1472578</v>
      </c>
      <c r="AE17" s="373">
        <f t="shared" si="7"/>
        <v>984293158.17103624</v>
      </c>
      <c r="AF17" s="373">
        <f t="shared" si="7"/>
        <v>1065621236.4980507</v>
      </c>
      <c r="AG17" s="373">
        <f t="shared" si="7"/>
        <v>1152512449.2192626</v>
      </c>
      <c r="AH17" s="373">
        <f t="shared" si="7"/>
        <v>1245314831.7054753</v>
      </c>
      <c r="AI17" s="373">
        <f t="shared" si="7"/>
        <v>1344397417.360003</v>
      </c>
      <c r="AJ17" s="373">
        <f t="shared" si="7"/>
        <v>1451013576.5484941</v>
      </c>
      <c r="AK17" s="373">
        <f t="shared" si="7"/>
        <v>1565017638.5726748</v>
      </c>
      <c r="AL17" s="373">
        <f t="shared" si="7"/>
        <v>1686874094.7689791</v>
      </c>
      <c r="AM17" s="373">
        <f t="shared" si="7"/>
        <v>1817075618.0842323</v>
      </c>
      <c r="AN17" s="373">
        <f t="shared" si="7"/>
        <v>1956144765.5346539</v>
      </c>
      <c r="AO17" s="373">
        <f t="shared" si="7"/>
        <v>2104635783.715189</v>
      </c>
      <c r="AP17" s="373">
        <f t="shared" si="7"/>
        <v>2263136523.5959163</v>
      </c>
      <c r="AQ17" s="373">
        <f t="shared" si="7"/>
        <v>2432270471.2191019</v>
      </c>
      <c r="AR17" s="373">
        <f t="shared" si="7"/>
        <v>2612698901.3099155</v>
      </c>
      <c r="AS17" s="373">
        <f t="shared" si="7"/>
        <v>2805123161.2372837</v>
      </c>
      <c r="AT17" s="373">
        <f t="shared" si="7"/>
        <v>3011155794.3151679</v>
      </c>
      <c r="AU17" s="373">
        <f t="shared" si="7"/>
        <v>3231111892.0851941</v>
      </c>
      <c r="AV17" s="373">
        <f t="shared" si="7"/>
        <v>3465861439.0700941</v>
      </c>
      <c r="AW17" s="373">
        <f t="shared" si="7"/>
        <v>3715028668.4071083</v>
      </c>
      <c r="AX17" s="373">
        <f t="shared" si="7"/>
        <v>3978366364.5478716</v>
      </c>
      <c r="AY17" s="373">
        <f t="shared" si="7"/>
        <v>4256762971.7052574</v>
      </c>
      <c r="AZ17" s="373">
        <f t="shared" si="7"/>
        <v>4551163415.4360952</v>
      </c>
      <c r="BA17" s="373">
        <f t="shared" si="7"/>
        <v>4862572670.0323715</v>
      </c>
      <c r="BB17" s="373">
        <f t="shared" si="7"/>
        <v>5192059548.5772572</v>
      </c>
      <c r="BC17" s="373">
        <f t="shared" si="7"/>
        <v>5540760729.3938189</v>
      </c>
      <c r="BD17" s="373">
        <f t="shared" si="7"/>
        <v>5907687751.3139858</v>
      </c>
      <c r="BE17" s="373">
        <f t="shared" si="7"/>
        <v>6295492357.4984627</v>
      </c>
      <c r="BF17" s="373">
        <f t="shared" si="7"/>
        <v>6705505689.360754</v>
      </c>
      <c r="BG17" s="373">
        <f t="shared" si="7"/>
        <v>7139148283.8922606</v>
      </c>
      <c r="BH17" s="373">
        <f t="shared" si="7"/>
        <v>7597936212.1452541</v>
      </c>
      <c r="BI17" s="373">
        <f t="shared" si="7"/>
        <v>8083487643.1680374</v>
      </c>
      <c r="BJ17" s="373">
        <f t="shared" si="7"/>
        <v>8597529862.9951458</v>
      </c>
      <c r="BK17" s="373">
        <f t="shared" si="7"/>
        <v>9141906780.3585949</v>
      </c>
      <c r="BL17" s="373">
        <f t="shared" si="7"/>
        <v>9718586952.9931984</v>
      </c>
      <c r="BM17" s="373">
        <f t="shared" si="7"/>
        <v>10329672170.769939</v>
      </c>
      <c r="BN17" s="373">
        <f t="shared" si="7"/>
        <v>10973072446.082897</v>
      </c>
      <c r="BO17" s="373">
        <f t="shared" si="7"/>
        <v>11652868375.005928</v>
      </c>
      <c r="BP17" s="373">
        <f t="shared" si="7"/>
        <v>12371278489.04208</v>
      </c>
      <c r="BQ17" s="373">
        <f t="shared" si="7"/>
        <v>13120835015.083052</v>
      </c>
      <c r="BR17" s="373">
        <f t="shared" si="7"/>
        <v>13907541353.203089</v>
      </c>
      <c r="BS17" s="373">
        <f t="shared" si="7"/>
        <v>14733329059.081236</v>
      </c>
      <c r="BT17" s="373">
        <f t="shared" si="7"/>
        <v>15600232769.438503</v>
      </c>
      <c r="BU17" s="373">
        <f t="shared" ref="BU17:CH17" si="8">BU16+BT17</f>
        <v>16510395780.779551</v>
      </c>
      <c r="BV17" s="373">
        <f t="shared" si="8"/>
        <v>17466075932.322086</v>
      </c>
      <c r="BW17" s="373">
        <f t="shared" si="8"/>
        <v>18469651809.766605</v>
      </c>
      <c r="BX17" s="373">
        <f t="shared" si="8"/>
        <v>19523629287.472618</v>
      </c>
      <c r="BY17" s="373">
        <f t="shared" si="8"/>
        <v>20630648427.571392</v>
      </c>
      <c r="BZ17" s="373">
        <f t="shared" si="8"/>
        <v>21793490755.561832</v>
      </c>
      <c r="CA17" s="373">
        <f t="shared" si="8"/>
        <v>23015086933.008751</v>
      </c>
      <c r="CB17" s="373">
        <f t="shared" si="8"/>
        <v>24298524849.094223</v>
      </c>
      <c r="CC17" s="373">
        <f t="shared" si="8"/>
        <v>25647058153.966358</v>
      </c>
      <c r="CD17" s="373">
        <f t="shared" si="8"/>
        <v>27064115258.089008</v>
      </c>
      <c r="CE17" s="373">
        <f t="shared" si="8"/>
        <v>28553308823.124306</v>
      </c>
      <c r="CF17" s="373">
        <f t="shared" si="8"/>
        <v>30118445771.281242</v>
      </c>
      <c r="CG17" s="373">
        <f t="shared" si="8"/>
        <v>31763537842.541912</v>
      </c>
      <c r="CH17" s="373">
        <f t="shared" si="8"/>
        <v>31763537842.541912</v>
      </c>
    </row>
    <row r="18" spans="1:87" x14ac:dyDescent="0.25">
      <c r="A18" s="352"/>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row>
    <row r="19" spans="1:87" x14ac:dyDescent="0.25">
      <c r="A19" s="352"/>
      <c r="B19" s="373"/>
      <c r="C19" s="426" t="e">
        <f>C7</f>
        <v>#REF!</v>
      </c>
      <c r="D19" s="426" t="e">
        <f t="shared" ref="D19:BO19" si="9">D7</f>
        <v>#REF!</v>
      </c>
      <c r="E19" s="426" t="e">
        <f t="shared" si="9"/>
        <v>#REF!</v>
      </c>
      <c r="F19" s="426" t="e">
        <f t="shared" si="9"/>
        <v>#REF!</v>
      </c>
      <c r="G19" s="426">
        <f t="shared" si="9"/>
        <v>2014</v>
      </c>
      <c r="H19" s="426">
        <f t="shared" si="9"/>
        <v>2015</v>
      </c>
      <c r="I19" s="426">
        <f t="shared" si="9"/>
        <v>2016</v>
      </c>
      <c r="J19" s="426">
        <f t="shared" si="9"/>
        <v>2017</v>
      </c>
      <c r="K19" s="426">
        <f t="shared" si="9"/>
        <v>2018</v>
      </c>
      <c r="L19" s="426">
        <f t="shared" si="9"/>
        <v>2019</v>
      </c>
      <c r="M19" s="426">
        <f t="shared" si="9"/>
        <v>2020</v>
      </c>
      <c r="N19" s="426">
        <f t="shared" si="9"/>
        <v>2021</v>
      </c>
      <c r="O19" s="426">
        <f t="shared" si="9"/>
        <v>2022</v>
      </c>
      <c r="P19" s="426">
        <f t="shared" si="9"/>
        <v>2023</v>
      </c>
      <c r="Q19" s="426">
        <f t="shared" si="9"/>
        <v>2024</v>
      </c>
      <c r="R19" s="426">
        <f t="shared" si="9"/>
        <v>2025</v>
      </c>
      <c r="S19" s="426">
        <f t="shared" si="9"/>
        <v>2026</v>
      </c>
      <c r="T19" s="426">
        <f t="shared" si="9"/>
        <v>2027</v>
      </c>
      <c r="U19" s="426">
        <f t="shared" si="9"/>
        <v>2028</v>
      </c>
      <c r="V19" s="426">
        <f t="shared" si="9"/>
        <v>2029</v>
      </c>
      <c r="W19" s="426">
        <f t="shared" si="9"/>
        <v>2030</v>
      </c>
      <c r="X19" s="426">
        <f t="shared" si="9"/>
        <v>2031</v>
      </c>
      <c r="Y19" s="426">
        <f t="shared" si="9"/>
        <v>2032</v>
      </c>
      <c r="Z19" s="426">
        <f t="shared" si="9"/>
        <v>2033</v>
      </c>
      <c r="AA19" s="426">
        <f t="shared" si="9"/>
        <v>2034</v>
      </c>
      <c r="AB19" s="426">
        <f t="shared" si="9"/>
        <v>2035</v>
      </c>
      <c r="AC19" s="426">
        <f t="shared" si="9"/>
        <v>2036</v>
      </c>
      <c r="AD19" s="426">
        <f t="shared" si="9"/>
        <v>2037</v>
      </c>
      <c r="AE19" s="426">
        <f t="shared" si="9"/>
        <v>2038</v>
      </c>
      <c r="AF19" s="426">
        <f t="shared" si="9"/>
        <v>2039</v>
      </c>
      <c r="AG19" s="426">
        <f t="shared" si="9"/>
        <v>2040</v>
      </c>
      <c r="AH19" s="426">
        <f t="shared" si="9"/>
        <v>2041</v>
      </c>
      <c r="AI19" s="426">
        <f t="shared" si="9"/>
        <v>2042</v>
      </c>
      <c r="AJ19" s="426">
        <f t="shared" si="9"/>
        <v>2043</v>
      </c>
      <c r="AK19" s="426">
        <f t="shared" si="9"/>
        <v>2044</v>
      </c>
      <c r="AL19" s="426">
        <f t="shared" si="9"/>
        <v>2045</v>
      </c>
      <c r="AM19" s="426">
        <f t="shared" si="9"/>
        <v>2046</v>
      </c>
      <c r="AN19" s="426">
        <f t="shared" si="9"/>
        <v>2047</v>
      </c>
      <c r="AO19" s="426">
        <f t="shared" si="9"/>
        <v>2048</v>
      </c>
      <c r="AP19" s="426">
        <f t="shared" si="9"/>
        <v>2049</v>
      </c>
      <c r="AQ19" s="426">
        <f t="shared" si="9"/>
        <v>2050</v>
      </c>
      <c r="AR19" s="426">
        <f t="shared" si="9"/>
        <v>2051</v>
      </c>
      <c r="AS19" s="426">
        <f t="shared" si="9"/>
        <v>2052</v>
      </c>
      <c r="AT19" s="426">
        <f t="shared" si="9"/>
        <v>2053</v>
      </c>
      <c r="AU19" s="426">
        <f t="shared" si="9"/>
        <v>2054</v>
      </c>
      <c r="AV19" s="426">
        <f t="shared" si="9"/>
        <v>2055</v>
      </c>
      <c r="AW19" s="426">
        <f t="shared" si="9"/>
        <v>2056</v>
      </c>
      <c r="AX19" s="426">
        <f t="shared" si="9"/>
        <v>2057</v>
      </c>
      <c r="AY19" s="426">
        <f t="shared" si="9"/>
        <v>2058</v>
      </c>
      <c r="AZ19" s="426">
        <f t="shared" si="9"/>
        <v>2059</v>
      </c>
      <c r="BA19" s="426">
        <f t="shared" si="9"/>
        <v>2060</v>
      </c>
      <c r="BB19" s="426">
        <f t="shared" si="9"/>
        <v>2061</v>
      </c>
      <c r="BC19" s="426">
        <f t="shared" si="9"/>
        <v>2062</v>
      </c>
      <c r="BD19" s="426">
        <f t="shared" si="9"/>
        <v>2063</v>
      </c>
      <c r="BE19" s="426">
        <f t="shared" si="9"/>
        <v>2064</v>
      </c>
      <c r="BF19" s="426">
        <f t="shared" si="9"/>
        <v>2065</v>
      </c>
      <c r="BG19" s="426">
        <f t="shared" si="9"/>
        <v>2066</v>
      </c>
      <c r="BH19" s="426">
        <f t="shared" si="9"/>
        <v>2067</v>
      </c>
      <c r="BI19" s="426">
        <f t="shared" si="9"/>
        <v>2068</v>
      </c>
      <c r="BJ19" s="426">
        <f t="shared" si="9"/>
        <v>2069</v>
      </c>
      <c r="BK19" s="426">
        <f t="shared" si="9"/>
        <v>2070</v>
      </c>
      <c r="BL19" s="426">
        <f t="shared" si="9"/>
        <v>2071</v>
      </c>
      <c r="BM19" s="426">
        <f t="shared" si="9"/>
        <v>2072</v>
      </c>
      <c r="BN19" s="426">
        <f t="shared" si="9"/>
        <v>2073</v>
      </c>
      <c r="BO19" s="426">
        <f t="shared" si="9"/>
        <v>2074</v>
      </c>
      <c r="BP19" s="426">
        <f t="shared" ref="BP19:CH19" si="10">BP7</f>
        <v>2075</v>
      </c>
      <c r="BQ19" s="426">
        <f t="shared" si="10"/>
        <v>2076</v>
      </c>
      <c r="BR19" s="426">
        <f t="shared" si="10"/>
        <v>2077</v>
      </c>
      <c r="BS19" s="426">
        <f t="shared" si="10"/>
        <v>2078</v>
      </c>
      <c r="BT19" s="426">
        <f t="shared" si="10"/>
        <v>2079</v>
      </c>
      <c r="BU19" s="426">
        <f t="shared" si="10"/>
        <v>2080</v>
      </c>
      <c r="BV19" s="426">
        <f t="shared" si="10"/>
        <v>2081</v>
      </c>
      <c r="BW19" s="426">
        <f t="shared" si="10"/>
        <v>2082</v>
      </c>
      <c r="BX19" s="426">
        <f t="shared" si="10"/>
        <v>2083</v>
      </c>
      <c r="BY19" s="426">
        <f t="shared" si="10"/>
        <v>2084</v>
      </c>
      <c r="BZ19" s="426">
        <f t="shared" si="10"/>
        <v>2085</v>
      </c>
      <c r="CA19" s="426">
        <f t="shared" si="10"/>
        <v>2086</v>
      </c>
      <c r="CB19" s="426">
        <f t="shared" si="10"/>
        <v>2087</v>
      </c>
      <c r="CC19" s="426">
        <f t="shared" si="10"/>
        <v>2088</v>
      </c>
      <c r="CD19" s="426">
        <f t="shared" si="10"/>
        <v>2089</v>
      </c>
      <c r="CE19" s="426">
        <f t="shared" si="10"/>
        <v>2090</v>
      </c>
      <c r="CF19" s="426">
        <f t="shared" si="10"/>
        <v>0</v>
      </c>
      <c r="CG19" s="426" t="str">
        <f t="shared" si="10"/>
        <v>A</v>
      </c>
      <c r="CH19" s="426">
        <f t="shared" si="10"/>
        <v>0</v>
      </c>
    </row>
    <row r="20" spans="1:87" x14ac:dyDescent="0.25">
      <c r="A20" s="365" t="s">
        <v>139</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4"/>
      <c r="AY20" s="374"/>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c r="BW20" s="374"/>
      <c r="BX20" s="374"/>
      <c r="BY20" s="374"/>
      <c r="BZ20" s="374"/>
      <c r="CA20" s="374"/>
      <c r="CB20" s="374"/>
      <c r="CC20" s="374"/>
      <c r="CD20" s="374"/>
      <c r="CE20" s="374"/>
      <c r="CF20" s="374"/>
      <c r="CG20" s="374"/>
      <c r="CH20" s="375"/>
    </row>
    <row r="21" spans="1:87" x14ac:dyDescent="0.25">
      <c r="A21" s="359" t="s">
        <v>552</v>
      </c>
      <c r="B21" s="360">
        <v>6.0188114301688675E-2</v>
      </c>
      <c r="C21" s="360">
        <v>-7034976</v>
      </c>
      <c r="D21" s="360">
        <v>-7852042</v>
      </c>
      <c r="E21" s="360">
        <v>-8228012</v>
      </c>
      <c r="F21" s="360">
        <v>-8968367</v>
      </c>
      <c r="G21" s="360">
        <v>-8763801</v>
      </c>
      <c r="H21" s="360">
        <v>-9812530</v>
      </c>
      <c r="I21" s="360">
        <v>-10484110.733290145</v>
      </c>
      <c r="J21" s="360">
        <v>-11346339.02987626</v>
      </c>
      <c r="K21" s="360">
        <v>-12258678.9110348</v>
      </c>
      <c r="L21" s="360">
        <v>-13223714.497145975</v>
      </c>
      <c r="M21" s="360">
        <v>-14244153.357335243</v>
      </c>
      <c r="N21" s="360">
        <v>-15322832.290047413</v>
      </c>
      <c r="O21" s="360">
        <v>-16462723.349200491</v>
      </c>
      <c r="P21" s="360">
        <v>-17666940.129095744</v>
      </c>
      <c r="Q21" s="360">
        <v>-19068774.420948137</v>
      </c>
      <c r="R21" s="360">
        <v>-20551272.761244312</v>
      </c>
      <c r="S21" s="360">
        <v>-22118570.779545948</v>
      </c>
      <c r="T21" s="360">
        <v>-23775001.369279839</v>
      </c>
      <c r="U21" s="360">
        <v>-25525103.865741424</v>
      </c>
      <c r="V21" s="360">
        <v>-27373633.62023418</v>
      </c>
      <c r="W21" s="360">
        <v>-29325571.990170687</v>
      </c>
      <c r="X21" s="360">
        <v>-31386136.765337132</v>
      </c>
      <c r="Y21" s="360">
        <v>-34001974.509670638</v>
      </c>
      <c r="Z21" s="360">
        <v>-36309681.531704307</v>
      </c>
      <c r="AA21" s="360">
        <v>-39155880.378736414</v>
      </c>
      <c r="AB21" s="360">
        <v>-42235077.965552956</v>
      </c>
      <c r="AC21" s="360">
        <v>-45485127.468443014</v>
      </c>
      <c r="AD21" s="360">
        <v>-48914433.57442981</v>
      </c>
      <c r="AE21" s="360">
        <v>-52571067.075927757</v>
      </c>
      <c r="AF21" s="360">
        <v>-56427305.363638811</v>
      </c>
      <c r="AG21" s="360">
        <v>-60492876.799937464</v>
      </c>
      <c r="AH21" s="360">
        <v>-64777956.639412835</v>
      </c>
      <c r="AI21" s="360">
        <v>-69293186.914366171</v>
      </c>
      <c r="AJ21" s="360">
        <v>-74049697.181922734</v>
      </c>
      <c r="AK21" s="360">
        <v>-79226916.268714637</v>
      </c>
      <c r="AL21" s="360">
        <v>-84681831.04537797</v>
      </c>
      <c r="AM21" s="360">
        <v>-90427889.233601183</v>
      </c>
      <c r="AN21" s="360">
        <v>-96479155.030412987</v>
      </c>
      <c r="AO21" s="360">
        <v>-102919196.39307645</v>
      </c>
      <c r="AP21" s="360">
        <v>-109698665.59334044</v>
      </c>
      <c r="AQ21" s="360">
        <v>-116833831.42384641</v>
      </c>
      <c r="AR21" s="360">
        <v>-124341703.55742452</v>
      </c>
      <c r="AS21" s="360">
        <v>-132240065.30461396</v>
      </c>
      <c r="AT21" s="360">
        <v>-140547507.78831077</v>
      </c>
      <c r="AU21" s="360">
        <v>-149493766.51856166</v>
      </c>
      <c r="AV21" s="360">
        <v>-158904708.20049158</v>
      </c>
      <c r="AW21" s="360">
        <v>-168802474.68585002</v>
      </c>
      <c r="AX21" s="360">
        <v>-179210213.83635414</v>
      </c>
      <c r="AY21" s="360">
        <v>-190232194.46186385</v>
      </c>
      <c r="AZ21" s="360">
        <v>-201818445.39201862</v>
      </c>
      <c r="BA21" s="360">
        <v>-213995623.08122057</v>
      </c>
      <c r="BB21" s="360">
        <v>-226175381.12370265</v>
      </c>
      <c r="BC21" s="360">
        <v>-238421165.22143388</v>
      </c>
      <c r="BD21" s="360">
        <v>-251273954.4982785</v>
      </c>
      <c r="BE21" s="360">
        <v>-263957475.32953638</v>
      </c>
      <c r="BF21" s="360">
        <v>-277295634.86900389</v>
      </c>
      <c r="BG21" s="360">
        <v>-291322677.62946481</v>
      </c>
      <c r="BH21" s="360">
        <v>-306074653.60775429</v>
      </c>
      <c r="BI21" s="360">
        <v>-321589513.90773803</v>
      </c>
      <c r="BJ21" s="360">
        <v>-337907211.44081795</v>
      </c>
      <c r="BK21" s="360">
        <v>-355069806.97397375</v>
      </c>
      <c r="BL21" s="360">
        <v>-373121580.80971885</v>
      </c>
      <c r="BM21" s="360">
        <v>-392109150.39748555</v>
      </c>
      <c r="BN21" s="360">
        <v>-412081594.19189554</v>
      </c>
      <c r="BO21" s="360">
        <v>-431278936.59976631</v>
      </c>
      <c r="BP21" s="360">
        <v>-451383014.94486988</v>
      </c>
      <c r="BQ21" s="360">
        <v>-472437043.11104941</v>
      </c>
      <c r="BR21" s="360">
        <v>-490248398.40553546</v>
      </c>
      <c r="BS21" s="360">
        <v>-508734166.75290054</v>
      </c>
      <c r="BT21" s="360">
        <v>-527919973.33190179</v>
      </c>
      <c r="BU21" s="360">
        <v>-547832419.69896495</v>
      </c>
      <c r="BV21" s="360">
        <v>-568499121.07297373</v>
      </c>
      <c r="BW21" s="360">
        <v>-589948745.04634964</v>
      </c>
      <c r="BX21" s="360">
        <v>-612211051.77706254</v>
      </c>
      <c r="BY21" s="360">
        <v>-635316935.71830082</v>
      </c>
      <c r="BZ21" s="360">
        <v>-659298468.94471145</v>
      </c>
      <c r="CA21" s="366">
        <v>-684188946.13637638</v>
      </c>
      <c r="CB21" s="366">
        <v>-710022931.28403938</v>
      </c>
      <c r="CC21" s="366">
        <v>-736836306.18152964</v>
      </c>
      <c r="CD21" s="366">
        <v>-764666320.7738651</v>
      </c>
      <c r="CE21" s="366">
        <v>-793551645.4321357</v>
      </c>
      <c r="CF21" s="366">
        <v>-823532425.22900414</v>
      </c>
      <c r="CG21" s="366">
        <v>-854650336.29148388</v>
      </c>
      <c r="CH21" s="367">
        <v>0</v>
      </c>
    </row>
    <row r="22" spans="1:87" x14ac:dyDescent="0.25">
      <c r="A22" s="396" t="s">
        <v>567</v>
      </c>
      <c r="B22" s="393">
        <v>0</v>
      </c>
      <c r="C22" s="393">
        <v>-7034976</v>
      </c>
      <c r="D22" s="393">
        <v>-7852042</v>
      </c>
      <c r="E22" s="393">
        <v>-8228012</v>
      </c>
      <c r="F22" s="393">
        <v>-8968367</v>
      </c>
      <c r="G22" s="393">
        <v>-8763801</v>
      </c>
      <c r="H22" s="393">
        <v>-9812530</v>
      </c>
      <c r="I22" s="393">
        <v>-10484110.733290145</v>
      </c>
      <c r="J22" s="393">
        <v>-11346339.02987626</v>
      </c>
      <c r="K22" s="393">
        <v>-12258678.9110348</v>
      </c>
      <c r="L22" s="393">
        <v>-13223714.497145975</v>
      </c>
      <c r="M22" s="393">
        <v>-14244153.357335243</v>
      </c>
      <c r="N22" s="393">
        <v>-15322832.290047413</v>
      </c>
      <c r="O22" s="393">
        <v>-16462723.349200491</v>
      </c>
      <c r="P22" s="393">
        <v>-17666940.129095744</v>
      </c>
      <c r="Q22" s="393">
        <v>-19068774.420948137</v>
      </c>
      <c r="R22" s="393">
        <v>-20551272.761244312</v>
      </c>
      <c r="S22" s="393">
        <v>-22118570.779545948</v>
      </c>
      <c r="T22" s="393">
        <v>-23775001.369279839</v>
      </c>
      <c r="U22" s="393">
        <v>-25525103.865741424</v>
      </c>
      <c r="V22" s="393">
        <v>-27373633.62023418</v>
      </c>
      <c r="W22" s="393">
        <v>-29325571.990170687</v>
      </c>
      <c r="X22" s="393">
        <v>-31386136.765337132</v>
      </c>
      <c r="Y22" s="393">
        <v>-33560793.051020302</v>
      </c>
      <c r="Z22" s="393">
        <v>-35855264.629294463</v>
      </c>
      <c r="AA22" s="393">
        <v>-38364352.151931442</v>
      </c>
      <c r="AB22" s="393">
        <v>-41012166.855139278</v>
      </c>
      <c r="AC22" s="393">
        <v>-43805662.876808226</v>
      </c>
      <c r="AD22" s="393">
        <v>-46752122.91270002</v>
      </c>
      <c r="AE22" s="393">
        <v>-49859173.24972216</v>
      </c>
      <c r="AF22" s="393">
        <v>-53134799.462684423</v>
      </c>
      <c r="AG22" s="393">
        <v>-56587362.804192938</v>
      </c>
      <c r="AH22" s="393">
        <v>-60225617.318501621</v>
      </c>
      <c r="AI22" s="393">
        <v>-64058727.711374432</v>
      </c>
      <c r="AJ22" s="393">
        <v>-68096288.009314477</v>
      </c>
      <c r="AK22" s="393">
        <v>-72516131.141595542</v>
      </c>
      <c r="AL22" s="393">
        <v>-77173585.474732742</v>
      </c>
      <c r="AM22" s="393">
        <v>-82080375.299432665</v>
      </c>
      <c r="AN22" s="393">
        <v>-87248774.051923364</v>
      </c>
      <c r="AO22" s="393">
        <v>-92691629.232086733</v>
      </c>
      <c r="AP22" s="393">
        <v>-98422388.421781272</v>
      </c>
      <c r="AQ22" s="393">
        <v>-104455126.4515285</v>
      </c>
      <c r="AR22" s="393">
        <v>-110804573.76575676</v>
      </c>
      <c r="AS22" s="393">
        <v>-117486146.03891046</v>
      </c>
      <c r="AT22" s="393">
        <v>-124515975.09694186</v>
      </c>
      <c r="AU22" s="393">
        <v>-132121242.12332657</v>
      </c>
      <c r="AV22" s="393">
        <v>-140125160.9785805</v>
      </c>
      <c r="AW22" s="393">
        <v>-148547118.53961819</v>
      </c>
      <c r="AX22" s="393">
        <v>-157407401.82284203</v>
      </c>
      <c r="AY22" s="393">
        <v>-166727238.54472521</v>
      </c>
      <c r="AZ22" s="393">
        <v>-176528839.46784803</v>
      </c>
      <c r="BA22" s="393">
        <v>-186835442.60992154</v>
      </c>
      <c r="BB22" s="393">
        <v>-197671359.39662784</v>
      </c>
      <c r="BC22" s="393">
        <v>-209062022.84254685</v>
      </c>
      <c r="BD22" s="393">
        <v>-221034037.84802485</v>
      </c>
      <c r="BE22" s="393">
        <v>-232810361.17977512</v>
      </c>
      <c r="BF22" s="393">
        <v>-245214107.29474977</v>
      </c>
      <c r="BG22" s="393">
        <v>-258278704.22798306</v>
      </c>
      <c r="BH22" s="393">
        <v>-272039361.00422812</v>
      </c>
      <c r="BI22" s="393">
        <v>-286533162.52610606</v>
      </c>
      <c r="BJ22" s="393">
        <v>-301799169.51773703</v>
      </c>
      <c r="BK22" s="393">
        <v>-317878523.79320043</v>
      </c>
      <c r="BL22" s="393">
        <v>-334814559.13352233</v>
      </c>
      <c r="BM22" s="393">
        <v>-352652918.07100314</v>
      </c>
      <c r="BN22" s="393">
        <v>-371441674.89561862</v>
      </c>
      <c r="BO22" s="393">
        <v>-389419819.72460109</v>
      </c>
      <c r="BP22" s="393">
        <v>-408268124.56344974</v>
      </c>
      <c r="BQ22" s="393">
        <v>-428028706.01818663</v>
      </c>
      <c r="BR22" s="393">
        <v>-444507811.1998868</v>
      </c>
      <c r="BS22" s="393">
        <v>-461621361.93108243</v>
      </c>
      <c r="BT22" s="393">
        <v>-479393784.3654291</v>
      </c>
      <c r="BU22" s="393">
        <v>-497850445.06349814</v>
      </c>
      <c r="BV22" s="393">
        <v>-517017687.19844282</v>
      </c>
      <c r="BW22" s="393">
        <v>-536922868.1555829</v>
      </c>
      <c r="BX22" s="393">
        <v>-557594398.5795728</v>
      </c>
      <c r="BY22" s="393">
        <v>-579061782.92488635</v>
      </c>
      <c r="BZ22" s="393">
        <v>-601355661.56749451</v>
      </c>
      <c r="CA22" s="394">
        <v>-624507854.53784299</v>
      </c>
      <c r="CB22" s="394">
        <v>-648551406.93754995</v>
      </c>
      <c r="CC22" s="394">
        <v>-673520636.10464561</v>
      </c>
      <c r="CD22" s="394">
        <v>-699451180.59467447</v>
      </c>
      <c r="CE22" s="394">
        <v>-726380051.04756939</v>
      </c>
      <c r="CF22" s="394">
        <v>-754345683.01290083</v>
      </c>
      <c r="CG22" s="394">
        <v>-783387991.8088975</v>
      </c>
      <c r="CH22" s="395">
        <v>-813548429.49354005</v>
      </c>
    </row>
    <row r="23" spans="1:87" s="402" customFormat="1" ht="12.75" x14ac:dyDescent="0.25">
      <c r="A23" s="396" t="s">
        <v>568</v>
      </c>
      <c r="B23" s="393">
        <v>0</v>
      </c>
      <c r="C23" s="393">
        <v>0</v>
      </c>
      <c r="D23" s="393">
        <v>0</v>
      </c>
      <c r="E23" s="393">
        <v>0</v>
      </c>
      <c r="F23" s="393">
        <v>0</v>
      </c>
      <c r="G23" s="393">
        <v>0</v>
      </c>
      <c r="H23" s="393">
        <v>0</v>
      </c>
      <c r="I23" s="393">
        <v>0</v>
      </c>
      <c r="J23" s="393">
        <v>0</v>
      </c>
      <c r="K23" s="393">
        <v>0</v>
      </c>
      <c r="L23" s="393">
        <v>0</v>
      </c>
      <c r="M23" s="393">
        <v>0</v>
      </c>
      <c r="N23" s="393">
        <v>0</v>
      </c>
      <c r="O23" s="393">
        <v>0</v>
      </c>
      <c r="P23" s="393">
        <v>0</v>
      </c>
      <c r="Q23" s="393">
        <v>0</v>
      </c>
      <c r="R23" s="393">
        <v>0</v>
      </c>
      <c r="S23" s="393">
        <v>0</v>
      </c>
      <c r="T23" s="393">
        <v>0</v>
      </c>
      <c r="U23" s="393">
        <v>0</v>
      </c>
      <c r="V23" s="393">
        <v>0</v>
      </c>
      <c r="W23" s="393">
        <v>0</v>
      </c>
      <c r="X23" s="393">
        <v>0</v>
      </c>
      <c r="Y23" s="393">
        <v>-441181.45865033497</v>
      </c>
      <c r="Z23" s="393">
        <v>-454416.90240984526</v>
      </c>
      <c r="AA23" s="393">
        <v>-791528.22680497379</v>
      </c>
      <c r="AB23" s="393">
        <v>-1222911.1104136789</v>
      </c>
      <c r="AC23" s="393">
        <v>-1679464.591634789</v>
      </c>
      <c r="AD23" s="393">
        <v>-2162310.6617297903</v>
      </c>
      <c r="AE23" s="393">
        <v>-2711893.8262055935</v>
      </c>
      <c r="AF23" s="393">
        <v>-3292505.9009543872</v>
      </c>
      <c r="AG23" s="393">
        <v>-3905513.9957445273</v>
      </c>
      <c r="AH23" s="393">
        <v>-4552339.3209112175</v>
      </c>
      <c r="AI23" s="393">
        <v>-5234459.2029917333</v>
      </c>
      <c r="AJ23" s="393">
        <v>-5953409.1726082601</v>
      </c>
      <c r="AK23" s="393">
        <v>-6710785.1271190904</v>
      </c>
      <c r="AL23" s="393">
        <v>-7508245.5706452262</v>
      </c>
      <c r="AM23" s="393">
        <v>-8347513.9341685101</v>
      </c>
      <c r="AN23" s="393">
        <v>-9230380.9784896187</v>
      </c>
      <c r="AO23" s="393">
        <v>-10227567.160989709</v>
      </c>
      <c r="AP23" s="393">
        <v>-11276277.171559166</v>
      </c>
      <c r="AQ23" s="393">
        <v>-12378704.972317901</v>
      </c>
      <c r="AR23" s="393">
        <v>-13537129.791667763</v>
      </c>
      <c r="AS23" s="393">
        <v>-14753919.265703499</v>
      </c>
      <c r="AT23" s="393">
        <v>-16031532.691368908</v>
      </c>
      <c r="AU23" s="393">
        <v>-17372524.395235106</v>
      </c>
      <c r="AV23" s="393">
        <v>-18779547.221911065</v>
      </c>
      <c r="AW23" s="393">
        <v>-20255356.14623183</v>
      </c>
      <c r="AX23" s="393">
        <v>-21802812.013512097</v>
      </c>
      <c r="AY23" s="393">
        <v>-23504955.917138644</v>
      </c>
      <c r="AZ23" s="393">
        <v>-25289605.924170591</v>
      </c>
      <c r="BA23" s="393">
        <v>-27160180.47129903</v>
      </c>
      <c r="BB23" s="393">
        <v>-28504021.727074794</v>
      </c>
      <c r="BC23" s="393">
        <v>-29359142.378887042</v>
      </c>
      <c r="BD23" s="393">
        <v>-30239916.650253661</v>
      </c>
      <c r="BE23" s="393">
        <v>-31147114.149761267</v>
      </c>
      <c r="BF23" s="393">
        <v>-32081527.574254096</v>
      </c>
      <c r="BG23" s="393">
        <v>-33043973.401481733</v>
      </c>
      <c r="BH23" s="393">
        <v>-34035292.603526175</v>
      </c>
      <c r="BI23" s="393">
        <v>-35056351.381631956</v>
      </c>
      <c r="BJ23" s="393">
        <v>-36108041.923080921</v>
      </c>
      <c r="BK23" s="393">
        <v>-37191283.180773333</v>
      </c>
      <c r="BL23" s="393">
        <v>-38307021.676196545</v>
      </c>
      <c r="BM23" s="393">
        <v>-39456232.32648243</v>
      </c>
      <c r="BN23" s="393">
        <v>-40639919.296276912</v>
      </c>
      <c r="BO23" s="393">
        <v>-41859116.875165224</v>
      </c>
      <c r="BP23" s="393">
        <v>-43114890.381420165</v>
      </c>
      <c r="BQ23" s="393">
        <v>-44408337.09286277</v>
      </c>
      <c r="BR23" s="393">
        <v>-45740587.205648676</v>
      </c>
      <c r="BS23" s="393">
        <v>-47112804.821818113</v>
      </c>
      <c r="BT23" s="393">
        <v>-48526188.966472656</v>
      </c>
      <c r="BU23" s="393">
        <v>-49981974.635466829</v>
      </c>
      <c r="BV23" s="393">
        <v>-51481433.874530852</v>
      </c>
      <c r="BW23" s="393">
        <v>-53025876.890766785</v>
      </c>
      <c r="BX23" s="393">
        <v>-54616653.197489753</v>
      </c>
      <c r="BY23" s="393">
        <v>-56255152.793414459</v>
      </c>
      <c r="BZ23" s="393">
        <v>-57942807.377216905</v>
      </c>
      <c r="CA23" s="394">
        <v>-59681091.598533407</v>
      </c>
      <c r="CB23" s="394">
        <v>-61471524.3464894</v>
      </c>
      <c r="CC23" s="394">
        <v>-63315670.076884061</v>
      </c>
      <c r="CD23" s="394">
        <v>-65215140.179190606</v>
      </c>
      <c r="CE23" s="394">
        <v>-67171594.384566337</v>
      </c>
      <c r="CF23" s="394">
        <v>-69186742.216103315</v>
      </c>
      <c r="CG23" s="394">
        <v>-71262344.482586414</v>
      </c>
      <c r="CH23" s="395">
        <v>-73400214.817064017</v>
      </c>
    </row>
    <row r="24" spans="1:87" x14ac:dyDescent="0.25">
      <c r="A24" s="369" t="s">
        <v>551</v>
      </c>
      <c r="B24" s="366">
        <v>0</v>
      </c>
      <c r="C24" s="366">
        <v>0</v>
      </c>
      <c r="D24" s="366">
        <v>0</v>
      </c>
      <c r="E24" s="366">
        <v>0</v>
      </c>
      <c r="F24" s="366">
        <v>0</v>
      </c>
      <c r="G24" s="366">
        <v>0</v>
      </c>
      <c r="H24" s="366">
        <v>0</v>
      </c>
      <c r="I24" s="366">
        <v>0</v>
      </c>
      <c r="J24" s="366">
        <v>0</v>
      </c>
      <c r="K24" s="366">
        <v>0</v>
      </c>
      <c r="L24" s="366">
        <v>0</v>
      </c>
      <c r="M24" s="366">
        <v>0</v>
      </c>
      <c r="N24" s="366">
        <v>0</v>
      </c>
      <c r="O24" s="366">
        <v>0</v>
      </c>
      <c r="P24" s="366">
        <v>0</v>
      </c>
      <c r="Q24" s="366">
        <v>0</v>
      </c>
      <c r="R24" s="366">
        <v>0</v>
      </c>
      <c r="S24" s="366">
        <v>0</v>
      </c>
      <c r="T24" s="366">
        <v>0</v>
      </c>
      <c r="U24" s="366">
        <v>32381795.433020819</v>
      </c>
      <c r="V24" s="366">
        <v>32381795.433020819</v>
      </c>
      <c r="W24" s="366">
        <v>32381795.433020446</v>
      </c>
      <c r="X24" s="366">
        <v>32381795.433020819</v>
      </c>
      <c r="Y24" s="366">
        <v>32381795.433020633</v>
      </c>
      <c r="Z24" s="366">
        <v>35237171.422979556</v>
      </c>
      <c r="AA24" s="366">
        <v>35237171.422979556</v>
      </c>
      <c r="AB24" s="366">
        <v>35237171.422979742</v>
      </c>
      <c r="AC24" s="366">
        <v>35237171.422979556</v>
      </c>
      <c r="AD24" s="366">
        <v>35237171.422979556</v>
      </c>
      <c r="AE24" s="366">
        <v>35237171.42297937</v>
      </c>
      <c r="AF24" s="366">
        <v>35237171.422979742</v>
      </c>
      <c r="AG24" s="366">
        <v>35237171.422979556</v>
      </c>
      <c r="AH24" s="366">
        <v>35237171.42297937</v>
      </c>
      <c r="AI24" s="366">
        <v>35237171.422979742</v>
      </c>
      <c r="AJ24" s="366">
        <v>38962028.530465335</v>
      </c>
      <c r="AK24" s="366">
        <v>38962028.530465521</v>
      </c>
      <c r="AL24" s="366">
        <v>38962028.530465521</v>
      </c>
      <c r="AM24" s="366">
        <v>38962028.530465707</v>
      </c>
      <c r="AN24" s="366">
        <v>38962028.530465148</v>
      </c>
      <c r="AO24" s="366">
        <v>38962028.530465707</v>
      </c>
      <c r="AP24" s="366">
        <v>38962028.530465707</v>
      </c>
      <c r="AQ24" s="366">
        <v>38962028.530465521</v>
      </c>
      <c r="AR24" s="366">
        <v>38962028.530465893</v>
      </c>
      <c r="AS24" s="366">
        <v>38962028.530464403</v>
      </c>
      <c r="AT24" s="366">
        <v>42184905.206098951</v>
      </c>
      <c r="AU24" s="366">
        <v>42184905.206099324</v>
      </c>
      <c r="AV24" s="366">
        <v>42184905.206098951</v>
      </c>
      <c r="AW24" s="366">
        <v>19486980.143162604</v>
      </c>
      <c r="AX24" s="366">
        <v>0</v>
      </c>
      <c r="AY24" s="366">
        <v>0</v>
      </c>
      <c r="AZ24" s="366">
        <v>0</v>
      </c>
      <c r="BA24" s="366">
        <v>0</v>
      </c>
      <c r="BB24" s="366">
        <v>0</v>
      </c>
      <c r="BC24" s="366">
        <v>0</v>
      </c>
      <c r="BD24" s="366">
        <v>0</v>
      </c>
      <c r="BE24" s="366">
        <v>0</v>
      </c>
      <c r="BF24" s="366">
        <v>0</v>
      </c>
      <c r="BG24" s="366">
        <v>0</v>
      </c>
      <c r="BH24" s="366">
        <v>0</v>
      </c>
      <c r="BI24" s="366">
        <v>0</v>
      </c>
      <c r="BJ24" s="366">
        <v>0</v>
      </c>
      <c r="BK24" s="366">
        <v>0</v>
      </c>
      <c r="BL24" s="366">
        <v>0</v>
      </c>
      <c r="BM24" s="366">
        <v>0</v>
      </c>
      <c r="BN24" s="366">
        <v>0</v>
      </c>
      <c r="BO24" s="366">
        <v>0</v>
      </c>
      <c r="BP24" s="366">
        <v>0</v>
      </c>
      <c r="BQ24" s="366">
        <v>0</v>
      </c>
      <c r="BR24" s="366">
        <v>0</v>
      </c>
      <c r="BS24" s="366">
        <v>0</v>
      </c>
      <c r="BT24" s="366">
        <v>0</v>
      </c>
      <c r="BU24" s="366">
        <v>0</v>
      </c>
      <c r="BV24" s="366">
        <v>0</v>
      </c>
      <c r="BW24" s="366">
        <v>0</v>
      </c>
      <c r="BX24" s="366">
        <v>0</v>
      </c>
      <c r="BY24" s="366">
        <v>0</v>
      </c>
      <c r="BZ24" s="366">
        <v>0</v>
      </c>
      <c r="CA24" s="366">
        <v>0</v>
      </c>
      <c r="CB24" s="366">
        <v>0</v>
      </c>
      <c r="CC24" s="366">
        <v>0</v>
      </c>
      <c r="CD24" s="366">
        <v>0</v>
      </c>
      <c r="CE24" s="366">
        <v>0</v>
      </c>
      <c r="CF24" s="366">
        <v>0</v>
      </c>
      <c r="CG24" s="366">
        <v>0</v>
      </c>
      <c r="CH24" s="367">
        <v>0</v>
      </c>
      <c r="CI24" s="384"/>
    </row>
    <row r="25" spans="1:87" s="402" customFormat="1" ht="12.75" x14ac:dyDescent="0.25">
      <c r="A25" s="404" t="s">
        <v>142</v>
      </c>
      <c r="B25" s="394">
        <v>0</v>
      </c>
      <c r="C25" s="394">
        <v>0</v>
      </c>
      <c r="D25" s="394">
        <v>0</v>
      </c>
      <c r="E25" s="394">
        <v>0</v>
      </c>
      <c r="F25" s="394">
        <v>0</v>
      </c>
      <c r="G25" s="394">
        <v>0</v>
      </c>
      <c r="H25" s="394">
        <v>0</v>
      </c>
      <c r="I25" s="394">
        <v>0</v>
      </c>
      <c r="J25" s="394">
        <v>0</v>
      </c>
      <c r="K25" s="394">
        <v>0</v>
      </c>
      <c r="L25" s="394">
        <v>0</v>
      </c>
      <c r="M25" s="394">
        <v>0</v>
      </c>
      <c r="N25" s="394">
        <v>0</v>
      </c>
      <c r="O25" s="394">
        <v>0</v>
      </c>
      <c r="P25" s="394">
        <v>0</v>
      </c>
      <c r="Q25" s="394">
        <v>0</v>
      </c>
      <c r="R25" s="394">
        <v>0</v>
      </c>
      <c r="S25" s="394">
        <v>0</v>
      </c>
      <c r="T25" s="394">
        <v>-38296246.974225104</v>
      </c>
      <c r="U25" s="394">
        <v>0</v>
      </c>
      <c r="V25" s="394">
        <v>-26467343.89181653</v>
      </c>
      <c r="W25" s="394">
        <v>-32381795.433020446</v>
      </c>
      <c r="X25" s="394">
        <v>-32381795.433020819</v>
      </c>
      <c r="Y25" s="394">
        <v>-32381795.433020633</v>
      </c>
      <c r="Z25" s="394">
        <v>-35237171.422979556</v>
      </c>
      <c r="AA25" s="394">
        <v>-35237171.422979556</v>
      </c>
      <c r="AB25" s="394">
        <v>-35237171.422979742</v>
      </c>
      <c r="AC25" s="394">
        <v>-35237171.422979556</v>
      </c>
      <c r="AD25" s="394">
        <v>-35237171.422979556</v>
      </c>
      <c r="AE25" s="394">
        <v>-35237171.42297937</v>
      </c>
      <c r="AF25" s="394">
        <v>-35237171.422979742</v>
      </c>
      <c r="AG25" s="394">
        <v>-35237171.422979556</v>
      </c>
      <c r="AH25" s="394">
        <v>-35237171.42297937</v>
      </c>
      <c r="AI25" s="394">
        <v>-35237171.422979742</v>
      </c>
      <c r="AJ25" s="394">
        <v>-38962028.530465335</v>
      </c>
      <c r="AK25" s="394">
        <v>-38962028.530465521</v>
      </c>
      <c r="AL25" s="394">
        <v>-38962028.530465521</v>
      </c>
      <c r="AM25" s="394">
        <v>-38962028.530465707</v>
      </c>
      <c r="AN25" s="394">
        <v>-38962028.530465148</v>
      </c>
      <c r="AO25" s="394">
        <v>-25869036.675482936</v>
      </c>
      <c r="AP25" s="394">
        <v>0</v>
      </c>
      <c r="AQ25" s="394">
        <v>0</v>
      </c>
      <c r="AR25" s="394">
        <v>0</v>
      </c>
      <c r="AS25" s="394">
        <v>0</v>
      </c>
      <c r="AT25" s="394">
        <v>0</v>
      </c>
      <c r="AU25" s="394">
        <v>0</v>
      </c>
      <c r="AV25" s="394">
        <v>0</v>
      </c>
      <c r="AW25" s="394">
        <v>0</v>
      </c>
      <c r="AX25" s="394">
        <v>0</v>
      </c>
      <c r="AY25" s="394">
        <v>0</v>
      </c>
      <c r="AZ25" s="394">
        <v>0</v>
      </c>
      <c r="BA25" s="394">
        <v>0</v>
      </c>
      <c r="BB25" s="394">
        <v>0</v>
      </c>
      <c r="BC25" s="394">
        <v>0</v>
      </c>
      <c r="BD25" s="394">
        <v>0</v>
      </c>
      <c r="BE25" s="394">
        <v>0</v>
      </c>
      <c r="BF25" s="394">
        <v>0</v>
      </c>
      <c r="BG25" s="394">
        <v>0</v>
      </c>
      <c r="BH25" s="394">
        <v>0</v>
      </c>
      <c r="BI25" s="394">
        <v>0</v>
      </c>
      <c r="BJ25" s="394">
        <v>0</v>
      </c>
      <c r="BK25" s="394">
        <v>0</v>
      </c>
      <c r="BL25" s="394">
        <v>0</v>
      </c>
      <c r="BM25" s="394">
        <v>0</v>
      </c>
      <c r="BN25" s="394">
        <v>0</v>
      </c>
      <c r="BO25" s="394">
        <v>0</v>
      </c>
      <c r="BP25" s="394">
        <v>0</v>
      </c>
      <c r="BQ25" s="394">
        <v>0</v>
      </c>
      <c r="BR25" s="394">
        <v>0</v>
      </c>
      <c r="BS25" s="394">
        <v>0</v>
      </c>
      <c r="BT25" s="394">
        <v>0</v>
      </c>
      <c r="BU25" s="394">
        <v>0</v>
      </c>
      <c r="BV25" s="394">
        <v>0</v>
      </c>
      <c r="BW25" s="394">
        <v>0</v>
      </c>
      <c r="BX25" s="394">
        <v>0</v>
      </c>
      <c r="BY25" s="394">
        <v>0</v>
      </c>
      <c r="BZ25" s="394">
        <v>0</v>
      </c>
      <c r="CA25" s="394">
        <v>0</v>
      </c>
      <c r="CB25" s="394">
        <v>0</v>
      </c>
      <c r="CC25" s="394">
        <v>0</v>
      </c>
      <c r="CD25" s="394">
        <v>0</v>
      </c>
      <c r="CE25" s="394">
        <v>0</v>
      </c>
      <c r="CF25" s="394">
        <v>0</v>
      </c>
      <c r="CG25" s="394">
        <v>0</v>
      </c>
      <c r="CH25" s="395">
        <v>0</v>
      </c>
      <c r="CI25" s="403"/>
    </row>
    <row r="26" spans="1:87" s="402" customFormat="1" ht="12.75" x14ac:dyDescent="0.25">
      <c r="A26" s="404" t="s">
        <v>143</v>
      </c>
      <c r="B26" s="394">
        <v>0</v>
      </c>
      <c r="C26" s="394">
        <v>0</v>
      </c>
      <c r="D26" s="394">
        <v>0</v>
      </c>
      <c r="E26" s="394">
        <v>0</v>
      </c>
      <c r="F26" s="394">
        <v>0</v>
      </c>
      <c r="G26" s="394">
        <v>0</v>
      </c>
      <c r="H26" s="394">
        <v>0</v>
      </c>
      <c r="I26" s="394">
        <v>0</v>
      </c>
      <c r="J26" s="394">
        <v>0</v>
      </c>
      <c r="K26" s="394">
        <v>0</v>
      </c>
      <c r="L26" s="394">
        <v>0</v>
      </c>
      <c r="M26" s="394">
        <v>0</v>
      </c>
      <c r="N26" s="394">
        <v>0</v>
      </c>
      <c r="O26" s="394">
        <v>0</v>
      </c>
      <c r="P26" s="394">
        <v>0</v>
      </c>
      <c r="Q26" s="394">
        <v>0</v>
      </c>
      <c r="R26" s="394">
        <v>0</v>
      </c>
      <c r="S26" s="394">
        <v>0</v>
      </c>
      <c r="T26" s="394">
        <v>0</v>
      </c>
      <c r="U26" s="394">
        <v>0</v>
      </c>
      <c r="V26" s="394">
        <v>0</v>
      </c>
      <c r="W26" s="394">
        <v>0</v>
      </c>
      <c r="X26" s="394">
        <v>0</v>
      </c>
      <c r="Y26" s="394">
        <v>0</v>
      </c>
      <c r="Z26" s="394">
        <v>0</v>
      </c>
      <c r="AA26" s="394">
        <v>0</v>
      </c>
      <c r="AB26" s="394">
        <v>0</v>
      </c>
      <c r="AC26" s="394">
        <v>0</v>
      </c>
      <c r="AD26" s="394">
        <v>0</v>
      </c>
      <c r="AE26" s="394">
        <v>0</v>
      </c>
      <c r="AF26" s="394">
        <v>0</v>
      </c>
      <c r="AG26" s="394">
        <v>0</v>
      </c>
      <c r="AH26" s="394">
        <v>0</v>
      </c>
      <c r="AI26" s="394">
        <v>0</v>
      </c>
      <c r="AJ26" s="394">
        <v>0</v>
      </c>
      <c r="AK26" s="394">
        <v>0</v>
      </c>
      <c r="AL26" s="394">
        <v>0</v>
      </c>
      <c r="AM26" s="394">
        <v>0</v>
      </c>
      <c r="AN26" s="394">
        <v>0</v>
      </c>
      <c r="AO26" s="394">
        <v>-13092991.854982769</v>
      </c>
      <c r="AP26" s="394">
        <v>-38962028.530465707</v>
      </c>
      <c r="AQ26" s="394">
        <v>-38962028.530465521</v>
      </c>
      <c r="AR26" s="394">
        <v>-38962028.530465893</v>
      </c>
      <c r="AS26" s="394">
        <v>-38962028.530464403</v>
      </c>
      <c r="AT26" s="394">
        <v>-41047428.515358411</v>
      </c>
      <c r="AU26" s="394">
        <v>0</v>
      </c>
      <c r="AV26" s="394">
        <v>0</v>
      </c>
      <c r="AW26" s="394">
        <v>0</v>
      </c>
      <c r="AX26" s="394">
        <v>0</v>
      </c>
      <c r="AY26" s="394">
        <v>0</v>
      </c>
      <c r="AZ26" s="394">
        <v>0</v>
      </c>
      <c r="BA26" s="394">
        <v>0</v>
      </c>
      <c r="BB26" s="394">
        <v>0</v>
      </c>
      <c r="BC26" s="394">
        <v>0</v>
      </c>
      <c r="BD26" s="394">
        <v>0</v>
      </c>
      <c r="BE26" s="394">
        <v>0</v>
      </c>
      <c r="BF26" s="394">
        <v>0</v>
      </c>
      <c r="BG26" s="394">
        <v>0</v>
      </c>
      <c r="BH26" s="394">
        <v>0</v>
      </c>
      <c r="BI26" s="394">
        <v>0</v>
      </c>
      <c r="BJ26" s="394">
        <v>0</v>
      </c>
      <c r="BK26" s="394">
        <v>0</v>
      </c>
      <c r="BL26" s="394">
        <v>0</v>
      </c>
      <c r="BM26" s="394">
        <v>0</v>
      </c>
      <c r="BN26" s="394">
        <v>0</v>
      </c>
      <c r="BO26" s="394">
        <v>0</v>
      </c>
      <c r="BP26" s="394">
        <v>0</v>
      </c>
      <c r="BQ26" s="394">
        <v>0</v>
      </c>
      <c r="BR26" s="394">
        <v>0</v>
      </c>
      <c r="BS26" s="394">
        <v>0</v>
      </c>
      <c r="BT26" s="394">
        <v>0</v>
      </c>
      <c r="BU26" s="394">
        <v>0</v>
      </c>
      <c r="BV26" s="394">
        <v>0</v>
      </c>
      <c r="BW26" s="394">
        <v>0</v>
      </c>
      <c r="BX26" s="394">
        <v>0</v>
      </c>
      <c r="BY26" s="394">
        <v>0</v>
      </c>
      <c r="BZ26" s="394">
        <v>0</v>
      </c>
      <c r="CA26" s="394">
        <v>0</v>
      </c>
      <c r="CB26" s="394">
        <v>0</v>
      </c>
      <c r="CC26" s="394">
        <v>0</v>
      </c>
      <c r="CD26" s="394">
        <v>0</v>
      </c>
      <c r="CE26" s="394">
        <v>0</v>
      </c>
      <c r="CF26" s="394">
        <v>0</v>
      </c>
      <c r="CG26" s="394">
        <v>0</v>
      </c>
      <c r="CH26" s="395">
        <v>0</v>
      </c>
      <c r="CI26" s="403"/>
    </row>
    <row r="27" spans="1:87" s="402" customFormat="1" ht="12.75" x14ac:dyDescent="0.25">
      <c r="A27" s="404" t="s">
        <v>144</v>
      </c>
      <c r="B27" s="394">
        <v>0</v>
      </c>
      <c r="C27" s="394">
        <v>0</v>
      </c>
      <c r="D27" s="394">
        <v>0</v>
      </c>
      <c r="E27" s="394">
        <v>0</v>
      </c>
      <c r="F27" s="394">
        <v>0</v>
      </c>
      <c r="G27" s="394">
        <v>0</v>
      </c>
      <c r="H27" s="394">
        <v>0</v>
      </c>
      <c r="I27" s="394">
        <v>0</v>
      </c>
      <c r="J27" s="394">
        <v>0</v>
      </c>
      <c r="K27" s="394">
        <v>0</v>
      </c>
      <c r="L27" s="394">
        <v>0</v>
      </c>
      <c r="M27" s="394">
        <v>0</v>
      </c>
      <c r="N27" s="394">
        <v>0</v>
      </c>
      <c r="O27" s="394">
        <v>0</v>
      </c>
      <c r="P27" s="394">
        <v>0</v>
      </c>
      <c r="Q27" s="394">
        <v>0</v>
      </c>
      <c r="R27" s="394">
        <v>0</v>
      </c>
      <c r="S27" s="394">
        <v>0</v>
      </c>
      <c r="T27" s="394">
        <v>0</v>
      </c>
      <c r="U27" s="394">
        <v>0</v>
      </c>
      <c r="V27" s="394">
        <v>0</v>
      </c>
      <c r="W27" s="394">
        <v>0</v>
      </c>
      <c r="X27" s="394">
        <v>0</v>
      </c>
      <c r="Y27" s="394">
        <v>0</v>
      </c>
      <c r="Z27" s="394">
        <v>0</v>
      </c>
      <c r="AA27" s="394">
        <v>0</v>
      </c>
      <c r="AB27" s="394">
        <v>0</v>
      </c>
      <c r="AC27" s="394">
        <v>0</v>
      </c>
      <c r="AD27" s="394">
        <v>0</v>
      </c>
      <c r="AE27" s="394">
        <v>0</v>
      </c>
      <c r="AF27" s="394">
        <v>0</v>
      </c>
      <c r="AG27" s="394">
        <v>0</v>
      </c>
      <c r="AH27" s="394">
        <v>0</v>
      </c>
      <c r="AI27" s="394">
        <v>0</v>
      </c>
      <c r="AJ27" s="394">
        <v>0</v>
      </c>
      <c r="AK27" s="394">
        <v>0</v>
      </c>
      <c r="AL27" s="394">
        <v>0</v>
      </c>
      <c r="AM27" s="394">
        <v>0</v>
      </c>
      <c r="AN27" s="394">
        <v>0</v>
      </c>
      <c r="AO27" s="394">
        <v>0</v>
      </c>
      <c r="AP27" s="394">
        <v>0</v>
      </c>
      <c r="AQ27" s="394">
        <v>0</v>
      </c>
      <c r="AR27" s="394">
        <v>0</v>
      </c>
      <c r="AS27" s="394">
        <v>0</v>
      </c>
      <c r="AT27" s="394">
        <v>-1137476.6907405425</v>
      </c>
      <c r="AU27" s="394">
        <v>-42184905.206099324</v>
      </c>
      <c r="AV27" s="394">
        <v>-42184905.206098951</v>
      </c>
      <c r="AW27" s="394">
        <v>-19486980.143162537</v>
      </c>
      <c r="AX27" s="394">
        <v>0</v>
      </c>
      <c r="AY27" s="394">
        <v>0</v>
      </c>
      <c r="AZ27" s="394">
        <v>0</v>
      </c>
      <c r="BA27" s="394">
        <v>0</v>
      </c>
      <c r="BB27" s="394">
        <v>0</v>
      </c>
      <c r="BC27" s="394">
        <v>0</v>
      </c>
      <c r="BD27" s="394">
        <v>0</v>
      </c>
      <c r="BE27" s="394">
        <v>0</v>
      </c>
      <c r="BF27" s="394">
        <v>0</v>
      </c>
      <c r="BG27" s="394">
        <v>0</v>
      </c>
      <c r="BH27" s="394">
        <v>0</v>
      </c>
      <c r="BI27" s="394">
        <v>0</v>
      </c>
      <c r="BJ27" s="394">
        <v>0</v>
      </c>
      <c r="BK27" s="394">
        <v>0</v>
      </c>
      <c r="BL27" s="394">
        <v>0</v>
      </c>
      <c r="BM27" s="394">
        <v>0</v>
      </c>
      <c r="BN27" s="394">
        <v>0</v>
      </c>
      <c r="BO27" s="394">
        <v>0</v>
      </c>
      <c r="BP27" s="394">
        <v>0</v>
      </c>
      <c r="BQ27" s="394">
        <v>0</v>
      </c>
      <c r="BR27" s="394">
        <v>0</v>
      </c>
      <c r="BS27" s="394">
        <v>0</v>
      </c>
      <c r="BT27" s="394">
        <v>0</v>
      </c>
      <c r="BU27" s="394">
        <v>0</v>
      </c>
      <c r="BV27" s="394">
        <v>0</v>
      </c>
      <c r="BW27" s="394">
        <v>0</v>
      </c>
      <c r="BX27" s="394">
        <v>0</v>
      </c>
      <c r="BY27" s="394">
        <v>0</v>
      </c>
      <c r="BZ27" s="394">
        <v>0</v>
      </c>
      <c r="CA27" s="394">
        <v>0</v>
      </c>
      <c r="CB27" s="394">
        <v>0</v>
      </c>
      <c r="CC27" s="394">
        <v>0</v>
      </c>
      <c r="CD27" s="394">
        <v>0</v>
      </c>
      <c r="CE27" s="394">
        <v>0</v>
      </c>
      <c r="CF27" s="394">
        <v>0</v>
      </c>
      <c r="CG27" s="394">
        <v>0</v>
      </c>
      <c r="CH27" s="395" t="e">
        <v>#REF!</v>
      </c>
      <c r="CI27" s="403"/>
    </row>
    <row r="28" spans="1:87" s="410" customFormat="1" x14ac:dyDescent="0.25">
      <c r="A28" s="407" t="s">
        <v>553</v>
      </c>
      <c r="B28" s="408">
        <v>0</v>
      </c>
      <c r="C28" s="408">
        <v>1123375</v>
      </c>
      <c r="D28" s="408">
        <v>1171713</v>
      </c>
      <c r="E28" s="408">
        <v>1167061</v>
      </c>
      <c r="F28" s="408">
        <v>1425484</v>
      </c>
      <c r="G28" s="408">
        <v>1243147</v>
      </c>
      <c r="H28" s="408">
        <v>1150405</v>
      </c>
      <c r="I28" s="408">
        <v>1150405</v>
      </c>
      <c r="J28" s="408">
        <v>1150405</v>
      </c>
      <c r="K28" s="408">
        <v>632722.75</v>
      </c>
      <c r="L28" s="408">
        <v>632722.75</v>
      </c>
      <c r="M28" s="408">
        <v>632722.75</v>
      </c>
      <c r="N28" s="408">
        <v>632722.75</v>
      </c>
      <c r="O28" s="408">
        <v>632722.75</v>
      </c>
      <c r="P28" s="408">
        <v>632722.75</v>
      </c>
      <c r="Q28" s="408">
        <v>632722.75</v>
      </c>
      <c r="R28" s="408">
        <v>0</v>
      </c>
      <c r="S28" s="408">
        <v>0</v>
      </c>
      <c r="T28" s="408">
        <v>0</v>
      </c>
      <c r="U28" s="408">
        <v>0</v>
      </c>
      <c r="V28" s="408">
        <v>0</v>
      </c>
      <c r="W28" s="408">
        <v>0</v>
      </c>
      <c r="X28" s="408">
        <v>0</v>
      </c>
      <c r="Y28" s="408">
        <v>0</v>
      </c>
      <c r="Z28" s="408">
        <v>0</v>
      </c>
      <c r="AA28" s="408">
        <v>0</v>
      </c>
      <c r="AB28" s="408">
        <v>0</v>
      </c>
      <c r="AC28" s="408">
        <v>0</v>
      </c>
      <c r="AD28" s="408">
        <v>0</v>
      </c>
      <c r="AE28" s="408">
        <v>0</v>
      </c>
      <c r="AF28" s="408">
        <v>0</v>
      </c>
      <c r="AG28" s="408">
        <v>0</v>
      </c>
      <c r="AH28" s="408">
        <v>0</v>
      </c>
      <c r="AI28" s="408">
        <v>0</v>
      </c>
      <c r="AJ28" s="408">
        <v>0</v>
      </c>
      <c r="AK28" s="408">
        <v>0</v>
      </c>
      <c r="AL28" s="408">
        <v>0</v>
      </c>
      <c r="AM28" s="408">
        <v>0</v>
      </c>
      <c r="AN28" s="408">
        <v>0</v>
      </c>
      <c r="AO28" s="408">
        <v>0</v>
      </c>
      <c r="AP28" s="408">
        <v>0</v>
      </c>
      <c r="AQ28" s="408">
        <v>0</v>
      </c>
      <c r="AR28" s="408">
        <v>0</v>
      </c>
      <c r="AS28" s="408">
        <v>0</v>
      </c>
      <c r="AT28" s="408">
        <v>0</v>
      </c>
      <c r="AU28" s="408">
        <v>0</v>
      </c>
      <c r="AV28" s="408">
        <v>0</v>
      </c>
      <c r="AW28" s="408">
        <v>0</v>
      </c>
      <c r="AX28" s="408">
        <v>0</v>
      </c>
      <c r="AY28" s="408">
        <v>0</v>
      </c>
      <c r="AZ28" s="408">
        <v>0</v>
      </c>
      <c r="BA28" s="408">
        <v>0</v>
      </c>
      <c r="BB28" s="408">
        <v>0</v>
      </c>
      <c r="BC28" s="408">
        <v>0</v>
      </c>
      <c r="BD28" s="408">
        <v>0</v>
      </c>
      <c r="BE28" s="408">
        <v>0</v>
      </c>
      <c r="BF28" s="408">
        <v>0</v>
      </c>
      <c r="BG28" s="408">
        <v>0</v>
      </c>
      <c r="BH28" s="408">
        <v>0</v>
      </c>
      <c r="BI28" s="408">
        <v>0</v>
      </c>
      <c r="BJ28" s="408">
        <v>0</v>
      </c>
      <c r="BK28" s="408">
        <v>0</v>
      </c>
      <c r="BL28" s="408">
        <v>0</v>
      </c>
      <c r="BM28" s="408">
        <v>0</v>
      </c>
      <c r="BN28" s="408">
        <v>0</v>
      </c>
      <c r="BO28" s="408">
        <v>0</v>
      </c>
      <c r="BP28" s="408">
        <v>0</v>
      </c>
      <c r="BQ28" s="408">
        <v>0</v>
      </c>
      <c r="BR28" s="408">
        <v>0</v>
      </c>
      <c r="BS28" s="408">
        <v>0</v>
      </c>
      <c r="BT28" s="408">
        <v>0</v>
      </c>
      <c r="BU28" s="408">
        <v>0</v>
      </c>
      <c r="BV28" s="408">
        <v>0</v>
      </c>
      <c r="BW28" s="408">
        <v>0</v>
      </c>
      <c r="BX28" s="408">
        <v>0</v>
      </c>
      <c r="BY28" s="408">
        <v>0</v>
      </c>
      <c r="BZ28" s="408">
        <v>0</v>
      </c>
      <c r="CA28" s="408">
        <v>0</v>
      </c>
      <c r="CB28" s="408">
        <v>0</v>
      </c>
      <c r="CC28" s="408">
        <v>0</v>
      </c>
      <c r="CD28" s="408">
        <v>0</v>
      </c>
      <c r="CE28" s="408">
        <v>0</v>
      </c>
      <c r="CF28" s="408">
        <v>0</v>
      </c>
      <c r="CG28" s="408">
        <v>1</v>
      </c>
      <c r="CH28" s="409">
        <v>0</v>
      </c>
    </row>
    <row r="29" spans="1:87" x14ac:dyDescent="0.25">
      <c r="A29" s="369" t="s">
        <v>554</v>
      </c>
      <c r="B29" s="366">
        <v>0</v>
      </c>
      <c r="C29" s="366">
        <v>0</v>
      </c>
      <c r="D29" s="366">
        <v>0</v>
      </c>
      <c r="E29" s="366">
        <v>0</v>
      </c>
      <c r="F29" s="366">
        <v>0</v>
      </c>
      <c r="G29" s="366">
        <v>0</v>
      </c>
      <c r="H29" s="366">
        <v>0</v>
      </c>
      <c r="I29" s="366">
        <v>0</v>
      </c>
      <c r="J29" s="366">
        <v>0</v>
      </c>
      <c r="K29" s="366">
        <v>0</v>
      </c>
      <c r="L29" s="366">
        <v>0</v>
      </c>
      <c r="M29" s="366">
        <v>0</v>
      </c>
      <c r="N29" s="366">
        <v>0</v>
      </c>
      <c r="O29" s="366">
        <v>0</v>
      </c>
      <c r="P29" s="366">
        <v>0</v>
      </c>
      <c r="Q29" s="366">
        <v>0</v>
      </c>
      <c r="R29" s="366">
        <v>0</v>
      </c>
      <c r="S29" s="366">
        <v>0</v>
      </c>
      <c r="T29" s="366">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v>0</v>
      </c>
      <c r="AM29" s="366">
        <v>0</v>
      </c>
      <c r="AN29" s="366">
        <v>0</v>
      </c>
      <c r="AO29" s="366">
        <v>0</v>
      </c>
      <c r="AP29" s="366">
        <v>0</v>
      </c>
      <c r="AQ29" s="366">
        <v>0</v>
      </c>
      <c r="AR29" s="366">
        <v>0</v>
      </c>
      <c r="AS29" s="366">
        <v>0</v>
      </c>
      <c r="AT29" s="366">
        <v>0</v>
      </c>
      <c r="AU29" s="366">
        <v>0</v>
      </c>
      <c r="AV29" s="366">
        <v>0</v>
      </c>
      <c r="AW29" s="366">
        <v>0</v>
      </c>
      <c r="AX29" s="366">
        <v>0</v>
      </c>
      <c r="AY29" s="366">
        <v>0</v>
      </c>
      <c r="AZ29" s="366">
        <v>0</v>
      </c>
      <c r="BA29" s="366">
        <v>0</v>
      </c>
      <c r="BB29" s="366">
        <v>0</v>
      </c>
      <c r="BC29" s="366">
        <v>0</v>
      </c>
      <c r="BD29" s="366">
        <v>0</v>
      </c>
      <c r="BE29" s="366">
        <v>0</v>
      </c>
      <c r="BF29" s="366">
        <v>0</v>
      </c>
      <c r="BG29" s="366">
        <v>0</v>
      </c>
      <c r="BH29" s="366">
        <v>0</v>
      </c>
      <c r="BI29" s="366">
        <v>0</v>
      </c>
      <c r="BJ29" s="366">
        <v>0</v>
      </c>
      <c r="BK29" s="366">
        <v>0</v>
      </c>
      <c r="BL29" s="366">
        <v>0</v>
      </c>
      <c r="BM29" s="366">
        <v>0</v>
      </c>
      <c r="BN29" s="366">
        <v>0</v>
      </c>
      <c r="BO29" s="366">
        <v>0</v>
      </c>
      <c r="BP29" s="366">
        <v>0</v>
      </c>
      <c r="BQ29" s="366">
        <v>0</v>
      </c>
      <c r="BR29" s="366">
        <v>0</v>
      </c>
      <c r="BS29" s="366">
        <v>0</v>
      </c>
      <c r="BT29" s="366">
        <v>0</v>
      </c>
      <c r="BU29" s="366">
        <v>0</v>
      </c>
      <c r="BV29" s="366">
        <v>0</v>
      </c>
      <c r="BW29" s="366">
        <v>0</v>
      </c>
      <c r="BX29" s="366">
        <v>0</v>
      </c>
      <c r="BY29" s="366">
        <v>0</v>
      </c>
      <c r="BZ29" s="366">
        <v>0</v>
      </c>
      <c r="CA29" s="366">
        <v>0</v>
      </c>
      <c r="CB29" s="366">
        <v>0</v>
      </c>
      <c r="CC29" s="366">
        <v>0</v>
      </c>
      <c r="CD29" s="366">
        <v>0</v>
      </c>
      <c r="CE29" s="366">
        <v>0</v>
      </c>
      <c r="CF29" s="366">
        <v>0</v>
      </c>
      <c r="CG29" s="366">
        <v>0</v>
      </c>
      <c r="CH29" s="367">
        <v>0</v>
      </c>
    </row>
    <row r="30" spans="1:87" hidden="1" x14ac:dyDescent="0.25">
      <c r="A30" s="404" t="s">
        <v>569</v>
      </c>
      <c r="B30" s="394" t="s">
        <v>570</v>
      </c>
      <c r="C30" s="394">
        <v>0</v>
      </c>
      <c r="D30" s="394">
        <v>0</v>
      </c>
      <c r="E30" s="394">
        <v>0</v>
      </c>
      <c r="F30" s="394">
        <v>0</v>
      </c>
      <c r="G30" s="394">
        <v>0</v>
      </c>
      <c r="H30" s="394">
        <v>0</v>
      </c>
      <c r="I30" s="394">
        <v>-7096700</v>
      </c>
      <c r="J30" s="394">
        <v>-7309601</v>
      </c>
      <c r="K30" s="394">
        <v>0</v>
      </c>
      <c r="L30" s="394">
        <v>0</v>
      </c>
      <c r="M30" s="394">
        <v>0</v>
      </c>
      <c r="N30" s="394">
        <v>0</v>
      </c>
      <c r="O30" s="394">
        <v>0</v>
      </c>
      <c r="P30" s="394">
        <v>0</v>
      </c>
      <c r="Q30" s="394">
        <v>0</v>
      </c>
      <c r="R30" s="394">
        <v>0</v>
      </c>
      <c r="S30" s="394">
        <v>0</v>
      </c>
      <c r="T30" s="394">
        <v>0</v>
      </c>
      <c r="U30" s="394">
        <v>0</v>
      </c>
      <c r="V30" s="394">
        <v>0</v>
      </c>
      <c r="W30" s="394">
        <v>0</v>
      </c>
      <c r="X30" s="394">
        <v>0</v>
      </c>
      <c r="Y30" s="394">
        <v>0</v>
      </c>
      <c r="Z30" s="394">
        <v>0</v>
      </c>
      <c r="AA30" s="394">
        <v>0</v>
      </c>
      <c r="AB30" s="394">
        <v>0</v>
      </c>
      <c r="AC30" s="394">
        <v>0</v>
      </c>
      <c r="AD30" s="394">
        <v>0</v>
      </c>
      <c r="AE30" s="394">
        <v>0</v>
      </c>
      <c r="AF30" s="394">
        <v>0</v>
      </c>
      <c r="AG30" s="394">
        <v>0</v>
      </c>
      <c r="AH30" s="394">
        <v>0</v>
      </c>
      <c r="AI30" s="394">
        <v>0</v>
      </c>
      <c r="AJ30" s="394">
        <v>0</v>
      </c>
      <c r="AK30" s="394">
        <v>0</v>
      </c>
      <c r="AL30" s="394">
        <v>0</v>
      </c>
      <c r="AM30" s="394">
        <v>0</v>
      </c>
      <c r="AN30" s="394">
        <v>0</v>
      </c>
      <c r="AO30" s="394">
        <v>0</v>
      </c>
      <c r="AP30" s="394">
        <v>0</v>
      </c>
      <c r="AQ30" s="394">
        <v>0</v>
      </c>
      <c r="AR30" s="394">
        <v>0</v>
      </c>
      <c r="AS30" s="394">
        <v>0</v>
      </c>
      <c r="AT30" s="394">
        <v>0</v>
      </c>
      <c r="AU30" s="394">
        <v>0</v>
      </c>
      <c r="AV30" s="394">
        <v>0</v>
      </c>
      <c r="AW30" s="394">
        <v>0</v>
      </c>
      <c r="AX30" s="394">
        <v>0</v>
      </c>
      <c r="AY30" s="394">
        <v>0</v>
      </c>
      <c r="AZ30" s="394">
        <v>0</v>
      </c>
      <c r="BA30" s="394">
        <v>0</v>
      </c>
      <c r="BB30" s="394">
        <v>0</v>
      </c>
      <c r="BC30" s="394">
        <v>0</v>
      </c>
      <c r="BD30" s="394">
        <v>0</v>
      </c>
      <c r="BE30" s="394">
        <v>0</v>
      </c>
      <c r="BF30" s="394">
        <v>0</v>
      </c>
      <c r="BG30" s="394">
        <v>0</v>
      </c>
      <c r="BH30" s="394">
        <v>0</v>
      </c>
      <c r="BI30" s="394">
        <v>0</v>
      </c>
      <c r="BJ30" s="394">
        <v>0</v>
      </c>
      <c r="BK30" s="394">
        <v>0</v>
      </c>
      <c r="BL30" s="394">
        <v>0</v>
      </c>
      <c r="BM30" s="394">
        <v>0</v>
      </c>
      <c r="BN30" s="394">
        <v>0</v>
      </c>
      <c r="BO30" s="394">
        <v>0</v>
      </c>
      <c r="BP30" s="394">
        <v>0</v>
      </c>
      <c r="BQ30" s="394">
        <v>0</v>
      </c>
      <c r="BR30" s="394">
        <v>0</v>
      </c>
      <c r="BS30" s="394">
        <v>0</v>
      </c>
      <c r="BT30" s="394">
        <v>0</v>
      </c>
      <c r="BU30" s="394">
        <v>0</v>
      </c>
      <c r="BV30" s="394">
        <v>0</v>
      </c>
      <c r="BW30" s="394">
        <v>0</v>
      </c>
      <c r="BX30" s="394">
        <v>0</v>
      </c>
      <c r="BY30" s="394">
        <v>0</v>
      </c>
      <c r="BZ30" s="394">
        <v>0</v>
      </c>
      <c r="CA30" s="394">
        <v>0</v>
      </c>
      <c r="CB30" s="394">
        <v>0</v>
      </c>
      <c r="CC30" s="394">
        <v>0</v>
      </c>
      <c r="CD30" s="394">
        <v>0</v>
      </c>
      <c r="CE30" s="394">
        <v>0</v>
      </c>
      <c r="CF30" s="394">
        <v>0</v>
      </c>
      <c r="CG30" s="394">
        <v>0</v>
      </c>
      <c r="CH30" s="395">
        <v>0</v>
      </c>
    </row>
    <row r="31" spans="1:87" hidden="1" x14ac:dyDescent="0.25">
      <c r="A31" s="404" t="s">
        <v>571</v>
      </c>
      <c r="B31" s="394" t="s">
        <v>570</v>
      </c>
      <c r="C31" s="394">
        <v>0</v>
      </c>
      <c r="D31" s="394">
        <v>0</v>
      </c>
      <c r="E31" s="394">
        <v>0</v>
      </c>
      <c r="F31" s="394">
        <v>0</v>
      </c>
      <c r="G31" s="394">
        <v>0</v>
      </c>
      <c r="H31" s="394">
        <v>0</v>
      </c>
      <c r="I31" s="394">
        <v>0</v>
      </c>
      <c r="J31" s="394">
        <v>0</v>
      </c>
      <c r="K31" s="394">
        <v>0</v>
      </c>
      <c r="L31" s="394">
        <v>0</v>
      </c>
      <c r="M31" s="394">
        <v>0</v>
      </c>
      <c r="N31" s="394">
        <v>0</v>
      </c>
      <c r="O31" s="394">
        <v>0</v>
      </c>
      <c r="P31" s="394">
        <v>0</v>
      </c>
      <c r="Q31" s="394">
        <v>0</v>
      </c>
      <c r="R31" s="394">
        <v>0</v>
      </c>
      <c r="S31" s="394">
        <v>0</v>
      </c>
      <c r="T31" s="394">
        <v>0</v>
      </c>
      <c r="U31" s="394">
        <v>0</v>
      </c>
      <c r="V31" s="394">
        <v>0</v>
      </c>
      <c r="W31" s="394">
        <v>0</v>
      </c>
      <c r="X31" s="394">
        <v>0</v>
      </c>
      <c r="Y31" s="394">
        <v>0</v>
      </c>
      <c r="Z31" s="394">
        <v>0</v>
      </c>
      <c r="AA31" s="394">
        <v>0</v>
      </c>
      <c r="AB31" s="394">
        <v>0</v>
      </c>
      <c r="AC31" s="394">
        <v>0</v>
      </c>
      <c r="AD31" s="394">
        <v>0</v>
      </c>
      <c r="AE31" s="394">
        <v>0</v>
      </c>
      <c r="AF31" s="394">
        <v>0</v>
      </c>
      <c r="AG31" s="394">
        <v>0</v>
      </c>
      <c r="AH31" s="394">
        <v>0</v>
      </c>
      <c r="AI31" s="394">
        <v>0</v>
      </c>
      <c r="AJ31" s="394">
        <v>0</v>
      </c>
      <c r="AK31" s="394">
        <v>0</v>
      </c>
      <c r="AL31" s="394">
        <v>0</v>
      </c>
      <c r="AM31" s="394">
        <v>0</v>
      </c>
      <c r="AN31" s="394">
        <v>0</v>
      </c>
      <c r="AO31" s="394">
        <v>0</v>
      </c>
      <c r="AP31" s="394">
        <v>0</v>
      </c>
      <c r="AQ31" s="394">
        <v>0</v>
      </c>
      <c r="AR31" s="394">
        <v>0</v>
      </c>
      <c r="AS31" s="394">
        <v>0</v>
      </c>
      <c r="AT31" s="394">
        <v>0</v>
      </c>
      <c r="AU31" s="394">
        <v>0</v>
      </c>
      <c r="AV31" s="394">
        <v>0</v>
      </c>
      <c r="AW31" s="394">
        <v>0</v>
      </c>
      <c r="AX31" s="394">
        <v>0</v>
      </c>
      <c r="AY31" s="394">
        <v>0</v>
      </c>
      <c r="AZ31" s="394">
        <v>0</v>
      </c>
      <c r="BA31" s="394">
        <v>0</v>
      </c>
      <c r="BB31" s="394">
        <v>0</v>
      </c>
      <c r="BC31" s="394">
        <v>0</v>
      </c>
      <c r="BD31" s="394">
        <v>0</v>
      </c>
      <c r="BE31" s="394">
        <v>0</v>
      </c>
      <c r="BF31" s="394">
        <v>0</v>
      </c>
      <c r="BG31" s="394">
        <v>0</v>
      </c>
      <c r="BH31" s="394">
        <v>0</v>
      </c>
      <c r="BI31" s="394">
        <v>0</v>
      </c>
      <c r="BJ31" s="394">
        <v>0</v>
      </c>
      <c r="BK31" s="394">
        <v>0</v>
      </c>
      <c r="BL31" s="394">
        <v>0</v>
      </c>
      <c r="BM31" s="394">
        <v>0</v>
      </c>
      <c r="BN31" s="394">
        <v>0</v>
      </c>
      <c r="BO31" s="394">
        <v>0</v>
      </c>
      <c r="BP31" s="394">
        <v>0</v>
      </c>
      <c r="BQ31" s="394">
        <v>0</v>
      </c>
      <c r="BR31" s="394">
        <v>0</v>
      </c>
      <c r="BS31" s="394">
        <v>0</v>
      </c>
      <c r="BT31" s="394">
        <v>0</v>
      </c>
      <c r="BU31" s="394">
        <v>0</v>
      </c>
      <c r="BV31" s="394">
        <v>0</v>
      </c>
      <c r="BW31" s="394">
        <v>0</v>
      </c>
      <c r="BX31" s="394">
        <v>0</v>
      </c>
      <c r="BY31" s="394">
        <v>0</v>
      </c>
      <c r="BZ31" s="394">
        <v>0</v>
      </c>
      <c r="CA31" s="394">
        <v>0</v>
      </c>
      <c r="CB31" s="394">
        <v>0</v>
      </c>
      <c r="CC31" s="394">
        <v>0</v>
      </c>
      <c r="CD31" s="394">
        <v>0</v>
      </c>
      <c r="CE31" s="394">
        <v>0</v>
      </c>
      <c r="CF31" s="394">
        <v>0</v>
      </c>
      <c r="CG31" s="394">
        <v>0</v>
      </c>
      <c r="CH31" s="395">
        <v>0</v>
      </c>
    </row>
    <row r="32" spans="1:87" hidden="1" x14ac:dyDescent="0.25">
      <c r="A32" s="404" t="s">
        <v>572</v>
      </c>
      <c r="B32" s="394" t="s">
        <v>570</v>
      </c>
      <c r="C32" s="394">
        <v>0</v>
      </c>
      <c r="D32" s="394">
        <v>0</v>
      </c>
      <c r="E32" s="394">
        <v>0</v>
      </c>
      <c r="F32" s="394">
        <v>0</v>
      </c>
      <c r="G32" s="394">
        <v>0</v>
      </c>
      <c r="H32" s="394">
        <v>-1796128</v>
      </c>
      <c r="I32" s="394">
        <v>-6364673.1283200001</v>
      </c>
      <c r="J32" s="394">
        <v>-6619260.053452801</v>
      </c>
      <c r="K32" s="394">
        <v>-5749039.2960000001</v>
      </c>
      <c r="L32" s="394">
        <v>-5979000.8678400014</v>
      </c>
      <c r="M32" s="394">
        <v>0</v>
      </c>
      <c r="N32" s="394">
        <v>0</v>
      </c>
      <c r="O32" s="394">
        <v>-13159580.97871425</v>
      </c>
      <c r="P32" s="394">
        <v>-13685964.217862822</v>
      </c>
      <c r="Q32" s="394">
        <v>-14233402.786577336</v>
      </c>
      <c r="R32" s="394">
        <v>0</v>
      </c>
      <c r="S32" s="394">
        <v>0</v>
      </c>
      <c r="T32" s="394">
        <v>0</v>
      </c>
      <c r="U32" s="394">
        <v>0</v>
      </c>
      <c r="V32" s="394">
        <v>0</v>
      </c>
      <c r="W32" s="394">
        <v>0</v>
      </c>
      <c r="X32" s="394">
        <v>0</v>
      </c>
      <c r="Y32" s="394">
        <v>0</v>
      </c>
      <c r="Z32" s="394">
        <v>0</v>
      </c>
      <c r="AA32" s="394">
        <v>0</v>
      </c>
      <c r="AB32" s="394">
        <v>0</v>
      </c>
      <c r="AC32" s="394">
        <v>0</v>
      </c>
      <c r="AD32" s="394">
        <v>0</v>
      </c>
      <c r="AE32" s="394">
        <v>0</v>
      </c>
      <c r="AF32" s="394">
        <v>0</v>
      </c>
      <c r="AG32" s="394">
        <v>0</v>
      </c>
      <c r="AH32" s="394">
        <v>0</v>
      </c>
      <c r="AI32" s="394">
        <v>0</v>
      </c>
      <c r="AJ32" s="394">
        <v>0</v>
      </c>
      <c r="AK32" s="394">
        <v>0</v>
      </c>
      <c r="AL32" s="394">
        <v>0</v>
      </c>
      <c r="AM32" s="394">
        <v>0</v>
      </c>
      <c r="AN32" s="394">
        <v>0</v>
      </c>
      <c r="AO32" s="394">
        <v>0</v>
      </c>
      <c r="AP32" s="394">
        <v>0</v>
      </c>
      <c r="AQ32" s="394">
        <v>0</v>
      </c>
      <c r="AR32" s="394">
        <v>0</v>
      </c>
      <c r="AS32" s="394">
        <v>0</v>
      </c>
      <c r="AT32" s="394">
        <v>0</v>
      </c>
      <c r="AU32" s="394">
        <v>0</v>
      </c>
      <c r="AV32" s="394">
        <v>0</v>
      </c>
      <c r="AW32" s="394">
        <v>0</v>
      </c>
      <c r="AX32" s="394">
        <v>0</v>
      </c>
      <c r="AY32" s="394">
        <v>0</v>
      </c>
      <c r="AZ32" s="394">
        <v>0</v>
      </c>
      <c r="BA32" s="394">
        <v>0</v>
      </c>
      <c r="BB32" s="394">
        <v>0</v>
      </c>
      <c r="BC32" s="394">
        <v>0</v>
      </c>
      <c r="BD32" s="394">
        <v>0</v>
      </c>
      <c r="BE32" s="394">
        <v>0</v>
      </c>
      <c r="BF32" s="394">
        <v>0</v>
      </c>
      <c r="BG32" s="394">
        <v>0</v>
      </c>
      <c r="BH32" s="394">
        <v>0</v>
      </c>
      <c r="BI32" s="394">
        <v>0</v>
      </c>
      <c r="BJ32" s="394">
        <v>0</v>
      </c>
      <c r="BK32" s="394">
        <v>0</v>
      </c>
      <c r="BL32" s="394">
        <v>0</v>
      </c>
      <c r="BM32" s="394">
        <v>0</v>
      </c>
      <c r="BN32" s="394">
        <v>0</v>
      </c>
      <c r="BO32" s="394">
        <v>0</v>
      </c>
      <c r="BP32" s="394">
        <v>0</v>
      </c>
      <c r="BQ32" s="394">
        <v>0</v>
      </c>
      <c r="BR32" s="394">
        <v>0</v>
      </c>
      <c r="BS32" s="394">
        <v>0</v>
      </c>
      <c r="BT32" s="394">
        <v>0</v>
      </c>
      <c r="BU32" s="394">
        <v>0</v>
      </c>
      <c r="BV32" s="394">
        <v>0</v>
      </c>
      <c r="BW32" s="394">
        <v>0</v>
      </c>
      <c r="BX32" s="394">
        <v>0</v>
      </c>
      <c r="BY32" s="394">
        <v>0</v>
      </c>
      <c r="BZ32" s="394">
        <v>0</v>
      </c>
      <c r="CA32" s="394">
        <v>0</v>
      </c>
      <c r="CB32" s="394">
        <v>0</v>
      </c>
      <c r="CC32" s="394">
        <v>0</v>
      </c>
      <c r="CD32" s="394">
        <v>0</v>
      </c>
      <c r="CE32" s="394">
        <v>0</v>
      </c>
      <c r="CF32" s="394">
        <v>0</v>
      </c>
      <c r="CG32" s="394">
        <v>0</v>
      </c>
      <c r="CH32" s="395">
        <v>0</v>
      </c>
    </row>
    <row r="33" spans="1:86" hidden="1" x14ac:dyDescent="0.25">
      <c r="A33" s="404" t="s">
        <v>573</v>
      </c>
      <c r="B33" s="394" t="s">
        <v>570</v>
      </c>
      <c r="C33" s="394">
        <v>0</v>
      </c>
      <c r="D33" s="394">
        <v>0</v>
      </c>
      <c r="E33" s="394">
        <v>0</v>
      </c>
      <c r="F33" s="394">
        <v>0</v>
      </c>
      <c r="G33" s="394">
        <v>0</v>
      </c>
      <c r="H33" s="394">
        <v>0</v>
      </c>
      <c r="I33" s="394">
        <v>-5380084.5800000001</v>
      </c>
      <c r="J33" s="394">
        <v>-21680843.163200002</v>
      </c>
      <c r="K33" s="394">
        <v>-1398430.9248000002</v>
      </c>
      <c r="L33" s="394">
        <v>-1454368.1617920003</v>
      </c>
      <c r="M33" s="394">
        <v>-1512542.8882636805</v>
      </c>
      <c r="N33" s="394">
        <v>0</v>
      </c>
      <c r="O33" s="394">
        <v>0</v>
      </c>
      <c r="P33" s="394">
        <v>0</v>
      </c>
      <c r="Q33" s="394">
        <v>0</v>
      </c>
      <c r="R33" s="394">
        <v>0</v>
      </c>
      <c r="S33" s="394">
        <v>0</v>
      </c>
      <c r="T33" s="394">
        <v>0</v>
      </c>
      <c r="U33" s="394">
        <v>0</v>
      </c>
      <c r="V33" s="394">
        <v>0</v>
      </c>
      <c r="W33" s="394">
        <v>0</v>
      </c>
      <c r="X33" s="394">
        <v>0</v>
      </c>
      <c r="Y33" s="394">
        <v>0</v>
      </c>
      <c r="Z33" s="394">
        <v>0</v>
      </c>
      <c r="AA33" s="394">
        <v>0</v>
      </c>
      <c r="AB33" s="394">
        <v>0</v>
      </c>
      <c r="AC33" s="394">
        <v>0</v>
      </c>
      <c r="AD33" s="394">
        <v>0</v>
      </c>
      <c r="AE33" s="394">
        <v>0</v>
      </c>
      <c r="AF33" s="394">
        <v>0</v>
      </c>
      <c r="AG33" s="394">
        <v>0</v>
      </c>
      <c r="AH33" s="394">
        <v>0</v>
      </c>
      <c r="AI33" s="394">
        <v>0</v>
      </c>
      <c r="AJ33" s="394">
        <v>0</v>
      </c>
      <c r="AK33" s="394">
        <v>0</v>
      </c>
      <c r="AL33" s="394">
        <v>0</v>
      </c>
      <c r="AM33" s="394">
        <v>0</v>
      </c>
      <c r="AN33" s="394">
        <v>0</v>
      </c>
      <c r="AO33" s="394">
        <v>0</v>
      </c>
      <c r="AP33" s="394">
        <v>0</v>
      </c>
      <c r="AQ33" s="394">
        <v>0</v>
      </c>
      <c r="AR33" s="394">
        <v>0</v>
      </c>
      <c r="AS33" s="394">
        <v>0</v>
      </c>
      <c r="AT33" s="394">
        <v>0</v>
      </c>
      <c r="AU33" s="394">
        <v>0</v>
      </c>
      <c r="AV33" s="394">
        <v>0</v>
      </c>
      <c r="AW33" s="394">
        <v>0</v>
      </c>
      <c r="AX33" s="394">
        <v>0</v>
      </c>
      <c r="AY33" s="394">
        <v>0</v>
      </c>
      <c r="AZ33" s="394">
        <v>0</v>
      </c>
      <c r="BA33" s="394">
        <v>0</v>
      </c>
      <c r="BB33" s="394">
        <v>0</v>
      </c>
      <c r="BC33" s="394">
        <v>0</v>
      </c>
      <c r="BD33" s="394">
        <v>0</v>
      </c>
      <c r="BE33" s="394">
        <v>0</v>
      </c>
      <c r="BF33" s="394">
        <v>0</v>
      </c>
      <c r="BG33" s="394">
        <v>0</v>
      </c>
      <c r="BH33" s="394">
        <v>0</v>
      </c>
      <c r="BI33" s="394">
        <v>0</v>
      </c>
      <c r="BJ33" s="394">
        <v>0</v>
      </c>
      <c r="BK33" s="394">
        <v>0</v>
      </c>
      <c r="BL33" s="394">
        <v>0</v>
      </c>
      <c r="BM33" s="394">
        <v>0</v>
      </c>
      <c r="BN33" s="394">
        <v>0</v>
      </c>
      <c r="BO33" s="394">
        <v>0</v>
      </c>
      <c r="BP33" s="394">
        <v>0</v>
      </c>
      <c r="BQ33" s="394">
        <v>0</v>
      </c>
      <c r="BR33" s="394">
        <v>0</v>
      </c>
      <c r="BS33" s="394">
        <v>0</v>
      </c>
      <c r="BT33" s="394">
        <v>0</v>
      </c>
      <c r="BU33" s="394">
        <v>0</v>
      </c>
      <c r="BV33" s="394">
        <v>0</v>
      </c>
      <c r="BW33" s="394">
        <v>0</v>
      </c>
      <c r="BX33" s="394">
        <v>0</v>
      </c>
      <c r="BY33" s="394">
        <v>0</v>
      </c>
      <c r="BZ33" s="394">
        <v>0</v>
      </c>
      <c r="CA33" s="394">
        <v>0</v>
      </c>
      <c r="CB33" s="394">
        <v>0</v>
      </c>
      <c r="CC33" s="394">
        <v>0</v>
      </c>
      <c r="CD33" s="394">
        <v>0</v>
      </c>
      <c r="CE33" s="394">
        <v>0</v>
      </c>
      <c r="CF33" s="394">
        <v>0</v>
      </c>
      <c r="CG33" s="394">
        <v>0</v>
      </c>
      <c r="CH33" s="395">
        <v>0</v>
      </c>
    </row>
    <row r="34" spans="1:86" hidden="1" x14ac:dyDescent="0.25">
      <c r="A34" s="404" t="s">
        <v>574</v>
      </c>
      <c r="B34" s="394" t="s">
        <v>570</v>
      </c>
      <c r="C34" s="394">
        <v>0</v>
      </c>
      <c r="D34" s="394">
        <v>0</v>
      </c>
      <c r="E34" s="394">
        <v>0</v>
      </c>
      <c r="F34" s="394">
        <v>0</v>
      </c>
      <c r="G34" s="394">
        <v>0</v>
      </c>
      <c r="H34" s="394">
        <v>-1701000</v>
      </c>
      <c r="I34" s="394">
        <v>-3241368</v>
      </c>
      <c r="J34" s="394">
        <v>-4719336.0864000004</v>
      </c>
      <c r="K34" s="394">
        <v>-1215078.0928</v>
      </c>
      <c r="L34" s="394">
        <v>-1263681.2165120002</v>
      </c>
      <c r="M34" s="394">
        <v>-1314228.4651724803</v>
      </c>
      <c r="N34" s="394">
        <v>0</v>
      </c>
      <c r="O34" s="394">
        <v>0</v>
      </c>
      <c r="P34" s="394">
        <v>0</v>
      </c>
      <c r="Q34" s="394">
        <v>0</v>
      </c>
      <c r="R34" s="394">
        <v>0</v>
      </c>
      <c r="S34" s="394">
        <v>0</v>
      </c>
      <c r="T34" s="394">
        <v>0</v>
      </c>
      <c r="U34" s="394">
        <v>0</v>
      </c>
      <c r="V34" s="394">
        <v>0</v>
      </c>
      <c r="W34" s="394">
        <v>0</v>
      </c>
      <c r="X34" s="394">
        <v>0</v>
      </c>
      <c r="Y34" s="394">
        <v>0</v>
      </c>
      <c r="Z34" s="394">
        <v>0</v>
      </c>
      <c r="AA34" s="394">
        <v>0</v>
      </c>
      <c r="AB34" s="394">
        <v>0</v>
      </c>
      <c r="AC34" s="394">
        <v>0</v>
      </c>
      <c r="AD34" s="394">
        <v>0</v>
      </c>
      <c r="AE34" s="394">
        <v>0</v>
      </c>
      <c r="AF34" s="394">
        <v>0</v>
      </c>
      <c r="AG34" s="394">
        <v>0</v>
      </c>
      <c r="AH34" s="394">
        <v>0</v>
      </c>
      <c r="AI34" s="394">
        <v>0</v>
      </c>
      <c r="AJ34" s="394">
        <v>0</v>
      </c>
      <c r="AK34" s="394">
        <v>0</v>
      </c>
      <c r="AL34" s="394">
        <v>0</v>
      </c>
      <c r="AM34" s="394">
        <v>0</v>
      </c>
      <c r="AN34" s="394">
        <v>0</v>
      </c>
      <c r="AO34" s="394">
        <v>0</v>
      </c>
      <c r="AP34" s="394">
        <v>0</v>
      </c>
      <c r="AQ34" s="394">
        <v>0</v>
      </c>
      <c r="AR34" s="394">
        <v>0</v>
      </c>
      <c r="AS34" s="394">
        <v>0</v>
      </c>
      <c r="AT34" s="394">
        <v>0</v>
      </c>
      <c r="AU34" s="394">
        <v>0</v>
      </c>
      <c r="AV34" s="394">
        <v>0</v>
      </c>
      <c r="AW34" s="394">
        <v>0</v>
      </c>
      <c r="AX34" s="394">
        <v>0</v>
      </c>
      <c r="AY34" s="394">
        <v>0</v>
      </c>
      <c r="AZ34" s="394">
        <v>0</v>
      </c>
      <c r="BA34" s="394">
        <v>0</v>
      </c>
      <c r="BB34" s="394">
        <v>0</v>
      </c>
      <c r="BC34" s="394">
        <v>0</v>
      </c>
      <c r="BD34" s="394">
        <v>0</v>
      </c>
      <c r="BE34" s="394">
        <v>0</v>
      </c>
      <c r="BF34" s="394">
        <v>0</v>
      </c>
      <c r="BG34" s="394">
        <v>0</v>
      </c>
      <c r="BH34" s="394">
        <v>0</v>
      </c>
      <c r="BI34" s="394">
        <v>0</v>
      </c>
      <c r="BJ34" s="394">
        <v>0</v>
      </c>
      <c r="BK34" s="394">
        <v>0</v>
      </c>
      <c r="BL34" s="394">
        <v>0</v>
      </c>
      <c r="BM34" s="394">
        <v>0</v>
      </c>
      <c r="BN34" s="394">
        <v>0</v>
      </c>
      <c r="BO34" s="394">
        <v>0</v>
      </c>
      <c r="BP34" s="394">
        <v>0</v>
      </c>
      <c r="BQ34" s="394">
        <v>0</v>
      </c>
      <c r="BR34" s="394">
        <v>0</v>
      </c>
      <c r="BS34" s="394">
        <v>0</v>
      </c>
      <c r="BT34" s="394">
        <v>0</v>
      </c>
      <c r="BU34" s="394">
        <v>0</v>
      </c>
      <c r="BV34" s="394">
        <v>0</v>
      </c>
      <c r="BW34" s="394">
        <v>0</v>
      </c>
      <c r="BX34" s="394">
        <v>0</v>
      </c>
      <c r="BY34" s="394">
        <v>0</v>
      </c>
      <c r="BZ34" s="394">
        <v>0</v>
      </c>
      <c r="CA34" s="394">
        <v>0</v>
      </c>
      <c r="CB34" s="394">
        <v>0</v>
      </c>
      <c r="CC34" s="394">
        <v>0</v>
      </c>
      <c r="CD34" s="394">
        <v>0</v>
      </c>
      <c r="CE34" s="394">
        <v>0</v>
      </c>
      <c r="CF34" s="394">
        <v>0</v>
      </c>
      <c r="CG34" s="394">
        <v>0</v>
      </c>
      <c r="CH34" s="395">
        <v>0</v>
      </c>
    </row>
    <row r="35" spans="1:86" hidden="1" x14ac:dyDescent="0.25">
      <c r="A35" s="404" t="s">
        <v>575</v>
      </c>
      <c r="B35" s="394" t="s">
        <v>570</v>
      </c>
      <c r="C35" s="394">
        <v>0</v>
      </c>
      <c r="D35" s="394">
        <v>0</v>
      </c>
      <c r="E35" s="394">
        <v>0</v>
      </c>
      <c r="F35" s="394">
        <v>0</v>
      </c>
      <c r="G35" s="394">
        <v>0</v>
      </c>
      <c r="H35" s="394">
        <v>-500000</v>
      </c>
      <c r="I35" s="394">
        <v>-520000</v>
      </c>
      <c r="J35" s="394">
        <v>-540800.00000000012</v>
      </c>
      <c r="K35" s="394">
        <v>-562432</v>
      </c>
      <c r="L35" s="394">
        <v>-584929.28000000014</v>
      </c>
      <c r="M35" s="394">
        <v>-608326.45120000013</v>
      </c>
      <c r="N35" s="394">
        <v>-632659.50924800022</v>
      </c>
      <c r="O35" s="394">
        <v>-657965.88961792015</v>
      </c>
      <c r="P35" s="394">
        <v>-684284.52520263707</v>
      </c>
      <c r="Q35" s="394">
        <v>-711655.90621074254</v>
      </c>
      <c r="R35" s="394">
        <v>0</v>
      </c>
      <c r="S35" s="394">
        <v>0</v>
      </c>
      <c r="T35" s="394">
        <v>0</v>
      </c>
      <c r="U35" s="394">
        <v>0</v>
      </c>
      <c r="V35" s="394">
        <v>0</v>
      </c>
      <c r="W35" s="394">
        <v>0</v>
      </c>
      <c r="X35" s="394">
        <v>0</v>
      </c>
      <c r="Y35" s="394">
        <v>0</v>
      </c>
      <c r="Z35" s="394">
        <v>0</v>
      </c>
      <c r="AA35" s="394">
        <v>0</v>
      </c>
      <c r="AB35" s="394">
        <v>0</v>
      </c>
      <c r="AC35" s="394">
        <v>0</v>
      </c>
      <c r="AD35" s="394">
        <v>0</v>
      </c>
      <c r="AE35" s="394">
        <v>0</v>
      </c>
      <c r="AF35" s="394">
        <v>0</v>
      </c>
      <c r="AG35" s="394">
        <v>0</v>
      </c>
      <c r="AH35" s="394">
        <v>0</v>
      </c>
      <c r="AI35" s="394">
        <v>0</v>
      </c>
      <c r="AJ35" s="394">
        <v>0</v>
      </c>
      <c r="AK35" s="394">
        <v>0</v>
      </c>
      <c r="AL35" s="394">
        <v>0</v>
      </c>
      <c r="AM35" s="394">
        <v>0</v>
      </c>
      <c r="AN35" s="394">
        <v>0</v>
      </c>
      <c r="AO35" s="394">
        <v>0</v>
      </c>
      <c r="AP35" s="394">
        <v>0</v>
      </c>
      <c r="AQ35" s="394">
        <v>0</v>
      </c>
      <c r="AR35" s="394">
        <v>0</v>
      </c>
      <c r="AS35" s="394">
        <v>0</v>
      </c>
      <c r="AT35" s="394">
        <v>0</v>
      </c>
      <c r="AU35" s="394">
        <v>0</v>
      </c>
      <c r="AV35" s="394">
        <v>0</v>
      </c>
      <c r="AW35" s="394">
        <v>0</v>
      </c>
      <c r="AX35" s="394">
        <v>0</v>
      </c>
      <c r="AY35" s="394">
        <v>0</v>
      </c>
      <c r="AZ35" s="394">
        <v>0</v>
      </c>
      <c r="BA35" s="394">
        <v>0</v>
      </c>
      <c r="BB35" s="394">
        <v>0</v>
      </c>
      <c r="BC35" s="394">
        <v>0</v>
      </c>
      <c r="BD35" s="394">
        <v>0</v>
      </c>
      <c r="BE35" s="394">
        <v>0</v>
      </c>
      <c r="BF35" s="394">
        <v>0</v>
      </c>
      <c r="BG35" s="394">
        <v>0</v>
      </c>
      <c r="BH35" s="394">
        <v>0</v>
      </c>
      <c r="BI35" s="394">
        <v>0</v>
      </c>
      <c r="BJ35" s="394">
        <v>0</v>
      </c>
      <c r="BK35" s="394">
        <v>0</v>
      </c>
      <c r="BL35" s="394">
        <v>0</v>
      </c>
      <c r="BM35" s="394">
        <v>0</v>
      </c>
      <c r="BN35" s="394">
        <v>0</v>
      </c>
      <c r="BO35" s="394">
        <v>0</v>
      </c>
      <c r="BP35" s="394">
        <v>0</v>
      </c>
      <c r="BQ35" s="394">
        <v>0</v>
      </c>
      <c r="BR35" s="394">
        <v>0</v>
      </c>
      <c r="BS35" s="394">
        <v>0</v>
      </c>
      <c r="BT35" s="394">
        <v>0</v>
      </c>
      <c r="BU35" s="394">
        <v>0</v>
      </c>
      <c r="BV35" s="394">
        <v>0</v>
      </c>
      <c r="BW35" s="394">
        <v>0</v>
      </c>
      <c r="BX35" s="394">
        <v>0</v>
      </c>
      <c r="BY35" s="394">
        <v>0</v>
      </c>
      <c r="BZ35" s="394">
        <v>0</v>
      </c>
      <c r="CA35" s="394">
        <v>0</v>
      </c>
      <c r="CB35" s="394">
        <v>0</v>
      </c>
      <c r="CC35" s="394">
        <v>0</v>
      </c>
      <c r="CD35" s="394">
        <v>0</v>
      </c>
      <c r="CE35" s="394">
        <v>0</v>
      </c>
      <c r="CF35" s="394">
        <v>0</v>
      </c>
      <c r="CG35" s="394">
        <v>0</v>
      </c>
      <c r="CH35" s="395">
        <v>0</v>
      </c>
    </row>
    <row r="36" spans="1:86" hidden="1" x14ac:dyDescent="0.25">
      <c r="A36" s="404" t="s">
        <v>576</v>
      </c>
      <c r="B36" s="394" t="s">
        <v>570</v>
      </c>
      <c r="C36" s="394">
        <v>0</v>
      </c>
      <c r="D36" s="394">
        <v>0</v>
      </c>
      <c r="E36" s="394">
        <v>0</v>
      </c>
      <c r="F36" s="394">
        <v>0</v>
      </c>
      <c r="G36" s="394">
        <v>0</v>
      </c>
      <c r="H36" s="394">
        <v>0</v>
      </c>
      <c r="I36" s="394">
        <v>0</v>
      </c>
      <c r="J36" s="394">
        <v>0</v>
      </c>
      <c r="K36" s="394">
        <v>0</v>
      </c>
      <c r="L36" s="394">
        <v>-64997853.679687008</v>
      </c>
      <c r="M36" s="394">
        <v>-67597767.826874495</v>
      </c>
      <c r="N36" s="394">
        <v>-421773.00616533344</v>
      </c>
      <c r="O36" s="394">
        <v>-438643.92641194671</v>
      </c>
      <c r="P36" s="394">
        <v>-456189.68346842466</v>
      </c>
      <c r="Q36" s="394">
        <v>-474437.27080716169</v>
      </c>
      <c r="R36" s="394">
        <v>0</v>
      </c>
      <c r="S36" s="394">
        <v>0</v>
      </c>
      <c r="T36" s="394">
        <v>0</v>
      </c>
      <c r="U36" s="394">
        <v>0</v>
      </c>
      <c r="V36" s="394">
        <v>0</v>
      </c>
      <c r="W36" s="394">
        <v>0</v>
      </c>
      <c r="X36" s="394">
        <v>0</v>
      </c>
      <c r="Y36" s="394">
        <v>0</v>
      </c>
      <c r="Z36" s="394">
        <v>0</v>
      </c>
      <c r="AA36" s="394">
        <v>0</v>
      </c>
      <c r="AB36" s="394">
        <v>0</v>
      </c>
      <c r="AC36" s="394">
        <v>0</v>
      </c>
      <c r="AD36" s="394">
        <v>0</v>
      </c>
      <c r="AE36" s="394">
        <v>0</v>
      </c>
      <c r="AF36" s="394">
        <v>0</v>
      </c>
      <c r="AG36" s="394">
        <v>0</v>
      </c>
      <c r="AH36" s="394">
        <v>0</v>
      </c>
      <c r="AI36" s="394">
        <v>0</v>
      </c>
      <c r="AJ36" s="394">
        <v>0</v>
      </c>
      <c r="AK36" s="394">
        <v>0</v>
      </c>
      <c r="AL36" s="394">
        <v>0</v>
      </c>
      <c r="AM36" s="394">
        <v>0</v>
      </c>
      <c r="AN36" s="394">
        <v>0</v>
      </c>
      <c r="AO36" s="394">
        <v>0</v>
      </c>
      <c r="AP36" s="394">
        <v>0</v>
      </c>
      <c r="AQ36" s="394">
        <v>0</v>
      </c>
      <c r="AR36" s="394">
        <v>0</v>
      </c>
      <c r="AS36" s="394">
        <v>0</v>
      </c>
      <c r="AT36" s="394">
        <v>0</v>
      </c>
      <c r="AU36" s="394">
        <v>0</v>
      </c>
      <c r="AV36" s="394">
        <v>0</v>
      </c>
      <c r="AW36" s="394">
        <v>0</v>
      </c>
      <c r="AX36" s="394">
        <v>0</v>
      </c>
      <c r="AY36" s="394">
        <v>0</v>
      </c>
      <c r="AZ36" s="394">
        <v>0</v>
      </c>
      <c r="BA36" s="394">
        <v>0</v>
      </c>
      <c r="BB36" s="394">
        <v>0</v>
      </c>
      <c r="BC36" s="394">
        <v>0</v>
      </c>
      <c r="BD36" s="394">
        <v>0</v>
      </c>
      <c r="BE36" s="394">
        <v>0</v>
      </c>
      <c r="BF36" s="394">
        <v>0</v>
      </c>
      <c r="BG36" s="394">
        <v>0</v>
      </c>
      <c r="BH36" s="394">
        <v>0</v>
      </c>
      <c r="BI36" s="394">
        <v>0</v>
      </c>
      <c r="BJ36" s="394">
        <v>0</v>
      </c>
      <c r="BK36" s="394">
        <v>0</v>
      </c>
      <c r="BL36" s="394">
        <v>0</v>
      </c>
      <c r="BM36" s="394">
        <v>0</v>
      </c>
      <c r="BN36" s="394">
        <v>0</v>
      </c>
      <c r="BO36" s="394">
        <v>0</v>
      </c>
      <c r="BP36" s="394">
        <v>0</v>
      </c>
      <c r="BQ36" s="394">
        <v>0</v>
      </c>
      <c r="BR36" s="394">
        <v>0</v>
      </c>
      <c r="BS36" s="394">
        <v>0</v>
      </c>
      <c r="BT36" s="394">
        <v>0</v>
      </c>
      <c r="BU36" s="394">
        <v>0</v>
      </c>
      <c r="BV36" s="394">
        <v>0</v>
      </c>
      <c r="BW36" s="394">
        <v>0</v>
      </c>
      <c r="BX36" s="394">
        <v>0</v>
      </c>
      <c r="BY36" s="394">
        <v>0</v>
      </c>
      <c r="BZ36" s="394">
        <v>0</v>
      </c>
      <c r="CA36" s="394">
        <v>0</v>
      </c>
      <c r="CB36" s="394">
        <v>0</v>
      </c>
      <c r="CC36" s="394">
        <v>0</v>
      </c>
      <c r="CD36" s="394">
        <v>0</v>
      </c>
      <c r="CE36" s="394">
        <v>0</v>
      </c>
      <c r="CF36" s="394">
        <v>0</v>
      </c>
      <c r="CG36" s="394">
        <v>0</v>
      </c>
      <c r="CH36" s="395">
        <v>0</v>
      </c>
    </row>
    <row r="37" spans="1:86" hidden="1" x14ac:dyDescent="0.25">
      <c r="A37" s="404" t="s">
        <v>577</v>
      </c>
      <c r="B37" s="394" t="s">
        <v>570</v>
      </c>
      <c r="C37" s="394">
        <v>0</v>
      </c>
      <c r="D37" s="394">
        <v>0</v>
      </c>
      <c r="E37" s="394">
        <v>0</v>
      </c>
      <c r="F37" s="394">
        <v>0</v>
      </c>
      <c r="G37" s="394">
        <v>0</v>
      </c>
      <c r="H37" s="394">
        <v>0</v>
      </c>
      <c r="I37" s="394">
        <v>0</v>
      </c>
      <c r="J37" s="394">
        <v>0</v>
      </c>
      <c r="K37" s="394">
        <v>0</v>
      </c>
      <c r="L37" s="394">
        <v>0</v>
      </c>
      <c r="M37" s="394">
        <v>0</v>
      </c>
      <c r="N37" s="394">
        <v>0</v>
      </c>
      <c r="O37" s="394">
        <v>0</v>
      </c>
      <c r="P37" s="394">
        <v>0</v>
      </c>
      <c r="Q37" s="394">
        <v>0</v>
      </c>
      <c r="R37" s="394">
        <v>0</v>
      </c>
      <c r="S37" s="394">
        <v>0</v>
      </c>
      <c r="T37" s="394">
        <v>0</v>
      </c>
      <c r="U37" s="394">
        <v>0</v>
      </c>
      <c r="V37" s="394">
        <v>0</v>
      </c>
      <c r="W37" s="394">
        <v>0</v>
      </c>
      <c r="X37" s="394">
        <v>0</v>
      </c>
      <c r="Y37" s="394">
        <v>0</v>
      </c>
      <c r="Z37" s="394">
        <v>0</v>
      </c>
      <c r="AA37" s="394">
        <v>0</v>
      </c>
      <c r="AB37" s="394">
        <v>0</v>
      </c>
      <c r="AC37" s="394">
        <v>0</v>
      </c>
      <c r="AD37" s="394">
        <v>0</v>
      </c>
      <c r="AE37" s="394">
        <v>0</v>
      </c>
      <c r="AF37" s="394">
        <v>0</v>
      </c>
      <c r="AG37" s="394">
        <v>0</v>
      </c>
      <c r="AH37" s="394">
        <v>0</v>
      </c>
      <c r="AI37" s="394">
        <v>0</v>
      </c>
      <c r="AJ37" s="394">
        <v>0</v>
      </c>
      <c r="AK37" s="394">
        <v>0</v>
      </c>
      <c r="AL37" s="394">
        <v>0</v>
      </c>
      <c r="AM37" s="394">
        <v>0</v>
      </c>
      <c r="AN37" s="394">
        <v>0</v>
      </c>
      <c r="AO37" s="394">
        <v>0</v>
      </c>
      <c r="AP37" s="394">
        <v>0</v>
      </c>
      <c r="AQ37" s="394">
        <v>0</v>
      </c>
      <c r="AR37" s="394">
        <v>0</v>
      </c>
      <c r="AS37" s="394">
        <v>0</v>
      </c>
      <c r="AT37" s="394">
        <v>0</v>
      </c>
      <c r="AU37" s="394">
        <v>0</v>
      </c>
      <c r="AV37" s="394">
        <v>0</v>
      </c>
      <c r="AW37" s="394">
        <v>0</v>
      </c>
      <c r="AX37" s="394">
        <v>0</v>
      </c>
      <c r="AY37" s="394">
        <v>0</v>
      </c>
      <c r="AZ37" s="394">
        <v>0</v>
      </c>
      <c r="BA37" s="394">
        <v>0</v>
      </c>
      <c r="BB37" s="394">
        <v>0</v>
      </c>
      <c r="BC37" s="394">
        <v>0</v>
      </c>
      <c r="BD37" s="394">
        <v>0</v>
      </c>
      <c r="BE37" s="394">
        <v>0</v>
      </c>
      <c r="BF37" s="394">
        <v>0</v>
      </c>
      <c r="BG37" s="394">
        <v>0</v>
      </c>
      <c r="BH37" s="394">
        <v>0</v>
      </c>
      <c r="BI37" s="394">
        <v>0</v>
      </c>
      <c r="BJ37" s="394">
        <v>0</v>
      </c>
      <c r="BK37" s="394">
        <v>0</v>
      </c>
      <c r="BL37" s="394">
        <v>0</v>
      </c>
      <c r="BM37" s="394">
        <v>0</v>
      </c>
      <c r="BN37" s="394">
        <v>0</v>
      </c>
      <c r="BO37" s="394">
        <v>0</v>
      </c>
      <c r="BP37" s="394">
        <v>0</v>
      </c>
      <c r="BQ37" s="394">
        <v>0</v>
      </c>
      <c r="BR37" s="394">
        <v>0</v>
      </c>
      <c r="BS37" s="394">
        <v>0</v>
      </c>
      <c r="BT37" s="394">
        <v>0</v>
      </c>
      <c r="BU37" s="394">
        <v>0</v>
      </c>
      <c r="BV37" s="394">
        <v>0</v>
      </c>
      <c r="BW37" s="394">
        <v>0</v>
      </c>
      <c r="BX37" s="394">
        <v>0</v>
      </c>
      <c r="BY37" s="394">
        <v>0</v>
      </c>
      <c r="BZ37" s="394">
        <v>0</v>
      </c>
      <c r="CA37" s="394">
        <v>0</v>
      </c>
      <c r="CB37" s="394">
        <v>0</v>
      </c>
      <c r="CC37" s="394">
        <v>0</v>
      </c>
      <c r="CD37" s="394">
        <v>0</v>
      </c>
      <c r="CE37" s="394">
        <v>0</v>
      </c>
      <c r="CF37" s="394">
        <v>0</v>
      </c>
      <c r="CG37" s="394">
        <v>0</v>
      </c>
      <c r="CH37" s="395">
        <v>0</v>
      </c>
    </row>
    <row r="38" spans="1:86" hidden="1" x14ac:dyDescent="0.25">
      <c r="A38" s="404" t="s">
        <v>578</v>
      </c>
      <c r="B38" s="394" t="s">
        <v>570</v>
      </c>
      <c r="C38" s="394">
        <v>0</v>
      </c>
      <c r="D38" s="394">
        <v>0</v>
      </c>
      <c r="E38" s="394">
        <v>0</v>
      </c>
      <c r="F38" s="394">
        <v>0</v>
      </c>
      <c r="G38" s="394">
        <v>0</v>
      </c>
      <c r="H38" s="394">
        <v>0</v>
      </c>
      <c r="I38" s="394">
        <v>0</v>
      </c>
      <c r="J38" s="394">
        <v>0</v>
      </c>
      <c r="K38" s="394">
        <v>0</v>
      </c>
      <c r="L38" s="394">
        <v>0</v>
      </c>
      <c r="M38" s="394">
        <v>0</v>
      </c>
      <c r="N38" s="394">
        <v>0</v>
      </c>
      <c r="O38" s="394">
        <v>0</v>
      </c>
      <c r="P38" s="394">
        <v>0</v>
      </c>
      <c r="Q38" s="394">
        <v>0</v>
      </c>
      <c r="R38" s="394">
        <v>0</v>
      </c>
      <c r="S38" s="394">
        <v>0</v>
      </c>
      <c r="T38" s="394">
        <v>0</v>
      </c>
      <c r="U38" s="394">
        <v>0</v>
      </c>
      <c r="V38" s="394">
        <v>0</v>
      </c>
      <c r="W38" s="394">
        <v>-6926705.7904112181</v>
      </c>
      <c r="X38" s="394">
        <v>0</v>
      </c>
      <c r="Y38" s="394">
        <v>0</v>
      </c>
      <c r="Z38" s="394">
        <v>0</v>
      </c>
      <c r="AA38" s="394">
        <v>0</v>
      </c>
      <c r="AB38" s="394">
        <v>0</v>
      </c>
      <c r="AC38" s="394">
        <v>0</v>
      </c>
      <c r="AD38" s="394">
        <v>0</v>
      </c>
      <c r="AE38" s="394">
        <v>0</v>
      </c>
      <c r="AF38" s="394">
        <v>0</v>
      </c>
      <c r="AG38" s="394">
        <v>0</v>
      </c>
      <c r="AH38" s="394">
        <v>0</v>
      </c>
      <c r="AI38" s="394">
        <v>0</v>
      </c>
      <c r="AJ38" s="394">
        <v>0</v>
      </c>
      <c r="AK38" s="394">
        <v>0</v>
      </c>
      <c r="AL38" s="394">
        <v>0</v>
      </c>
      <c r="AM38" s="394">
        <v>0</v>
      </c>
      <c r="AN38" s="394">
        <v>0</v>
      </c>
      <c r="AO38" s="394">
        <v>0</v>
      </c>
      <c r="AP38" s="394">
        <v>0</v>
      </c>
      <c r="AQ38" s="394">
        <v>0</v>
      </c>
      <c r="AR38" s="394">
        <v>0</v>
      </c>
      <c r="AS38" s="394">
        <v>0</v>
      </c>
      <c r="AT38" s="394">
        <v>0</v>
      </c>
      <c r="AU38" s="394">
        <v>0</v>
      </c>
      <c r="AV38" s="394">
        <v>0</v>
      </c>
      <c r="AW38" s="394">
        <v>0</v>
      </c>
      <c r="AX38" s="394">
        <v>0</v>
      </c>
      <c r="AY38" s="394">
        <v>0</v>
      </c>
      <c r="AZ38" s="394">
        <v>0</v>
      </c>
      <c r="BA38" s="394">
        <v>0</v>
      </c>
      <c r="BB38" s="394">
        <v>0</v>
      </c>
      <c r="BC38" s="394">
        <v>0</v>
      </c>
      <c r="BD38" s="394">
        <v>0</v>
      </c>
      <c r="BE38" s="394">
        <v>0</v>
      </c>
      <c r="BF38" s="394">
        <v>0</v>
      </c>
      <c r="BG38" s="394">
        <v>0</v>
      </c>
      <c r="BH38" s="394">
        <v>0</v>
      </c>
      <c r="BI38" s="394">
        <v>0</v>
      </c>
      <c r="BJ38" s="394">
        <v>0</v>
      </c>
      <c r="BK38" s="394">
        <v>0</v>
      </c>
      <c r="BL38" s="394">
        <v>0</v>
      </c>
      <c r="BM38" s="394">
        <v>0</v>
      </c>
      <c r="BN38" s="394">
        <v>0</v>
      </c>
      <c r="BO38" s="394">
        <v>0</v>
      </c>
      <c r="BP38" s="394">
        <v>0</v>
      </c>
      <c r="BQ38" s="394">
        <v>0</v>
      </c>
      <c r="BR38" s="394">
        <v>0</v>
      </c>
      <c r="BS38" s="394">
        <v>0</v>
      </c>
      <c r="BT38" s="394">
        <v>0</v>
      </c>
      <c r="BU38" s="394">
        <v>0</v>
      </c>
      <c r="BV38" s="394">
        <v>0</v>
      </c>
      <c r="BW38" s="394">
        <v>0</v>
      </c>
      <c r="BX38" s="394">
        <v>0</v>
      </c>
      <c r="BY38" s="394">
        <v>0</v>
      </c>
      <c r="BZ38" s="394">
        <v>0</v>
      </c>
      <c r="CA38" s="394">
        <v>0</v>
      </c>
      <c r="CB38" s="394">
        <v>0</v>
      </c>
      <c r="CC38" s="394">
        <v>0</v>
      </c>
      <c r="CD38" s="394">
        <v>0</v>
      </c>
      <c r="CE38" s="394">
        <v>0</v>
      </c>
      <c r="CF38" s="394">
        <v>0</v>
      </c>
      <c r="CG38" s="394">
        <v>0</v>
      </c>
      <c r="CH38" s="395">
        <v>0</v>
      </c>
    </row>
    <row r="39" spans="1:86" hidden="1" x14ac:dyDescent="0.25">
      <c r="A39" s="404" t="s">
        <v>579</v>
      </c>
      <c r="B39" s="394" t="s">
        <v>570</v>
      </c>
      <c r="C39" s="394">
        <v>0</v>
      </c>
      <c r="D39" s="394">
        <v>0</v>
      </c>
      <c r="E39" s="394">
        <v>0</v>
      </c>
      <c r="F39" s="394">
        <v>0</v>
      </c>
      <c r="G39" s="394">
        <v>0</v>
      </c>
      <c r="H39" s="394">
        <v>0</v>
      </c>
      <c r="I39" s="394">
        <v>0</v>
      </c>
      <c r="J39" s="394">
        <v>0</v>
      </c>
      <c r="K39" s="394">
        <v>0</v>
      </c>
      <c r="L39" s="394">
        <v>0</v>
      </c>
      <c r="M39" s="394">
        <v>0</v>
      </c>
      <c r="N39" s="394">
        <v>0</v>
      </c>
      <c r="O39" s="394">
        <v>0</v>
      </c>
      <c r="P39" s="394">
        <v>0</v>
      </c>
      <c r="Q39" s="394">
        <v>0</v>
      </c>
      <c r="R39" s="394">
        <v>-11386494.499371881</v>
      </c>
      <c r="S39" s="394">
        <v>-11841954.279346755</v>
      </c>
      <c r="T39" s="394">
        <v>0</v>
      </c>
      <c r="U39" s="394">
        <v>0</v>
      </c>
      <c r="V39" s="394">
        <v>0</v>
      </c>
      <c r="W39" s="394">
        <v>0</v>
      </c>
      <c r="X39" s="394">
        <v>0</v>
      </c>
      <c r="Y39" s="394">
        <v>0</v>
      </c>
      <c r="Z39" s="394">
        <v>0</v>
      </c>
      <c r="AA39" s="394">
        <v>0</v>
      </c>
      <c r="AB39" s="394">
        <v>0</v>
      </c>
      <c r="AC39" s="394">
        <v>0</v>
      </c>
      <c r="AD39" s="394">
        <v>0</v>
      </c>
      <c r="AE39" s="394">
        <v>0</v>
      </c>
      <c r="AF39" s="394">
        <v>0</v>
      </c>
      <c r="AG39" s="394">
        <v>0</v>
      </c>
      <c r="AH39" s="394">
        <v>0</v>
      </c>
      <c r="AI39" s="394">
        <v>0</v>
      </c>
      <c r="AJ39" s="394">
        <v>0</v>
      </c>
      <c r="AK39" s="394">
        <v>0</v>
      </c>
      <c r="AL39" s="394">
        <v>0</v>
      </c>
      <c r="AM39" s="394">
        <v>0</v>
      </c>
      <c r="AN39" s="394">
        <v>0</v>
      </c>
      <c r="AO39" s="394">
        <v>0</v>
      </c>
      <c r="AP39" s="394">
        <v>0</v>
      </c>
      <c r="AQ39" s="394">
        <v>0</v>
      </c>
      <c r="AR39" s="394">
        <v>0</v>
      </c>
      <c r="AS39" s="394">
        <v>0</v>
      </c>
      <c r="AT39" s="394">
        <v>0</v>
      </c>
      <c r="AU39" s="394">
        <v>0</v>
      </c>
      <c r="AV39" s="394">
        <v>0</v>
      </c>
      <c r="AW39" s="394">
        <v>0</v>
      </c>
      <c r="AX39" s="394">
        <v>0</v>
      </c>
      <c r="AY39" s="394">
        <v>0</v>
      </c>
      <c r="AZ39" s="394">
        <v>0</v>
      </c>
      <c r="BA39" s="394">
        <v>0</v>
      </c>
      <c r="BB39" s="394">
        <v>0</v>
      </c>
      <c r="BC39" s="394">
        <v>0</v>
      </c>
      <c r="BD39" s="394">
        <v>0</v>
      </c>
      <c r="BE39" s="394">
        <v>0</v>
      </c>
      <c r="BF39" s="394">
        <v>0</v>
      </c>
      <c r="BG39" s="394">
        <v>0</v>
      </c>
      <c r="BH39" s="394">
        <v>0</v>
      </c>
      <c r="BI39" s="394">
        <v>0</v>
      </c>
      <c r="BJ39" s="394">
        <v>0</v>
      </c>
      <c r="BK39" s="394">
        <v>0</v>
      </c>
      <c r="BL39" s="394">
        <v>0</v>
      </c>
      <c r="BM39" s="394">
        <v>0</v>
      </c>
      <c r="BN39" s="394">
        <v>0</v>
      </c>
      <c r="BO39" s="394">
        <v>0</v>
      </c>
      <c r="BP39" s="394">
        <v>0</v>
      </c>
      <c r="BQ39" s="394">
        <v>0</v>
      </c>
      <c r="BR39" s="394">
        <v>0</v>
      </c>
      <c r="BS39" s="394">
        <v>0</v>
      </c>
      <c r="BT39" s="394">
        <v>0</v>
      </c>
      <c r="BU39" s="394">
        <v>0</v>
      </c>
      <c r="BV39" s="394">
        <v>0</v>
      </c>
      <c r="BW39" s="394">
        <v>0</v>
      </c>
      <c r="BX39" s="394">
        <v>0</v>
      </c>
      <c r="BY39" s="394">
        <v>0</v>
      </c>
      <c r="BZ39" s="394">
        <v>0</v>
      </c>
      <c r="CA39" s="394">
        <v>0</v>
      </c>
      <c r="CB39" s="394">
        <v>0</v>
      </c>
      <c r="CC39" s="394">
        <v>0</v>
      </c>
      <c r="CD39" s="394">
        <v>0</v>
      </c>
      <c r="CE39" s="394">
        <v>0</v>
      </c>
      <c r="CF39" s="394">
        <v>0</v>
      </c>
      <c r="CG39" s="394">
        <v>0</v>
      </c>
      <c r="CH39" s="395">
        <v>0</v>
      </c>
    </row>
    <row r="40" spans="1:86" hidden="1" x14ac:dyDescent="0.25">
      <c r="A40" s="404" t="s">
        <v>580</v>
      </c>
      <c r="B40" s="394" t="s">
        <v>570</v>
      </c>
      <c r="C40" s="394">
        <v>0</v>
      </c>
      <c r="D40" s="394">
        <v>0</v>
      </c>
      <c r="E40" s="394">
        <v>0</v>
      </c>
      <c r="F40" s="394">
        <v>0</v>
      </c>
      <c r="G40" s="394">
        <v>0</v>
      </c>
      <c r="H40" s="394">
        <v>0</v>
      </c>
      <c r="I40" s="394">
        <v>0</v>
      </c>
      <c r="J40" s="394">
        <v>0</v>
      </c>
      <c r="K40" s="394">
        <v>0</v>
      </c>
      <c r="L40" s="394">
        <v>0</v>
      </c>
      <c r="M40" s="394">
        <v>0</v>
      </c>
      <c r="N40" s="394">
        <v>0</v>
      </c>
      <c r="O40" s="394">
        <v>0</v>
      </c>
      <c r="P40" s="394">
        <v>0</v>
      </c>
      <c r="Q40" s="394">
        <v>0</v>
      </c>
      <c r="R40" s="394">
        <v>0</v>
      </c>
      <c r="S40" s="394">
        <v>0</v>
      </c>
      <c r="T40" s="394">
        <v>0</v>
      </c>
      <c r="U40" s="394">
        <v>0</v>
      </c>
      <c r="V40" s="394">
        <v>0</v>
      </c>
      <c r="W40" s="394">
        <v>0</v>
      </c>
      <c r="X40" s="394">
        <v>0</v>
      </c>
      <c r="Y40" s="394">
        <v>0</v>
      </c>
      <c r="Z40" s="394">
        <v>0</v>
      </c>
      <c r="AA40" s="394">
        <v>0</v>
      </c>
      <c r="AB40" s="394">
        <v>-10534245.879968369</v>
      </c>
      <c r="AC40" s="394">
        <v>-10955615.715167107</v>
      </c>
      <c r="AD40" s="394">
        <v>0</v>
      </c>
      <c r="AE40" s="394">
        <v>0</v>
      </c>
      <c r="AF40" s="394">
        <v>0</v>
      </c>
      <c r="AG40" s="394">
        <v>0</v>
      </c>
      <c r="AH40" s="394">
        <v>0</v>
      </c>
      <c r="AI40" s="394">
        <v>0</v>
      </c>
      <c r="AJ40" s="394">
        <v>0</v>
      </c>
      <c r="AK40" s="394">
        <v>0</v>
      </c>
      <c r="AL40" s="394">
        <v>0</v>
      </c>
      <c r="AM40" s="394">
        <v>0</v>
      </c>
      <c r="AN40" s="394">
        <v>0</v>
      </c>
      <c r="AO40" s="394">
        <v>0</v>
      </c>
      <c r="AP40" s="394">
        <v>0</v>
      </c>
      <c r="AQ40" s="394">
        <v>0</v>
      </c>
      <c r="AR40" s="394">
        <v>0</v>
      </c>
      <c r="AS40" s="394">
        <v>0</v>
      </c>
      <c r="AT40" s="394">
        <v>0</v>
      </c>
      <c r="AU40" s="394">
        <v>0</v>
      </c>
      <c r="AV40" s="394">
        <v>0</v>
      </c>
      <c r="AW40" s="394">
        <v>0</v>
      </c>
      <c r="AX40" s="394">
        <v>0</v>
      </c>
      <c r="AY40" s="394">
        <v>0</v>
      </c>
      <c r="AZ40" s="394">
        <v>0</v>
      </c>
      <c r="BA40" s="394">
        <v>0</v>
      </c>
      <c r="BB40" s="394">
        <v>0</v>
      </c>
      <c r="BC40" s="394">
        <v>0</v>
      </c>
      <c r="BD40" s="394">
        <v>0</v>
      </c>
      <c r="BE40" s="394">
        <v>0</v>
      </c>
      <c r="BF40" s="394">
        <v>0</v>
      </c>
      <c r="BG40" s="394">
        <v>0</v>
      </c>
      <c r="BH40" s="394">
        <v>0</v>
      </c>
      <c r="BI40" s="394">
        <v>0</v>
      </c>
      <c r="BJ40" s="394">
        <v>0</v>
      </c>
      <c r="BK40" s="394">
        <v>0</v>
      </c>
      <c r="BL40" s="394">
        <v>0</v>
      </c>
      <c r="BM40" s="394">
        <v>0</v>
      </c>
      <c r="BN40" s="394">
        <v>0</v>
      </c>
      <c r="BO40" s="394">
        <v>0</v>
      </c>
      <c r="BP40" s="394">
        <v>0</v>
      </c>
      <c r="BQ40" s="394">
        <v>0</v>
      </c>
      <c r="BR40" s="394">
        <v>0</v>
      </c>
      <c r="BS40" s="394">
        <v>0</v>
      </c>
      <c r="BT40" s="394">
        <v>0</v>
      </c>
      <c r="BU40" s="394">
        <v>0</v>
      </c>
      <c r="BV40" s="394">
        <v>0</v>
      </c>
      <c r="BW40" s="394">
        <v>0</v>
      </c>
      <c r="BX40" s="394">
        <v>0</v>
      </c>
      <c r="BY40" s="394">
        <v>0</v>
      </c>
      <c r="BZ40" s="394">
        <v>0</v>
      </c>
      <c r="CA40" s="394">
        <v>0</v>
      </c>
      <c r="CB40" s="394">
        <v>0</v>
      </c>
      <c r="CC40" s="394">
        <v>0</v>
      </c>
      <c r="CD40" s="394">
        <v>0</v>
      </c>
      <c r="CE40" s="394">
        <v>0</v>
      </c>
      <c r="CF40" s="394">
        <v>0</v>
      </c>
      <c r="CG40" s="394">
        <v>0</v>
      </c>
      <c r="CH40" s="395">
        <v>0</v>
      </c>
    </row>
    <row r="41" spans="1:86" hidden="1" x14ac:dyDescent="0.25">
      <c r="A41" s="404" t="s">
        <v>581</v>
      </c>
      <c r="B41" s="394" t="s">
        <v>570</v>
      </c>
      <c r="C41" s="394">
        <v>0</v>
      </c>
      <c r="D41" s="394">
        <v>0</v>
      </c>
      <c r="E41" s="394">
        <v>0</v>
      </c>
      <c r="F41" s="394">
        <v>0</v>
      </c>
      <c r="G41" s="394">
        <v>0</v>
      </c>
      <c r="H41" s="394">
        <v>0</v>
      </c>
      <c r="I41" s="394">
        <v>0</v>
      </c>
      <c r="J41" s="394">
        <v>0</v>
      </c>
      <c r="K41" s="394">
        <v>0</v>
      </c>
      <c r="L41" s="394">
        <v>0</v>
      </c>
      <c r="M41" s="394">
        <v>0</v>
      </c>
      <c r="N41" s="394">
        <v>0</v>
      </c>
      <c r="O41" s="394">
        <v>0</v>
      </c>
      <c r="P41" s="394">
        <v>0</v>
      </c>
      <c r="Q41" s="394">
        <v>0</v>
      </c>
      <c r="R41" s="394">
        <v>0</v>
      </c>
      <c r="S41" s="394">
        <v>0</v>
      </c>
      <c r="T41" s="394">
        <v>0</v>
      </c>
      <c r="U41" s="394">
        <v>0</v>
      </c>
      <c r="V41" s="394">
        <v>0</v>
      </c>
      <c r="W41" s="394">
        <v>0</v>
      </c>
      <c r="X41" s="394">
        <v>0</v>
      </c>
      <c r="Y41" s="394">
        <v>-37459624.914543867</v>
      </c>
      <c r="Z41" s="394">
        <v>-38958009.91112563</v>
      </c>
      <c r="AA41" s="394">
        <v>-40516330.307570651</v>
      </c>
      <c r="AB41" s="394">
        <v>0</v>
      </c>
      <c r="AC41" s="394">
        <v>0</v>
      </c>
      <c r="AD41" s="394">
        <v>0</v>
      </c>
      <c r="AE41" s="394">
        <v>0</v>
      </c>
      <c r="AF41" s="394">
        <v>0</v>
      </c>
      <c r="AG41" s="394">
        <v>0</v>
      </c>
      <c r="AH41" s="394">
        <v>0</v>
      </c>
      <c r="AI41" s="394">
        <v>0</v>
      </c>
      <c r="AJ41" s="394">
        <v>0</v>
      </c>
      <c r="AK41" s="394">
        <v>0</v>
      </c>
      <c r="AL41" s="394">
        <v>0</v>
      </c>
      <c r="AM41" s="394">
        <v>0</v>
      </c>
      <c r="AN41" s="394">
        <v>0</v>
      </c>
      <c r="AO41" s="394">
        <v>0</v>
      </c>
      <c r="AP41" s="394">
        <v>0</v>
      </c>
      <c r="AQ41" s="394">
        <v>0</v>
      </c>
      <c r="AR41" s="394">
        <v>0</v>
      </c>
      <c r="AS41" s="394">
        <v>0</v>
      </c>
      <c r="AT41" s="394">
        <v>0</v>
      </c>
      <c r="AU41" s="394">
        <v>0</v>
      </c>
      <c r="AV41" s="394">
        <v>0</v>
      </c>
      <c r="AW41" s="394">
        <v>0</v>
      </c>
      <c r="AX41" s="394">
        <v>0</v>
      </c>
      <c r="AY41" s="394">
        <v>0</v>
      </c>
      <c r="AZ41" s="394">
        <v>0</v>
      </c>
      <c r="BA41" s="394">
        <v>0</v>
      </c>
      <c r="BB41" s="394">
        <v>0</v>
      </c>
      <c r="BC41" s="394">
        <v>0</v>
      </c>
      <c r="BD41" s="394">
        <v>0</v>
      </c>
      <c r="BE41" s="394">
        <v>0</v>
      </c>
      <c r="BF41" s="394">
        <v>0</v>
      </c>
      <c r="BG41" s="394">
        <v>0</v>
      </c>
      <c r="BH41" s="394">
        <v>0</v>
      </c>
      <c r="BI41" s="394">
        <v>0</v>
      </c>
      <c r="BJ41" s="394">
        <v>0</v>
      </c>
      <c r="BK41" s="394">
        <v>0</v>
      </c>
      <c r="BL41" s="394">
        <v>0</v>
      </c>
      <c r="BM41" s="394">
        <v>0</v>
      </c>
      <c r="BN41" s="394">
        <v>0</v>
      </c>
      <c r="BO41" s="394">
        <v>0</v>
      </c>
      <c r="BP41" s="394">
        <v>0</v>
      </c>
      <c r="BQ41" s="394">
        <v>0</v>
      </c>
      <c r="BR41" s="394">
        <v>0</v>
      </c>
      <c r="BS41" s="394">
        <v>0</v>
      </c>
      <c r="BT41" s="394">
        <v>0</v>
      </c>
      <c r="BU41" s="394">
        <v>0</v>
      </c>
      <c r="BV41" s="394">
        <v>0</v>
      </c>
      <c r="BW41" s="394">
        <v>0</v>
      </c>
      <c r="BX41" s="394">
        <v>0</v>
      </c>
      <c r="BY41" s="394">
        <v>0</v>
      </c>
      <c r="BZ41" s="394">
        <v>0</v>
      </c>
      <c r="CA41" s="394">
        <v>0</v>
      </c>
      <c r="CB41" s="394">
        <v>0</v>
      </c>
      <c r="CC41" s="394">
        <v>0</v>
      </c>
      <c r="CD41" s="394">
        <v>0</v>
      </c>
      <c r="CE41" s="394">
        <v>0</v>
      </c>
      <c r="CF41" s="394">
        <v>0</v>
      </c>
      <c r="CG41" s="394">
        <v>0</v>
      </c>
      <c r="CH41" s="395">
        <v>0</v>
      </c>
    </row>
    <row r="42" spans="1:86" hidden="1" x14ac:dyDescent="0.25">
      <c r="A42" s="404" t="s">
        <v>582</v>
      </c>
      <c r="B42" s="394">
        <v>0</v>
      </c>
      <c r="C42" s="394">
        <v>0</v>
      </c>
      <c r="D42" s="394">
        <v>0</v>
      </c>
      <c r="E42" s="394">
        <v>0</v>
      </c>
      <c r="F42" s="394">
        <v>0</v>
      </c>
      <c r="G42" s="394">
        <v>0</v>
      </c>
      <c r="H42" s="394">
        <v>0</v>
      </c>
      <c r="I42" s="394">
        <v>0</v>
      </c>
      <c r="J42" s="394">
        <v>-3362581.5717759971</v>
      </c>
      <c r="K42" s="394">
        <v>-3463459.0189292771</v>
      </c>
      <c r="L42" s="394">
        <v>-3567362.7894971552</v>
      </c>
      <c r="M42" s="394">
        <v>-3674383.6731820698</v>
      </c>
      <c r="N42" s="394">
        <v>-3784615.1833775323</v>
      </c>
      <c r="O42" s="394">
        <v>-3898153.6388788582</v>
      </c>
      <c r="P42" s="394">
        <v>-4015098.2480452233</v>
      </c>
      <c r="Q42" s="394">
        <v>-4135551.1954865805</v>
      </c>
      <c r="R42" s="394">
        <v>-4259617.7313511781</v>
      </c>
      <c r="S42" s="394">
        <v>-4387406.2632917129</v>
      </c>
      <c r="T42" s="394">
        <v>-4519028.4511904642</v>
      </c>
      <c r="U42" s="394">
        <v>-4654599.3047261778</v>
      </c>
      <c r="V42" s="394">
        <v>-4794237.2838679636</v>
      </c>
      <c r="W42" s="394">
        <v>-4938064.4023840027</v>
      </c>
      <c r="X42" s="394">
        <v>-5086206.3344555218</v>
      </c>
      <c r="Y42" s="394">
        <v>-5238792.5244891876</v>
      </c>
      <c r="Z42" s="394">
        <v>-5395956.3002238637</v>
      </c>
      <c r="AA42" s="394">
        <v>-5557834.9892305788</v>
      </c>
      <c r="AB42" s="394">
        <v>-5724570.0389074963</v>
      </c>
      <c r="AC42" s="394">
        <v>-5896307.1400747206</v>
      </c>
      <c r="AD42" s="394">
        <v>-6073196.3542769626</v>
      </c>
      <c r="AE42" s="394">
        <v>-6255392.2449052716</v>
      </c>
      <c r="AF42" s="394">
        <v>-6443054.0122524295</v>
      </c>
      <c r="AG42" s="394">
        <v>-6636345.6326200021</v>
      </c>
      <c r="AH42" s="394">
        <v>-6835436.0015986031</v>
      </c>
      <c r="AI42" s="394">
        <v>-7040499.0816465598</v>
      </c>
      <c r="AJ42" s="394">
        <v>-7251714.0540959565</v>
      </c>
      <c r="AK42" s="394">
        <v>-7469265.4757188344</v>
      </c>
      <c r="AL42" s="394">
        <v>-7693343.4399904003</v>
      </c>
      <c r="AM42" s="394">
        <v>-7924143.7431901135</v>
      </c>
      <c r="AN42" s="394">
        <v>-8161868.0554858148</v>
      </c>
      <c r="AO42" s="394">
        <v>-8406724.0971503891</v>
      </c>
      <c r="AP42" s="394">
        <v>-8658925.8200649004</v>
      </c>
      <c r="AQ42" s="394">
        <v>-8918693.594666848</v>
      </c>
      <c r="AR42" s="394">
        <v>-9186254.4025068544</v>
      </c>
      <c r="AS42" s="394">
        <v>-9461842.034582058</v>
      </c>
      <c r="AT42" s="394">
        <v>0</v>
      </c>
      <c r="AU42" s="394">
        <v>0</v>
      </c>
      <c r="AV42" s="394">
        <v>0</v>
      </c>
      <c r="AW42" s="394">
        <v>0</v>
      </c>
      <c r="AX42" s="394">
        <v>0</v>
      </c>
      <c r="AY42" s="394">
        <v>0</v>
      </c>
      <c r="AZ42" s="394">
        <v>0</v>
      </c>
      <c r="BA42" s="394">
        <v>0</v>
      </c>
      <c r="BB42" s="394">
        <v>0</v>
      </c>
      <c r="BC42" s="394">
        <v>0</v>
      </c>
      <c r="BD42" s="394">
        <v>0</v>
      </c>
      <c r="BE42" s="394">
        <v>0</v>
      </c>
      <c r="BF42" s="394">
        <v>0</v>
      </c>
      <c r="BG42" s="394">
        <v>0</v>
      </c>
      <c r="BH42" s="394">
        <v>0</v>
      </c>
      <c r="BI42" s="394">
        <v>0</v>
      </c>
      <c r="BJ42" s="394">
        <v>0</v>
      </c>
      <c r="BK42" s="394">
        <v>0</v>
      </c>
      <c r="BL42" s="394">
        <v>0</v>
      </c>
      <c r="BM42" s="394">
        <v>0</v>
      </c>
      <c r="BN42" s="394">
        <v>0</v>
      </c>
      <c r="BO42" s="394">
        <v>0</v>
      </c>
      <c r="BP42" s="394">
        <v>0</v>
      </c>
      <c r="BQ42" s="394">
        <v>0</v>
      </c>
      <c r="BR42" s="394">
        <v>0</v>
      </c>
      <c r="BS42" s="394">
        <v>0</v>
      </c>
      <c r="BT42" s="394">
        <v>0</v>
      </c>
      <c r="BU42" s="394">
        <v>0</v>
      </c>
      <c r="BV42" s="394">
        <v>0</v>
      </c>
      <c r="BW42" s="394">
        <v>0</v>
      </c>
      <c r="BX42" s="394">
        <v>0</v>
      </c>
      <c r="BY42" s="394">
        <v>0</v>
      </c>
      <c r="BZ42" s="394">
        <v>0</v>
      </c>
      <c r="CA42" s="394">
        <v>0</v>
      </c>
      <c r="CB42" s="394">
        <v>0</v>
      </c>
      <c r="CC42" s="394">
        <v>0</v>
      </c>
      <c r="CD42" s="394">
        <v>0</v>
      </c>
      <c r="CE42" s="394">
        <v>0</v>
      </c>
      <c r="CF42" s="394">
        <v>0</v>
      </c>
      <c r="CG42" s="394">
        <v>0</v>
      </c>
      <c r="CH42" s="395">
        <v>0</v>
      </c>
    </row>
    <row r="43" spans="1:86" x14ac:dyDescent="0.25">
      <c r="A43" s="369" t="s">
        <v>557</v>
      </c>
      <c r="B43" s="366">
        <v>0</v>
      </c>
      <c r="C43" s="366">
        <v>13577455</v>
      </c>
      <c r="D43" s="366">
        <v>17236329</v>
      </c>
      <c r="E43" s="366">
        <v>14525639</v>
      </c>
      <c r="F43" s="366">
        <v>12814687</v>
      </c>
      <c r="G43" s="366">
        <v>10638844</v>
      </c>
      <c r="H43" s="366">
        <v>8601702.9970039986</v>
      </c>
      <c r="I43" s="366">
        <v>12821611.294941965</v>
      </c>
      <c r="J43" s="366">
        <v>12627053.66987437</v>
      </c>
      <c r="K43" s="366">
        <v>14897341.039928051</v>
      </c>
      <c r="L43" s="366">
        <v>14637882.611344889</v>
      </c>
      <c r="M43" s="366">
        <v>13723509.196795467</v>
      </c>
      <c r="N43" s="366">
        <v>12845590.885343123</v>
      </c>
      <c r="O43" s="366">
        <v>12668329.304835545</v>
      </c>
      <c r="P43" s="366">
        <v>13383971.470782029</v>
      </c>
      <c r="Q43" s="366">
        <v>13042678.859757455</v>
      </c>
      <c r="R43" s="366">
        <v>12926536.775493376</v>
      </c>
      <c r="S43" s="366">
        <v>12593045.587091621</v>
      </c>
      <c r="T43" s="366">
        <v>-66463976.525882632</v>
      </c>
      <c r="U43" s="366">
        <v>76724783.882835358</v>
      </c>
      <c r="V43" s="366">
        <v>25423294.036327604</v>
      </c>
      <c r="W43" s="366">
        <v>14458160.104570355</v>
      </c>
      <c r="X43" s="366">
        <v>15813449.514740702</v>
      </c>
      <c r="Y43" s="366">
        <v>16272158.773918886</v>
      </c>
      <c r="Z43" s="366">
        <v>17481861.833055794</v>
      </c>
      <c r="AA43" s="366">
        <v>18998977.677496217</v>
      </c>
      <c r="AB43" s="366">
        <v>19395727.877682194</v>
      </c>
      <c r="AC43" s="366">
        <v>20183355.399871208</v>
      </c>
      <c r="AD43" s="366">
        <v>21068963.952527493</v>
      </c>
      <c r="AE43" s="366">
        <v>22135807.143448792</v>
      </c>
      <c r="AF43" s="366">
        <v>23321435.843917042</v>
      </c>
      <c r="AG43" s="366">
        <v>24635939.156090416</v>
      </c>
      <c r="AH43" s="366">
        <v>26090181.552808382</v>
      </c>
      <c r="AI43" s="366">
        <v>27695858.437639892</v>
      </c>
      <c r="AJ43" s="366">
        <v>30327631.833564371</v>
      </c>
      <c r="AK43" s="366">
        <v>32417231.296214722</v>
      </c>
      <c r="AL43" s="366">
        <v>34712346.885837831</v>
      </c>
      <c r="AM43" s="366">
        <v>38030806.986979753</v>
      </c>
      <c r="AN43" s="366">
        <v>40750042.755981408</v>
      </c>
      <c r="AO43" s="366">
        <v>43659564.668643489</v>
      </c>
      <c r="AP43" s="366">
        <v>47833957.723496571</v>
      </c>
      <c r="AQ43" s="366">
        <v>51467911.765942268</v>
      </c>
      <c r="AR43" s="366">
        <v>55424176.093164541</v>
      </c>
      <c r="AS43" s="366">
        <v>60278185.210895158</v>
      </c>
      <c r="AT43" s="366">
        <v>65727392.050684713</v>
      </c>
      <c r="AU43" s="366">
        <v>71001984.674289852</v>
      </c>
      <c r="AV43" s="366">
        <v>76734624.795184165</v>
      </c>
      <c r="AW43" s="366">
        <v>81712415.634959102</v>
      </c>
      <c r="AX43" s="366">
        <v>86982796.169620797</v>
      </c>
      <c r="AY43" s="366">
        <v>91520770.325308725</v>
      </c>
      <c r="AZ43" s="366">
        <v>96496642.059175581</v>
      </c>
      <c r="BA43" s="366">
        <v>104936320.04332046</v>
      </c>
      <c r="BB43" s="366">
        <v>111348688.77063347</v>
      </c>
      <c r="BC43" s="366">
        <v>119931213.25166461</v>
      </c>
      <c r="BD43" s="366">
        <v>125944783.70813453</v>
      </c>
      <c r="BE43" s="366">
        <v>134839501.47546041</v>
      </c>
      <c r="BF43" s="366">
        <v>164634375.23491493</v>
      </c>
      <c r="BG43" s="366">
        <v>174272593.05860397</v>
      </c>
      <c r="BH43" s="366">
        <v>184798330.89497325</v>
      </c>
      <c r="BI43" s="366">
        <v>196284610.83631459</v>
      </c>
      <c r="BJ43" s="366">
        <v>208810202.37850907</v>
      </c>
      <c r="BK43" s="366">
        <v>222460060.56806496</v>
      </c>
      <c r="BL43" s="366">
        <v>237325796.77173975</v>
      </c>
      <c r="BM43" s="366">
        <v>253506184.45641446</v>
      </c>
      <c r="BN43" s="366">
        <v>266773514.20537084</v>
      </c>
      <c r="BO43" s="366">
        <v>285029214.71221179</v>
      </c>
      <c r="BP43" s="366">
        <v>304779267.78993744</v>
      </c>
      <c r="BQ43" s="366">
        <v>316309098.46906298</v>
      </c>
      <c r="BR43" s="366">
        <v>337247750.73867011</v>
      </c>
      <c r="BS43" s="366">
        <v>359652932.15713751</v>
      </c>
      <c r="BT43" s="366">
        <v>383616763.87916428</v>
      </c>
      <c r="BU43" s="366">
        <v>409284340.97275925</v>
      </c>
      <c r="BV43" s="366">
        <v>446712178.04805529</v>
      </c>
      <c r="BW43" s="366">
        <v>475516827.37334406</v>
      </c>
      <c r="BX43" s="366">
        <v>516335336.90126729</v>
      </c>
      <c r="BY43" s="366">
        <v>548765387.22332752</v>
      </c>
      <c r="BZ43" s="366">
        <v>583425614.26233959</v>
      </c>
      <c r="CA43" s="366">
        <v>620454161.17129791</v>
      </c>
      <c r="CB43" s="366">
        <v>659997374.77542329</v>
      </c>
      <c r="CC43" s="366">
        <v>702269593.83606267</v>
      </c>
      <c r="CD43" s="366">
        <v>747376305.85631645</v>
      </c>
      <c r="CE43" s="366">
        <v>795491436.5929656</v>
      </c>
      <c r="CF43" s="366">
        <v>846977124.47394454</v>
      </c>
      <c r="CG43" s="366">
        <v>901852277.95021546</v>
      </c>
      <c r="CH43" s="367">
        <v>0</v>
      </c>
    </row>
    <row r="44" spans="1:86" hidden="1" x14ac:dyDescent="0.25">
      <c r="A44" s="404" t="s">
        <v>583</v>
      </c>
      <c r="B44" s="394" t="s">
        <v>584</v>
      </c>
      <c r="C44" s="394">
        <v>0</v>
      </c>
      <c r="D44" s="394">
        <v>0</v>
      </c>
      <c r="E44" s="394">
        <v>0</v>
      </c>
      <c r="F44" s="394">
        <v>-700000</v>
      </c>
      <c r="G44" s="394">
        <v>0</v>
      </c>
      <c r="H44" s="394">
        <v>0</v>
      </c>
      <c r="I44" s="394">
        <v>0</v>
      </c>
      <c r="J44" s="394">
        <v>0</v>
      </c>
      <c r="K44" s="394">
        <v>0</v>
      </c>
      <c r="L44" s="394">
        <v>0</v>
      </c>
      <c r="M44" s="394">
        <v>0</v>
      </c>
      <c r="N44" s="394">
        <v>0</v>
      </c>
      <c r="O44" s="394">
        <v>0</v>
      </c>
      <c r="P44" s="394">
        <v>0</v>
      </c>
      <c r="Q44" s="394">
        <v>0</v>
      </c>
      <c r="R44" s="394">
        <v>0</v>
      </c>
      <c r="S44" s="394">
        <v>0</v>
      </c>
      <c r="T44" s="394">
        <v>0</v>
      </c>
      <c r="U44" s="394">
        <v>0</v>
      </c>
      <c r="V44" s="394">
        <v>0</v>
      </c>
      <c r="W44" s="394">
        <v>0</v>
      </c>
      <c r="X44" s="394">
        <v>0</v>
      </c>
      <c r="Y44" s="394">
        <v>0</v>
      </c>
      <c r="Z44" s="394">
        <v>0</v>
      </c>
      <c r="AA44" s="394">
        <v>0</v>
      </c>
      <c r="AB44" s="394">
        <v>0</v>
      </c>
      <c r="AC44" s="394">
        <v>0</v>
      </c>
      <c r="AD44" s="394">
        <v>0</v>
      </c>
      <c r="AE44" s="394">
        <v>0</v>
      </c>
      <c r="AF44" s="394">
        <v>0</v>
      </c>
      <c r="AG44" s="394">
        <v>0</v>
      </c>
      <c r="AH44" s="394">
        <v>0</v>
      </c>
      <c r="AI44" s="394">
        <v>0</v>
      </c>
      <c r="AJ44" s="394">
        <v>0</v>
      </c>
      <c r="AK44" s="394">
        <v>0</v>
      </c>
      <c r="AL44" s="394">
        <v>0</v>
      </c>
      <c r="AM44" s="394">
        <v>0</v>
      </c>
      <c r="AN44" s="394">
        <v>0</v>
      </c>
      <c r="AO44" s="394">
        <v>0</v>
      </c>
      <c r="AP44" s="394">
        <v>0</v>
      </c>
      <c r="AQ44" s="394">
        <v>0</v>
      </c>
      <c r="AR44" s="394">
        <v>0</v>
      </c>
      <c r="AS44" s="394">
        <v>0</v>
      </c>
      <c r="AT44" s="394">
        <v>0</v>
      </c>
      <c r="AU44" s="394">
        <v>0</v>
      </c>
      <c r="AV44" s="394">
        <v>0</v>
      </c>
      <c r="AW44" s="394">
        <v>0</v>
      </c>
      <c r="AX44" s="394">
        <v>0</v>
      </c>
      <c r="AY44" s="394">
        <v>0</v>
      </c>
      <c r="AZ44" s="394">
        <v>0</v>
      </c>
      <c r="BA44" s="394">
        <v>0</v>
      </c>
      <c r="BB44" s="394">
        <v>0</v>
      </c>
      <c r="BC44" s="394">
        <v>0</v>
      </c>
      <c r="BD44" s="394">
        <v>0</v>
      </c>
      <c r="BE44" s="394">
        <v>0</v>
      </c>
      <c r="BF44" s="394">
        <v>0</v>
      </c>
      <c r="BG44" s="394">
        <v>0</v>
      </c>
      <c r="BH44" s="394">
        <v>0</v>
      </c>
      <c r="BI44" s="394">
        <v>0</v>
      </c>
      <c r="BJ44" s="394">
        <v>0</v>
      </c>
      <c r="BK44" s="394">
        <v>0</v>
      </c>
      <c r="BL44" s="394">
        <v>0</v>
      </c>
      <c r="BM44" s="394">
        <v>0</v>
      </c>
      <c r="BN44" s="394">
        <v>0</v>
      </c>
      <c r="BO44" s="394">
        <v>0</v>
      </c>
      <c r="BP44" s="394">
        <v>0</v>
      </c>
      <c r="BQ44" s="394">
        <v>0</v>
      </c>
      <c r="BR44" s="394">
        <v>0</v>
      </c>
      <c r="BS44" s="394">
        <v>0</v>
      </c>
      <c r="BT44" s="394">
        <v>0</v>
      </c>
      <c r="BU44" s="394">
        <v>0</v>
      </c>
      <c r="BV44" s="394">
        <v>0</v>
      </c>
      <c r="BW44" s="394">
        <v>0</v>
      </c>
      <c r="BX44" s="394">
        <v>0</v>
      </c>
      <c r="BY44" s="394">
        <v>0</v>
      </c>
      <c r="BZ44" s="394">
        <v>0</v>
      </c>
      <c r="CA44" s="394">
        <v>0</v>
      </c>
      <c r="CB44" s="394">
        <v>0</v>
      </c>
      <c r="CC44" s="394">
        <v>0</v>
      </c>
      <c r="CD44" s="394">
        <v>0</v>
      </c>
      <c r="CE44" s="394">
        <v>0</v>
      </c>
      <c r="CF44" s="394">
        <v>0</v>
      </c>
      <c r="CG44" s="394">
        <v>0</v>
      </c>
      <c r="CH44" s="367"/>
    </row>
    <row r="45" spans="1:86" hidden="1" x14ac:dyDescent="0.25">
      <c r="A45" s="404" t="s">
        <v>585</v>
      </c>
      <c r="B45" s="394" t="s">
        <v>584</v>
      </c>
      <c r="C45" s="394">
        <v>0</v>
      </c>
      <c r="D45" s="394">
        <v>0</v>
      </c>
      <c r="E45" s="394">
        <v>0</v>
      </c>
      <c r="F45" s="394">
        <v>0</v>
      </c>
      <c r="G45" s="394">
        <v>0</v>
      </c>
      <c r="H45" s="394">
        <v>0</v>
      </c>
      <c r="I45" s="394">
        <v>0</v>
      </c>
      <c r="J45" s="394">
        <v>0</v>
      </c>
      <c r="K45" s="394">
        <v>0</v>
      </c>
      <c r="L45" s="394">
        <v>0</v>
      </c>
      <c r="M45" s="394">
        <v>0</v>
      </c>
      <c r="N45" s="394">
        <v>0</v>
      </c>
      <c r="O45" s="394">
        <v>0</v>
      </c>
      <c r="P45" s="394">
        <v>0</v>
      </c>
      <c r="Q45" s="394">
        <v>0</v>
      </c>
      <c r="R45" s="394">
        <v>0</v>
      </c>
      <c r="S45" s="394">
        <v>0</v>
      </c>
      <c r="T45" s="394">
        <v>0</v>
      </c>
      <c r="U45" s="394">
        <v>0</v>
      </c>
      <c r="V45" s="394">
        <v>0</v>
      </c>
      <c r="W45" s="394">
        <v>0</v>
      </c>
      <c r="X45" s="394">
        <v>0</v>
      </c>
      <c r="Y45" s="394">
        <v>0</v>
      </c>
      <c r="Z45" s="394">
        <v>0</v>
      </c>
      <c r="AA45" s="394">
        <v>0</v>
      </c>
      <c r="AB45" s="394">
        <v>0</v>
      </c>
      <c r="AC45" s="394">
        <v>0</v>
      </c>
      <c r="AD45" s="394">
        <v>0</v>
      </c>
      <c r="AE45" s="394">
        <v>0</v>
      </c>
      <c r="AF45" s="394">
        <v>0</v>
      </c>
      <c r="AG45" s="394">
        <v>0</v>
      </c>
      <c r="AH45" s="394">
        <v>0</v>
      </c>
      <c r="AI45" s="394">
        <v>0</v>
      </c>
      <c r="AJ45" s="394">
        <v>0</v>
      </c>
      <c r="AK45" s="394">
        <v>0</v>
      </c>
      <c r="AL45" s="394">
        <v>0</v>
      </c>
      <c r="AM45" s="394">
        <v>0</v>
      </c>
      <c r="AN45" s="394">
        <v>0</v>
      </c>
      <c r="AO45" s="394">
        <v>0</v>
      </c>
      <c r="AP45" s="394">
        <v>0</v>
      </c>
      <c r="AQ45" s="394">
        <v>0</v>
      </c>
      <c r="AR45" s="394">
        <v>0</v>
      </c>
      <c r="AS45" s="394">
        <v>0</v>
      </c>
      <c r="AT45" s="394">
        <v>0</v>
      </c>
      <c r="AU45" s="394">
        <v>0</v>
      </c>
      <c r="AV45" s="394">
        <v>0</v>
      </c>
      <c r="AW45" s="394">
        <v>0</v>
      </c>
      <c r="AX45" s="394">
        <v>0</v>
      </c>
      <c r="AY45" s="394">
        <v>0</v>
      </c>
      <c r="AZ45" s="394">
        <v>0</v>
      </c>
      <c r="BA45" s="394">
        <v>0</v>
      </c>
      <c r="BB45" s="394">
        <v>0</v>
      </c>
      <c r="BC45" s="394">
        <v>0</v>
      </c>
      <c r="BD45" s="394">
        <v>0</v>
      </c>
      <c r="BE45" s="394">
        <v>0</v>
      </c>
      <c r="BF45" s="394">
        <v>0</v>
      </c>
      <c r="BG45" s="394">
        <v>0</v>
      </c>
      <c r="BH45" s="394">
        <v>0</v>
      </c>
      <c r="BI45" s="394">
        <v>0</v>
      </c>
      <c r="BJ45" s="394">
        <v>0</v>
      </c>
      <c r="BK45" s="394">
        <v>0</v>
      </c>
      <c r="BL45" s="394">
        <v>0</v>
      </c>
      <c r="BM45" s="394">
        <v>0</v>
      </c>
      <c r="BN45" s="394">
        <v>0</v>
      </c>
      <c r="BO45" s="394">
        <v>0</v>
      </c>
      <c r="BP45" s="394">
        <v>0</v>
      </c>
      <c r="BQ45" s="394">
        <v>0</v>
      </c>
      <c r="BR45" s="394">
        <v>0</v>
      </c>
      <c r="BS45" s="394">
        <v>0</v>
      </c>
      <c r="BT45" s="394">
        <v>0</v>
      </c>
      <c r="BU45" s="394">
        <v>0</v>
      </c>
      <c r="BV45" s="394">
        <v>0</v>
      </c>
      <c r="BW45" s="394">
        <v>0</v>
      </c>
      <c r="BX45" s="394">
        <v>0</v>
      </c>
      <c r="BY45" s="394">
        <v>0</v>
      </c>
      <c r="BZ45" s="394">
        <v>0</v>
      </c>
      <c r="CA45" s="394">
        <v>0</v>
      </c>
      <c r="CB45" s="394">
        <v>0</v>
      </c>
      <c r="CC45" s="394">
        <v>0</v>
      </c>
      <c r="CD45" s="394">
        <v>0</v>
      </c>
      <c r="CE45" s="394">
        <v>0</v>
      </c>
      <c r="CF45" s="394">
        <v>0</v>
      </c>
      <c r="CG45" s="394">
        <v>0</v>
      </c>
      <c r="CH45" s="367"/>
    </row>
    <row r="46" spans="1:86" hidden="1" x14ac:dyDescent="0.25">
      <c r="A46" s="404" t="s">
        <v>586</v>
      </c>
      <c r="B46" s="394" t="s">
        <v>587</v>
      </c>
      <c r="C46" s="394">
        <v>0</v>
      </c>
      <c r="D46" s="394">
        <v>0</v>
      </c>
      <c r="E46" s="394">
        <v>0</v>
      </c>
      <c r="F46" s="394">
        <v>-1413222.15</v>
      </c>
      <c r="G46" s="394">
        <v>-583550</v>
      </c>
      <c r="H46" s="394">
        <v>-606250</v>
      </c>
      <c r="I46" s="394">
        <v>-598450</v>
      </c>
      <c r="J46" s="394">
        <v>-587375</v>
      </c>
      <c r="K46" s="394">
        <v>-599100</v>
      </c>
      <c r="L46" s="394">
        <v>-601200</v>
      </c>
      <c r="M46" s="394">
        <v>-594500</v>
      </c>
      <c r="N46" s="394">
        <v>0</v>
      </c>
      <c r="O46" s="394">
        <v>0</v>
      </c>
      <c r="P46" s="394">
        <v>0</v>
      </c>
      <c r="Q46" s="394">
        <v>0</v>
      </c>
      <c r="R46" s="394">
        <v>0</v>
      </c>
      <c r="S46" s="394">
        <v>0</v>
      </c>
      <c r="T46" s="394">
        <v>0</v>
      </c>
      <c r="U46" s="394">
        <v>0</v>
      </c>
      <c r="V46" s="394">
        <v>0</v>
      </c>
      <c r="W46" s="394">
        <v>0</v>
      </c>
      <c r="X46" s="394">
        <v>0</v>
      </c>
      <c r="Y46" s="394">
        <v>0</v>
      </c>
      <c r="Z46" s="394">
        <v>0</v>
      </c>
      <c r="AA46" s="394">
        <v>0</v>
      </c>
      <c r="AB46" s="394">
        <v>0</v>
      </c>
      <c r="AC46" s="394">
        <v>0</v>
      </c>
      <c r="AD46" s="394">
        <v>0</v>
      </c>
      <c r="AE46" s="394">
        <v>0</v>
      </c>
      <c r="AF46" s="394">
        <v>0</v>
      </c>
      <c r="AG46" s="394">
        <v>0</v>
      </c>
      <c r="AH46" s="394">
        <v>0</v>
      </c>
      <c r="AI46" s="394">
        <v>0</v>
      </c>
      <c r="AJ46" s="394">
        <v>0</v>
      </c>
      <c r="AK46" s="394">
        <v>0</v>
      </c>
      <c r="AL46" s="394">
        <v>0</v>
      </c>
      <c r="AM46" s="394">
        <v>0</v>
      </c>
      <c r="AN46" s="394">
        <v>0</v>
      </c>
      <c r="AO46" s="394">
        <v>0</v>
      </c>
      <c r="AP46" s="394">
        <v>0</v>
      </c>
      <c r="AQ46" s="394">
        <v>0</v>
      </c>
      <c r="AR46" s="394">
        <v>0</v>
      </c>
      <c r="AS46" s="394">
        <v>0</v>
      </c>
      <c r="AT46" s="394">
        <v>0</v>
      </c>
      <c r="AU46" s="394">
        <v>0</v>
      </c>
      <c r="AV46" s="394">
        <v>0</v>
      </c>
      <c r="AW46" s="394">
        <v>0</v>
      </c>
      <c r="AX46" s="394">
        <v>0</v>
      </c>
      <c r="AY46" s="394">
        <v>0</v>
      </c>
      <c r="AZ46" s="394">
        <v>0</v>
      </c>
      <c r="BA46" s="394">
        <v>0</v>
      </c>
      <c r="BB46" s="394">
        <v>0</v>
      </c>
      <c r="BC46" s="394">
        <v>0</v>
      </c>
      <c r="BD46" s="394">
        <v>0</v>
      </c>
      <c r="BE46" s="394">
        <v>0</v>
      </c>
      <c r="BF46" s="394">
        <v>0</v>
      </c>
      <c r="BG46" s="394">
        <v>0</v>
      </c>
      <c r="BH46" s="394">
        <v>0</v>
      </c>
      <c r="BI46" s="394">
        <v>0</v>
      </c>
      <c r="BJ46" s="394">
        <v>0</v>
      </c>
      <c r="BK46" s="394">
        <v>0</v>
      </c>
      <c r="BL46" s="394">
        <v>0</v>
      </c>
      <c r="BM46" s="394">
        <v>0</v>
      </c>
      <c r="BN46" s="394">
        <v>0</v>
      </c>
      <c r="BO46" s="394">
        <v>0</v>
      </c>
      <c r="BP46" s="394">
        <v>0</v>
      </c>
      <c r="BQ46" s="394">
        <v>0</v>
      </c>
      <c r="BR46" s="394">
        <v>0</v>
      </c>
      <c r="BS46" s="394">
        <v>0</v>
      </c>
      <c r="BT46" s="394">
        <v>0</v>
      </c>
      <c r="BU46" s="394">
        <v>0</v>
      </c>
      <c r="BV46" s="394">
        <v>0</v>
      </c>
      <c r="BW46" s="394">
        <v>0</v>
      </c>
      <c r="BX46" s="394">
        <v>0</v>
      </c>
      <c r="BY46" s="394">
        <v>0</v>
      </c>
      <c r="BZ46" s="394">
        <v>0</v>
      </c>
      <c r="CA46" s="394">
        <v>0</v>
      </c>
      <c r="CB46" s="394">
        <v>0</v>
      </c>
      <c r="CC46" s="394">
        <v>0</v>
      </c>
      <c r="CD46" s="394">
        <v>0</v>
      </c>
      <c r="CE46" s="394">
        <v>0</v>
      </c>
      <c r="CF46" s="394">
        <v>0</v>
      </c>
      <c r="CG46" s="394">
        <v>0</v>
      </c>
      <c r="CH46" s="367"/>
    </row>
    <row r="47" spans="1:86" x14ac:dyDescent="0.25">
      <c r="A47" s="406" t="s">
        <v>139</v>
      </c>
      <c r="B47" s="405">
        <f>SUM(B16:B46)</f>
        <v>0.13409310565523289</v>
      </c>
      <c r="C47" s="405" t="e">
        <f>SUM(C21,C24,C28,C29,#REF!,#REF!,C43,#REF!)</f>
        <v>#REF!</v>
      </c>
      <c r="D47" s="405" t="e">
        <f>SUM(D21,D24,D28,D29,#REF!,#REF!,D43,#REF!)</f>
        <v>#REF!</v>
      </c>
      <c r="E47" s="405" t="e">
        <f>SUM(E21,E24,E28,E29,#REF!,#REF!,E43,#REF!)</f>
        <v>#REF!</v>
      </c>
      <c r="F47" s="405" t="e">
        <f>SUM(F21,F24,F28,F29,#REF!,#REF!,F43,#REF!)</f>
        <v>#REF!</v>
      </c>
      <c r="G47" s="405">
        <f>SUM(G21,G24,G28,G29,G43)</f>
        <v>3118190</v>
      </c>
      <c r="H47" s="405">
        <f t="shared" ref="H47:BS47" si="11">SUM(H21,H24,H28,H29,H43)</f>
        <v>-60422.002996001393</v>
      </c>
      <c r="I47" s="405">
        <f t="shared" si="11"/>
        <v>3487905.5616518203</v>
      </c>
      <c r="J47" s="405">
        <f t="shared" si="11"/>
        <v>2431119.63999811</v>
      </c>
      <c r="K47" s="405">
        <f t="shared" si="11"/>
        <v>3271384.8788932506</v>
      </c>
      <c r="L47" s="405">
        <f t="shared" si="11"/>
        <v>2046890.8641989138</v>
      </c>
      <c r="M47" s="405">
        <f t="shared" si="11"/>
        <v>112078.58946022391</v>
      </c>
      <c r="N47" s="405">
        <f t="shared" si="11"/>
        <v>-1844518.6547042895</v>
      </c>
      <c r="O47" s="405">
        <f t="shared" si="11"/>
        <v>-3161671.294364946</v>
      </c>
      <c r="P47" s="405">
        <f t="shared" si="11"/>
        <v>-3650245.9083137158</v>
      </c>
      <c r="Q47" s="405">
        <f t="shared" si="11"/>
        <v>-5393372.8111906815</v>
      </c>
      <c r="R47" s="405">
        <f t="shared" si="11"/>
        <v>-7624735.985750936</v>
      </c>
      <c r="S47" s="405">
        <f t="shared" si="11"/>
        <v>-9525525.1924543269</v>
      </c>
      <c r="T47" s="405">
        <f t="shared" si="11"/>
        <v>-90238977.895162463</v>
      </c>
      <c r="U47" s="405">
        <f t="shared" si="11"/>
        <v>83581475.450114757</v>
      </c>
      <c r="V47" s="405">
        <f t="shared" si="11"/>
        <v>30431455.849114243</v>
      </c>
      <c r="W47" s="405">
        <f t="shared" si="11"/>
        <v>17514383.547420114</v>
      </c>
      <c r="X47" s="405">
        <f t="shared" si="11"/>
        <v>16809108.182424389</v>
      </c>
      <c r="Y47" s="405">
        <f t="shared" si="11"/>
        <v>14651979.697268881</v>
      </c>
      <c r="Z47" s="405">
        <f t="shared" si="11"/>
        <v>16409351.724331044</v>
      </c>
      <c r="AA47" s="405">
        <f t="shared" si="11"/>
        <v>15080268.721739359</v>
      </c>
      <c r="AB47" s="405">
        <f t="shared" si="11"/>
        <v>12397821.335108981</v>
      </c>
      <c r="AC47" s="405">
        <f t="shared" si="11"/>
        <v>9935399.3544077501</v>
      </c>
      <c r="AD47" s="405">
        <f t="shared" si="11"/>
        <v>7391701.8010772392</v>
      </c>
      <c r="AE47" s="405">
        <f t="shared" si="11"/>
        <v>4801911.4905004054</v>
      </c>
      <c r="AF47" s="405">
        <f t="shared" si="11"/>
        <v>2131301.9032579735</v>
      </c>
      <c r="AG47" s="405">
        <f t="shared" si="11"/>
        <v>-619766.22086749226</v>
      </c>
      <c r="AH47" s="405">
        <f t="shared" si="11"/>
        <v>-3450603.6636250839</v>
      </c>
      <c r="AI47" s="405">
        <f t="shared" si="11"/>
        <v>-6360157.0537465364</v>
      </c>
      <c r="AJ47" s="405">
        <f t="shared" si="11"/>
        <v>-4760036.8178930283</v>
      </c>
      <c r="AK47" s="405">
        <f t="shared" si="11"/>
        <v>-7847656.4420343935</v>
      </c>
      <c r="AL47" s="405">
        <f t="shared" si="11"/>
        <v>-11007455.629074618</v>
      </c>
      <c r="AM47" s="405">
        <f t="shared" si="11"/>
        <v>-13435053.716155723</v>
      </c>
      <c r="AN47" s="405">
        <f t="shared" si="11"/>
        <v>-16767083.74396643</v>
      </c>
      <c r="AO47" s="405">
        <f t="shared" si="11"/>
        <v>-20297603.193967253</v>
      </c>
      <c r="AP47" s="405">
        <f t="shared" si="11"/>
        <v>-22902679.339378163</v>
      </c>
      <c r="AQ47" s="405">
        <f t="shared" si="11"/>
        <v>-26403891.127438612</v>
      </c>
      <c r="AR47" s="405">
        <f t="shared" si="11"/>
        <v>-29955498.933794074</v>
      </c>
      <c r="AS47" s="405">
        <f t="shared" si="11"/>
        <v>-32999851.563254409</v>
      </c>
      <c r="AT47" s="405">
        <f t="shared" si="11"/>
        <v>-32635210.531527109</v>
      </c>
      <c r="AU47" s="405">
        <f t="shared" si="11"/>
        <v>-36306876.638172477</v>
      </c>
      <c r="AV47" s="405">
        <f t="shared" si="11"/>
        <v>-39985178.199208468</v>
      </c>
      <c r="AW47" s="405">
        <f t="shared" si="11"/>
        <v>-67603078.907728314</v>
      </c>
      <c r="AX47" s="405">
        <f t="shared" si="11"/>
        <v>-92227417.666733339</v>
      </c>
      <c r="AY47" s="405">
        <f t="shared" si="11"/>
        <v>-98711424.13655512</v>
      </c>
      <c r="AZ47" s="405">
        <f t="shared" si="11"/>
        <v>-105321803.33284304</v>
      </c>
      <c r="BA47" s="405">
        <f t="shared" si="11"/>
        <v>-109059303.03790011</v>
      </c>
      <c r="BB47" s="405">
        <f t="shared" si="11"/>
        <v>-114826692.35306917</v>
      </c>
      <c r="BC47" s="405">
        <f t="shared" si="11"/>
        <v>-118489951.96976927</v>
      </c>
      <c r="BD47" s="405">
        <f t="shared" si="11"/>
        <v>-125329170.79014397</v>
      </c>
      <c r="BE47" s="405">
        <f t="shared" si="11"/>
        <v>-129117973.85407597</v>
      </c>
      <c r="BF47" s="405">
        <f t="shared" si="11"/>
        <v>-112661259.63408896</v>
      </c>
      <c r="BG47" s="405">
        <f t="shared" si="11"/>
        <v>-117050084.57086083</v>
      </c>
      <c r="BH47" s="405">
        <f t="shared" si="11"/>
        <v>-121276322.71278104</v>
      </c>
      <c r="BI47" s="405">
        <f t="shared" si="11"/>
        <v>-125304903.07142344</v>
      </c>
      <c r="BJ47" s="405">
        <f t="shared" si="11"/>
        <v>-129097009.06230888</v>
      </c>
      <c r="BK47" s="405">
        <f t="shared" si="11"/>
        <v>-132609746.40590879</v>
      </c>
      <c r="BL47" s="405">
        <f t="shared" si="11"/>
        <v>-135795784.0379791</v>
      </c>
      <c r="BM47" s="405">
        <f t="shared" si="11"/>
        <v>-138602965.94107109</v>
      </c>
      <c r="BN47" s="405">
        <f t="shared" si="11"/>
        <v>-145308079.9865247</v>
      </c>
      <c r="BO47" s="405">
        <f t="shared" si="11"/>
        <v>-146249721.88755453</v>
      </c>
      <c r="BP47" s="405">
        <f t="shared" si="11"/>
        <v>-146603747.15493244</v>
      </c>
      <c r="BQ47" s="405">
        <f t="shared" si="11"/>
        <v>-156127944.64198643</v>
      </c>
      <c r="BR47" s="405">
        <f t="shared" si="11"/>
        <v>-153000647.66686535</v>
      </c>
      <c r="BS47" s="405">
        <f t="shared" si="11"/>
        <v>-149081234.59576303</v>
      </c>
      <c r="BT47" s="405">
        <f t="shared" ref="BT47:CH47" si="12">SUM(BT21,BT24,BT28,BT29,BT43)</f>
        <v>-144303209.45273751</v>
      </c>
      <c r="BU47" s="405">
        <f t="shared" si="12"/>
        <v>-138548078.72620571</v>
      </c>
      <c r="BV47" s="405">
        <f t="shared" si="12"/>
        <v>-121786943.02491844</v>
      </c>
      <c r="BW47" s="405">
        <f t="shared" si="12"/>
        <v>-114431917.67300558</v>
      </c>
      <c r="BX47" s="405">
        <f t="shared" si="12"/>
        <v>-95875714.875795245</v>
      </c>
      <c r="BY47" s="405">
        <f t="shared" si="12"/>
        <v>-86551548.494973302</v>
      </c>
      <c r="BZ47" s="405">
        <f t="shared" si="12"/>
        <v>-75872854.682371855</v>
      </c>
      <c r="CA47" s="405">
        <f t="shared" si="12"/>
        <v>-63734784.965078473</v>
      </c>
      <c r="CB47" s="405">
        <f t="shared" si="12"/>
        <v>-50025556.50861609</v>
      </c>
      <c r="CC47" s="405">
        <f t="shared" si="12"/>
        <v>-34566712.345466971</v>
      </c>
      <c r="CD47" s="405">
        <f t="shared" si="12"/>
        <v>-17290014.917548656</v>
      </c>
      <c r="CE47" s="405">
        <f t="shared" si="12"/>
        <v>1939791.1608299017</v>
      </c>
      <c r="CF47" s="405">
        <f t="shared" si="12"/>
        <v>23444699.2449404</v>
      </c>
      <c r="CG47" s="405">
        <f t="shared" si="12"/>
        <v>47201942.65873158</v>
      </c>
      <c r="CH47" s="405">
        <f t="shared" si="12"/>
        <v>0</v>
      </c>
    </row>
    <row r="48" spans="1:86" hidden="1" x14ac:dyDescent="0.25">
      <c r="A48" s="120"/>
      <c r="B48" s="465"/>
      <c r="C48" s="465"/>
      <c r="D48" s="465"/>
      <c r="E48" s="465"/>
      <c r="F48" s="465"/>
      <c r="G48" s="466">
        <f>-1*G47</f>
        <v>-3118190</v>
      </c>
      <c r="H48" s="466">
        <f t="shared" ref="H48:BS48" si="13">-1*H47</f>
        <v>60422.002996001393</v>
      </c>
      <c r="I48" s="466">
        <f t="shared" si="13"/>
        <v>-3487905.5616518203</v>
      </c>
      <c r="J48" s="466">
        <f t="shared" si="13"/>
        <v>-2431119.63999811</v>
      </c>
      <c r="K48" s="466">
        <f t="shared" si="13"/>
        <v>-3271384.8788932506</v>
      </c>
      <c r="L48" s="466">
        <f t="shared" si="13"/>
        <v>-2046890.8641989138</v>
      </c>
      <c r="M48" s="466">
        <f t="shared" si="13"/>
        <v>-112078.58946022391</v>
      </c>
      <c r="N48" s="466">
        <f t="shared" si="13"/>
        <v>1844518.6547042895</v>
      </c>
      <c r="O48" s="466">
        <f t="shared" si="13"/>
        <v>3161671.294364946</v>
      </c>
      <c r="P48" s="466">
        <f t="shared" si="13"/>
        <v>3650245.9083137158</v>
      </c>
      <c r="Q48" s="466">
        <f t="shared" si="13"/>
        <v>5393372.8111906815</v>
      </c>
      <c r="R48" s="466">
        <f t="shared" si="13"/>
        <v>7624735.985750936</v>
      </c>
      <c r="S48" s="466">
        <f t="shared" si="13"/>
        <v>9525525.1924543269</v>
      </c>
      <c r="T48" s="466">
        <f t="shared" si="13"/>
        <v>90238977.895162463</v>
      </c>
      <c r="U48" s="466">
        <f t="shared" si="13"/>
        <v>-83581475.450114757</v>
      </c>
      <c r="V48" s="466">
        <f t="shared" si="13"/>
        <v>-30431455.849114243</v>
      </c>
      <c r="W48" s="466">
        <f t="shared" si="13"/>
        <v>-17514383.547420114</v>
      </c>
      <c r="X48" s="466">
        <f t="shared" si="13"/>
        <v>-16809108.182424389</v>
      </c>
      <c r="Y48" s="466">
        <f t="shared" si="13"/>
        <v>-14651979.697268881</v>
      </c>
      <c r="Z48" s="466">
        <f t="shared" si="13"/>
        <v>-16409351.724331044</v>
      </c>
      <c r="AA48" s="466">
        <f t="shared" si="13"/>
        <v>-15080268.721739359</v>
      </c>
      <c r="AB48" s="466">
        <f t="shared" si="13"/>
        <v>-12397821.335108981</v>
      </c>
      <c r="AC48" s="466">
        <f t="shared" si="13"/>
        <v>-9935399.3544077501</v>
      </c>
      <c r="AD48" s="466">
        <f t="shared" si="13"/>
        <v>-7391701.8010772392</v>
      </c>
      <c r="AE48" s="466">
        <f t="shared" si="13"/>
        <v>-4801911.4905004054</v>
      </c>
      <c r="AF48" s="466">
        <f t="shared" si="13"/>
        <v>-2131301.9032579735</v>
      </c>
      <c r="AG48" s="466">
        <f t="shared" si="13"/>
        <v>619766.22086749226</v>
      </c>
      <c r="AH48" s="466">
        <f t="shared" si="13"/>
        <v>3450603.6636250839</v>
      </c>
      <c r="AI48" s="466">
        <f t="shared" si="13"/>
        <v>6360157.0537465364</v>
      </c>
      <c r="AJ48" s="466">
        <f t="shared" si="13"/>
        <v>4760036.8178930283</v>
      </c>
      <c r="AK48" s="466">
        <f t="shared" si="13"/>
        <v>7847656.4420343935</v>
      </c>
      <c r="AL48" s="466">
        <f t="shared" si="13"/>
        <v>11007455.629074618</v>
      </c>
      <c r="AM48" s="466">
        <f t="shared" si="13"/>
        <v>13435053.716155723</v>
      </c>
      <c r="AN48" s="466">
        <f t="shared" si="13"/>
        <v>16767083.74396643</v>
      </c>
      <c r="AO48" s="466">
        <f t="shared" si="13"/>
        <v>20297603.193967253</v>
      </c>
      <c r="AP48" s="466">
        <f t="shared" si="13"/>
        <v>22902679.339378163</v>
      </c>
      <c r="AQ48" s="466">
        <f t="shared" si="13"/>
        <v>26403891.127438612</v>
      </c>
      <c r="AR48" s="466">
        <f t="shared" si="13"/>
        <v>29955498.933794074</v>
      </c>
      <c r="AS48" s="466">
        <f t="shared" si="13"/>
        <v>32999851.563254409</v>
      </c>
      <c r="AT48" s="466">
        <f t="shared" si="13"/>
        <v>32635210.531527109</v>
      </c>
      <c r="AU48" s="466">
        <f t="shared" si="13"/>
        <v>36306876.638172477</v>
      </c>
      <c r="AV48" s="466">
        <f t="shared" si="13"/>
        <v>39985178.199208468</v>
      </c>
      <c r="AW48" s="466">
        <f t="shared" si="13"/>
        <v>67603078.907728314</v>
      </c>
      <c r="AX48" s="466">
        <f t="shared" si="13"/>
        <v>92227417.666733339</v>
      </c>
      <c r="AY48" s="466">
        <f t="shared" si="13"/>
        <v>98711424.13655512</v>
      </c>
      <c r="AZ48" s="466">
        <f t="shared" si="13"/>
        <v>105321803.33284304</v>
      </c>
      <c r="BA48" s="466">
        <f t="shared" si="13"/>
        <v>109059303.03790011</v>
      </c>
      <c r="BB48" s="466">
        <f t="shared" si="13"/>
        <v>114826692.35306917</v>
      </c>
      <c r="BC48" s="466">
        <f t="shared" si="13"/>
        <v>118489951.96976927</v>
      </c>
      <c r="BD48" s="466">
        <f t="shared" si="13"/>
        <v>125329170.79014397</v>
      </c>
      <c r="BE48" s="466">
        <f t="shared" si="13"/>
        <v>129117973.85407597</v>
      </c>
      <c r="BF48" s="466">
        <f t="shared" si="13"/>
        <v>112661259.63408896</v>
      </c>
      <c r="BG48" s="466">
        <f t="shared" si="13"/>
        <v>117050084.57086083</v>
      </c>
      <c r="BH48" s="466">
        <f t="shared" si="13"/>
        <v>121276322.71278104</v>
      </c>
      <c r="BI48" s="466">
        <f t="shared" si="13"/>
        <v>125304903.07142344</v>
      </c>
      <c r="BJ48" s="466">
        <f t="shared" si="13"/>
        <v>129097009.06230888</v>
      </c>
      <c r="BK48" s="466">
        <f t="shared" si="13"/>
        <v>132609746.40590879</v>
      </c>
      <c r="BL48" s="466">
        <f t="shared" si="13"/>
        <v>135795784.0379791</v>
      </c>
      <c r="BM48" s="466">
        <f t="shared" si="13"/>
        <v>138602965.94107109</v>
      </c>
      <c r="BN48" s="466">
        <f t="shared" si="13"/>
        <v>145308079.9865247</v>
      </c>
      <c r="BO48" s="466">
        <f t="shared" si="13"/>
        <v>146249721.88755453</v>
      </c>
      <c r="BP48" s="466">
        <f t="shared" si="13"/>
        <v>146603747.15493244</v>
      </c>
      <c r="BQ48" s="466">
        <f t="shared" si="13"/>
        <v>156127944.64198643</v>
      </c>
      <c r="BR48" s="466">
        <f t="shared" si="13"/>
        <v>153000647.66686535</v>
      </c>
      <c r="BS48" s="466">
        <f t="shared" si="13"/>
        <v>149081234.59576303</v>
      </c>
      <c r="BT48" s="466">
        <f t="shared" ref="BT48:CH48" si="14">-1*BT47</f>
        <v>144303209.45273751</v>
      </c>
      <c r="BU48" s="466">
        <f t="shared" si="14"/>
        <v>138548078.72620571</v>
      </c>
      <c r="BV48" s="466">
        <f t="shared" si="14"/>
        <v>121786943.02491844</v>
      </c>
      <c r="BW48" s="466">
        <f t="shared" si="14"/>
        <v>114431917.67300558</v>
      </c>
      <c r="BX48" s="466">
        <f t="shared" si="14"/>
        <v>95875714.875795245</v>
      </c>
      <c r="BY48" s="466">
        <f t="shared" si="14"/>
        <v>86551548.494973302</v>
      </c>
      <c r="BZ48" s="466">
        <f t="shared" si="14"/>
        <v>75872854.682371855</v>
      </c>
      <c r="CA48" s="466">
        <f t="shared" si="14"/>
        <v>63734784.965078473</v>
      </c>
      <c r="CB48" s="466">
        <f t="shared" si="14"/>
        <v>50025556.50861609</v>
      </c>
      <c r="CC48" s="466">
        <f t="shared" si="14"/>
        <v>34566712.345466971</v>
      </c>
      <c r="CD48" s="466">
        <f t="shared" si="14"/>
        <v>17290014.917548656</v>
      </c>
      <c r="CE48" s="466">
        <f t="shared" si="14"/>
        <v>-1939791.1608299017</v>
      </c>
      <c r="CF48" s="466">
        <f t="shared" si="14"/>
        <v>-23444699.2449404</v>
      </c>
      <c r="CG48" s="466">
        <f t="shared" si="14"/>
        <v>-47201942.65873158</v>
      </c>
      <c r="CH48" s="466">
        <f t="shared" si="14"/>
        <v>0</v>
      </c>
    </row>
    <row r="49" spans="1:86" hidden="1" x14ac:dyDescent="0.25">
      <c r="A49" s="467" t="s">
        <v>158</v>
      </c>
      <c r="B49" s="364"/>
      <c r="C49" s="364"/>
      <c r="D49" s="364"/>
      <c r="E49" s="364"/>
      <c r="F49" s="364"/>
      <c r="G49" s="373">
        <f>G48+F48</f>
        <v>-3118190</v>
      </c>
      <c r="H49" s="373">
        <f>H48+G49</f>
        <v>-3057767.9970039986</v>
      </c>
      <c r="I49" s="373">
        <f t="shared" ref="I49:BT49" si="15">I48+H49</f>
        <v>-6545673.5586558189</v>
      </c>
      <c r="J49" s="373">
        <f t="shared" si="15"/>
        <v>-8976793.1986539289</v>
      </c>
      <c r="K49" s="373">
        <f t="shared" si="15"/>
        <v>-12248178.07754718</v>
      </c>
      <c r="L49" s="373">
        <f t="shared" si="15"/>
        <v>-14295068.941746093</v>
      </c>
      <c r="M49" s="373">
        <f t="shared" si="15"/>
        <v>-14407147.531206317</v>
      </c>
      <c r="N49" s="373">
        <f t="shared" si="15"/>
        <v>-12562628.876502028</v>
      </c>
      <c r="O49" s="373">
        <f t="shared" si="15"/>
        <v>-9400957.5821370818</v>
      </c>
      <c r="P49" s="373">
        <f t="shared" si="15"/>
        <v>-5750711.6738233659</v>
      </c>
      <c r="Q49" s="373">
        <f t="shared" si="15"/>
        <v>-357338.86263268441</v>
      </c>
      <c r="R49" s="373">
        <f t="shared" si="15"/>
        <v>7267397.1231182516</v>
      </c>
      <c r="S49" s="373">
        <f t="shared" si="15"/>
        <v>16792922.315572578</v>
      </c>
      <c r="T49" s="373">
        <f t="shared" si="15"/>
        <v>107031900.21073504</v>
      </c>
      <c r="U49" s="373">
        <f t="shared" si="15"/>
        <v>23450424.760620281</v>
      </c>
      <c r="V49" s="373">
        <f t="shared" si="15"/>
        <v>-6981031.0884939618</v>
      </c>
      <c r="W49" s="373">
        <f t="shared" si="15"/>
        <v>-24495414.635914076</v>
      </c>
      <c r="X49" s="373">
        <f t="shared" si="15"/>
        <v>-41304522.818338469</v>
      </c>
      <c r="Y49" s="373">
        <f t="shared" si="15"/>
        <v>-55956502.51560735</v>
      </c>
      <c r="Z49" s="373">
        <f t="shared" si="15"/>
        <v>-72365854.239938393</v>
      </c>
      <c r="AA49" s="373">
        <f t="shared" si="15"/>
        <v>-87446122.96167776</v>
      </c>
      <c r="AB49" s="373">
        <f t="shared" si="15"/>
        <v>-99843944.29678674</v>
      </c>
      <c r="AC49" s="373">
        <f t="shared" si="15"/>
        <v>-109779343.65119448</v>
      </c>
      <c r="AD49" s="373">
        <f t="shared" si="15"/>
        <v>-117171045.45227173</v>
      </c>
      <c r="AE49" s="373">
        <f t="shared" si="15"/>
        <v>-121972956.94277214</v>
      </c>
      <c r="AF49" s="373">
        <f t="shared" si="15"/>
        <v>-124104258.84603012</v>
      </c>
      <c r="AG49" s="373">
        <f t="shared" si="15"/>
        <v>-123484492.62516263</v>
      </c>
      <c r="AH49" s="373">
        <f t="shared" si="15"/>
        <v>-120033888.96153754</v>
      </c>
      <c r="AI49" s="373">
        <f t="shared" si="15"/>
        <v>-113673731.907791</v>
      </c>
      <c r="AJ49" s="373">
        <f t="shared" si="15"/>
        <v>-108913695.08989798</v>
      </c>
      <c r="AK49" s="373">
        <f t="shared" si="15"/>
        <v>-101066038.64786358</v>
      </c>
      <c r="AL49" s="373">
        <f t="shared" si="15"/>
        <v>-90058583.018788964</v>
      </c>
      <c r="AM49" s="373">
        <f t="shared" si="15"/>
        <v>-76623529.302633241</v>
      </c>
      <c r="AN49" s="373">
        <f t="shared" si="15"/>
        <v>-59856445.55866681</v>
      </c>
      <c r="AO49" s="373">
        <f t="shared" si="15"/>
        <v>-39558842.364699557</v>
      </c>
      <c r="AP49" s="373">
        <f t="shared" si="15"/>
        <v>-16656163.025321394</v>
      </c>
      <c r="AQ49" s="373">
        <f t="shared" si="15"/>
        <v>9747728.1021172181</v>
      </c>
      <c r="AR49" s="373">
        <f t="shared" si="15"/>
        <v>39703227.035911292</v>
      </c>
      <c r="AS49" s="373">
        <f t="shared" si="15"/>
        <v>72703078.599165708</v>
      </c>
      <c r="AT49" s="373">
        <f t="shared" si="15"/>
        <v>105338289.13069281</v>
      </c>
      <c r="AU49" s="373">
        <f t="shared" si="15"/>
        <v>141645165.76886529</v>
      </c>
      <c r="AV49" s="373">
        <f t="shared" si="15"/>
        <v>181630343.96807376</v>
      </c>
      <c r="AW49" s="373">
        <f t="shared" si="15"/>
        <v>249233422.87580207</v>
      </c>
      <c r="AX49" s="373">
        <f t="shared" si="15"/>
        <v>341460840.54253542</v>
      </c>
      <c r="AY49" s="373">
        <f t="shared" si="15"/>
        <v>440172264.67909056</v>
      </c>
      <c r="AZ49" s="373">
        <f t="shared" si="15"/>
        <v>545494068.01193357</v>
      </c>
      <c r="BA49" s="373">
        <f t="shared" si="15"/>
        <v>654553371.04983366</v>
      </c>
      <c r="BB49" s="373">
        <f t="shared" si="15"/>
        <v>769380063.40290284</v>
      </c>
      <c r="BC49" s="373">
        <f t="shared" si="15"/>
        <v>887870015.37267208</v>
      </c>
      <c r="BD49" s="373">
        <f t="shared" si="15"/>
        <v>1013199186.162816</v>
      </c>
      <c r="BE49" s="373">
        <f t="shared" si="15"/>
        <v>1142317160.016892</v>
      </c>
      <c r="BF49" s="373">
        <f t="shared" si="15"/>
        <v>1254978419.6509809</v>
      </c>
      <c r="BG49" s="373">
        <f t="shared" si="15"/>
        <v>1372028504.2218418</v>
      </c>
      <c r="BH49" s="373">
        <f t="shared" si="15"/>
        <v>1493304826.9346228</v>
      </c>
      <c r="BI49" s="373">
        <f t="shared" si="15"/>
        <v>1618609730.0060463</v>
      </c>
      <c r="BJ49" s="373">
        <f t="shared" si="15"/>
        <v>1747706739.0683551</v>
      </c>
      <c r="BK49" s="373">
        <f t="shared" si="15"/>
        <v>1880316485.4742639</v>
      </c>
      <c r="BL49" s="373">
        <f t="shared" si="15"/>
        <v>2016112269.512243</v>
      </c>
      <c r="BM49" s="373">
        <f t="shared" si="15"/>
        <v>2154715235.4533143</v>
      </c>
      <c r="BN49" s="373">
        <f t="shared" si="15"/>
        <v>2300023315.4398389</v>
      </c>
      <c r="BO49" s="373">
        <f t="shared" si="15"/>
        <v>2446273037.3273935</v>
      </c>
      <c r="BP49" s="373">
        <f t="shared" si="15"/>
        <v>2592876784.482326</v>
      </c>
      <c r="BQ49" s="373">
        <f t="shared" si="15"/>
        <v>2749004729.1243124</v>
      </c>
      <c r="BR49" s="373">
        <f t="shared" si="15"/>
        <v>2902005376.7911777</v>
      </c>
      <c r="BS49" s="373">
        <f t="shared" si="15"/>
        <v>3051086611.386941</v>
      </c>
      <c r="BT49" s="373">
        <f t="shared" si="15"/>
        <v>3195389820.8396783</v>
      </c>
      <c r="BU49" s="373">
        <f t="shared" ref="BU49:CH49" si="16">BU48+BT49</f>
        <v>3333937899.5658841</v>
      </c>
      <c r="BV49" s="373">
        <f t="shared" si="16"/>
        <v>3455724842.5908027</v>
      </c>
      <c r="BW49" s="373">
        <f t="shared" si="16"/>
        <v>3570156760.2638083</v>
      </c>
      <c r="BX49" s="373">
        <f t="shared" si="16"/>
        <v>3666032475.1396036</v>
      </c>
      <c r="BY49" s="373">
        <f t="shared" si="16"/>
        <v>3752584023.6345768</v>
      </c>
      <c r="BZ49" s="373">
        <f t="shared" si="16"/>
        <v>3828456878.3169489</v>
      </c>
      <c r="CA49" s="373">
        <f t="shared" si="16"/>
        <v>3892191663.2820272</v>
      </c>
      <c r="CB49" s="373">
        <f t="shared" si="16"/>
        <v>3942217219.7906432</v>
      </c>
      <c r="CC49" s="373">
        <f t="shared" si="16"/>
        <v>3976783932.1361103</v>
      </c>
      <c r="CD49" s="373">
        <f t="shared" si="16"/>
        <v>3994073947.053659</v>
      </c>
      <c r="CE49" s="373">
        <f t="shared" si="16"/>
        <v>3992134155.8928289</v>
      </c>
      <c r="CF49" s="373">
        <f t="shared" si="16"/>
        <v>3968689456.6478887</v>
      </c>
      <c r="CG49" s="373">
        <f t="shared" si="16"/>
        <v>3921487513.9891572</v>
      </c>
      <c r="CH49" s="373">
        <f t="shared" si="16"/>
        <v>3921487513.9891572</v>
      </c>
    </row>
    <row r="50" spans="1:86" x14ac:dyDescent="0.25">
      <c r="A50" s="352"/>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row>
    <row r="51" spans="1:86" x14ac:dyDescent="0.25">
      <c r="A51" s="352"/>
      <c r="B51" s="364"/>
      <c r="C51" s="427" t="e">
        <f t="shared" ref="C51:AH51" si="17">C19</f>
        <v>#REF!</v>
      </c>
      <c r="D51" s="427" t="e">
        <f t="shared" si="17"/>
        <v>#REF!</v>
      </c>
      <c r="E51" s="427" t="e">
        <f t="shared" si="17"/>
        <v>#REF!</v>
      </c>
      <c r="F51" s="427" t="e">
        <f t="shared" si="17"/>
        <v>#REF!</v>
      </c>
      <c r="G51" s="427">
        <f t="shared" si="17"/>
        <v>2014</v>
      </c>
      <c r="H51" s="427">
        <f t="shared" si="17"/>
        <v>2015</v>
      </c>
      <c r="I51" s="427">
        <f t="shared" si="17"/>
        <v>2016</v>
      </c>
      <c r="J51" s="427">
        <f t="shared" si="17"/>
        <v>2017</v>
      </c>
      <c r="K51" s="427">
        <f t="shared" si="17"/>
        <v>2018</v>
      </c>
      <c r="L51" s="427">
        <f t="shared" si="17"/>
        <v>2019</v>
      </c>
      <c r="M51" s="427">
        <f t="shared" si="17"/>
        <v>2020</v>
      </c>
      <c r="N51" s="427">
        <f t="shared" si="17"/>
        <v>2021</v>
      </c>
      <c r="O51" s="427">
        <f t="shared" si="17"/>
        <v>2022</v>
      </c>
      <c r="P51" s="427">
        <f t="shared" si="17"/>
        <v>2023</v>
      </c>
      <c r="Q51" s="427">
        <f t="shared" si="17"/>
        <v>2024</v>
      </c>
      <c r="R51" s="427">
        <f t="shared" si="17"/>
        <v>2025</v>
      </c>
      <c r="S51" s="427">
        <f t="shared" si="17"/>
        <v>2026</v>
      </c>
      <c r="T51" s="427">
        <f t="shared" si="17"/>
        <v>2027</v>
      </c>
      <c r="U51" s="427">
        <f t="shared" si="17"/>
        <v>2028</v>
      </c>
      <c r="V51" s="427">
        <f t="shared" si="17"/>
        <v>2029</v>
      </c>
      <c r="W51" s="427">
        <f t="shared" si="17"/>
        <v>2030</v>
      </c>
      <c r="X51" s="427">
        <f t="shared" si="17"/>
        <v>2031</v>
      </c>
      <c r="Y51" s="427">
        <f t="shared" si="17"/>
        <v>2032</v>
      </c>
      <c r="Z51" s="427">
        <f t="shared" si="17"/>
        <v>2033</v>
      </c>
      <c r="AA51" s="427">
        <f t="shared" si="17"/>
        <v>2034</v>
      </c>
      <c r="AB51" s="427">
        <f t="shared" si="17"/>
        <v>2035</v>
      </c>
      <c r="AC51" s="427">
        <f t="shared" si="17"/>
        <v>2036</v>
      </c>
      <c r="AD51" s="427">
        <f t="shared" si="17"/>
        <v>2037</v>
      </c>
      <c r="AE51" s="427">
        <f t="shared" si="17"/>
        <v>2038</v>
      </c>
      <c r="AF51" s="427">
        <f t="shared" si="17"/>
        <v>2039</v>
      </c>
      <c r="AG51" s="427">
        <f t="shared" si="17"/>
        <v>2040</v>
      </c>
      <c r="AH51" s="427">
        <f t="shared" si="17"/>
        <v>2041</v>
      </c>
      <c r="AI51" s="427">
        <f t="shared" ref="AI51:BN51" si="18">AI19</f>
        <v>2042</v>
      </c>
      <c r="AJ51" s="427">
        <f t="shared" si="18"/>
        <v>2043</v>
      </c>
      <c r="AK51" s="427">
        <f t="shared" si="18"/>
        <v>2044</v>
      </c>
      <c r="AL51" s="427">
        <f t="shared" si="18"/>
        <v>2045</v>
      </c>
      <c r="AM51" s="427">
        <f t="shared" si="18"/>
        <v>2046</v>
      </c>
      <c r="AN51" s="427">
        <f t="shared" si="18"/>
        <v>2047</v>
      </c>
      <c r="AO51" s="427">
        <f t="shared" si="18"/>
        <v>2048</v>
      </c>
      <c r="AP51" s="427">
        <f t="shared" si="18"/>
        <v>2049</v>
      </c>
      <c r="AQ51" s="427">
        <f t="shared" si="18"/>
        <v>2050</v>
      </c>
      <c r="AR51" s="427">
        <f t="shared" si="18"/>
        <v>2051</v>
      </c>
      <c r="AS51" s="427">
        <f t="shared" si="18"/>
        <v>2052</v>
      </c>
      <c r="AT51" s="427">
        <f t="shared" si="18"/>
        <v>2053</v>
      </c>
      <c r="AU51" s="427">
        <f t="shared" si="18"/>
        <v>2054</v>
      </c>
      <c r="AV51" s="427">
        <f t="shared" si="18"/>
        <v>2055</v>
      </c>
      <c r="AW51" s="427">
        <f t="shared" si="18"/>
        <v>2056</v>
      </c>
      <c r="AX51" s="427">
        <f t="shared" si="18"/>
        <v>2057</v>
      </c>
      <c r="AY51" s="427">
        <f t="shared" si="18"/>
        <v>2058</v>
      </c>
      <c r="AZ51" s="427">
        <f t="shared" si="18"/>
        <v>2059</v>
      </c>
      <c r="BA51" s="427">
        <f t="shared" si="18"/>
        <v>2060</v>
      </c>
      <c r="BB51" s="427">
        <f t="shared" si="18"/>
        <v>2061</v>
      </c>
      <c r="BC51" s="427">
        <f t="shared" si="18"/>
        <v>2062</v>
      </c>
      <c r="BD51" s="427">
        <f t="shared" si="18"/>
        <v>2063</v>
      </c>
      <c r="BE51" s="427">
        <f t="shared" si="18"/>
        <v>2064</v>
      </c>
      <c r="BF51" s="427">
        <f t="shared" si="18"/>
        <v>2065</v>
      </c>
      <c r="BG51" s="427">
        <f t="shared" si="18"/>
        <v>2066</v>
      </c>
      <c r="BH51" s="427">
        <f t="shared" si="18"/>
        <v>2067</v>
      </c>
      <c r="BI51" s="427">
        <f t="shared" si="18"/>
        <v>2068</v>
      </c>
      <c r="BJ51" s="427">
        <f t="shared" si="18"/>
        <v>2069</v>
      </c>
      <c r="BK51" s="427">
        <f t="shared" si="18"/>
        <v>2070</v>
      </c>
      <c r="BL51" s="427">
        <f t="shared" si="18"/>
        <v>2071</v>
      </c>
      <c r="BM51" s="427">
        <f t="shared" si="18"/>
        <v>2072</v>
      </c>
      <c r="BN51" s="427">
        <f t="shared" si="18"/>
        <v>2073</v>
      </c>
      <c r="BO51" s="427">
        <f t="shared" ref="BO51:CH51" si="19">BO19</f>
        <v>2074</v>
      </c>
      <c r="BP51" s="427">
        <f t="shared" si="19"/>
        <v>2075</v>
      </c>
      <c r="BQ51" s="427">
        <f t="shared" si="19"/>
        <v>2076</v>
      </c>
      <c r="BR51" s="427">
        <f t="shared" si="19"/>
        <v>2077</v>
      </c>
      <c r="BS51" s="427">
        <f t="shared" si="19"/>
        <v>2078</v>
      </c>
      <c r="BT51" s="427">
        <f t="shared" si="19"/>
        <v>2079</v>
      </c>
      <c r="BU51" s="427">
        <f t="shared" si="19"/>
        <v>2080</v>
      </c>
      <c r="BV51" s="427">
        <f t="shared" si="19"/>
        <v>2081</v>
      </c>
      <c r="BW51" s="427">
        <f t="shared" si="19"/>
        <v>2082</v>
      </c>
      <c r="BX51" s="427">
        <f t="shared" si="19"/>
        <v>2083</v>
      </c>
      <c r="BY51" s="427">
        <f t="shared" si="19"/>
        <v>2084</v>
      </c>
      <c r="BZ51" s="427">
        <f t="shared" si="19"/>
        <v>2085</v>
      </c>
      <c r="CA51" s="427">
        <f t="shared" si="19"/>
        <v>2086</v>
      </c>
      <c r="CB51" s="427">
        <f t="shared" si="19"/>
        <v>2087</v>
      </c>
      <c r="CC51" s="427">
        <f t="shared" si="19"/>
        <v>2088</v>
      </c>
      <c r="CD51" s="427">
        <f t="shared" si="19"/>
        <v>2089</v>
      </c>
      <c r="CE51" s="427">
        <f t="shared" si="19"/>
        <v>2090</v>
      </c>
      <c r="CF51" s="427">
        <f t="shared" si="19"/>
        <v>0</v>
      </c>
      <c r="CG51" s="427" t="str">
        <f t="shared" si="19"/>
        <v>A</v>
      </c>
      <c r="CH51" s="427">
        <f t="shared" si="19"/>
        <v>0</v>
      </c>
    </row>
    <row r="52" spans="1:86" s="446" customFormat="1" x14ac:dyDescent="0.25">
      <c r="A52" s="444" t="s">
        <v>155</v>
      </c>
      <c r="B52" s="445"/>
      <c r="C52" s="445"/>
      <c r="D52" s="445"/>
      <c r="E52" s="445"/>
      <c r="F52" s="445"/>
      <c r="G52" s="445">
        <f t="shared" ref="G52:AL52" si="20">G47+G16</f>
        <v>20842137.429000001</v>
      </c>
      <c r="H52" s="445">
        <f t="shared" si="20"/>
        <v>15303405.994007997</v>
      </c>
      <c r="I52" s="445">
        <f t="shared" si="20"/>
        <v>23707867.949913889</v>
      </c>
      <c r="J52" s="445">
        <f t="shared" si="20"/>
        <v>23425633.593912482</v>
      </c>
      <c r="K52" s="445">
        <f t="shared" si="20"/>
        <v>25089510.316069387</v>
      </c>
      <c r="L52" s="445">
        <f t="shared" si="20"/>
        <v>24740976.360831857</v>
      </c>
      <c r="M52" s="445">
        <f t="shared" si="20"/>
        <v>24832966.387055635</v>
      </c>
      <c r="N52" s="445">
        <f t="shared" si="20"/>
        <v>23911575.512050301</v>
      </c>
      <c r="O52" s="445">
        <f t="shared" si="20"/>
        <v>23694957.423422717</v>
      </c>
      <c r="P52" s="445">
        <f t="shared" si="20"/>
        <v>25398461.918586664</v>
      </c>
      <c r="Q52" s="445">
        <f t="shared" si="20"/>
        <v>24983928.317397796</v>
      </c>
      <c r="R52" s="445">
        <f t="shared" si="20"/>
        <v>24435145.201611236</v>
      </c>
      <c r="S52" s="445">
        <f t="shared" si="20"/>
        <v>24071271.814222921</v>
      </c>
      <c r="T52" s="445">
        <f t="shared" si="20"/>
        <v>-55206085.249887995</v>
      </c>
      <c r="U52" s="445">
        <f t="shared" si="20"/>
        <v>121683588.90338975</v>
      </c>
      <c r="V52" s="445">
        <f t="shared" si="20"/>
        <v>71341880.505878627</v>
      </c>
      <c r="W52" s="445">
        <f t="shared" si="20"/>
        <v>61318095.026548304</v>
      </c>
      <c r="X52" s="445">
        <f t="shared" si="20"/>
        <v>63690214.677409351</v>
      </c>
      <c r="Y52" s="445">
        <f t="shared" si="20"/>
        <v>64805683.381892316</v>
      </c>
      <c r="Z52" s="445">
        <f t="shared" si="20"/>
        <v>70633292.394705832</v>
      </c>
      <c r="AA52" s="445">
        <f t="shared" si="20"/>
        <v>73157939.971028984</v>
      </c>
      <c r="AB52" s="445">
        <f t="shared" si="20"/>
        <v>74574035.711636335</v>
      </c>
      <c r="AC52" s="445">
        <f t="shared" si="20"/>
        <v>76469765.100468293</v>
      </c>
      <c r="AD52" s="445">
        <f t="shared" si="20"/>
        <v>78559511.344376743</v>
      </c>
      <c r="AE52" s="445">
        <f t="shared" si="20"/>
        <v>80895083.514278814</v>
      </c>
      <c r="AF52" s="445">
        <f t="shared" si="20"/>
        <v>83459380.230272442</v>
      </c>
      <c r="AG52" s="445">
        <f t="shared" si="20"/>
        <v>86271446.500344515</v>
      </c>
      <c r="AH52" s="445">
        <f t="shared" si="20"/>
        <v>89351778.822587729</v>
      </c>
      <c r="AI52" s="445">
        <f t="shared" si="20"/>
        <v>92722428.600781187</v>
      </c>
      <c r="AJ52" s="445">
        <f t="shared" si="20"/>
        <v>101856122.37059797</v>
      </c>
      <c r="AK52" s="445">
        <f t="shared" si="20"/>
        <v>106156405.58214635</v>
      </c>
      <c r="AL52" s="445">
        <f t="shared" si="20"/>
        <v>110849000.56722979</v>
      </c>
      <c r="AM52" s="445">
        <f t="shared" ref="AM52:BR52" si="21">AM47+AM16</f>
        <v>116766469.59909752</v>
      </c>
      <c r="AN52" s="445">
        <f t="shared" si="21"/>
        <v>122302063.70645523</v>
      </c>
      <c r="AO52" s="445">
        <f t="shared" si="21"/>
        <v>128193414.98656788</v>
      </c>
      <c r="AP52" s="445">
        <f t="shared" si="21"/>
        <v>135598060.54134917</v>
      </c>
      <c r="AQ52" s="445">
        <f t="shared" si="21"/>
        <v>142730056.49574688</v>
      </c>
      <c r="AR52" s="445">
        <f t="shared" si="21"/>
        <v>150472931.15701979</v>
      </c>
      <c r="AS52" s="445">
        <f t="shared" si="21"/>
        <v>159424408.36411375</v>
      </c>
      <c r="AT52" s="445">
        <f t="shared" si="21"/>
        <v>173397422.54635701</v>
      </c>
      <c r="AU52" s="445">
        <f t="shared" si="21"/>
        <v>183649221.13185355</v>
      </c>
      <c r="AV52" s="445">
        <f t="shared" si="21"/>
        <v>194764368.78569162</v>
      </c>
      <c r="AW52" s="445">
        <f t="shared" si="21"/>
        <v>181564150.42928579</v>
      </c>
      <c r="AX52" s="445">
        <f t="shared" si="21"/>
        <v>171110278.47402978</v>
      </c>
      <c r="AY52" s="445">
        <f t="shared" si="21"/>
        <v>179685183.02083045</v>
      </c>
      <c r="AZ52" s="445">
        <f t="shared" si="21"/>
        <v>189078640.39799437</v>
      </c>
      <c r="BA52" s="445">
        <f t="shared" si="21"/>
        <v>202349951.55837572</v>
      </c>
      <c r="BB52" s="445">
        <f t="shared" si="21"/>
        <v>214660186.19181693</v>
      </c>
      <c r="BC52" s="445">
        <f t="shared" si="21"/>
        <v>230211228.84679225</v>
      </c>
      <c r="BD52" s="445">
        <f t="shared" si="21"/>
        <v>241597851.13002318</v>
      </c>
      <c r="BE52" s="445">
        <f t="shared" si="21"/>
        <v>258686632.33040136</v>
      </c>
      <c r="BF52" s="445">
        <f t="shared" si="21"/>
        <v>297352072.22820258</v>
      </c>
      <c r="BG52" s="445">
        <f t="shared" si="21"/>
        <v>316592509.96064579</v>
      </c>
      <c r="BH52" s="445">
        <f t="shared" si="21"/>
        <v>337511605.54021251</v>
      </c>
      <c r="BI52" s="445">
        <f t="shared" si="21"/>
        <v>360246527.95135975</v>
      </c>
      <c r="BJ52" s="445">
        <f t="shared" si="21"/>
        <v>384945210.76479995</v>
      </c>
      <c r="BK52" s="445">
        <f t="shared" si="21"/>
        <v>411767170.95754075</v>
      </c>
      <c r="BL52" s="445">
        <f t="shared" si="21"/>
        <v>440884388.59662402</v>
      </c>
      <c r="BM52" s="445">
        <f t="shared" si="21"/>
        <v>472482251.83567029</v>
      </c>
      <c r="BN52" s="445">
        <f t="shared" si="21"/>
        <v>498092195.3264333</v>
      </c>
      <c r="BO52" s="445">
        <f t="shared" si="21"/>
        <v>533546207.03547561</v>
      </c>
      <c r="BP52" s="445">
        <f t="shared" si="21"/>
        <v>571806366.88121891</v>
      </c>
      <c r="BQ52" s="445">
        <f t="shared" si="21"/>
        <v>593428581.39898515</v>
      </c>
      <c r="BR52" s="445">
        <f t="shared" si="21"/>
        <v>633705690.45317221</v>
      </c>
      <c r="BS52" s="445">
        <f t="shared" ref="BS52:CH52" si="22">BS47+BS16</f>
        <v>676706471.28238392</v>
      </c>
      <c r="BT52" s="445">
        <f t="shared" si="22"/>
        <v>722600500.90452957</v>
      </c>
      <c r="BU52" s="445">
        <f t="shared" si="22"/>
        <v>771614932.61484075</v>
      </c>
      <c r="BV52" s="445">
        <f t="shared" si="22"/>
        <v>833893208.51761818</v>
      </c>
      <c r="BW52" s="445">
        <f t="shared" si="22"/>
        <v>889143959.77151167</v>
      </c>
      <c r="BX52" s="445">
        <f t="shared" si="22"/>
        <v>958101762.83021772</v>
      </c>
      <c r="BY52" s="445">
        <f t="shared" si="22"/>
        <v>1020467591.6038023</v>
      </c>
      <c r="BZ52" s="445">
        <f t="shared" si="22"/>
        <v>1086969473.3080697</v>
      </c>
      <c r="CA52" s="445">
        <f t="shared" si="22"/>
        <v>1157861392.4818397</v>
      </c>
      <c r="CB52" s="445">
        <f t="shared" si="22"/>
        <v>1233412359.5768542</v>
      </c>
      <c r="CC52" s="445">
        <f t="shared" si="22"/>
        <v>1313966592.5266666</v>
      </c>
      <c r="CD52" s="445">
        <f t="shared" si="22"/>
        <v>1399767089.2051022</v>
      </c>
      <c r="CE52" s="445">
        <f t="shared" si="22"/>
        <v>1491133356.1961255</v>
      </c>
      <c r="CF52" s="445">
        <f t="shared" si="22"/>
        <v>1588581647.4018769</v>
      </c>
      <c r="CG52" s="445">
        <f t="shared" si="22"/>
        <v>1692294013.9194026</v>
      </c>
      <c r="CH52" s="445">
        <f t="shared" si="22"/>
        <v>0</v>
      </c>
    </row>
    <row r="53" spans="1:86" x14ac:dyDescent="0.25">
      <c r="A53" s="352"/>
      <c r="B53" s="364"/>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7"/>
      <c r="AD53" s="427"/>
      <c r="AE53" s="427"/>
      <c r="AF53" s="427"/>
      <c r="AG53" s="427"/>
      <c r="AH53" s="427"/>
      <c r="AI53" s="427"/>
      <c r="AJ53" s="427"/>
      <c r="AK53" s="427"/>
      <c r="AL53" s="427"/>
      <c r="AM53" s="427"/>
      <c r="AN53" s="427"/>
      <c r="AO53" s="427"/>
      <c r="AP53" s="427"/>
      <c r="AQ53" s="427"/>
      <c r="AR53" s="427"/>
      <c r="AS53" s="427"/>
      <c r="AT53" s="427"/>
      <c r="AU53" s="427"/>
      <c r="AV53" s="427"/>
      <c r="AW53" s="427"/>
      <c r="AX53" s="427"/>
      <c r="AY53" s="427"/>
      <c r="AZ53" s="427"/>
      <c r="BA53" s="427"/>
      <c r="BB53" s="427"/>
      <c r="BC53" s="427"/>
      <c r="BD53" s="427"/>
      <c r="BE53" s="427"/>
      <c r="BF53" s="427"/>
      <c r="BG53" s="427"/>
      <c r="BH53" s="427"/>
      <c r="BI53" s="427"/>
      <c r="BJ53" s="427"/>
      <c r="BK53" s="427"/>
      <c r="BL53" s="427"/>
      <c r="BM53" s="427"/>
      <c r="BN53" s="427"/>
      <c r="BO53" s="427"/>
      <c r="BP53" s="427"/>
      <c r="BQ53" s="427"/>
      <c r="BR53" s="427"/>
      <c r="BS53" s="427"/>
      <c r="BT53" s="427"/>
      <c r="BU53" s="427"/>
      <c r="BV53" s="427"/>
      <c r="BW53" s="427"/>
      <c r="BX53" s="427"/>
      <c r="BY53" s="427"/>
      <c r="BZ53" s="427"/>
      <c r="CA53" s="427"/>
      <c r="CB53" s="427"/>
      <c r="CC53" s="427"/>
      <c r="CD53" s="427"/>
      <c r="CE53" s="427"/>
      <c r="CF53" s="427"/>
      <c r="CG53" s="427"/>
      <c r="CH53" s="427"/>
    </row>
    <row r="54" spans="1:86" x14ac:dyDescent="0.25">
      <c r="A54" s="352"/>
      <c r="B54" s="364"/>
      <c r="C54" s="427">
        <v>2008</v>
      </c>
      <c r="D54" s="427">
        <v>2009</v>
      </c>
      <c r="E54" s="427">
        <v>2010</v>
      </c>
      <c r="F54" s="427">
        <v>2011</v>
      </c>
      <c r="G54" s="427">
        <v>2012</v>
      </c>
      <c r="H54" s="427">
        <v>2013</v>
      </c>
      <c r="I54" s="427">
        <v>2014</v>
      </c>
      <c r="J54" s="427">
        <v>2015</v>
      </c>
      <c r="K54" s="427">
        <v>2016</v>
      </c>
      <c r="L54" s="427">
        <v>2017</v>
      </c>
      <c r="M54" s="427">
        <v>2018</v>
      </c>
      <c r="N54" s="427">
        <v>2019</v>
      </c>
      <c r="O54" s="427">
        <v>2020</v>
      </c>
      <c r="P54" s="427">
        <v>2021</v>
      </c>
      <c r="Q54" s="427">
        <v>2022</v>
      </c>
      <c r="R54" s="427">
        <v>2023</v>
      </c>
      <c r="S54" s="427">
        <v>2024</v>
      </c>
      <c r="T54" s="427">
        <v>2025</v>
      </c>
      <c r="U54" s="427">
        <v>2026</v>
      </c>
      <c r="V54" s="427">
        <v>2027</v>
      </c>
      <c r="W54" s="427">
        <v>2028</v>
      </c>
      <c r="X54" s="427">
        <v>2029</v>
      </c>
      <c r="Y54" s="427">
        <v>2030</v>
      </c>
      <c r="Z54" s="427">
        <v>2031</v>
      </c>
      <c r="AA54" s="427">
        <v>2032</v>
      </c>
      <c r="AB54" s="427">
        <v>2033</v>
      </c>
      <c r="AC54" s="427">
        <v>2034</v>
      </c>
      <c r="AD54" s="427">
        <v>2035</v>
      </c>
      <c r="AE54" s="427">
        <v>2036</v>
      </c>
      <c r="AF54" s="427">
        <v>2037</v>
      </c>
      <c r="AG54" s="427">
        <v>2038</v>
      </c>
      <c r="AH54" s="427">
        <v>2039</v>
      </c>
      <c r="AI54" s="427">
        <v>2040</v>
      </c>
      <c r="AJ54" s="427">
        <v>2041</v>
      </c>
      <c r="AK54" s="427">
        <v>2042</v>
      </c>
      <c r="AL54" s="427">
        <v>2043</v>
      </c>
      <c r="AM54" s="427">
        <v>2044</v>
      </c>
      <c r="AN54" s="427">
        <v>2045</v>
      </c>
      <c r="AO54" s="427">
        <v>2046</v>
      </c>
      <c r="AP54" s="427">
        <v>2047</v>
      </c>
      <c r="AQ54" s="427">
        <v>2048</v>
      </c>
      <c r="AR54" s="427">
        <v>2049</v>
      </c>
      <c r="AS54" s="427">
        <v>2050</v>
      </c>
      <c r="AT54" s="427">
        <v>2051</v>
      </c>
      <c r="AU54" s="427">
        <v>2052</v>
      </c>
      <c r="AV54" s="427">
        <v>2053</v>
      </c>
      <c r="AW54" s="427">
        <v>2054</v>
      </c>
      <c r="AX54" s="427">
        <v>2055</v>
      </c>
      <c r="AY54" s="427">
        <v>2056</v>
      </c>
      <c r="AZ54" s="427">
        <v>2057</v>
      </c>
      <c r="BA54" s="427">
        <v>2058</v>
      </c>
      <c r="BB54" s="427">
        <v>2059</v>
      </c>
      <c r="BC54" s="427">
        <v>2060</v>
      </c>
      <c r="BD54" s="427">
        <v>2061</v>
      </c>
      <c r="BE54" s="427">
        <v>2062</v>
      </c>
      <c r="BF54" s="427">
        <v>2063</v>
      </c>
      <c r="BG54" s="427">
        <v>2064</v>
      </c>
      <c r="BH54" s="427">
        <v>2065</v>
      </c>
      <c r="BI54" s="427">
        <v>2066</v>
      </c>
      <c r="BJ54" s="427">
        <v>2067</v>
      </c>
      <c r="BK54" s="427">
        <v>2068</v>
      </c>
      <c r="BL54" s="427">
        <v>2069</v>
      </c>
      <c r="BM54" s="427">
        <v>2070</v>
      </c>
      <c r="BN54" s="427">
        <v>2071</v>
      </c>
      <c r="BO54" s="427">
        <v>2072</v>
      </c>
      <c r="BP54" s="427">
        <v>2073</v>
      </c>
      <c r="BQ54" s="427">
        <v>2074</v>
      </c>
      <c r="BR54" s="427">
        <v>2075</v>
      </c>
      <c r="BS54" s="427">
        <v>2076</v>
      </c>
      <c r="BT54" s="427">
        <v>2077</v>
      </c>
      <c r="BU54" s="427">
        <v>2078</v>
      </c>
      <c r="BV54" s="427">
        <v>2079</v>
      </c>
      <c r="BW54" s="427">
        <v>2080</v>
      </c>
      <c r="BX54" s="427">
        <v>2081</v>
      </c>
      <c r="BY54" s="427">
        <v>2082</v>
      </c>
      <c r="BZ54" s="427">
        <v>2083</v>
      </c>
      <c r="CA54" s="427">
        <v>2084</v>
      </c>
      <c r="CB54" s="427">
        <v>2085</v>
      </c>
      <c r="CC54" s="427">
        <v>2086</v>
      </c>
      <c r="CD54" s="427">
        <v>2087</v>
      </c>
      <c r="CE54" s="427">
        <v>2088</v>
      </c>
      <c r="CF54" s="427">
        <v>2089</v>
      </c>
      <c r="CG54" s="427">
        <v>2090</v>
      </c>
      <c r="CH54" s="427">
        <v>2091</v>
      </c>
    </row>
    <row r="55" spans="1:86" x14ac:dyDescent="0.25">
      <c r="A55" s="381" t="s">
        <v>154</v>
      </c>
      <c r="B55" s="382" t="e">
        <f>SUM(B47,B16,#REF!)</f>
        <v>#REF!</v>
      </c>
      <c r="C55" s="382" t="e">
        <f>SUM(C47,C16,#REF!)</f>
        <v>#REF!</v>
      </c>
      <c r="D55" s="382" t="e">
        <f>SUM(D47,D16,#REF!)</f>
        <v>#REF!</v>
      </c>
      <c r="E55" s="382" t="e">
        <f>SUM(E47,E16,#REF!)</f>
        <v>#REF!</v>
      </c>
      <c r="F55" s="382" t="e">
        <f>SUM(F47,F16,#REF!)</f>
        <v>#REF!</v>
      </c>
      <c r="G55" s="443">
        <v>55000000</v>
      </c>
      <c r="H55" s="382">
        <f t="shared" ref="H55:AM55" si="23">SUM(H47,H16,G55)</f>
        <v>70303405.994008005</v>
      </c>
      <c r="I55" s="382">
        <f t="shared" si="23"/>
        <v>94011273.943921894</v>
      </c>
      <c r="J55" s="382">
        <f t="shared" si="23"/>
        <v>117436907.53783438</v>
      </c>
      <c r="K55" s="382">
        <f t="shared" si="23"/>
        <v>142526417.85390377</v>
      </c>
      <c r="L55" s="382">
        <f t="shared" si="23"/>
        <v>167267394.21473563</v>
      </c>
      <c r="M55" s="382">
        <f t="shared" si="23"/>
        <v>192100360.60179126</v>
      </c>
      <c r="N55" s="382">
        <f t="shared" si="23"/>
        <v>216011936.11384156</v>
      </c>
      <c r="O55" s="382">
        <f t="shared" si="23"/>
        <v>239706893.53726429</v>
      </c>
      <c r="P55" s="382">
        <f t="shared" si="23"/>
        <v>265105355.45585096</v>
      </c>
      <c r="Q55" s="382">
        <f t="shared" si="23"/>
        <v>290089283.77324873</v>
      </c>
      <c r="R55" s="382">
        <f t="shared" si="23"/>
        <v>314524428.97485995</v>
      </c>
      <c r="S55" s="382">
        <f t="shared" si="23"/>
        <v>338595700.78908288</v>
      </c>
      <c r="T55" s="382">
        <f t="shared" si="23"/>
        <v>283389615.53919488</v>
      </c>
      <c r="U55" s="382">
        <f t="shared" si="23"/>
        <v>405073204.44258463</v>
      </c>
      <c r="V55" s="382">
        <f t="shared" si="23"/>
        <v>476415084.94846326</v>
      </c>
      <c r="W55" s="382">
        <f t="shared" si="23"/>
        <v>537733179.97501159</v>
      </c>
      <c r="X55" s="382">
        <f t="shared" si="23"/>
        <v>601423394.652421</v>
      </c>
      <c r="Y55" s="382">
        <f t="shared" si="23"/>
        <v>666229078.03431332</v>
      </c>
      <c r="Z55" s="382">
        <f t="shared" si="23"/>
        <v>736862370.42901921</v>
      </c>
      <c r="AA55" s="382">
        <f t="shared" si="23"/>
        <v>810020310.40004826</v>
      </c>
      <c r="AB55" s="382">
        <f t="shared" si="23"/>
        <v>884594346.11168456</v>
      </c>
      <c r="AC55" s="382">
        <f t="shared" si="23"/>
        <v>961064111.21215284</v>
      </c>
      <c r="AD55" s="382">
        <f t="shared" si="23"/>
        <v>1039623622.5565295</v>
      </c>
      <c r="AE55" s="382">
        <f t="shared" si="23"/>
        <v>1120518706.0708084</v>
      </c>
      <c r="AF55" s="382">
        <f t="shared" si="23"/>
        <v>1203978086.3010809</v>
      </c>
      <c r="AG55" s="382">
        <f t="shared" si="23"/>
        <v>1290249532.8014255</v>
      </c>
      <c r="AH55" s="382">
        <f t="shared" si="23"/>
        <v>1379601311.6240132</v>
      </c>
      <c r="AI55" s="382">
        <f t="shared" si="23"/>
        <v>1472323740.2247944</v>
      </c>
      <c r="AJ55" s="382">
        <f t="shared" si="23"/>
        <v>1574179862.5953925</v>
      </c>
      <c r="AK55" s="382">
        <f t="shared" si="23"/>
        <v>1680336268.1775389</v>
      </c>
      <c r="AL55" s="382">
        <f t="shared" si="23"/>
        <v>1791185268.7447686</v>
      </c>
      <c r="AM55" s="382">
        <f t="shared" si="23"/>
        <v>1907951738.3438661</v>
      </c>
      <c r="AN55" s="382">
        <f t="shared" ref="AN55:BS55" si="24">SUM(AN47,AN16,AM55)</f>
        <v>2030253802.0503213</v>
      </c>
      <c r="AO55" s="382">
        <f t="shared" si="24"/>
        <v>2158447217.0368891</v>
      </c>
      <c r="AP55" s="382">
        <f t="shared" si="24"/>
        <v>2294045277.5782385</v>
      </c>
      <c r="AQ55" s="382">
        <f t="shared" si="24"/>
        <v>2436775334.0739856</v>
      </c>
      <c r="AR55" s="382">
        <f t="shared" si="24"/>
        <v>2587248265.2310052</v>
      </c>
      <c r="AS55" s="382">
        <f t="shared" si="24"/>
        <v>2746672673.595119</v>
      </c>
      <c r="AT55" s="382">
        <f t="shared" si="24"/>
        <v>2920070096.1414762</v>
      </c>
      <c r="AU55" s="382">
        <f t="shared" si="24"/>
        <v>3103719317.2733297</v>
      </c>
      <c r="AV55" s="382">
        <f t="shared" si="24"/>
        <v>3298483686.0590215</v>
      </c>
      <c r="AW55" s="382">
        <f t="shared" si="24"/>
        <v>3480047836.4883075</v>
      </c>
      <c r="AX55" s="382">
        <f t="shared" si="24"/>
        <v>3651158114.9623375</v>
      </c>
      <c r="AY55" s="382">
        <f t="shared" si="24"/>
        <v>3830843297.9831681</v>
      </c>
      <c r="AZ55" s="382">
        <f t="shared" si="24"/>
        <v>4019921938.3811626</v>
      </c>
      <c r="BA55" s="382">
        <f t="shared" si="24"/>
        <v>4222271889.9395385</v>
      </c>
      <c r="BB55" s="382">
        <f t="shared" si="24"/>
        <v>4436932076.1313553</v>
      </c>
      <c r="BC55" s="382">
        <f t="shared" si="24"/>
        <v>4667143304.9781475</v>
      </c>
      <c r="BD55" s="382">
        <f t="shared" si="24"/>
        <v>4908741156.1081705</v>
      </c>
      <c r="BE55" s="382">
        <f t="shared" si="24"/>
        <v>5167427788.4385719</v>
      </c>
      <c r="BF55" s="382">
        <f t="shared" si="24"/>
        <v>5464779860.6667747</v>
      </c>
      <c r="BG55" s="382">
        <f t="shared" si="24"/>
        <v>5781372370.6274204</v>
      </c>
      <c r="BH55" s="382">
        <f t="shared" si="24"/>
        <v>6118883976.1676331</v>
      </c>
      <c r="BI55" s="382">
        <f t="shared" si="24"/>
        <v>6479130504.1189928</v>
      </c>
      <c r="BJ55" s="382">
        <f t="shared" si="24"/>
        <v>6864075714.8837929</v>
      </c>
      <c r="BK55" s="382">
        <f t="shared" si="24"/>
        <v>7275842885.8413334</v>
      </c>
      <c r="BL55" s="382">
        <f t="shared" si="24"/>
        <v>7716727274.4379578</v>
      </c>
      <c r="BM55" s="382">
        <f t="shared" si="24"/>
        <v>8189209526.2736282</v>
      </c>
      <c r="BN55" s="382">
        <f t="shared" si="24"/>
        <v>8687301721.6000614</v>
      </c>
      <c r="BO55" s="382">
        <f t="shared" si="24"/>
        <v>9220847928.6355362</v>
      </c>
      <c r="BP55" s="382">
        <f t="shared" si="24"/>
        <v>9792654295.5167542</v>
      </c>
      <c r="BQ55" s="382">
        <f t="shared" si="24"/>
        <v>10386082876.915739</v>
      </c>
      <c r="BR55" s="382">
        <f t="shared" si="24"/>
        <v>11019788567.368912</v>
      </c>
      <c r="BS55" s="382">
        <f t="shared" si="24"/>
        <v>11696495038.651295</v>
      </c>
      <c r="BT55" s="382">
        <f t="shared" ref="BT55:CH55" si="25">SUM(BT47,BT16,BS55)</f>
        <v>12419095539.555824</v>
      </c>
      <c r="BU55" s="382">
        <f t="shared" si="25"/>
        <v>13190710472.170666</v>
      </c>
      <c r="BV55" s="382">
        <f t="shared" si="25"/>
        <v>14024603680.688284</v>
      </c>
      <c r="BW55" s="382">
        <f t="shared" si="25"/>
        <v>14913747640.459795</v>
      </c>
      <c r="BX55" s="382">
        <f t="shared" si="25"/>
        <v>15871849403.290012</v>
      </c>
      <c r="BY55" s="382">
        <f t="shared" si="25"/>
        <v>16892316994.893814</v>
      </c>
      <c r="BZ55" s="382">
        <f t="shared" si="25"/>
        <v>17979286468.201885</v>
      </c>
      <c r="CA55" s="382">
        <f t="shared" si="25"/>
        <v>19137147860.683723</v>
      </c>
      <c r="CB55" s="382">
        <f t="shared" si="25"/>
        <v>20370560220.260578</v>
      </c>
      <c r="CC55" s="382">
        <f t="shared" si="25"/>
        <v>21684526812.787247</v>
      </c>
      <c r="CD55" s="382">
        <f t="shared" si="25"/>
        <v>23084293901.992348</v>
      </c>
      <c r="CE55" s="382">
        <f t="shared" si="25"/>
        <v>24575427258.188473</v>
      </c>
      <c r="CF55" s="382">
        <f t="shared" si="25"/>
        <v>26164008905.590351</v>
      </c>
      <c r="CG55" s="382">
        <f t="shared" si="25"/>
        <v>27856302919.509754</v>
      </c>
      <c r="CH55" s="382">
        <f t="shared" si="25"/>
        <v>27856302919.509754</v>
      </c>
    </row>
    <row r="56" spans="1:86" x14ac:dyDescent="0.25">
      <c r="H56" s="384"/>
    </row>
  </sheetData>
  <pageMargins left="0.7" right="0.7" top="0.75" bottom="0.75" header="0.3" footer="0.3"/>
  <pageSetup paperSize="17" scale="17" fitToHeight="0" orientation="landscape" r:id="rId1"/>
  <headerFooter>
    <oddFooter xml:space="preserve">&amp;L&amp;"-,Bold"&amp;9This is a preliminary draft document. It is intended for discussion purposes only.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0"/>
  <sheetViews>
    <sheetView zoomScaleNormal="100" workbookViewId="0">
      <selection activeCell="A60" sqref="A60:A62"/>
    </sheetView>
  </sheetViews>
  <sheetFormatPr defaultColWidth="12.140625" defaultRowHeight="15" x14ac:dyDescent="0.25"/>
  <cols>
    <col min="1" max="1" width="34.7109375" bestFit="1" customWidth="1"/>
    <col min="2" max="2" width="3.28515625" bestFit="1" customWidth="1"/>
    <col min="3" max="8" width="11.85546875" bestFit="1" customWidth="1"/>
    <col min="9" max="9" width="12.140625" customWidth="1"/>
    <col min="10" max="10" width="10.85546875" bestFit="1" customWidth="1"/>
    <col min="11" max="11" width="11" bestFit="1" customWidth="1"/>
    <col min="12" max="13" width="11.5703125" bestFit="1" customWidth="1"/>
    <col min="14" max="41" width="11.85546875" bestFit="1" customWidth="1"/>
    <col min="42" max="86" width="12.85546875" bestFit="1" customWidth="1"/>
    <col min="87" max="87" width="15.28515625" bestFit="1" customWidth="1"/>
  </cols>
  <sheetData>
    <row r="1" spans="1:86" x14ac:dyDescent="0.25">
      <c r="A1" s="352"/>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row>
    <row r="2" spans="1:86" x14ac:dyDescent="0.25">
      <c r="A2" s="352"/>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row>
    <row r="3" spans="1:86" x14ac:dyDescent="0.25">
      <c r="A3" s="354">
        <v>0</v>
      </c>
      <c r="B3" s="355">
        <v>0</v>
      </c>
      <c r="C3" s="355">
        <v>2008</v>
      </c>
      <c r="D3" s="355">
        <v>2009</v>
      </c>
      <c r="E3" s="355">
        <v>2010</v>
      </c>
      <c r="F3" s="355">
        <v>2011</v>
      </c>
      <c r="G3" s="355">
        <v>2012</v>
      </c>
      <c r="H3" s="355">
        <v>2013</v>
      </c>
      <c r="I3" s="355">
        <v>2014</v>
      </c>
      <c r="J3" s="355">
        <v>2015</v>
      </c>
      <c r="K3" s="355">
        <v>2016</v>
      </c>
      <c r="L3" s="355">
        <v>2017</v>
      </c>
      <c r="M3" s="355">
        <v>2018</v>
      </c>
      <c r="N3" s="355">
        <v>2019</v>
      </c>
      <c r="O3" s="355">
        <v>2020</v>
      </c>
      <c r="P3" s="355">
        <v>2021</v>
      </c>
      <c r="Q3" s="355">
        <v>2022</v>
      </c>
      <c r="R3" s="355">
        <v>2023</v>
      </c>
      <c r="S3" s="355">
        <v>2024</v>
      </c>
      <c r="T3" s="355">
        <v>2025</v>
      </c>
      <c r="U3" s="355">
        <v>2026</v>
      </c>
      <c r="V3" s="355">
        <v>2027</v>
      </c>
      <c r="W3" s="355">
        <v>2028</v>
      </c>
      <c r="X3" s="355">
        <v>2029</v>
      </c>
      <c r="Y3" s="355">
        <v>2030</v>
      </c>
      <c r="Z3" s="355">
        <v>2031</v>
      </c>
      <c r="AA3" s="355">
        <v>2032</v>
      </c>
      <c r="AB3" s="355">
        <v>2033</v>
      </c>
      <c r="AC3" s="355">
        <v>2034</v>
      </c>
      <c r="AD3" s="355">
        <v>2035</v>
      </c>
      <c r="AE3" s="355">
        <v>2036</v>
      </c>
      <c r="AF3" s="355">
        <v>2037</v>
      </c>
      <c r="AG3" s="355">
        <v>2038</v>
      </c>
      <c r="AH3" s="355">
        <v>2039</v>
      </c>
      <c r="AI3" s="355">
        <v>2040</v>
      </c>
      <c r="AJ3" s="355">
        <v>2041</v>
      </c>
      <c r="AK3" s="355">
        <v>2042</v>
      </c>
      <c r="AL3" s="355">
        <v>2043</v>
      </c>
      <c r="AM3" s="355">
        <v>2044</v>
      </c>
      <c r="AN3" s="355">
        <v>2045</v>
      </c>
      <c r="AO3" s="355">
        <v>2046</v>
      </c>
      <c r="AP3" s="355">
        <v>2047</v>
      </c>
      <c r="AQ3" s="355">
        <v>2048</v>
      </c>
      <c r="AR3" s="355">
        <v>2049</v>
      </c>
      <c r="AS3" s="355">
        <v>2050</v>
      </c>
      <c r="AT3" s="355">
        <v>2051</v>
      </c>
      <c r="AU3" s="355">
        <v>2052</v>
      </c>
      <c r="AV3" s="355">
        <v>2053</v>
      </c>
      <c r="AW3" s="355">
        <v>2054</v>
      </c>
      <c r="AX3" s="355">
        <v>2055</v>
      </c>
      <c r="AY3" s="355">
        <v>2056</v>
      </c>
      <c r="AZ3" s="355">
        <v>2057</v>
      </c>
      <c r="BA3" s="355">
        <v>2058</v>
      </c>
      <c r="BB3" s="355">
        <v>2059</v>
      </c>
      <c r="BC3" s="355">
        <v>2060</v>
      </c>
      <c r="BD3" s="355">
        <v>2061</v>
      </c>
      <c r="BE3" s="355">
        <v>2062</v>
      </c>
      <c r="BF3" s="355">
        <v>2063</v>
      </c>
      <c r="BG3" s="355">
        <v>2064</v>
      </c>
      <c r="BH3" s="355">
        <v>2065</v>
      </c>
      <c r="BI3" s="355">
        <v>2066</v>
      </c>
      <c r="BJ3" s="355">
        <v>2067</v>
      </c>
      <c r="BK3" s="355">
        <v>2068</v>
      </c>
      <c r="BL3" s="355">
        <v>2069</v>
      </c>
      <c r="BM3" s="355">
        <v>2070</v>
      </c>
      <c r="BN3" s="355">
        <v>2071</v>
      </c>
      <c r="BO3" s="355">
        <v>2072</v>
      </c>
      <c r="BP3" s="355">
        <v>2073</v>
      </c>
      <c r="BQ3" s="355">
        <v>2074</v>
      </c>
      <c r="BR3" s="355">
        <v>2075</v>
      </c>
      <c r="BS3" s="355">
        <v>2076</v>
      </c>
      <c r="BT3" s="355">
        <v>2077</v>
      </c>
      <c r="BU3" s="355">
        <v>2078</v>
      </c>
      <c r="BV3" s="355">
        <v>2079</v>
      </c>
      <c r="BW3" s="355">
        <v>2080</v>
      </c>
      <c r="BX3" s="355">
        <v>2081</v>
      </c>
      <c r="BY3" s="355">
        <v>2082</v>
      </c>
      <c r="BZ3" s="355">
        <v>2083</v>
      </c>
      <c r="CA3" s="355">
        <v>2084</v>
      </c>
      <c r="CB3" s="355">
        <v>2085</v>
      </c>
      <c r="CC3" s="355">
        <v>2086</v>
      </c>
      <c r="CD3" s="355">
        <v>2087</v>
      </c>
      <c r="CE3" s="355">
        <v>2088</v>
      </c>
      <c r="CF3" s="355">
        <v>2089</v>
      </c>
      <c r="CG3" s="355">
        <v>2090</v>
      </c>
      <c r="CH3" s="355">
        <v>0</v>
      </c>
    </row>
    <row r="4" spans="1:86" x14ac:dyDescent="0.25">
      <c r="A4" s="356" t="s">
        <v>134</v>
      </c>
      <c r="B4" s="357">
        <v>0</v>
      </c>
      <c r="C4" s="357">
        <v>0</v>
      </c>
      <c r="D4" s="357">
        <v>0</v>
      </c>
      <c r="E4" s="357">
        <v>0</v>
      </c>
      <c r="F4" s="357">
        <v>0</v>
      </c>
      <c r="G4" s="357">
        <v>0</v>
      </c>
      <c r="H4" s="357">
        <v>0</v>
      </c>
      <c r="I4" s="357">
        <v>0</v>
      </c>
      <c r="J4" s="357">
        <v>0</v>
      </c>
      <c r="K4" s="357">
        <v>0</v>
      </c>
      <c r="L4" s="357">
        <v>0</v>
      </c>
      <c r="M4" s="357">
        <v>0</v>
      </c>
      <c r="N4" s="357">
        <v>0</v>
      </c>
      <c r="O4" s="357">
        <v>0</v>
      </c>
      <c r="P4" s="357">
        <v>0</v>
      </c>
      <c r="Q4" s="357">
        <v>0</v>
      </c>
      <c r="R4" s="357">
        <v>0</v>
      </c>
      <c r="S4" s="357">
        <v>0</v>
      </c>
      <c r="T4" s="357">
        <v>0</v>
      </c>
      <c r="U4" s="357">
        <v>0</v>
      </c>
      <c r="V4" s="357">
        <v>0</v>
      </c>
      <c r="W4" s="357">
        <v>0</v>
      </c>
      <c r="X4" s="357">
        <v>0</v>
      </c>
      <c r="Y4" s="357">
        <v>0</v>
      </c>
      <c r="Z4" s="357">
        <v>0</v>
      </c>
      <c r="AA4" s="357">
        <v>0</v>
      </c>
      <c r="AB4" s="357">
        <v>0</v>
      </c>
      <c r="AC4" s="357">
        <v>0</v>
      </c>
      <c r="AD4" s="357">
        <v>0</v>
      </c>
      <c r="AE4" s="357">
        <v>0</v>
      </c>
      <c r="AF4" s="357">
        <v>0</v>
      </c>
      <c r="AG4" s="357">
        <v>0</v>
      </c>
      <c r="AH4" s="357">
        <v>0</v>
      </c>
      <c r="AI4" s="357">
        <v>0</v>
      </c>
      <c r="AJ4" s="357">
        <v>0</v>
      </c>
      <c r="AK4" s="357">
        <v>0</v>
      </c>
      <c r="AL4" s="357">
        <v>0</v>
      </c>
      <c r="AM4" s="357">
        <v>0</v>
      </c>
      <c r="AN4" s="357">
        <v>0</v>
      </c>
      <c r="AO4" s="357">
        <v>0</v>
      </c>
      <c r="AP4" s="357">
        <v>0</v>
      </c>
      <c r="AQ4" s="357">
        <v>0</v>
      </c>
      <c r="AR4" s="357">
        <v>0</v>
      </c>
      <c r="AS4" s="357">
        <v>0</v>
      </c>
      <c r="AT4" s="357">
        <v>0</v>
      </c>
      <c r="AU4" s="357">
        <v>0</v>
      </c>
      <c r="AV4" s="357">
        <v>0</v>
      </c>
      <c r="AW4" s="357">
        <v>0</v>
      </c>
      <c r="AX4" s="357">
        <v>0</v>
      </c>
      <c r="AY4" s="357">
        <v>0</v>
      </c>
      <c r="AZ4" s="357">
        <v>0</v>
      </c>
      <c r="BA4" s="357">
        <v>0</v>
      </c>
      <c r="BB4" s="357">
        <v>0</v>
      </c>
      <c r="BC4" s="357">
        <v>0</v>
      </c>
      <c r="BD4" s="357">
        <v>0</v>
      </c>
      <c r="BE4" s="357">
        <v>0</v>
      </c>
      <c r="BF4" s="357">
        <v>0</v>
      </c>
      <c r="BG4" s="357">
        <v>0</v>
      </c>
      <c r="BH4" s="357">
        <v>0</v>
      </c>
      <c r="BI4" s="357">
        <v>0</v>
      </c>
      <c r="BJ4" s="357">
        <v>0</v>
      </c>
      <c r="BK4" s="357">
        <v>0</v>
      </c>
      <c r="BL4" s="357">
        <v>0</v>
      </c>
      <c r="BM4" s="357">
        <v>0</v>
      </c>
      <c r="BN4" s="357">
        <v>0</v>
      </c>
      <c r="BO4" s="357">
        <v>0</v>
      </c>
      <c r="BP4" s="357">
        <v>0</v>
      </c>
      <c r="BQ4" s="357">
        <v>0</v>
      </c>
      <c r="BR4" s="357">
        <v>0</v>
      </c>
      <c r="BS4" s="357">
        <v>0</v>
      </c>
      <c r="BT4" s="357">
        <v>0</v>
      </c>
      <c r="BU4" s="357">
        <v>0</v>
      </c>
      <c r="BV4" s="357">
        <v>0</v>
      </c>
      <c r="BW4" s="357">
        <v>0</v>
      </c>
      <c r="BX4" s="357">
        <v>0</v>
      </c>
      <c r="BY4" s="357">
        <v>0</v>
      </c>
      <c r="BZ4" s="357">
        <v>0</v>
      </c>
      <c r="CA4" s="357">
        <v>0</v>
      </c>
      <c r="CB4" s="357">
        <v>0</v>
      </c>
      <c r="CC4" s="357">
        <v>0</v>
      </c>
      <c r="CD4" s="357">
        <v>0</v>
      </c>
      <c r="CE4" s="357">
        <v>0</v>
      </c>
      <c r="CF4" s="357">
        <v>0</v>
      </c>
      <c r="CG4" s="357">
        <v>0</v>
      </c>
      <c r="CH4" s="358">
        <v>0</v>
      </c>
    </row>
    <row r="5" spans="1:86" x14ac:dyDescent="0.25">
      <c r="A5" s="359" t="s">
        <v>135</v>
      </c>
      <c r="B5" s="360">
        <v>0</v>
      </c>
      <c r="C5" s="360">
        <v>0</v>
      </c>
      <c r="D5" s="360">
        <v>0</v>
      </c>
      <c r="E5" s="360">
        <v>0</v>
      </c>
      <c r="F5" s="360">
        <v>0</v>
      </c>
      <c r="G5" s="360">
        <v>0</v>
      </c>
      <c r="H5" s="360">
        <v>55000000</v>
      </c>
      <c r="I5" s="360">
        <v>0</v>
      </c>
      <c r="J5" s="360">
        <v>0</v>
      </c>
      <c r="K5" s="360">
        <v>0</v>
      </c>
      <c r="L5" s="360">
        <v>0</v>
      </c>
      <c r="M5" s="360">
        <v>0</v>
      </c>
      <c r="N5" s="360">
        <v>0</v>
      </c>
      <c r="O5" s="360">
        <v>0</v>
      </c>
      <c r="P5" s="360">
        <v>0</v>
      </c>
      <c r="Q5" s="360">
        <v>0</v>
      </c>
      <c r="R5" s="360">
        <v>0</v>
      </c>
      <c r="S5" s="360">
        <v>0</v>
      </c>
      <c r="T5" s="360">
        <v>0</v>
      </c>
      <c r="U5" s="360">
        <v>0</v>
      </c>
      <c r="V5" s="360">
        <v>0</v>
      </c>
      <c r="W5" s="360">
        <v>0</v>
      </c>
      <c r="X5" s="360">
        <v>0</v>
      </c>
      <c r="Y5" s="360">
        <v>0</v>
      </c>
      <c r="Z5" s="360">
        <v>0</v>
      </c>
      <c r="AA5" s="360">
        <v>0</v>
      </c>
      <c r="AB5" s="360">
        <v>0</v>
      </c>
      <c r="AC5" s="360">
        <v>0</v>
      </c>
      <c r="AD5" s="360">
        <v>0</v>
      </c>
      <c r="AE5" s="360">
        <v>0</v>
      </c>
      <c r="AF5" s="360">
        <v>0</v>
      </c>
      <c r="AG5" s="360">
        <v>0</v>
      </c>
      <c r="AH5" s="360">
        <v>0</v>
      </c>
      <c r="AI5" s="360">
        <v>0</v>
      </c>
      <c r="AJ5" s="360">
        <v>0</v>
      </c>
      <c r="AK5" s="360">
        <v>0</v>
      </c>
      <c r="AL5" s="360">
        <v>0</v>
      </c>
      <c r="AM5" s="360">
        <v>0</v>
      </c>
      <c r="AN5" s="360">
        <v>0</v>
      </c>
      <c r="AO5" s="360">
        <v>0</v>
      </c>
      <c r="AP5" s="360">
        <v>0</v>
      </c>
      <c r="AQ5" s="360">
        <v>0</v>
      </c>
      <c r="AR5" s="360">
        <v>0</v>
      </c>
      <c r="AS5" s="360">
        <v>0</v>
      </c>
      <c r="AT5" s="360">
        <v>0</v>
      </c>
      <c r="AU5" s="360">
        <v>0</v>
      </c>
      <c r="AV5" s="360">
        <v>0</v>
      </c>
      <c r="AW5" s="360">
        <v>0</v>
      </c>
      <c r="AX5" s="360">
        <v>0</v>
      </c>
      <c r="AY5" s="360">
        <v>0</v>
      </c>
      <c r="AZ5" s="360">
        <v>0</v>
      </c>
      <c r="BA5" s="360">
        <v>0</v>
      </c>
      <c r="BB5" s="360">
        <v>0</v>
      </c>
      <c r="BC5" s="360">
        <v>0</v>
      </c>
      <c r="BD5" s="360">
        <v>0</v>
      </c>
      <c r="BE5" s="360">
        <v>0</v>
      </c>
      <c r="BF5" s="360">
        <v>0</v>
      </c>
      <c r="BG5" s="360">
        <v>0</v>
      </c>
      <c r="BH5" s="360">
        <v>0</v>
      </c>
      <c r="BI5" s="360">
        <v>0</v>
      </c>
      <c r="BJ5" s="360">
        <v>0</v>
      </c>
      <c r="BK5" s="360">
        <v>0</v>
      </c>
      <c r="BL5" s="360">
        <v>0</v>
      </c>
      <c r="BM5" s="360">
        <v>0</v>
      </c>
      <c r="BN5" s="360">
        <v>0</v>
      </c>
      <c r="BO5" s="360">
        <v>0</v>
      </c>
      <c r="BP5" s="360">
        <v>0</v>
      </c>
      <c r="BQ5" s="360">
        <v>0</v>
      </c>
      <c r="BR5" s="360">
        <v>0</v>
      </c>
      <c r="BS5" s="360">
        <v>0</v>
      </c>
      <c r="BT5" s="360">
        <v>0</v>
      </c>
      <c r="BU5" s="360">
        <v>0</v>
      </c>
      <c r="BV5" s="360">
        <v>0</v>
      </c>
      <c r="BW5" s="360">
        <v>0</v>
      </c>
      <c r="BX5" s="360">
        <v>0</v>
      </c>
      <c r="BY5" s="360">
        <v>0</v>
      </c>
      <c r="BZ5" s="360">
        <v>0</v>
      </c>
      <c r="CA5" s="360">
        <v>0</v>
      </c>
      <c r="CB5" s="360">
        <v>0</v>
      </c>
      <c r="CC5" s="360">
        <v>0</v>
      </c>
      <c r="CD5" s="360">
        <v>0</v>
      </c>
      <c r="CE5" s="360">
        <v>0</v>
      </c>
      <c r="CF5" s="360">
        <v>0</v>
      </c>
      <c r="CG5" s="360">
        <v>0</v>
      </c>
      <c r="CH5" s="361">
        <v>0</v>
      </c>
    </row>
    <row r="6" spans="1:86" x14ac:dyDescent="0.25">
      <c r="A6" s="362" t="s">
        <v>136</v>
      </c>
      <c r="B6" s="363">
        <f>SUM(B5)</f>
        <v>0</v>
      </c>
      <c r="C6" s="363">
        <f t="shared" ref="C6:BN6" si="0">SUM(C5)</f>
        <v>0</v>
      </c>
      <c r="D6" s="363">
        <f t="shared" si="0"/>
        <v>0</v>
      </c>
      <c r="E6" s="363">
        <f t="shared" si="0"/>
        <v>0</v>
      </c>
      <c r="F6" s="363">
        <f t="shared" si="0"/>
        <v>0</v>
      </c>
      <c r="G6" s="363">
        <f t="shared" si="0"/>
        <v>0</v>
      </c>
      <c r="H6" s="363">
        <f t="shared" si="0"/>
        <v>55000000</v>
      </c>
      <c r="I6" s="363">
        <f t="shared" si="0"/>
        <v>0</v>
      </c>
      <c r="J6" s="363">
        <f t="shared" si="0"/>
        <v>0</v>
      </c>
      <c r="K6" s="363">
        <f t="shared" si="0"/>
        <v>0</v>
      </c>
      <c r="L6" s="363">
        <f t="shared" si="0"/>
        <v>0</v>
      </c>
      <c r="M6" s="363">
        <f t="shared" si="0"/>
        <v>0</v>
      </c>
      <c r="N6" s="363">
        <f t="shared" si="0"/>
        <v>0</v>
      </c>
      <c r="O6" s="363">
        <f t="shared" si="0"/>
        <v>0</v>
      </c>
      <c r="P6" s="363">
        <f t="shared" si="0"/>
        <v>0</v>
      </c>
      <c r="Q6" s="363">
        <f t="shared" si="0"/>
        <v>0</v>
      </c>
      <c r="R6" s="363">
        <f t="shared" si="0"/>
        <v>0</v>
      </c>
      <c r="S6" s="363">
        <f t="shared" si="0"/>
        <v>0</v>
      </c>
      <c r="T6" s="363">
        <f t="shared" si="0"/>
        <v>0</v>
      </c>
      <c r="U6" s="363">
        <f t="shared" si="0"/>
        <v>0</v>
      </c>
      <c r="V6" s="363">
        <f t="shared" si="0"/>
        <v>0</v>
      </c>
      <c r="W6" s="363">
        <f t="shared" si="0"/>
        <v>0</v>
      </c>
      <c r="X6" s="363">
        <f t="shared" si="0"/>
        <v>0</v>
      </c>
      <c r="Y6" s="363">
        <f t="shared" si="0"/>
        <v>0</v>
      </c>
      <c r="Z6" s="363">
        <f t="shared" si="0"/>
        <v>0</v>
      </c>
      <c r="AA6" s="363">
        <f t="shared" si="0"/>
        <v>0</v>
      </c>
      <c r="AB6" s="363">
        <f t="shared" si="0"/>
        <v>0</v>
      </c>
      <c r="AC6" s="363">
        <f t="shared" si="0"/>
        <v>0</v>
      </c>
      <c r="AD6" s="363">
        <f t="shared" si="0"/>
        <v>0</v>
      </c>
      <c r="AE6" s="363">
        <f t="shared" si="0"/>
        <v>0</v>
      </c>
      <c r="AF6" s="363">
        <f t="shared" si="0"/>
        <v>0</v>
      </c>
      <c r="AG6" s="363">
        <f t="shared" si="0"/>
        <v>0</v>
      </c>
      <c r="AH6" s="363">
        <f t="shared" si="0"/>
        <v>0</v>
      </c>
      <c r="AI6" s="363">
        <f t="shared" si="0"/>
        <v>0</v>
      </c>
      <c r="AJ6" s="363">
        <f t="shared" si="0"/>
        <v>0</v>
      </c>
      <c r="AK6" s="363">
        <f t="shared" si="0"/>
        <v>0</v>
      </c>
      <c r="AL6" s="363">
        <f t="shared" si="0"/>
        <v>0</v>
      </c>
      <c r="AM6" s="363">
        <f t="shared" si="0"/>
        <v>0</v>
      </c>
      <c r="AN6" s="363">
        <f t="shared" si="0"/>
        <v>0</v>
      </c>
      <c r="AO6" s="363">
        <f t="shared" si="0"/>
        <v>0</v>
      </c>
      <c r="AP6" s="363">
        <f t="shared" si="0"/>
        <v>0</v>
      </c>
      <c r="AQ6" s="363">
        <f t="shared" si="0"/>
        <v>0</v>
      </c>
      <c r="AR6" s="363">
        <f t="shared" si="0"/>
        <v>0</v>
      </c>
      <c r="AS6" s="363">
        <f t="shared" si="0"/>
        <v>0</v>
      </c>
      <c r="AT6" s="363">
        <f t="shared" si="0"/>
        <v>0</v>
      </c>
      <c r="AU6" s="363">
        <f t="shared" si="0"/>
        <v>0</v>
      </c>
      <c r="AV6" s="363">
        <f t="shared" si="0"/>
        <v>0</v>
      </c>
      <c r="AW6" s="363">
        <f t="shared" si="0"/>
        <v>0</v>
      </c>
      <c r="AX6" s="363">
        <f t="shared" si="0"/>
        <v>0</v>
      </c>
      <c r="AY6" s="363">
        <f t="shared" si="0"/>
        <v>0</v>
      </c>
      <c r="AZ6" s="363">
        <f t="shared" si="0"/>
        <v>0</v>
      </c>
      <c r="BA6" s="363">
        <f t="shared" si="0"/>
        <v>0</v>
      </c>
      <c r="BB6" s="363">
        <f t="shared" si="0"/>
        <v>0</v>
      </c>
      <c r="BC6" s="363">
        <f t="shared" si="0"/>
        <v>0</v>
      </c>
      <c r="BD6" s="363">
        <f t="shared" si="0"/>
        <v>0</v>
      </c>
      <c r="BE6" s="363">
        <f t="shared" si="0"/>
        <v>0</v>
      </c>
      <c r="BF6" s="363">
        <f t="shared" si="0"/>
        <v>0</v>
      </c>
      <c r="BG6" s="363">
        <f t="shared" si="0"/>
        <v>0</v>
      </c>
      <c r="BH6" s="363">
        <f t="shared" si="0"/>
        <v>0</v>
      </c>
      <c r="BI6" s="363">
        <f t="shared" si="0"/>
        <v>0</v>
      </c>
      <c r="BJ6" s="363">
        <f t="shared" si="0"/>
        <v>0</v>
      </c>
      <c r="BK6" s="363">
        <f t="shared" si="0"/>
        <v>0</v>
      </c>
      <c r="BL6" s="363">
        <f t="shared" si="0"/>
        <v>0</v>
      </c>
      <c r="BM6" s="363">
        <f t="shared" si="0"/>
        <v>0</v>
      </c>
      <c r="BN6" s="363">
        <f t="shared" si="0"/>
        <v>0</v>
      </c>
      <c r="BO6" s="363">
        <f t="shared" ref="BO6:CH6" si="1">SUM(BO5)</f>
        <v>0</v>
      </c>
      <c r="BP6" s="363">
        <f t="shared" si="1"/>
        <v>0</v>
      </c>
      <c r="BQ6" s="363">
        <f t="shared" si="1"/>
        <v>0</v>
      </c>
      <c r="BR6" s="363">
        <f t="shared" si="1"/>
        <v>0</v>
      </c>
      <c r="BS6" s="363">
        <f t="shared" si="1"/>
        <v>0</v>
      </c>
      <c r="BT6" s="363">
        <f t="shared" si="1"/>
        <v>0</v>
      </c>
      <c r="BU6" s="363">
        <f t="shared" si="1"/>
        <v>0</v>
      </c>
      <c r="BV6" s="363">
        <f t="shared" si="1"/>
        <v>0</v>
      </c>
      <c r="BW6" s="363">
        <f t="shared" si="1"/>
        <v>0</v>
      </c>
      <c r="BX6" s="363">
        <f t="shared" si="1"/>
        <v>0</v>
      </c>
      <c r="BY6" s="363">
        <f t="shared" si="1"/>
        <v>0</v>
      </c>
      <c r="BZ6" s="363">
        <f t="shared" si="1"/>
        <v>0</v>
      </c>
      <c r="CA6" s="363">
        <f t="shared" si="1"/>
        <v>0</v>
      </c>
      <c r="CB6" s="363">
        <f t="shared" si="1"/>
        <v>0</v>
      </c>
      <c r="CC6" s="363">
        <f t="shared" si="1"/>
        <v>0</v>
      </c>
      <c r="CD6" s="363">
        <f t="shared" si="1"/>
        <v>0</v>
      </c>
      <c r="CE6" s="363">
        <f t="shared" si="1"/>
        <v>0</v>
      </c>
      <c r="CF6" s="363">
        <f t="shared" si="1"/>
        <v>0</v>
      </c>
      <c r="CG6" s="363">
        <f t="shared" si="1"/>
        <v>0</v>
      </c>
      <c r="CH6" s="363">
        <f t="shared" si="1"/>
        <v>0</v>
      </c>
    </row>
    <row r="7" spans="1:86" x14ac:dyDescent="0.25">
      <c r="A7" s="354"/>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row>
    <row r="8" spans="1:86" x14ac:dyDescent="0.25">
      <c r="A8" s="365" t="s">
        <v>137</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8"/>
      <c r="CA8" s="357"/>
      <c r="CB8" s="357"/>
      <c r="CC8" s="357"/>
      <c r="CD8" s="357"/>
      <c r="CE8" s="357"/>
      <c r="CF8" s="357"/>
      <c r="CG8" s="357"/>
      <c r="CH8" s="358"/>
    </row>
    <row r="9" spans="1:86" x14ac:dyDescent="0.25">
      <c r="A9" s="359" t="s">
        <v>545</v>
      </c>
      <c r="B9" s="360">
        <v>8.3338495435047455E-2</v>
      </c>
      <c r="C9" s="360">
        <v>8594173</v>
      </c>
      <c r="D9" s="360">
        <v>13749590</v>
      </c>
      <c r="E9" s="360">
        <v>10260917</v>
      </c>
      <c r="F9" s="360">
        <v>9303875</v>
      </c>
      <c r="G9" s="360">
        <v>7955735</v>
      </c>
      <c r="H9" s="360">
        <v>8347291</v>
      </c>
      <c r="I9" s="360">
        <v>8883426.6082157213</v>
      </c>
      <c r="J9" s="360">
        <v>9460973.020743195</v>
      </c>
      <c r="K9" s="360">
        <v>10083310.138235683</v>
      </c>
      <c r="L9" s="360">
        <v>10754099.669824662</v>
      </c>
      <c r="M9" s="360">
        <v>11477308.814101281</v>
      </c>
      <c r="N9" s="360">
        <v>12257235.935663022</v>
      </c>
      <c r="O9" s="360">
        <v>13098538.405557998</v>
      </c>
      <c r="P9" s="360">
        <v>14006262.788163731</v>
      </c>
      <c r="Q9" s="360">
        <v>14985877.572440559</v>
      </c>
      <c r="R9" s="360">
        <v>16043308.662202898</v>
      </c>
      <c r="S9" s="360">
        <v>17184977.858164504</v>
      </c>
      <c r="T9" s="360">
        <v>19347692.156721368</v>
      </c>
      <c r="U9" s="360">
        <v>20707194.130949486</v>
      </c>
      <c r="V9" s="360">
        <v>22174447.006032355</v>
      </c>
      <c r="W9" s="360">
        <v>23758335.226029012</v>
      </c>
      <c r="X9" s="360">
        <v>25468486.79011789</v>
      </c>
      <c r="Y9" s="360">
        <v>27315335.819890101</v>
      </c>
      <c r="Z9" s="360">
        <v>29310190.401659548</v>
      </c>
      <c r="AA9" s="360">
        <v>32001065.452190313</v>
      </c>
      <c r="AB9" s="360">
        <v>35248990.47541552</v>
      </c>
      <c r="AC9" s="360">
        <v>38766880.460185647</v>
      </c>
      <c r="AD9" s="360">
        <v>42576082.517385788</v>
      </c>
      <c r="AE9" s="360">
        <v>46699623.157726318</v>
      </c>
      <c r="AF9" s="360">
        <v>51162341.592372827</v>
      </c>
      <c r="AG9" s="360">
        <v>55991033.74327261</v>
      </c>
      <c r="AH9" s="360">
        <v>61214607.833509311</v>
      </c>
      <c r="AI9" s="360">
        <v>66864252.499421164</v>
      </c>
      <c r="AJ9" s="360">
        <v>72973618.443523616</v>
      </c>
      <c r="AK9" s="360">
        <v>79579014.730975285</v>
      </c>
      <c r="AL9" s="360">
        <v>86719620.922948271</v>
      </c>
      <c r="AM9" s="360">
        <v>94437716.338385686</v>
      </c>
      <c r="AN9" s="360">
        <v>102778927.84187514</v>
      </c>
      <c r="AO9" s="360">
        <v>111792497.67041299</v>
      </c>
      <c r="AP9" s="360">
        <v>121531572.93641269</v>
      </c>
      <c r="AQ9" s="360">
        <v>132053518.57921541</v>
      </c>
      <c r="AR9" s="360">
        <v>143420255.68345377</v>
      </c>
      <c r="AS9" s="360">
        <v>155698627.24082878</v>
      </c>
      <c r="AT9" s="360">
        <v>168960793.60320181</v>
      </c>
      <c r="AU9" s="360">
        <v>183284660.06046334</v>
      </c>
      <c r="AV9" s="360">
        <v>198754339.17761639</v>
      </c>
      <c r="AW9" s="360">
        <v>215460650.74317661</v>
      </c>
      <c r="AX9" s="360">
        <v>233501662.41674846</v>
      </c>
      <c r="AY9" s="360">
        <v>252397132.4848519</v>
      </c>
      <c r="AZ9" s="360">
        <v>269735737.62468147</v>
      </c>
      <c r="BA9" s="360">
        <v>288420021.88459975</v>
      </c>
      <c r="BB9" s="360">
        <v>308560029.60773093</v>
      </c>
      <c r="BC9" s="360">
        <v>330274986.95052034</v>
      </c>
      <c r="BD9" s="360">
        <v>353694073.64990193</v>
      </c>
      <c r="BE9" s="360">
        <v>378957259.83227801</v>
      </c>
      <c r="BF9" s="360">
        <v>406216213.35098016</v>
      </c>
      <c r="BG9" s="360">
        <v>435635283.60187042</v>
      </c>
      <c r="BH9" s="360">
        <v>467392568.26880175</v>
      </c>
      <c r="BI9" s="360">
        <v>501681069.99509388</v>
      </c>
      <c r="BJ9" s="360">
        <v>538709950.56756115</v>
      </c>
      <c r="BK9" s="360">
        <v>578705890.83983493</v>
      </c>
      <c r="BL9" s="360">
        <v>621914565.31596375</v>
      </c>
      <c r="BM9" s="360">
        <v>668602241.06809914</v>
      </c>
      <c r="BN9" s="360">
        <v>719057511.47844243</v>
      </c>
      <c r="BO9" s="360">
        <v>773593176.18088865</v>
      </c>
      <c r="BP9" s="360">
        <v>832548279.53777504</v>
      </c>
      <c r="BQ9" s="360">
        <v>896290321.02814317</v>
      </c>
      <c r="BR9" s="360">
        <v>965217652.0527637</v>
      </c>
      <c r="BS9" s="360">
        <v>1039762074.8853014</v>
      </c>
      <c r="BT9" s="360">
        <v>1120391660.8264277</v>
      </c>
      <c r="BU9" s="360">
        <v>1207613806.0571527</v>
      </c>
      <c r="BV9" s="360">
        <v>1301978545.2486048</v>
      </c>
      <c r="BW9" s="360">
        <v>1404082144.6781654</v>
      </c>
      <c r="BX9" s="360">
        <v>1514570998.4374428</v>
      </c>
      <c r="BY9" s="360">
        <v>1634145853.3079998</v>
      </c>
      <c r="BZ9" s="361">
        <v>1763566390.0392492</v>
      </c>
      <c r="CA9" s="366">
        <v>1903656191.1035211</v>
      </c>
      <c r="CB9" s="366">
        <v>2055308127.5415106</v>
      </c>
      <c r="CC9" s="366">
        <v>2219490200.2636757</v>
      </c>
      <c r="CD9" s="366">
        <v>2397251874.1578655</v>
      </c>
      <c r="CE9" s="366">
        <v>2589730946.5900264</v>
      </c>
      <c r="CF9" s="366">
        <v>2798160995.3946028</v>
      </c>
      <c r="CG9" s="366">
        <v>3023879455.2572007</v>
      </c>
      <c r="CH9" s="367">
        <v>0</v>
      </c>
    </row>
    <row r="10" spans="1:86" x14ac:dyDescent="0.25">
      <c r="A10" s="359" t="s">
        <v>546</v>
      </c>
      <c r="B10" s="360">
        <v>0</v>
      </c>
      <c r="C10" s="360">
        <v>9449908</v>
      </c>
      <c r="D10" s="360">
        <v>9604162</v>
      </c>
      <c r="E10" s="360">
        <v>9557759</v>
      </c>
      <c r="F10" s="360">
        <v>10841391</v>
      </c>
      <c r="G10" s="360">
        <v>9874636</v>
      </c>
      <c r="H10" s="360">
        <v>8366536.9970039995</v>
      </c>
      <c r="I10" s="360">
        <v>8533867.7369440813</v>
      </c>
      <c r="J10" s="360">
        <v>8704545.0916829631</v>
      </c>
      <c r="K10" s="360">
        <v>8878635.9935166221</v>
      </c>
      <c r="L10" s="360">
        <v>9056208.7133869566</v>
      </c>
      <c r="M10" s="360">
        <v>9237332.8876546938</v>
      </c>
      <c r="N10" s="360">
        <v>9422079.5454077888</v>
      </c>
      <c r="O10" s="360">
        <v>9610521.1363159437</v>
      </c>
      <c r="P10" s="360">
        <v>9802731.5590422619</v>
      </c>
      <c r="Q10" s="360">
        <v>9998786.1902231071</v>
      </c>
      <c r="R10" s="360">
        <v>10198761.91402757</v>
      </c>
      <c r="S10" s="360">
        <v>10402737.152308121</v>
      </c>
      <c r="T10" s="360">
        <v>10610791.895354284</v>
      </c>
      <c r="U10" s="360">
        <v>10823007.733261369</v>
      </c>
      <c r="V10" s="360">
        <v>11039467.887926597</v>
      </c>
      <c r="W10" s="360">
        <v>11260257.245685128</v>
      </c>
      <c r="X10" s="360">
        <v>11485462.39059883</v>
      </c>
      <c r="Y10" s="360">
        <v>11715171.638410809</v>
      </c>
      <c r="Z10" s="360">
        <v>11949475.071179025</v>
      </c>
      <c r="AA10" s="360">
        <v>12188464.572602605</v>
      </c>
      <c r="AB10" s="360">
        <v>12432233.864054658</v>
      </c>
      <c r="AC10" s="360">
        <v>12680878.54133575</v>
      </c>
      <c r="AD10" s="360">
        <v>12934496.112162465</v>
      </c>
      <c r="AE10" s="360">
        <v>13193186.034405714</v>
      </c>
      <c r="AF10" s="360">
        <v>13457049.755093828</v>
      </c>
      <c r="AG10" s="360">
        <v>13726190.750195704</v>
      </c>
      <c r="AH10" s="360">
        <v>14000714.565199619</v>
      </c>
      <c r="AI10" s="360">
        <v>14280728.856503611</v>
      </c>
      <c r="AJ10" s="360">
        <v>14566343.433633685</v>
      </c>
      <c r="AK10" s="360">
        <v>14857670.302306358</v>
      </c>
      <c r="AL10" s="360">
        <v>15154823.708352486</v>
      </c>
      <c r="AM10" s="360">
        <v>15457920.182519535</v>
      </c>
      <c r="AN10" s="360">
        <v>15767078.586169926</v>
      </c>
      <c r="AO10" s="360">
        <v>16082420.157893324</v>
      </c>
      <c r="AP10" s="360">
        <v>16404068.561051192</v>
      </c>
      <c r="AQ10" s="360">
        <v>16732149.932272216</v>
      </c>
      <c r="AR10" s="360">
        <v>17066792.930917662</v>
      </c>
      <c r="AS10" s="360">
        <v>17408128.789536014</v>
      </c>
      <c r="AT10" s="360">
        <v>17756291.365326736</v>
      </c>
      <c r="AU10" s="360">
        <v>18111417.192633271</v>
      </c>
      <c r="AV10" s="360">
        <v>18473645.53648594</v>
      </c>
      <c r="AW10" s="360">
        <v>18843118.447215658</v>
      </c>
      <c r="AX10" s="360">
        <v>19219980.816159971</v>
      </c>
      <c r="AY10" s="360">
        <v>19604380.43248317</v>
      </c>
      <c r="AZ10" s="360">
        <v>19996468.041132834</v>
      </c>
      <c r="BA10" s="360">
        <v>20396397.401955493</v>
      </c>
      <c r="BB10" s="360">
        <v>20804325.3499946</v>
      </c>
      <c r="BC10" s="360">
        <v>21220411.856994491</v>
      </c>
      <c r="BD10" s="360">
        <v>21644820.094134383</v>
      </c>
      <c r="BE10" s="360">
        <v>22077716.496017069</v>
      </c>
      <c r="BF10" s="360">
        <v>22519270.825937413</v>
      </c>
      <c r="BG10" s="360">
        <v>22969656.24245616</v>
      </c>
      <c r="BH10" s="360">
        <v>23429049.367305283</v>
      </c>
      <c r="BI10" s="360">
        <v>23897630.354651388</v>
      </c>
      <c r="BJ10" s="360">
        <v>24375582.961744417</v>
      </c>
      <c r="BK10" s="360">
        <v>24863094.620979305</v>
      </c>
      <c r="BL10" s="360">
        <v>25360356.513398893</v>
      </c>
      <c r="BM10" s="360">
        <v>25867563.643666867</v>
      </c>
      <c r="BN10" s="360">
        <v>26384914.916540209</v>
      </c>
      <c r="BO10" s="360">
        <v>26912613.214871015</v>
      </c>
      <c r="BP10" s="360">
        <v>27450865.479168437</v>
      </c>
      <c r="BQ10" s="360">
        <v>27999882.788751803</v>
      </c>
      <c r="BR10" s="360">
        <v>28559880.44452684</v>
      </c>
      <c r="BS10" s="360">
        <v>29131078.053417373</v>
      </c>
      <c r="BT10" s="360">
        <v>29713699.614485722</v>
      </c>
      <c r="BU10" s="360">
        <v>30307973.606775437</v>
      </c>
      <c r="BV10" s="360">
        <v>30914133.078910947</v>
      </c>
      <c r="BW10" s="360">
        <v>31532415.740489166</v>
      </c>
      <c r="BX10" s="360">
        <v>32163064.055298947</v>
      </c>
      <c r="BY10" s="360">
        <v>32806325.336404931</v>
      </c>
      <c r="BZ10" s="360">
        <v>33462451.843133029</v>
      </c>
      <c r="CA10" s="366">
        <v>34131700.879995689</v>
      </c>
      <c r="CB10" s="366">
        <v>34814334.897595599</v>
      </c>
      <c r="CC10" s="366">
        <v>35510621.595547512</v>
      </c>
      <c r="CD10" s="366">
        <v>36220834.027458459</v>
      </c>
      <c r="CE10" s="366">
        <v>36945250.708007626</v>
      </c>
      <c r="CF10" s="366">
        <v>37684155.722167782</v>
      </c>
      <c r="CG10" s="366">
        <v>38437838.836611144</v>
      </c>
      <c r="CH10" s="367">
        <v>0</v>
      </c>
    </row>
    <row r="11" spans="1:86" x14ac:dyDescent="0.25">
      <c r="A11" s="368" t="s">
        <v>547</v>
      </c>
      <c r="B11" s="360">
        <v>0</v>
      </c>
      <c r="C11" s="360">
        <v>1444975</v>
      </c>
      <c r="D11" s="360">
        <v>562906</v>
      </c>
      <c r="E11" s="360">
        <v>1767914</v>
      </c>
      <c r="F11" s="360">
        <v>212304</v>
      </c>
      <c r="G11" s="360">
        <v>329127</v>
      </c>
      <c r="H11" s="360">
        <v>550000</v>
      </c>
      <c r="I11" s="360">
        <v>531354.63997004007</v>
      </c>
      <c r="J11" s="360">
        <v>352776.18660006241</v>
      </c>
      <c r="K11" s="360">
        <v>3156833.5196791836</v>
      </c>
      <c r="L11" s="360">
        <v>2912799.6493993285</v>
      </c>
      <c r="M11" s="360">
        <v>2012315.8391472381</v>
      </c>
      <c r="N11" s="360">
        <v>1145771.6723107996</v>
      </c>
      <c r="O11" s="360">
        <v>976270.33450073621</v>
      </c>
      <c r="P11" s="360">
        <v>672932.70447613008</v>
      </c>
      <c r="Q11" s="360">
        <v>363995.67555507855</v>
      </c>
      <c r="R11" s="360">
        <v>906494.3940744655</v>
      </c>
      <c r="S11" s="360">
        <v>590670.99631707813</v>
      </c>
      <c r="T11" s="360">
        <v>267400.62311799242</v>
      </c>
      <c r="U11" s="360">
        <v>-523446.73404549167</v>
      </c>
      <c r="V11" s="360">
        <v>-767485.85252248158</v>
      </c>
      <c r="W11" s="360">
        <v>-1013085.9374528968</v>
      </c>
      <c r="X11" s="360">
        <v>-732991.10359476658</v>
      </c>
      <c r="Y11" s="360">
        <v>-997491.70231034968</v>
      </c>
      <c r="Z11" s="360">
        <v>-1625513.19437366</v>
      </c>
      <c r="AA11" s="360">
        <v>-630069.68406823731</v>
      </c>
      <c r="AB11" s="360">
        <v>-1097395.257074126</v>
      </c>
      <c r="AC11" s="360">
        <v>-1470071.6424989062</v>
      </c>
      <c r="AD11" s="360">
        <v>-1838334.302973717</v>
      </c>
      <c r="AE11" s="360">
        <v>-2087106.5291695495</v>
      </c>
      <c r="AF11" s="360">
        <v>-2323370.4505856517</v>
      </c>
      <c r="AG11" s="360">
        <v>-2548037.0852916306</v>
      </c>
      <c r="AH11" s="360">
        <v>-2761166.1169403964</v>
      </c>
      <c r="AI11" s="360">
        <v>-2961237.0707251285</v>
      </c>
      <c r="AJ11" s="360">
        <v>-3146577.836852022</v>
      </c>
      <c r="AK11" s="360">
        <v>-3315350.3836770761</v>
      </c>
      <c r="AL11" s="360">
        <v>-3465535.1600376302</v>
      </c>
      <c r="AM11" s="360">
        <v>-2793809.46855372</v>
      </c>
      <c r="AN11" s="360">
        <v>-2938281.9728956725</v>
      </c>
      <c r="AO11" s="360">
        <v>-3057224.0869697686</v>
      </c>
      <c r="AP11" s="360">
        <v>-2157906.1056454568</v>
      </c>
      <c r="AQ11" s="360">
        <v>-2064469.6919584332</v>
      </c>
      <c r="AR11" s="360">
        <v>-1934318.0134905034</v>
      </c>
      <c r="AS11" s="360">
        <v>-1213575.0791182385</v>
      </c>
      <c r="AT11" s="360">
        <v>-1096543.7152823522</v>
      </c>
      <c r="AU11" s="360">
        <v>-833552.67627142672</v>
      </c>
      <c r="AV11" s="360">
        <v>-513078.07444179949</v>
      </c>
      <c r="AW11" s="360">
        <v>-79012.337385870967</v>
      </c>
      <c r="AX11" s="360">
        <v>1424954.8526196158</v>
      </c>
      <c r="AY11" s="360">
        <v>1956316.7728526439</v>
      </c>
      <c r="AZ11" s="360">
        <v>2577332.4734341092</v>
      </c>
      <c r="BA11" s="360">
        <v>6253203.7089776695</v>
      </c>
      <c r="BB11" s="360">
        <v>6841169.3169491291</v>
      </c>
      <c r="BC11" s="360">
        <v>8528796.0824844688</v>
      </c>
      <c r="BD11" s="360">
        <v>9238064.6435068231</v>
      </c>
      <c r="BE11" s="360">
        <v>10027567.843066178</v>
      </c>
      <c r="BF11" s="360">
        <v>31054528.59307776</v>
      </c>
      <c r="BG11" s="360">
        <v>31209620.890802894</v>
      </c>
      <c r="BH11" s="360">
        <v>31480568.583529398</v>
      </c>
      <c r="BI11" s="360">
        <v>31879722.917131189</v>
      </c>
      <c r="BJ11" s="360">
        <v>32420663.989123557</v>
      </c>
      <c r="BK11" s="360">
        <v>33118318.76698482</v>
      </c>
      <c r="BL11" s="360">
        <v>33989090.097856291</v>
      </c>
      <c r="BM11" s="360">
        <v>35050997.709097199</v>
      </c>
      <c r="BN11" s="360">
        <v>36323832.288457021</v>
      </c>
      <c r="BO11" s="360">
        <v>37829323.829784535</v>
      </c>
      <c r="BP11" s="360">
        <v>39591325.535909846</v>
      </c>
      <c r="BQ11" s="360">
        <v>41636014.685357913</v>
      </c>
      <c r="BR11" s="360">
        <v>44039562.332443349</v>
      </c>
      <c r="BS11" s="360">
        <v>46786496.323309153</v>
      </c>
      <c r="BT11" s="360">
        <v>49911369.552975833</v>
      </c>
      <c r="BU11" s="360">
        <v>53499515.233390488</v>
      </c>
      <c r="BV11" s="360">
        <v>67545481.95537518</v>
      </c>
      <c r="BW11" s="360">
        <v>71601651.242136002</v>
      </c>
      <c r="BX11" s="360">
        <v>86238706.524060592</v>
      </c>
      <c r="BY11" s="360">
        <v>90985794.226647317</v>
      </c>
      <c r="BZ11" s="360">
        <v>96390885.638237134</v>
      </c>
      <c r="CA11" s="366">
        <v>102519385.08441541</v>
      </c>
      <c r="CB11" s="366">
        <v>109442902.02523655</v>
      </c>
      <c r="CC11" s="366">
        <v>117299136.87580958</v>
      </c>
      <c r="CD11" s="366">
        <v>126115160.05791111</v>
      </c>
      <c r="CE11" s="366">
        <v>135984851.526517</v>
      </c>
      <c r="CF11" s="366">
        <v>147188856.36933288</v>
      </c>
      <c r="CG11" s="366">
        <v>159663357.25700653</v>
      </c>
      <c r="CH11" s="367">
        <v>0</v>
      </c>
    </row>
    <row r="12" spans="1:86" x14ac:dyDescent="0.25">
      <c r="A12" s="369">
        <v>0</v>
      </c>
      <c r="B12" s="366">
        <v>0</v>
      </c>
      <c r="C12" s="366">
        <v>0</v>
      </c>
      <c r="D12" s="366">
        <v>0</v>
      </c>
      <c r="E12" s="366">
        <v>0</v>
      </c>
      <c r="F12" s="366">
        <v>0</v>
      </c>
      <c r="G12" s="366">
        <v>0</v>
      </c>
      <c r="H12" s="366">
        <v>0</v>
      </c>
      <c r="I12" s="366">
        <v>2652912.1194825419</v>
      </c>
      <c r="J12" s="366">
        <v>2730907.7357952772</v>
      </c>
      <c r="K12" s="366">
        <v>2811196.4232276804</v>
      </c>
      <c r="L12" s="366">
        <v>2893845.5980705475</v>
      </c>
      <c r="M12" s="366">
        <v>2978924.6586538502</v>
      </c>
      <c r="N12" s="366">
        <v>3066505.043618279</v>
      </c>
      <c r="O12" s="366">
        <v>3156660.2919006399</v>
      </c>
      <c r="P12" s="366">
        <v>3249466.1044825334</v>
      </c>
      <c r="Q12" s="366">
        <v>3345000.4079543143</v>
      </c>
      <c r="R12" s="366">
        <v>3443343.4199481709</v>
      </c>
      <c r="S12" s="366">
        <v>3544577.7164946338</v>
      </c>
      <c r="T12" s="366">
        <v>3648788.3013596148</v>
      </c>
      <c r="U12" s="366">
        <v>3756062.6774195698</v>
      </c>
      <c r="V12" s="366">
        <v>3866490.9201356932</v>
      </c>
      <c r="W12" s="366">
        <v>3980165.7531876699</v>
      </c>
      <c r="X12" s="366">
        <v>4097182.626331429</v>
      </c>
      <c r="Y12" s="366">
        <v>4217639.7955455463</v>
      </c>
      <c r="Z12" s="366">
        <v>4341638.4055345841</v>
      </c>
      <c r="AA12" s="366">
        <v>4469282.5746573219</v>
      </c>
      <c r="AB12" s="366">
        <v>4600679.4823522214</v>
      </c>
      <c r="AC12" s="366">
        <v>4735939.4591333987</v>
      </c>
      <c r="AD12" s="366">
        <v>4875176.0792318964</v>
      </c>
      <c r="AE12" s="366">
        <v>5018506.2559613436</v>
      </c>
      <c r="AF12" s="366">
        <v>5166050.3398865694</v>
      </c>
      <c r="AG12" s="366">
        <v>5317932.2198792649</v>
      </c>
      <c r="AH12" s="366">
        <v>5474279.4271437451</v>
      </c>
      <c r="AI12" s="366">
        <v>5635223.2423017267</v>
      </c>
      <c r="AJ12" s="366">
        <v>5800898.8056254163</v>
      </c>
      <c r="AK12" s="366">
        <v>5971445.2305107843</v>
      </c>
      <c r="AL12" s="366">
        <v>6147005.7202877942</v>
      </c>
      <c r="AM12" s="366">
        <v>6327727.6884642784</v>
      </c>
      <c r="AN12" s="366">
        <v>6513762.8825051067</v>
      </c>
      <c r="AO12" s="366">
        <v>6705267.5112508005</v>
      </c>
      <c r="AP12" s="366">
        <v>6902402.3760815617</v>
      </c>
      <c r="AQ12" s="366">
        <v>7105333.0059383297</v>
      </c>
      <c r="AR12" s="366">
        <v>7314229.7963129245</v>
      </c>
      <c r="AS12" s="366">
        <v>7529268.1523245117</v>
      </c>
      <c r="AT12" s="366">
        <v>7750628.6360028898</v>
      </c>
      <c r="AU12" s="366">
        <v>7978497.1179013373</v>
      </c>
      <c r="AV12" s="366">
        <v>8213064.9331677128</v>
      </c>
      <c r="AW12" s="366">
        <v>8454529.0422027465</v>
      </c>
      <c r="AX12" s="366">
        <v>8703092.1960435808</v>
      </c>
      <c r="AY12" s="366">
        <v>8958963.1066072024</v>
      </c>
      <c r="AZ12" s="366">
        <v>9222356.6219414938</v>
      </c>
      <c r="BA12" s="366">
        <v>9493493.9066265933</v>
      </c>
      <c r="BB12" s="366">
        <v>9772602.6274813339</v>
      </c>
      <c r="BC12" s="366">
        <v>10059917.144729406</v>
      </c>
      <c r="BD12" s="366">
        <v>10355678.70878434</v>
      </c>
      <c r="BE12" s="366">
        <v>10660135.662822694</v>
      </c>
      <c r="BF12" s="366">
        <v>10973543.65130968</v>
      </c>
      <c r="BG12" s="366">
        <v>11296165.834658081</v>
      </c>
      <c r="BH12" s="366">
        <v>11628273.110197159</v>
      </c>
      <c r="BI12" s="366">
        <v>11970144.3396369</v>
      </c>
      <c r="BJ12" s="366">
        <v>12322066.583222186</v>
      </c>
      <c r="BK12" s="366">
        <v>12684335.340768915</v>
      </c>
      <c r="BL12" s="366">
        <v>13057254.799787654</v>
      </c>
      <c r="BM12" s="366">
        <v>13441138.090901252</v>
      </c>
      <c r="BN12" s="366">
        <v>13836307.55077384</v>
      </c>
      <c r="BO12" s="366">
        <v>14243094.992766622</v>
      </c>
      <c r="BP12" s="366">
        <v>14661841.985553969</v>
      </c>
      <c r="BQ12" s="366">
        <v>15092900.139929203</v>
      </c>
      <c r="BR12" s="366">
        <v>15536631.40404306</v>
      </c>
      <c r="BS12" s="366">
        <v>15993408.367322059</v>
      </c>
      <c r="BT12" s="366">
        <v>16463614.573321305</v>
      </c>
      <c r="BU12" s="366">
        <v>16947644.841776811</v>
      </c>
      <c r="BV12" s="366">
        <v>17445905.600125201</v>
      </c>
      <c r="BW12" s="366">
        <v>17958815.224768825</v>
      </c>
      <c r="BX12" s="366">
        <v>18486804.39237703</v>
      </c>
      <c r="BY12" s="366">
        <v>19030316.441512898</v>
      </c>
      <c r="BZ12" s="366">
        <v>19589807.744893361</v>
      </c>
      <c r="CA12" s="366">
        <v>20165748.09259316</v>
      </c>
      <c r="CB12" s="366">
        <v>20758621.086515602</v>
      </c>
      <c r="CC12" s="366">
        <v>21368924.546458989</v>
      </c>
      <c r="CD12" s="366">
        <v>21997170.928125039</v>
      </c>
      <c r="CE12" s="366">
        <v>22643887.753411777</v>
      </c>
      <c r="CF12" s="366">
        <v>23309618.053362004</v>
      </c>
      <c r="CG12" s="366">
        <v>23994920.824130997</v>
      </c>
      <c r="CH12" s="367">
        <v>0</v>
      </c>
    </row>
    <row r="13" spans="1:86" x14ac:dyDescent="0.25">
      <c r="A13" s="369" t="s">
        <v>548</v>
      </c>
      <c r="B13" s="366">
        <v>0</v>
      </c>
      <c r="C13" s="366">
        <v>-337360.12500000006</v>
      </c>
      <c r="D13" s="366">
        <v>-881527.80900000001</v>
      </c>
      <c r="E13" s="366">
        <v>-667043.97500000009</v>
      </c>
      <c r="F13" s="366">
        <v>-239994.386</v>
      </c>
      <c r="G13" s="366">
        <v>-106423.571</v>
      </c>
      <c r="H13" s="366">
        <v>-1350000</v>
      </c>
      <c r="I13" s="366">
        <v>-1404000</v>
      </c>
      <c r="J13" s="366">
        <v>-1460160.0000000005</v>
      </c>
      <c r="K13" s="366">
        <v>-1518566.4000000004</v>
      </c>
      <c r="L13" s="366">
        <v>-1579309.0560000003</v>
      </c>
      <c r="M13" s="366">
        <v>-547493.80608000024</v>
      </c>
      <c r="N13" s="366">
        <v>-569393.55832320021</v>
      </c>
      <c r="O13" s="366">
        <v>-592169.30065612809</v>
      </c>
      <c r="P13" s="366">
        <v>-615856.07268237346</v>
      </c>
      <c r="Q13" s="366">
        <v>-640490.31558966835</v>
      </c>
      <c r="R13" s="366">
        <v>-400000</v>
      </c>
      <c r="S13" s="366">
        <v>-400000</v>
      </c>
      <c r="T13" s="366">
        <v>0</v>
      </c>
      <c r="U13" s="366">
        <v>0</v>
      </c>
      <c r="V13" s="366">
        <v>0</v>
      </c>
      <c r="W13" s="366">
        <v>0</v>
      </c>
      <c r="X13" s="366">
        <v>0</v>
      </c>
      <c r="Y13" s="366">
        <v>0</v>
      </c>
      <c r="Z13" s="366">
        <v>0</v>
      </c>
      <c r="AA13" s="366">
        <v>0</v>
      </c>
      <c r="AB13" s="366">
        <v>0</v>
      </c>
      <c r="AC13" s="366">
        <v>0</v>
      </c>
      <c r="AD13" s="366">
        <v>0</v>
      </c>
      <c r="AE13" s="366">
        <v>0</v>
      </c>
      <c r="AF13" s="366">
        <v>0</v>
      </c>
      <c r="AG13" s="366">
        <v>0</v>
      </c>
      <c r="AH13" s="366">
        <v>0</v>
      </c>
      <c r="AI13" s="366">
        <v>0</v>
      </c>
      <c r="AJ13" s="366">
        <v>0</v>
      </c>
      <c r="AK13" s="366">
        <v>0</v>
      </c>
      <c r="AL13" s="366">
        <v>0</v>
      </c>
      <c r="AM13" s="366">
        <v>0</v>
      </c>
      <c r="AN13" s="366">
        <v>0</v>
      </c>
      <c r="AO13" s="366">
        <v>0</v>
      </c>
      <c r="AP13" s="366">
        <v>0</v>
      </c>
      <c r="AQ13" s="366">
        <v>0</v>
      </c>
      <c r="AR13" s="366">
        <v>0</v>
      </c>
      <c r="AS13" s="366">
        <v>0</v>
      </c>
      <c r="AT13" s="366">
        <v>0</v>
      </c>
      <c r="AU13" s="366">
        <v>0</v>
      </c>
      <c r="AV13" s="366">
        <v>0</v>
      </c>
      <c r="AW13" s="366">
        <v>0</v>
      </c>
      <c r="AX13" s="366">
        <v>0</v>
      </c>
      <c r="AY13" s="366">
        <v>0</v>
      </c>
      <c r="AZ13" s="366">
        <v>0</v>
      </c>
      <c r="BA13" s="366">
        <v>0</v>
      </c>
      <c r="BB13" s="366">
        <v>0</v>
      </c>
      <c r="BC13" s="366">
        <v>0</v>
      </c>
      <c r="BD13" s="366">
        <v>0</v>
      </c>
      <c r="BE13" s="366">
        <v>0</v>
      </c>
      <c r="BF13" s="366">
        <v>0</v>
      </c>
      <c r="BG13" s="366">
        <v>0</v>
      </c>
      <c r="BH13" s="366">
        <v>0</v>
      </c>
      <c r="BI13" s="366">
        <v>0</v>
      </c>
      <c r="BJ13" s="366">
        <v>0</v>
      </c>
      <c r="BK13" s="366">
        <v>0</v>
      </c>
      <c r="BL13" s="366">
        <v>0</v>
      </c>
      <c r="BM13" s="366">
        <v>0</v>
      </c>
      <c r="BN13" s="366">
        <v>0</v>
      </c>
      <c r="BO13" s="366">
        <v>0</v>
      </c>
      <c r="BP13" s="366">
        <v>0</v>
      </c>
      <c r="BQ13" s="366">
        <v>0</v>
      </c>
      <c r="BR13" s="366">
        <v>0</v>
      </c>
      <c r="BS13" s="366">
        <v>0</v>
      </c>
      <c r="BT13" s="366">
        <v>0</v>
      </c>
      <c r="BU13" s="366">
        <v>0</v>
      </c>
      <c r="BV13" s="366">
        <v>0</v>
      </c>
      <c r="BW13" s="366">
        <v>0</v>
      </c>
      <c r="BX13" s="366">
        <v>0</v>
      </c>
      <c r="BY13" s="366">
        <v>0</v>
      </c>
      <c r="BZ13" s="366">
        <v>0</v>
      </c>
      <c r="CA13" s="366">
        <v>0</v>
      </c>
      <c r="CB13" s="366">
        <v>0</v>
      </c>
      <c r="CC13" s="366">
        <v>0</v>
      </c>
      <c r="CD13" s="366">
        <v>0</v>
      </c>
      <c r="CE13" s="366">
        <v>0</v>
      </c>
      <c r="CF13" s="366">
        <v>0</v>
      </c>
      <c r="CG13" s="366">
        <v>1</v>
      </c>
      <c r="CH13" s="367">
        <v>0</v>
      </c>
    </row>
    <row r="14" spans="1:86" x14ac:dyDescent="0.25">
      <c r="A14" s="369" t="s">
        <v>549</v>
      </c>
      <c r="B14" s="366">
        <v>0</v>
      </c>
      <c r="C14" s="366">
        <v>0</v>
      </c>
      <c r="D14" s="366">
        <v>0</v>
      </c>
      <c r="E14" s="366">
        <v>0</v>
      </c>
      <c r="F14" s="366">
        <v>0</v>
      </c>
      <c r="G14" s="366">
        <v>0</v>
      </c>
      <c r="H14" s="366">
        <v>0</v>
      </c>
      <c r="I14" s="366">
        <v>0</v>
      </c>
      <c r="J14" s="366">
        <v>0</v>
      </c>
      <c r="K14" s="366">
        <v>0</v>
      </c>
      <c r="L14" s="366">
        <v>0</v>
      </c>
      <c r="M14" s="366">
        <v>0</v>
      </c>
      <c r="N14" s="366">
        <v>0</v>
      </c>
      <c r="O14" s="366">
        <v>0</v>
      </c>
      <c r="P14" s="366">
        <v>0</v>
      </c>
      <c r="Q14" s="366">
        <v>0</v>
      </c>
      <c r="R14" s="366">
        <v>0</v>
      </c>
      <c r="S14" s="366">
        <v>0</v>
      </c>
      <c r="T14" s="366">
        <v>-1531849.8789690041</v>
      </c>
      <c r="U14" s="366">
        <v>-1531849.8789690041</v>
      </c>
      <c r="V14" s="366">
        <v>-1531849.8789690041</v>
      </c>
      <c r="W14" s="366">
        <v>-1531849.8789690041</v>
      </c>
      <c r="X14" s="366">
        <v>-1531849.8789690041</v>
      </c>
      <c r="Y14" s="366">
        <v>-1531849.8789690041</v>
      </c>
      <c r="Z14" s="366">
        <v>-423393.50129478204</v>
      </c>
      <c r="AA14" s="366">
        <v>0</v>
      </c>
      <c r="AB14" s="366">
        <v>0</v>
      </c>
      <c r="AC14" s="366">
        <v>0</v>
      </c>
      <c r="AD14" s="366">
        <v>0</v>
      </c>
      <c r="AE14" s="366">
        <v>0</v>
      </c>
      <c r="AF14" s="366">
        <v>0</v>
      </c>
      <c r="AG14" s="366">
        <v>0</v>
      </c>
      <c r="AH14" s="366">
        <v>0</v>
      </c>
      <c r="AI14" s="366">
        <v>0</v>
      </c>
      <c r="AJ14" s="366">
        <v>0</v>
      </c>
      <c r="AK14" s="366">
        <v>0</v>
      </c>
      <c r="AL14" s="366">
        <v>0</v>
      </c>
      <c r="AM14" s="366">
        <v>0</v>
      </c>
      <c r="AN14" s="366">
        <v>0</v>
      </c>
      <c r="AO14" s="366">
        <v>0</v>
      </c>
      <c r="AP14" s="366">
        <v>0</v>
      </c>
      <c r="AQ14" s="366">
        <v>0</v>
      </c>
      <c r="AR14" s="366">
        <v>0</v>
      </c>
      <c r="AS14" s="366">
        <v>0</v>
      </c>
      <c r="AT14" s="366">
        <v>0</v>
      </c>
      <c r="AU14" s="366">
        <v>0</v>
      </c>
      <c r="AV14" s="366">
        <v>0</v>
      </c>
      <c r="AW14" s="366">
        <v>0</v>
      </c>
      <c r="AX14" s="366">
        <v>0</v>
      </c>
      <c r="AY14" s="366">
        <v>0</v>
      </c>
      <c r="AZ14" s="366">
        <v>0</v>
      </c>
      <c r="BA14" s="366">
        <v>0</v>
      </c>
      <c r="BB14" s="366">
        <v>0</v>
      </c>
      <c r="BC14" s="366">
        <v>0</v>
      </c>
      <c r="BD14" s="366">
        <v>0</v>
      </c>
      <c r="BE14" s="366">
        <v>0</v>
      </c>
      <c r="BF14" s="366">
        <v>0</v>
      </c>
      <c r="BG14" s="366">
        <v>0</v>
      </c>
      <c r="BH14" s="366">
        <v>0</v>
      </c>
      <c r="BI14" s="366">
        <v>0</v>
      </c>
      <c r="BJ14" s="366">
        <v>0</v>
      </c>
      <c r="BK14" s="366">
        <v>0</v>
      </c>
      <c r="BL14" s="366">
        <v>0</v>
      </c>
      <c r="BM14" s="366">
        <v>0</v>
      </c>
      <c r="BN14" s="366">
        <v>0</v>
      </c>
      <c r="BO14" s="366">
        <v>0</v>
      </c>
      <c r="BP14" s="366">
        <v>0</v>
      </c>
      <c r="BQ14" s="366">
        <v>0</v>
      </c>
      <c r="BR14" s="366">
        <v>0</v>
      </c>
      <c r="BS14" s="366">
        <v>0</v>
      </c>
      <c r="BT14" s="366">
        <v>0</v>
      </c>
      <c r="BU14" s="366">
        <v>0</v>
      </c>
      <c r="BV14" s="366">
        <v>0</v>
      </c>
      <c r="BW14" s="366">
        <v>0</v>
      </c>
      <c r="BX14" s="366">
        <v>0</v>
      </c>
      <c r="BY14" s="366">
        <v>0</v>
      </c>
      <c r="BZ14" s="366">
        <v>0</v>
      </c>
      <c r="CA14" s="366">
        <v>0</v>
      </c>
      <c r="CB14" s="366">
        <v>0</v>
      </c>
      <c r="CC14" s="366">
        <v>0</v>
      </c>
      <c r="CD14" s="366">
        <v>0</v>
      </c>
      <c r="CE14" s="366">
        <v>0</v>
      </c>
      <c r="CF14" s="366">
        <v>0</v>
      </c>
      <c r="CG14" s="366">
        <v>0</v>
      </c>
      <c r="CH14" s="367">
        <v>0</v>
      </c>
    </row>
    <row r="15" spans="1:86" x14ac:dyDescent="0.25">
      <c r="A15" s="369" t="s">
        <v>550</v>
      </c>
      <c r="B15" s="366">
        <v>0</v>
      </c>
      <c r="C15" s="366">
        <v>-337360.12500000006</v>
      </c>
      <c r="D15" s="366">
        <v>-881527.80900000001</v>
      </c>
      <c r="E15" s="366">
        <v>-667043.97500000009</v>
      </c>
      <c r="F15" s="366">
        <v>-239994.386</v>
      </c>
      <c r="G15" s="366">
        <v>-106423.571</v>
      </c>
      <c r="H15" s="366">
        <v>-5347128</v>
      </c>
      <c r="I15" s="366">
        <v>-24006825.708319999</v>
      </c>
      <c r="J15" s="366">
        <v>-45692581.874828801</v>
      </c>
      <c r="K15" s="366">
        <v>-13907005.732529277</v>
      </c>
      <c r="L15" s="366">
        <v>-79426505.051328152</v>
      </c>
      <c r="M15" s="366">
        <v>-75254743.110772729</v>
      </c>
      <c r="N15" s="366">
        <v>-5408441.2571140658</v>
      </c>
      <c r="O15" s="366">
        <v>-18746513.734279104</v>
      </c>
      <c r="P15" s="366">
        <v>-19457392.747261479</v>
      </c>
      <c r="Q15" s="366">
        <v>-20195537.47467149</v>
      </c>
      <c r="R15" s="366">
        <v>-16046112.230723059</v>
      </c>
      <c r="S15" s="366">
        <v>-16629360.542638468</v>
      </c>
      <c r="T15" s="366">
        <v>-4519028.4511904642</v>
      </c>
      <c r="U15" s="366">
        <v>-4654599.3047261778</v>
      </c>
      <c r="V15" s="366">
        <v>-4794237.2838679636</v>
      </c>
      <c r="W15" s="366">
        <v>-11864770.192795221</v>
      </c>
      <c r="X15" s="366">
        <v>-5086206.3344555218</v>
      </c>
      <c r="Y15" s="366">
        <v>-42698417.439033054</v>
      </c>
      <c r="Z15" s="366">
        <v>-44353966.211349495</v>
      </c>
      <c r="AA15" s="366">
        <v>-46074165.296801232</v>
      </c>
      <c r="AB15" s="366">
        <v>-16258815.918875866</v>
      </c>
      <c r="AC15" s="366">
        <v>-16851922.855241828</v>
      </c>
      <c r="AD15" s="366">
        <v>-6073196.3542769626</v>
      </c>
      <c r="AE15" s="366">
        <v>-6255392.2449052716</v>
      </c>
      <c r="AF15" s="366">
        <v>-6443054.0122524295</v>
      </c>
      <c r="AG15" s="366">
        <v>-6636345.6326200021</v>
      </c>
      <c r="AH15" s="366">
        <v>-6835436.0015986031</v>
      </c>
      <c r="AI15" s="366">
        <v>-7040499.0816465598</v>
      </c>
      <c r="AJ15" s="366">
        <v>-7251714.0540959565</v>
      </c>
      <c r="AK15" s="366">
        <v>-7469265.4757188344</v>
      </c>
      <c r="AL15" s="366">
        <v>-7693343.4399904003</v>
      </c>
      <c r="AM15" s="366">
        <v>-7924143.7431901135</v>
      </c>
      <c r="AN15" s="366">
        <v>-8161868.0554858148</v>
      </c>
      <c r="AO15" s="366">
        <v>-8406724.0971503891</v>
      </c>
      <c r="AP15" s="366">
        <v>-8658925.8200649004</v>
      </c>
      <c r="AQ15" s="366">
        <v>-8918693.594666848</v>
      </c>
      <c r="AR15" s="366">
        <v>-9186254.4025068544</v>
      </c>
      <c r="AS15" s="366">
        <v>-9461842.034582058</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1</v>
      </c>
      <c r="CH15" s="367">
        <v>0</v>
      </c>
    </row>
    <row r="16" spans="1:86" x14ac:dyDescent="0.25">
      <c r="A16" s="370" t="s">
        <v>138</v>
      </c>
      <c r="B16" s="371">
        <f>SUM(B9:B15)</f>
        <v>8.3338495435047455E-2</v>
      </c>
      <c r="C16" s="371">
        <f t="shared" ref="C16:BN16" si="2">SUM(C9:C15)</f>
        <v>18814335.75</v>
      </c>
      <c r="D16" s="371">
        <f>SUM(D9:D15)</f>
        <v>22153602.381999999</v>
      </c>
      <c r="E16" s="371">
        <f t="shared" si="2"/>
        <v>20252502.049999997</v>
      </c>
      <c r="F16" s="371">
        <f t="shared" si="2"/>
        <v>19877581.228</v>
      </c>
      <c r="G16" s="371">
        <f t="shared" si="2"/>
        <v>17946650.858000003</v>
      </c>
      <c r="H16" s="371">
        <f t="shared" si="2"/>
        <v>10566699.997003999</v>
      </c>
      <c r="I16" s="371">
        <f t="shared" si="2"/>
        <v>-4809264.6037076116</v>
      </c>
      <c r="J16" s="371">
        <f t="shared" si="2"/>
        <v>-25903539.840007301</v>
      </c>
      <c r="K16" s="371">
        <f t="shared" si="2"/>
        <v>9504403.9421298932</v>
      </c>
      <c r="L16" s="371">
        <f t="shared" si="2"/>
        <v>-55388860.476646662</v>
      </c>
      <c r="M16" s="371">
        <f t="shared" si="2"/>
        <v>-50096354.717295662</v>
      </c>
      <c r="N16" s="371">
        <f t="shared" si="2"/>
        <v>19913757.38156262</v>
      </c>
      <c r="O16" s="371">
        <f t="shared" si="2"/>
        <v>7503307.1333400831</v>
      </c>
      <c r="P16" s="371">
        <f t="shared" si="2"/>
        <v>7658144.3362208009</v>
      </c>
      <c r="Q16" s="371">
        <f t="shared" si="2"/>
        <v>7857632.0559118986</v>
      </c>
      <c r="R16" s="371">
        <f t="shared" si="2"/>
        <v>14145796.159530045</v>
      </c>
      <c r="S16" s="371">
        <f t="shared" si="2"/>
        <v>14693603.18064587</v>
      </c>
      <c r="T16" s="371">
        <f t="shared" si="2"/>
        <v>27823794.646393795</v>
      </c>
      <c r="U16" s="371">
        <f t="shared" si="2"/>
        <v>28576368.623889752</v>
      </c>
      <c r="V16" s="371">
        <f t="shared" si="2"/>
        <v>29986832.798735194</v>
      </c>
      <c r="W16" s="371">
        <f t="shared" si="2"/>
        <v>24589052.215684686</v>
      </c>
      <c r="X16" s="371">
        <f t="shared" si="2"/>
        <v>33700084.490028858</v>
      </c>
      <c r="Y16" s="371">
        <f t="shared" si="2"/>
        <v>-1979611.766465947</v>
      </c>
      <c r="Z16" s="371">
        <f t="shared" si="2"/>
        <v>-801569.02864478528</v>
      </c>
      <c r="AA16" s="371">
        <f t="shared" si="2"/>
        <v>1954577.618580766</v>
      </c>
      <c r="AB16" s="371">
        <f t="shared" si="2"/>
        <v>34925692.645872407</v>
      </c>
      <c r="AC16" s="371">
        <f t="shared" si="2"/>
        <v>37861703.962914065</v>
      </c>
      <c r="AD16" s="371">
        <f t="shared" si="2"/>
        <v>52474224.051529467</v>
      </c>
      <c r="AE16" s="371">
        <f t="shared" si="2"/>
        <v>56568816.674018554</v>
      </c>
      <c r="AF16" s="371">
        <f t="shared" si="2"/>
        <v>61019017.224515148</v>
      </c>
      <c r="AG16" s="371">
        <f t="shared" si="2"/>
        <v>65850773.995435961</v>
      </c>
      <c r="AH16" s="371">
        <f t="shared" si="2"/>
        <v>71092999.707313687</v>
      </c>
      <c r="AI16" s="371">
        <f t="shared" si="2"/>
        <v>76778468.445854813</v>
      </c>
      <c r="AJ16" s="371">
        <f t="shared" si="2"/>
        <v>82942568.791834742</v>
      </c>
      <c r="AK16" s="371">
        <f t="shared" si="2"/>
        <v>89623514.404396504</v>
      </c>
      <c r="AL16" s="371">
        <f t="shared" si="2"/>
        <v>96862571.751560524</v>
      </c>
      <c r="AM16" s="371">
        <f t="shared" si="2"/>
        <v>105505410.99762568</v>
      </c>
      <c r="AN16" s="371">
        <f t="shared" si="2"/>
        <v>113959619.28216869</v>
      </c>
      <c r="AO16" s="371">
        <f t="shared" si="2"/>
        <v>123116237.15543696</v>
      </c>
      <c r="AP16" s="371">
        <f t="shared" si="2"/>
        <v>134021211.94783509</v>
      </c>
      <c r="AQ16" s="371">
        <f t="shared" si="2"/>
        <v>144907838.23080069</v>
      </c>
      <c r="AR16" s="371">
        <f t="shared" si="2"/>
        <v>156680705.99468699</v>
      </c>
      <c r="AS16" s="371">
        <f t="shared" si="2"/>
        <v>169960607.06898901</v>
      </c>
      <c r="AT16" s="371">
        <f t="shared" si="2"/>
        <v>193371169.88924909</v>
      </c>
      <c r="AU16" s="371">
        <f t="shared" si="2"/>
        <v>208541021.6947265</v>
      </c>
      <c r="AV16" s="371">
        <f t="shared" si="2"/>
        <v>224927971.57282826</v>
      </c>
      <c r="AW16" s="371">
        <f t="shared" si="2"/>
        <v>242679285.89520913</v>
      </c>
      <c r="AX16" s="371">
        <f t="shared" si="2"/>
        <v>262849690.28157163</v>
      </c>
      <c r="AY16" s="371">
        <f t="shared" si="2"/>
        <v>282916792.79679495</v>
      </c>
      <c r="AZ16" s="371">
        <f t="shared" si="2"/>
        <v>301531894.76118988</v>
      </c>
      <c r="BA16" s="371">
        <f t="shared" si="2"/>
        <v>324563116.90215945</v>
      </c>
      <c r="BB16" s="371">
        <f t="shared" si="2"/>
        <v>345978126.902156</v>
      </c>
      <c r="BC16" s="371">
        <f t="shared" si="2"/>
        <v>370084112.03472877</v>
      </c>
      <c r="BD16" s="371">
        <f t="shared" si="2"/>
        <v>394932637.09632748</v>
      </c>
      <c r="BE16" s="371">
        <f t="shared" si="2"/>
        <v>421722679.83418393</v>
      </c>
      <c r="BF16" s="371">
        <f t="shared" si="2"/>
        <v>470763556.421305</v>
      </c>
      <c r="BG16" s="371">
        <f t="shared" si="2"/>
        <v>501110726.56978756</v>
      </c>
      <c r="BH16" s="371">
        <f t="shared" si="2"/>
        <v>533930459.32983363</v>
      </c>
      <c r="BI16" s="371">
        <f t="shared" si="2"/>
        <v>569428567.60651338</v>
      </c>
      <c r="BJ16" s="371">
        <f t="shared" si="2"/>
        <v>607828264.10165131</v>
      </c>
      <c r="BK16" s="371">
        <f t="shared" si="2"/>
        <v>649371639.56856799</v>
      </c>
      <c r="BL16" s="371">
        <f t="shared" si="2"/>
        <v>694321266.72700655</v>
      </c>
      <c r="BM16" s="371">
        <f t="shared" si="2"/>
        <v>742961940.51176441</v>
      </c>
      <c r="BN16" s="371">
        <f t="shared" si="2"/>
        <v>795602566.23421359</v>
      </c>
      <c r="BO16" s="371">
        <f t="shared" ref="BO16:CH16" si="3">SUM(BO9:BO15)</f>
        <v>852578208.21831083</v>
      </c>
      <c r="BP16" s="371">
        <f t="shared" si="3"/>
        <v>914252312.53840733</v>
      </c>
      <c r="BQ16" s="371">
        <f t="shared" si="3"/>
        <v>981019118.64218211</v>
      </c>
      <c r="BR16" s="371">
        <f t="shared" si="3"/>
        <v>1053353726.2337769</v>
      </c>
      <c r="BS16" s="371">
        <f t="shared" si="3"/>
        <v>1131673057.6293497</v>
      </c>
      <c r="BT16" s="371">
        <f t="shared" si="3"/>
        <v>1216480344.5672107</v>
      </c>
      <c r="BU16" s="371">
        <f t="shared" si="3"/>
        <v>1308368939.7390957</v>
      </c>
      <c r="BV16" s="371">
        <f t="shared" si="3"/>
        <v>1417884065.8830161</v>
      </c>
      <c r="BW16" s="371">
        <f t="shared" si="3"/>
        <v>1525175026.8855596</v>
      </c>
      <c r="BX16" s="371">
        <f t="shared" si="3"/>
        <v>1651459573.4091794</v>
      </c>
      <c r="BY16" s="371">
        <f t="shared" si="3"/>
        <v>1776968289.3125651</v>
      </c>
      <c r="BZ16" s="371">
        <f t="shared" si="3"/>
        <v>1913009535.2655127</v>
      </c>
      <c r="CA16" s="371">
        <f t="shared" si="3"/>
        <v>2060473025.1605253</v>
      </c>
      <c r="CB16" s="371">
        <f t="shared" si="3"/>
        <v>2220323985.550858</v>
      </c>
      <c r="CC16" s="371">
        <f t="shared" si="3"/>
        <v>2393668883.2814922</v>
      </c>
      <c r="CD16" s="371">
        <f t="shared" si="3"/>
        <v>2581585039.17136</v>
      </c>
      <c r="CE16" s="371">
        <f t="shared" si="3"/>
        <v>2785304936.5779629</v>
      </c>
      <c r="CF16" s="371">
        <f t="shared" si="3"/>
        <v>3006343625.5394654</v>
      </c>
      <c r="CG16" s="371">
        <f t="shared" si="3"/>
        <v>3245975574.1749496</v>
      </c>
      <c r="CH16" s="372">
        <f t="shared" si="3"/>
        <v>0</v>
      </c>
    </row>
    <row r="17" spans="1:87" x14ac:dyDescent="0.25">
      <c r="A17" s="352"/>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c r="BK17" s="373"/>
      <c r="BL17" s="373"/>
      <c r="BM17" s="373"/>
      <c r="BN17" s="373"/>
      <c r="BO17" s="373"/>
      <c r="BP17" s="373"/>
      <c r="BQ17" s="373"/>
      <c r="BR17" s="373"/>
      <c r="BS17" s="373"/>
      <c r="BT17" s="373"/>
      <c r="BU17" s="373"/>
      <c r="BV17" s="373"/>
      <c r="BW17" s="373"/>
      <c r="BX17" s="373"/>
      <c r="BY17" s="373"/>
      <c r="BZ17" s="373"/>
      <c r="CA17" s="373"/>
      <c r="CB17" s="373"/>
      <c r="CC17" s="373"/>
      <c r="CD17" s="373"/>
      <c r="CE17" s="373"/>
      <c r="CF17" s="373"/>
      <c r="CG17" s="373"/>
      <c r="CH17" s="373"/>
    </row>
    <row r="18" spans="1:87" x14ac:dyDescent="0.25">
      <c r="A18" s="352"/>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row>
    <row r="19" spans="1:87" x14ac:dyDescent="0.25">
      <c r="A19" s="365" t="s">
        <v>139</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5"/>
    </row>
    <row r="20" spans="1:87" x14ac:dyDescent="0.25">
      <c r="A20" s="359" t="s">
        <v>552</v>
      </c>
      <c r="B20" s="360">
        <v>6.8610058637611313E-2</v>
      </c>
      <c r="C20" s="360">
        <v>-7034976</v>
      </c>
      <c r="D20" s="360">
        <v>-7852042</v>
      </c>
      <c r="E20" s="360">
        <v>-8228012</v>
      </c>
      <c r="F20" s="360">
        <v>-8968367</v>
      </c>
      <c r="G20" s="360">
        <v>-8763801</v>
      </c>
      <c r="H20" s="360">
        <v>-9812530</v>
      </c>
      <c r="I20" s="360">
        <v>-10484110.733290145</v>
      </c>
      <c r="J20" s="360">
        <v>-11195981.852080546</v>
      </c>
      <c r="K20" s="360">
        <v>-11956189.019836817</v>
      </c>
      <c r="L20" s="360">
        <v>-12768014.254283737</v>
      </c>
      <c r="M20" s="360">
        <v>-13634962.422149604</v>
      </c>
      <c r="N20" s="360">
        <v>-14560776.370613564</v>
      </c>
      <c r="O20" s="360">
        <v>-15549453.086178226</v>
      </c>
      <c r="P20" s="360">
        <v>-16605260.95072973</v>
      </c>
      <c r="Q20" s="360">
        <v>-17732758.16928428</v>
      </c>
      <c r="R20" s="360">
        <v>-18936812.448978685</v>
      </c>
      <c r="S20" s="360">
        <v>-20222622.014264338</v>
      </c>
      <c r="T20" s="360">
        <v>-21595738.049032889</v>
      </c>
      <c r="U20" s="360">
        <v>-23062088.662562225</v>
      </c>
      <c r="V20" s="360">
        <v>-24628004.482750203</v>
      </c>
      <c r="W20" s="360">
        <v>-26300245.987128943</v>
      </c>
      <c r="X20" s="360">
        <v>-28086032.689654998</v>
      </c>
      <c r="Y20" s="360">
        <v>-30434255.76793291</v>
      </c>
      <c r="Z20" s="360">
        <v>-32484020.957292709</v>
      </c>
      <c r="AA20" s="360">
        <v>-34672463.579691559</v>
      </c>
      <c r="AB20" s="360">
        <v>-37008984.784133248</v>
      </c>
      <c r="AC20" s="360">
        <v>-39503623.606177941</v>
      </c>
      <c r="AD20" s="360">
        <v>-42167100.266895533</v>
      </c>
      <c r="AE20" s="360">
        <v>-45010862.411411598</v>
      </c>
      <c r="AF20" s="360">
        <v>-48301334.290895849</v>
      </c>
      <c r="AG20" s="360">
        <v>-51979330.75609532</v>
      </c>
      <c r="AH20" s="360">
        <v>-55915748.681569725</v>
      </c>
      <c r="AI20" s="360">
        <v>-60128198.65432696</v>
      </c>
      <c r="AJ20" s="360">
        <v>-64635477.070122987</v>
      </c>
      <c r="AK20" s="360">
        <v>-69457645.63623476</v>
      </c>
      <c r="AL20" s="360">
        <v>-74616116.198952317</v>
      </c>
      <c r="AM20" s="360">
        <v>-80133741.252534062</v>
      </c>
      <c r="AN20" s="360">
        <v>-86034910.510291472</v>
      </c>
      <c r="AO20" s="360">
        <v>-92345653.943997547</v>
      </c>
      <c r="AP20" s="360">
        <v>-99093751.725054845</v>
      </c>
      <c r="AQ20" s="360">
        <v>-106308851.52992985</v>
      </c>
      <c r="AR20" s="360">
        <v>-114022593.70338261</v>
      </c>
      <c r="AS20" s="360">
        <v>-122268744.80612677</v>
      </c>
      <c r="AT20" s="360">
        <v>-131083340.10888292</v>
      </c>
      <c r="AU20" s="360">
        <v>-140504835.63249019</v>
      </c>
      <c r="AV20" s="360">
        <v>-150574270.37397328</v>
      </c>
      <c r="AW20" s="360">
        <v>-161335439.40139833</v>
      </c>
      <c r="AX20" s="360">
        <v>-172835078.54616967</v>
      </c>
      <c r="AY20" s="360">
        <v>-185123061.47031671</v>
      </c>
      <c r="AZ20" s="360">
        <v>-198252609.9385021</v>
      </c>
      <c r="BA20" s="360">
        <v>-212280518.1801706</v>
      </c>
      <c r="BB20" s="360">
        <v>-227267392.28668472</v>
      </c>
      <c r="BC20" s="360">
        <v>-243277905.65171903</v>
      </c>
      <c r="BD20" s="360">
        <v>-260102966.8596175</v>
      </c>
      <c r="BE20" s="360">
        <v>-276617865.46834093</v>
      </c>
      <c r="BF20" s="360">
        <v>-294219742.90736532</v>
      </c>
      <c r="BG20" s="360">
        <v>-312981373.55571127</v>
      </c>
      <c r="BH20" s="360">
        <v>-332980442.22822791</v>
      </c>
      <c r="BI20" s="360">
        <v>-354299876.665851</v>
      </c>
      <c r="BJ20" s="360">
        <v>-377028202.57409847</v>
      </c>
      <c r="BK20" s="360">
        <v>-401259922.739995</v>
      </c>
      <c r="BL20" s="360">
        <v>-427095921.86148942</v>
      </c>
      <c r="BM20" s="360">
        <v>-454643898.83435667</v>
      </c>
      <c r="BN20" s="360">
        <v>-484018828.3600359</v>
      </c>
      <c r="BO20" s="360">
        <v>-515343453.86435348</v>
      </c>
      <c r="BP20" s="360">
        <v>-548748813.85217428</v>
      </c>
      <c r="BQ20" s="360">
        <v>-584374803.9672811</v>
      </c>
      <c r="BR20" s="360">
        <v>-622370777.18084013</v>
      </c>
      <c r="BS20" s="360">
        <v>-662896184.69632518</v>
      </c>
      <c r="BT20" s="360">
        <v>-706121260.33445883</v>
      </c>
      <c r="BU20" s="360">
        <v>-752227751.34933937</v>
      </c>
      <c r="BV20" s="360">
        <v>-801409698.82727551</v>
      </c>
      <c r="BW20" s="360">
        <v>-853874271.03380275</v>
      </c>
      <c r="BX20" s="360">
        <v>-909842653.30283797</v>
      </c>
      <c r="BY20" s="360">
        <v>-969550998.30591595</v>
      </c>
      <c r="BZ20" s="360">
        <v>-1033251440.8000174</v>
      </c>
      <c r="CA20" s="366">
        <v>-1101213181.230742</v>
      </c>
      <c r="CB20" s="366">
        <v>-1173723642.8647251</v>
      </c>
      <c r="CC20" s="366">
        <v>-1251089707.442508</v>
      </c>
      <c r="CD20" s="366">
        <v>-1333639034.6819406</v>
      </c>
      <c r="CE20" s="366">
        <v>-1421721471.324053</v>
      </c>
      <c r="CF20" s="366">
        <v>-1515710555.7997813</v>
      </c>
      <c r="CG20" s="366">
        <v>-1616005125.0085962</v>
      </c>
      <c r="CH20" s="367">
        <v>0</v>
      </c>
    </row>
    <row r="21" spans="1:87" x14ac:dyDescent="0.25">
      <c r="A21" s="369" t="s">
        <v>551</v>
      </c>
      <c r="B21" s="366">
        <v>0</v>
      </c>
      <c r="C21" s="366">
        <v>0</v>
      </c>
      <c r="D21" s="366">
        <v>0</v>
      </c>
      <c r="E21" s="366">
        <v>0</v>
      </c>
      <c r="F21" s="366">
        <v>0</v>
      </c>
      <c r="G21" s="366">
        <v>0</v>
      </c>
      <c r="H21" s="366">
        <v>0</v>
      </c>
      <c r="I21" s="366">
        <v>0</v>
      </c>
      <c r="J21" s="366">
        <v>0</v>
      </c>
      <c r="K21" s="366">
        <v>0</v>
      </c>
      <c r="L21" s="366">
        <v>0</v>
      </c>
      <c r="M21" s="366">
        <v>0</v>
      </c>
      <c r="N21" s="366">
        <v>0</v>
      </c>
      <c r="O21" s="366">
        <v>0</v>
      </c>
      <c r="P21" s="366">
        <v>0</v>
      </c>
      <c r="Q21" s="366">
        <v>0</v>
      </c>
      <c r="R21" s="366">
        <v>0</v>
      </c>
      <c r="S21" s="366">
        <v>0</v>
      </c>
      <c r="T21" s="366">
        <v>0</v>
      </c>
      <c r="U21" s="366">
        <v>0</v>
      </c>
      <c r="V21" s="366">
        <v>0</v>
      </c>
      <c r="W21" s="366">
        <v>0</v>
      </c>
      <c r="X21" s="366">
        <v>0</v>
      </c>
      <c r="Y21" s="366">
        <v>0</v>
      </c>
      <c r="Z21" s="366">
        <v>27711409.441855557</v>
      </c>
      <c r="AA21" s="366">
        <v>28526124.879446242</v>
      </c>
      <c r="AB21" s="366">
        <v>29364792.950901795</v>
      </c>
      <c r="AC21" s="366">
        <v>30228117.863658451</v>
      </c>
      <c r="AD21" s="366">
        <v>31116824.528849855</v>
      </c>
      <c r="AE21" s="366">
        <v>32031659.169998225</v>
      </c>
      <c r="AF21" s="366">
        <v>32973389.949595936</v>
      </c>
      <c r="AG21" s="366">
        <v>33942807.614114247</v>
      </c>
      <c r="AH21" s="366">
        <v>34940726.1579694</v>
      </c>
      <c r="AI21" s="366">
        <v>35967983.507013418</v>
      </c>
      <c r="AJ21" s="366">
        <v>37025442.222119734</v>
      </c>
      <c r="AK21" s="366">
        <v>38113990.223449923</v>
      </c>
      <c r="AL21" s="366">
        <v>39234541.53601931</v>
      </c>
      <c r="AM21" s="366">
        <v>40388037.057178423</v>
      </c>
      <c r="AN21" s="366">
        <v>41575445.346659333</v>
      </c>
      <c r="AO21" s="366">
        <v>42797763.439851396</v>
      </c>
      <c r="AP21" s="366">
        <v>44056017.684982948</v>
      </c>
      <c r="AQ21" s="366">
        <v>45351264.604921252</v>
      </c>
      <c r="AR21" s="366">
        <v>46684591.78430599</v>
      </c>
      <c r="AS21" s="366">
        <v>48057118.782764509</v>
      </c>
      <c r="AT21" s="366">
        <v>49469998.074978024</v>
      </c>
      <c r="AU21" s="366">
        <v>50924416.018382132</v>
      </c>
      <c r="AV21" s="366">
        <v>52421593.849323049</v>
      </c>
      <c r="AW21" s="366">
        <v>53962788.708492532</v>
      </c>
      <c r="AX21" s="366">
        <v>55549294.696522683</v>
      </c>
      <c r="AY21" s="366">
        <v>47526532.367659196</v>
      </c>
      <c r="AZ21" s="366">
        <v>0</v>
      </c>
      <c r="BA21" s="366">
        <v>0</v>
      </c>
      <c r="BB21" s="366">
        <v>0</v>
      </c>
      <c r="BC21" s="366">
        <v>0</v>
      </c>
      <c r="BD21" s="366">
        <v>0</v>
      </c>
      <c r="BE21" s="366">
        <v>0</v>
      </c>
      <c r="BF21" s="366">
        <v>0</v>
      </c>
      <c r="BG21" s="366">
        <v>0</v>
      </c>
      <c r="BH21" s="366">
        <v>0</v>
      </c>
      <c r="BI21" s="366">
        <v>0</v>
      </c>
      <c r="BJ21" s="366">
        <v>0</v>
      </c>
      <c r="BK21" s="366">
        <v>0</v>
      </c>
      <c r="BL21" s="366">
        <v>0</v>
      </c>
      <c r="BM21" s="366">
        <v>0</v>
      </c>
      <c r="BN21" s="366">
        <v>0</v>
      </c>
      <c r="BO21" s="366">
        <v>0</v>
      </c>
      <c r="BP21" s="366">
        <v>0</v>
      </c>
      <c r="BQ21" s="366">
        <v>0</v>
      </c>
      <c r="BR21" s="366">
        <v>0</v>
      </c>
      <c r="BS21" s="366">
        <v>0</v>
      </c>
      <c r="BT21" s="366">
        <v>0</v>
      </c>
      <c r="BU21" s="366">
        <v>0</v>
      </c>
      <c r="BV21" s="366">
        <v>0</v>
      </c>
      <c r="BW21" s="366">
        <v>0</v>
      </c>
      <c r="BX21" s="366">
        <v>0</v>
      </c>
      <c r="BY21" s="366">
        <v>0</v>
      </c>
      <c r="BZ21" s="366">
        <v>0</v>
      </c>
      <c r="CA21" s="366">
        <v>0</v>
      </c>
      <c r="CB21" s="366">
        <v>0</v>
      </c>
      <c r="CC21" s="366">
        <v>0</v>
      </c>
      <c r="CD21" s="366">
        <v>0</v>
      </c>
      <c r="CE21" s="366">
        <v>0</v>
      </c>
      <c r="CF21" s="366">
        <v>0</v>
      </c>
      <c r="CG21" s="366">
        <v>0</v>
      </c>
      <c r="CH21" s="367">
        <v>0</v>
      </c>
      <c r="CI21" s="384">
        <f>SUM(B21:CH21)</f>
        <v>1049942672.4610134</v>
      </c>
    </row>
    <row r="22" spans="1:87" s="410" customFormat="1" x14ac:dyDescent="0.25">
      <c r="A22" s="407" t="s">
        <v>553</v>
      </c>
      <c r="B22" s="408">
        <v>0</v>
      </c>
      <c r="C22" s="408">
        <v>1123375</v>
      </c>
      <c r="D22" s="408">
        <v>1171713</v>
      </c>
      <c r="E22" s="408">
        <v>1167061</v>
      </c>
      <c r="F22" s="408">
        <v>1425484</v>
      </c>
      <c r="G22" s="408">
        <v>1243147</v>
      </c>
      <c r="H22" s="408">
        <v>1150405</v>
      </c>
      <c r="I22" s="408">
        <v>1150405</v>
      </c>
      <c r="J22" s="408">
        <v>1150405</v>
      </c>
      <c r="K22" s="408">
        <v>632722.75</v>
      </c>
      <c r="L22" s="408">
        <v>632722.75</v>
      </c>
      <c r="M22" s="408">
        <v>632722.75</v>
      </c>
      <c r="N22" s="408">
        <v>632722.75</v>
      </c>
      <c r="O22" s="408">
        <v>632722.75</v>
      </c>
      <c r="P22" s="408">
        <v>632722.75</v>
      </c>
      <c r="Q22" s="408">
        <v>632722.75</v>
      </c>
      <c r="R22" s="408">
        <v>0</v>
      </c>
      <c r="S22" s="408">
        <v>0</v>
      </c>
      <c r="T22" s="408">
        <v>0</v>
      </c>
      <c r="U22" s="408">
        <v>0</v>
      </c>
      <c r="V22" s="408">
        <v>0</v>
      </c>
      <c r="W22" s="408">
        <v>0</v>
      </c>
      <c r="X22" s="408">
        <v>0</v>
      </c>
      <c r="Y22" s="408">
        <v>0</v>
      </c>
      <c r="Z22" s="408">
        <v>0</v>
      </c>
      <c r="AA22" s="408">
        <v>0</v>
      </c>
      <c r="AB22" s="408">
        <v>0</v>
      </c>
      <c r="AC22" s="408">
        <v>0</v>
      </c>
      <c r="AD22" s="408">
        <v>0</v>
      </c>
      <c r="AE22" s="408">
        <v>0</v>
      </c>
      <c r="AF22" s="408">
        <v>0</v>
      </c>
      <c r="AG22" s="408">
        <v>0</v>
      </c>
      <c r="AH22" s="408">
        <v>0</v>
      </c>
      <c r="AI22" s="408">
        <v>0</v>
      </c>
      <c r="AJ22" s="408">
        <v>0</v>
      </c>
      <c r="AK22" s="408">
        <v>0</v>
      </c>
      <c r="AL22" s="408">
        <v>0</v>
      </c>
      <c r="AM22" s="408">
        <v>0</v>
      </c>
      <c r="AN22" s="408">
        <v>0</v>
      </c>
      <c r="AO22" s="408">
        <v>0</v>
      </c>
      <c r="AP22" s="408">
        <v>0</v>
      </c>
      <c r="AQ22" s="408">
        <v>0</v>
      </c>
      <c r="AR22" s="408">
        <v>0</v>
      </c>
      <c r="AS22" s="408">
        <v>0</v>
      </c>
      <c r="AT22" s="408">
        <v>0</v>
      </c>
      <c r="AU22" s="408">
        <v>0</v>
      </c>
      <c r="AV22" s="408">
        <v>0</v>
      </c>
      <c r="AW22" s="408">
        <v>0</v>
      </c>
      <c r="AX22" s="408">
        <v>0</v>
      </c>
      <c r="AY22" s="408">
        <v>0</v>
      </c>
      <c r="AZ22" s="408">
        <v>0</v>
      </c>
      <c r="BA22" s="408">
        <v>0</v>
      </c>
      <c r="BB22" s="408">
        <v>0</v>
      </c>
      <c r="BC22" s="408">
        <v>0</v>
      </c>
      <c r="BD22" s="408">
        <v>0</v>
      </c>
      <c r="BE22" s="408">
        <v>0</v>
      </c>
      <c r="BF22" s="408">
        <v>0</v>
      </c>
      <c r="BG22" s="408">
        <v>0</v>
      </c>
      <c r="BH22" s="408">
        <v>0</v>
      </c>
      <c r="BI22" s="408">
        <v>0</v>
      </c>
      <c r="BJ22" s="408">
        <v>0</v>
      </c>
      <c r="BK22" s="408">
        <v>0</v>
      </c>
      <c r="BL22" s="408">
        <v>0</v>
      </c>
      <c r="BM22" s="408">
        <v>0</v>
      </c>
      <c r="BN22" s="408">
        <v>0</v>
      </c>
      <c r="BO22" s="408">
        <v>0</v>
      </c>
      <c r="BP22" s="408">
        <v>0</v>
      </c>
      <c r="BQ22" s="408">
        <v>0</v>
      </c>
      <c r="BR22" s="408">
        <v>0</v>
      </c>
      <c r="BS22" s="408">
        <v>0</v>
      </c>
      <c r="BT22" s="408">
        <v>0</v>
      </c>
      <c r="BU22" s="408">
        <v>0</v>
      </c>
      <c r="BV22" s="408">
        <v>0</v>
      </c>
      <c r="BW22" s="408">
        <v>0</v>
      </c>
      <c r="BX22" s="408">
        <v>0</v>
      </c>
      <c r="BY22" s="408">
        <v>0</v>
      </c>
      <c r="BZ22" s="408">
        <v>0</v>
      </c>
      <c r="CA22" s="408">
        <v>0</v>
      </c>
      <c r="CB22" s="408">
        <v>0</v>
      </c>
      <c r="CC22" s="408">
        <v>0</v>
      </c>
      <c r="CD22" s="408">
        <v>0</v>
      </c>
      <c r="CE22" s="408">
        <v>0</v>
      </c>
      <c r="CF22" s="408">
        <v>0</v>
      </c>
      <c r="CG22" s="408">
        <v>1</v>
      </c>
      <c r="CH22" s="409">
        <v>0</v>
      </c>
    </row>
    <row r="23" spans="1:87" x14ac:dyDescent="0.25">
      <c r="A23" s="369" t="s">
        <v>554</v>
      </c>
      <c r="B23" s="366">
        <v>0</v>
      </c>
      <c r="C23" s="366">
        <v>0</v>
      </c>
      <c r="D23" s="366">
        <v>0</v>
      </c>
      <c r="E23" s="366">
        <v>0</v>
      </c>
      <c r="F23" s="366">
        <v>0</v>
      </c>
      <c r="G23" s="366">
        <v>0</v>
      </c>
      <c r="H23" s="366">
        <v>0</v>
      </c>
      <c r="I23" s="366">
        <v>0</v>
      </c>
      <c r="J23" s="366">
        <v>0</v>
      </c>
      <c r="K23" s="366">
        <v>0</v>
      </c>
      <c r="L23" s="366">
        <v>0</v>
      </c>
      <c r="M23" s="366">
        <v>0</v>
      </c>
      <c r="N23" s="366">
        <v>0</v>
      </c>
      <c r="O23" s="366">
        <v>0</v>
      </c>
      <c r="P23" s="366">
        <v>0</v>
      </c>
      <c r="Q23" s="366">
        <v>0</v>
      </c>
      <c r="R23" s="366">
        <v>0</v>
      </c>
      <c r="S23" s="366">
        <v>0</v>
      </c>
      <c r="T23" s="366">
        <v>0</v>
      </c>
      <c r="U23" s="366">
        <v>0</v>
      </c>
      <c r="V23" s="366">
        <v>0</v>
      </c>
      <c r="W23" s="366">
        <v>0</v>
      </c>
      <c r="X23" s="366">
        <v>0</v>
      </c>
      <c r="Y23" s="366">
        <v>0</v>
      </c>
      <c r="Z23" s="366">
        <v>0</v>
      </c>
      <c r="AA23" s="366">
        <v>0</v>
      </c>
      <c r="AB23" s="366">
        <v>0</v>
      </c>
      <c r="AC23" s="366">
        <v>0</v>
      </c>
      <c r="AD23" s="366">
        <v>0</v>
      </c>
      <c r="AE23" s="366">
        <v>0</v>
      </c>
      <c r="AF23" s="366">
        <v>0</v>
      </c>
      <c r="AG23" s="366">
        <v>0</v>
      </c>
      <c r="AH23" s="366">
        <v>0</v>
      </c>
      <c r="AI23" s="366">
        <v>0</v>
      </c>
      <c r="AJ23" s="366">
        <v>0</v>
      </c>
      <c r="AK23" s="366">
        <v>0</v>
      </c>
      <c r="AL23" s="366">
        <v>0</v>
      </c>
      <c r="AM23" s="366">
        <v>0</v>
      </c>
      <c r="AN23" s="366">
        <v>0</v>
      </c>
      <c r="AO23" s="366">
        <v>0</v>
      </c>
      <c r="AP23" s="366">
        <v>0</v>
      </c>
      <c r="AQ23" s="366">
        <v>0</v>
      </c>
      <c r="AR23" s="366">
        <v>0</v>
      </c>
      <c r="AS23" s="366">
        <v>0</v>
      </c>
      <c r="AT23" s="366">
        <v>0</v>
      </c>
      <c r="AU23" s="366">
        <v>0</v>
      </c>
      <c r="AV23" s="366">
        <v>0</v>
      </c>
      <c r="AW23" s="366">
        <v>0</v>
      </c>
      <c r="AX23" s="366">
        <v>0</v>
      </c>
      <c r="AY23" s="366">
        <v>0</v>
      </c>
      <c r="AZ23" s="366">
        <v>0</v>
      </c>
      <c r="BA23" s="366">
        <v>0</v>
      </c>
      <c r="BB23" s="366">
        <v>0</v>
      </c>
      <c r="BC23" s="366">
        <v>0</v>
      </c>
      <c r="BD23" s="366">
        <v>0</v>
      </c>
      <c r="BE23" s="366">
        <v>0</v>
      </c>
      <c r="BF23" s="366">
        <v>0</v>
      </c>
      <c r="BG23" s="366">
        <v>0</v>
      </c>
      <c r="BH23" s="366">
        <v>0</v>
      </c>
      <c r="BI23" s="366">
        <v>0</v>
      </c>
      <c r="BJ23" s="366">
        <v>0</v>
      </c>
      <c r="BK23" s="366">
        <v>0</v>
      </c>
      <c r="BL23" s="366">
        <v>0</v>
      </c>
      <c r="BM23" s="366">
        <v>0</v>
      </c>
      <c r="BN23" s="366">
        <v>0</v>
      </c>
      <c r="BO23" s="366">
        <v>0</v>
      </c>
      <c r="BP23" s="366">
        <v>0</v>
      </c>
      <c r="BQ23" s="366">
        <v>0</v>
      </c>
      <c r="BR23" s="366">
        <v>0</v>
      </c>
      <c r="BS23" s="366">
        <v>0</v>
      </c>
      <c r="BT23" s="366">
        <v>0</v>
      </c>
      <c r="BU23" s="366">
        <v>0</v>
      </c>
      <c r="BV23" s="366">
        <v>0</v>
      </c>
      <c r="BW23" s="366">
        <v>0</v>
      </c>
      <c r="BX23" s="366">
        <v>0</v>
      </c>
      <c r="BY23" s="366">
        <v>0</v>
      </c>
      <c r="BZ23" s="366">
        <v>0</v>
      </c>
      <c r="CA23" s="366">
        <v>0</v>
      </c>
      <c r="CB23" s="366">
        <v>0</v>
      </c>
      <c r="CC23" s="366">
        <v>0</v>
      </c>
      <c r="CD23" s="366">
        <v>0</v>
      </c>
      <c r="CE23" s="366">
        <v>0</v>
      </c>
      <c r="CF23" s="366">
        <v>0</v>
      </c>
      <c r="CG23" s="366">
        <v>0</v>
      </c>
      <c r="CH23" s="367">
        <v>0</v>
      </c>
    </row>
    <row r="24" spans="1:87" x14ac:dyDescent="0.25">
      <c r="A24" s="369" t="s">
        <v>555</v>
      </c>
      <c r="B24" s="366">
        <v>0</v>
      </c>
      <c r="C24" s="366">
        <v>9467250</v>
      </c>
      <c r="D24" s="366">
        <v>14043259</v>
      </c>
      <c r="E24" s="366">
        <v>10465488</v>
      </c>
      <c r="F24" s="366">
        <v>6297480.8499999996</v>
      </c>
      <c r="G24" s="366">
        <v>5571570</v>
      </c>
      <c r="H24" s="366">
        <v>3482591.9970039986</v>
      </c>
      <c r="I24" s="366">
        <v>6148980.3713222388</v>
      </c>
      <c r="J24" s="366">
        <v>6098315.182740951</v>
      </c>
      <c r="K24" s="366">
        <v>-10496381.295456242</v>
      </c>
      <c r="L24" s="366">
        <v>-10621875.973880837</v>
      </c>
      <c r="M24" s="366">
        <v>-11399673.572871136</v>
      </c>
      <c r="N24" s="366">
        <v>-11541692.523892269</v>
      </c>
      <c r="O24" s="366">
        <v>-11587249.268181503</v>
      </c>
      <c r="P24" s="366">
        <v>-11436310.144843668</v>
      </c>
      <c r="Q24" s="366">
        <v>-10554590.673389815</v>
      </c>
      <c r="R24" s="366">
        <v>-15536227.545015678</v>
      </c>
      <c r="S24" s="366">
        <v>-15697676.777270097</v>
      </c>
      <c r="T24" s="366">
        <v>-94565707.265157938</v>
      </c>
      <c r="U24" s="366">
        <v>-19749312.542972811</v>
      </c>
      <c r="V24" s="366">
        <v>-19765771.20917356</v>
      </c>
      <c r="W24" s="366">
        <v>-19775140.387675546</v>
      </c>
      <c r="X24" s="366">
        <v>-21363853.537102792</v>
      </c>
      <c r="Y24" s="366">
        <v>-20103731.767297979</v>
      </c>
      <c r="Z24" s="366">
        <v>37211369.814865172</v>
      </c>
      <c r="AA24" s="366">
        <v>-658392.00378763676</v>
      </c>
      <c r="AB24" s="366">
        <v>-21008822.623602156</v>
      </c>
      <c r="AC24" s="366">
        <v>-19974343.192239232</v>
      </c>
      <c r="AD24" s="366">
        <v>-18804026.265306279</v>
      </c>
      <c r="AE24" s="366">
        <v>-17370999.896704953</v>
      </c>
      <c r="AF24" s="366">
        <v>-16023609.458345465</v>
      </c>
      <c r="AG24" s="366">
        <v>-14676557.532256551</v>
      </c>
      <c r="AH24" s="366">
        <v>-13171659.376874626</v>
      </c>
      <c r="AI24" s="366">
        <v>-11493577.53104277</v>
      </c>
      <c r="AJ24" s="366">
        <v>-9625540.6284094751</v>
      </c>
      <c r="AK24" s="366">
        <v>-7549212.1603365913</v>
      </c>
      <c r="AL24" s="366">
        <v>-5134087.4116185755</v>
      </c>
      <c r="AM24" s="366">
        <v>-6523106.6910051182</v>
      </c>
      <c r="AN24" s="366">
        <v>-3732343.3519238159</v>
      </c>
      <c r="AO24" s="366">
        <v>18338522.229581565</v>
      </c>
      <c r="AP24" s="366">
        <v>18002567.188767262</v>
      </c>
      <c r="AQ24" s="366">
        <v>21933861.441459805</v>
      </c>
      <c r="AR24" s="366">
        <v>26260547.839733362</v>
      </c>
      <c r="AS24" s="366">
        <v>21164978.418170683</v>
      </c>
      <c r="AT24" s="366">
        <v>26299103.901092537</v>
      </c>
      <c r="AU24" s="366">
        <v>32047460.182962723</v>
      </c>
      <c r="AV24" s="366">
        <v>43406573.705592848</v>
      </c>
      <c r="AW24" s="366">
        <v>50396719.000548698</v>
      </c>
      <c r="AX24" s="366">
        <v>53136192.023302779</v>
      </c>
      <c r="AY24" s="366">
        <v>62101570.058146566</v>
      </c>
      <c r="AZ24" s="366">
        <v>67587123.554356039</v>
      </c>
      <c r="BA24" s="366">
        <v>58796560.797145948</v>
      </c>
      <c r="BB24" s="366">
        <v>68762676.553533971</v>
      </c>
      <c r="BC24" s="366">
        <v>70926856.102235317</v>
      </c>
      <c r="BD24" s="366">
        <v>78950319.955935627</v>
      </c>
      <c r="BE24" s="366">
        <v>102696075.00115804</v>
      </c>
      <c r="BF24" s="366">
        <v>15509229.772513479</v>
      </c>
      <c r="BG24" s="366">
        <v>27094769.272650093</v>
      </c>
      <c r="BH24" s="366">
        <v>39915433.360179484</v>
      </c>
      <c r="BI24" s="366">
        <v>54094107.199236155</v>
      </c>
      <c r="BJ24" s="366">
        <v>69765477.786126643</v>
      </c>
      <c r="BK24" s="366">
        <v>87077133.087146759</v>
      </c>
      <c r="BL24" s="366">
        <v>106190761.12409094</v>
      </c>
      <c r="BM24" s="366">
        <v>127283457.9359816</v>
      </c>
      <c r="BN24" s="366">
        <v>150549154.13275144</v>
      </c>
      <c r="BO24" s="366">
        <v>176200170.6125311</v>
      </c>
      <c r="BP24" s="366">
        <v>204468914.94480678</v>
      </c>
      <c r="BQ24" s="366">
        <v>240354764.7085444</v>
      </c>
      <c r="BR24" s="366">
        <v>274693399.08658028</v>
      </c>
      <c r="BS24" s="366">
        <v>312487322.96666825</v>
      </c>
      <c r="BT24" s="366">
        <v>358814568.04146481</v>
      </c>
      <c r="BU24" s="366">
        <v>404596672.19846928</v>
      </c>
      <c r="BV24" s="366">
        <v>405616928.67608309</v>
      </c>
      <c r="BW24" s="366">
        <v>463705528.19245958</v>
      </c>
      <c r="BX24" s="366">
        <v>474708770.25867361</v>
      </c>
      <c r="BY24" s="366">
        <v>540509141.15898132</v>
      </c>
      <c r="BZ24" s="366">
        <v>612849944.61782742</v>
      </c>
      <c r="CA24" s="366">
        <v>692351694.08211565</v>
      </c>
      <c r="CB24" s="366">
        <v>785623485.05730259</v>
      </c>
      <c r="CC24" s="366">
        <v>881602318.2101531</v>
      </c>
      <c r="CD24" s="366">
        <v>986969146.86058903</v>
      </c>
      <c r="CE24" s="366">
        <v>1120400484.28159</v>
      </c>
      <c r="CF24" s="366">
        <v>1247450088.7673643</v>
      </c>
      <c r="CG24" s="366">
        <v>1392718759.4128709</v>
      </c>
      <c r="CH24" s="367">
        <v>0</v>
      </c>
    </row>
    <row r="25" spans="1:87" x14ac:dyDescent="0.25">
      <c r="A25" s="369" t="s">
        <v>556</v>
      </c>
      <c r="B25" s="366">
        <v>0</v>
      </c>
      <c r="C25" s="366">
        <v>0</v>
      </c>
      <c r="D25" s="366">
        <v>0</v>
      </c>
      <c r="E25" s="366">
        <v>0</v>
      </c>
      <c r="F25" s="366">
        <v>0</v>
      </c>
      <c r="G25" s="366">
        <v>0</v>
      </c>
      <c r="H25" s="366">
        <v>-3997128</v>
      </c>
      <c r="I25" s="366">
        <v>-22602825.708319999</v>
      </c>
      <c r="J25" s="366">
        <v>-44232421.874828801</v>
      </c>
      <c r="K25" s="366">
        <v>-12388439.332529277</v>
      </c>
      <c r="L25" s="366">
        <v>-77847195.995328158</v>
      </c>
      <c r="M25" s="366">
        <v>-74707249.30469273</v>
      </c>
      <c r="N25" s="366">
        <v>-4839047.698790866</v>
      </c>
      <c r="O25" s="366">
        <v>-18154344.433622975</v>
      </c>
      <c r="P25" s="366">
        <v>-18841536.674579106</v>
      </c>
      <c r="Q25" s="366">
        <v>-19555047.15908182</v>
      </c>
      <c r="R25" s="366">
        <v>-15646112.230723059</v>
      </c>
      <c r="S25" s="366">
        <v>-16229360.542638468</v>
      </c>
      <c r="T25" s="366">
        <v>-4519028.4511904642</v>
      </c>
      <c r="U25" s="366">
        <v>-4654599.3047261778</v>
      </c>
      <c r="V25" s="366">
        <v>-4794237.2838679636</v>
      </c>
      <c r="W25" s="366">
        <v>-11864770.192795221</v>
      </c>
      <c r="X25" s="366">
        <v>-5086206.3344555218</v>
      </c>
      <c r="Y25" s="366">
        <v>-42698417.439033054</v>
      </c>
      <c r="Z25" s="366">
        <v>-44353966.211349495</v>
      </c>
      <c r="AA25" s="366">
        <v>-46074165.296801232</v>
      </c>
      <c r="AB25" s="366">
        <v>-16258815.918875866</v>
      </c>
      <c r="AC25" s="366">
        <v>-16851922.855241828</v>
      </c>
      <c r="AD25" s="366">
        <v>-6073196.3542769626</v>
      </c>
      <c r="AE25" s="366">
        <v>-6255392.2449052716</v>
      </c>
      <c r="AF25" s="366">
        <v>-6443054.0122524295</v>
      </c>
      <c r="AG25" s="366">
        <v>-6636345.6326200021</v>
      </c>
      <c r="AH25" s="366">
        <v>-6835436.0015986031</v>
      </c>
      <c r="AI25" s="366">
        <v>-7040499.0816465598</v>
      </c>
      <c r="AJ25" s="366">
        <v>-7251714.0540959565</v>
      </c>
      <c r="AK25" s="366">
        <v>-7469265.4757188344</v>
      </c>
      <c r="AL25" s="366">
        <v>-7693343.4399904003</v>
      </c>
      <c r="AM25" s="366">
        <v>-7924143.7431901135</v>
      </c>
      <c r="AN25" s="366">
        <v>-8161868.0554858148</v>
      </c>
      <c r="AO25" s="366">
        <v>-8406724.0971503891</v>
      </c>
      <c r="AP25" s="366">
        <v>-8658925.8200649004</v>
      </c>
      <c r="AQ25" s="366">
        <v>-8918693.594666848</v>
      </c>
      <c r="AR25" s="366">
        <v>-9186254.4025068544</v>
      </c>
      <c r="AS25" s="366">
        <v>-9461842.034582058</v>
      </c>
      <c r="AT25" s="366">
        <v>0</v>
      </c>
      <c r="AU25" s="366">
        <v>0</v>
      </c>
      <c r="AV25" s="366">
        <v>0</v>
      </c>
      <c r="AW25" s="366">
        <v>0</v>
      </c>
      <c r="AX25" s="366">
        <v>0</v>
      </c>
      <c r="AY25" s="366">
        <v>0</v>
      </c>
      <c r="AZ25" s="366">
        <v>0</v>
      </c>
      <c r="BA25" s="366">
        <v>0</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7">
        <v>0</v>
      </c>
    </row>
    <row r="26" spans="1:87" x14ac:dyDescent="0.25">
      <c r="A26" s="369" t="s">
        <v>557</v>
      </c>
      <c r="B26" s="366">
        <v>0</v>
      </c>
      <c r="C26" s="366">
        <v>13577455</v>
      </c>
      <c r="D26" s="366">
        <v>17236329</v>
      </c>
      <c r="E26" s="366">
        <v>14525639</v>
      </c>
      <c r="F26" s="366">
        <v>12814687</v>
      </c>
      <c r="G26" s="366">
        <v>10638844</v>
      </c>
      <c r="H26" s="366">
        <v>8601702.9970039986</v>
      </c>
      <c r="I26" s="366">
        <v>11267855.371322239</v>
      </c>
      <c r="J26" s="366">
        <v>11203625.182740951</v>
      </c>
      <c r="K26" s="366">
        <v>13606509.804822352</v>
      </c>
      <c r="L26" s="366">
        <v>13481662.126397757</v>
      </c>
      <c r="M26" s="366">
        <v>12703642.527407458</v>
      </c>
      <c r="N26" s="366">
        <v>11963538.576386325</v>
      </c>
      <c r="O26" s="366">
        <v>11925259.832097091</v>
      </c>
      <c r="P26" s="366">
        <v>11758854.955434926</v>
      </c>
      <c r="Q26" s="366">
        <v>11593624.426888779</v>
      </c>
      <c r="R26" s="366">
        <v>11655095.941274419</v>
      </c>
      <c r="S26" s="366">
        <v>11500341.70902</v>
      </c>
      <c r="T26" s="366">
        <v>-67377258.778867841</v>
      </c>
      <c r="U26" s="366">
        <v>8637029.3870847002</v>
      </c>
      <c r="V26" s="366">
        <v>8621215.7208839525</v>
      </c>
      <c r="W26" s="366">
        <v>8621726.5423819628</v>
      </c>
      <c r="X26" s="366">
        <v>9168408.2558603734</v>
      </c>
      <c r="Y26" s="366">
        <v>8752700.0256651863</v>
      </c>
      <c r="Z26" s="366">
        <v>66067801.607828334</v>
      </c>
      <c r="AA26" s="366">
        <v>34525954.400429547</v>
      </c>
      <c r="AB26" s="366">
        <v>14175523.780615028</v>
      </c>
      <c r="AC26" s="366">
        <v>15210003.211977951</v>
      </c>
      <c r="AD26" s="366">
        <v>16380320.138910905</v>
      </c>
      <c r="AE26" s="366">
        <v>17813346.50751223</v>
      </c>
      <c r="AF26" s="366">
        <v>19160736.945871718</v>
      </c>
      <c r="AG26" s="366">
        <v>20507788.871960633</v>
      </c>
      <c r="AH26" s="366">
        <v>22012687.027342558</v>
      </c>
      <c r="AI26" s="366">
        <v>23690768.873174414</v>
      </c>
      <c r="AJ26" s="366">
        <v>25558805.775807709</v>
      </c>
      <c r="AK26" s="366">
        <v>27635134.243880592</v>
      </c>
      <c r="AL26" s="366">
        <v>29939798.992598608</v>
      </c>
      <c r="AM26" s="366">
        <v>33295813.488281712</v>
      </c>
      <c r="AN26" s="366">
        <v>36086576.827363014</v>
      </c>
      <c r="AO26" s="366">
        <v>39177307.308589794</v>
      </c>
      <c r="AP26" s="366">
        <v>43586386.042845137</v>
      </c>
      <c r="AQ26" s="366">
        <v>47517680.29553768</v>
      </c>
      <c r="AR26" s="366">
        <v>51844366.693811238</v>
      </c>
      <c r="AS26" s="366">
        <v>57153704.297444299</v>
      </c>
      <c r="AT26" s="366">
        <v>62287829.780366153</v>
      </c>
      <c r="AU26" s="366">
        <v>68036186.062236339</v>
      </c>
      <c r="AV26" s="366">
        <v>74353701.198854968</v>
      </c>
      <c r="AW26" s="366">
        <v>81343846.493810818</v>
      </c>
      <c r="AX26" s="366">
        <v>90014611.735401958</v>
      </c>
      <c r="AY26" s="366">
        <v>97793731.326478332</v>
      </c>
      <c r="AZ26" s="366">
        <v>103279284.8226878</v>
      </c>
      <c r="BA26" s="366">
        <v>112282598.7219889</v>
      </c>
      <c r="BB26" s="366">
        <v>118710734.61547127</v>
      </c>
      <c r="BC26" s="366">
        <v>126806206.38300967</v>
      </c>
      <c r="BD26" s="366">
        <v>134829670.23670998</v>
      </c>
      <c r="BE26" s="366">
        <v>145104814.36584303</v>
      </c>
      <c r="BF26" s="366">
        <v>176543813.51393968</v>
      </c>
      <c r="BG26" s="366">
        <v>188129353.01407629</v>
      </c>
      <c r="BH26" s="366">
        <v>200950017.10160568</v>
      </c>
      <c r="BI26" s="366">
        <v>215128690.94066235</v>
      </c>
      <c r="BJ26" s="366">
        <v>230800061.52755284</v>
      </c>
      <c r="BK26" s="366">
        <v>248111716.82857296</v>
      </c>
      <c r="BL26" s="366">
        <v>267225344.86551714</v>
      </c>
      <c r="BM26" s="366">
        <v>288318041.6774078</v>
      </c>
      <c r="BN26" s="366">
        <v>311583737.87417763</v>
      </c>
      <c r="BO26" s="366">
        <v>337234754.3539573</v>
      </c>
      <c r="BP26" s="366">
        <v>365503498.68623298</v>
      </c>
      <c r="BQ26" s="366">
        <v>396644314.67490095</v>
      </c>
      <c r="BR26" s="366">
        <v>430982949.05293685</v>
      </c>
      <c r="BS26" s="366">
        <v>468776872.93302476</v>
      </c>
      <c r="BT26" s="366">
        <v>510359084.23275173</v>
      </c>
      <c r="BU26" s="366">
        <v>556141188.3897562</v>
      </c>
      <c r="BV26" s="366">
        <v>616474367.05574059</v>
      </c>
      <c r="BW26" s="366">
        <v>671300755.85175669</v>
      </c>
      <c r="BX26" s="366">
        <v>741616920.10634136</v>
      </c>
      <c r="BY26" s="366">
        <v>807417291.00664914</v>
      </c>
      <c r="BZ26" s="366">
        <v>879758094.46549523</v>
      </c>
      <c r="CA26" s="366">
        <v>959259843.92978346</v>
      </c>
      <c r="CB26" s="366">
        <v>1046600342.6861333</v>
      </c>
      <c r="CC26" s="366">
        <v>1142579175.8389838</v>
      </c>
      <c r="CD26" s="366">
        <v>1247946004.4894197</v>
      </c>
      <c r="CE26" s="366">
        <v>1363583465.2539096</v>
      </c>
      <c r="CF26" s="366">
        <v>1490633069.7396839</v>
      </c>
      <c r="CG26" s="366">
        <v>1629970448.1663532</v>
      </c>
      <c r="CH26" s="367">
        <v>0</v>
      </c>
    </row>
    <row r="27" spans="1:87" x14ac:dyDescent="0.25">
      <c r="A27" s="376" t="s">
        <v>558</v>
      </c>
      <c r="B27" s="377">
        <v>0</v>
      </c>
      <c r="C27" s="377">
        <v>13577455</v>
      </c>
      <c r="D27" s="377">
        <v>17236329</v>
      </c>
      <c r="E27" s="377">
        <v>14525639</v>
      </c>
      <c r="F27" s="377">
        <v>10701464.85</v>
      </c>
      <c r="G27" s="377">
        <v>10055294</v>
      </c>
      <c r="H27" s="377">
        <v>7995452.9970039986</v>
      </c>
      <c r="I27" s="377">
        <v>10669405.371322239</v>
      </c>
      <c r="J27" s="377">
        <v>10616250.182740951</v>
      </c>
      <c r="K27" s="377">
        <v>13007409.804822352</v>
      </c>
      <c r="L27" s="377">
        <v>12880462.126397757</v>
      </c>
      <c r="M27" s="377">
        <v>12109142.527407458</v>
      </c>
      <c r="N27" s="377">
        <v>11963538.576386325</v>
      </c>
      <c r="O27" s="377">
        <v>11925259.832097091</v>
      </c>
      <c r="P27" s="377">
        <v>11758854.955434926</v>
      </c>
      <c r="Q27" s="377">
        <v>11593624.426888779</v>
      </c>
      <c r="R27" s="377">
        <v>11655095.941274419</v>
      </c>
      <c r="S27" s="377">
        <v>11500341.70902</v>
      </c>
      <c r="T27" s="377">
        <v>-67377258.778867841</v>
      </c>
      <c r="U27" s="377">
        <v>8637029.3870847002</v>
      </c>
      <c r="V27" s="377">
        <v>8621215.7208839525</v>
      </c>
      <c r="W27" s="377">
        <v>8621726.5423819628</v>
      </c>
      <c r="X27" s="377">
        <v>9168408.2558603734</v>
      </c>
      <c r="Y27" s="377">
        <v>8752700.0256651863</v>
      </c>
      <c r="Z27" s="377">
        <v>66067801.607828334</v>
      </c>
      <c r="AA27" s="377">
        <v>34525954.400429547</v>
      </c>
      <c r="AB27" s="377">
        <v>14175523.780615028</v>
      </c>
      <c r="AC27" s="377">
        <v>15210003.211977951</v>
      </c>
      <c r="AD27" s="377">
        <v>16380320.138910905</v>
      </c>
      <c r="AE27" s="377">
        <v>17813346.50751223</v>
      </c>
      <c r="AF27" s="377">
        <v>19160736.945871718</v>
      </c>
      <c r="AG27" s="377">
        <v>20507788.871960633</v>
      </c>
      <c r="AH27" s="377">
        <v>22012687.027342558</v>
      </c>
      <c r="AI27" s="377">
        <v>23690768.873174414</v>
      </c>
      <c r="AJ27" s="377">
        <v>25558805.775807709</v>
      </c>
      <c r="AK27" s="377">
        <v>27635134.243880592</v>
      </c>
      <c r="AL27" s="377">
        <v>29939798.992598608</v>
      </c>
      <c r="AM27" s="377">
        <v>33295813.488281712</v>
      </c>
      <c r="AN27" s="377">
        <v>36086576.827363014</v>
      </c>
      <c r="AO27" s="377">
        <v>39177307.308589794</v>
      </c>
      <c r="AP27" s="377">
        <v>43586386.042845137</v>
      </c>
      <c r="AQ27" s="377">
        <v>47517680.29553768</v>
      </c>
      <c r="AR27" s="377">
        <v>51844366.693811238</v>
      </c>
      <c r="AS27" s="377">
        <v>57153704.297444299</v>
      </c>
      <c r="AT27" s="377">
        <v>62287829.780366153</v>
      </c>
      <c r="AU27" s="377">
        <v>68036186.062236339</v>
      </c>
      <c r="AV27" s="377">
        <v>74353701.198854968</v>
      </c>
      <c r="AW27" s="377">
        <v>81343846.493810818</v>
      </c>
      <c r="AX27" s="377">
        <v>90014611.735401958</v>
      </c>
      <c r="AY27" s="377">
        <v>97793731.326478332</v>
      </c>
      <c r="AZ27" s="377">
        <v>103279284.8226878</v>
      </c>
      <c r="BA27" s="377">
        <v>112282598.7219889</v>
      </c>
      <c r="BB27" s="377">
        <v>118710734.61547127</v>
      </c>
      <c r="BC27" s="377">
        <v>126806206.38300967</v>
      </c>
      <c r="BD27" s="377">
        <v>134829670.23670998</v>
      </c>
      <c r="BE27" s="377">
        <v>145104814.36584303</v>
      </c>
      <c r="BF27" s="377">
        <v>176543813.51393968</v>
      </c>
      <c r="BG27" s="377">
        <v>188129353.01407629</v>
      </c>
      <c r="BH27" s="377">
        <v>200950017.10160568</v>
      </c>
      <c r="BI27" s="377">
        <v>215128690.94066235</v>
      </c>
      <c r="BJ27" s="377">
        <v>230800061.52755284</v>
      </c>
      <c r="BK27" s="377">
        <v>248111716.82857296</v>
      </c>
      <c r="BL27" s="377">
        <v>267225344.86551714</v>
      </c>
      <c r="BM27" s="377">
        <v>288318041.6774078</v>
      </c>
      <c r="BN27" s="377">
        <v>311583737.87417763</v>
      </c>
      <c r="BO27" s="377">
        <v>337234754.3539573</v>
      </c>
      <c r="BP27" s="377">
        <v>365503498.68623298</v>
      </c>
      <c r="BQ27" s="377">
        <v>396644314.67490095</v>
      </c>
      <c r="BR27" s="377">
        <v>430982949.05293685</v>
      </c>
      <c r="BS27" s="377">
        <v>468776872.93302476</v>
      </c>
      <c r="BT27" s="377">
        <v>510359084.23275173</v>
      </c>
      <c r="BU27" s="377">
        <v>556141188.3897562</v>
      </c>
      <c r="BV27" s="377">
        <v>616474367.05574059</v>
      </c>
      <c r="BW27" s="377">
        <v>671300755.85175669</v>
      </c>
      <c r="BX27" s="377">
        <v>741616920.10634136</v>
      </c>
      <c r="BY27" s="377">
        <v>807417291.00664914</v>
      </c>
      <c r="BZ27" s="377">
        <v>879758094.46549523</v>
      </c>
      <c r="CA27" s="377">
        <v>959259843.92978346</v>
      </c>
      <c r="CB27" s="377">
        <v>1046600342.6861333</v>
      </c>
      <c r="CC27" s="377">
        <v>1142579175.8389838</v>
      </c>
      <c r="CD27" s="377">
        <v>1247946004.4894197</v>
      </c>
      <c r="CE27" s="377">
        <v>1363583465.2539096</v>
      </c>
      <c r="CF27" s="377">
        <v>1490633069.7396839</v>
      </c>
      <c r="CG27" s="377">
        <v>1629970448.1663532</v>
      </c>
      <c r="CH27" s="378">
        <v>0</v>
      </c>
    </row>
    <row r="28" spans="1:87" x14ac:dyDescent="0.25">
      <c r="A28" s="370" t="s">
        <v>140</v>
      </c>
      <c r="B28" s="379">
        <f>SUM(B15:B27)</f>
        <v>0.15194855407265878</v>
      </c>
      <c r="C28" s="379">
        <f>SUM(C20:C27)</f>
        <v>30710559</v>
      </c>
      <c r="D28" s="379">
        <f t="shared" ref="D28:BO28" si="4">SUM(D20:D27)</f>
        <v>41835588</v>
      </c>
      <c r="E28" s="379">
        <f t="shared" si="4"/>
        <v>32455815</v>
      </c>
      <c r="F28" s="379">
        <f t="shared" si="4"/>
        <v>22270749.699999999</v>
      </c>
      <c r="G28" s="379">
        <f t="shared" si="4"/>
        <v>18745054</v>
      </c>
      <c r="H28" s="379">
        <f t="shared" si="4"/>
        <v>7420494.9910119958</v>
      </c>
      <c r="I28" s="379">
        <f t="shared" si="4"/>
        <v>-3850290.327643428</v>
      </c>
      <c r="J28" s="379">
        <f t="shared" si="4"/>
        <v>-26359808.1786865</v>
      </c>
      <c r="K28" s="379">
        <f t="shared" si="4"/>
        <v>-7594367.2881776318</v>
      </c>
      <c r="L28" s="379">
        <f t="shared" si="4"/>
        <v>-74242239.220697224</v>
      </c>
      <c r="M28" s="379">
        <f t="shared" si="4"/>
        <v>-74296377.494898558</v>
      </c>
      <c r="N28" s="379">
        <f t="shared" si="4"/>
        <v>-6381716.6905240491</v>
      </c>
      <c r="O28" s="379">
        <f t="shared" si="4"/>
        <v>-20807804.373788521</v>
      </c>
      <c r="P28" s="379">
        <f t="shared" si="4"/>
        <v>-22732675.10928265</v>
      </c>
      <c r="Q28" s="379">
        <f t="shared" si="4"/>
        <v>-24022424.397978358</v>
      </c>
      <c r="R28" s="379">
        <f t="shared" si="4"/>
        <v>-26808960.342168584</v>
      </c>
      <c r="S28" s="379">
        <f t="shared" si="4"/>
        <v>-29148975.916132901</v>
      </c>
      <c r="T28" s="379">
        <f t="shared" si="4"/>
        <v>-255434991.32311699</v>
      </c>
      <c r="U28" s="379">
        <f t="shared" si="4"/>
        <v>-30191941.736091815</v>
      </c>
      <c r="V28" s="379">
        <f t="shared" si="4"/>
        <v>-31945581.534023829</v>
      </c>
      <c r="W28" s="379">
        <f t="shared" si="4"/>
        <v>-40696703.482835785</v>
      </c>
      <c r="X28" s="379">
        <f t="shared" si="4"/>
        <v>-36199276.049492568</v>
      </c>
      <c r="Y28" s="379">
        <f t="shared" si="4"/>
        <v>-75731004.922933549</v>
      </c>
      <c r="Z28" s="379">
        <f t="shared" si="4"/>
        <v>120220395.3037352</v>
      </c>
      <c r="AA28" s="379">
        <f t="shared" si="4"/>
        <v>16173012.800024912</v>
      </c>
      <c r="AB28" s="379">
        <f t="shared" si="4"/>
        <v>-16560782.814479418</v>
      </c>
      <c r="AC28" s="379">
        <f t="shared" si="4"/>
        <v>-15681765.366044648</v>
      </c>
      <c r="AD28" s="379">
        <f t="shared" si="4"/>
        <v>-3166858.0798071101</v>
      </c>
      <c r="AE28" s="379">
        <f t="shared" si="4"/>
        <v>-978902.36799913645</v>
      </c>
      <c r="AF28" s="379">
        <f t="shared" si="4"/>
        <v>526866.07984562963</v>
      </c>
      <c r="AG28" s="379">
        <f t="shared" si="4"/>
        <v>1666151.4370636418</v>
      </c>
      <c r="AH28" s="379">
        <f t="shared" si="4"/>
        <v>3043256.1526115611</v>
      </c>
      <c r="AI28" s="379">
        <f t="shared" si="4"/>
        <v>4687245.9863459542</v>
      </c>
      <c r="AJ28" s="379">
        <f t="shared" si="4"/>
        <v>6630322.0211067349</v>
      </c>
      <c r="AK28" s="379">
        <f t="shared" si="4"/>
        <v>8908135.4389209226</v>
      </c>
      <c r="AL28" s="379">
        <f t="shared" si="4"/>
        <v>11670592.470655233</v>
      </c>
      <c r="AM28" s="379">
        <f t="shared" si="4"/>
        <v>12398672.34701255</v>
      </c>
      <c r="AN28" s="379">
        <f t="shared" si="4"/>
        <v>15819477.083684258</v>
      </c>
      <c r="AO28" s="379">
        <f t="shared" si="4"/>
        <v>38738522.245464608</v>
      </c>
      <c r="AP28" s="379">
        <f t="shared" si="4"/>
        <v>41478679.414320737</v>
      </c>
      <c r="AQ28" s="379">
        <f t="shared" si="4"/>
        <v>47092941.512859724</v>
      </c>
      <c r="AR28" s="379">
        <f t="shared" si="4"/>
        <v>53425024.905772358</v>
      </c>
      <c r="AS28" s="379">
        <f t="shared" si="4"/>
        <v>51798918.955114961</v>
      </c>
      <c r="AT28" s="379">
        <f t="shared" si="4"/>
        <v>69261421.427919954</v>
      </c>
      <c r="AU28" s="379">
        <f t="shared" si="4"/>
        <v>78539412.693327338</v>
      </c>
      <c r="AV28" s="379">
        <f t="shared" si="4"/>
        <v>93961299.578652561</v>
      </c>
      <c r="AW28" s="379">
        <f t="shared" si="4"/>
        <v>105711761.29526454</v>
      </c>
      <c r="AX28" s="379">
        <f t="shared" si="4"/>
        <v>115879631.64445971</v>
      </c>
      <c r="AY28" s="379">
        <f t="shared" si="4"/>
        <v>120092503.60844573</v>
      </c>
      <c r="AZ28" s="379">
        <f t="shared" si="4"/>
        <v>75893083.261229545</v>
      </c>
      <c r="BA28" s="379">
        <f t="shared" si="4"/>
        <v>71081240.06095317</v>
      </c>
      <c r="BB28" s="379">
        <f t="shared" si="4"/>
        <v>78916753.497791797</v>
      </c>
      <c r="BC28" s="379">
        <f t="shared" si="4"/>
        <v>81261363.216535628</v>
      </c>
      <c r="BD28" s="379">
        <f t="shared" si="4"/>
        <v>88506693.56973809</v>
      </c>
      <c r="BE28" s="379">
        <f t="shared" si="4"/>
        <v>116287838.26450318</v>
      </c>
      <c r="BF28" s="379">
        <f t="shared" si="4"/>
        <v>74377113.893027544</v>
      </c>
      <c r="BG28" s="379">
        <f t="shared" si="4"/>
        <v>90372101.745091438</v>
      </c>
      <c r="BH28" s="379">
        <f t="shared" si="4"/>
        <v>108835025.33516294</v>
      </c>
      <c r="BI28" s="379">
        <f t="shared" si="4"/>
        <v>130051612.41470987</v>
      </c>
      <c r="BJ28" s="379">
        <f t="shared" si="4"/>
        <v>154337398.26713383</v>
      </c>
      <c r="BK28" s="379">
        <f t="shared" si="4"/>
        <v>182040644.00429767</v>
      </c>
      <c r="BL28" s="379">
        <f t="shared" si="4"/>
        <v>213545528.99363577</v>
      </c>
      <c r="BM28" s="379">
        <f t="shared" si="4"/>
        <v>249275642.45644057</v>
      </c>
      <c r="BN28" s="379">
        <f t="shared" si="4"/>
        <v>289697801.52107084</v>
      </c>
      <c r="BO28" s="379">
        <f t="shared" si="4"/>
        <v>335326225.45609224</v>
      </c>
      <c r="BP28" s="379">
        <f t="shared" ref="BP28:CH28" si="5">SUM(BP20:BP27)</f>
        <v>386727098.4650985</v>
      </c>
      <c r="BQ28" s="379">
        <f t="shared" si="5"/>
        <v>449268590.09106517</v>
      </c>
      <c r="BR28" s="379">
        <f t="shared" si="5"/>
        <v>514288520.01161385</v>
      </c>
      <c r="BS28" s="379">
        <f t="shared" si="5"/>
        <v>587144884.13639259</v>
      </c>
      <c r="BT28" s="379">
        <f t="shared" si="5"/>
        <v>673411476.17250943</v>
      </c>
      <c r="BU28" s="379">
        <f t="shared" si="5"/>
        <v>764651297.62864232</v>
      </c>
      <c r="BV28" s="379">
        <f t="shared" si="5"/>
        <v>837155963.96028876</v>
      </c>
      <c r="BW28" s="379">
        <f t="shared" si="5"/>
        <v>952432768.86217022</v>
      </c>
      <c r="BX28" s="379">
        <f t="shared" si="5"/>
        <v>1048099957.1685183</v>
      </c>
      <c r="BY28" s="379">
        <f t="shared" si="5"/>
        <v>1185792724.8663635</v>
      </c>
      <c r="BZ28" s="379">
        <f t="shared" si="5"/>
        <v>1339114692.7488005</v>
      </c>
      <c r="CA28" s="379">
        <f t="shared" si="5"/>
        <v>1509658200.7109406</v>
      </c>
      <c r="CB28" s="379">
        <f t="shared" si="5"/>
        <v>1705100527.5648441</v>
      </c>
      <c r="CC28" s="379">
        <f t="shared" si="5"/>
        <v>1915670962.4456127</v>
      </c>
      <c r="CD28" s="379">
        <f t="shared" si="5"/>
        <v>2149222121.1574879</v>
      </c>
      <c r="CE28" s="379">
        <f t="shared" si="5"/>
        <v>2425845943.4653559</v>
      </c>
      <c r="CF28" s="379">
        <f t="shared" si="5"/>
        <v>2713005672.4469509</v>
      </c>
      <c r="CG28" s="379">
        <f t="shared" si="5"/>
        <v>3036654531.7369814</v>
      </c>
      <c r="CH28" s="380">
        <f t="shared" si="5"/>
        <v>0</v>
      </c>
    </row>
    <row r="29" spans="1:87" x14ac:dyDescent="0.25">
      <c r="A29" s="352"/>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row>
    <row r="30" spans="1:87" x14ac:dyDescent="0.25">
      <c r="A30" s="381" t="s">
        <v>141</v>
      </c>
      <c r="B30" s="382">
        <f>SUM(B28,B16,B6)</f>
        <v>0.23528704950770624</v>
      </c>
      <c r="C30" s="382">
        <f t="shared" ref="C30:BN30" si="6">SUM(C28,C16,C6)</f>
        <v>49524894.75</v>
      </c>
      <c r="D30" s="382">
        <f t="shared" si="6"/>
        <v>63989190.381999999</v>
      </c>
      <c r="E30" s="382">
        <f t="shared" si="6"/>
        <v>52708317.049999997</v>
      </c>
      <c r="F30" s="382">
        <f t="shared" si="6"/>
        <v>42148330.928000003</v>
      </c>
      <c r="G30" s="382">
        <f t="shared" si="6"/>
        <v>36691704.858000003</v>
      </c>
      <c r="H30" s="382">
        <f t="shared" si="6"/>
        <v>72987194.988015994</v>
      </c>
      <c r="I30" s="382">
        <f t="shared" si="6"/>
        <v>-8659554.9313510396</v>
      </c>
      <c r="J30" s="382">
        <f t="shared" si="6"/>
        <v>-52263348.018693805</v>
      </c>
      <c r="K30" s="382">
        <f t="shared" si="6"/>
        <v>1910036.6539522614</v>
      </c>
      <c r="L30" s="382">
        <f t="shared" si="6"/>
        <v>-129631099.69734389</v>
      </c>
      <c r="M30" s="382">
        <f t="shared" si="6"/>
        <v>-124392732.21219422</v>
      </c>
      <c r="N30" s="382">
        <f t="shared" si="6"/>
        <v>13532040.691038571</v>
      </c>
      <c r="O30" s="382">
        <f t="shared" si="6"/>
        <v>-13304497.240448438</v>
      </c>
      <c r="P30" s="382">
        <f t="shared" si="6"/>
        <v>-15074530.773061849</v>
      </c>
      <c r="Q30" s="382">
        <f t="shared" si="6"/>
        <v>-16164792.342066459</v>
      </c>
      <c r="R30" s="382">
        <f t="shared" si="6"/>
        <v>-12663164.182638539</v>
      </c>
      <c r="S30" s="382">
        <f t="shared" si="6"/>
        <v>-14455372.735487031</v>
      </c>
      <c r="T30" s="382">
        <f t="shared" si="6"/>
        <v>-227611196.67672318</v>
      </c>
      <c r="U30" s="382">
        <f t="shared" si="6"/>
        <v>-1615573.1122020632</v>
      </c>
      <c r="V30" s="382">
        <f t="shared" si="6"/>
        <v>-1958748.7352886349</v>
      </c>
      <c r="W30" s="382">
        <f t="shared" si="6"/>
        <v>-16107651.267151099</v>
      </c>
      <c r="X30" s="382">
        <f t="shared" si="6"/>
        <v>-2499191.5594637096</v>
      </c>
      <c r="Y30" s="382">
        <f t="shared" si="6"/>
        <v>-77710616.689399496</v>
      </c>
      <c r="Z30" s="382">
        <f t="shared" si="6"/>
        <v>119418826.27509041</v>
      </c>
      <c r="AA30" s="382">
        <f t="shared" si="6"/>
        <v>18127590.418605678</v>
      </c>
      <c r="AB30" s="382">
        <f t="shared" si="6"/>
        <v>18364909.831392989</v>
      </c>
      <c r="AC30" s="382">
        <f t="shared" si="6"/>
        <v>22179938.596869417</v>
      </c>
      <c r="AD30" s="382">
        <f t="shared" si="6"/>
        <v>49307365.971722357</v>
      </c>
      <c r="AE30" s="382">
        <f t="shared" si="6"/>
        <v>55589914.306019418</v>
      </c>
      <c r="AF30" s="382">
        <f t="shared" si="6"/>
        <v>61545883.304360777</v>
      </c>
      <c r="AG30" s="382">
        <f t="shared" si="6"/>
        <v>67516925.432499602</v>
      </c>
      <c r="AH30" s="382">
        <f t="shared" si="6"/>
        <v>74136255.85992524</v>
      </c>
      <c r="AI30" s="382">
        <f t="shared" si="6"/>
        <v>81465714.43220076</v>
      </c>
      <c r="AJ30" s="382">
        <f t="shared" si="6"/>
        <v>89572890.812941477</v>
      </c>
      <c r="AK30" s="382">
        <f t="shared" si="6"/>
        <v>98531649.843317419</v>
      </c>
      <c r="AL30" s="382">
        <f t="shared" si="6"/>
        <v>108533164.22221576</v>
      </c>
      <c r="AM30" s="382">
        <f t="shared" si="6"/>
        <v>117904083.34463823</v>
      </c>
      <c r="AN30" s="382">
        <f t="shared" si="6"/>
        <v>129779096.36585295</v>
      </c>
      <c r="AO30" s="382">
        <f t="shared" si="6"/>
        <v>161854759.40090156</v>
      </c>
      <c r="AP30" s="382">
        <f t="shared" si="6"/>
        <v>175499891.36215582</v>
      </c>
      <c r="AQ30" s="382">
        <f t="shared" si="6"/>
        <v>192000779.74366042</v>
      </c>
      <c r="AR30" s="382">
        <f t="shared" si="6"/>
        <v>210105730.90045935</v>
      </c>
      <c r="AS30" s="382">
        <f t="shared" si="6"/>
        <v>221759526.02410397</v>
      </c>
      <c r="AT30" s="382">
        <f t="shared" si="6"/>
        <v>262632591.31716904</v>
      </c>
      <c r="AU30" s="382">
        <f t="shared" si="6"/>
        <v>287080434.38805383</v>
      </c>
      <c r="AV30" s="382">
        <f t="shared" si="6"/>
        <v>318889271.15148079</v>
      </c>
      <c r="AW30" s="382">
        <f t="shared" si="6"/>
        <v>348391047.19047368</v>
      </c>
      <c r="AX30" s="382">
        <f t="shared" si="6"/>
        <v>378729321.92603135</v>
      </c>
      <c r="AY30" s="382">
        <f t="shared" si="6"/>
        <v>403009296.40524065</v>
      </c>
      <c r="AZ30" s="382">
        <f t="shared" si="6"/>
        <v>377424978.02241945</v>
      </c>
      <c r="BA30" s="382">
        <f t="shared" si="6"/>
        <v>395644356.96311259</v>
      </c>
      <c r="BB30" s="382">
        <f t="shared" si="6"/>
        <v>424894880.39994776</v>
      </c>
      <c r="BC30" s="382">
        <f t="shared" si="6"/>
        <v>451345475.25126439</v>
      </c>
      <c r="BD30" s="382">
        <f t="shared" si="6"/>
        <v>483439330.66606557</v>
      </c>
      <c r="BE30" s="382">
        <f t="shared" si="6"/>
        <v>538010518.09868717</v>
      </c>
      <c r="BF30" s="382">
        <f t="shared" si="6"/>
        <v>545140670.31433249</v>
      </c>
      <c r="BG30" s="382">
        <f t="shared" si="6"/>
        <v>591482828.31487894</v>
      </c>
      <c r="BH30" s="382">
        <f t="shared" si="6"/>
        <v>642765484.66499662</v>
      </c>
      <c r="BI30" s="382">
        <f t="shared" si="6"/>
        <v>699480180.02122331</v>
      </c>
      <c r="BJ30" s="382">
        <f t="shared" si="6"/>
        <v>762165662.36878514</v>
      </c>
      <c r="BK30" s="382">
        <f t="shared" si="6"/>
        <v>831412283.57286572</v>
      </c>
      <c r="BL30" s="382">
        <f t="shared" si="6"/>
        <v>907866795.72064233</v>
      </c>
      <c r="BM30" s="382">
        <f t="shared" si="6"/>
        <v>992237582.96820498</v>
      </c>
      <c r="BN30" s="382">
        <f t="shared" si="6"/>
        <v>1085300367.7552843</v>
      </c>
      <c r="BO30" s="382">
        <f t="shared" ref="BO30:CH30" si="7">SUM(BO28,BO16,BO6)</f>
        <v>1187904433.6744032</v>
      </c>
      <c r="BP30" s="382">
        <f t="shared" si="7"/>
        <v>1300979411.0035057</v>
      </c>
      <c r="BQ30" s="382">
        <f t="shared" si="7"/>
        <v>1430287708.7332473</v>
      </c>
      <c r="BR30" s="382">
        <f t="shared" si="7"/>
        <v>1567642246.2453909</v>
      </c>
      <c r="BS30" s="382">
        <f t="shared" si="7"/>
        <v>1718817941.7657423</v>
      </c>
      <c r="BT30" s="382">
        <f t="shared" si="7"/>
        <v>1889891820.7397201</v>
      </c>
      <c r="BU30" s="382">
        <f t="shared" si="7"/>
        <v>2073020237.367738</v>
      </c>
      <c r="BV30" s="382">
        <f t="shared" si="7"/>
        <v>2255040029.8433046</v>
      </c>
      <c r="BW30" s="382">
        <f t="shared" si="7"/>
        <v>2477607795.7477298</v>
      </c>
      <c r="BX30" s="382">
        <f t="shared" si="7"/>
        <v>2699559530.5776978</v>
      </c>
      <c r="BY30" s="382">
        <f t="shared" si="7"/>
        <v>2962761014.1789284</v>
      </c>
      <c r="BZ30" s="382">
        <f t="shared" si="7"/>
        <v>3252124228.0143132</v>
      </c>
      <c r="CA30" s="382">
        <f t="shared" si="7"/>
        <v>3570131225.8714657</v>
      </c>
      <c r="CB30" s="382">
        <f t="shared" si="7"/>
        <v>3925424513.1157022</v>
      </c>
      <c r="CC30" s="382">
        <f t="shared" si="7"/>
        <v>4309339845.7271051</v>
      </c>
      <c r="CD30" s="382">
        <f t="shared" si="7"/>
        <v>4730807160.3288479</v>
      </c>
      <c r="CE30" s="382">
        <f t="shared" si="7"/>
        <v>5211150880.0433187</v>
      </c>
      <c r="CF30" s="382">
        <f t="shared" si="7"/>
        <v>5719349297.9864159</v>
      </c>
      <c r="CG30" s="382">
        <f t="shared" si="7"/>
        <v>6282630105.911931</v>
      </c>
      <c r="CH30" s="383">
        <f t="shared" si="7"/>
        <v>0</v>
      </c>
    </row>
  </sheetData>
  <pageMargins left="0.7" right="0.7" top="0.75" bottom="0.75" header="0.3" footer="0.3"/>
  <pageSetup paperSize="17" scale="16" fitToHeight="0" orientation="landscape" r:id="rId1"/>
  <headerFooter>
    <oddFooter xml:space="preserve">&amp;L&amp;"-,Bold"&amp;9This is a preliminary draft document. It is intended for discussion purposes only.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zoomScale="80" zoomScaleNormal="80" zoomScaleSheetLayoutView="100" zoomScalePageLayoutView="40" workbookViewId="0">
      <selection activeCell="O6" sqref="O6"/>
    </sheetView>
  </sheetViews>
  <sheetFormatPr defaultRowHeight="12.75" x14ac:dyDescent="0.2"/>
  <cols>
    <col min="1" max="1" width="9.140625" style="5"/>
    <col min="2" max="2" width="9.140625" style="5" hidden="1" customWidth="1"/>
    <col min="3" max="5" width="15" style="5" customWidth="1"/>
    <col min="6" max="6" width="16.28515625" style="5" customWidth="1"/>
    <col min="7" max="7" width="16.28515625" style="468" customWidth="1"/>
    <col min="8" max="8" width="12.5703125" style="5" bestFit="1" customWidth="1"/>
    <col min="9" max="9" width="12.5703125" style="468" customWidth="1"/>
    <col min="10" max="10" width="12.5703125" style="5" customWidth="1"/>
    <col min="11" max="11" width="14.140625" style="468" customWidth="1"/>
    <col min="12" max="12" width="12.5703125" style="468" customWidth="1"/>
    <col min="13" max="13" width="12.5703125" style="577" customWidth="1"/>
    <col min="14" max="14" width="12.5703125" style="468" customWidth="1"/>
    <col min="15" max="15" width="12.5703125" style="5" bestFit="1" customWidth="1"/>
    <col min="16" max="19" width="12.5703125" style="5" customWidth="1"/>
    <col min="20" max="20" width="12.5703125" style="5" bestFit="1" customWidth="1"/>
    <col min="21" max="21" width="12.5703125" style="5" customWidth="1"/>
    <col min="22" max="22" width="12.5703125" style="5" bestFit="1" customWidth="1"/>
    <col min="23" max="25" width="12.5703125" style="5" customWidth="1"/>
    <col min="26" max="26" width="13.7109375" style="5" customWidth="1"/>
    <col min="27" max="27" width="18.5703125" style="5" customWidth="1"/>
    <col min="28" max="28" width="7.28515625" style="5" customWidth="1"/>
    <col min="29" max="16384" width="9.140625" style="5"/>
  </cols>
  <sheetData>
    <row r="1" spans="1:28" x14ac:dyDescent="0.2">
      <c r="A1" s="121" t="s">
        <v>65</v>
      </c>
      <c r="B1" s="122"/>
      <c r="C1" s="122"/>
      <c r="D1" s="122"/>
      <c r="E1" s="122"/>
      <c r="F1" s="122"/>
      <c r="G1" s="529">
        <f>G56</f>
        <v>129553.61247410912</v>
      </c>
      <c r="H1" s="576">
        <f>K56</f>
        <v>107860.54350805408</v>
      </c>
      <c r="I1" s="468">
        <f>G1-H1</f>
        <v>21693.068966055042</v>
      </c>
      <c r="J1" s="577">
        <f>I1*10400</f>
        <v>225607917.24697244</v>
      </c>
    </row>
    <row r="2" spans="1:28" x14ac:dyDescent="0.2">
      <c r="A2" s="124" t="s">
        <v>44</v>
      </c>
      <c r="B2" s="125"/>
      <c r="C2" s="125"/>
      <c r="D2" s="125"/>
      <c r="E2" s="125"/>
      <c r="F2" s="125"/>
      <c r="G2" s="530"/>
      <c r="H2" s="126"/>
    </row>
    <row r="3" spans="1:28" ht="13.5" thickBot="1" x14ac:dyDescent="0.25">
      <c r="A3" s="187"/>
    </row>
    <row r="4" spans="1:28" s="118" customFormat="1" ht="15" customHeight="1" x14ac:dyDescent="0.2">
      <c r="A4" s="932" t="s">
        <v>74</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186"/>
    </row>
    <row r="5" spans="1:28" s="118" customFormat="1" ht="31.5" customHeight="1" thickBot="1" x14ac:dyDescent="0.25">
      <c r="A5" s="934" t="s">
        <v>75</v>
      </c>
      <c r="B5" s="935"/>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188"/>
    </row>
    <row r="6" spans="1:28" ht="15.75" customHeight="1" thickBot="1" x14ac:dyDescent="0.25">
      <c r="A6" s="190" t="s">
        <v>67</v>
      </c>
      <c r="B6" s="185"/>
      <c r="C6" s="185"/>
      <c r="D6" s="185"/>
      <c r="E6" s="185"/>
      <c r="F6" s="185"/>
      <c r="G6" s="531"/>
      <c r="H6" s="185"/>
      <c r="I6" s="531"/>
      <c r="J6" s="185"/>
      <c r="K6" s="531"/>
      <c r="L6" s="531"/>
      <c r="M6" s="584"/>
      <c r="N6" s="531"/>
      <c r="O6" s="176">
        <f>'Dynamic Assumptions'!G2</f>
        <v>2.8500000000000001E-2</v>
      </c>
      <c r="P6" s="177"/>
      <c r="Q6" s="547"/>
      <c r="R6" s="546"/>
      <c r="S6" s="177"/>
      <c r="V6" s="351"/>
      <c r="W6" s="542"/>
      <c r="X6" s="351"/>
      <c r="Y6" s="753"/>
      <c r="Z6" s="351"/>
      <c r="AA6" s="351"/>
      <c r="AB6" s="351"/>
    </row>
    <row r="7" spans="1:28" ht="13.5" thickBot="1" x14ac:dyDescent="0.25">
      <c r="A7" s="191" t="s">
        <v>69</v>
      </c>
      <c r="B7" s="120"/>
      <c r="C7" s="120"/>
      <c r="D7" s="120"/>
      <c r="E7" s="120"/>
      <c r="F7" s="177"/>
      <c r="G7" s="532"/>
      <c r="H7" s="351"/>
      <c r="I7" s="532"/>
      <c r="J7" s="493"/>
      <c r="K7" s="532"/>
      <c r="L7" s="532"/>
      <c r="M7" s="585"/>
      <c r="N7" s="532"/>
      <c r="O7" s="181">
        <f>'Dynamic Assumptions'!G3</f>
        <v>240</v>
      </c>
      <c r="P7" s="495"/>
      <c r="Q7" s="547"/>
      <c r="R7" s="495"/>
      <c r="S7" s="495"/>
      <c r="V7" s="351"/>
      <c r="W7" s="542"/>
      <c r="X7" s="351"/>
      <c r="Y7" s="753"/>
    </row>
    <row r="8" spans="1:28" ht="13.5" thickBot="1" x14ac:dyDescent="0.25">
      <c r="A8" s="191" t="s">
        <v>68</v>
      </c>
      <c r="B8" s="120"/>
      <c r="C8" s="120"/>
      <c r="D8" s="120"/>
      <c r="E8" s="120"/>
      <c r="F8" s="177"/>
      <c r="G8" s="532"/>
      <c r="H8" s="351"/>
      <c r="I8" s="532"/>
      <c r="J8" s="493"/>
      <c r="K8" s="532"/>
      <c r="L8" s="532"/>
      <c r="M8" s="585"/>
      <c r="N8" s="532"/>
      <c r="O8" s="182">
        <f>'Dynamic Assumptions'!G4</f>
        <v>225</v>
      </c>
      <c r="P8" s="184"/>
      <c r="Q8" s="184"/>
      <c r="R8" s="184"/>
      <c r="S8" s="184"/>
      <c r="V8" s="351"/>
      <c r="W8" s="542"/>
      <c r="X8" s="351"/>
      <c r="Y8" s="753"/>
    </row>
    <row r="9" spans="1:28" ht="13.5" hidden="1" thickBot="1" x14ac:dyDescent="0.25">
      <c r="A9" s="191" t="s">
        <v>72</v>
      </c>
      <c r="B9" s="120"/>
      <c r="C9" s="120"/>
      <c r="D9" s="120"/>
      <c r="E9" s="120"/>
      <c r="F9" s="177"/>
      <c r="G9" s="532"/>
      <c r="H9" s="351"/>
      <c r="I9" s="532"/>
      <c r="J9" s="493"/>
      <c r="K9" s="532"/>
      <c r="L9" s="532"/>
      <c r="M9" s="585"/>
      <c r="N9" s="532"/>
      <c r="O9" s="182">
        <v>2025</v>
      </c>
      <c r="P9" s="184"/>
      <c r="Q9" s="184"/>
      <c r="R9" s="184"/>
      <c r="S9" s="184"/>
      <c r="V9" s="351"/>
      <c r="W9" s="542"/>
      <c r="X9" s="351"/>
      <c r="Y9" s="753"/>
    </row>
    <row r="10" spans="1:28" ht="13.5" thickBot="1" x14ac:dyDescent="0.25">
      <c r="A10" s="191" t="s">
        <v>108</v>
      </c>
      <c r="B10" s="120"/>
      <c r="C10" s="120"/>
      <c r="D10" s="120"/>
      <c r="E10" s="120"/>
      <c r="F10" s="177"/>
      <c r="G10" s="532"/>
      <c r="H10" s="351"/>
      <c r="I10" s="532"/>
      <c r="J10" s="493"/>
      <c r="K10" s="532"/>
      <c r="L10" s="532"/>
      <c r="M10" s="585"/>
      <c r="N10" s="532"/>
      <c r="O10" s="196">
        <f>VLOOKUP(0,Y14:Z66,2,FALSE)</f>
        <v>2032</v>
      </c>
      <c r="P10" s="496"/>
      <c r="Q10" s="496"/>
      <c r="R10" s="496"/>
      <c r="S10" s="496"/>
      <c r="T10" s="184"/>
      <c r="U10" s="184"/>
      <c r="V10" s="351"/>
      <c r="W10" s="542"/>
      <c r="X10" s="351"/>
      <c r="Y10" s="753"/>
    </row>
    <row r="11" spans="1:28" s="114" customFormat="1" ht="13.5" thickBot="1" x14ac:dyDescent="0.25">
      <c r="A11" s="192"/>
      <c r="B11" s="193"/>
      <c r="G11" s="533"/>
      <c r="H11" s="521">
        <f>A14+'Effective Capacity'!I15</f>
        <v>2010</v>
      </c>
      <c r="I11" s="533"/>
      <c r="K11" s="533"/>
      <c r="L11" s="533"/>
      <c r="M11" s="586"/>
      <c r="N11" s="533"/>
      <c r="T11" s="5"/>
      <c r="U11" s="5"/>
      <c r="V11" s="5"/>
      <c r="W11" s="5"/>
      <c r="X11" s="5"/>
      <c r="Y11" s="5"/>
      <c r="Z11" s="5"/>
      <c r="AA11" s="5"/>
      <c r="AB11" s="5"/>
    </row>
    <row r="12" spans="1:28" ht="15.75" customHeight="1" thickBot="1" x14ac:dyDescent="0.25">
      <c r="A12" s="106"/>
      <c r="B12" s="189"/>
      <c r="C12" s="936" t="s">
        <v>73</v>
      </c>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row>
    <row r="13" spans="1:28" s="183" customFormat="1" ht="56.25" customHeight="1" thickBot="1" x14ac:dyDescent="0.3">
      <c r="A13" s="528" t="s">
        <v>10</v>
      </c>
      <c r="C13" s="516" t="s">
        <v>66</v>
      </c>
      <c r="D13" s="494" t="s">
        <v>326</v>
      </c>
      <c r="E13" s="494" t="s">
        <v>327</v>
      </c>
      <c r="F13" s="198" t="s">
        <v>70</v>
      </c>
      <c r="G13" s="534" t="s">
        <v>127</v>
      </c>
      <c r="H13" s="348" t="s">
        <v>126</v>
      </c>
      <c r="I13" s="537" t="s">
        <v>345</v>
      </c>
      <c r="J13" s="518" t="s">
        <v>346</v>
      </c>
      <c r="K13" s="537" t="s">
        <v>367</v>
      </c>
      <c r="L13" s="537" t="s">
        <v>345</v>
      </c>
      <c r="M13" s="587" t="s">
        <v>374</v>
      </c>
      <c r="N13" s="578" t="s">
        <v>375</v>
      </c>
      <c r="O13" s="497" t="s">
        <v>331</v>
      </c>
      <c r="P13" s="497" t="str">
        <f>'Summary Baseline Data'!M8</f>
        <v>Ash Creek Capacity (AF)</v>
      </c>
      <c r="Q13" s="497" t="str">
        <f>'Summary Baseline Data'!N8</f>
        <v>Agricultural Conversion Capacity (AF)</v>
      </c>
      <c r="R13" s="497" t="s">
        <v>339</v>
      </c>
      <c r="S13" s="575" t="s">
        <v>340</v>
      </c>
      <c r="T13" s="199" t="s">
        <v>71</v>
      </c>
      <c r="U13" s="756" t="s">
        <v>528</v>
      </c>
      <c r="V13" s="756" t="s">
        <v>527</v>
      </c>
      <c r="W13" s="564" t="s">
        <v>368</v>
      </c>
      <c r="X13" s="200" t="s">
        <v>79</v>
      </c>
      <c r="Y13" s="761" t="s">
        <v>531</v>
      </c>
      <c r="Z13" s="200" t="s">
        <v>10</v>
      </c>
      <c r="AA13" s="428" t="s">
        <v>80</v>
      </c>
    </row>
    <row r="14" spans="1:28" s="430" customFormat="1" x14ac:dyDescent="0.2">
      <c r="A14" s="526">
        <f>'Summary Baseline Data'!A27</f>
        <v>2008</v>
      </c>
      <c r="C14" s="517">
        <f>'Summary Baseline Data'!D27</f>
        <v>135552</v>
      </c>
      <c r="D14" s="561">
        <f>C14</f>
        <v>135552</v>
      </c>
      <c r="E14" s="431"/>
      <c r="F14" s="174">
        <f>'Summary Baseline Data'!U27</f>
        <v>269.80214507292601</v>
      </c>
      <c r="G14" s="535">
        <f>'Summary Baseline Data'!Q27</f>
        <v>40966.094557823133</v>
      </c>
      <c r="H14" s="174">
        <f>IF(((F14*C14*'Underlying Assumptions'!$E$11)/'Underlying Assumptions'!$E$9)&lt;('Dynamic Population'!O14+'Underlying Assumptions'!$E$8),((F14*C14*'Underlying Assumptions'!$E$11)/'Underlying Assumptions'!$E$9),('Dynamic Population'!O14+'Underlying Assumptions'!$E$8))</f>
        <v>40966.094557823133</v>
      </c>
      <c r="I14" s="538">
        <f>VLOOKUP(A14+'Effective Capacity'!I$15,'Dynamic Population'!A14:H97,7)</f>
        <v>42005.880952380954</v>
      </c>
      <c r="J14" s="520">
        <f>'Summary Baseline Data'!U27</f>
        <v>269.80214507292601</v>
      </c>
      <c r="K14" s="538">
        <f>(C14*J14*365)/'Underlying Assumptions'!E$9</f>
        <v>40966.094557823133</v>
      </c>
      <c r="L14" s="538">
        <f>VLOOKUP(A14+'Effective Capacity'!I$15,'Dynamic Population'!A14:K97,11)</f>
        <v>42005.880952380954</v>
      </c>
      <c r="M14" s="588">
        <f>(G14-K14)*'Underlying Assumptions'!E$13</f>
        <v>0</v>
      </c>
      <c r="N14" s="538">
        <f>M14</f>
        <v>0</v>
      </c>
      <c r="O14" s="499">
        <f>'Summary Baseline Data'!L27</f>
        <v>65498.400000000001</v>
      </c>
      <c r="P14" s="499">
        <f>'Summary Baseline Data'!M27</f>
        <v>0</v>
      </c>
      <c r="Q14" s="499">
        <f>'Summary Baseline Data'!N27</f>
        <v>0</v>
      </c>
      <c r="R14" s="500">
        <f>IF('Supply Input'!$I$17='Dynamic Population'!A14,'Supply Input'!$I$12,0)</f>
        <v>0</v>
      </c>
      <c r="S14" s="500">
        <f>(SUM(O14:R14))*(1-'Water Supply Evaporation'!$I$15)</f>
        <v>62223.479999999996</v>
      </c>
      <c r="T14" s="498">
        <f>IF(K14&lt;O14,O14,K14)</f>
        <v>65498.400000000001</v>
      </c>
      <c r="U14" s="498">
        <f>O14-K14</f>
        <v>24532.305442176868</v>
      </c>
      <c r="V14" s="563">
        <f>S14-L14</f>
        <v>20217.599047619042</v>
      </c>
      <c r="W14" s="562">
        <f>IF(V14&gt;0,0,(IF(-V14&gt;'Construction Timing'!I$23,'Construction Timing'!I$23,-V14)))</f>
        <v>0</v>
      </c>
      <c r="X14" s="554">
        <f>IF(S14-K14&lt;1,0,S14-K14)</f>
        <v>21257.385442176863</v>
      </c>
      <c r="Y14" s="499">
        <f>IF(S14-L14&lt;1,0,S14-L14)</f>
        <v>20217.599047619042</v>
      </c>
      <c r="Z14" s="432"/>
      <c r="AA14" s="175">
        <f t="shared" ref="AA14:AA18" si="0">T14-K14</f>
        <v>24532.305442176868</v>
      </c>
    </row>
    <row r="15" spans="1:28" s="430" customFormat="1" x14ac:dyDescent="0.2">
      <c r="A15" s="526">
        <f>'Summary Baseline Data'!A28</f>
        <v>2009</v>
      </c>
      <c r="C15" s="517">
        <f>'Summary Baseline Data'!D28</f>
        <v>137088</v>
      </c>
      <c r="D15" s="433"/>
      <c r="E15" s="433"/>
      <c r="F15" s="174">
        <f>'Summary Baseline Data'!U28</f>
        <v>268.46783461495187</v>
      </c>
      <c r="G15" s="535">
        <f>'Summary Baseline Data'!Q28</f>
        <v>41225.405442176867</v>
      </c>
      <c r="H15" s="174">
        <f>IF(((F15*C15*'Underlying Assumptions'!$E$11)/'Underlying Assumptions'!$E$9)&lt;('Dynamic Population'!O15+'Underlying Assumptions'!$E$8),((F15*C15*'Underlying Assumptions'!$E$11)/'Underlying Assumptions'!$E$9),('Dynamic Population'!O15+'Underlying Assumptions'!$E$8))</f>
        <v>41225.405442176867</v>
      </c>
      <c r="I15" s="538">
        <f>VLOOKUP(A15+'Effective Capacity'!I$15,'Dynamic Population'!A15:H98,7)</f>
        <v>43498.820368485714</v>
      </c>
      <c r="J15" s="520">
        <f>'Summary Baseline Data'!U28</f>
        <v>268.46783461495187</v>
      </c>
      <c r="K15" s="538">
        <f>(C15*J15*365)/'Underlying Assumptions'!E$9</f>
        <v>41225.405442176867</v>
      </c>
      <c r="L15" s="538">
        <f>VLOOKUP(A15+'Effective Capacity'!I$15,'Dynamic Population'!A15:K98,11)</f>
        <v>43498.820368485714</v>
      </c>
      <c r="M15" s="588">
        <f>((G15-K15)*'Underlying Assumptions'!E$13)-SUM(M14)</f>
        <v>0</v>
      </c>
      <c r="N15" s="538">
        <f>M15+N14</f>
        <v>0</v>
      </c>
      <c r="O15" s="499">
        <f>'Summary Baseline Data'!L28</f>
        <v>65498.400000000001</v>
      </c>
      <c r="P15" s="499">
        <f>'Summary Baseline Data'!M28</f>
        <v>0</v>
      </c>
      <c r="Q15" s="499">
        <f>'Summary Baseline Data'!N28</f>
        <v>0</v>
      </c>
      <c r="R15" s="500">
        <f>IF('Supply Input'!$I$17='Dynamic Population'!A15,'Supply Input'!$I$12,R14)</f>
        <v>0</v>
      </c>
      <c r="S15" s="500">
        <f>(SUM(O15:R15))*(1-'Water Supply Evaporation'!$I$15)</f>
        <v>62223.479999999996</v>
      </c>
      <c r="T15" s="498">
        <f t="shared" ref="T15:T78" si="1">IF(K15&lt;O15,O15,K15)</f>
        <v>65498.400000000001</v>
      </c>
      <c r="U15" s="498">
        <f t="shared" ref="U15:U78" si="2">O15-K15</f>
        <v>24272.994557823135</v>
      </c>
      <c r="V15" s="563">
        <f t="shared" ref="V15:V78" si="3">S15-L15</f>
        <v>18724.659631514282</v>
      </c>
      <c r="W15" s="563">
        <f>IF(V15&gt;0,0,(IF(-V15&gt;'Construction Timing'!I$23,'Construction Timing'!I$23,-V15)))</f>
        <v>0</v>
      </c>
      <c r="X15" s="517">
        <f t="shared" ref="X15:X78" si="4">IF(S15-K15&lt;1,0,S15-K15)</f>
        <v>20998.074557823129</v>
      </c>
      <c r="Y15" s="499">
        <f t="shared" ref="Y15:Y78" si="5">IF(S15-L15&lt;1,0,S15-L15)</f>
        <v>18724.659631514282</v>
      </c>
      <c r="AA15" s="175">
        <f t="shared" si="0"/>
        <v>24272.994557823135</v>
      </c>
    </row>
    <row r="16" spans="1:28" s="430" customFormat="1" x14ac:dyDescent="0.2">
      <c r="A16" s="526">
        <f>'Summary Baseline Data'!A29</f>
        <v>2010</v>
      </c>
      <c r="C16" s="517">
        <f>'Summary Baseline Data'!D29</f>
        <v>138516</v>
      </c>
      <c r="D16" s="433"/>
      <c r="E16" s="433"/>
      <c r="F16" s="174">
        <f>'Summary Baseline Data'!U29</f>
        <v>270.73033483167154</v>
      </c>
      <c r="G16" s="535">
        <f>'Summary Baseline Data'!Q29</f>
        <v>42005.880952380954</v>
      </c>
      <c r="H16" s="174">
        <f>IF(((F16*C16*'Underlying Assumptions'!$E$11)/'Underlying Assumptions'!$E$9)&lt;('Dynamic Population'!O16+'Underlying Assumptions'!$E$8),((F16*C16*'Underlying Assumptions'!$E$11)/'Underlying Assumptions'!$E$9),('Dynamic Population'!O16+'Underlying Assumptions'!$E$8))</f>
        <v>42005.880952380954</v>
      </c>
      <c r="I16" s="538">
        <f>VLOOKUP(A16+'Effective Capacity'!I$15,'Dynamic Population'!A16:H99,7)</f>
        <v>45044.820642966151</v>
      </c>
      <c r="J16" s="520">
        <f>'Summary Baseline Data'!U29</f>
        <v>270.73033483167154</v>
      </c>
      <c r="K16" s="538">
        <f>(C16*J16*365)/'Underlying Assumptions'!E$9</f>
        <v>42005.880952380954</v>
      </c>
      <c r="L16" s="538">
        <f>VLOOKUP(A16+'Effective Capacity'!I$15,'Dynamic Population'!A16:K99,11)</f>
        <v>45044.820642966151</v>
      </c>
      <c r="M16" s="588">
        <f>((G16-K16)*'Underlying Assumptions'!E$13)-SUM($M$14:M15)</f>
        <v>0</v>
      </c>
      <c r="N16" s="538">
        <f t="shared" ref="N16:N79" si="6">M16+N15</f>
        <v>0</v>
      </c>
      <c r="O16" s="499">
        <f>'Summary Baseline Data'!L29</f>
        <v>65498.400000000001</v>
      </c>
      <c r="P16" s="499">
        <f>'Summary Baseline Data'!M29</f>
        <v>0</v>
      </c>
      <c r="Q16" s="499">
        <f>'Summary Baseline Data'!N29</f>
        <v>0</v>
      </c>
      <c r="R16" s="500">
        <f>IF('Supply Input'!$I$17='Dynamic Population'!A16,'Supply Input'!$I$12,R15)</f>
        <v>0</v>
      </c>
      <c r="S16" s="500">
        <f>(SUM(O16:R16))*(1-'Water Supply Evaporation'!$I$15)</f>
        <v>62223.479999999996</v>
      </c>
      <c r="T16" s="498">
        <f t="shared" si="1"/>
        <v>65498.400000000001</v>
      </c>
      <c r="U16" s="498">
        <f t="shared" si="2"/>
        <v>23492.519047619047</v>
      </c>
      <c r="V16" s="563">
        <f t="shared" si="3"/>
        <v>17178.659357033845</v>
      </c>
      <c r="W16" s="563">
        <f>IF(V16&gt;0,0,(IF(-V16&gt;'Construction Timing'!I$23,'Construction Timing'!I$23,-V16)))</f>
        <v>0</v>
      </c>
      <c r="X16" s="517">
        <f t="shared" si="4"/>
        <v>20217.599047619042</v>
      </c>
      <c r="Y16" s="499">
        <f t="shared" si="5"/>
        <v>17178.659357033845</v>
      </c>
      <c r="AA16" s="175">
        <f t="shared" si="0"/>
        <v>23492.519047619047</v>
      </c>
    </row>
    <row r="17" spans="1:27" s="430" customFormat="1" x14ac:dyDescent="0.2">
      <c r="A17" s="526">
        <f>'Summary Baseline Data'!A30</f>
        <v>2011</v>
      </c>
      <c r="C17" s="517">
        <f>'Summary Baseline Data'!D30</f>
        <v>141666</v>
      </c>
      <c r="D17" s="433"/>
      <c r="E17" s="433"/>
      <c r="F17" s="174">
        <f>'Summary Baseline Data'!U30</f>
        <v>274.11866805062385</v>
      </c>
      <c r="G17" s="535">
        <f>'Summary Baseline Data'!Q30</f>
        <v>43498.820368485714</v>
      </c>
      <c r="H17" s="174">
        <f>IF(((F17*C17*'Underlying Assumptions'!$E$11)/'Underlying Assumptions'!$E$9)&lt;('Dynamic Population'!O17+'Underlying Assumptions'!$E$8),((F17*C17*'Underlying Assumptions'!$E$11)/'Underlying Assumptions'!$E$9),('Dynamic Population'!O17+'Underlying Assumptions'!$E$8))</f>
        <v>43498.820368485714</v>
      </c>
      <c r="I17" s="538">
        <f>VLOOKUP(A17+'Effective Capacity'!I$15,'Dynamic Population'!A17:H100,7)</f>
        <v>46126</v>
      </c>
      <c r="J17" s="520">
        <f>'Summary Baseline Data'!U30</f>
        <v>274.11866805062385</v>
      </c>
      <c r="K17" s="538">
        <f>(C17*J17*365)/'Underlying Assumptions'!E$9</f>
        <v>43498.820368485714</v>
      </c>
      <c r="L17" s="538">
        <f>VLOOKUP(A17+'Effective Capacity'!I$15,'Dynamic Population'!A17:K100,11)</f>
        <v>46126</v>
      </c>
      <c r="M17" s="588">
        <f>((G17-K17)*'Underlying Assumptions'!E$13)-SUM($M$14:M16)</f>
        <v>0</v>
      </c>
      <c r="N17" s="538">
        <f t="shared" si="6"/>
        <v>0</v>
      </c>
      <c r="O17" s="499">
        <f>'Summary Baseline Data'!L30</f>
        <v>65498.400000000001</v>
      </c>
      <c r="P17" s="499">
        <f>'Summary Baseline Data'!M30</f>
        <v>0</v>
      </c>
      <c r="Q17" s="499">
        <f>'Summary Baseline Data'!N30</f>
        <v>0</v>
      </c>
      <c r="R17" s="500">
        <f>IF('Supply Input'!$I$17='Dynamic Population'!A17,'Supply Input'!$I$12,R16)</f>
        <v>0</v>
      </c>
      <c r="S17" s="500">
        <f>(SUM(O17:R17))*(1-'Water Supply Evaporation'!$I$15)</f>
        <v>62223.479999999996</v>
      </c>
      <c r="T17" s="498">
        <f t="shared" si="1"/>
        <v>65498.400000000001</v>
      </c>
      <c r="U17" s="498">
        <f t="shared" si="2"/>
        <v>21999.579631514287</v>
      </c>
      <c r="V17" s="563">
        <f t="shared" si="3"/>
        <v>16097.479999999996</v>
      </c>
      <c r="W17" s="563">
        <f>IF(V17&gt;0,0,(IF(-V17&gt;'Construction Timing'!I$23,'Construction Timing'!I$23,-V17)))</f>
        <v>0</v>
      </c>
      <c r="X17" s="517">
        <f t="shared" si="4"/>
        <v>18724.659631514282</v>
      </c>
      <c r="Y17" s="499">
        <f t="shared" si="5"/>
        <v>16097.479999999996</v>
      </c>
      <c r="AA17" s="175">
        <f t="shared" si="0"/>
        <v>21999.579631514287</v>
      </c>
    </row>
    <row r="18" spans="1:27" s="430" customFormat="1" x14ac:dyDescent="0.2">
      <c r="A18" s="526">
        <f>'Summary Baseline Data'!A31</f>
        <v>2012</v>
      </c>
      <c r="C18" s="517">
        <f>'Summary Baseline Data'!D31</f>
        <v>144809</v>
      </c>
      <c r="D18" s="433"/>
      <c r="E18" s="433"/>
      <c r="F18" s="174">
        <f>'Summary Baseline Data'!U31</f>
        <v>277.70012319965753</v>
      </c>
      <c r="G18" s="535">
        <f>'Summary Baseline Data'!Q31</f>
        <v>45044.820642966151</v>
      </c>
      <c r="H18" s="174">
        <f>IF(((F18*C18*'Underlying Assumptions'!$E$11)/'Underlying Assumptions'!$E$9)&lt;('Dynamic Population'!O18+'Underlying Assumptions'!$E$8),((F18*C18*'Underlying Assumptions'!$E$11)/'Underlying Assumptions'!$E$9),('Dynamic Population'!O18+'Underlying Assumptions'!$E$8))</f>
        <v>45044.820642966151</v>
      </c>
      <c r="I18" s="538">
        <f>VLOOKUP(A18+'Effective Capacity'!I$15,'Dynamic Population'!A18:H101,7)</f>
        <v>47108.022114158157</v>
      </c>
      <c r="J18" s="520">
        <f>'Summary Baseline Data'!U31</f>
        <v>277.70012319965753</v>
      </c>
      <c r="K18" s="538">
        <f>(C18*J18*365)/'Underlying Assumptions'!E$9</f>
        <v>45044.820642966151</v>
      </c>
      <c r="L18" s="538">
        <f>VLOOKUP(A18+'Effective Capacity'!I$15,'Dynamic Population'!A18:K101,11)</f>
        <v>46973.433512062671</v>
      </c>
      <c r="M18" s="588">
        <f>((G18-K18)*'Underlying Assumptions'!E$13)-SUM($M$14:M17)</f>
        <v>0</v>
      </c>
      <c r="N18" s="538">
        <f t="shared" si="6"/>
        <v>0</v>
      </c>
      <c r="O18" s="499">
        <f>'Summary Baseline Data'!L31</f>
        <v>65498.400000000001</v>
      </c>
      <c r="P18" s="499">
        <f>'Summary Baseline Data'!M31</f>
        <v>0</v>
      </c>
      <c r="Q18" s="499">
        <f>'Summary Baseline Data'!N31</f>
        <v>0</v>
      </c>
      <c r="R18" s="500">
        <f>IF('Supply Input'!$I$17='Dynamic Population'!A18,'Supply Input'!$I$12,R17)</f>
        <v>0</v>
      </c>
      <c r="S18" s="500">
        <f>(SUM(O18:R18))*(1-'Water Supply Evaporation'!$I$15)</f>
        <v>62223.479999999996</v>
      </c>
      <c r="T18" s="498">
        <f t="shared" si="1"/>
        <v>65498.400000000001</v>
      </c>
      <c r="U18" s="498">
        <f t="shared" si="2"/>
        <v>20453.57935703385</v>
      </c>
      <c r="V18" s="563">
        <f t="shared" si="3"/>
        <v>15250.046487937325</v>
      </c>
      <c r="W18" s="563">
        <f>IF(V18&gt;0,0,(IF(-V18&gt;'Construction Timing'!I$23,'Construction Timing'!I$23,-V18)))</f>
        <v>0</v>
      </c>
      <c r="X18" s="517">
        <f t="shared" si="4"/>
        <v>17178.659357033845</v>
      </c>
      <c r="Y18" s="499">
        <f t="shared" si="5"/>
        <v>15250.046487937325</v>
      </c>
      <c r="AA18" s="175">
        <f t="shared" si="0"/>
        <v>20453.57935703385</v>
      </c>
    </row>
    <row r="19" spans="1:27" x14ac:dyDescent="0.2">
      <c r="A19" s="388">
        <f>'Summary Baseline Data'!A32</f>
        <v>2013</v>
      </c>
      <c r="B19" s="5">
        <v>25</v>
      </c>
      <c r="C19" s="517">
        <f>'Summary Baseline Data'!D32</f>
        <v>151303.125</v>
      </c>
      <c r="D19" s="174"/>
      <c r="E19" s="174"/>
      <c r="F19" s="174">
        <f>'Summary Baseline Data'!U32</f>
        <v>272.16022891150294</v>
      </c>
      <c r="G19" s="535">
        <f>(C19*F19*'Underlying Assumptions'!E$11)/'Underlying Assumptions'!E$9</f>
        <v>46126</v>
      </c>
      <c r="H19" s="174">
        <f>IF(((F19*C19*'Underlying Assumptions'!$E$11)/'Underlying Assumptions'!$E$9)&lt;('Dynamic Population'!O19+'Underlying Assumptions'!$E$8),((F19*C19*'Underlying Assumptions'!$E$11)/'Underlying Assumptions'!$E$9),('Dynamic Population'!O19+'Underlying Assumptions'!$E$8))</f>
        <v>46126</v>
      </c>
      <c r="I19" s="538">
        <f>VLOOKUP(A19+'Effective Capacity'!I$15,'Dynamic Population'!A19:H102,7)</f>
        <v>48450.600744411669</v>
      </c>
      <c r="J19" s="520">
        <f>'Summary Baseline Data'!U32</f>
        <v>272.16022891150294</v>
      </c>
      <c r="K19" s="538">
        <f>(C19*J19*365)/'Underlying Assumptions'!E$9</f>
        <v>46126</v>
      </c>
      <c r="L19" s="538">
        <f>VLOOKUP(A19+'Effective Capacity'!I$15,'Dynamic Population'!A19:K102,11)</f>
        <v>47831.7048908129</v>
      </c>
      <c r="M19" s="588">
        <f>((G19-K19)*'Underlying Assumptions'!E$13)-SUM($M$14:M18)</f>
        <v>0</v>
      </c>
      <c r="N19" s="538">
        <f t="shared" si="6"/>
        <v>0</v>
      </c>
      <c r="O19" s="499">
        <f>'Summary Baseline Data'!L32</f>
        <v>65498.400000000001</v>
      </c>
      <c r="P19" s="499">
        <f>'Summary Baseline Data'!M32</f>
        <v>0</v>
      </c>
      <c r="Q19" s="499">
        <f>'Summary Baseline Data'!N32</f>
        <v>0</v>
      </c>
      <c r="R19" s="500">
        <f>IF('Supply Input'!$I$17='Dynamic Population'!A19,'Supply Input'!$I$12,R18)</f>
        <v>0</v>
      </c>
      <c r="S19" s="500">
        <f>(SUM(O19:R19))*(1-'Water Supply Evaporation'!$I$15)</f>
        <v>62223.479999999996</v>
      </c>
      <c r="T19" s="498">
        <f t="shared" si="1"/>
        <v>65498.400000000001</v>
      </c>
      <c r="U19" s="498">
        <f t="shared" si="2"/>
        <v>19372.400000000001</v>
      </c>
      <c r="V19" s="563">
        <f t="shared" si="3"/>
        <v>14391.775109187096</v>
      </c>
      <c r="W19" s="563">
        <f>IF(V19&gt;0,0,(IF(-V19&gt;'Construction Timing'!I$23,'Construction Timing'!I$23,-V19)))</f>
        <v>0</v>
      </c>
      <c r="X19" s="517">
        <f t="shared" si="4"/>
        <v>16097.479999999996</v>
      </c>
      <c r="Y19" s="499">
        <f t="shared" si="5"/>
        <v>14391.775109187096</v>
      </c>
      <c r="Z19" s="172">
        <f t="shared" ref="Z19:Z50" si="7">A19</f>
        <v>2013</v>
      </c>
      <c r="AA19" s="175">
        <f>T19-K19</f>
        <v>19372.400000000001</v>
      </c>
    </row>
    <row r="20" spans="1:27" x14ac:dyDescent="0.2">
      <c r="A20" s="388">
        <f>'Summary Baseline Data'!A33</f>
        <v>2014</v>
      </c>
      <c r="B20" s="5">
        <v>26</v>
      </c>
      <c r="C20" s="173">
        <f>C19*(1+O$6)</f>
        <v>155615.26406250001</v>
      </c>
      <c r="D20" s="174"/>
      <c r="E20" s="174"/>
      <c r="F20" s="174">
        <f>'Summary Baseline Data'!V33</f>
        <v>270.25232637083775</v>
      </c>
      <c r="G20" s="535">
        <f>(C20*F20*'Underlying Assumptions'!E$11)/'Underlying Assumptions'!E$9</f>
        <v>47108.022114158157</v>
      </c>
      <c r="H20" s="174">
        <f>IF(((F20*C20*'Underlying Assumptions'!$E$11)/'Underlying Assumptions'!$E$9)&lt;('Dynamic Population'!O20+'Underlying Assumptions'!$E$8),((F20*C20*'Underlying Assumptions'!$E$11)/'Underlying Assumptions'!$E$9),('Dynamic Population'!O20+'Underlying Assumptions'!$E$8))</f>
        <v>47108.022114158157</v>
      </c>
      <c r="I20" s="538">
        <f>VLOOKUP(A20+'Effective Capacity'!I$15,'Dynamic Population'!A20:H103,7)</f>
        <v>49831.442865627418</v>
      </c>
      <c r="J20" s="520">
        <f>J19-((J$19-'Conservation Input'!I$17)/(A$32-A$20))</f>
        <v>269.48020983554437</v>
      </c>
      <c r="K20" s="538">
        <f>(C20*J20*365)/'Underlying Assumptions'!E$9</f>
        <v>46973.433512062671</v>
      </c>
      <c r="L20" s="538">
        <f>VLOOKUP(A20+'Effective Capacity'!I$15,'Dynamic Population'!A20:K103,11)</f>
        <v>48700.743566781719</v>
      </c>
      <c r="M20" s="588">
        <f>((G20-K20)*'Underlying Assumptions'!E$13)-SUM($M$14:M19)</f>
        <v>1426639.18221215</v>
      </c>
      <c r="N20" s="538">
        <f t="shared" si="6"/>
        <v>1426639.18221215</v>
      </c>
      <c r="O20" s="499">
        <f>'Summary Baseline Data'!L33</f>
        <v>65498.400000000001</v>
      </c>
      <c r="P20" s="499">
        <f>'Summary Baseline Data'!M33</f>
        <v>0</v>
      </c>
      <c r="Q20" s="499">
        <f>'Summary Baseline Data'!N33</f>
        <v>0</v>
      </c>
      <c r="R20" s="500">
        <f>IF('Supply Input'!$I$17='Dynamic Population'!A20,'Supply Input'!$I$12,R19)</f>
        <v>0</v>
      </c>
      <c r="S20" s="500">
        <f>(SUM(O20:R20))*(1-'Water Supply Evaporation'!$I$15)</f>
        <v>62223.479999999996</v>
      </c>
      <c r="T20" s="498">
        <f t="shared" si="1"/>
        <v>65498.400000000001</v>
      </c>
      <c r="U20" s="498">
        <f t="shared" si="2"/>
        <v>18524.96648793733</v>
      </c>
      <c r="V20" s="563">
        <f t="shared" si="3"/>
        <v>13522.736433218277</v>
      </c>
      <c r="W20" s="563">
        <f>IF(V20&gt;0,0,(IF(-V20&gt;'Construction Timing'!I$23,'Construction Timing'!I$23,-V20)))</f>
        <v>0</v>
      </c>
      <c r="X20" s="517">
        <f t="shared" si="4"/>
        <v>15250.046487937325</v>
      </c>
      <c r="Y20" s="499">
        <f t="shared" si="5"/>
        <v>13522.736433218277</v>
      </c>
      <c r="Z20" s="172">
        <f t="shared" si="7"/>
        <v>2014</v>
      </c>
      <c r="AA20" s="175">
        <f t="shared" ref="AA20:AA44" si="8">T20-K20</f>
        <v>18524.96648793733</v>
      </c>
    </row>
    <row r="21" spans="1:27" x14ac:dyDescent="0.2">
      <c r="A21" s="388">
        <f>'Summary Baseline Data'!A34</f>
        <v>2015</v>
      </c>
      <c r="B21" s="5">
        <v>27</v>
      </c>
      <c r="C21" s="173">
        <f t="shared" ref="C21:C84" si="9">C20*(1+O$6)</f>
        <v>160050.29908828126</v>
      </c>
      <c r="D21" s="174"/>
      <c r="E21" s="174"/>
      <c r="F21" s="174">
        <f>'Summary Baseline Data'!V34</f>
        <v>270.25232637083775</v>
      </c>
      <c r="G21" s="535">
        <f>(C21*F21*'Underlying Assumptions'!E$11)/'Underlying Assumptions'!E$9</f>
        <v>48450.600744411669</v>
      </c>
      <c r="H21" s="174">
        <f>IF(((F21*C21*'Underlying Assumptions'!$E$11)/'Underlying Assumptions'!$E$9)&lt;('Dynamic Population'!O21+'Underlying Assumptions'!$E$8),((F21*C21*'Underlying Assumptions'!$E$11)/'Underlying Assumptions'!$E$9),('Dynamic Population'!O21+'Underlying Assumptions'!$E$8))</f>
        <v>48450.600744411669</v>
      </c>
      <c r="I21" s="538">
        <f>VLOOKUP(A21+'Effective Capacity'!I$15,'Dynamic Population'!A21:H104,7)</f>
        <v>51251.638987297774</v>
      </c>
      <c r="J21" s="520">
        <f>J20-((J$19-'Conservation Input'!I$17)/(A$32-A$20))</f>
        <v>266.8001907595858</v>
      </c>
      <c r="K21" s="538">
        <f>(C21*J21*365)/'Underlying Assumptions'!E$9</f>
        <v>47831.7048908129</v>
      </c>
      <c r="L21" s="538">
        <f>VLOOKUP(A21+'Effective Capacity'!I$15,'Dynamic Population'!A21:K104,11)</f>
        <v>49580.466144983198</v>
      </c>
      <c r="M21" s="588">
        <f>((G21-K21)*'Underlying Assumptions'!E$13)-SUM($M$14:M20)</f>
        <v>5133656.8659348069</v>
      </c>
      <c r="N21" s="538">
        <f t="shared" si="6"/>
        <v>6560296.0481469566</v>
      </c>
      <c r="O21" s="499">
        <f>'Summary Baseline Data'!L34</f>
        <v>65498.400000000001</v>
      </c>
      <c r="P21" s="499">
        <f>'Summary Baseline Data'!M34</f>
        <v>5000</v>
      </c>
      <c r="Q21" s="499">
        <f>'Summary Baseline Data'!N34</f>
        <v>0</v>
      </c>
      <c r="R21" s="500">
        <f>IF('Supply Input'!$I$17='Dynamic Population'!A21,'Supply Input'!$I$12,R20)</f>
        <v>0</v>
      </c>
      <c r="S21" s="500">
        <f>(SUM(O21:R21))*(1-'Water Supply Evaporation'!$I$15)</f>
        <v>66973.48</v>
      </c>
      <c r="T21" s="498">
        <f t="shared" si="1"/>
        <v>65498.400000000001</v>
      </c>
      <c r="U21" s="498">
        <f t="shared" si="2"/>
        <v>17666.695109187101</v>
      </c>
      <c r="V21" s="563">
        <f t="shared" si="3"/>
        <v>17393.013855016798</v>
      </c>
      <c r="W21" s="563">
        <f>IF(V21&gt;0,0,(IF(-V21&gt;'Construction Timing'!I$23,'Construction Timing'!I$23,-V21)))</f>
        <v>0</v>
      </c>
      <c r="X21" s="517">
        <f t="shared" si="4"/>
        <v>19141.775109187096</v>
      </c>
      <c r="Y21" s="499">
        <f t="shared" si="5"/>
        <v>17393.013855016798</v>
      </c>
      <c r="Z21" s="172">
        <f t="shared" si="7"/>
        <v>2015</v>
      </c>
      <c r="AA21" s="175">
        <f t="shared" si="8"/>
        <v>17666.695109187101</v>
      </c>
    </row>
    <row r="22" spans="1:27" x14ac:dyDescent="0.2">
      <c r="A22" s="388">
        <f>'Summary Baseline Data'!A35</f>
        <v>2016</v>
      </c>
      <c r="B22" s="5">
        <v>28</v>
      </c>
      <c r="C22" s="173">
        <f t="shared" si="9"/>
        <v>164611.73261229726</v>
      </c>
      <c r="D22" s="174"/>
      <c r="E22" s="174"/>
      <c r="F22" s="174">
        <f>'Summary Baseline Data'!V35</f>
        <v>270.25232637083781</v>
      </c>
      <c r="G22" s="535">
        <f>(C22*F22*'Underlying Assumptions'!E$11)/'Underlying Assumptions'!E$9</f>
        <v>49831.442865627418</v>
      </c>
      <c r="H22" s="174">
        <f>IF(((F22*C22*'Underlying Assumptions'!$E$11)/'Underlying Assumptions'!$E$9)&lt;('Dynamic Population'!O22+'Underlying Assumptions'!$E$8),((F22*C22*'Underlying Assumptions'!$E$11)/'Underlying Assumptions'!$E$9),('Dynamic Population'!O22+'Underlying Assumptions'!$E$8))</f>
        <v>49831.442865627418</v>
      </c>
      <c r="I22" s="538">
        <f>VLOOKUP(A22+'Effective Capacity'!I$15,'Dynamic Population'!A22:H105,7)</f>
        <v>52712.310698435766</v>
      </c>
      <c r="J22" s="520">
        <f>J21-((J$19-'Conservation Input'!I$17)/(A$32-A$20))</f>
        <v>264.12017168362723</v>
      </c>
      <c r="K22" s="538">
        <f>(C22*J22*365)/'Underlying Assumptions'!E$9</f>
        <v>48700.743566781719</v>
      </c>
      <c r="L22" s="538">
        <f>VLOOKUP(A22+'Effective Capacity'!I$15,'Dynamic Population'!A22:K105,11)</f>
        <v>50470.775731180045</v>
      </c>
      <c r="M22" s="588">
        <f>((G22-K22)*'Underlying Assumptions'!E$13)-SUM($M$14:M21)</f>
        <v>5425116.5196174486</v>
      </c>
      <c r="N22" s="538">
        <f t="shared" si="6"/>
        <v>11985412.567764405</v>
      </c>
      <c r="O22" s="499">
        <f>'Summary Baseline Data'!L35</f>
        <v>65498.400000000001</v>
      </c>
      <c r="P22" s="499">
        <f>'Summary Baseline Data'!M35</f>
        <v>5000</v>
      </c>
      <c r="Q22" s="499">
        <f>'Summary Baseline Data'!N35</f>
        <v>0</v>
      </c>
      <c r="R22" s="500">
        <f>IF('Supply Input'!$I$17='Dynamic Population'!A22,'Supply Input'!$I$12,R21)</f>
        <v>0</v>
      </c>
      <c r="S22" s="500">
        <f>(SUM(O22:R22))*(1-'Water Supply Evaporation'!$I$15)</f>
        <v>66973.48</v>
      </c>
      <c r="T22" s="498">
        <f t="shared" si="1"/>
        <v>65498.400000000001</v>
      </c>
      <c r="U22" s="498">
        <f t="shared" si="2"/>
        <v>16797.656433218282</v>
      </c>
      <c r="V22" s="563">
        <f t="shared" si="3"/>
        <v>16502.704268819951</v>
      </c>
      <c r="W22" s="563">
        <f>IF(V22&gt;0,0,(IF(-V22&gt;'Construction Timing'!I$23,'Construction Timing'!I$23,-V22)))</f>
        <v>0</v>
      </c>
      <c r="X22" s="517">
        <f t="shared" si="4"/>
        <v>18272.736433218277</v>
      </c>
      <c r="Y22" s="499">
        <f t="shared" si="5"/>
        <v>16502.704268819951</v>
      </c>
      <c r="Z22" s="172">
        <f t="shared" si="7"/>
        <v>2016</v>
      </c>
      <c r="AA22" s="175">
        <f t="shared" si="8"/>
        <v>16797.656433218282</v>
      </c>
    </row>
    <row r="23" spans="1:27" x14ac:dyDescent="0.2">
      <c r="A23" s="388">
        <f>'Summary Baseline Data'!A36</f>
        <v>2017</v>
      </c>
      <c r="B23" s="5">
        <v>29</v>
      </c>
      <c r="C23" s="173">
        <f t="shared" si="9"/>
        <v>169303.16699174771</v>
      </c>
      <c r="D23" s="174"/>
      <c r="E23" s="174"/>
      <c r="F23" s="174">
        <f>'Summary Baseline Data'!V36</f>
        <v>270.25232637083775</v>
      </c>
      <c r="G23" s="535">
        <f>(C23*F23*'Underlying Assumptions'!E$11)/'Underlying Assumptions'!E$9</f>
        <v>51251.638987297774</v>
      </c>
      <c r="H23" s="174">
        <f>IF(((F23*C23*'Underlying Assumptions'!$E$11)/'Underlying Assumptions'!$E$9)&lt;('Dynamic Population'!O23+'Underlying Assumptions'!$E$8),((F23*C23*'Underlying Assumptions'!$E$11)/'Underlying Assumptions'!$E$9),('Dynamic Population'!O23+'Underlying Assumptions'!$E$8))</f>
        <v>51251.638987297774</v>
      </c>
      <c r="I23" s="538">
        <f>VLOOKUP(A23+'Effective Capacity'!I$15,'Dynamic Population'!A23:H106,7)</f>
        <v>54214.611553341179</v>
      </c>
      <c r="J23" s="520">
        <f>J22-((J$19-'Conservation Input'!I$17)/(A$32-A$20))</f>
        <v>261.44015260766867</v>
      </c>
      <c r="K23" s="538">
        <f>(C23*J23*365)/'Underlying Assumptions'!E$9</f>
        <v>49580.466144983198</v>
      </c>
      <c r="L23" s="538">
        <f>VLOOKUP(A23+'Effective Capacity'!I$15,'Dynamic Population'!A23:K106,11)</f>
        <v>51371.561230163854</v>
      </c>
      <c r="M23" s="588">
        <f>((G23-K23)*'Underlying Assumptions'!E$13)-SUM($M$14:M22)</f>
        <v>5729019.5607701018</v>
      </c>
      <c r="N23" s="538">
        <f t="shared" si="6"/>
        <v>17714432.128534507</v>
      </c>
      <c r="O23" s="499">
        <f>'Summary Baseline Data'!L36</f>
        <v>65498.400000000001</v>
      </c>
      <c r="P23" s="499">
        <f>'Summary Baseline Data'!M36</f>
        <v>5000</v>
      </c>
      <c r="Q23" s="499">
        <f>'Summary Baseline Data'!N36</f>
        <v>0</v>
      </c>
      <c r="R23" s="500">
        <f>IF('Supply Input'!$I$17='Dynamic Population'!A23,'Supply Input'!$I$12,R22)</f>
        <v>0</v>
      </c>
      <c r="S23" s="500">
        <f>(SUM(O23:R23))*(1-'Water Supply Evaporation'!$I$15)</f>
        <v>66973.48</v>
      </c>
      <c r="T23" s="498">
        <f t="shared" si="1"/>
        <v>65498.400000000001</v>
      </c>
      <c r="U23" s="498">
        <f t="shared" si="2"/>
        <v>15917.933855016803</v>
      </c>
      <c r="V23" s="563">
        <f t="shared" si="3"/>
        <v>15601.918769836142</v>
      </c>
      <c r="W23" s="563">
        <f>IF(V23&gt;0,0,(IF(-V23&gt;'Construction Timing'!I$23,'Construction Timing'!I$23,-V23)))</f>
        <v>0</v>
      </c>
      <c r="X23" s="517">
        <f t="shared" si="4"/>
        <v>17393.013855016798</v>
      </c>
      <c r="Y23" s="499">
        <f t="shared" si="5"/>
        <v>15601.918769836142</v>
      </c>
      <c r="Z23" s="172">
        <f t="shared" si="7"/>
        <v>2017</v>
      </c>
      <c r="AA23" s="175">
        <f t="shared" si="8"/>
        <v>15917.933855016803</v>
      </c>
    </row>
    <row r="24" spans="1:27" x14ac:dyDescent="0.2">
      <c r="A24" s="388">
        <f>'Summary Baseline Data'!A37</f>
        <v>2018</v>
      </c>
      <c r="B24" s="5">
        <v>30</v>
      </c>
      <c r="C24" s="173">
        <f t="shared" si="9"/>
        <v>174128.30725101251</v>
      </c>
      <c r="D24" s="174"/>
      <c r="E24" s="174"/>
      <c r="F24" s="174">
        <f>'Summary Baseline Data'!V37</f>
        <v>270.25232637083775</v>
      </c>
      <c r="G24" s="535">
        <f>(C24*F24*'Underlying Assumptions'!E$11)/'Underlying Assumptions'!E$9</f>
        <v>52712.310698435766</v>
      </c>
      <c r="H24" s="174">
        <f>IF(((F24*C24*'Underlying Assumptions'!$E$11)/'Underlying Assumptions'!$E$9)&lt;('Dynamic Population'!O24+'Underlying Assumptions'!$E$8),((F24*C24*'Underlying Assumptions'!$E$11)/'Underlying Assumptions'!$E$9),('Dynamic Population'!O24+'Underlying Assumptions'!$E$8))</f>
        <v>52712.310698435766</v>
      </c>
      <c r="I24" s="538">
        <f>VLOOKUP(A24+'Effective Capacity'!I$15,'Dynamic Population'!A24:H107,7)</f>
        <v>55759.727982611403</v>
      </c>
      <c r="J24" s="520">
        <f>J23-((J$19-'Conservation Input'!I$17)/(A$32-A$20))</f>
        <v>258.7601335317101</v>
      </c>
      <c r="K24" s="538">
        <f>(C24*J24*365)/'Underlying Assumptions'!E$9</f>
        <v>50470.775731180045</v>
      </c>
      <c r="L24" s="538">
        <f>VLOOKUP(A24+'Effective Capacity'!I$15,'Dynamic Population'!A24:K107,11)</f>
        <v>52282.696615002089</v>
      </c>
      <c r="M24" s="588">
        <f>((G24-K24)*'Underlying Assumptions'!E$13)-SUM($M$14:M23)</f>
        <v>6045838.5243761279</v>
      </c>
      <c r="N24" s="538">
        <f t="shared" si="6"/>
        <v>23760270.652910635</v>
      </c>
      <c r="O24" s="499">
        <f>'Summary Baseline Data'!L37</f>
        <v>65498.400000000001</v>
      </c>
      <c r="P24" s="499">
        <f>'Summary Baseline Data'!M37</f>
        <v>5000</v>
      </c>
      <c r="Q24" s="499">
        <f>'Summary Baseline Data'!N37</f>
        <v>0</v>
      </c>
      <c r="R24" s="500">
        <f>IF('Supply Input'!$I$17='Dynamic Population'!A24,'Supply Input'!$I$12,R23)</f>
        <v>0</v>
      </c>
      <c r="S24" s="500">
        <f>(SUM(O24:R24))*(1-'Water Supply Evaporation'!$I$15)</f>
        <v>66973.48</v>
      </c>
      <c r="T24" s="498">
        <f t="shared" si="1"/>
        <v>65498.400000000001</v>
      </c>
      <c r="U24" s="498">
        <f t="shared" si="2"/>
        <v>15027.624268819956</v>
      </c>
      <c r="V24" s="563">
        <f t="shared" si="3"/>
        <v>14690.783384997907</v>
      </c>
      <c r="W24" s="563">
        <f>IF(V24&gt;0,0,(IF(-V24&gt;'Construction Timing'!I$23,'Construction Timing'!I$23,-V24)))</f>
        <v>0</v>
      </c>
      <c r="X24" s="517">
        <f t="shared" si="4"/>
        <v>16502.704268819951</v>
      </c>
      <c r="Y24" s="499">
        <f t="shared" si="5"/>
        <v>14690.783384997907</v>
      </c>
      <c r="Z24" s="172">
        <f t="shared" si="7"/>
        <v>2018</v>
      </c>
      <c r="AA24" s="175">
        <f t="shared" si="8"/>
        <v>15027.624268819956</v>
      </c>
    </row>
    <row r="25" spans="1:27" x14ac:dyDescent="0.2">
      <c r="A25" s="388">
        <f>'Summary Baseline Data'!A38</f>
        <v>2019</v>
      </c>
      <c r="B25" s="5">
        <v>31</v>
      </c>
      <c r="C25" s="173">
        <f t="shared" si="9"/>
        <v>179090.96400766636</v>
      </c>
      <c r="D25" s="174"/>
      <c r="E25" s="174"/>
      <c r="F25" s="174">
        <f>'Summary Baseline Data'!V38</f>
        <v>270.25232637083775</v>
      </c>
      <c r="G25" s="535">
        <f>(C25*F25*'Underlying Assumptions'!E$11)/'Underlying Assumptions'!E$9</f>
        <v>54214.611553341179</v>
      </c>
      <c r="H25" s="174">
        <f>IF(((F25*C25*'Underlying Assumptions'!$E$11)/'Underlying Assumptions'!$E$9)&lt;('Dynamic Population'!O25+'Underlying Assumptions'!$E$8),((F25*C25*'Underlying Assumptions'!$E$11)/'Underlying Assumptions'!$E$9),('Dynamic Population'!O25+'Underlying Assumptions'!$E$8))</f>
        <v>54214.611553341179</v>
      </c>
      <c r="I25" s="538">
        <f>VLOOKUP(A25+'Effective Capacity'!I$15,'Dynamic Population'!A25:H108,7)</f>
        <v>57348.880230115828</v>
      </c>
      <c r="J25" s="520">
        <f>J24-((J$19-'Conservation Input'!I$17)/(A$32-A$20))</f>
        <v>256.08011445575153</v>
      </c>
      <c r="K25" s="538">
        <f>(C25*J25*365)/'Underlying Assumptions'!E$9</f>
        <v>51371.561230163854</v>
      </c>
      <c r="L25" s="538">
        <f>VLOOKUP(A25+'Effective Capacity'!I$15,'Dynamic Population'!A25:K108,11)</f>
        <v>53204.040166166902</v>
      </c>
      <c r="M25" s="588">
        <f>((G25-K25)*'Underlying Assumptions'!E$13)-SUM($M$14:M24)</f>
        <v>6376062.7727690153</v>
      </c>
      <c r="N25" s="538">
        <f t="shared" si="6"/>
        <v>30136333.42567965</v>
      </c>
      <c r="O25" s="499">
        <f>'Summary Baseline Data'!L38</f>
        <v>65498.400000000001</v>
      </c>
      <c r="P25" s="499">
        <f>'Summary Baseline Data'!M38</f>
        <v>5000</v>
      </c>
      <c r="Q25" s="499">
        <f>'Summary Baseline Data'!N38</f>
        <v>4000</v>
      </c>
      <c r="R25" s="500">
        <f>IF('Supply Input'!$I$17='Dynamic Population'!A25,'Supply Input'!$I$12,R24)</f>
        <v>0</v>
      </c>
      <c r="S25" s="500">
        <f>(SUM(O25:R25))*(1-'Water Supply Evaporation'!$I$15)</f>
        <v>70773.48</v>
      </c>
      <c r="T25" s="498">
        <f t="shared" si="1"/>
        <v>65498.400000000001</v>
      </c>
      <c r="U25" s="498">
        <f t="shared" si="2"/>
        <v>14126.838769836148</v>
      </c>
      <c r="V25" s="563">
        <f t="shared" si="3"/>
        <v>17569.439833833094</v>
      </c>
      <c r="W25" s="563">
        <f>IF(V25&gt;0,0,(IF(-V25&gt;'Construction Timing'!I$23,'Construction Timing'!I$23,-V25)))</f>
        <v>0</v>
      </c>
      <c r="X25" s="517">
        <f t="shared" si="4"/>
        <v>19401.918769836142</v>
      </c>
      <c r="Y25" s="499">
        <f t="shared" si="5"/>
        <v>17569.439833833094</v>
      </c>
      <c r="Z25" s="172">
        <f t="shared" si="7"/>
        <v>2019</v>
      </c>
      <c r="AA25" s="175">
        <f t="shared" si="8"/>
        <v>14126.838769836148</v>
      </c>
    </row>
    <row r="26" spans="1:27" x14ac:dyDescent="0.2">
      <c r="A26" s="388">
        <f>'Summary Baseline Data'!A39</f>
        <v>2020</v>
      </c>
      <c r="B26" s="5">
        <v>32</v>
      </c>
      <c r="C26" s="173">
        <f t="shared" si="9"/>
        <v>184195.05648188485</v>
      </c>
      <c r="D26" s="174"/>
      <c r="E26" s="174"/>
      <c r="F26" s="174">
        <f>'Summary Baseline Data'!V39</f>
        <v>270.25232637083775</v>
      </c>
      <c r="G26" s="535">
        <f>(C26*F26*'Underlying Assumptions'!E$11)/'Underlying Assumptions'!E$9</f>
        <v>55759.727982611403</v>
      </c>
      <c r="H26" s="174">
        <f>IF(((F26*C26*'Underlying Assumptions'!$E$11)/'Underlying Assumptions'!$E$9)&lt;('Dynamic Population'!O26+'Underlying Assumptions'!$E$8),((F26*C26*'Underlying Assumptions'!$E$11)/'Underlying Assumptions'!$E$9),('Dynamic Population'!O26+'Underlying Assumptions'!$E$8))</f>
        <v>55759.727982611403</v>
      </c>
      <c r="I26" s="538">
        <f>VLOOKUP(A26+'Effective Capacity'!I$15,'Dynamic Population'!A26:H109,7)</f>
        <v>58983.323316674119</v>
      </c>
      <c r="J26" s="520">
        <f>J25-((J$19-'Conservation Input'!I$17)/(A$32-A$20))</f>
        <v>253.40009537979296</v>
      </c>
      <c r="K26" s="538">
        <f>(C26*J26*365)/'Underlying Assumptions'!E$9</f>
        <v>52282.696615002089</v>
      </c>
      <c r="L26" s="538">
        <f>VLOOKUP(A26+'Effective Capacity'!I$15,'Dynamic Population'!A26:K109,11)</f>
        <v>54135.433679422567</v>
      </c>
      <c r="M26" s="588">
        <f>((G26-K26)*'Underlying Assumptions'!E$13)-SUM($M$14:M25)</f>
        <v>6720199.0709790774</v>
      </c>
      <c r="N26" s="538">
        <f t="shared" si="6"/>
        <v>36856532.496658728</v>
      </c>
      <c r="O26" s="499">
        <f>'Summary Baseline Data'!L39</f>
        <v>65498.400000000001</v>
      </c>
      <c r="P26" s="499">
        <f>'Summary Baseline Data'!M39</f>
        <v>5000</v>
      </c>
      <c r="Q26" s="499">
        <f>'Summary Baseline Data'!N39</f>
        <v>4000</v>
      </c>
      <c r="R26" s="500">
        <f>IF('Supply Input'!$I$17='Dynamic Population'!A26,'Supply Input'!$I$12,R25)</f>
        <v>0</v>
      </c>
      <c r="S26" s="500">
        <f>(SUM(O26:R26))*(1-'Water Supply Evaporation'!$I$15)</f>
        <v>70773.48</v>
      </c>
      <c r="T26" s="498">
        <f t="shared" si="1"/>
        <v>65498.400000000001</v>
      </c>
      <c r="U26" s="498">
        <f t="shared" si="2"/>
        <v>13215.703384997913</v>
      </c>
      <c r="V26" s="563">
        <f t="shared" si="3"/>
        <v>16638.046320577429</v>
      </c>
      <c r="W26" s="563">
        <f>IF(V26&gt;0,0,(IF(-V26&gt;'Construction Timing'!I$23,'Construction Timing'!I$23,-V26)))</f>
        <v>0</v>
      </c>
      <c r="X26" s="517">
        <f t="shared" si="4"/>
        <v>18490.783384997907</v>
      </c>
      <c r="Y26" s="499">
        <f t="shared" si="5"/>
        <v>16638.046320577429</v>
      </c>
      <c r="Z26" s="172">
        <f t="shared" si="7"/>
        <v>2020</v>
      </c>
      <c r="AA26" s="175">
        <f t="shared" si="8"/>
        <v>13215.703384997913</v>
      </c>
    </row>
    <row r="27" spans="1:27" x14ac:dyDescent="0.2">
      <c r="A27" s="388">
        <f>'Summary Baseline Data'!A40</f>
        <v>2021</v>
      </c>
      <c r="B27" s="5">
        <v>33</v>
      </c>
      <c r="C27" s="173">
        <f t="shared" si="9"/>
        <v>189444.61559161855</v>
      </c>
      <c r="D27" s="174"/>
      <c r="E27" s="174"/>
      <c r="F27" s="174">
        <f>'Summary Baseline Data'!V40</f>
        <v>270.25232637083781</v>
      </c>
      <c r="G27" s="535">
        <f>(C27*F27*'Underlying Assumptions'!E$11)/'Underlying Assumptions'!E$9</f>
        <v>57348.880230115828</v>
      </c>
      <c r="H27" s="174">
        <f>IF(((F27*C27*'Underlying Assumptions'!$E$11)/'Underlying Assumptions'!$E$9)&lt;('Dynamic Population'!O27+'Underlying Assumptions'!$E$8),((F27*C27*'Underlying Assumptions'!$E$11)/'Underlying Assumptions'!$E$9),('Dynamic Population'!O27+'Underlying Assumptions'!$E$8))</f>
        <v>57348.880230115828</v>
      </c>
      <c r="I27" s="538">
        <f>VLOOKUP(A27+'Effective Capacity'!I$15,'Dynamic Population'!A27:H110,7)</f>
        <v>60664.348031199326</v>
      </c>
      <c r="J27" s="520">
        <f>J26-((J$19-'Conservation Input'!I$17)/(A$32-A$20))</f>
        <v>250.72007630383439</v>
      </c>
      <c r="K27" s="538">
        <f>(C27*J27*365)/'Underlying Assumptions'!E$9</f>
        <v>53204.040166166902</v>
      </c>
      <c r="L27" s="538">
        <f>VLOOKUP(A27+'Effective Capacity'!I$15,'Dynamic Population'!A27:K110,11)</f>
        <v>55076.70164130885</v>
      </c>
      <c r="M27" s="588">
        <f>((G27-K27)*'Underlying Assumptions'!E$13)-SUM($M$14:M26)</f>
        <v>7078772.1811998934</v>
      </c>
      <c r="N27" s="538">
        <f t="shared" si="6"/>
        <v>43935304.677858621</v>
      </c>
      <c r="O27" s="499">
        <f>'Summary Baseline Data'!L40</f>
        <v>65498.400000000001</v>
      </c>
      <c r="P27" s="499">
        <f>'Summary Baseline Data'!M40</f>
        <v>5000</v>
      </c>
      <c r="Q27" s="499">
        <f>'Summary Baseline Data'!N40</f>
        <v>4000</v>
      </c>
      <c r="R27" s="500">
        <f>IF('Supply Input'!$I$17='Dynamic Population'!A27,'Supply Input'!$I$12,R26)</f>
        <v>0</v>
      </c>
      <c r="S27" s="500">
        <f>(SUM(O27:R27))*(1-'Water Supply Evaporation'!$I$15)</f>
        <v>70773.48</v>
      </c>
      <c r="T27" s="498">
        <f t="shared" si="1"/>
        <v>65498.400000000001</v>
      </c>
      <c r="U27" s="498">
        <f t="shared" si="2"/>
        <v>12294.359833833099</v>
      </c>
      <c r="V27" s="563">
        <f t="shared" si="3"/>
        <v>15696.778358691146</v>
      </c>
      <c r="W27" s="563">
        <f>IF(V27&gt;0,0,(IF(-V27&gt;'Construction Timing'!I$23,'Construction Timing'!I$23,-V27)))</f>
        <v>0</v>
      </c>
      <c r="X27" s="517">
        <f t="shared" si="4"/>
        <v>17569.439833833094</v>
      </c>
      <c r="Y27" s="499">
        <f t="shared" si="5"/>
        <v>15696.778358691146</v>
      </c>
      <c r="Z27" s="172">
        <f t="shared" si="7"/>
        <v>2021</v>
      </c>
      <c r="AA27" s="175">
        <f t="shared" si="8"/>
        <v>12294.359833833099</v>
      </c>
    </row>
    <row r="28" spans="1:27" x14ac:dyDescent="0.2">
      <c r="A28" s="388">
        <f>'Summary Baseline Data'!A41</f>
        <v>2022</v>
      </c>
      <c r="B28" s="5">
        <v>34</v>
      </c>
      <c r="C28" s="173">
        <f t="shared" si="9"/>
        <v>194843.78713597968</v>
      </c>
      <c r="D28" s="174"/>
      <c r="E28" s="174"/>
      <c r="F28" s="174">
        <f>'Summary Baseline Data'!V41</f>
        <v>270.25232637083775</v>
      </c>
      <c r="G28" s="535">
        <f>(C28*F28*'Underlying Assumptions'!E$11)/'Underlying Assumptions'!E$9</f>
        <v>58983.323316674119</v>
      </c>
      <c r="H28" s="174">
        <f>IF(((F28*C28*'Underlying Assumptions'!$E$11)/'Underlying Assumptions'!$E$9)&lt;('Dynamic Population'!O28+'Underlying Assumptions'!$E$8),((F28*C28*'Underlying Assumptions'!$E$11)/'Underlying Assumptions'!$E$9),('Dynamic Population'!O28+'Underlying Assumptions'!$E$8))</f>
        <v>58983.323316674119</v>
      </c>
      <c r="I28" s="538">
        <f>VLOOKUP(A28+'Effective Capacity'!I$15,'Dynamic Population'!A28:H111,7)</f>
        <v>62393.281950088516</v>
      </c>
      <c r="J28" s="520">
        <f>J27-((J$19-'Conservation Input'!I$17)/(A$32-A$20))</f>
        <v>248.04005722787582</v>
      </c>
      <c r="K28" s="538">
        <f>(C28*J28*365)/'Underlying Assumptions'!E$9</f>
        <v>54135.433679422567</v>
      </c>
      <c r="L28" s="538">
        <f>VLOOKUP(A28+'Effective Capacity'!I$15,'Dynamic Population'!A28:K111,11)</f>
        <v>56027.650371016527</v>
      </c>
      <c r="M28" s="588">
        <f>((G28-K28)*'Underlying Assumptions'!E$13)-SUM($M$14:M27)</f>
        <v>7452325.4770078287</v>
      </c>
      <c r="N28" s="538">
        <f t="shared" si="6"/>
        <v>51387630.15486645</v>
      </c>
      <c r="O28" s="499">
        <f>'Summary Baseline Data'!L41</f>
        <v>65498.400000000001</v>
      </c>
      <c r="P28" s="499">
        <f>'Summary Baseline Data'!M41</f>
        <v>5000</v>
      </c>
      <c r="Q28" s="499">
        <f>'Summary Baseline Data'!N41</f>
        <v>4000</v>
      </c>
      <c r="R28" s="500">
        <f>IF('Supply Input'!$I$17='Dynamic Population'!A28,'Supply Input'!$I$12,R27)</f>
        <v>0</v>
      </c>
      <c r="S28" s="500">
        <f>(SUM(O28:R28))*(1-'Water Supply Evaporation'!$I$15)</f>
        <v>70773.48</v>
      </c>
      <c r="T28" s="498">
        <f t="shared" si="1"/>
        <v>65498.400000000001</v>
      </c>
      <c r="U28" s="498">
        <f t="shared" si="2"/>
        <v>11362.966320577434</v>
      </c>
      <c r="V28" s="563">
        <f t="shared" si="3"/>
        <v>14745.829628983469</v>
      </c>
      <c r="W28" s="563">
        <f>IF(V28&gt;0,0,(IF(-V28&gt;'Construction Timing'!I$23,'Construction Timing'!I$23,-V28)))</f>
        <v>0</v>
      </c>
      <c r="X28" s="517">
        <f t="shared" si="4"/>
        <v>16638.046320577429</v>
      </c>
      <c r="Y28" s="499">
        <f t="shared" si="5"/>
        <v>14745.829628983469</v>
      </c>
      <c r="Z28" s="172">
        <f t="shared" si="7"/>
        <v>2022</v>
      </c>
      <c r="AA28" s="175">
        <f t="shared" si="8"/>
        <v>11362.966320577434</v>
      </c>
    </row>
    <row r="29" spans="1:27" x14ac:dyDescent="0.2">
      <c r="A29" s="388">
        <f>'Summary Baseline Data'!A42</f>
        <v>2023</v>
      </c>
      <c r="B29" s="5">
        <v>35</v>
      </c>
      <c r="C29" s="173">
        <f t="shared" si="9"/>
        <v>200396.83506935509</v>
      </c>
      <c r="D29" s="174"/>
      <c r="E29" s="174"/>
      <c r="F29" s="174">
        <f>'Summary Baseline Data'!V42</f>
        <v>270.25232637083775</v>
      </c>
      <c r="G29" s="535">
        <f>(C29*F29*'Underlying Assumptions'!E$11)/'Underlying Assumptions'!E$9</f>
        <v>60664.348031199326</v>
      </c>
      <c r="H29" s="174">
        <f>IF(((F29*C29*'Underlying Assumptions'!$E$11)/'Underlying Assumptions'!$E$9)&lt;('Dynamic Population'!O29+'Underlying Assumptions'!$E$8),((F29*C29*'Underlying Assumptions'!$E$11)/'Underlying Assumptions'!$E$9),('Dynamic Population'!O29+'Underlying Assumptions'!$E$8))</f>
        <v>60664.348031199326</v>
      </c>
      <c r="I29" s="538">
        <f>VLOOKUP(A29+'Effective Capacity'!I$15,'Dynamic Population'!A29:H112,7)</f>
        <v>64171.490485666021</v>
      </c>
      <c r="J29" s="520">
        <f>J28-((J$19-'Conservation Input'!I$17)/(A$32-A$20))</f>
        <v>245.36003815191725</v>
      </c>
      <c r="K29" s="538">
        <f>(C29*J29*365)/'Underlying Assumptions'!E$9</f>
        <v>55076.70164130885</v>
      </c>
      <c r="L29" s="538">
        <f>VLOOKUP(A29+'Effective Capacity'!I$15,'Dynamic Population'!A29:K112,11)</f>
        <v>56988.067127409391</v>
      </c>
      <c r="M29" s="588">
        <f>((G29-K29)*'Underlying Assumptions'!E$13)-SUM($M$14:M28)</f>
        <v>7841421.5779726058</v>
      </c>
      <c r="N29" s="538">
        <f t="shared" si="6"/>
        <v>59229051.732839055</v>
      </c>
      <c r="O29" s="499">
        <f>'Summary Baseline Data'!L42</f>
        <v>65498.400000000001</v>
      </c>
      <c r="P29" s="499">
        <f>'Summary Baseline Data'!M42</f>
        <v>5000</v>
      </c>
      <c r="Q29" s="499">
        <f>'Summary Baseline Data'!N42</f>
        <v>4000</v>
      </c>
      <c r="R29" s="500">
        <f>IF('Supply Input'!$I$17='Dynamic Population'!A29,'Supply Input'!$I$12,R28)</f>
        <v>0</v>
      </c>
      <c r="S29" s="500">
        <f>(SUM(O29:R29))*(1-'Water Supply Evaporation'!$I$15)</f>
        <v>70773.48</v>
      </c>
      <c r="T29" s="498">
        <f t="shared" si="1"/>
        <v>65498.400000000001</v>
      </c>
      <c r="U29" s="498">
        <f t="shared" si="2"/>
        <v>10421.698358691152</v>
      </c>
      <c r="V29" s="563">
        <f t="shared" si="3"/>
        <v>13785.412872590605</v>
      </c>
      <c r="W29" s="563">
        <f>IF(V29&gt;0,0,(IF(-V29&gt;'Construction Timing'!I$23,'Construction Timing'!I$23,-V29)))</f>
        <v>0</v>
      </c>
      <c r="X29" s="517">
        <f t="shared" si="4"/>
        <v>15696.778358691146</v>
      </c>
      <c r="Y29" s="499">
        <f t="shared" si="5"/>
        <v>13785.412872590605</v>
      </c>
      <c r="Z29" s="172">
        <f t="shared" si="7"/>
        <v>2023</v>
      </c>
      <c r="AA29" s="175">
        <f t="shared" si="8"/>
        <v>10421.698358691152</v>
      </c>
    </row>
    <row r="30" spans="1:27" x14ac:dyDescent="0.2">
      <c r="A30" s="388">
        <f>'Summary Baseline Data'!A43</f>
        <v>2024</v>
      </c>
      <c r="B30" s="5">
        <v>36</v>
      </c>
      <c r="C30" s="173">
        <f t="shared" si="9"/>
        <v>206108.1448688317</v>
      </c>
      <c r="D30" s="174"/>
      <c r="E30" s="174"/>
      <c r="F30" s="174">
        <f>'Summary Baseline Data'!V43</f>
        <v>270.25232637083775</v>
      </c>
      <c r="G30" s="535">
        <f>(C30*F30*'Underlying Assumptions'!E$11)/'Underlying Assumptions'!E$9</f>
        <v>62393.281950088516</v>
      </c>
      <c r="H30" s="174">
        <f>IF(((F30*C30*'Underlying Assumptions'!$E$11)/'Underlying Assumptions'!$E$9)&lt;('Dynamic Population'!O30+'Underlying Assumptions'!$E$8),((F30*C30*'Underlying Assumptions'!$E$11)/'Underlying Assumptions'!$E$9),('Dynamic Population'!O30+'Underlying Assumptions'!$E$8))</f>
        <v>62393.281950088516</v>
      </c>
      <c r="I30" s="538">
        <f>VLOOKUP(A30+'Effective Capacity'!I$15,'Dynamic Population'!A30:H113,7)</f>
        <v>66000.377964507497</v>
      </c>
      <c r="J30" s="520">
        <f>J29-((J$19-'Conservation Input'!I$17)/(A$32-A$20))</f>
        <v>242.68001907595868</v>
      </c>
      <c r="K30" s="538">
        <f>(C30*J30*365)/'Underlying Assumptions'!E$9</f>
        <v>56027.650371016527</v>
      </c>
      <c r="L30" s="538">
        <f>VLOOKUP(A30+'Effective Capacity'!I$15,'Dynamic Population'!A30:K113,11)</f>
        <v>58465.696472939213</v>
      </c>
      <c r="M30" s="588">
        <f>((G30-K30)*'Underlying Assumptions'!E$13)-SUM($M$14:M29)</f>
        <v>8246643.0053240284</v>
      </c>
      <c r="N30" s="538">
        <f t="shared" si="6"/>
        <v>67475694.738163084</v>
      </c>
      <c r="O30" s="499">
        <f>'Summary Baseline Data'!L43</f>
        <v>65498.400000000001</v>
      </c>
      <c r="P30" s="499">
        <f>'Summary Baseline Data'!M43</f>
        <v>5000</v>
      </c>
      <c r="Q30" s="499">
        <f>'Summary Baseline Data'!N43</f>
        <v>4000</v>
      </c>
      <c r="R30" s="500">
        <f>IF('Supply Input'!$I$17='Dynamic Population'!A30,'Supply Input'!$I$12,R29)</f>
        <v>0</v>
      </c>
      <c r="S30" s="500">
        <f>(SUM(O30:R30))*(1-'Water Supply Evaporation'!$I$15)</f>
        <v>70773.48</v>
      </c>
      <c r="T30" s="498">
        <f t="shared" si="1"/>
        <v>65498.400000000001</v>
      </c>
      <c r="U30" s="498">
        <f t="shared" si="2"/>
        <v>9470.7496289834744</v>
      </c>
      <c r="V30" s="563">
        <f t="shared" si="3"/>
        <v>12307.783527060783</v>
      </c>
      <c r="W30" s="563">
        <f>IF(V30&gt;0,0,(IF(-V30&gt;'Construction Timing'!I$23,'Construction Timing'!I$23,-V30)))</f>
        <v>0</v>
      </c>
      <c r="X30" s="517">
        <f t="shared" si="4"/>
        <v>14745.829628983469</v>
      </c>
      <c r="Y30" s="499">
        <f t="shared" si="5"/>
        <v>12307.783527060783</v>
      </c>
      <c r="Z30" s="172">
        <f t="shared" si="7"/>
        <v>2024</v>
      </c>
      <c r="AA30" s="175">
        <f t="shared" si="8"/>
        <v>9470.7496289834744</v>
      </c>
    </row>
    <row r="31" spans="1:27" x14ac:dyDescent="0.2">
      <c r="A31" s="388">
        <f>'Summary Baseline Data'!A44</f>
        <v>2025</v>
      </c>
      <c r="B31" s="5">
        <v>37</v>
      </c>
      <c r="C31" s="173">
        <f t="shared" si="9"/>
        <v>211982.22699759339</v>
      </c>
      <c r="D31" s="174"/>
      <c r="E31" s="174"/>
      <c r="F31" s="174">
        <f>'Summary Baseline Data'!V44</f>
        <v>270.25232637083775</v>
      </c>
      <c r="G31" s="535">
        <f>(C31*F31*'Underlying Assumptions'!E$11)/'Underlying Assumptions'!E$9</f>
        <v>64171.490485666021</v>
      </c>
      <c r="H31" s="174">
        <f>IF(((F31*C31*'Underlying Assumptions'!$E$11)/'Underlying Assumptions'!$E$9)&lt;('Dynamic Population'!O31+'Underlying Assumptions'!$E$8),((F31*C31*'Underlying Assumptions'!$E$11)/'Underlying Assumptions'!$E$9),('Dynamic Population'!O31+'Underlying Assumptions'!$E$8))</f>
        <v>64171.490485666021</v>
      </c>
      <c r="I31" s="538">
        <f>VLOOKUP(A31+'Effective Capacity'!I$15,'Dynamic Population'!A31:H114,7)</f>
        <v>67881.388736495981</v>
      </c>
      <c r="J31" s="520">
        <f>J30-((J$19-'Conservation Input'!I$17)/(A$32-A$20))</f>
        <v>240.00000000000011</v>
      </c>
      <c r="K31" s="538">
        <f>(C31*J31*365)/'Underlying Assumptions'!E$9</f>
        <v>56988.067127409391</v>
      </c>
      <c r="L31" s="538">
        <f>VLOOKUP(A31+'Effective Capacity'!I$15,'Dynamic Population'!A31:K114,11)</f>
        <v>59981.26213363999</v>
      </c>
      <c r="M31" s="588">
        <f>((G31-K31)*'Underlying Assumptions'!E$13)-SUM($M$14:M30)</f>
        <v>8668592.8593571931</v>
      </c>
      <c r="N31" s="538">
        <f t="shared" si="6"/>
        <v>76144287.597520277</v>
      </c>
      <c r="O31" s="499">
        <f>'Summary Baseline Data'!L44</f>
        <v>65498.400000000001</v>
      </c>
      <c r="P31" s="499">
        <f>'Summary Baseline Data'!M44</f>
        <v>5000</v>
      </c>
      <c r="Q31" s="499">
        <f>'Summary Baseline Data'!N44</f>
        <v>4000</v>
      </c>
      <c r="R31" s="500">
        <f>IF('Supply Input'!$I$17='Dynamic Population'!A31,'Supply Input'!$I$12,R30)</f>
        <v>0</v>
      </c>
      <c r="S31" s="500">
        <f>(SUM(O31:R31))*(1-'Water Supply Evaporation'!$I$15)</f>
        <v>70773.48</v>
      </c>
      <c r="T31" s="498">
        <f t="shared" si="1"/>
        <v>65498.400000000001</v>
      </c>
      <c r="U31" s="498">
        <f t="shared" si="2"/>
        <v>8510.3328725906104</v>
      </c>
      <c r="V31" s="563">
        <f t="shared" si="3"/>
        <v>10792.217866360006</v>
      </c>
      <c r="W31" s="563">
        <f>IF(V31&gt;0,0,(IF(-V31&gt;'Construction Timing'!I$23,'Construction Timing'!I$23,-V31)))</f>
        <v>0</v>
      </c>
      <c r="X31" s="517">
        <f t="shared" si="4"/>
        <v>13785.412872590605</v>
      </c>
      <c r="Y31" s="499">
        <f t="shared" si="5"/>
        <v>10792.217866360006</v>
      </c>
      <c r="Z31" s="172">
        <f t="shared" si="7"/>
        <v>2025</v>
      </c>
      <c r="AA31" s="175">
        <f t="shared" si="8"/>
        <v>8510.3328725906104</v>
      </c>
    </row>
    <row r="32" spans="1:27" x14ac:dyDescent="0.2">
      <c r="A32" s="388">
        <f>'Summary Baseline Data'!A45</f>
        <v>2026</v>
      </c>
      <c r="B32" s="5">
        <v>38</v>
      </c>
      <c r="C32" s="173">
        <f t="shared" si="9"/>
        <v>218023.7204670248</v>
      </c>
      <c r="D32" s="174"/>
      <c r="E32" s="174"/>
      <c r="F32" s="174">
        <f>'Summary Baseline Data'!V45</f>
        <v>270.25232637083775</v>
      </c>
      <c r="G32" s="535">
        <f>(C32*F32*'Underlying Assumptions'!E$11)/'Underlying Assumptions'!E$9</f>
        <v>66000.377964507497</v>
      </c>
      <c r="H32" s="174">
        <f>IF(((F32*C32*'Underlying Assumptions'!$E$11)/'Underlying Assumptions'!$E$9)&lt;('Dynamic Population'!O32+'Underlying Assumptions'!$E$8),((F32*C32*'Underlying Assumptions'!$E$11)/'Underlying Assumptions'!$E$9),('Dynamic Population'!O32+'Underlying Assumptions'!$E$8))</f>
        <v>66000.377964507497</v>
      </c>
      <c r="I32" s="538">
        <f>VLOOKUP(A32+'Effective Capacity'!I$15,'Dynamic Population'!A32:H115,7)</f>
        <v>69816.00831548612</v>
      </c>
      <c r="J32" s="520">
        <f>J31-((J$31-'Conservation Input'!I$22)/(A$57-A$32))</f>
        <v>239.40000000000012</v>
      </c>
      <c r="K32" s="538">
        <f>(C32*J32*365)/'Underlying Assumptions'!E$9</f>
        <v>58465.696472939213</v>
      </c>
      <c r="L32" s="538">
        <f>VLOOKUP(A32+'Effective Capacity'!I$15,'Dynamic Population'!A32:K115,11)</f>
        <v>61535.726275040572</v>
      </c>
      <c r="M32" s="588">
        <f>((G32-K32)*'Underlying Assumptions'!E$13)-SUM($M$14:M31)</f>
        <v>3723336.2131035328</v>
      </c>
      <c r="N32" s="538">
        <f t="shared" si="6"/>
        <v>79867623.81062381</v>
      </c>
      <c r="O32" s="499">
        <f>'Summary Baseline Data'!L45</f>
        <v>65498.400000000001</v>
      </c>
      <c r="P32" s="499">
        <f>'Summary Baseline Data'!M45</f>
        <v>5000</v>
      </c>
      <c r="Q32" s="499">
        <f>'Summary Baseline Data'!N45</f>
        <v>4000</v>
      </c>
      <c r="R32" s="500">
        <f>IF('Supply Input'!$I$17='Dynamic Population'!A32,'Supply Input'!$I$12,R31)</f>
        <v>0</v>
      </c>
      <c r="S32" s="500">
        <f>(SUM(O32:R32))*(1-'Water Supply Evaporation'!$I$15)</f>
        <v>70773.48</v>
      </c>
      <c r="T32" s="498">
        <f t="shared" si="1"/>
        <v>65498.400000000001</v>
      </c>
      <c r="U32" s="498">
        <f t="shared" si="2"/>
        <v>7032.7035270607885</v>
      </c>
      <c r="V32" s="563">
        <f t="shared" si="3"/>
        <v>9237.7537249594243</v>
      </c>
      <c r="W32" s="563">
        <f>IF(V32&gt;0,0,(IF(-V32&gt;'Construction Timing'!I$23,'Construction Timing'!I$23,-V32)))</f>
        <v>0</v>
      </c>
      <c r="X32" s="517">
        <f t="shared" si="4"/>
        <v>12307.783527060783</v>
      </c>
      <c r="Y32" s="499">
        <f t="shared" si="5"/>
        <v>9237.7537249594243</v>
      </c>
      <c r="Z32" s="172">
        <f t="shared" si="7"/>
        <v>2026</v>
      </c>
      <c r="AA32" s="175">
        <f t="shared" si="8"/>
        <v>7032.7035270607885</v>
      </c>
    </row>
    <row r="33" spans="1:27" x14ac:dyDescent="0.2">
      <c r="A33" s="388">
        <f>'Summary Baseline Data'!A46</f>
        <v>2027</v>
      </c>
      <c r="B33" s="5">
        <v>39</v>
      </c>
      <c r="C33" s="173">
        <f t="shared" si="9"/>
        <v>224237.39650033502</v>
      </c>
      <c r="D33" s="174"/>
      <c r="E33" s="174"/>
      <c r="F33" s="174">
        <f>'Summary Baseline Data'!V46</f>
        <v>270.25232637083781</v>
      </c>
      <c r="G33" s="535">
        <f>(C33*F33*'Underlying Assumptions'!E$11)/'Underlying Assumptions'!E$9</f>
        <v>67881.388736495981</v>
      </c>
      <c r="H33" s="174">
        <f>IF(((F33*C33*'Underlying Assumptions'!$E$11)/'Underlying Assumptions'!$E$9)&lt;('Dynamic Population'!O33+'Underlying Assumptions'!$E$8),((F33*C33*'Underlying Assumptions'!$E$11)/'Underlying Assumptions'!$E$9),('Dynamic Population'!O33+'Underlying Assumptions'!$E$8))</f>
        <v>67881.388736495981</v>
      </c>
      <c r="I33" s="538">
        <f>VLOOKUP(A33+'Effective Capacity'!I$15,'Dynamic Population'!A33:H116,7)</f>
        <v>71805.764552477456</v>
      </c>
      <c r="J33" s="520">
        <f>J32-((J$31-'Conservation Input'!I$22)/(A$57-A$32))</f>
        <v>238.80000000000013</v>
      </c>
      <c r="K33" s="538">
        <f>(C33*J33*365)/'Underlying Assumptions'!E$9</f>
        <v>59981.26213363999</v>
      </c>
      <c r="L33" s="538">
        <f>VLOOKUP(A33+'Effective Capacity'!I$15,'Dynamic Population'!A33:K116,11)</f>
        <v>63130.075092332925</v>
      </c>
      <c r="M33" s="588">
        <f>((G33-K33)*'Underlying Assumptions'!E$13)-SUM($M$14:M32)</f>
        <v>3873718.1796496958</v>
      </c>
      <c r="N33" s="538">
        <f t="shared" si="6"/>
        <v>83741341.990273505</v>
      </c>
      <c r="O33" s="499">
        <f>'Summary Baseline Data'!L46</f>
        <v>65498.400000000001</v>
      </c>
      <c r="P33" s="499">
        <f>'Summary Baseline Data'!M46</f>
        <v>5000</v>
      </c>
      <c r="Q33" s="499">
        <f>'Summary Baseline Data'!N46</f>
        <v>4000</v>
      </c>
      <c r="R33" s="500">
        <f>IF('Supply Input'!$I$17='Dynamic Population'!A33,'Supply Input'!$I$12,R32)</f>
        <v>0</v>
      </c>
      <c r="S33" s="500">
        <f>(SUM(O33:R33))*(1-'Water Supply Evaporation'!$I$15)</f>
        <v>70773.48</v>
      </c>
      <c r="T33" s="498">
        <f>IF(K33&lt;O33,O33,K33)</f>
        <v>65498.400000000001</v>
      </c>
      <c r="U33" s="498">
        <f t="shared" si="2"/>
        <v>5517.1378663600117</v>
      </c>
      <c r="V33" s="563">
        <f t="shared" si="3"/>
        <v>7643.4049076670708</v>
      </c>
      <c r="W33" s="563">
        <f>IF(V33&gt;0,0,(IF(-V33&gt;'Construction Timing'!I$23,'Construction Timing'!I$23,-V33)))</f>
        <v>0</v>
      </c>
      <c r="X33" s="517">
        <f t="shared" si="4"/>
        <v>10792.217866360006</v>
      </c>
      <c r="Y33" s="499">
        <f t="shared" si="5"/>
        <v>7643.4049076670708</v>
      </c>
      <c r="Z33" s="172">
        <f t="shared" si="7"/>
        <v>2027</v>
      </c>
      <c r="AA33" s="175">
        <f t="shared" si="8"/>
        <v>5517.1378663600117</v>
      </c>
    </row>
    <row r="34" spans="1:27" x14ac:dyDescent="0.2">
      <c r="A34" s="388">
        <f>'Summary Baseline Data'!A47</f>
        <v>2028</v>
      </c>
      <c r="B34" s="5">
        <v>40</v>
      </c>
      <c r="C34" s="173">
        <f t="shared" si="9"/>
        <v>230628.16230059456</v>
      </c>
      <c r="D34" s="174"/>
      <c r="E34" s="174"/>
      <c r="F34" s="174">
        <f>'Summary Baseline Data'!V47</f>
        <v>270.25232637083781</v>
      </c>
      <c r="G34" s="535">
        <f>(C34*F34*'Underlying Assumptions'!E$11)/'Underlying Assumptions'!E$9</f>
        <v>69816.00831548612</v>
      </c>
      <c r="H34" s="174">
        <f>IF(((F34*C34*'Underlying Assumptions'!$E$11)/'Underlying Assumptions'!$E$9)&lt;('Dynamic Population'!O34+'Underlying Assumptions'!$E$8),((F34*C34*'Underlying Assumptions'!$E$11)/'Underlying Assumptions'!$E$9),('Dynamic Population'!O34+'Underlying Assumptions'!$E$8))</f>
        <v>69816.00831548612</v>
      </c>
      <c r="I34" s="538">
        <f>VLOOKUP(A34+'Effective Capacity'!I$15,'Dynamic Population'!A34:H117,7)</f>
        <v>73852.228842223063</v>
      </c>
      <c r="J34" s="520">
        <f>J33-((J$31-'Conservation Input'!I$22)/(A$57-A$32))</f>
        <v>238.20000000000013</v>
      </c>
      <c r="K34" s="538">
        <f>(C34*J34*365)/'Underlying Assumptions'!E$9</f>
        <v>61535.726275040572</v>
      </c>
      <c r="L34" s="538">
        <f>VLOOKUP(A34+'Effective Capacity'!I$15,'Dynamic Population'!A34:K117,11)</f>
        <v>64765.319398544059</v>
      </c>
      <c r="M34" s="588">
        <f>((G34-K34)*'Underlying Assumptions'!E$13)-SUM($M$14:M33)</f>
        <v>4029647.6384493113</v>
      </c>
      <c r="N34" s="538">
        <f t="shared" si="6"/>
        <v>87770989.628722817</v>
      </c>
      <c r="O34" s="499">
        <f>'Summary Baseline Data'!L47</f>
        <v>65498.400000000001</v>
      </c>
      <c r="P34" s="499">
        <f>'Summary Baseline Data'!M47</f>
        <v>5000</v>
      </c>
      <c r="Q34" s="499">
        <f>'Summary Baseline Data'!N47</f>
        <v>4000</v>
      </c>
      <c r="R34" s="500">
        <f>IF('Supply Input'!$I$17='Dynamic Population'!A34,'Supply Input'!$I$12,R33)</f>
        <v>0</v>
      </c>
      <c r="S34" s="500">
        <f>(SUM(O34:R34))*(1-'Water Supply Evaporation'!$I$15)</f>
        <v>70773.48</v>
      </c>
      <c r="T34" s="498">
        <f t="shared" si="1"/>
        <v>65498.400000000001</v>
      </c>
      <c r="U34" s="498">
        <f t="shared" si="2"/>
        <v>3962.6737249594298</v>
      </c>
      <c r="V34" s="563">
        <f t="shared" si="3"/>
        <v>6008.1606014559366</v>
      </c>
      <c r="W34" s="563">
        <f>IF(V34&gt;0,0,(IF(-V34&gt;'Construction Timing'!I$23,'Construction Timing'!I$23,-V34)))</f>
        <v>0</v>
      </c>
      <c r="X34" s="517">
        <f t="shared" si="4"/>
        <v>9237.7537249594243</v>
      </c>
      <c r="Y34" s="499">
        <f t="shared" si="5"/>
        <v>6008.1606014559366</v>
      </c>
      <c r="Z34" s="172">
        <f t="shared" si="7"/>
        <v>2028</v>
      </c>
      <c r="AA34" s="175">
        <f t="shared" si="8"/>
        <v>3962.6737249594298</v>
      </c>
    </row>
    <row r="35" spans="1:27" x14ac:dyDescent="0.2">
      <c r="A35" s="388">
        <f>'Summary Baseline Data'!A48</f>
        <v>2029</v>
      </c>
      <c r="B35" s="5">
        <v>41</v>
      </c>
      <c r="C35" s="173">
        <f t="shared" si="9"/>
        <v>237201.06492616149</v>
      </c>
      <c r="D35" s="174"/>
      <c r="E35" s="174"/>
      <c r="F35" s="174">
        <f>'Summary Baseline Data'!V48</f>
        <v>270.25232637083775</v>
      </c>
      <c r="G35" s="535">
        <f>(C35*F35*'Underlying Assumptions'!E$11)/'Underlying Assumptions'!E$9</f>
        <v>71805.764552477456</v>
      </c>
      <c r="H35" s="174">
        <f>IF(((F35*C35*'Underlying Assumptions'!$E$11)/'Underlying Assumptions'!$E$9)&lt;('Dynamic Population'!O35+'Underlying Assumptions'!$E$8),((F35*C35*'Underlying Assumptions'!$E$11)/'Underlying Assumptions'!$E$9),('Dynamic Population'!O35+'Underlying Assumptions'!$E$8))</f>
        <v>71805.764552477456</v>
      </c>
      <c r="I35" s="538">
        <f>VLOOKUP(A35+'Effective Capacity'!I$15,'Dynamic Population'!A35:H118,7)</f>
        <v>75957.017364226413</v>
      </c>
      <c r="J35" s="520">
        <f>J34-((J$31-'Conservation Input'!I$22)/(A$57-A$32))</f>
        <v>237.60000000000014</v>
      </c>
      <c r="K35" s="538">
        <f>(C35*J35*365)/'Underlying Assumptions'!E$9</f>
        <v>63130.075092332925</v>
      </c>
      <c r="L35" s="538">
        <f>VLOOKUP(A35+'Effective Capacity'!I$15,'Dynamic Population'!A35:K118,11)</f>
        <v>66442.495226715459</v>
      </c>
      <c r="M35" s="588">
        <f>((G35-K35)*'Underlying Assumptions'!E$13)-SUM($M$14:M34)</f>
        <v>4191318.6488092095</v>
      </c>
      <c r="N35" s="538">
        <f t="shared" si="6"/>
        <v>91962308.277532026</v>
      </c>
      <c r="O35" s="499">
        <f>'Summary Baseline Data'!L48</f>
        <v>65498.400000000001</v>
      </c>
      <c r="P35" s="499">
        <f>'Summary Baseline Data'!M48</f>
        <v>5000</v>
      </c>
      <c r="Q35" s="499">
        <f>'Summary Baseline Data'!N48</f>
        <v>4000</v>
      </c>
      <c r="R35" s="500">
        <f>IF('Supply Input'!$I$17='Dynamic Population'!A35,'Supply Input'!$I$12,R34)</f>
        <v>0</v>
      </c>
      <c r="S35" s="500">
        <f>(SUM(O35:R35))*(1-'Water Supply Evaporation'!$I$15)</f>
        <v>70773.48</v>
      </c>
      <c r="T35" s="498">
        <f t="shared" si="1"/>
        <v>65498.400000000001</v>
      </c>
      <c r="U35" s="498">
        <f t="shared" si="2"/>
        <v>2368.3249076670763</v>
      </c>
      <c r="V35" s="563">
        <f t="shared" si="3"/>
        <v>4330.9847732845374</v>
      </c>
      <c r="W35" s="563">
        <f>IF(V35&gt;0,0,(IF(-V35&gt;'Construction Timing'!I$23,'Construction Timing'!I$23,-V35)))</f>
        <v>0</v>
      </c>
      <c r="X35" s="517">
        <f t="shared" si="4"/>
        <v>7643.4049076670708</v>
      </c>
      <c r="Y35" s="499">
        <f t="shared" si="5"/>
        <v>4330.9847732845374</v>
      </c>
      <c r="Z35" s="172">
        <f t="shared" si="7"/>
        <v>2029</v>
      </c>
      <c r="AA35" s="175">
        <f t="shared" si="8"/>
        <v>2368.3249076670763</v>
      </c>
    </row>
    <row r="36" spans="1:27" x14ac:dyDescent="0.2">
      <c r="A36" s="388">
        <f>'Summary Baseline Data'!A49</f>
        <v>2030</v>
      </c>
      <c r="B36" s="5">
        <v>42</v>
      </c>
      <c r="C36" s="173">
        <f t="shared" si="9"/>
        <v>243961.2952765571</v>
      </c>
      <c r="D36" s="174"/>
      <c r="E36" s="174"/>
      <c r="F36" s="174">
        <f>'Summary Baseline Data'!V49</f>
        <v>270.25232637083775</v>
      </c>
      <c r="G36" s="535">
        <f>(C36*F36*'Underlying Assumptions'!E$11)/'Underlying Assumptions'!E$9</f>
        <v>73852.228842223063</v>
      </c>
      <c r="H36" s="174">
        <f>IF(((F36*C36*'Underlying Assumptions'!$E$11)/'Underlying Assumptions'!$E$9)&lt;('Dynamic Population'!O36+'Underlying Assumptions'!$E$8),((F36*C36*'Underlying Assumptions'!$E$11)/'Underlying Assumptions'!$E$9),('Dynamic Population'!O36+'Underlying Assumptions'!$E$8))</f>
        <v>73852.228842223063</v>
      </c>
      <c r="I36" s="538">
        <f>VLOOKUP(A36+'Effective Capacity'!I$15,'Dynamic Population'!A36:H119,7)</f>
        <v>78121.792359106868</v>
      </c>
      <c r="J36" s="520">
        <f>J35-((J$31-'Conservation Input'!I$22)/(A$57-A$32))</f>
        <v>237.00000000000014</v>
      </c>
      <c r="K36" s="538">
        <f>(C36*J36*365)/'Underlying Assumptions'!E$9</f>
        <v>64765.319398544059</v>
      </c>
      <c r="L36" s="538">
        <f>VLOOKUP(A36+'Effective Capacity'!I$15,'Dynamic Population'!A36:K119,11)</f>
        <v>68162.664446411174</v>
      </c>
      <c r="M36" s="588">
        <f>((G36-K36)*'Underlying Assumptions'!E$13)-SUM($M$14:M35)</f>
        <v>4358931.8254654109</v>
      </c>
      <c r="N36" s="538">
        <f t="shared" si="6"/>
        <v>96321240.102997437</v>
      </c>
      <c r="O36" s="499">
        <f>'Summary Baseline Data'!L49</f>
        <v>65498.400000000001</v>
      </c>
      <c r="P36" s="499">
        <f>'Summary Baseline Data'!M49</f>
        <v>5000</v>
      </c>
      <c r="Q36" s="499">
        <f>'Summary Baseline Data'!N49</f>
        <v>4000</v>
      </c>
      <c r="R36" s="500">
        <f>IF('Supply Input'!$I$17='Dynamic Population'!A36,'Supply Input'!$I$12,R35)</f>
        <v>0</v>
      </c>
      <c r="S36" s="500">
        <f>(SUM(O36:R36))*(1-'Water Supply Evaporation'!$I$15)</f>
        <v>70773.48</v>
      </c>
      <c r="T36" s="498">
        <f t="shared" si="1"/>
        <v>65498.400000000001</v>
      </c>
      <c r="U36" s="498">
        <f t="shared" si="2"/>
        <v>733.08060145594209</v>
      </c>
      <c r="V36" s="563">
        <f t="shared" si="3"/>
        <v>2610.8155535888218</v>
      </c>
      <c r="W36" s="563">
        <f>IF(V36&gt;0,0,(IF(-V36&gt;'Construction Timing'!I$23,'Construction Timing'!I$23,-V36)))</f>
        <v>0</v>
      </c>
      <c r="X36" s="517">
        <f t="shared" si="4"/>
        <v>6008.1606014559366</v>
      </c>
      <c r="Y36" s="499">
        <f t="shared" si="5"/>
        <v>2610.8155535888218</v>
      </c>
      <c r="Z36" s="172">
        <f t="shared" si="7"/>
        <v>2030</v>
      </c>
      <c r="AA36" s="175">
        <f t="shared" si="8"/>
        <v>733.08060145594209</v>
      </c>
    </row>
    <row r="37" spans="1:27" x14ac:dyDescent="0.2">
      <c r="A37" s="388">
        <f>'Summary Baseline Data'!A50</f>
        <v>2031</v>
      </c>
      <c r="B37" s="5">
        <v>43</v>
      </c>
      <c r="C37" s="173">
        <f t="shared" si="9"/>
        <v>250914.19219193896</v>
      </c>
      <c r="D37" s="174"/>
      <c r="E37" s="174"/>
      <c r="F37" s="174">
        <f>'Summary Baseline Data'!V50</f>
        <v>270.25232637083775</v>
      </c>
      <c r="G37" s="535">
        <f>(C37*F37*'Underlying Assumptions'!E$11)/'Underlying Assumptions'!E$9</f>
        <v>75957.017364226413</v>
      </c>
      <c r="H37" s="174">
        <f>IF(((F37*C37*'Underlying Assumptions'!$E$11)/'Underlying Assumptions'!$E$9)&lt;('Dynamic Population'!O37+'Underlying Assumptions'!$E$8),((F37*C37*'Underlying Assumptions'!$E$11)/'Underlying Assumptions'!$E$9),('Dynamic Population'!O37+'Underlying Assumptions'!$E$8))</f>
        <v>75957.017364226413</v>
      </c>
      <c r="I37" s="538">
        <f>VLOOKUP(A37+'Effective Capacity'!I$15,'Dynamic Population'!A37:H120,7)</f>
        <v>80348.263441341405</v>
      </c>
      <c r="J37" s="520">
        <f>J36-((J$31-'Conservation Input'!I$22)/(A$57-A$32))</f>
        <v>236.40000000000015</v>
      </c>
      <c r="K37" s="538">
        <f>(C37*J37*365)/'Underlying Assumptions'!E$9</f>
        <v>66442.495226715459</v>
      </c>
      <c r="L37" s="538">
        <f>VLOOKUP(A37+'Effective Capacity'!I$15,'Dynamic Population'!A37:K120,11)</f>
        <v>69926.915394881638</v>
      </c>
      <c r="M37" s="588">
        <f>((G37-K37)*'Underlying Assumptions'!E$13)-SUM($M$14:M36)</f>
        <v>4532694.5546186715</v>
      </c>
      <c r="N37" s="538">
        <f t="shared" si="6"/>
        <v>100853934.65761611</v>
      </c>
      <c r="O37" s="499">
        <f>'Summary Baseline Data'!L50</f>
        <v>65498.400000000001</v>
      </c>
      <c r="P37" s="499">
        <f>'Summary Baseline Data'!M50</f>
        <v>5000</v>
      </c>
      <c r="Q37" s="499">
        <f>'Summary Baseline Data'!N50</f>
        <v>4000</v>
      </c>
      <c r="R37" s="500">
        <f>IF('Supply Input'!$I$17='Dynamic Population'!A37,'Supply Input'!$I$12,R36)</f>
        <v>0</v>
      </c>
      <c r="S37" s="500">
        <f>(SUM(O37:R37))*(1-'Water Supply Evaporation'!$I$15)</f>
        <v>70773.48</v>
      </c>
      <c r="T37" s="498">
        <f t="shared" si="1"/>
        <v>66442.495226715459</v>
      </c>
      <c r="U37" s="498">
        <f t="shared" si="2"/>
        <v>-944.0952267154571</v>
      </c>
      <c r="V37" s="563">
        <f t="shared" si="3"/>
        <v>846.56460511835758</v>
      </c>
      <c r="W37" s="563">
        <f>IF(V37&gt;0,0,(IF(-V37&gt;'Construction Timing'!I$23,'Construction Timing'!I$23,-V37)))</f>
        <v>0</v>
      </c>
      <c r="X37" s="517">
        <f t="shared" si="4"/>
        <v>4330.9847732845374</v>
      </c>
      <c r="Y37" s="499">
        <f t="shared" si="5"/>
        <v>846.56460511835758</v>
      </c>
      <c r="Z37" s="172">
        <f t="shared" si="7"/>
        <v>2031</v>
      </c>
      <c r="AA37" s="175">
        <f t="shared" si="8"/>
        <v>0</v>
      </c>
    </row>
    <row r="38" spans="1:27" x14ac:dyDescent="0.2">
      <c r="A38" s="388">
        <f>'Summary Baseline Data'!A51</f>
        <v>2032</v>
      </c>
      <c r="B38" s="5">
        <v>44</v>
      </c>
      <c r="C38" s="173">
        <f t="shared" si="9"/>
        <v>258065.24666940921</v>
      </c>
      <c r="D38" s="174"/>
      <c r="E38" s="174"/>
      <c r="F38" s="174">
        <f>'Summary Baseline Data'!V51</f>
        <v>270.25232637083775</v>
      </c>
      <c r="G38" s="535">
        <f>(C38*F38*'Underlying Assumptions'!E$11)/'Underlying Assumptions'!E$9</f>
        <v>78121.792359106868</v>
      </c>
      <c r="H38" s="174">
        <f>IF(((F38*C38*'Underlying Assumptions'!$E$11)/'Underlying Assumptions'!$E$9)&lt;('Dynamic Population'!O38+'Underlying Assumptions'!$E$8),((F38*C38*'Underlying Assumptions'!$E$11)/'Underlying Assumptions'!$E$9),('Dynamic Population'!O38+'Underlying Assumptions'!$E$8))</f>
        <v>78121.792359106868</v>
      </c>
      <c r="I38" s="538">
        <f>VLOOKUP(A38+'Effective Capacity'!I$15,'Dynamic Population'!A38:H121,7)</f>
        <v>82638.188949419622</v>
      </c>
      <c r="J38" s="520">
        <f>J37-((J$31-'Conservation Input'!I$22)/(A$57-A$32))</f>
        <v>235.80000000000015</v>
      </c>
      <c r="K38" s="538">
        <f>(C38*J38*365)/'Underlying Assumptions'!E$9</f>
        <v>68162.664446411174</v>
      </c>
      <c r="L38" s="538">
        <f>VLOOKUP(A38+'Effective Capacity'!I$15,'Dynamic Population'!A38:K121,11)</f>
        <v>71736.36352321833</v>
      </c>
      <c r="M38" s="588">
        <f>((G38-K38)*'Underlying Assumptions'!E$13)-SUM($M$14:M37)</f>
        <v>4712821.2169582546</v>
      </c>
      <c r="N38" s="538">
        <f t="shared" si="6"/>
        <v>105566755.87457436</v>
      </c>
      <c r="O38" s="499">
        <f>'Summary Baseline Data'!L51</f>
        <v>65498.400000000001</v>
      </c>
      <c r="P38" s="499">
        <f>'Summary Baseline Data'!M51</f>
        <v>5000</v>
      </c>
      <c r="Q38" s="499">
        <f>'Summary Baseline Data'!N51</f>
        <v>4000</v>
      </c>
      <c r="R38" s="500">
        <f>IF('Supply Input'!$I$17='Dynamic Population'!A38,'Supply Input'!$I$12,R37)</f>
        <v>0</v>
      </c>
      <c r="S38" s="500">
        <f>(SUM(O38:R38))*(1-'Water Supply Evaporation'!$I$15)</f>
        <v>70773.48</v>
      </c>
      <c r="T38" s="498">
        <f t="shared" si="1"/>
        <v>68162.664446411174</v>
      </c>
      <c r="U38" s="498">
        <f t="shared" si="2"/>
        <v>-2664.2644464111727</v>
      </c>
      <c r="V38" s="563">
        <f t="shared" si="3"/>
        <v>-962.88352321833372</v>
      </c>
      <c r="W38" s="563">
        <f>IF(V38&gt;0,0,(IF(-V38&gt;'Construction Timing'!I$23,'Construction Timing'!I$23,-V38)))</f>
        <v>962.88352321833372</v>
      </c>
      <c r="X38" s="517">
        <f t="shared" si="4"/>
        <v>2610.8155535888218</v>
      </c>
      <c r="Y38" s="499">
        <f t="shared" si="5"/>
        <v>0</v>
      </c>
      <c r="Z38" s="172">
        <f t="shared" si="7"/>
        <v>2032</v>
      </c>
      <c r="AA38" s="175">
        <f t="shared" si="8"/>
        <v>0</v>
      </c>
    </row>
    <row r="39" spans="1:27" x14ac:dyDescent="0.2">
      <c r="A39" s="388">
        <f>'Summary Baseline Data'!A52</f>
        <v>2033</v>
      </c>
      <c r="B39" s="5">
        <v>45</v>
      </c>
      <c r="C39" s="173">
        <f t="shared" si="9"/>
        <v>265420.10619948735</v>
      </c>
      <c r="D39" s="174"/>
      <c r="E39" s="174"/>
      <c r="F39" s="174">
        <f>'Summary Baseline Data'!V52</f>
        <v>270.25232637083775</v>
      </c>
      <c r="G39" s="535">
        <f>(C39*F39*'Underlying Assumptions'!E$11)/'Underlying Assumptions'!E$9</f>
        <v>80348.263441341405</v>
      </c>
      <c r="H39" s="174">
        <f>IF(((F39*C39*'Underlying Assumptions'!$E$11)/'Underlying Assumptions'!$E$9)&lt;('Dynamic Population'!O39+'Underlying Assumptions'!$E$8),((F39*C39*'Underlying Assumptions'!$E$11)/'Underlying Assumptions'!$E$9),('Dynamic Population'!O39+'Underlying Assumptions'!$E$8))</f>
        <v>80348.263441341405</v>
      </c>
      <c r="I39" s="538">
        <f>VLOOKUP(A39+'Effective Capacity'!I$15,'Dynamic Population'!A39:H122,7)</f>
        <v>84993.377334478078</v>
      </c>
      <c r="J39" s="520">
        <f>J38-((J$31-'Conservation Input'!I$22)/(A$57-A$32))</f>
        <v>235.20000000000016</v>
      </c>
      <c r="K39" s="538">
        <f>(C39*J39*365)/'Underlying Assumptions'!E$9</f>
        <v>69926.915394881638</v>
      </c>
      <c r="L39" s="538">
        <f>VLOOKUP(A39+'Effective Capacity'!I$15,'Dynamic Population'!A39:K122,11)</f>
        <v>73592.152057840693</v>
      </c>
      <c r="M39" s="588">
        <f>((G39-K39)*'Underlying Assumptions'!E$13)-SUM($M$14:M38)</f>
        <v>4899533.4178991616</v>
      </c>
      <c r="N39" s="538">
        <f t="shared" si="6"/>
        <v>110466289.29247352</v>
      </c>
      <c r="O39" s="499">
        <f>'Summary Baseline Data'!L52</f>
        <v>65498.400000000001</v>
      </c>
      <c r="P39" s="499">
        <f>'Summary Baseline Data'!M52</f>
        <v>5000</v>
      </c>
      <c r="Q39" s="499">
        <f>'Summary Baseline Data'!N52</f>
        <v>4000</v>
      </c>
      <c r="R39" s="500">
        <f>IF('Supply Input'!$I$17='Dynamic Population'!A39,'Supply Input'!$I$12,R38)</f>
        <v>0</v>
      </c>
      <c r="S39" s="500">
        <f>(SUM(O39:R39))*(1-'Water Supply Evaporation'!$I$15)</f>
        <v>70773.48</v>
      </c>
      <c r="T39" s="498">
        <f t="shared" si="1"/>
        <v>69926.915394881638</v>
      </c>
      <c r="U39" s="498">
        <f t="shared" si="2"/>
        <v>-4428.5153948816369</v>
      </c>
      <c r="V39" s="563">
        <f t="shared" si="3"/>
        <v>-2818.6720578406967</v>
      </c>
      <c r="W39" s="563">
        <f>IF(V39&gt;0,0,(IF(-V39&gt;'Construction Timing'!I$23,'Construction Timing'!I$23,-V39)))</f>
        <v>2818.6720578406967</v>
      </c>
      <c r="X39" s="517">
        <f t="shared" si="4"/>
        <v>846.56460511835758</v>
      </c>
      <c r="Y39" s="499">
        <f t="shared" si="5"/>
        <v>0</v>
      </c>
      <c r="Z39" s="172">
        <f t="shared" si="7"/>
        <v>2033</v>
      </c>
      <c r="AA39" s="175">
        <f t="shared" si="8"/>
        <v>0</v>
      </c>
    </row>
    <row r="40" spans="1:27" x14ac:dyDescent="0.2">
      <c r="A40" s="388">
        <f>'Summary Baseline Data'!A53</f>
        <v>2034</v>
      </c>
      <c r="B40" s="5">
        <v>46</v>
      </c>
      <c r="C40" s="173">
        <f t="shared" si="9"/>
        <v>272984.5792261727</v>
      </c>
      <c r="D40" s="174"/>
      <c r="E40" s="174"/>
      <c r="F40" s="174">
        <f>'Summary Baseline Data'!V53</f>
        <v>270.25232637083775</v>
      </c>
      <c r="G40" s="535">
        <f>(C40*F40*'Underlying Assumptions'!E$11)/'Underlying Assumptions'!E$9</f>
        <v>82638.188949419622</v>
      </c>
      <c r="H40" s="174">
        <f>IF(((F40*C40*'Underlying Assumptions'!$E$11)/'Underlying Assumptions'!$E$9)&lt;('Dynamic Population'!O40+'Underlying Assumptions'!$E$8),((F40*C40*'Underlying Assumptions'!$E$11)/'Underlying Assumptions'!$E$9),('Dynamic Population'!O40+'Underlying Assumptions'!$E$8))</f>
        <v>82638.188949419622</v>
      </c>
      <c r="I40" s="538">
        <f>VLOOKUP(A40+'Effective Capacity'!I$15,'Dynamic Population'!A40:H123,7)</f>
        <v>87415.688588510733</v>
      </c>
      <c r="J40" s="520">
        <f>J39-((J$31-'Conservation Input'!I$22)/(A$57-A$32))</f>
        <v>234.60000000000016</v>
      </c>
      <c r="K40" s="538">
        <f>(C40*J40*365)/'Underlying Assumptions'!E$9</f>
        <v>71736.36352321833</v>
      </c>
      <c r="L40" s="538">
        <f>VLOOKUP(A40+'Effective Capacity'!I$15,'Dynamic Population'!A40:K123,11)</f>
        <v>75495.452677664842</v>
      </c>
      <c r="M40" s="588">
        <f>((G40-K40)*'Underlying Assumptions'!E$13)-SUM($M$14:M39)</f>
        <v>5093060.2252601683</v>
      </c>
      <c r="N40" s="538">
        <f t="shared" si="6"/>
        <v>115559349.51773369</v>
      </c>
      <c r="O40" s="499">
        <f>'Summary Baseline Data'!L53</f>
        <v>65498.400000000001</v>
      </c>
      <c r="P40" s="499">
        <f>'Summary Baseline Data'!M53</f>
        <v>5000</v>
      </c>
      <c r="Q40" s="499">
        <f>'Summary Baseline Data'!N53</f>
        <v>4000</v>
      </c>
      <c r="R40" s="500">
        <f>IF('Supply Input'!$I$17='Dynamic Population'!A40,'Supply Input'!$I$12,R39)</f>
        <v>0</v>
      </c>
      <c r="S40" s="500">
        <f>(SUM(O40:R40))*(1-'Water Supply Evaporation'!$I$15)</f>
        <v>70773.48</v>
      </c>
      <c r="T40" s="498">
        <f t="shared" si="1"/>
        <v>71736.36352321833</v>
      </c>
      <c r="U40" s="498">
        <f t="shared" si="2"/>
        <v>-6237.9635232183282</v>
      </c>
      <c r="V40" s="563">
        <f t="shared" si="3"/>
        <v>-4721.9726776648458</v>
      </c>
      <c r="W40" s="563">
        <f>IF(V40&gt;0,0,(IF(-V40&gt;'Construction Timing'!I$23,'Construction Timing'!I$23,-V40)))</f>
        <v>4721.9726776648458</v>
      </c>
      <c r="X40" s="517">
        <f t="shared" si="4"/>
        <v>0</v>
      </c>
      <c r="Y40" s="499">
        <f t="shared" si="5"/>
        <v>0</v>
      </c>
      <c r="Z40" s="172">
        <f t="shared" si="7"/>
        <v>2034</v>
      </c>
      <c r="AA40" s="175">
        <f t="shared" si="8"/>
        <v>0</v>
      </c>
    </row>
    <row r="41" spans="1:27" x14ac:dyDescent="0.2">
      <c r="A41" s="388">
        <f>'Summary Baseline Data'!A54</f>
        <v>2035</v>
      </c>
      <c r="B41" s="5">
        <v>47</v>
      </c>
      <c r="C41" s="173">
        <f t="shared" si="9"/>
        <v>280764.63973411859</v>
      </c>
      <c r="D41" s="174"/>
      <c r="E41" s="174"/>
      <c r="F41" s="174">
        <f>'Summary Baseline Data'!V54</f>
        <v>270.25232637083775</v>
      </c>
      <c r="G41" s="535">
        <f>(C41*F41*'Underlying Assumptions'!E$11)/'Underlying Assumptions'!E$9</f>
        <v>84993.377334478078</v>
      </c>
      <c r="H41" s="174">
        <f>IF(((F41*C41*'Underlying Assumptions'!$E$11)/'Underlying Assumptions'!$E$9)&lt;('Dynamic Population'!O41+'Underlying Assumptions'!$E$8),((F41*C41*'Underlying Assumptions'!$E$11)/'Underlying Assumptions'!$E$9),('Dynamic Population'!O41+'Underlying Assumptions'!$E$8))</f>
        <v>84993.377334478078</v>
      </c>
      <c r="I41" s="538">
        <f>VLOOKUP(A41+'Effective Capacity'!I$15,'Dynamic Population'!A41:H124,7)</f>
        <v>89907.035713283272</v>
      </c>
      <c r="J41" s="520">
        <f>J40-((J$31-'Conservation Input'!I$22)/(A$57-A$32))</f>
        <v>234.00000000000017</v>
      </c>
      <c r="K41" s="538">
        <f>(C41*J41*365)/'Underlying Assumptions'!E$9</f>
        <v>73592.152057840693</v>
      </c>
      <c r="L41" s="538">
        <f>VLOOKUP(A41+'Effective Capacity'!I$15,'Dynamic Population'!A41:K124,11)</f>
        <v>77447.466207309975</v>
      </c>
      <c r="M41" s="588">
        <f>((G41-K41)*'Underlying Assumptions'!E$13)-SUM($M$14:M40)</f>
        <v>5293638.4146225899</v>
      </c>
      <c r="N41" s="538">
        <f t="shared" si="6"/>
        <v>120852987.93235628</v>
      </c>
      <c r="O41" s="499">
        <f>'Summary Baseline Data'!L54</f>
        <v>65498.400000000001</v>
      </c>
      <c r="P41" s="499">
        <f>'Summary Baseline Data'!M54</f>
        <v>5000</v>
      </c>
      <c r="Q41" s="499">
        <f>'Summary Baseline Data'!N54</f>
        <v>4000</v>
      </c>
      <c r="R41" s="500">
        <f>IF('Supply Input'!$I$17='Dynamic Population'!A41,'Supply Input'!$I$12,R40)</f>
        <v>0</v>
      </c>
      <c r="S41" s="500">
        <f>(SUM(O41:R41))*(1-'Water Supply Evaporation'!$I$15)</f>
        <v>70773.48</v>
      </c>
      <c r="T41" s="498">
        <f t="shared" si="1"/>
        <v>73592.152057840693</v>
      </c>
      <c r="U41" s="498">
        <f t="shared" si="2"/>
        <v>-8093.7520578406911</v>
      </c>
      <c r="V41" s="563">
        <f t="shared" si="3"/>
        <v>-6673.9862073099794</v>
      </c>
      <c r="W41" s="563">
        <f>IF(V41&gt;0,0,(IF(-V41&gt;'Construction Timing'!I$23,'Construction Timing'!I$23,-V41)))</f>
        <v>6673.9862073099794</v>
      </c>
      <c r="X41" s="517">
        <f t="shared" si="4"/>
        <v>0</v>
      </c>
      <c r="Y41" s="499">
        <f t="shared" si="5"/>
        <v>0</v>
      </c>
      <c r="Z41" s="172">
        <f t="shared" si="7"/>
        <v>2035</v>
      </c>
      <c r="AA41" s="175">
        <f t="shared" si="8"/>
        <v>0</v>
      </c>
    </row>
    <row r="42" spans="1:27" x14ac:dyDescent="0.2">
      <c r="A42" s="388">
        <f>'Summary Baseline Data'!A55</f>
        <v>2036</v>
      </c>
      <c r="B42" s="5">
        <v>48</v>
      </c>
      <c r="C42" s="173">
        <f t="shared" si="9"/>
        <v>288766.43196654099</v>
      </c>
      <c r="D42" s="174"/>
      <c r="E42" s="174"/>
      <c r="F42" s="174">
        <f>'Summary Baseline Data'!V55</f>
        <v>270.25232637083781</v>
      </c>
      <c r="G42" s="535">
        <f>(C42*F42*'Underlying Assumptions'!E$11)/'Underlying Assumptions'!E$9</f>
        <v>87415.688588510733</v>
      </c>
      <c r="H42" s="174">
        <f>IF(((F42*C42*'Underlying Assumptions'!$E$11)/'Underlying Assumptions'!$E$9)&lt;('Dynamic Population'!O42+'Underlying Assumptions'!$E$8),((F42*C42*'Underlying Assumptions'!$E$11)/'Underlying Assumptions'!$E$9),('Dynamic Population'!O42+'Underlying Assumptions'!$E$8))</f>
        <v>87415.688588510733</v>
      </c>
      <c r="I42" s="538">
        <f>VLOOKUP(A42+'Effective Capacity'!I$15,'Dynamic Population'!A42:H125,7)</f>
        <v>92469.386231111857</v>
      </c>
      <c r="J42" s="520">
        <f>J41-((J$31-'Conservation Input'!I$22)/(A$57-A$32))</f>
        <v>233.40000000000018</v>
      </c>
      <c r="K42" s="538">
        <f>(C42*J42*365)/'Underlying Assumptions'!E$9</f>
        <v>75495.452677664842</v>
      </c>
      <c r="L42" s="538">
        <f>VLOOKUP(A42+'Effective Capacity'!I$15,'Dynamic Population'!A42:K125,11)</f>
        <v>79449.423326707431</v>
      </c>
      <c r="M42" s="588">
        <f>((G42-K42)*'Underlying Assumptions'!E$13)-SUM($M$14:M41)</f>
        <v>5501512.7226101607</v>
      </c>
      <c r="N42" s="538">
        <f t="shared" si="6"/>
        <v>126354500.65496644</v>
      </c>
      <c r="O42" s="499">
        <f>'Summary Baseline Data'!L55</f>
        <v>65498.400000000001</v>
      </c>
      <c r="P42" s="499">
        <f>'Summary Baseline Data'!M55</f>
        <v>5000</v>
      </c>
      <c r="Q42" s="499">
        <f>'Summary Baseline Data'!N55</f>
        <v>4000</v>
      </c>
      <c r="R42" s="500">
        <f>IF('Supply Input'!$I$17='Dynamic Population'!A42,'Supply Input'!$I$12,R41)</f>
        <v>0</v>
      </c>
      <c r="S42" s="500">
        <f>(SUM(O42:R42))*(1-'Water Supply Evaporation'!$I$15)</f>
        <v>70773.48</v>
      </c>
      <c r="T42" s="498">
        <f t="shared" si="1"/>
        <v>75495.452677664842</v>
      </c>
      <c r="U42" s="498">
        <f t="shared" si="2"/>
        <v>-9997.0526776648403</v>
      </c>
      <c r="V42" s="563">
        <f t="shared" si="3"/>
        <v>-8675.9433267074346</v>
      </c>
      <c r="W42" s="563">
        <f>IF(V42&gt;0,0,(IF(-V42&gt;'Construction Timing'!I$23,'Construction Timing'!I$23,-V42)))</f>
        <v>8675.9433267074346</v>
      </c>
      <c r="X42" s="517">
        <f t="shared" si="4"/>
        <v>0</v>
      </c>
      <c r="Y42" s="499">
        <f t="shared" si="5"/>
        <v>0</v>
      </c>
      <c r="Z42" s="172">
        <f t="shared" si="7"/>
        <v>2036</v>
      </c>
      <c r="AA42" s="175">
        <f t="shared" si="8"/>
        <v>0</v>
      </c>
    </row>
    <row r="43" spans="1:27" x14ac:dyDescent="0.2">
      <c r="A43" s="388">
        <f>'Summary Baseline Data'!A56</f>
        <v>2037</v>
      </c>
      <c r="B43" s="5">
        <v>49</v>
      </c>
      <c r="C43" s="173">
        <f t="shared" si="9"/>
        <v>296996.27527758741</v>
      </c>
      <c r="D43" s="174"/>
      <c r="E43" s="174"/>
      <c r="F43" s="174">
        <f>'Summary Baseline Data'!V56</f>
        <v>270.25232637083775</v>
      </c>
      <c r="G43" s="535">
        <f>(C43*F43*'Underlying Assumptions'!E$11)/'Underlying Assumptions'!E$9</f>
        <v>89907.035713283272</v>
      </c>
      <c r="H43" s="174">
        <f>IF(((F43*C43*'Underlying Assumptions'!$E$11)/'Underlying Assumptions'!$E$9)&lt;('Dynamic Population'!O43+'Underlying Assumptions'!$E$8),((F43*C43*'Underlying Assumptions'!$E$11)/'Underlying Assumptions'!$E$9),('Dynamic Population'!O43+'Underlying Assumptions'!$E$8))</f>
        <v>89907.035713283272</v>
      </c>
      <c r="I43" s="538">
        <f>VLOOKUP(A43+'Effective Capacity'!I$15,'Dynamic Population'!A43:H126,7)</f>
        <v>95104.76373869853</v>
      </c>
      <c r="J43" s="520">
        <f>J42-((J$31-'Conservation Input'!I$22)/(A$57-A$32))</f>
        <v>232.80000000000018</v>
      </c>
      <c r="K43" s="538">
        <f>(C43*J43*365)/'Underlying Assumptions'!E$9</f>
        <v>77447.466207309975</v>
      </c>
      <c r="L43" s="538">
        <f>VLOOKUP(A43+'Effective Capacity'!I$15,'Dynamic Population'!A43:K126,11)</f>
        <v>81502.58529748366</v>
      </c>
      <c r="M43" s="588">
        <f>((G43-K43)*'Underlying Assumptions'!E$13)-SUM($M$14:M42)</f>
        <v>5716936.1083505005</v>
      </c>
      <c r="N43" s="538">
        <f t="shared" si="6"/>
        <v>132071436.76331694</v>
      </c>
      <c r="O43" s="499">
        <f>'Summary Baseline Data'!L56</f>
        <v>65498.400000000001</v>
      </c>
      <c r="P43" s="499">
        <f>'Summary Baseline Data'!M56</f>
        <v>5000</v>
      </c>
      <c r="Q43" s="499">
        <f>'Summary Baseline Data'!N56</f>
        <v>4000</v>
      </c>
      <c r="R43" s="500">
        <f>IF('Supply Input'!$I$17='Dynamic Population'!A43,'Supply Input'!$I$12,R42)</f>
        <v>0</v>
      </c>
      <c r="S43" s="500">
        <f>(SUM(O43:R43))*(1-'Water Supply Evaporation'!$I$15)</f>
        <v>70773.48</v>
      </c>
      <c r="T43" s="498">
        <f t="shared" si="1"/>
        <v>77447.466207309975</v>
      </c>
      <c r="U43" s="498">
        <f t="shared" si="2"/>
        <v>-11949.066207309974</v>
      </c>
      <c r="V43" s="563">
        <f t="shared" si="3"/>
        <v>-10729.105297483664</v>
      </c>
      <c r="W43" s="563">
        <f>IF(V43&gt;0,0,(IF(-V43&gt;'Construction Timing'!I$23,'Construction Timing'!I$23,-V43)))</f>
        <v>10729.105297483664</v>
      </c>
      <c r="X43" s="517">
        <f t="shared" si="4"/>
        <v>0</v>
      </c>
      <c r="Y43" s="499">
        <f t="shared" si="5"/>
        <v>0</v>
      </c>
      <c r="Z43" s="172">
        <f t="shared" si="7"/>
        <v>2037</v>
      </c>
      <c r="AA43" s="175">
        <f t="shared" si="8"/>
        <v>0</v>
      </c>
    </row>
    <row r="44" spans="1:27" x14ac:dyDescent="0.2">
      <c r="A44" s="388">
        <f>'Summary Baseline Data'!A57</f>
        <v>2038</v>
      </c>
      <c r="B44" s="5">
        <v>50</v>
      </c>
      <c r="C44" s="173">
        <f t="shared" si="9"/>
        <v>305460.66912299866</v>
      </c>
      <c r="D44" s="174"/>
      <c r="E44" s="174"/>
      <c r="F44" s="174">
        <f>'Summary Baseline Data'!V57</f>
        <v>270.25232637083781</v>
      </c>
      <c r="G44" s="535">
        <f>(C44*F44*'Underlying Assumptions'!E$11)/'Underlying Assumptions'!E$9</f>
        <v>92469.386231111857</v>
      </c>
      <c r="H44" s="174">
        <f>IF(((F44*C44*'Underlying Assumptions'!$E$11)/'Underlying Assumptions'!$E$9)&lt;('Dynamic Population'!O44+'Underlying Assumptions'!$E$8),((F44*C44*'Underlying Assumptions'!$E$11)/'Underlying Assumptions'!$E$9),('Dynamic Population'!O44+'Underlying Assumptions'!$E$8))</f>
        <v>92469.386231111857</v>
      </c>
      <c r="I44" s="538">
        <f>VLOOKUP(A44+'Effective Capacity'!I$15,'Dynamic Population'!A44:H127,7)</f>
        <v>97815.249505251413</v>
      </c>
      <c r="J44" s="520">
        <f>J43-((J$31-'Conservation Input'!I$22)/(A$57-A$32))</f>
        <v>232.20000000000019</v>
      </c>
      <c r="K44" s="538">
        <f>(C44*J44*365)/'Underlying Assumptions'!E$9</f>
        <v>79449.423326707431</v>
      </c>
      <c r="L44" s="538">
        <f>VLOOKUP(A44+'Effective Capacity'!I$15,'Dynamic Population'!A44:K127,11)</f>
        <v>83608.244706497018</v>
      </c>
      <c r="M44" s="588">
        <f>((G44-K44)*'Underlying Assumptions'!E$13)-SUM($M$14:M43)</f>
        <v>5940170.0233699828</v>
      </c>
      <c r="N44" s="538">
        <f t="shared" si="6"/>
        <v>138011606.78668693</v>
      </c>
      <c r="O44" s="499">
        <f>'Summary Baseline Data'!L57</f>
        <v>65498.400000000001</v>
      </c>
      <c r="P44" s="499">
        <f>'Summary Baseline Data'!M57</f>
        <v>5000</v>
      </c>
      <c r="Q44" s="499">
        <f>'Summary Baseline Data'!N57</f>
        <v>4000</v>
      </c>
      <c r="R44" s="500">
        <f>IF('Supply Input'!$I$17='Dynamic Population'!A44,'Supply Input'!$I$12,R43)</f>
        <v>0</v>
      </c>
      <c r="S44" s="500">
        <f>(SUM(O44:R44))*(1-'Water Supply Evaporation'!$I$15)</f>
        <v>70773.48</v>
      </c>
      <c r="T44" s="498">
        <f t="shared" si="1"/>
        <v>79449.423326707431</v>
      </c>
      <c r="U44" s="498">
        <f t="shared" si="2"/>
        <v>-13951.023326707429</v>
      </c>
      <c r="V44" s="563">
        <f t="shared" si="3"/>
        <v>-12834.764706497022</v>
      </c>
      <c r="W44" s="563">
        <f>IF(V44&gt;0,0,(IF(-V44&gt;'Construction Timing'!I$23,'Construction Timing'!I$23,-V44)))</f>
        <v>12834.764706497022</v>
      </c>
      <c r="X44" s="517">
        <f t="shared" si="4"/>
        <v>0</v>
      </c>
      <c r="Y44" s="499">
        <f t="shared" si="5"/>
        <v>0</v>
      </c>
      <c r="Z44" s="172">
        <f t="shared" si="7"/>
        <v>2038</v>
      </c>
      <c r="AA44" s="175">
        <f t="shared" si="8"/>
        <v>0</v>
      </c>
    </row>
    <row r="45" spans="1:27" x14ac:dyDescent="0.2">
      <c r="A45" s="388">
        <f>'Summary Baseline Data'!A58</f>
        <v>2039</v>
      </c>
      <c r="B45" s="5">
        <v>51</v>
      </c>
      <c r="C45" s="173">
        <f t="shared" si="9"/>
        <v>314166.2981930041</v>
      </c>
      <c r="D45" s="174"/>
      <c r="E45" s="174"/>
      <c r="F45" s="174">
        <f>'Summary Baseline Data'!V58</f>
        <v>270.25232637083781</v>
      </c>
      <c r="G45" s="535">
        <f>(C45*F45*'Underlying Assumptions'!E$11)/'Underlying Assumptions'!E$9</f>
        <v>95104.76373869853</v>
      </c>
      <c r="H45" s="174">
        <f>IF(((F45*C45*'Underlying Assumptions'!$E$11)/'Underlying Assumptions'!$E$9)&lt;('Dynamic Population'!O45+'Underlying Assumptions'!$E$8),((F45*C45*'Underlying Assumptions'!$E$11)/'Underlying Assumptions'!$E$9),('Dynamic Population'!O45+'Underlying Assumptions'!$E$8))</f>
        <v>95104.76373869853</v>
      </c>
      <c r="I45" s="538">
        <f>VLOOKUP(A45+'Effective Capacity'!I$15,'Dynamic Population'!A45:H128,7)</f>
        <v>100602.98411615108</v>
      </c>
      <c r="J45" s="520">
        <f>J44-((J$31-'Conservation Input'!I$22)/(A$57-A$32))</f>
        <v>231.60000000000019</v>
      </c>
      <c r="K45" s="538">
        <f>(C45*J45*365)/'Underlying Assumptions'!E$9</f>
        <v>81502.58529748366</v>
      </c>
      <c r="L45" s="538">
        <f>VLOOKUP(A45+'Effective Capacity'!I$15,'Dynamic Population'!A45:K128,11)</f>
        <v>85767.726226916231</v>
      </c>
      <c r="M45" s="588">
        <f>((G45-K45)*'Underlying Assumptions'!E$13)-SUM($M$14:M44)</f>
        <v>6171484.6901907027</v>
      </c>
      <c r="N45" s="538">
        <f t="shared" si="6"/>
        <v>144183091.47687763</v>
      </c>
      <c r="O45" s="499">
        <f>'Summary Baseline Data'!L58</f>
        <v>65498.400000000001</v>
      </c>
      <c r="P45" s="499">
        <f>'Summary Baseline Data'!M58</f>
        <v>5000</v>
      </c>
      <c r="Q45" s="499">
        <f>'Summary Baseline Data'!N58</f>
        <v>4000</v>
      </c>
      <c r="R45" s="500">
        <f>IF('Supply Input'!$I$17='Dynamic Population'!A45,'Supply Input'!$I$12,R44)</f>
        <v>0</v>
      </c>
      <c r="S45" s="500">
        <f>(SUM(O45:R45))*(1-'Water Supply Evaporation'!$I$15)</f>
        <v>70773.48</v>
      </c>
      <c r="T45" s="498">
        <f t="shared" si="1"/>
        <v>81502.58529748366</v>
      </c>
      <c r="U45" s="498">
        <f t="shared" si="2"/>
        <v>-16004.185297483658</v>
      </c>
      <c r="V45" s="563">
        <f t="shared" si="3"/>
        <v>-14994.246226916235</v>
      </c>
      <c r="W45" s="563">
        <f>IF(V45&gt;0,0,(IF(-V45&gt;'Construction Timing'!I$23,'Construction Timing'!I$23,-V45)))</f>
        <v>14994.246226916235</v>
      </c>
      <c r="X45" s="517">
        <f t="shared" si="4"/>
        <v>0</v>
      </c>
      <c r="Y45" s="499">
        <f t="shared" si="5"/>
        <v>0</v>
      </c>
      <c r="Z45" s="172">
        <f t="shared" si="7"/>
        <v>2039</v>
      </c>
      <c r="AA45" s="390">
        <f t="shared" ref="AA45:AA50" si="10">T45-G45</f>
        <v>-13602.17844121487</v>
      </c>
    </row>
    <row r="46" spans="1:27" x14ac:dyDescent="0.2">
      <c r="A46" s="388">
        <f>'Summary Baseline Data'!A59</f>
        <v>2040</v>
      </c>
      <c r="B46" s="5">
        <v>52</v>
      </c>
      <c r="C46" s="173">
        <f t="shared" si="9"/>
        <v>323120.03769150469</v>
      </c>
      <c r="D46" s="174"/>
      <c r="E46" s="174"/>
      <c r="F46" s="174">
        <f>'Summary Baseline Data'!V59</f>
        <v>270.25232637083775</v>
      </c>
      <c r="G46" s="535">
        <f>(C46*F46*'Underlying Assumptions'!E$11)/'Underlying Assumptions'!E$9</f>
        <v>97815.249505251413</v>
      </c>
      <c r="H46" s="174">
        <f>IF(((F46*C46*'Underlying Assumptions'!$E$11)/'Underlying Assumptions'!$E$9)&lt;('Dynamic Population'!O46+'Underlying Assumptions'!$E$8),((F46*C46*'Underlying Assumptions'!$E$11)/'Underlying Assumptions'!$E$9),('Dynamic Population'!O46+'Underlying Assumptions'!$E$8))</f>
        <v>97815.249505251413</v>
      </c>
      <c r="I46" s="538">
        <f>VLOOKUP(A46+'Effective Capacity'!I$15,'Dynamic Population'!A46:H129,7)</f>
        <v>103470.16916346138</v>
      </c>
      <c r="J46" s="520">
        <f>J45-((J$31-'Conservation Input'!I$22)/(A$57-A$32))</f>
        <v>231.0000000000002</v>
      </c>
      <c r="K46" s="538">
        <f>(C46*J46*365)/'Underlying Assumptions'!E$9</f>
        <v>83608.244706497018</v>
      </c>
      <c r="L46" s="538">
        <f>VLOOKUP(A46+'Effective Capacity'!I$15,'Dynamic Population'!A46:K129,11)</f>
        <v>87982.387397236525</v>
      </c>
      <c r="M46" s="588">
        <f>((G46-K46)*'Underlying Assumptions'!E$13)-SUM($M$14:M45)</f>
        <v>6411159.3899189532</v>
      </c>
      <c r="N46" s="538">
        <f t="shared" si="6"/>
        <v>150594250.86679658</v>
      </c>
      <c r="O46" s="499">
        <f>'Summary Baseline Data'!L59</f>
        <v>65498.400000000001</v>
      </c>
      <c r="P46" s="499">
        <f>'Summary Baseline Data'!M59</f>
        <v>5000</v>
      </c>
      <c r="Q46" s="499">
        <f>'Summary Baseline Data'!N59</f>
        <v>4000</v>
      </c>
      <c r="R46" s="500">
        <f>IF('Supply Input'!$I$17='Dynamic Population'!A46,'Supply Input'!$I$12,R45)</f>
        <v>0</v>
      </c>
      <c r="S46" s="500">
        <f>(SUM(O46:R46))*(1-'Water Supply Evaporation'!$I$15)</f>
        <v>70773.48</v>
      </c>
      <c r="T46" s="498">
        <f t="shared" si="1"/>
        <v>83608.244706497018</v>
      </c>
      <c r="U46" s="498">
        <f t="shared" si="2"/>
        <v>-18109.844706497017</v>
      </c>
      <c r="V46" s="563">
        <f t="shared" si="3"/>
        <v>-17208.90739723653</v>
      </c>
      <c r="W46" s="563">
        <f>IF(V46&gt;0,0,(IF(-V46&gt;'Construction Timing'!I$23,'Construction Timing'!I$23,-V46)))</f>
        <v>17208.90739723653</v>
      </c>
      <c r="X46" s="517">
        <f t="shared" si="4"/>
        <v>0</v>
      </c>
      <c r="Y46" s="499">
        <f t="shared" si="5"/>
        <v>0</v>
      </c>
      <c r="Z46" s="172">
        <f t="shared" si="7"/>
        <v>2040</v>
      </c>
      <c r="AA46" s="390">
        <f t="shared" si="10"/>
        <v>-14207.004798754395</v>
      </c>
    </row>
    <row r="47" spans="1:27" x14ac:dyDescent="0.2">
      <c r="A47" s="388">
        <f>'Summary Baseline Data'!A60</f>
        <v>2041</v>
      </c>
      <c r="B47" s="5">
        <v>53</v>
      </c>
      <c r="C47" s="173">
        <f t="shared" si="9"/>
        <v>332328.95876571257</v>
      </c>
      <c r="D47" s="174"/>
      <c r="E47" s="174"/>
      <c r="F47" s="174">
        <f>'Summary Baseline Data'!V60</f>
        <v>270.25232637083775</v>
      </c>
      <c r="G47" s="535">
        <f>(C47*F47*'Underlying Assumptions'!E$11)/'Underlying Assumptions'!E$9</f>
        <v>100602.98411615108</v>
      </c>
      <c r="H47" s="174">
        <f>IF(((F47*C47*'Underlying Assumptions'!$E$11)/'Underlying Assumptions'!$E$9)&lt;('Dynamic Population'!O47+'Underlying Assumptions'!$E$8),((F47*C47*'Underlying Assumptions'!$E$11)/'Underlying Assumptions'!$E$9),('Dynamic Population'!O47+'Underlying Assumptions'!$E$8))</f>
        <v>100602.98411615108</v>
      </c>
      <c r="I47" s="538">
        <f>VLOOKUP(A47+'Effective Capacity'!I$15,'Dynamic Population'!A47:H130,7)</f>
        <v>106419.06898462003</v>
      </c>
      <c r="J47" s="520">
        <f>J46-((J$31-'Conservation Input'!I$22)/(A$57-A$32))</f>
        <v>230.4000000000002</v>
      </c>
      <c r="K47" s="538">
        <f>(C47*J47*365)/'Underlying Assumptions'!E$9</f>
        <v>85767.726226916231</v>
      </c>
      <c r="L47" s="538">
        <f>VLOOKUP(A47+'Effective Capacity'!I$15,'Dynamic Population'!A47:K130,11)</f>
        <v>90253.61941863723</v>
      </c>
      <c r="M47" s="588">
        <f>((G47-K47)*'Underlying Assumptions'!E$13)-SUM($M$14:M46)</f>
        <v>6659482.7590928674</v>
      </c>
      <c r="N47" s="538">
        <f t="shared" si="6"/>
        <v>157253733.62588945</v>
      </c>
      <c r="O47" s="499">
        <f>'Summary Baseline Data'!L60</f>
        <v>65498.400000000001</v>
      </c>
      <c r="P47" s="499">
        <f>'Summary Baseline Data'!M60</f>
        <v>5000</v>
      </c>
      <c r="Q47" s="499">
        <f>'Summary Baseline Data'!N60</f>
        <v>4000</v>
      </c>
      <c r="R47" s="500">
        <f>IF('Supply Input'!$I$17='Dynamic Population'!A47,'Supply Input'!$I$12,R46)</f>
        <v>0</v>
      </c>
      <c r="S47" s="500">
        <f>(SUM(O47:R47))*(1-'Water Supply Evaporation'!$I$15)</f>
        <v>70773.48</v>
      </c>
      <c r="T47" s="498">
        <f t="shared" si="1"/>
        <v>85767.726226916231</v>
      </c>
      <c r="U47" s="498">
        <f t="shared" si="2"/>
        <v>-20269.32622691623</v>
      </c>
      <c r="V47" s="563">
        <f t="shared" si="3"/>
        <v>-19480.139418637234</v>
      </c>
      <c r="W47" s="563">
        <f>IF(V47&gt;0,0,(IF(-V47&gt;'Construction Timing'!I$23,'Construction Timing'!I$23,-V47)))</f>
        <v>19480.139418637234</v>
      </c>
      <c r="X47" s="517">
        <f t="shared" si="4"/>
        <v>0</v>
      </c>
      <c r="Y47" s="499">
        <f t="shared" si="5"/>
        <v>0</v>
      </c>
      <c r="Z47" s="172">
        <f t="shared" si="7"/>
        <v>2041</v>
      </c>
      <c r="AA47" s="390">
        <f t="shared" si="10"/>
        <v>-14835.257889234854</v>
      </c>
    </row>
    <row r="48" spans="1:27" x14ac:dyDescent="0.2">
      <c r="A48" s="388">
        <f>'Summary Baseline Data'!A61</f>
        <v>2042</v>
      </c>
      <c r="B48" s="5">
        <v>54</v>
      </c>
      <c r="C48" s="173">
        <f t="shared" si="9"/>
        <v>341800.33409053535</v>
      </c>
      <c r="D48" s="174"/>
      <c r="E48" s="174"/>
      <c r="F48" s="174">
        <f>'Summary Baseline Data'!V61</f>
        <v>270.25232637083775</v>
      </c>
      <c r="G48" s="535">
        <f>(C48*F48*'Underlying Assumptions'!E$11)/'Underlying Assumptions'!E$9</f>
        <v>103470.16916346138</v>
      </c>
      <c r="H48" s="174">
        <f>IF(((F48*C48*'Underlying Assumptions'!$E$11)/'Underlying Assumptions'!$E$9)&lt;('Dynamic Population'!O48+'Underlying Assumptions'!$E$8),((F48*C48*'Underlying Assumptions'!$E$11)/'Underlying Assumptions'!$E$9),('Dynamic Population'!O48+'Underlying Assumptions'!$E$8))</f>
        <v>103470.16916346138</v>
      </c>
      <c r="I48" s="538">
        <f>VLOOKUP(A48+'Effective Capacity'!I$15,'Dynamic Population'!A48:H131,7)</f>
        <v>109452.01245068172</v>
      </c>
      <c r="J48" s="520">
        <f>J47-((J$31-'Conservation Input'!I$22)/(A$57-A$32))</f>
        <v>229.80000000000021</v>
      </c>
      <c r="K48" s="538">
        <f>(C48*J48*365)/'Underlying Assumptions'!E$9</f>
        <v>87982.387397236525</v>
      </c>
      <c r="L48" s="538">
        <f>VLOOKUP(A48+'Effective Capacity'!I$15,'Dynamic Population'!A48:K131,11)</f>
        <v>92582.847971094408</v>
      </c>
      <c r="M48" s="588">
        <f>((G48-K48)*'Underlying Assumptions'!E$13)-SUM($M$14:M47)</f>
        <v>6916753.0960940123</v>
      </c>
      <c r="N48" s="538">
        <f t="shared" si="6"/>
        <v>164170486.72198346</v>
      </c>
      <c r="O48" s="499">
        <f>'Summary Baseline Data'!L61</f>
        <v>65498.400000000001</v>
      </c>
      <c r="P48" s="499">
        <f>'Summary Baseline Data'!M61</f>
        <v>5000</v>
      </c>
      <c r="Q48" s="499">
        <f>'Summary Baseline Data'!N61</f>
        <v>4000</v>
      </c>
      <c r="R48" s="500">
        <f>IF('Supply Input'!$I$17='Dynamic Population'!A48,'Supply Input'!$I$12,R47)</f>
        <v>0</v>
      </c>
      <c r="S48" s="500">
        <f>(SUM(O48:R48))*(1-'Water Supply Evaporation'!$I$15)</f>
        <v>70773.48</v>
      </c>
      <c r="T48" s="498">
        <f t="shared" si="1"/>
        <v>87982.387397236525</v>
      </c>
      <c r="U48" s="498">
        <f t="shared" si="2"/>
        <v>-22483.987397236524</v>
      </c>
      <c r="V48" s="563">
        <f t="shared" si="3"/>
        <v>-21809.367971094412</v>
      </c>
      <c r="W48" s="563">
        <f>IF(V48&gt;0,0,(IF(-V48&gt;'Construction Timing'!I$23,'Construction Timing'!I$23,-V48)))</f>
        <v>21809.367971094412</v>
      </c>
      <c r="X48" s="517">
        <f t="shared" si="4"/>
        <v>0</v>
      </c>
      <c r="Y48" s="499">
        <f t="shared" si="5"/>
        <v>0</v>
      </c>
      <c r="Z48" s="172">
        <f t="shared" si="7"/>
        <v>2042</v>
      </c>
      <c r="AA48" s="390">
        <f t="shared" si="10"/>
        <v>-15487.781766224856</v>
      </c>
    </row>
    <row r="49" spans="1:27" x14ac:dyDescent="0.2">
      <c r="A49" s="388">
        <f>'Summary Baseline Data'!A62</f>
        <v>2043</v>
      </c>
      <c r="B49" s="5">
        <v>55</v>
      </c>
      <c r="C49" s="173">
        <f t="shared" si="9"/>
        <v>351541.64361211559</v>
      </c>
      <c r="D49" s="174"/>
      <c r="E49" s="174"/>
      <c r="F49" s="174">
        <f>'Summary Baseline Data'!V62</f>
        <v>270.25232637083775</v>
      </c>
      <c r="G49" s="535">
        <f>(C49*F49*'Underlying Assumptions'!E$11)/'Underlying Assumptions'!E$9</f>
        <v>106419.06898462003</v>
      </c>
      <c r="H49" s="174">
        <f>IF(((F49*C49*'Underlying Assumptions'!$E$11)/'Underlying Assumptions'!$E$9)&lt;('Dynamic Population'!O49+'Underlying Assumptions'!$E$8),((F49*C49*'Underlying Assumptions'!$E$11)/'Underlying Assumptions'!$E$9),('Dynamic Population'!O49+'Underlying Assumptions'!$E$8))</f>
        <v>106419.06898462003</v>
      </c>
      <c r="I49" s="538">
        <f>VLOOKUP(A49+'Effective Capacity'!I$15,'Dynamic Population'!A49:H132,7)</f>
        <v>112571.39480552611</v>
      </c>
      <c r="J49" s="520">
        <f>J48-((J$31-'Conservation Input'!I$22)/(A$57-A$32))</f>
        <v>229.20000000000022</v>
      </c>
      <c r="K49" s="538">
        <f>(C49*J49*365)/'Underlying Assumptions'!E$9</f>
        <v>90253.61941863723</v>
      </c>
      <c r="L49" s="538">
        <f>VLOOKUP(A49+'Effective Capacity'!I$15,'Dynamic Population'!A49:K132,11)</f>
        <v>94971.534048668836</v>
      </c>
      <c r="M49" s="588">
        <f>((G49-K49)*'Underlying Assumptions'!E$13)-SUM($M$14:M48)</f>
        <v>7183278.6774341762</v>
      </c>
      <c r="N49" s="538">
        <f t="shared" si="6"/>
        <v>171353765.39941764</v>
      </c>
      <c r="O49" s="499">
        <f>'Summary Baseline Data'!L62</f>
        <v>65498.400000000001</v>
      </c>
      <c r="P49" s="499">
        <f>'Summary Baseline Data'!M62</f>
        <v>5000</v>
      </c>
      <c r="Q49" s="499">
        <f>'Summary Baseline Data'!N62</f>
        <v>4000</v>
      </c>
      <c r="R49" s="500">
        <f>IF('Supply Input'!$I$17='Dynamic Population'!A49,'Supply Input'!$I$12,R48)</f>
        <v>0</v>
      </c>
      <c r="S49" s="500">
        <f>(SUM(O49:R49))*(1-'Water Supply Evaporation'!$I$15)</f>
        <v>70773.48</v>
      </c>
      <c r="T49" s="498">
        <f t="shared" si="1"/>
        <v>90253.61941863723</v>
      </c>
      <c r="U49" s="498">
        <f t="shared" si="2"/>
        <v>-24755.219418637229</v>
      </c>
      <c r="V49" s="563">
        <f t="shared" si="3"/>
        <v>-24198.054048668841</v>
      </c>
      <c r="W49" s="563">
        <f>IF(V49&gt;0,0,(IF(-V49&gt;'Construction Timing'!I$23,'Construction Timing'!I$23,-V49)))</f>
        <v>24198.054048668841</v>
      </c>
      <c r="X49" s="517">
        <f t="shared" si="4"/>
        <v>0</v>
      </c>
      <c r="Y49" s="499">
        <f t="shared" si="5"/>
        <v>0</v>
      </c>
      <c r="Z49" s="172">
        <f t="shared" si="7"/>
        <v>2043</v>
      </c>
      <c r="AA49" s="390">
        <f t="shared" si="10"/>
        <v>-16165.449565982795</v>
      </c>
    </row>
    <row r="50" spans="1:27" x14ac:dyDescent="0.2">
      <c r="A50" s="388">
        <f>'Summary Baseline Data'!A63</f>
        <v>2044</v>
      </c>
      <c r="B50" s="5">
        <v>56</v>
      </c>
      <c r="C50" s="173">
        <f t="shared" si="9"/>
        <v>361560.58045506087</v>
      </c>
      <c r="D50" s="174"/>
      <c r="E50" s="174"/>
      <c r="F50" s="174">
        <f>'Summary Baseline Data'!V63</f>
        <v>270.25232637083781</v>
      </c>
      <c r="G50" s="535">
        <f>(C50*F50*'Underlying Assumptions'!E$11)/'Underlying Assumptions'!E$9</f>
        <v>109452.01245068172</v>
      </c>
      <c r="H50" s="174">
        <f>IF(((F50*C50*'Underlying Assumptions'!$E$11)/'Underlying Assumptions'!$E$9)&lt;('Dynamic Population'!O50+'Underlying Assumptions'!$E$8),((F50*C50*'Underlying Assumptions'!$E$11)/'Underlying Assumptions'!$E$9),('Dynamic Population'!O50+'Underlying Assumptions'!$E$8))</f>
        <v>109452.01245068172</v>
      </c>
      <c r="I50" s="538">
        <f>VLOOKUP(A50+'Effective Capacity'!I$15,'Dynamic Population'!A50:H133,7)</f>
        <v>115779.6795574836</v>
      </c>
      <c r="J50" s="520">
        <f>J49-((J$31-'Conservation Input'!I$22)/(A$57-A$32))</f>
        <v>228.60000000000022</v>
      </c>
      <c r="K50" s="538">
        <f>(C50*J50*365)/'Underlying Assumptions'!E$9</f>
        <v>92582.847971094408</v>
      </c>
      <c r="L50" s="538">
        <f>VLOOKUP(A50+'Effective Capacity'!I$15,'Dynamic Population'!A50:K133,11)</f>
        <v>97421.174814400481</v>
      </c>
      <c r="M50" s="588">
        <f>((G50-K50)*'Underlying Assumptions'!E$13)-SUM($M$14:M49)</f>
        <v>7459378.0842078924</v>
      </c>
      <c r="N50" s="538">
        <f t="shared" si="6"/>
        <v>178813143.48362553</v>
      </c>
      <c r="O50" s="499">
        <f>'Summary Baseline Data'!L63</f>
        <v>65498.400000000001</v>
      </c>
      <c r="P50" s="499">
        <f>'Summary Baseline Data'!M63</f>
        <v>5000</v>
      </c>
      <c r="Q50" s="499">
        <f>'Summary Baseline Data'!N63</f>
        <v>4000</v>
      </c>
      <c r="R50" s="500">
        <f>IF('Supply Input'!$I$17='Dynamic Population'!A50,'Supply Input'!$I$12,R49)</f>
        <v>0</v>
      </c>
      <c r="S50" s="500">
        <f>(SUM(O50:R50))*(1-'Water Supply Evaporation'!$I$15)</f>
        <v>70773.48</v>
      </c>
      <c r="T50" s="498">
        <f t="shared" si="1"/>
        <v>92582.847971094408</v>
      </c>
      <c r="U50" s="498">
        <f t="shared" si="2"/>
        <v>-27084.447971094407</v>
      </c>
      <c r="V50" s="563">
        <f t="shared" si="3"/>
        <v>-26647.694814400485</v>
      </c>
      <c r="W50" s="563">
        <f>IF(V50&gt;0,0,(IF(-V50&gt;'Construction Timing'!I$23,'Construction Timing'!I$23,-V50)))</f>
        <v>26647.694814400485</v>
      </c>
      <c r="X50" s="517">
        <f t="shared" si="4"/>
        <v>0</v>
      </c>
      <c r="Y50" s="499">
        <f t="shared" si="5"/>
        <v>0</v>
      </c>
      <c r="Z50" s="172">
        <f t="shared" si="7"/>
        <v>2044</v>
      </c>
      <c r="AA50" s="390">
        <f t="shared" si="10"/>
        <v>-16869.164479587314</v>
      </c>
    </row>
    <row r="51" spans="1:27" x14ac:dyDescent="0.2">
      <c r="A51" s="388">
        <f>'Summary Baseline Data'!A64</f>
        <v>2045</v>
      </c>
      <c r="B51" s="5">
        <v>57</v>
      </c>
      <c r="C51" s="173">
        <f t="shared" si="9"/>
        <v>371865.05699803011</v>
      </c>
      <c r="D51" s="174"/>
      <c r="E51" s="174"/>
      <c r="F51" s="174">
        <f>'Summary Baseline Data'!V64</f>
        <v>270.25232637083775</v>
      </c>
      <c r="G51" s="535">
        <f>(C51*F51*'Underlying Assumptions'!E$11)/'Underlying Assumptions'!E$9</f>
        <v>112571.39480552611</v>
      </c>
      <c r="H51" s="174">
        <f>IF(((F51*C51*'Underlying Assumptions'!$E$11)/'Underlying Assumptions'!$E$9)&lt;('Dynamic Population'!O51+'Underlying Assumptions'!$E$8),((F51*C51*'Underlying Assumptions'!$E$11)/'Underlying Assumptions'!$E$9),('Dynamic Population'!O51+'Underlying Assumptions'!$E$8))</f>
        <v>112571.39480552611</v>
      </c>
      <c r="I51" s="538">
        <f>VLOOKUP(A51+'Effective Capacity'!I$15,'Dynamic Population'!A51:H134,7)</f>
        <v>119079.40042487188</v>
      </c>
      <c r="J51" s="520">
        <f>J50-((J$31-'Conservation Input'!I$22)/(A$57-A$32))</f>
        <v>228.00000000000023</v>
      </c>
      <c r="K51" s="538">
        <f>(C51*J51*365)/'Underlying Assumptions'!E$9</f>
        <v>94971.534048668836</v>
      </c>
      <c r="L51" s="538">
        <f>VLOOKUP(A51+'Effective Capacity'!I$15,'Dynamic Population'!A51:K134,11)</f>
        <v>99933.304475247787</v>
      </c>
      <c r="M51" s="588">
        <f>((G51-K51)*'Underlying Assumptions'!E$13)-SUM($M$14:M50)</f>
        <v>7745380.5390616059</v>
      </c>
      <c r="N51" s="538">
        <f t="shared" si="6"/>
        <v>186558524.02268714</v>
      </c>
      <c r="O51" s="499">
        <f>'Summary Baseline Data'!L64</f>
        <v>65498.400000000001</v>
      </c>
      <c r="P51" s="499">
        <f>'Summary Baseline Data'!M64</f>
        <v>5000</v>
      </c>
      <c r="Q51" s="499">
        <f>'Summary Baseline Data'!N64</f>
        <v>4000</v>
      </c>
      <c r="R51" s="500">
        <f>IF('Supply Input'!$I$17='Dynamic Population'!A51,'Supply Input'!$I$12,R50)</f>
        <v>0</v>
      </c>
      <c r="S51" s="500">
        <f>(SUM(O51:R51))*(1-'Water Supply Evaporation'!$I$15)</f>
        <v>70773.48</v>
      </c>
      <c r="T51" s="498">
        <f t="shared" si="1"/>
        <v>94971.534048668836</v>
      </c>
      <c r="U51" s="498">
        <f t="shared" si="2"/>
        <v>-29473.134048668835</v>
      </c>
      <c r="V51" s="563">
        <f t="shared" si="3"/>
        <v>-29159.824475247791</v>
      </c>
      <c r="W51" s="563">
        <f>IF(V51&gt;0,0,(IF(-V51&gt;'Construction Timing'!I$23,'Construction Timing'!I$23,-V51)))</f>
        <v>29159.824475247791</v>
      </c>
      <c r="X51" s="517">
        <f t="shared" si="4"/>
        <v>0</v>
      </c>
      <c r="Y51" s="499">
        <f t="shared" si="5"/>
        <v>0</v>
      </c>
      <c r="Z51" s="172">
        <f t="shared" ref="Z51:Z82" si="11">A51</f>
        <v>2045</v>
      </c>
      <c r="AA51" s="390">
        <f t="shared" ref="AA51:AA82" si="12">T51-G51</f>
        <v>-17599.860756857277</v>
      </c>
    </row>
    <row r="52" spans="1:27" x14ac:dyDescent="0.2">
      <c r="A52" s="388">
        <f>'Summary Baseline Data'!A65</f>
        <v>2046</v>
      </c>
      <c r="B52" s="5">
        <v>58</v>
      </c>
      <c r="C52" s="173">
        <f t="shared" si="9"/>
        <v>382463.21112247393</v>
      </c>
      <c r="D52" s="174"/>
      <c r="E52" s="174"/>
      <c r="F52" s="174">
        <f>'Summary Baseline Data'!V65</f>
        <v>270.25232637083775</v>
      </c>
      <c r="G52" s="535">
        <f>(C52*F52*'Underlying Assumptions'!E$11)/'Underlying Assumptions'!E$9</f>
        <v>115779.6795574836</v>
      </c>
      <c r="H52" s="174">
        <f>IF(((F52*C52*'Underlying Assumptions'!$E$11)/'Underlying Assumptions'!$E$9)&lt;('Dynamic Population'!O52+'Underlying Assumptions'!$E$8),((F52*C52*'Underlying Assumptions'!$E$11)/'Underlying Assumptions'!$E$9),('Dynamic Population'!O52+'Underlying Assumptions'!$E$8))</f>
        <v>115779.6795574836</v>
      </c>
      <c r="I52" s="538">
        <f>VLOOKUP(A52+'Effective Capacity'!I$15,'Dynamic Population'!A52:H135,7)</f>
        <v>122473.16333698072</v>
      </c>
      <c r="J52" s="520">
        <f>J51-((J$31-'Conservation Input'!I$22)/(A$57-A$32))</f>
        <v>227.40000000000023</v>
      </c>
      <c r="K52" s="538">
        <f>(C52*J52*365)/'Underlying Assumptions'!E$9</f>
        <v>97421.174814400481</v>
      </c>
      <c r="L52" s="538">
        <f>VLOOKUP(A52+'Effective Capacity'!I$15,'Dynamic Population'!A52:K135,11)</f>
        <v>102509.49517752042</v>
      </c>
      <c r="M52" s="588">
        <f>((G52-K52)*'Underlying Assumptions'!E$13)-SUM($M$14:M51)</f>
        <v>8041626.2539939284</v>
      </c>
      <c r="N52" s="538">
        <f t="shared" si="6"/>
        <v>194600150.27668107</v>
      </c>
      <c r="O52" s="499">
        <f>'Summary Baseline Data'!L65</f>
        <v>65498.400000000001</v>
      </c>
      <c r="P52" s="499">
        <f>'Summary Baseline Data'!M65</f>
        <v>5000</v>
      </c>
      <c r="Q52" s="499">
        <f>'Summary Baseline Data'!N65</f>
        <v>4000</v>
      </c>
      <c r="R52" s="500">
        <f>IF('Supply Input'!$I$17='Dynamic Population'!A52,'Supply Input'!$I$12,R51)</f>
        <v>0</v>
      </c>
      <c r="S52" s="500">
        <f>(SUM(O52:R52))*(1-'Water Supply Evaporation'!$I$15)</f>
        <v>70773.48</v>
      </c>
      <c r="T52" s="498">
        <f>IF(K52&lt;O52,O52,K52)</f>
        <v>97421.174814400481</v>
      </c>
      <c r="U52" s="498">
        <f t="shared" si="2"/>
        <v>-31922.77481440048</v>
      </c>
      <c r="V52" s="563">
        <f t="shared" si="3"/>
        <v>-31736.015177520429</v>
      </c>
      <c r="W52" s="563">
        <f>IF(V52&gt;0,0,(IF(-V52&gt;'Construction Timing'!I$23,'Construction Timing'!I$23,-V52)))</f>
        <v>31736.015177520429</v>
      </c>
      <c r="X52" s="517">
        <f t="shared" si="4"/>
        <v>0</v>
      </c>
      <c r="Y52" s="499">
        <f t="shared" si="5"/>
        <v>0</v>
      </c>
      <c r="Z52" s="172">
        <f t="shared" si="11"/>
        <v>2046</v>
      </c>
      <c r="AA52" s="390">
        <f t="shared" si="12"/>
        <v>-18358.504743083118</v>
      </c>
    </row>
    <row r="53" spans="1:27" x14ac:dyDescent="0.2">
      <c r="A53" s="388">
        <f>'Summary Baseline Data'!A66</f>
        <v>2047</v>
      </c>
      <c r="B53" s="5">
        <v>59</v>
      </c>
      <c r="C53" s="173">
        <f t="shared" si="9"/>
        <v>393363.41263946443</v>
      </c>
      <c r="D53" s="174"/>
      <c r="E53" s="174"/>
      <c r="F53" s="174">
        <f>'Summary Baseline Data'!V66</f>
        <v>270.25232637083775</v>
      </c>
      <c r="G53" s="535">
        <f>(C53*F53*'Underlying Assumptions'!E$11)/'Underlying Assumptions'!E$9</f>
        <v>119079.40042487188</v>
      </c>
      <c r="H53" s="174">
        <f>IF(((F53*C53*'Underlying Assumptions'!$E$11)/'Underlying Assumptions'!$E$9)&lt;('Dynamic Population'!O53+'Underlying Assumptions'!$E$8),((F53*C53*'Underlying Assumptions'!$E$11)/'Underlying Assumptions'!$E$9),('Dynamic Population'!O53+'Underlying Assumptions'!$E$8))</f>
        <v>119079.40042487188</v>
      </c>
      <c r="I53" s="538">
        <f>VLOOKUP(A53+'Effective Capacity'!I$15,'Dynamic Population'!A53:H136,7)</f>
        <v>125963.64849208464</v>
      </c>
      <c r="J53" s="520">
        <f>J52-((J$31-'Conservation Input'!I$22)/(A$57-A$32))</f>
        <v>226.80000000000024</v>
      </c>
      <c r="K53" s="538">
        <f>(C53*J53*365)/'Underlying Assumptions'!E$9</f>
        <v>99933.304475247787</v>
      </c>
      <c r="L53" s="538">
        <f>VLOOKUP(A53+'Effective Capacity'!I$15,'Dynamic Population'!A53:K136,11)</f>
        <v>105151.35792326256</v>
      </c>
      <c r="M53" s="588">
        <f>((G53-K53)*'Underlying Assumptions'!E$13)-SUM($M$14:M52)</f>
        <v>8348466.7893343568</v>
      </c>
      <c r="N53" s="538">
        <f t="shared" si="6"/>
        <v>202948617.06601542</v>
      </c>
      <c r="O53" s="499">
        <f>'Summary Baseline Data'!L66</f>
        <v>65498.400000000001</v>
      </c>
      <c r="P53" s="499">
        <f>'Summary Baseline Data'!M66</f>
        <v>5000</v>
      </c>
      <c r="Q53" s="499">
        <f>'Summary Baseline Data'!N66</f>
        <v>4000</v>
      </c>
      <c r="R53" s="500">
        <f>IF('Supply Input'!$I$17='Dynamic Population'!A53,'Supply Input'!$I$12,R52)</f>
        <v>0</v>
      </c>
      <c r="S53" s="500">
        <f>(SUM(O53:R53))*(1-'Water Supply Evaporation'!$I$15)</f>
        <v>70773.48</v>
      </c>
      <c r="T53" s="498">
        <f t="shared" si="1"/>
        <v>99933.304475247787</v>
      </c>
      <c r="U53" s="498">
        <f t="shared" si="2"/>
        <v>-34434.904475247786</v>
      </c>
      <c r="V53" s="563">
        <f t="shared" si="3"/>
        <v>-34377.877923262567</v>
      </c>
      <c r="W53" s="563">
        <f>IF(V53&gt;0,0,(IF(-V53&gt;'Construction Timing'!I$23,'Construction Timing'!I$23,-V53)))</f>
        <v>34377.877923262567</v>
      </c>
      <c r="X53" s="517">
        <f t="shared" si="4"/>
        <v>0</v>
      </c>
      <c r="Y53" s="499">
        <f t="shared" si="5"/>
        <v>0</v>
      </c>
      <c r="Z53" s="172">
        <f t="shared" si="11"/>
        <v>2047</v>
      </c>
      <c r="AA53" s="390">
        <f t="shared" si="12"/>
        <v>-19146.095949624098</v>
      </c>
    </row>
    <row r="54" spans="1:27" x14ac:dyDescent="0.2">
      <c r="A54" s="388">
        <f>'Summary Baseline Data'!A67</f>
        <v>2048</v>
      </c>
      <c r="B54" s="5">
        <v>60</v>
      </c>
      <c r="C54" s="173">
        <f t="shared" si="9"/>
        <v>404574.26989968913</v>
      </c>
      <c r="D54" s="174"/>
      <c r="E54" s="174"/>
      <c r="F54" s="174">
        <f>'Summary Baseline Data'!V67</f>
        <v>270.25232637083775</v>
      </c>
      <c r="G54" s="535">
        <f>(C54*F54*'Underlying Assumptions'!E$11)/'Underlying Assumptions'!E$9</f>
        <v>122473.16333698072</v>
      </c>
      <c r="H54" s="174">
        <f>IF(((F54*C54*'Underlying Assumptions'!$E$11)/'Underlying Assumptions'!$E$9)&lt;('Dynamic Population'!O54+'Underlying Assumptions'!$E$8),((F54*C54*'Underlying Assumptions'!$E$11)/'Underlying Assumptions'!$E$9),('Dynamic Population'!O54+'Underlying Assumptions'!$E$8))</f>
        <v>122473.16333698072</v>
      </c>
      <c r="I54" s="538">
        <f>VLOOKUP(A54+'Effective Capacity'!I$15,'Dynamic Population'!A54:H137,7)</f>
        <v>129553.61247410912</v>
      </c>
      <c r="J54" s="520">
        <f>J53-((J$31-'Conservation Input'!I$22)/(A$57-A$32))</f>
        <v>226.20000000000024</v>
      </c>
      <c r="K54" s="538">
        <f>(C54*J54*365)/'Underlying Assumptions'!E$9</f>
        <v>102509.49517752042</v>
      </c>
      <c r="L54" s="538">
        <f>VLOOKUP(A54+'Effective Capacity'!I$15,'Dynamic Population'!A54:K137,11)</f>
        <v>107860.54350805408</v>
      </c>
      <c r="M54" s="588">
        <f>((G54-K54)*'Underlying Assumptions'!E$13)-SUM($M$14:M53)</f>
        <v>8666265.4242637455</v>
      </c>
      <c r="N54" s="538">
        <f t="shared" si="6"/>
        <v>211614882.49027917</v>
      </c>
      <c r="O54" s="499">
        <f>'Summary Baseline Data'!L67</f>
        <v>65498.400000000001</v>
      </c>
      <c r="P54" s="499">
        <f>'Summary Baseline Data'!M67</f>
        <v>5000</v>
      </c>
      <c r="Q54" s="499">
        <f>'Summary Baseline Data'!N67</f>
        <v>4000</v>
      </c>
      <c r="R54" s="500">
        <f>IF('Supply Input'!$I$17='Dynamic Population'!A54,'Supply Input'!$I$12,R53)</f>
        <v>0</v>
      </c>
      <c r="S54" s="500">
        <f>(SUM(O54:R54))*(1-'Water Supply Evaporation'!$I$15)</f>
        <v>70773.48</v>
      </c>
      <c r="T54" s="498">
        <f t="shared" si="1"/>
        <v>102509.49517752042</v>
      </c>
      <c r="U54" s="498">
        <f t="shared" si="2"/>
        <v>-37011.095177520423</v>
      </c>
      <c r="V54" s="563">
        <f t="shared" si="3"/>
        <v>-37087.063508054081</v>
      </c>
      <c r="W54" s="563">
        <f>IF(V54&gt;0,0,(IF(-V54&gt;'Construction Timing'!I$23,'Construction Timing'!I$23,-V54)))</f>
        <v>37087.063508054081</v>
      </c>
      <c r="X54" s="517">
        <f t="shared" si="4"/>
        <v>0</v>
      </c>
      <c r="Y54" s="499">
        <f t="shared" si="5"/>
        <v>0</v>
      </c>
      <c r="Z54" s="172">
        <f t="shared" si="11"/>
        <v>2048</v>
      </c>
      <c r="AA54" s="390">
        <f t="shared" si="12"/>
        <v>-19963.6681594603</v>
      </c>
    </row>
    <row r="55" spans="1:27" x14ac:dyDescent="0.2">
      <c r="A55" s="388">
        <f>'Summary Baseline Data'!A68</f>
        <v>2049</v>
      </c>
      <c r="B55" s="5">
        <v>61</v>
      </c>
      <c r="C55" s="173">
        <f t="shared" si="9"/>
        <v>416104.63659183023</v>
      </c>
      <c r="D55" s="174"/>
      <c r="E55" s="174"/>
      <c r="F55" s="174">
        <f>'Summary Baseline Data'!V68</f>
        <v>270.25232637083775</v>
      </c>
      <c r="G55" s="535">
        <f>(C55*F55*'Underlying Assumptions'!E$11)/'Underlying Assumptions'!E$9</f>
        <v>125963.64849208464</v>
      </c>
      <c r="H55" s="174">
        <f>IF(((F55*C55*'Underlying Assumptions'!$E$11)/'Underlying Assumptions'!$E$9)&lt;('Dynamic Population'!O55+'Underlying Assumptions'!$E$8),((F55*C55*'Underlying Assumptions'!$E$11)/'Underlying Assumptions'!$E$9),('Dynamic Population'!O55+'Underlying Assumptions'!$E$8))</f>
        <v>125963.64849208464</v>
      </c>
      <c r="I55" s="538">
        <f>VLOOKUP(A55+'Effective Capacity'!I$15,'Dynamic Population'!A55:H138,7)</f>
        <v>133245.89042962118</v>
      </c>
      <c r="J55" s="520">
        <f>J54-((J$31-'Conservation Input'!I$22)/(A$57-A$32))</f>
        <v>225.60000000000025</v>
      </c>
      <c r="K55" s="538">
        <f>(C55*J55*365)/'Underlying Assumptions'!E$9</f>
        <v>105151.35792326256</v>
      </c>
      <c r="L55" s="538">
        <f>VLOOKUP(A55+'Effective Capacity'!I$15,'Dynamic Population'!A55:K138,11)</f>
        <v>110934.5689980336</v>
      </c>
      <c r="M55" s="588">
        <f>((G55-K55)*'Underlying Assumptions'!E$13)-SUM($M$14:M54)</f>
        <v>8995397.5392348468</v>
      </c>
      <c r="N55" s="538">
        <f t="shared" si="6"/>
        <v>220610280.02951401</v>
      </c>
      <c r="O55" s="499">
        <f>'Summary Baseline Data'!L68</f>
        <v>65498.400000000001</v>
      </c>
      <c r="P55" s="499">
        <f>'Summary Baseline Data'!M68</f>
        <v>5000</v>
      </c>
      <c r="Q55" s="499">
        <f>'Summary Baseline Data'!N68</f>
        <v>4000</v>
      </c>
      <c r="R55" s="500">
        <f>IF('Supply Input'!$I$17='Dynamic Population'!A55,'Supply Input'!$I$12,R54)</f>
        <v>0</v>
      </c>
      <c r="S55" s="500">
        <f>(SUM(O55:R55))*(1-'Water Supply Evaporation'!$I$15)</f>
        <v>70773.48</v>
      </c>
      <c r="T55" s="498">
        <f t="shared" si="1"/>
        <v>105151.35792326256</v>
      </c>
      <c r="U55" s="498">
        <f t="shared" si="2"/>
        <v>-39652.957923262562</v>
      </c>
      <c r="V55" s="563">
        <f t="shared" si="3"/>
        <v>-40161.088998033607</v>
      </c>
      <c r="W55" s="563">
        <f>IF(V55&gt;0,0,(IF(-V55&gt;'Construction Timing'!I$23,'Construction Timing'!I$23,-V55)))</f>
        <v>40161.088998033607</v>
      </c>
      <c r="X55" s="517">
        <f t="shared" si="4"/>
        <v>0</v>
      </c>
      <c r="Y55" s="499">
        <f t="shared" si="5"/>
        <v>0</v>
      </c>
      <c r="Z55" s="172">
        <f t="shared" si="11"/>
        <v>2049</v>
      </c>
      <c r="AA55" s="390">
        <f t="shared" si="12"/>
        <v>-20812.290568822078</v>
      </c>
    </row>
    <row r="56" spans="1:27" x14ac:dyDescent="0.2">
      <c r="A56" s="388">
        <f>'Summary Baseline Data'!A69</f>
        <v>2050</v>
      </c>
      <c r="B56" s="5">
        <v>62</v>
      </c>
      <c r="C56" s="173">
        <f t="shared" si="9"/>
        <v>427963.6187346974</v>
      </c>
      <c r="D56" s="174"/>
      <c r="E56" s="174"/>
      <c r="F56" s="174">
        <f>'Summary Baseline Data'!V69</f>
        <v>270.25232637083781</v>
      </c>
      <c r="G56" s="535">
        <f>(C56*F56*'Underlying Assumptions'!E$11)/'Underlying Assumptions'!E$9</f>
        <v>129553.61247410912</v>
      </c>
      <c r="H56" s="174">
        <f>IF(((F56*C56*'Underlying Assumptions'!$E$11)/'Underlying Assumptions'!$E$9)&lt;('Dynamic Population'!O56+'Underlying Assumptions'!$E$8),((F56*C56*'Underlying Assumptions'!$E$11)/'Underlying Assumptions'!$E$9),('Dynamic Population'!O56+'Underlying Assumptions'!$E$8))</f>
        <v>129553.61247410912</v>
      </c>
      <c r="I56" s="538">
        <f>VLOOKUP(A56+'Effective Capacity'!I$15,'Dynamic Population'!A56:H139,7)</f>
        <v>137043.39830686539</v>
      </c>
      <c r="J56" s="520">
        <f>J55-((J$31-'Conservation Input'!I$22)/(A$57-A$32))</f>
        <v>225.00000000000026</v>
      </c>
      <c r="K56" s="538">
        <f>(C56*J56*365)/'Underlying Assumptions'!E$9</f>
        <v>107860.54350805408</v>
      </c>
      <c r="L56" s="538">
        <f>VLOOKUP(A56+'Effective Capacity'!I$15,'Dynamic Population'!A56:K139,11)</f>
        <v>114096.20421447756</v>
      </c>
      <c r="M56" s="588">
        <f>((G56-K56)*'Underlying Assumptions'!E$13)-SUM($M$14:M55)</f>
        <v>9336251.01066944</v>
      </c>
      <c r="N56" s="538">
        <f t="shared" si="6"/>
        <v>229946531.04018345</v>
      </c>
      <c r="O56" s="499">
        <f>'Summary Baseline Data'!L69</f>
        <v>65498.400000000001</v>
      </c>
      <c r="P56" s="499">
        <f>'Summary Baseline Data'!M69</f>
        <v>5000</v>
      </c>
      <c r="Q56" s="499">
        <f>'Summary Baseline Data'!N69</f>
        <v>4000</v>
      </c>
      <c r="R56" s="500">
        <f>IF('Supply Input'!$I$17='Dynamic Population'!A56,'Supply Input'!$I$12,R55)</f>
        <v>0</v>
      </c>
      <c r="S56" s="500">
        <f>(SUM(O56:R56))*(1-'Water Supply Evaporation'!$I$15)</f>
        <v>70773.48</v>
      </c>
      <c r="T56" s="498">
        <f t="shared" si="1"/>
        <v>107860.54350805408</v>
      </c>
      <c r="U56" s="498">
        <f t="shared" si="2"/>
        <v>-42362.143508054076</v>
      </c>
      <c r="V56" s="563">
        <f t="shared" si="3"/>
        <v>-43322.724214477566</v>
      </c>
      <c r="W56" s="563">
        <f>IF(V56&gt;0,0,(IF(-V56&gt;'Construction Timing'!I$23,'Construction Timing'!I$23,-V56)))</f>
        <v>43322.724214477566</v>
      </c>
      <c r="X56" s="517">
        <f t="shared" si="4"/>
        <v>0</v>
      </c>
      <c r="Y56" s="499">
        <f t="shared" si="5"/>
        <v>0</v>
      </c>
      <c r="Z56" s="172">
        <f t="shared" si="11"/>
        <v>2050</v>
      </c>
      <c r="AA56" s="390">
        <f t="shared" si="12"/>
        <v>-21693.068966055042</v>
      </c>
    </row>
    <row r="57" spans="1:27" x14ac:dyDescent="0.2">
      <c r="A57" s="388">
        <f>'Summary Baseline Data'!A70</f>
        <v>2051</v>
      </c>
      <c r="B57" s="5">
        <v>63</v>
      </c>
      <c r="C57" s="173">
        <f t="shared" si="9"/>
        <v>440160.58186863625</v>
      </c>
      <c r="D57" s="174"/>
      <c r="E57" s="174"/>
      <c r="F57" s="174">
        <f>'Summary Baseline Data'!V70</f>
        <v>270.25232637083775</v>
      </c>
      <c r="G57" s="535">
        <f>(C57*F57*'Underlying Assumptions'!E$11)/'Underlying Assumptions'!E$9</f>
        <v>133245.89042962118</v>
      </c>
      <c r="H57" s="174">
        <f>IF(((F57*C57*'Underlying Assumptions'!$E$11)/'Underlying Assumptions'!$E$9)&lt;('Dynamic Population'!O57+'Underlying Assumptions'!$E$8),((F57*C57*'Underlying Assumptions'!$E$11)/'Underlying Assumptions'!$E$9),('Dynamic Population'!O57+'Underlying Assumptions'!$E$8))</f>
        <v>133245.89042962118</v>
      </c>
      <c r="I57" s="538">
        <f>VLOOKUP(A57+'Effective Capacity'!I$15,'Dynamic Population'!A57:H140,7)</f>
        <v>140949.13515861102</v>
      </c>
      <c r="J57" s="520">
        <f>J56</f>
        <v>225.00000000000026</v>
      </c>
      <c r="K57" s="538">
        <f>(C57*J57*365)/'Underlying Assumptions'!E$9</f>
        <v>110934.5689980336</v>
      </c>
      <c r="L57" s="538">
        <f>VLOOKUP(A57+'Effective Capacity'!I$15,'Dynamic Population'!A57:K140,11)</f>
        <v>117347.94603459018</v>
      </c>
      <c r="M57" s="588">
        <f>((G57-K57)*'Underlying Assumptions'!E$13)-SUM($M$14:M56)</f>
        <v>6553476.1346448958</v>
      </c>
      <c r="N57" s="538">
        <f t="shared" si="6"/>
        <v>236500007.17482835</v>
      </c>
      <c r="O57" s="499">
        <f>'Summary Baseline Data'!L70</f>
        <v>65498.400000000001</v>
      </c>
      <c r="P57" s="499">
        <f>'Summary Baseline Data'!M70</f>
        <v>5000</v>
      </c>
      <c r="Q57" s="499">
        <f>'Summary Baseline Data'!N70</f>
        <v>4000</v>
      </c>
      <c r="R57" s="500">
        <f>IF('Supply Input'!$I$17='Dynamic Population'!A57,'Supply Input'!$I$12,R56)</f>
        <v>0</v>
      </c>
      <c r="S57" s="500">
        <f>(SUM(O57:R57))*(1-'Water Supply Evaporation'!$I$15)</f>
        <v>70773.48</v>
      </c>
      <c r="T57" s="498">
        <f t="shared" si="1"/>
        <v>110934.5689980336</v>
      </c>
      <c r="U57" s="498">
        <f t="shared" si="2"/>
        <v>-45436.168998033601</v>
      </c>
      <c r="V57" s="563">
        <f t="shared" si="3"/>
        <v>-46574.466034590179</v>
      </c>
      <c r="W57" s="563">
        <f>IF(V57&gt;0,0,(IF(-V57&gt;'Construction Timing'!I$23,'Construction Timing'!I$23,-V57)))</f>
        <v>46574.466034590179</v>
      </c>
      <c r="X57" s="517">
        <f t="shared" si="4"/>
        <v>0</v>
      </c>
      <c r="Y57" s="499">
        <f t="shared" si="5"/>
        <v>0</v>
      </c>
      <c r="Z57" s="172">
        <f t="shared" si="11"/>
        <v>2051</v>
      </c>
      <c r="AA57" s="390">
        <f t="shared" si="12"/>
        <v>-22311.321431587581</v>
      </c>
    </row>
    <row r="58" spans="1:27" x14ac:dyDescent="0.2">
      <c r="A58" s="388">
        <f>'Summary Baseline Data'!A71</f>
        <v>2052</v>
      </c>
      <c r="B58" s="5">
        <v>64</v>
      </c>
      <c r="C58" s="173">
        <f t="shared" si="9"/>
        <v>452705.15845189238</v>
      </c>
      <c r="D58" s="174"/>
      <c r="E58" s="174"/>
      <c r="F58" s="174">
        <f>'Summary Baseline Data'!V71</f>
        <v>270.25232637083781</v>
      </c>
      <c r="G58" s="535">
        <f>(C58*F58*'Underlying Assumptions'!E$11)/'Underlying Assumptions'!E$9</f>
        <v>137043.39830686539</v>
      </c>
      <c r="H58" s="174">
        <f>IF(((F58*C58*'Underlying Assumptions'!$E$11)/'Underlying Assumptions'!$E$9)&lt;('Dynamic Population'!O58+'Underlying Assumptions'!$E$8),((F58*C58*'Underlying Assumptions'!$E$11)/'Underlying Assumptions'!$E$9),('Dynamic Population'!O58+'Underlying Assumptions'!$E$8))</f>
        <v>137043.39830686539</v>
      </c>
      <c r="I58" s="538">
        <f>VLOOKUP(A58+'Effective Capacity'!I$15,'Dynamic Population'!A58:H141,7)</f>
        <v>144966.18551063148</v>
      </c>
      <c r="J58" s="520">
        <f t="shared" ref="J58:J97" si="13">J57</f>
        <v>225.00000000000026</v>
      </c>
      <c r="K58" s="538">
        <f>(C58*J58*365)/'Underlying Assumptions'!E$9</f>
        <v>114096.20421447756</v>
      </c>
      <c r="L58" s="538">
        <f>VLOOKUP(A58+'Effective Capacity'!I$15,'Dynamic Population'!A58:K141,11)</f>
        <v>120692.362496576</v>
      </c>
      <c r="M58" s="588">
        <f>((G58-K58)*'Underlying Assumptions'!E$13)-SUM($M$14:M57)</f>
        <v>6740250.204482615</v>
      </c>
      <c r="N58" s="538">
        <f t="shared" si="6"/>
        <v>243240257.37931097</v>
      </c>
      <c r="O58" s="499">
        <f>'Summary Baseline Data'!L71</f>
        <v>65498.400000000001</v>
      </c>
      <c r="P58" s="499">
        <f>'Summary Baseline Data'!M71</f>
        <v>5000</v>
      </c>
      <c r="Q58" s="499">
        <f>'Summary Baseline Data'!N71</f>
        <v>4000</v>
      </c>
      <c r="R58" s="500">
        <f>IF('Supply Input'!$I$17='Dynamic Population'!A58,'Supply Input'!$I$12,R57)</f>
        <v>0</v>
      </c>
      <c r="S58" s="500">
        <f>(SUM(O58:R58))*(1-'Water Supply Evaporation'!$I$15)</f>
        <v>70773.48</v>
      </c>
      <c r="T58" s="498">
        <f t="shared" si="1"/>
        <v>114096.20421447756</v>
      </c>
      <c r="U58" s="498">
        <f t="shared" si="2"/>
        <v>-48597.804214477561</v>
      </c>
      <c r="V58" s="563">
        <f t="shared" si="3"/>
        <v>-49918.882496576</v>
      </c>
      <c r="W58" s="563">
        <f>IF(V58&gt;0,0,(IF(-V58&gt;'Construction Timing'!I$23,'Construction Timing'!I$23,-V58)))</f>
        <v>49918.882496576</v>
      </c>
      <c r="X58" s="517">
        <f t="shared" si="4"/>
        <v>0</v>
      </c>
      <c r="Y58" s="499">
        <f t="shared" si="5"/>
        <v>0</v>
      </c>
      <c r="Z58" s="172">
        <f t="shared" si="11"/>
        <v>2052</v>
      </c>
      <c r="AA58" s="390">
        <f t="shared" si="12"/>
        <v>-22947.194092387828</v>
      </c>
    </row>
    <row r="59" spans="1:27" x14ac:dyDescent="0.2">
      <c r="A59" s="388">
        <f>'Summary Baseline Data'!A72</f>
        <v>2053</v>
      </c>
      <c r="B59" s="5">
        <v>65</v>
      </c>
      <c r="C59" s="173">
        <f t="shared" si="9"/>
        <v>465607.25546777132</v>
      </c>
      <c r="D59" s="174"/>
      <c r="E59" s="174"/>
      <c r="F59" s="174">
        <f>'Summary Baseline Data'!V72</f>
        <v>270.25232637083775</v>
      </c>
      <c r="G59" s="535">
        <f>(C59*F59*'Underlying Assumptions'!E$11)/'Underlying Assumptions'!E$9</f>
        <v>140949.13515861102</v>
      </c>
      <c r="H59" s="174">
        <f>IF(((F59*C59*'Underlying Assumptions'!$E$11)/'Underlying Assumptions'!$E$9)&lt;('Dynamic Population'!O59+'Underlying Assumptions'!$E$8),((F59*C59*'Underlying Assumptions'!$E$11)/'Underlying Assumptions'!$E$9),('Dynamic Population'!O59+'Underlying Assumptions'!$E$8))</f>
        <v>140949.13515861102</v>
      </c>
      <c r="I59" s="538">
        <f>VLOOKUP(A59+'Effective Capacity'!I$15,'Dynamic Population'!A59:H142,7)</f>
        <v>149097.7217976845</v>
      </c>
      <c r="J59" s="520">
        <f t="shared" si="13"/>
        <v>225.00000000000026</v>
      </c>
      <c r="K59" s="538">
        <f>(C59*J59*365)/'Underlying Assumptions'!E$9</f>
        <v>117347.94603459018</v>
      </c>
      <c r="L59" s="538">
        <f>VLOOKUP(A59+'Effective Capacity'!I$15,'Dynamic Population'!A59:K142,11)</f>
        <v>124132.09482772842</v>
      </c>
      <c r="M59" s="588">
        <f>((G59-K59)*'Underlying Assumptions'!E$13)-SUM($M$14:M58)</f>
        <v>6932347.3353100419</v>
      </c>
      <c r="N59" s="538">
        <f t="shared" si="6"/>
        <v>250172604.71462101</v>
      </c>
      <c r="O59" s="499">
        <f>'Summary Baseline Data'!L72</f>
        <v>65498.400000000001</v>
      </c>
      <c r="P59" s="499">
        <f>'Summary Baseline Data'!M72</f>
        <v>5000</v>
      </c>
      <c r="Q59" s="499">
        <f>'Summary Baseline Data'!N72</f>
        <v>4000</v>
      </c>
      <c r="R59" s="500">
        <f>IF('Supply Input'!$I$17='Dynamic Population'!A59,'Supply Input'!$I$12,R58)</f>
        <v>0</v>
      </c>
      <c r="S59" s="500">
        <f>(SUM(O59:R59))*(1-'Water Supply Evaporation'!$I$15)</f>
        <v>70773.48</v>
      </c>
      <c r="T59" s="498">
        <f t="shared" si="1"/>
        <v>117347.94603459018</v>
      </c>
      <c r="U59" s="498">
        <f t="shared" si="2"/>
        <v>-51849.546034590174</v>
      </c>
      <c r="V59" s="563">
        <f t="shared" si="3"/>
        <v>-53358.614827728423</v>
      </c>
      <c r="W59" s="563">
        <f>IF(V59&gt;0,0,(IF(-V59&gt;'Construction Timing'!I$23,'Construction Timing'!I$23,-V59)))</f>
        <v>53358.614827728423</v>
      </c>
      <c r="X59" s="517">
        <f t="shared" si="4"/>
        <v>0</v>
      </c>
      <c r="Y59" s="499">
        <f t="shared" si="5"/>
        <v>0</v>
      </c>
      <c r="Z59" s="172">
        <f t="shared" si="11"/>
        <v>2053</v>
      </c>
      <c r="AA59" s="390">
        <f t="shared" si="12"/>
        <v>-23601.18912402085</v>
      </c>
    </row>
    <row r="60" spans="1:27" x14ac:dyDescent="0.2">
      <c r="A60" s="388">
        <f>'Summary Baseline Data'!A73</f>
        <v>2054</v>
      </c>
      <c r="B60" s="5">
        <v>66</v>
      </c>
      <c r="C60" s="173">
        <f t="shared" si="9"/>
        <v>478877.0622486028</v>
      </c>
      <c r="D60" s="174"/>
      <c r="E60" s="174"/>
      <c r="F60" s="174">
        <f>'Summary Baseline Data'!V73</f>
        <v>270.25232637083775</v>
      </c>
      <c r="G60" s="535">
        <f>(C60*F60*'Underlying Assumptions'!E$11)/'Underlying Assumptions'!E$9</f>
        <v>144966.18551063148</v>
      </c>
      <c r="H60" s="174">
        <f>IF(((F60*C60*'Underlying Assumptions'!$E$11)/'Underlying Assumptions'!$E$9)&lt;('Dynamic Population'!O60+'Underlying Assumptions'!$E$8),((F60*C60*'Underlying Assumptions'!$E$11)/'Underlying Assumptions'!$E$9),('Dynamic Population'!O60+'Underlying Assumptions'!$E$8))</f>
        <v>144966.18551063148</v>
      </c>
      <c r="I60" s="538">
        <f>VLOOKUP(A60+'Effective Capacity'!I$15,'Dynamic Population'!A60:H143,7)</f>
        <v>153347.00686891848</v>
      </c>
      <c r="J60" s="520">
        <f t="shared" si="13"/>
        <v>225.00000000000026</v>
      </c>
      <c r="K60" s="538">
        <f>(C60*J60*365)/'Underlying Assumptions'!E$9</f>
        <v>120692.362496576</v>
      </c>
      <c r="L60" s="538">
        <f>VLOOKUP(A60+'Effective Capacity'!I$15,'Dynamic Population'!A60:K143,11)</f>
        <v>127669.85953031869</v>
      </c>
      <c r="M60" s="588">
        <f>((G60-K60)*'Underlying Assumptions'!E$13)-SUM($M$14:M59)</f>
        <v>7129919.2343670726</v>
      </c>
      <c r="N60" s="538">
        <f t="shared" si="6"/>
        <v>257302523.94898808</v>
      </c>
      <c r="O60" s="499">
        <f>'Summary Baseline Data'!L73</f>
        <v>65498.400000000001</v>
      </c>
      <c r="P60" s="499">
        <f>'Summary Baseline Data'!M73</f>
        <v>5000</v>
      </c>
      <c r="Q60" s="499">
        <f>'Summary Baseline Data'!N73</f>
        <v>4000</v>
      </c>
      <c r="R60" s="500">
        <f>IF('Supply Input'!$I$17='Dynamic Population'!A60,'Supply Input'!$I$12,R59)</f>
        <v>0</v>
      </c>
      <c r="S60" s="500">
        <f>(SUM(O60:R60))*(1-'Water Supply Evaporation'!$I$15)</f>
        <v>70773.48</v>
      </c>
      <c r="T60" s="498">
        <f t="shared" si="1"/>
        <v>120692.362496576</v>
      </c>
      <c r="U60" s="498">
        <f t="shared" si="2"/>
        <v>-55193.962496575994</v>
      </c>
      <c r="V60" s="563">
        <f t="shared" si="3"/>
        <v>-56896.379530318693</v>
      </c>
      <c r="W60" s="563">
        <f>IF(V60&gt;0,0,(IF(-V60&gt;'Construction Timing'!I$23,'Construction Timing'!I$23,-V60)))</f>
        <v>56896.379530318693</v>
      </c>
      <c r="X60" s="517">
        <f t="shared" si="4"/>
        <v>0</v>
      </c>
      <c r="Y60" s="499">
        <f t="shared" si="5"/>
        <v>0</v>
      </c>
      <c r="Z60" s="172">
        <f t="shared" si="11"/>
        <v>2054</v>
      </c>
      <c r="AA60" s="390">
        <f t="shared" si="12"/>
        <v>-24273.823014055481</v>
      </c>
    </row>
    <row r="61" spans="1:27" x14ac:dyDescent="0.2">
      <c r="A61" s="388">
        <f>'Summary Baseline Data'!A74</f>
        <v>2055</v>
      </c>
      <c r="B61" s="5">
        <v>67</v>
      </c>
      <c r="C61" s="173">
        <f t="shared" si="9"/>
        <v>492525.05852268799</v>
      </c>
      <c r="D61" s="174"/>
      <c r="E61" s="174"/>
      <c r="F61" s="174">
        <f>'Summary Baseline Data'!V74</f>
        <v>270.25232637083781</v>
      </c>
      <c r="G61" s="535">
        <f>(C61*F61*'Underlying Assumptions'!E$11)/'Underlying Assumptions'!E$9</f>
        <v>149097.7217976845</v>
      </c>
      <c r="H61" s="174">
        <f>IF(((F61*C61*'Underlying Assumptions'!$E$11)/'Underlying Assumptions'!$E$9)&lt;('Dynamic Population'!O61+'Underlying Assumptions'!$E$8),((F61*C61*'Underlying Assumptions'!$E$11)/'Underlying Assumptions'!$E$9),('Dynamic Population'!O61+'Underlying Assumptions'!$E$8))</f>
        <v>147747.4</v>
      </c>
      <c r="I61" s="538">
        <f>VLOOKUP(A61+'Effective Capacity'!I$15,'Dynamic Population'!A61:H144,7)</f>
        <v>157717.39656468263</v>
      </c>
      <c r="J61" s="520">
        <f t="shared" si="13"/>
        <v>225.00000000000026</v>
      </c>
      <c r="K61" s="538">
        <f>(C61*J61*365)/'Underlying Assumptions'!E$9</f>
        <v>124132.09482772842</v>
      </c>
      <c r="L61" s="538">
        <f>VLOOKUP(A61+'Effective Capacity'!I$15,'Dynamic Population'!A61:K144,11)</f>
        <v>131308.45052693275</v>
      </c>
      <c r="M61" s="588">
        <f>((G61-K61)*'Underlying Assumptions'!E$13)-SUM($M$14:M60)</f>
        <v>7333121.9325463772</v>
      </c>
      <c r="N61" s="538">
        <f t="shared" si="6"/>
        <v>264635645.88153446</v>
      </c>
      <c r="O61" s="499">
        <f>'Summary Baseline Data'!L74</f>
        <v>65498.400000000001</v>
      </c>
      <c r="P61" s="499">
        <f>'Summary Baseline Data'!M74</f>
        <v>5000</v>
      </c>
      <c r="Q61" s="499">
        <f>'Summary Baseline Data'!N74</f>
        <v>4000</v>
      </c>
      <c r="R61" s="500">
        <f>IF('Supply Input'!$I$17='Dynamic Population'!A61,'Supply Input'!$I$12,R60)</f>
        <v>0</v>
      </c>
      <c r="S61" s="500">
        <f>(SUM(O61:R61))*(1-'Water Supply Evaporation'!$I$15)</f>
        <v>70773.48</v>
      </c>
      <c r="T61" s="498">
        <f t="shared" si="1"/>
        <v>124132.09482772842</v>
      </c>
      <c r="U61" s="498">
        <f t="shared" si="2"/>
        <v>-58633.694827728417</v>
      </c>
      <c r="V61" s="563">
        <f t="shared" si="3"/>
        <v>-60534.970526932753</v>
      </c>
      <c r="W61" s="563">
        <f>IF(V61&gt;0,0,(IF(-V61&gt;'Construction Timing'!I$23,'Construction Timing'!I$23,-V61)))</f>
        <v>60534.970526932753</v>
      </c>
      <c r="X61" s="517">
        <f t="shared" si="4"/>
        <v>0</v>
      </c>
      <c r="Y61" s="499">
        <f t="shared" si="5"/>
        <v>0</v>
      </c>
      <c r="Z61" s="172">
        <f t="shared" si="11"/>
        <v>2055</v>
      </c>
      <c r="AA61" s="390">
        <f t="shared" si="12"/>
        <v>-24965.62696995608</v>
      </c>
    </row>
    <row r="62" spans="1:27" x14ac:dyDescent="0.2">
      <c r="A62" s="388">
        <f>'Summary Baseline Data'!A75</f>
        <v>2056</v>
      </c>
      <c r="B62" s="5">
        <v>68</v>
      </c>
      <c r="C62" s="173">
        <f t="shared" si="9"/>
        <v>506562.02269058459</v>
      </c>
      <c r="D62" s="174"/>
      <c r="E62" s="174"/>
      <c r="F62" s="174">
        <f>'Summary Baseline Data'!V75</f>
        <v>270.25232637083781</v>
      </c>
      <c r="G62" s="535">
        <f>(C62*F62*'Underlying Assumptions'!E$11)/'Underlying Assumptions'!E$9</f>
        <v>153347.00686891848</v>
      </c>
      <c r="H62" s="174">
        <f>IF(((F62*C62*'Underlying Assumptions'!$E$11)/'Underlying Assumptions'!$E$9)&lt;('Dynamic Population'!O62+'Underlying Assumptions'!$E$8),((F62*C62*'Underlying Assumptions'!$E$11)/'Underlying Assumptions'!$E$9),('Dynamic Population'!O62+'Underlying Assumptions'!$E$8))</f>
        <v>147747.4</v>
      </c>
      <c r="I62" s="538">
        <f>VLOOKUP(A62+'Effective Capacity'!I$15,'Dynamic Population'!A62:H145,7)</f>
        <v>162212.34236677608</v>
      </c>
      <c r="J62" s="520">
        <f t="shared" si="13"/>
        <v>225.00000000000026</v>
      </c>
      <c r="K62" s="538">
        <f>(C62*J62*365)/'Underlying Assumptions'!E$9</f>
        <v>127669.85953031869</v>
      </c>
      <c r="L62" s="538">
        <f>VLOOKUP(A62+'Effective Capacity'!I$15,'Dynamic Population'!A62:K145,11)</f>
        <v>135050.74136695033</v>
      </c>
      <c r="M62" s="588">
        <f>((G62-K62)*'Underlying Assumptions'!E$13)-SUM($M$14:M61)</f>
        <v>7542115.9076234102</v>
      </c>
      <c r="N62" s="538">
        <f t="shared" si="6"/>
        <v>272177761.78915787</v>
      </c>
      <c r="O62" s="499">
        <f>'Summary Baseline Data'!L75</f>
        <v>65498.400000000001</v>
      </c>
      <c r="P62" s="499">
        <f>'Summary Baseline Data'!M75</f>
        <v>5000</v>
      </c>
      <c r="Q62" s="499">
        <f>'Summary Baseline Data'!N75</f>
        <v>4000</v>
      </c>
      <c r="R62" s="500">
        <f>IF('Supply Input'!$I$17='Dynamic Population'!A62,'Supply Input'!$I$12,R61)</f>
        <v>0</v>
      </c>
      <c r="S62" s="500">
        <f>(SUM(O62:R62))*(1-'Water Supply Evaporation'!$I$15)</f>
        <v>70773.48</v>
      </c>
      <c r="T62" s="498">
        <f t="shared" si="1"/>
        <v>127669.85953031869</v>
      </c>
      <c r="U62" s="498">
        <f t="shared" si="2"/>
        <v>-62171.459530318687</v>
      </c>
      <c r="V62" s="563">
        <f t="shared" si="3"/>
        <v>-64277.261366950333</v>
      </c>
      <c r="W62" s="563">
        <f>IF(V62&gt;0,0,(IF(-V62&gt;'Construction Timing'!I$23,'Construction Timing'!I$23,-V62)))</f>
        <v>64277.261366950333</v>
      </c>
      <c r="X62" s="517">
        <f t="shared" si="4"/>
        <v>0</v>
      </c>
      <c r="Y62" s="499">
        <f t="shared" si="5"/>
        <v>0</v>
      </c>
      <c r="Z62" s="172">
        <f t="shared" si="11"/>
        <v>2056</v>
      </c>
      <c r="AA62" s="390">
        <f t="shared" si="12"/>
        <v>-25677.147338599796</v>
      </c>
    </row>
    <row r="63" spans="1:27" x14ac:dyDescent="0.2">
      <c r="A63" s="388">
        <f>'Summary Baseline Data'!A76</f>
        <v>2057</v>
      </c>
      <c r="B63" s="5">
        <v>69</v>
      </c>
      <c r="C63" s="173">
        <f t="shared" si="9"/>
        <v>520999.04033726623</v>
      </c>
      <c r="D63" s="174"/>
      <c r="E63" s="174"/>
      <c r="F63" s="174">
        <f>'Summary Baseline Data'!V76</f>
        <v>270.25232637083775</v>
      </c>
      <c r="G63" s="535">
        <f>(C63*F63*'Underlying Assumptions'!E$11)/'Underlying Assumptions'!E$9</f>
        <v>157717.39656468263</v>
      </c>
      <c r="H63" s="174">
        <f>IF(((F63*C63*'Underlying Assumptions'!$E$11)/'Underlying Assumptions'!$E$9)&lt;('Dynamic Population'!O63+'Underlying Assumptions'!$E$8),((F63*C63*'Underlying Assumptions'!$E$11)/'Underlying Assumptions'!$E$9),('Dynamic Population'!O63+'Underlying Assumptions'!$E$8))</f>
        <v>147747.4</v>
      </c>
      <c r="I63" s="538">
        <f>VLOOKUP(A63+'Effective Capacity'!I$15,'Dynamic Population'!A63:H146,7)</f>
        <v>166835.39412422921</v>
      </c>
      <c r="J63" s="520">
        <f t="shared" si="13"/>
        <v>225.00000000000026</v>
      </c>
      <c r="K63" s="538">
        <f>(C63*J63*365)/'Underlying Assumptions'!E$9</f>
        <v>131308.45052693275</v>
      </c>
      <c r="L63" s="538">
        <f>VLOOKUP(A63+'Effective Capacity'!I$15,'Dynamic Population'!A63:K146,11)</f>
        <v>138899.68749590841</v>
      </c>
      <c r="M63" s="588">
        <f>((G63-K63)*'Underlying Assumptions'!E$13)-SUM($M$14:M62)</f>
        <v>7757066.2109908462</v>
      </c>
      <c r="N63" s="538">
        <f t="shared" si="6"/>
        <v>279934828.00014871</v>
      </c>
      <c r="O63" s="499">
        <f>'Summary Baseline Data'!L76</f>
        <v>65498.400000000001</v>
      </c>
      <c r="P63" s="499">
        <f>'Summary Baseline Data'!M76</f>
        <v>5000</v>
      </c>
      <c r="Q63" s="499">
        <f>'Summary Baseline Data'!N76</f>
        <v>4000</v>
      </c>
      <c r="R63" s="500">
        <f>IF('Supply Input'!$I$17='Dynamic Population'!A63,'Supply Input'!$I$12,R62)</f>
        <v>0</v>
      </c>
      <c r="S63" s="500">
        <f>(SUM(O63:R63))*(1-'Water Supply Evaporation'!$I$15)</f>
        <v>70773.48</v>
      </c>
      <c r="T63" s="498">
        <f>IF(K63&lt;O63,O63,K63)</f>
        <v>131308.45052693275</v>
      </c>
      <c r="U63" s="498">
        <f t="shared" si="2"/>
        <v>-65810.050526932755</v>
      </c>
      <c r="V63" s="563">
        <f t="shared" si="3"/>
        <v>-68126.207495908413</v>
      </c>
      <c r="W63" s="563">
        <f>IF(V63&gt;0,0,(IF(-V63&gt;'Construction Timing'!I$23,'Construction Timing'!I$23,-V63)))</f>
        <v>68126.207495908413</v>
      </c>
      <c r="X63" s="517">
        <f t="shared" si="4"/>
        <v>0</v>
      </c>
      <c r="Y63" s="499">
        <f t="shared" si="5"/>
        <v>0</v>
      </c>
      <c r="Z63" s="172">
        <f t="shared" si="11"/>
        <v>2057</v>
      </c>
      <c r="AA63" s="197">
        <f t="shared" si="12"/>
        <v>-26408.946037749876</v>
      </c>
    </row>
    <row r="64" spans="1:27" x14ac:dyDescent="0.2">
      <c r="A64" s="388">
        <f>'Summary Baseline Data'!A77</f>
        <v>2058</v>
      </c>
      <c r="B64" s="5">
        <v>70</v>
      </c>
      <c r="C64" s="173">
        <f t="shared" si="9"/>
        <v>535847.51298687828</v>
      </c>
      <c r="D64" s="174"/>
      <c r="E64" s="174"/>
      <c r="F64" s="174">
        <f>'Summary Baseline Data'!V77</f>
        <v>270.25232637083781</v>
      </c>
      <c r="G64" s="535">
        <f>(C64*F64*'Underlying Assumptions'!E$11)/'Underlying Assumptions'!E$9</f>
        <v>162212.34236677608</v>
      </c>
      <c r="H64" s="174">
        <f>IF(((F64*C64*'Underlying Assumptions'!$E$11)/'Underlying Assumptions'!$E$9)&lt;('Dynamic Population'!O64+'Underlying Assumptions'!$E$8),((F64*C64*'Underlying Assumptions'!$E$11)/'Underlying Assumptions'!$E$9),('Dynamic Population'!O64+'Underlying Assumptions'!$E$8))</f>
        <v>147747.4</v>
      </c>
      <c r="I64" s="538">
        <f>VLOOKUP(A64+'Effective Capacity'!I$15,'Dynamic Population'!A64:H147,7)</f>
        <v>171590.20285676973</v>
      </c>
      <c r="J64" s="520">
        <f t="shared" si="13"/>
        <v>225.00000000000026</v>
      </c>
      <c r="K64" s="538">
        <f>(C64*J64*365)/'Underlying Assumptions'!E$9</f>
        <v>135050.74136695033</v>
      </c>
      <c r="L64" s="538">
        <f>VLOOKUP(A64+'Effective Capacity'!I$15,'Dynamic Population'!A64:K147,11)</f>
        <v>142858.32858954181</v>
      </c>
      <c r="M64" s="588">
        <f>((G64-K64)*'Underlying Assumptions'!E$13)-SUM($M$14:M63)</f>
        <v>7978142.5980042219</v>
      </c>
      <c r="N64" s="538">
        <f t="shared" si="6"/>
        <v>287912970.59815294</v>
      </c>
      <c r="O64" s="499">
        <f>'Summary Baseline Data'!L77</f>
        <v>65498.400000000001</v>
      </c>
      <c r="P64" s="499">
        <f>'Summary Baseline Data'!M77</f>
        <v>5000</v>
      </c>
      <c r="Q64" s="499">
        <f>'Summary Baseline Data'!N77</f>
        <v>4000</v>
      </c>
      <c r="R64" s="500">
        <f>IF('Supply Input'!$I$17='Dynamic Population'!A64,'Supply Input'!$I$12,R63)</f>
        <v>0</v>
      </c>
      <c r="S64" s="500">
        <f>(SUM(O64:R64))*(1-'Water Supply Evaporation'!$I$15)</f>
        <v>70773.48</v>
      </c>
      <c r="T64" s="498">
        <f t="shared" si="1"/>
        <v>135050.74136695033</v>
      </c>
      <c r="U64" s="498">
        <f t="shared" si="2"/>
        <v>-69552.341366950335</v>
      </c>
      <c r="V64" s="563">
        <f t="shared" si="3"/>
        <v>-72084.848589541813</v>
      </c>
      <c r="W64" s="563">
        <f>IF(V64&gt;0,0,(IF(-V64&gt;'Construction Timing'!I$23,'Construction Timing'!I$23,-V64)))</f>
        <v>72084.848589541813</v>
      </c>
      <c r="X64" s="517">
        <f t="shared" si="4"/>
        <v>0</v>
      </c>
      <c r="Y64" s="499">
        <f t="shared" si="5"/>
        <v>0</v>
      </c>
      <c r="Z64" s="172">
        <f t="shared" si="11"/>
        <v>2058</v>
      </c>
      <c r="AA64" s="197">
        <f t="shared" si="12"/>
        <v>-27161.60099982575</v>
      </c>
    </row>
    <row r="65" spans="1:27" x14ac:dyDescent="0.2">
      <c r="A65" s="388">
        <f>'Summary Baseline Data'!A78</f>
        <v>2059</v>
      </c>
      <c r="B65" s="5">
        <v>71</v>
      </c>
      <c r="C65" s="173">
        <f t="shared" si="9"/>
        <v>551119.16710700432</v>
      </c>
      <c r="D65" s="174"/>
      <c r="E65" s="174"/>
      <c r="F65" s="174">
        <f>'Summary Baseline Data'!V78</f>
        <v>270.25232637083775</v>
      </c>
      <c r="G65" s="535">
        <f>(C65*F65*'Underlying Assumptions'!E$11)/'Underlying Assumptions'!E$9</f>
        <v>166835.39412422921</v>
      </c>
      <c r="H65" s="174">
        <f>IF(((F65*C65*'Underlying Assumptions'!$E$11)/'Underlying Assumptions'!$E$9)&lt;('Dynamic Population'!O65+'Underlying Assumptions'!$E$8),((F65*C65*'Underlying Assumptions'!$E$11)/'Underlying Assumptions'!$E$9),('Dynamic Population'!O65+'Underlying Assumptions'!$E$8))</f>
        <v>147747.4</v>
      </c>
      <c r="I65" s="538">
        <f>VLOOKUP(A65+'Effective Capacity'!I$15,'Dynamic Population'!A65:H148,7)</f>
        <v>176480.52363818762</v>
      </c>
      <c r="J65" s="520">
        <f t="shared" si="13"/>
        <v>225.00000000000026</v>
      </c>
      <c r="K65" s="538">
        <f>(C65*J65*365)/'Underlying Assumptions'!E$9</f>
        <v>138899.68749590841</v>
      </c>
      <c r="L65" s="538">
        <f>VLOOKUP(A65+'Effective Capacity'!I$15,'Dynamic Population'!A65:K148,11)</f>
        <v>146929.79095434371</v>
      </c>
      <c r="M65" s="588">
        <f>((G65-K65)*'Underlying Assumptions'!E$13)-SUM($M$14:M64)</f>
        <v>8205519.6620475054</v>
      </c>
      <c r="N65" s="538">
        <f t="shared" si="6"/>
        <v>296118490.26020044</v>
      </c>
      <c r="O65" s="499">
        <f>'Summary Baseline Data'!L78</f>
        <v>65498.400000000001</v>
      </c>
      <c r="P65" s="499">
        <f>'Summary Baseline Data'!M78</f>
        <v>5000</v>
      </c>
      <c r="Q65" s="499">
        <f>'Summary Baseline Data'!N78</f>
        <v>4000</v>
      </c>
      <c r="R65" s="500">
        <f>IF('Supply Input'!$I$17='Dynamic Population'!A65,'Supply Input'!$I$12,R64)</f>
        <v>0</v>
      </c>
      <c r="S65" s="500">
        <f>(SUM(O65:R65))*(1-'Water Supply Evaporation'!$I$15)</f>
        <v>70773.48</v>
      </c>
      <c r="T65" s="498">
        <f t="shared" si="1"/>
        <v>138899.68749590841</v>
      </c>
      <c r="U65" s="498">
        <f t="shared" si="2"/>
        <v>-73401.287495908415</v>
      </c>
      <c r="V65" s="563">
        <f t="shared" si="3"/>
        <v>-76156.310954343717</v>
      </c>
      <c r="W65" s="563">
        <f>IF(V65&gt;0,0,(IF(-V65&gt;'Construction Timing'!I$23,'Construction Timing'!I$23,-V65)))</f>
        <v>76156.310954343717</v>
      </c>
      <c r="X65" s="517">
        <f t="shared" si="4"/>
        <v>0</v>
      </c>
      <c r="Y65" s="499">
        <f t="shared" si="5"/>
        <v>0</v>
      </c>
      <c r="Z65" s="172">
        <f t="shared" si="11"/>
        <v>2059</v>
      </c>
      <c r="AA65" s="197">
        <f t="shared" si="12"/>
        <v>-27935.706628320797</v>
      </c>
    </row>
    <row r="66" spans="1:27" x14ac:dyDescent="0.2">
      <c r="A66" s="388">
        <f>'Summary Baseline Data'!A79</f>
        <v>2060</v>
      </c>
      <c r="B66" s="5">
        <v>72</v>
      </c>
      <c r="C66" s="173">
        <f t="shared" si="9"/>
        <v>566826.06336955389</v>
      </c>
      <c r="D66" s="174">
        <f>C66</f>
        <v>566826.06336955389</v>
      </c>
      <c r="E66" s="174">
        <f>'Summary Baseline Data'!D79</f>
        <v>581731</v>
      </c>
      <c r="F66" s="174">
        <f>'Summary Baseline Data'!V79</f>
        <v>270.25232637083775</v>
      </c>
      <c r="G66" s="535">
        <f>(C66*F66*'Underlying Assumptions'!E$11)/'Underlying Assumptions'!E$9</f>
        <v>171590.20285676973</v>
      </c>
      <c r="H66" s="174">
        <f>IF(((F66*C66*'Underlying Assumptions'!$E$11)/'Underlying Assumptions'!$E$9)&lt;('Dynamic Population'!O66+'Underlying Assumptions'!$E$8),((F66*C66*'Underlying Assumptions'!$E$11)/'Underlying Assumptions'!$E$9),('Dynamic Population'!O66+'Underlying Assumptions'!$E$8))</f>
        <v>147747.4</v>
      </c>
      <c r="I66" s="538">
        <f>VLOOKUP(A66+'Effective Capacity'!I$15,'Dynamic Population'!A66:H149,7)</f>
        <v>181510.21856187598</v>
      </c>
      <c r="J66" s="520">
        <f t="shared" si="13"/>
        <v>225.00000000000026</v>
      </c>
      <c r="K66" s="538">
        <f>(C66*J66*365)/'Underlying Assumptions'!E$9</f>
        <v>142858.32858954181</v>
      </c>
      <c r="L66" s="538">
        <f>VLOOKUP(A66+'Effective Capacity'!I$15,'Dynamic Population'!A66:K149,11)</f>
        <v>151117.28999654253</v>
      </c>
      <c r="M66" s="588">
        <f>((G66-K66)*'Underlying Assumptions'!E$13)-SUM($M$14:M65)</f>
        <v>8439376.9724155068</v>
      </c>
      <c r="N66" s="538">
        <f t="shared" si="6"/>
        <v>304557867.23261595</v>
      </c>
      <c r="O66" s="499">
        <f>'Summary Baseline Data'!L79</f>
        <v>65498.400000000001</v>
      </c>
      <c r="P66" s="499">
        <f>'Summary Baseline Data'!M79</f>
        <v>5000</v>
      </c>
      <c r="Q66" s="499">
        <f>'Summary Baseline Data'!N79</f>
        <v>4000</v>
      </c>
      <c r="R66" s="500">
        <f>IF('Supply Input'!$I$17='Dynamic Population'!A66,'Supply Input'!$I$12,R65)</f>
        <v>0</v>
      </c>
      <c r="S66" s="500">
        <f>(SUM(O66:R66))*(1-'Water Supply Evaporation'!$I$15)</f>
        <v>70773.48</v>
      </c>
      <c r="T66" s="498">
        <f t="shared" si="1"/>
        <v>142858.32858954181</v>
      </c>
      <c r="U66" s="498">
        <f t="shared" si="2"/>
        <v>-77359.928589541814</v>
      </c>
      <c r="V66" s="563">
        <f t="shared" si="3"/>
        <v>-80343.809996542535</v>
      </c>
      <c r="W66" s="563">
        <f>IF(V66&gt;0,0,(IF(-V66&gt;'Construction Timing'!I$23,'Construction Timing'!I$23,-V66)))</f>
        <v>80343.809996542535</v>
      </c>
      <c r="X66" s="517">
        <f t="shared" si="4"/>
        <v>0</v>
      </c>
      <c r="Y66" s="499">
        <f t="shared" si="5"/>
        <v>0</v>
      </c>
      <c r="Z66" s="172">
        <f t="shared" si="11"/>
        <v>2060</v>
      </c>
      <c r="AA66" s="197">
        <f t="shared" si="12"/>
        <v>-28731.874267227919</v>
      </c>
    </row>
    <row r="67" spans="1:27" x14ac:dyDescent="0.2">
      <c r="A67" s="388">
        <f>A66+1</f>
        <v>2061</v>
      </c>
      <c r="C67" s="173">
        <f t="shared" si="9"/>
        <v>582980.60617558612</v>
      </c>
      <c r="D67" s="174"/>
      <c r="E67" s="174"/>
      <c r="F67" s="174">
        <f>'Summary Baseline Data'!V80</f>
        <v>270.25232637083775</v>
      </c>
      <c r="G67" s="535">
        <f>(C67*F67*'Underlying Assumptions'!E$11)/'Underlying Assumptions'!E$9</f>
        <v>176480.52363818762</v>
      </c>
      <c r="H67" s="174">
        <f>IF(((F67*C67*'Underlying Assumptions'!$E$11)/'Underlying Assumptions'!$E$9)&lt;('Dynamic Population'!O67+'Underlying Assumptions'!$E$8),((F67*C67*'Underlying Assumptions'!$E$11)/'Underlying Assumptions'!$E$9),('Dynamic Population'!O67+'Underlying Assumptions'!$E$8))</f>
        <v>147747.4</v>
      </c>
      <c r="I67" s="538">
        <f>VLOOKUP(A67+'Effective Capacity'!I$15,'Dynamic Population'!A67:H150,7)</f>
        <v>186683.25979088945</v>
      </c>
      <c r="J67" s="520">
        <f t="shared" si="13"/>
        <v>225.00000000000026</v>
      </c>
      <c r="K67" s="538">
        <f>(C67*J67*365)/'Underlying Assumptions'!E$9</f>
        <v>146929.79095434371</v>
      </c>
      <c r="L67" s="538">
        <f>VLOOKUP(A67+'Effective Capacity'!I$15,'Dynamic Population'!A67:K150,11)</f>
        <v>155424.13276144397</v>
      </c>
      <c r="M67" s="588">
        <f>((G67-K67)*'Underlying Assumptions'!E$13)-SUM($M$14:M66)</f>
        <v>8679899.2161294222</v>
      </c>
      <c r="N67" s="538">
        <f t="shared" si="6"/>
        <v>313237766.44874537</v>
      </c>
      <c r="O67" s="499">
        <f>'Summary Baseline Data'!L80</f>
        <v>65498.400000000001</v>
      </c>
      <c r="P67" s="499">
        <f>'Summary Baseline Data'!M80</f>
        <v>5000</v>
      </c>
      <c r="Q67" s="499">
        <f>'Summary Baseline Data'!N80</f>
        <v>4000</v>
      </c>
      <c r="R67" s="500">
        <f>IF('Supply Input'!$I$17='Dynamic Population'!A67,'Supply Input'!$I$12,R66)</f>
        <v>0</v>
      </c>
      <c r="S67" s="500">
        <f>(SUM(O67:R67))*(1-'Water Supply Evaporation'!$I$15)</f>
        <v>70773.48</v>
      </c>
      <c r="T67" s="498">
        <f t="shared" si="1"/>
        <v>146929.79095434371</v>
      </c>
      <c r="U67" s="498">
        <f t="shared" si="2"/>
        <v>-81431.390954343718</v>
      </c>
      <c r="V67" s="563">
        <f t="shared" si="3"/>
        <v>-84650.652761443969</v>
      </c>
      <c r="W67" s="563">
        <f>IF(V67&gt;0,0,(IF(-V67&gt;'Construction Timing'!I$23,'Construction Timing'!I$23,-V67)))</f>
        <v>82249</v>
      </c>
      <c r="X67" s="517">
        <f t="shared" si="4"/>
        <v>0</v>
      </c>
      <c r="Y67" s="499">
        <f t="shared" si="5"/>
        <v>0</v>
      </c>
      <c r="Z67" s="172">
        <f t="shared" si="11"/>
        <v>2061</v>
      </c>
      <c r="AA67" s="197">
        <f t="shared" si="12"/>
        <v>-29550.732683843904</v>
      </c>
    </row>
    <row r="68" spans="1:27" x14ac:dyDescent="0.2">
      <c r="A68" s="388">
        <f t="shared" ref="A68:A97" si="14">A67+1</f>
        <v>2062</v>
      </c>
      <c r="C68" s="173">
        <f t="shared" si="9"/>
        <v>599595.55345159036</v>
      </c>
      <c r="D68" s="174"/>
      <c r="E68" s="174"/>
      <c r="F68" s="174">
        <f>'Summary Baseline Data'!V81</f>
        <v>270.25232637083775</v>
      </c>
      <c r="G68" s="535">
        <f>(C68*F68*'Underlying Assumptions'!E$11)/'Underlying Assumptions'!E$9</f>
        <v>181510.21856187598</v>
      </c>
      <c r="H68" s="174">
        <f>IF(((F68*C68*'Underlying Assumptions'!$E$11)/'Underlying Assumptions'!$E$9)&lt;('Dynamic Population'!O68+'Underlying Assumptions'!$E$8),((F68*C68*'Underlying Assumptions'!$E$11)/'Underlying Assumptions'!$E$9),('Dynamic Population'!O68+'Underlying Assumptions'!$E$8))</f>
        <v>147747.4</v>
      </c>
      <c r="I68" s="538">
        <f>VLOOKUP(A68+'Effective Capacity'!I$15,'Dynamic Population'!A68:H151,7)</f>
        <v>192003.73269492981</v>
      </c>
      <c r="J68" s="520">
        <f t="shared" si="13"/>
        <v>225.00000000000026</v>
      </c>
      <c r="K68" s="538">
        <f>(C68*J68*365)/'Underlying Assumptions'!E$9</f>
        <v>151117.28999654253</v>
      </c>
      <c r="L68" s="538">
        <f>VLOOKUP(A68+'Effective Capacity'!I$15,'Dynamic Population'!A68:K151,11)</f>
        <v>159853.72054514513</v>
      </c>
      <c r="M68" s="588">
        <f>((G68-K68)*'Underlying Assumptions'!E$13)-SUM($M$14:M67)</f>
        <v>8927276.3437892199</v>
      </c>
      <c r="N68" s="538">
        <f t="shared" si="6"/>
        <v>322165042.79253459</v>
      </c>
      <c r="O68" s="499">
        <f>'Summary Baseline Data'!L81</f>
        <v>65498.400000000001</v>
      </c>
      <c r="P68" s="499">
        <f>'Summary Baseline Data'!M81</f>
        <v>5000</v>
      </c>
      <c r="Q68" s="499">
        <f>'Summary Baseline Data'!N81</f>
        <v>4000</v>
      </c>
      <c r="R68" s="500">
        <f>IF('Supply Input'!$I$17='Dynamic Population'!A68,'Supply Input'!$I$12,R67)</f>
        <v>0</v>
      </c>
      <c r="S68" s="500">
        <f>(SUM(O68:R68))*(1-'Water Supply Evaporation'!$I$15)</f>
        <v>70773.48</v>
      </c>
      <c r="T68" s="498">
        <f t="shared" si="1"/>
        <v>151117.28999654253</v>
      </c>
      <c r="U68" s="498">
        <f t="shared" si="2"/>
        <v>-85618.889996542537</v>
      </c>
      <c r="V68" s="563">
        <f t="shared" si="3"/>
        <v>-89080.240545145134</v>
      </c>
      <c r="W68" s="563">
        <f>IF(V68&gt;0,0,(IF(-V68&gt;'Construction Timing'!I$23,'Construction Timing'!I$23,-V68)))</f>
        <v>82249</v>
      </c>
      <c r="X68" s="517">
        <f t="shared" si="4"/>
        <v>0</v>
      </c>
      <c r="Y68" s="499">
        <f t="shared" si="5"/>
        <v>0</v>
      </c>
      <c r="Z68" s="172">
        <f t="shared" si="11"/>
        <v>2062</v>
      </c>
      <c r="AA68" s="390">
        <f t="shared" si="12"/>
        <v>-30392.928565333452</v>
      </c>
    </row>
    <row r="69" spans="1:27" x14ac:dyDescent="0.2">
      <c r="A69" s="388">
        <f t="shared" si="14"/>
        <v>2063</v>
      </c>
      <c r="C69" s="173">
        <f t="shared" si="9"/>
        <v>616684.02672496065</v>
      </c>
      <c r="D69" s="174"/>
      <c r="E69" s="174"/>
      <c r="F69" s="174">
        <f>'Summary Baseline Data'!V82</f>
        <v>270.25232637083775</v>
      </c>
      <c r="G69" s="535">
        <f>(C69*F69*'Underlying Assumptions'!E$11)/'Underlying Assumptions'!E$9</f>
        <v>186683.25979088945</v>
      </c>
      <c r="H69" s="174">
        <f>IF(((F69*C69*'Underlying Assumptions'!$E$11)/'Underlying Assumptions'!$E$9)&lt;('Dynamic Population'!O69+'Underlying Assumptions'!$E$8),((F69*C69*'Underlying Assumptions'!$E$11)/'Underlying Assumptions'!$E$9),('Dynamic Population'!O69+'Underlying Assumptions'!$E$8))</f>
        <v>147747.4</v>
      </c>
      <c r="I69" s="538">
        <f>VLOOKUP(A69+'Effective Capacity'!I$15,'Dynamic Population'!A69:H152,7)</f>
        <v>197475.83907673537</v>
      </c>
      <c r="J69" s="520">
        <f t="shared" si="13"/>
        <v>225.00000000000026</v>
      </c>
      <c r="K69" s="538">
        <f>(C69*J69*365)/'Underlying Assumptions'!E$9</f>
        <v>155424.13276144397</v>
      </c>
      <c r="L69" s="538">
        <f>VLOOKUP(A69+'Effective Capacity'!I$15,'Dynamic Population'!A69:K152,11)</f>
        <v>164409.55158068179</v>
      </c>
      <c r="M69" s="588">
        <f>((G69-K69)*'Underlying Assumptions'!E$13)-SUM($M$14:M68)</f>
        <v>9181703.7195875645</v>
      </c>
      <c r="N69" s="538">
        <f t="shared" si="6"/>
        <v>331346746.51212215</v>
      </c>
      <c r="O69" s="499">
        <f>'Summary Baseline Data'!L82</f>
        <v>65498.400000000001</v>
      </c>
      <c r="P69" s="499">
        <f>'Summary Baseline Data'!M82</f>
        <v>5000</v>
      </c>
      <c r="Q69" s="499">
        <f>'Summary Baseline Data'!N82</f>
        <v>4000</v>
      </c>
      <c r="R69" s="500">
        <f>IF('Supply Input'!$I$17='Dynamic Population'!A69,'Supply Input'!$I$12,R68)</f>
        <v>0</v>
      </c>
      <c r="S69" s="500">
        <f>(SUM(O69:R69))*(1-'Water Supply Evaporation'!$I$15)</f>
        <v>70773.48</v>
      </c>
      <c r="T69" s="498">
        <f t="shared" si="1"/>
        <v>155424.13276144397</v>
      </c>
      <c r="U69" s="498">
        <f t="shared" si="2"/>
        <v>-89925.732761443971</v>
      </c>
      <c r="V69" s="563">
        <f t="shared" si="3"/>
        <v>-93636.07158068179</v>
      </c>
      <c r="W69" s="563">
        <f>IF(V69&gt;0,0,(IF(-V69&gt;'Construction Timing'!I$23,'Construction Timing'!I$23,-V69)))</f>
        <v>82249</v>
      </c>
      <c r="X69" s="517">
        <f t="shared" si="4"/>
        <v>0</v>
      </c>
      <c r="Y69" s="499">
        <f t="shared" si="5"/>
        <v>0</v>
      </c>
      <c r="Z69" s="172">
        <f t="shared" si="11"/>
        <v>2063</v>
      </c>
      <c r="AA69" s="390">
        <f t="shared" si="12"/>
        <v>-31259.127029445488</v>
      </c>
    </row>
    <row r="70" spans="1:27" x14ac:dyDescent="0.2">
      <c r="A70" s="388">
        <f t="shared" si="14"/>
        <v>2064</v>
      </c>
      <c r="C70" s="173">
        <f t="shared" si="9"/>
        <v>634259.52148662205</v>
      </c>
      <c r="D70" s="174"/>
      <c r="E70" s="174"/>
      <c r="F70" s="174">
        <f>'Summary Baseline Data'!V83</f>
        <v>270.25232637083781</v>
      </c>
      <c r="G70" s="535">
        <f>(C70*F70*'Underlying Assumptions'!E$11)/'Underlying Assumptions'!E$9</f>
        <v>192003.73269492981</v>
      </c>
      <c r="H70" s="174">
        <f>IF(((F70*C70*'Underlying Assumptions'!$E$11)/'Underlying Assumptions'!$E$9)&lt;('Dynamic Population'!O70+'Underlying Assumptions'!$E$8),((F70*C70*'Underlying Assumptions'!$E$11)/'Underlying Assumptions'!$E$9),('Dynamic Population'!O70+'Underlying Assumptions'!$E$8))</f>
        <v>147747.4</v>
      </c>
      <c r="I70" s="538">
        <f>VLOOKUP(A70+'Effective Capacity'!I$15,'Dynamic Population'!A70:H153,7)</f>
        <v>203103.90049042224</v>
      </c>
      <c r="J70" s="520">
        <f t="shared" si="13"/>
        <v>225.00000000000026</v>
      </c>
      <c r="K70" s="538">
        <f>(C70*J70*365)/'Underlying Assumptions'!E$9</f>
        <v>159853.72054514513</v>
      </c>
      <c r="L70" s="538">
        <f>VLOOKUP(A70+'Effective Capacity'!I$15,'Dynamic Population'!A70:K153,11)</f>
        <v>169095.22380073121</v>
      </c>
      <c r="M70" s="588">
        <f>((G70-K70)*'Underlying Assumptions'!E$13)-SUM($M$14:M69)</f>
        <v>9443382.2755954862</v>
      </c>
      <c r="N70" s="538">
        <f t="shared" si="6"/>
        <v>340790128.78771764</v>
      </c>
      <c r="O70" s="499">
        <f>'Summary Baseline Data'!L83</f>
        <v>65498.400000000001</v>
      </c>
      <c r="P70" s="499">
        <f>'Summary Baseline Data'!M83</f>
        <v>5000</v>
      </c>
      <c r="Q70" s="499">
        <f>'Summary Baseline Data'!N83</f>
        <v>4000</v>
      </c>
      <c r="R70" s="500">
        <f>IF('Supply Input'!$I$17='Dynamic Population'!A70,'Supply Input'!$I$12,R69)</f>
        <v>0</v>
      </c>
      <c r="S70" s="500">
        <f>(SUM(O70:R70))*(1-'Water Supply Evaporation'!$I$15)</f>
        <v>70773.48</v>
      </c>
      <c r="T70" s="498">
        <f t="shared" si="1"/>
        <v>159853.72054514513</v>
      </c>
      <c r="U70" s="498">
        <f t="shared" si="2"/>
        <v>-94355.320545145136</v>
      </c>
      <c r="V70" s="563">
        <f t="shared" si="3"/>
        <v>-98321.743800731216</v>
      </c>
      <c r="W70" s="563">
        <f>IF(V70&gt;0,0,(IF(-V70&gt;'Construction Timing'!I$23,'Construction Timing'!I$23,-V70)))</f>
        <v>82249</v>
      </c>
      <c r="X70" s="517">
        <f t="shared" si="4"/>
        <v>0</v>
      </c>
      <c r="Y70" s="499">
        <f t="shared" si="5"/>
        <v>0</v>
      </c>
      <c r="Z70" s="172">
        <f t="shared" si="11"/>
        <v>2064</v>
      </c>
      <c r="AA70" s="390">
        <f t="shared" si="12"/>
        <v>-32150.012149784685</v>
      </c>
    </row>
    <row r="71" spans="1:27" x14ac:dyDescent="0.2">
      <c r="A71" s="388">
        <f t="shared" si="14"/>
        <v>2065</v>
      </c>
      <c r="C71" s="173">
        <f t="shared" si="9"/>
        <v>652335.91784899076</v>
      </c>
      <c r="D71" s="174"/>
      <c r="E71" s="174"/>
      <c r="F71" s="174">
        <f>'Summary Baseline Data'!V84</f>
        <v>270.25232637083781</v>
      </c>
      <c r="G71" s="535">
        <f>(C71*F71*'Underlying Assumptions'!E$11)/'Underlying Assumptions'!E$9</f>
        <v>197475.83907673537</v>
      </c>
      <c r="H71" s="174">
        <f>IF(((F71*C71*'Underlying Assumptions'!$E$11)/'Underlying Assumptions'!$E$9)&lt;('Dynamic Population'!O71+'Underlying Assumptions'!$E$8),((F71*C71*'Underlying Assumptions'!$E$11)/'Underlying Assumptions'!$E$9),('Dynamic Population'!O71+'Underlying Assumptions'!$E$8))</f>
        <v>147747.4</v>
      </c>
      <c r="I71" s="538">
        <f>VLOOKUP(A71+'Effective Capacity'!I$15,'Dynamic Population'!A71:H154,7)</f>
        <v>208892.36165439931</v>
      </c>
      <c r="J71" s="520">
        <f t="shared" si="13"/>
        <v>225.00000000000026</v>
      </c>
      <c r="K71" s="538">
        <f>(C71*J71*365)/'Underlying Assumptions'!E$9</f>
        <v>164409.55158068179</v>
      </c>
      <c r="L71" s="538">
        <f>VLOOKUP(A71+'Effective Capacity'!I$15,'Dynamic Population'!A71:K154,11)</f>
        <v>173914.437679052</v>
      </c>
      <c r="M71" s="588">
        <f>((G71-K71)*'Underlying Assumptions'!E$13)-SUM($M$14:M70)</f>
        <v>9712518.6704503298</v>
      </c>
      <c r="N71" s="538">
        <f t="shared" si="6"/>
        <v>350502647.45816797</v>
      </c>
      <c r="O71" s="499">
        <f>'Summary Baseline Data'!L84</f>
        <v>65498.400000000001</v>
      </c>
      <c r="P71" s="499">
        <f>'Summary Baseline Data'!M84</f>
        <v>5000</v>
      </c>
      <c r="Q71" s="499">
        <f>'Summary Baseline Data'!N84</f>
        <v>4000</v>
      </c>
      <c r="R71" s="500">
        <f>IF('Supply Input'!$I$17='Dynamic Population'!A71,'Supply Input'!$I$12,R70)</f>
        <v>0</v>
      </c>
      <c r="S71" s="500">
        <f>(SUM(O71:R71))*(1-'Water Supply Evaporation'!$I$15)</f>
        <v>70773.48</v>
      </c>
      <c r="T71" s="498">
        <f t="shared" si="1"/>
        <v>164409.55158068179</v>
      </c>
      <c r="U71" s="498">
        <f t="shared" si="2"/>
        <v>-98911.151580681792</v>
      </c>
      <c r="V71" s="563">
        <f t="shared" si="3"/>
        <v>-103140.95767905201</v>
      </c>
      <c r="W71" s="563">
        <f>IF(V71&gt;0,0,(IF(-V71&gt;'Construction Timing'!I$23,'Construction Timing'!I$23,-V71)))</f>
        <v>82249</v>
      </c>
      <c r="X71" s="517">
        <f t="shared" si="4"/>
        <v>0</v>
      </c>
      <c r="Y71" s="499">
        <f t="shared" si="5"/>
        <v>0</v>
      </c>
      <c r="Z71" s="172">
        <f t="shared" si="11"/>
        <v>2065</v>
      </c>
      <c r="AA71" s="390">
        <f t="shared" si="12"/>
        <v>-33066.287496053585</v>
      </c>
    </row>
    <row r="72" spans="1:27" x14ac:dyDescent="0.2">
      <c r="A72" s="388">
        <f t="shared" si="14"/>
        <v>2066</v>
      </c>
      <c r="C72" s="173">
        <f t="shared" si="9"/>
        <v>670927.49150768702</v>
      </c>
      <c r="D72" s="174"/>
      <c r="E72" s="174"/>
      <c r="F72" s="174">
        <f>'Summary Baseline Data'!V85</f>
        <v>270.25232637083775</v>
      </c>
      <c r="G72" s="535">
        <f>(C72*F72*'Underlying Assumptions'!E$11)/'Underlying Assumptions'!E$9</f>
        <v>203103.90049042224</v>
      </c>
      <c r="H72" s="174">
        <f>IF(((F72*C72*'Underlying Assumptions'!$E$11)/'Underlying Assumptions'!$E$9)&lt;('Dynamic Population'!O72+'Underlying Assumptions'!$E$8),((F72*C72*'Underlying Assumptions'!$E$11)/'Underlying Assumptions'!$E$9),('Dynamic Population'!O72+'Underlying Assumptions'!$E$8))</f>
        <v>147747.4</v>
      </c>
      <c r="I72" s="538">
        <f>VLOOKUP(A72+'Effective Capacity'!I$15,'Dynamic Population'!A72:H155,7)</f>
        <v>214845.79396154967</v>
      </c>
      <c r="J72" s="520">
        <f t="shared" si="13"/>
        <v>225.00000000000026</v>
      </c>
      <c r="K72" s="538">
        <f>(C72*J72*365)/'Underlying Assumptions'!E$9</f>
        <v>169095.22380073121</v>
      </c>
      <c r="L72" s="538">
        <f>VLOOKUP(A72+'Effective Capacity'!I$15,'Dynamic Population'!A72:K155,11)</f>
        <v>178870.99915290499</v>
      </c>
      <c r="M72" s="588">
        <f>((G72-K72)*'Underlying Assumptions'!E$13)-SUM($M$14:M71)</f>
        <v>9989325.4525569081</v>
      </c>
      <c r="N72" s="538">
        <f t="shared" si="6"/>
        <v>360491972.91072488</v>
      </c>
      <c r="O72" s="499">
        <f>'Summary Baseline Data'!L85</f>
        <v>65498.400000000001</v>
      </c>
      <c r="P72" s="499">
        <f>'Summary Baseline Data'!M85</f>
        <v>5000</v>
      </c>
      <c r="Q72" s="499">
        <f>'Summary Baseline Data'!N85</f>
        <v>4000</v>
      </c>
      <c r="R72" s="500">
        <f>IF('Supply Input'!$I$17='Dynamic Population'!A72,'Supply Input'!$I$12,R71)</f>
        <v>0</v>
      </c>
      <c r="S72" s="500">
        <f>(SUM(O72:R72))*(1-'Water Supply Evaporation'!$I$15)</f>
        <v>70773.48</v>
      </c>
      <c r="T72" s="498">
        <f t="shared" si="1"/>
        <v>169095.22380073121</v>
      </c>
      <c r="U72" s="498">
        <f t="shared" si="2"/>
        <v>-103596.82380073122</v>
      </c>
      <c r="V72" s="563">
        <f t="shared" si="3"/>
        <v>-108097.51915290499</v>
      </c>
      <c r="W72" s="563">
        <f>IF(V72&gt;0,0,(IF(-V72&gt;'Construction Timing'!I$23,'Construction Timing'!I$23,-V72)))</f>
        <v>82249</v>
      </c>
      <c r="X72" s="517">
        <f t="shared" si="4"/>
        <v>0</v>
      </c>
      <c r="Y72" s="499">
        <f t="shared" si="5"/>
        <v>0</v>
      </c>
      <c r="Z72" s="172">
        <f t="shared" si="11"/>
        <v>2066</v>
      </c>
      <c r="AA72" s="390">
        <f t="shared" si="12"/>
        <v>-34008.676689691027</v>
      </c>
    </row>
    <row r="73" spans="1:27" x14ac:dyDescent="0.2">
      <c r="A73" s="388">
        <f t="shared" si="14"/>
        <v>2067</v>
      </c>
      <c r="C73" s="173">
        <f t="shared" si="9"/>
        <v>690048.92501565604</v>
      </c>
      <c r="D73" s="174"/>
      <c r="E73" s="174"/>
      <c r="F73" s="174">
        <f>'Summary Baseline Data'!V86</f>
        <v>270.25232637083781</v>
      </c>
      <c r="G73" s="535">
        <f>(C73*F73*'Underlying Assumptions'!E$11)/'Underlying Assumptions'!E$9</f>
        <v>208892.36165439931</v>
      </c>
      <c r="H73" s="174">
        <f>IF(((F73*C73*'Underlying Assumptions'!$E$11)/'Underlying Assumptions'!$E$9)&lt;('Dynamic Population'!O73+'Underlying Assumptions'!$E$8),((F73*C73*'Underlying Assumptions'!$E$11)/'Underlying Assumptions'!$E$9),('Dynamic Population'!O73+'Underlying Assumptions'!$E$8))</f>
        <v>147747.4</v>
      </c>
      <c r="I73" s="538">
        <f>VLOOKUP(A73+'Effective Capacity'!I$15,'Dynamic Population'!A73:H156,7)</f>
        <v>220968.89908945377</v>
      </c>
      <c r="J73" s="520">
        <f t="shared" si="13"/>
        <v>225.00000000000026</v>
      </c>
      <c r="K73" s="538">
        <f>(C73*J73*365)/'Underlying Assumptions'!E$9</f>
        <v>173914.437679052</v>
      </c>
      <c r="L73" s="538">
        <f>VLOOKUP(A73+'Effective Capacity'!I$15,'Dynamic Population'!A73:K156,11)</f>
        <v>183968.82262876278</v>
      </c>
      <c r="M73" s="588">
        <f>((G73-K73)*'Underlying Assumptions'!E$13)-SUM($M$14:M72)</f>
        <v>10274021.227956593</v>
      </c>
      <c r="N73" s="538">
        <f t="shared" si="6"/>
        <v>370765994.13868147</v>
      </c>
      <c r="O73" s="499">
        <f>'Summary Baseline Data'!L86</f>
        <v>65498.400000000001</v>
      </c>
      <c r="P73" s="499">
        <f>'Summary Baseline Data'!M86</f>
        <v>5000</v>
      </c>
      <c r="Q73" s="499">
        <f>'Summary Baseline Data'!N86</f>
        <v>4000</v>
      </c>
      <c r="R73" s="500">
        <f>IF('Supply Input'!$I$17='Dynamic Population'!A73,'Supply Input'!$I$12,R72)</f>
        <v>0</v>
      </c>
      <c r="S73" s="500">
        <f>(SUM(O73:R73))*(1-'Water Supply Evaporation'!$I$15)</f>
        <v>70773.48</v>
      </c>
      <c r="T73" s="498">
        <f t="shared" si="1"/>
        <v>173914.437679052</v>
      </c>
      <c r="U73" s="498">
        <f t="shared" si="2"/>
        <v>-108416.03767905201</v>
      </c>
      <c r="V73" s="563">
        <f t="shared" si="3"/>
        <v>-113195.34262876278</v>
      </c>
      <c r="W73" s="563">
        <f>IF(V73&gt;0,0,(IF(-V73&gt;'Construction Timing'!I$23,'Construction Timing'!I$23,-V73)))</f>
        <v>82249</v>
      </c>
      <c r="X73" s="517">
        <f t="shared" si="4"/>
        <v>0</v>
      </c>
      <c r="Y73" s="499">
        <f t="shared" si="5"/>
        <v>0</v>
      </c>
      <c r="Z73" s="172">
        <f t="shared" si="11"/>
        <v>2067</v>
      </c>
      <c r="AA73" s="390">
        <f t="shared" si="12"/>
        <v>-34977.923975347308</v>
      </c>
    </row>
    <row r="74" spans="1:27" x14ac:dyDescent="0.2">
      <c r="A74" s="388">
        <f t="shared" si="14"/>
        <v>2068</v>
      </c>
      <c r="C74" s="173">
        <f t="shared" si="9"/>
        <v>709715.3193786022</v>
      </c>
      <c r="D74" s="174"/>
      <c r="E74" s="174"/>
      <c r="F74" s="174">
        <f>'Summary Baseline Data'!V87</f>
        <v>270.25232637083781</v>
      </c>
      <c r="G74" s="535">
        <f>(C74*F74*'Underlying Assumptions'!E$11)/'Underlying Assumptions'!E$9</f>
        <v>214845.79396154967</v>
      </c>
      <c r="H74" s="174">
        <f>IF(((F74*C74*'Underlying Assumptions'!$E$11)/'Underlying Assumptions'!$E$9)&lt;('Dynamic Population'!O74+'Underlying Assumptions'!$E$8),((F74*C74*'Underlying Assumptions'!$E$11)/'Underlying Assumptions'!$E$9),('Dynamic Population'!O74+'Underlying Assumptions'!$E$8))</f>
        <v>147747.4</v>
      </c>
      <c r="I74" s="538">
        <f>VLOOKUP(A74+'Effective Capacity'!I$15,'Dynamic Population'!A74:H157,7)</f>
        <v>227266.51271350318</v>
      </c>
      <c r="J74" s="520">
        <f t="shared" si="13"/>
        <v>225.00000000000026</v>
      </c>
      <c r="K74" s="538">
        <f>(C74*J74*365)/'Underlying Assumptions'!E$9</f>
        <v>178870.99915290499</v>
      </c>
      <c r="L74" s="538">
        <f>VLOOKUP(A74+'Effective Capacity'!I$15,'Dynamic Population'!A74:K157,11)</f>
        <v>189211.9340736825</v>
      </c>
      <c r="M74" s="588">
        <f>((G74-K74)*'Underlying Assumptions'!E$13)-SUM($M$14:M73)</f>
        <v>10566830.832952201</v>
      </c>
      <c r="N74" s="538">
        <f t="shared" si="6"/>
        <v>381332824.97163367</v>
      </c>
      <c r="O74" s="499">
        <f>'Summary Baseline Data'!L87</f>
        <v>65498.400000000001</v>
      </c>
      <c r="P74" s="499">
        <f>'Summary Baseline Data'!M87</f>
        <v>5000</v>
      </c>
      <c r="Q74" s="499">
        <f>'Summary Baseline Data'!N87</f>
        <v>4000</v>
      </c>
      <c r="R74" s="500">
        <f>IF('Supply Input'!$I$17='Dynamic Population'!A74,'Supply Input'!$I$12,R73)</f>
        <v>0</v>
      </c>
      <c r="S74" s="500">
        <f>(SUM(O74:R74))*(1-'Water Supply Evaporation'!$I$15)</f>
        <v>70773.48</v>
      </c>
      <c r="T74" s="498">
        <f t="shared" si="1"/>
        <v>178870.99915290499</v>
      </c>
      <c r="U74" s="498">
        <f t="shared" si="2"/>
        <v>-113372.59915290499</v>
      </c>
      <c r="V74" s="563">
        <f t="shared" si="3"/>
        <v>-118438.4540736825</v>
      </c>
      <c r="W74" s="563">
        <f>IF(V74&gt;0,0,(IF(-V74&gt;'Construction Timing'!I$23,'Construction Timing'!I$23,-V74)))</f>
        <v>82249</v>
      </c>
      <c r="X74" s="517">
        <f t="shared" si="4"/>
        <v>0</v>
      </c>
      <c r="Y74" s="499">
        <f t="shared" si="5"/>
        <v>0</v>
      </c>
      <c r="Z74" s="172">
        <f t="shared" si="11"/>
        <v>2068</v>
      </c>
      <c r="AA74" s="390">
        <f t="shared" si="12"/>
        <v>-35974.794808644685</v>
      </c>
    </row>
    <row r="75" spans="1:27" x14ac:dyDescent="0.2">
      <c r="A75" s="388">
        <f t="shared" si="14"/>
        <v>2069</v>
      </c>
      <c r="C75" s="173">
        <f t="shared" si="9"/>
        <v>729942.20598089229</v>
      </c>
      <c r="D75" s="174"/>
      <c r="E75" s="174"/>
      <c r="F75" s="174">
        <f>'Summary Baseline Data'!V88</f>
        <v>270.25232637083775</v>
      </c>
      <c r="G75" s="535">
        <f>(C75*F75*'Underlying Assumptions'!E$11)/'Underlying Assumptions'!E$9</f>
        <v>220968.89908945377</v>
      </c>
      <c r="H75" s="174">
        <f>IF(((F75*C75*'Underlying Assumptions'!$E$11)/'Underlying Assumptions'!$E$9)&lt;('Dynamic Population'!O75+'Underlying Assumptions'!$E$8),((F75*C75*'Underlying Assumptions'!$E$11)/'Underlying Assumptions'!$E$9),('Dynamic Population'!O75+'Underlying Assumptions'!$E$8))</f>
        <v>147747.4</v>
      </c>
      <c r="I75" s="538">
        <f>VLOOKUP(A75+'Effective Capacity'!I$15,'Dynamic Population'!A75:H158,7)</f>
        <v>233743.60832583808</v>
      </c>
      <c r="J75" s="520">
        <f t="shared" si="13"/>
        <v>225.00000000000026</v>
      </c>
      <c r="K75" s="538">
        <f>(C75*J75*365)/'Underlying Assumptions'!E$9</f>
        <v>183968.82262876278</v>
      </c>
      <c r="L75" s="538">
        <f>VLOOKUP(A75+'Effective Capacity'!I$15,'Dynamic Population'!A75:K158,11)</f>
        <v>194604.47419478244</v>
      </c>
      <c r="M75" s="588">
        <f>((G75-K75)*'Underlying Assumptions'!E$13)-SUM($M$14:M74)</f>
        <v>10867985.511690855</v>
      </c>
      <c r="N75" s="538">
        <f t="shared" si="6"/>
        <v>392200810.48332453</v>
      </c>
      <c r="O75" s="499">
        <f>'Summary Baseline Data'!L88</f>
        <v>65498.400000000001</v>
      </c>
      <c r="P75" s="499">
        <f>'Summary Baseline Data'!M88</f>
        <v>5000</v>
      </c>
      <c r="Q75" s="499">
        <f>'Summary Baseline Data'!N88</f>
        <v>4000</v>
      </c>
      <c r="R75" s="500">
        <f>IF('Supply Input'!$I$17='Dynamic Population'!A75,'Supply Input'!$I$12,R74)</f>
        <v>0</v>
      </c>
      <c r="S75" s="500">
        <f>(SUM(O75:R75))*(1-'Water Supply Evaporation'!$I$15)</f>
        <v>70773.48</v>
      </c>
      <c r="T75" s="498">
        <f t="shared" si="1"/>
        <v>183968.82262876278</v>
      </c>
      <c r="U75" s="498">
        <f t="shared" si="2"/>
        <v>-118470.42262876278</v>
      </c>
      <c r="V75" s="563">
        <f t="shared" si="3"/>
        <v>-123830.99419478244</v>
      </c>
      <c r="W75" s="563">
        <f>IF(V75&gt;0,0,(IF(-V75&gt;'Construction Timing'!I$23,'Construction Timing'!I$23,-V75)))</f>
        <v>82249</v>
      </c>
      <c r="X75" s="517">
        <f t="shared" si="4"/>
        <v>0</v>
      </c>
      <c r="Y75" s="499">
        <f t="shared" si="5"/>
        <v>0</v>
      </c>
      <c r="Z75" s="172">
        <f t="shared" si="11"/>
        <v>2069</v>
      </c>
      <c r="AA75" s="390">
        <f t="shared" si="12"/>
        <v>-37000.076460690994</v>
      </c>
    </row>
    <row r="76" spans="1:27" x14ac:dyDescent="0.2">
      <c r="A76" s="388">
        <f t="shared" si="14"/>
        <v>2070</v>
      </c>
      <c r="C76" s="173">
        <f t="shared" si="9"/>
        <v>750745.55885134765</v>
      </c>
      <c r="D76" s="174"/>
      <c r="E76" s="174"/>
      <c r="F76" s="174">
        <f>'Summary Baseline Data'!V89</f>
        <v>270.25232637083775</v>
      </c>
      <c r="G76" s="535">
        <f>(C76*F76*'Underlying Assumptions'!E$11)/'Underlying Assumptions'!E$9</f>
        <v>227266.51271350318</v>
      </c>
      <c r="H76" s="174">
        <f>IF(((F76*C76*'Underlying Assumptions'!$E$11)/'Underlying Assumptions'!$E$9)&lt;('Dynamic Population'!O76+'Underlying Assumptions'!$E$8),((F76*C76*'Underlying Assumptions'!$E$11)/'Underlying Assumptions'!$E$9),('Dynamic Population'!O76+'Underlying Assumptions'!$E$8))</f>
        <v>147747.4</v>
      </c>
      <c r="I76" s="538">
        <f>VLOOKUP(A76+'Effective Capacity'!I$15,'Dynamic Population'!A76:H159,7)</f>
        <v>240405.30116312436</v>
      </c>
      <c r="J76" s="520">
        <f t="shared" si="13"/>
        <v>225.00000000000026</v>
      </c>
      <c r="K76" s="538">
        <f>(C76*J76*365)/'Underlying Assumptions'!E$9</f>
        <v>189211.9340736825</v>
      </c>
      <c r="L76" s="538">
        <f>VLOOKUP(A76+'Effective Capacity'!I$15,'Dynamic Population'!A76:K159,11)</f>
        <v>200150.70170933375</v>
      </c>
      <c r="M76" s="588">
        <f>((G76-K76)*'Underlying Assumptions'!E$13)-SUM($M$14:M75)</f>
        <v>11177723.098774731</v>
      </c>
      <c r="N76" s="538">
        <f t="shared" si="6"/>
        <v>403378533.58209926</v>
      </c>
      <c r="O76" s="499">
        <f>'Summary Baseline Data'!L89</f>
        <v>65498.400000000001</v>
      </c>
      <c r="P76" s="499">
        <f>'Summary Baseline Data'!M89</f>
        <v>5000</v>
      </c>
      <c r="Q76" s="499">
        <f>'Summary Baseline Data'!N89</f>
        <v>4000</v>
      </c>
      <c r="R76" s="500">
        <f>IF('Supply Input'!$I$17='Dynamic Population'!A76,'Supply Input'!$I$12,R75)</f>
        <v>0</v>
      </c>
      <c r="S76" s="500">
        <f>(SUM(O76:R76))*(1-'Water Supply Evaporation'!$I$15)</f>
        <v>70773.48</v>
      </c>
      <c r="T76" s="498">
        <f t="shared" si="1"/>
        <v>189211.9340736825</v>
      </c>
      <c r="U76" s="498">
        <f t="shared" si="2"/>
        <v>-123713.5340736825</v>
      </c>
      <c r="V76" s="563">
        <f t="shared" si="3"/>
        <v>-129377.22170933375</v>
      </c>
      <c r="W76" s="563">
        <f>IF(V76&gt;0,0,(IF(-V76&gt;'Construction Timing'!I$23,'Construction Timing'!I$23,-V76)))</f>
        <v>82249</v>
      </c>
      <c r="X76" s="517">
        <f t="shared" si="4"/>
        <v>0</v>
      </c>
      <c r="Y76" s="499">
        <f t="shared" si="5"/>
        <v>0</v>
      </c>
      <c r="Z76" s="172">
        <f t="shared" si="11"/>
        <v>2070</v>
      </c>
      <c r="AA76" s="390">
        <f t="shared" si="12"/>
        <v>-38054.578639820684</v>
      </c>
    </row>
    <row r="77" spans="1:27" x14ac:dyDescent="0.2">
      <c r="A77" s="388">
        <f t="shared" si="14"/>
        <v>2071</v>
      </c>
      <c r="C77" s="173">
        <f t="shared" si="9"/>
        <v>772141.807278611</v>
      </c>
      <c r="D77" s="174"/>
      <c r="E77" s="174"/>
      <c r="F77" s="174">
        <f>'Summary Baseline Data'!V90</f>
        <v>270.25232637083781</v>
      </c>
      <c r="G77" s="535">
        <f>(C77*F77*'Underlying Assumptions'!E$11)/'Underlying Assumptions'!E$9</f>
        <v>233743.60832583808</v>
      </c>
      <c r="H77" s="174">
        <f>IF(((F77*C77*'Underlying Assumptions'!$E$11)/'Underlying Assumptions'!$E$9)&lt;('Dynamic Population'!O77+'Underlying Assumptions'!$E$8),((F77*C77*'Underlying Assumptions'!$E$11)/'Underlying Assumptions'!$E$9),('Dynamic Population'!O77+'Underlying Assumptions'!$E$8))</f>
        <v>147747.4</v>
      </c>
      <c r="I77" s="538">
        <f>VLOOKUP(A77+'Effective Capacity'!I$15,'Dynamic Population'!A77:H160,7)</f>
        <v>247256.85224627345</v>
      </c>
      <c r="J77" s="520">
        <f t="shared" si="13"/>
        <v>225.00000000000026</v>
      </c>
      <c r="K77" s="538">
        <f>(C77*J77*365)/'Underlying Assumptions'!E$9</f>
        <v>194604.47419478244</v>
      </c>
      <c r="L77" s="538">
        <f>VLOOKUP(A77+'Effective Capacity'!I$15,'Dynamic Population'!A77:K160,11)</f>
        <v>205854.99670804973</v>
      </c>
      <c r="M77" s="588">
        <f>((G77-K77)*'Underlying Assumptions'!E$13)-SUM($M$14:M76)</f>
        <v>11496288.207090557</v>
      </c>
      <c r="N77" s="538">
        <f t="shared" si="6"/>
        <v>414874821.78918982</v>
      </c>
      <c r="O77" s="499">
        <f>'Summary Baseline Data'!L90</f>
        <v>65498.400000000001</v>
      </c>
      <c r="P77" s="499">
        <f>'Summary Baseline Data'!M90</f>
        <v>5000</v>
      </c>
      <c r="Q77" s="499">
        <f>'Summary Baseline Data'!N90</f>
        <v>4000</v>
      </c>
      <c r="R77" s="500">
        <f>IF('Supply Input'!$I$17='Dynamic Population'!A77,'Supply Input'!$I$12,R76)</f>
        <v>0</v>
      </c>
      <c r="S77" s="500">
        <f>(SUM(O77:R77))*(1-'Water Supply Evaporation'!$I$15)</f>
        <v>70773.48</v>
      </c>
      <c r="T77" s="498">
        <f t="shared" si="1"/>
        <v>194604.47419478244</v>
      </c>
      <c r="U77" s="498">
        <f t="shared" si="2"/>
        <v>-129106.07419478244</v>
      </c>
      <c r="V77" s="563">
        <f t="shared" si="3"/>
        <v>-135081.51670804975</v>
      </c>
      <c r="W77" s="563">
        <f>IF(V77&gt;0,0,(IF(-V77&gt;'Construction Timing'!I$23,'Construction Timing'!I$23,-V77)))</f>
        <v>82249</v>
      </c>
      <c r="X77" s="517">
        <f t="shared" si="4"/>
        <v>0</v>
      </c>
      <c r="Y77" s="499">
        <f t="shared" si="5"/>
        <v>0</v>
      </c>
      <c r="Z77" s="172">
        <f t="shared" si="11"/>
        <v>2071</v>
      </c>
      <c r="AA77" s="390">
        <f t="shared" si="12"/>
        <v>-39139.134131055645</v>
      </c>
    </row>
    <row r="78" spans="1:27" x14ac:dyDescent="0.2">
      <c r="A78" s="388">
        <f t="shared" si="14"/>
        <v>2072</v>
      </c>
      <c r="C78" s="173">
        <f t="shared" si="9"/>
        <v>794147.84878605139</v>
      </c>
      <c r="D78" s="174"/>
      <c r="E78" s="174"/>
      <c r="F78" s="174">
        <f>'Summary Baseline Data'!V91</f>
        <v>270.25232637083775</v>
      </c>
      <c r="G78" s="535">
        <f>(C78*F78*'Underlying Assumptions'!E$11)/'Underlying Assumptions'!E$9</f>
        <v>240405.30116312436</v>
      </c>
      <c r="H78" s="174">
        <f>IF(((F78*C78*'Underlying Assumptions'!$E$11)/'Underlying Assumptions'!$E$9)&lt;('Dynamic Population'!O78+'Underlying Assumptions'!$E$8),((F78*C78*'Underlying Assumptions'!$E$11)/'Underlying Assumptions'!$E$9),('Dynamic Population'!O78+'Underlying Assumptions'!$E$8))</f>
        <v>147747.4</v>
      </c>
      <c r="I78" s="538">
        <f>VLOOKUP(A78+'Effective Capacity'!I$15,'Dynamic Population'!A78:H161,7)</f>
        <v>254303.67253529219</v>
      </c>
      <c r="J78" s="520">
        <f t="shared" si="13"/>
        <v>225.00000000000026</v>
      </c>
      <c r="K78" s="538">
        <f>(C78*J78*365)/'Underlying Assumptions'!E$9</f>
        <v>200150.70170933375</v>
      </c>
      <c r="L78" s="538">
        <f>VLOOKUP(A78+'Effective Capacity'!I$15,'Dynamic Population'!A78:K161,11)</f>
        <v>211721.86411422913</v>
      </c>
      <c r="M78" s="588">
        <f>((G78-K78)*'Underlying Assumptions'!E$13)-SUM($M$14:M77)</f>
        <v>11823932.420990646</v>
      </c>
      <c r="N78" s="538">
        <f t="shared" si="6"/>
        <v>426698754.21018046</v>
      </c>
      <c r="O78" s="499">
        <f>'Summary Baseline Data'!L91</f>
        <v>65498.400000000001</v>
      </c>
      <c r="P78" s="499">
        <f>'Summary Baseline Data'!M91</f>
        <v>5000</v>
      </c>
      <c r="Q78" s="499">
        <f>'Summary Baseline Data'!N91</f>
        <v>4000</v>
      </c>
      <c r="R78" s="500">
        <f>IF('Supply Input'!$I$17='Dynamic Population'!A78,'Supply Input'!$I$12,R77)</f>
        <v>0</v>
      </c>
      <c r="S78" s="500">
        <f>(SUM(O78:R78))*(1-'Water Supply Evaporation'!$I$15)</f>
        <v>70773.48</v>
      </c>
      <c r="T78" s="498">
        <f t="shared" si="1"/>
        <v>200150.70170933375</v>
      </c>
      <c r="U78" s="498">
        <f t="shared" si="2"/>
        <v>-134652.30170933375</v>
      </c>
      <c r="V78" s="563">
        <f t="shared" si="3"/>
        <v>-140948.38411422912</v>
      </c>
      <c r="W78" s="563">
        <f>IF(V78&gt;0,0,(IF(-V78&gt;'Construction Timing'!I$23,'Construction Timing'!I$23,-V78)))</f>
        <v>82249</v>
      </c>
      <c r="X78" s="517">
        <f t="shared" si="4"/>
        <v>0</v>
      </c>
      <c r="Y78" s="499">
        <f t="shared" si="5"/>
        <v>0</v>
      </c>
      <c r="Z78" s="172">
        <f t="shared" si="11"/>
        <v>2072</v>
      </c>
      <c r="AA78" s="390">
        <f t="shared" si="12"/>
        <v>-40254.599453790608</v>
      </c>
    </row>
    <row r="79" spans="1:27" x14ac:dyDescent="0.2">
      <c r="A79" s="388">
        <f t="shared" si="14"/>
        <v>2073</v>
      </c>
      <c r="C79" s="173">
        <f t="shared" si="9"/>
        <v>816781.06247645384</v>
      </c>
      <c r="D79" s="174"/>
      <c r="E79" s="174"/>
      <c r="F79" s="174">
        <f>'Summary Baseline Data'!V92</f>
        <v>270.25232637083775</v>
      </c>
      <c r="G79" s="535">
        <f>(C79*F79*'Underlying Assumptions'!E$11)/'Underlying Assumptions'!E$9</f>
        <v>247256.85224627345</v>
      </c>
      <c r="H79" s="174">
        <f>IF(((F79*C79*'Underlying Assumptions'!$E$11)/'Underlying Assumptions'!$E$9)&lt;('Dynamic Population'!O79+'Underlying Assumptions'!$E$8),((F79*C79*'Underlying Assumptions'!$E$11)/'Underlying Assumptions'!$E$9),('Dynamic Population'!O79+'Underlying Assumptions'!$E$8))</f>
        <v>147747.4</v>
      </c>
      <c r="I79" s="538">
        <f>VLOOKUP(A79+'Effective Capacity'!I$15,'Dynamic Population'!A79:H162,7)</f>
        <v>261551.32720254804</v>
      </c>
      <c r="J79" s="520">
        <f t="shared" si="13"/>
        <v>225.00000000000026</v>
      </c>
      <c r="K79" s="538">
        <f>(C79*J79*365)/'Underlying Assumptions'!E$9</f>
        <v>205854.99670804973</v>
      </c>
      <c r="L79" s="538">
        <f>VLOOKUP(A79+'Effective Capacity'!I$15,'Dynamic Population'!A79:K162,11)</f>
        <v>217755.93724148467</v>
      </c>
      <c r="M79" s="588">
        <f>((G79-K79)*'Underlying Assumptions'!E$13)-SUM($M$14:M78)</f>
        <v>12160914.494991004</v>
      </c>
      <c r="N79" s="538">
        <f t="shared" si="6"/>
        <v>438859668.70517147</v>
      </c>
      <c r="O79" s="499">
        <f>'Summary Baseline Data'!L92</f>
        <v>65498.400000000001</v>
      </c>
      <c r="P79" s="499">
        <f>'Summary Baseline Data'!M92</f>
        <v>5000</v>
      </c>
      <c r="Q79" s="499">
        <f>'Summary Baseline Data'!N92</f>
        <v>4000</v>
      </c>
      <c r="R79" s="500">
        <f>IF('Supply Input'!$I$17='Dynamic Population'!A79,'Supply Input'!$I$12,R78)</f>
        <v>0</v>
      </c>
      <c r="S79" s="500">
        <f>(SUM(O79:R79))*(1-'Water Supply Evaporation'!$I$15)</f>
        <v>70773.48</v>
      </c>
      <c r="T79" s="498">
        <f t="shared" ref="T79:T88" si="15">IF(K79&lt;O79,O79,K79)</f>
        <v>205854.99670804973</v>
      </c>
      <c r="U79" s="498">
        <f t="shared" ref="U79:U97" si="16">O79-K79</f>
        <v>-140356.59670804974</v>
      </c>
      <c r="V79" s="563">
        <f t="shared" ref="V79:V97" si="17">S79-L79</f>
        <v>-146982.45724148466</v>
      </c>
      <c r="W79" s="563">
        <f>IF(V79&gt;0,0,(IF(-V79&gt;'Construction Timing'!I$23,'Construction Timing'!I$23,-V79)))</f>
        <v>82249</v>
      </c>
      <c r="X79" s="517">
        <f t="shared" ref="X79:X97" si="18">IF(S79-K79&lt;1,0,S79-K79)</f>
        <v>0</v>
      </c>
      <c r="Y79" s="499">
        <f t="shared" ref="Y79:Y97" si="19">IF(S79-L79&lt;1,0,S79-L79)</f>
        <v>0</v>
      </c>
      <c r="Z79" s="172">
        <f t="shared" si="11"/>
        <v>2073</v>
      </c>
      <c r="AA79" s="390">
        <f t="shared" si="12"/>
        <v>-41401.855538223725</v>
      </c>
    </row>
    <row r="80" spans="1:27" x14ac:dyDescent="0.2">
      <c r="A80" s="388">
        <f t="shared" si="14"/>
        <v>2074</v>
      </c>
      <c r="C80" s="173">
        <f t="shared" si="9"/>
        <v>840059.3227570327</v>
      </c>
      <c r="D80" s="174"/>
      <c r="E80" s="174"/>
      <c r="F80" s="174">
        <f>'Summary Baseline Data'!V93</f>
        <v>270.25232637083775</v>
      </c>
      <c r="G80" s="535">
        <f>(C80*F80*'Underlying Assumptions'!E$11)/'Underlying Assumptions'!E$9</f>
        <v>254303.67253529219</v>
      </c>
      <c r="H80" s="174">
        <f>IF(((F80*C80*'Underlying Assumptions'!$E$11)/'Underlying Assumptions'!$E$9)&lt;('Dynamic Population'!O80+'Underlying Assumptions'!$E$8),((F80*C80*'Underlying Assumptions'!$E$11)/'Underlying Assumptions'!$E$9),('Dynamic Population'!O80+'Underlying Assumptions'!$E$8))</f>
        <v>147747.4</v>
      </c>
      <c r="I80" s="538">
        <f>VLOOKUP(A80+'Effective Capacity'!I$15,'Dynamic Population'!A80:H163,7)</f>
        <v>269005.54002782062</v>
      </c>
      <c r="J80" s="520">
        <f t="shared" si="13"/>
        <v>225.00000000000026</v>
      </c>
      <c r="K80" s="538">
        <f>(C80*J80*365)/'Underlying Assumptions'!E$9</f>
        <v>211721.86411422913</v>
      </c>
      <c r="L80" s="538">
        <f>VLOOKUP(A80+'Effective Capacity'!I$15,'Dynamic Population'!A80:K163,11)</f>
        <v>223961.98145286695</v>
      </c>
      <c r="M80" s="588">
        <f>((G80-K80)*'Underlying Assumptions'!E$13)-SUM($M$14:M79)</f>
        <v>12507500.558097005</v>
      </c>
      <c r="N80" s="538">
        <f t="shared" ref="N80:N97" si="20">M80+N79</f>
        <v>451367169.26326847</v>
      </c>
      <c r="O80" s="499">
        <f>'Summary Baseline Data'!L93</f>
        <v>65498.400000000001</v>
      </c>
      <c r="P80" s="499">
        <f>'Summary Baseline Data'!M93</f>
        <v>5000</v>
      </c>
      <c r="Q80" s="499">
        <f>'Summary Baseline Data'!N93</f>
        <v>4000</v>
      </c>
      <c r="R80" s="500">
        <f>IF('Supply Input'!$I$17='Dynamic Population'!A80,'Supply Input'!$I$12,R79)</f>
        <v>0</v>
      </c>
      <c r="S80" s="500">
        <f>(SUM(O80:R80))*(1-'Water Supply Evaporation'!$I$15)</f>
        <v>70773.48</v>
      </c>
      <c r="T80" s="498">
        <f t="shared" si="15"/>
        <v>211721.86411422913</v>
      </c>
      <c r="U80" s="498">
        <f t="shared" si="16"/>
        <v>-146223.46411422914</v>
      </c>
      <c r="V80" s="563">
        <f t="shared" si="17"/>
        <v>-153188.50145286694</v>
      </c>
      <c r="W80" s="563">
        <f>IF(V80&gt;0,0,(IF(-V80&gt;'Construction Timing'!I$23,'Construction Timing'!I$23,-V80)))</f>
        <v>82249</v>
      </c>
      <c r="X80" s="517">
        <f t="shared" si="18"/>
        <v>0</v>
      </c>
      <c r="Y80" s="499">
        <f t="shared" si="19"/>
        <v>0</v>
      </c>
      <c r="Z80" s="172">
        <f t="shared" si="11"/>
        <v>2074</v>
      </c>
      <c r="AA80" s="390">
        <f t="shared" si="12"/>
        <v>-42581.808421063062</v>
      </c>
    </row>
    <row r="81" spans="1:27" x14ac:dyDescent="0.2">
      <c r="A81" s="388">
        <f t="shared" si="14"/>
        <v>2075</v>
      </c>
      <c r="C81" s="173">
        <f t="shared" si="9"/>
        <v>864001.01345560816</v>
      </c>
      <c r="D81" s="174"/>
      <c r="E81" s="174"/>
      <c r="F81" s="174">
        <f>'Summary Baseline Data'!V94</f>
        <v>270.25232637083775</v>
      </c>
      <c r="G81" s="535">
        <f>(C81*F81*'Underlying Assumptions'!E$11)/'Underlying Assumptions'!E$9</f>
        <v>261551.32720254804</v>
      </c>
      <c r="H81" s="174">
        <f>IF(((F81*C81*'Underlying Assumptions'!$E$11)/'Underlying Assumptions'!$E$9)&lt;('Dynamic Population'!O81+'Underlying Assumptions'!$E$8),((F81*C81*'Underlying Assumptions'!$E$11)/'Underlying Assumptions'!$E$9),('Dynamic Population'!O81+'Underlying Assumptions'!$E$8))</f>
        <v>147747.4</v>
      </c>
      <c r="I81" s="538">
        <f>VLOOKUP(A81+'Effective Capacity'!I$15,'Dynamic Population'!A81:H164,7)</f>
        <v>276672.19791861356</v>
      </c>
      <c r="J81" s="520">
        <f t="shared" si="13"/>
        <v>225.00000000000026</v>
      </c>
      <c r="K81" s="538">
        <f>(C81*J81*365)/'Underlying Assumptions'!E$9</f>
        <v>217755.93724148467</v>
      </c>
      <c r="L81" s="538">
        <f>VLOOKUP(A81+'Effective Capacity'!I$15,'Dynamic Population'!A81:K164,11)</f>
        <v>230344.89792427362</v>
      </c>
      <c r="M81" s="588">
        <f>((G81-K81)*'Underlying Assumptions'!E$13)-SUM($M$14:M80)</f>
        <v>12863964.32400322</v>
      </c>
      <c r="N81" s="538">
        <f t="shared" si="20"/>
        <v>464231133.58727169</v>
      </c>
      <c r="O81" s="499">
        <f>'Summary Baseline Data'!L94</f>
        <v>65498.400000000001</v>
      </c>
      <c r="P81" s="499">
        <f>'Summary Baseline Data'!M94</f>
        <v>5000</v>
      </c>
      <c r="Q81" s="499">
        <f>'Summary Baseline Data'!N94</f>
        <v>4000</v>
      </c>
      <c r="R81" s="500">
        <f>IF('Supply Input'!$I$17='Dynamic Population'!A81,'Supply Input'!$I$12,R80)</f>
        <v>0</v>
      </c>
      <c r="S81" s="500">
        <f>(SUM(O81:R81))*(1-'Water Supply Evaporation'!$I$15)</f>
        <v>70773.48</v>
      </c>
      <c r="T81" s="498">
        <f t="shared" si="15"/>
        <v>217755.93724148467</v>
      </c>
      <c r="U81" s="498">
        <f t="shared" si="16"/>
        <v>-152257.53724148468</v>
      </c>
      <c r="V81" s="563">
        <f t="shared" si="17"/>
        <v>-159571.41792427364</v>
      </c>
      <c r="W81" s="563">
        <f>IF(V81&gt;0,0,(IF(-V81&gt;'Construction Timing'!I$23,'Construction Timing'!I$23,-V81)))</f>
        <v>82249</v>
      </c>
      <c r="X81" s="517">
        <f t="shared" si="18"/>
        <v>0</v>
      </c>
      <c r="Y81" s="499">
        <f t="shared" si="19"/>
        <v>0</v>
      </c>
      <c r="Z81" s="172">
        <f t="shared" si="11"/>
        <v>2075</v>
      </c>
      <c r="AA81" s="390">
        <f t="shared" si="12"/>
        <v>-43795.389961063367</v>
      </c>
    </row>
    <row r="82" spans="1:27" x14ac:dyDescent="0.2">
      <c r="A82" s="388">
        <f t="shared" si="14"/>
        <v>2076</v>
      </c>
      <c r="C82" s="173">
        <f t="shared" si="9"/>
        <v>888625.04233909294</v>
      </c>
      <c r="D82" s="174"/>
      <c r="E82" s="174"/>
      <c r="F82" s="174">
        <f>'Summary Baseline Data'!V95</f>
        <v>270.25232637083775</v>
      </c>
      <c r="G82" s="535">
        <f>(C82*F82*'Underlying Assumptions'!E$11)/'Underlying Assumptions'!E$9</f>
        <v>269005.54002782062</v>
      </c>
      <c r="H82" s="174">
        <f>IF(((F82*C82*'Underlying Assumptions'!$E$11)/'Underlying Assumptions'!$E$9)&lt;('Dynamic Population'!O82+'Underlying Assumptions'!$E$8),((F82*C82*'Underlying Assumptions'!$E$11)/'Underlying Assumptions'!$E$9),('Dynamic Population'!O82+'Underlying Assumptions'!$E$8))</f>
        <v>147747.4</v>
      </c>
      <c r="I82" s="538">
        <f>VLOOKUP(A82+'Effective Capacity'!I$15,'Dynamic Population'!A82:H165,7)</f>
        <v>284557.355559294</v>
      </c>
      <c r="J82" s="520">
        <f t="shared" si="13"/>
        <v>225.00000000000026</v>
      </c>
      <c r="K82" s="538">
        <f>(C82*J82*365)/'Underlying Assumptions'!E$9</f>
        <v>223961.98145286695</v>
      </c>
      <c r="L82" s="538">
        <f>VLOOKUP(A82+'Effective Capacity'!I$15,'Dynamic Population'!A82:K165,11)</f>
        <v>236909.72751511543</v>
      </c>
      <c r="M82" s="588">
        <f>((G82-K82)*'Underlying Assumptions'!E$13)-SUM($M$14:M81)</f>
        <v>13230587.307237208</v>
      </c>
      <c r="N82" s="538">
        <f t="shared" si="20"/>
        <v>477461720.8945089</v>
      </c>
      <c r="O82" s="499">
        <f>'Summary Baseline Data'!L95</f>
        <v>65498.400000000001</v>
      </c>
      <c r="P82" s="499">
        <f>'Summary Baseline Data'!M95</f>
        <v>5000</v>
      </c>
      <c r="Q82" s="499">
        <f>'Summary Baseline Data'!N95</f>
        <v>4000</v>
      </c>
      <c r="R82" s="500">
        <f>IF('Supply Input'!$I$17='Dynamic Population'!A82,'Supply Input'!$I$12,R81)</f>
        <v>0</v>
      </c>
      <c r="S82" s="500">
        <f>(SUM(O82:R82))*(1-'Water Supply Evaporation'!$I$15)</f>
        <v>70773.48</v>
      </c>
      <c r="T82" s="498">
        <f>IF(K82&lt;O82,O82,K82)</f>
        <v>223961.98145286695</v>
      </c>
      <c r="U82" s="498">
        <f t="shared" si="16"/>
        <v>-158463.58145286696</v>
      </c>
      <c r="V82" s="563">
        <f t="shared" si="17"/>
        <v>-166136.24751511542</v>
      </c>
      <c r="W82" s="563">
        <f>IF(V82&gt;0,0,(IF(-V82&gt;'Construction Timing'!I$23,'Construction Timing'!I$23,-V82)))</f>
        <v>82249</v>
      </c>
      <c r="X82" s="517">
        <f t="shared" si="18"/>
        <v>0</v>
      </c>
      <c r="Y82" s="499">
        <f t="shared" si="19"/>
        <v>0</v>
      </c>
      <c r="Z82" s="172">
        <f t="shared" si="11"/>
        <v>2076</v>
      </c>
      <c r="AA82" s="390">
        <f t="shared" si="12"/>
        <v>-45043.558574953669</v>
      </c>
    </row>
    <row r="83" spans="1:27" x14ac:dyDescent="0.2">
      <c r="A83" s="388">
        <f t="shared" si="14"/>
        <v>2077</v>
      </c>
      <c r="C83" s="173">
        <f t="shared" si="9"/>
        <v>913950.85604575707</v>
      </c>
      <c r="D83" s="174"/>
      <c r="E83" s="174"/>
      <c r="F83" s="174">
        <f>'Summary Baseline Data'!V96</f>
        <v>270.25232637083775</v>
      </c>
      <c r="G83" s="535">
        <f>(C83*F83*'Underlying Assumptions'!E$11)/'Underlying Assumptions'!E$9</f>
        <v>276672.19791861356</v>
      </c>
      <c r="H83" s="174">
        <f>IF(((F83*C83*'Underlying Assumptions'!$E$11)/'Underlying Assumptions'!$E$9)&lt;('Dynamic Population'!O83+'Underlying Assumptions'!$E$8),((F83*C83*'Underlying Assumptions'!$E$11)/'Underlying Assumptions'!$E$9),('Dynamic Population'!O83+'Underlying Assumptions'!$E$8))</f>
        <v>147747.4</v>
      </c>
      <c r="I83" s="538">
        <f>VLOOKUP(A83+'Effective Capacity'!I$15,'Dynamic Population'!A83:H166,7)</f>
        <v>292667.24019273382</v>
      </c>
      <c r="J83" s="520">
        <f t="shared" si="13"/>
        <v>225.00000000000026</v>
      </c>
      <c r="K83" s="538">
        <f>(C83*J83*365)/'Underlying Assumptions'!E$9</f>
        <v>230344.89792427362</v>
      </c>
      <c r="L83" s="538">
        <f>VLOOKUP(A83+'Effective Capacity'!I$15,'Dynamic Population'!A83:K166,11)</f>
        <v>243661.65474929623</v>
      </c>
      <c r="M83" s="588">
        <f>((G83-K83)*'Underlying Assumptions'!E$13)-SUM($M$14:M82)</f>
        <v>13607659.045494378</v>
      </c>
      <c r="N83" s="538">
        <f t="shared" si="20"/>
        <v>491069379.94000328</v>
      </c>
      <c r="O83" s="499">
        <f>'Summary Baseline Data'!L96</f>
        <v>65498.400000000001</v>
      </c>
      <c r="P83" s="499">
        <f>'Summary Baseline Data'!M96</f>
        <v>5000</v>
      </c>
      <c r="Q83" s="499">
        <f>'Summary Baseline Data'!N96</f>
        <v>4000</v>
      </c>
      <c r="R83" s="500">
        <f>IF('Supply Input'!$I$17='Dynamic Population'!A83,'Supply Input'!$I$12,R82)</f>
        <v>0</v>
      </c>
      <c r="S83" s="500">
        <f>(SUM(O83:R83))*(1-'Water Supply Evaporation'!$I$15)</f>
        <v>70773.48</v>
      </c>
      <c r="T83" s="498">
        <f t="shared" si="15"/>
        <v>230344.89792427362</v>
      </c>
      <c r="U83" s="498">
        <f t="shared" si="16"/>
        <v>-164846.49792427363</v>
      </c>
      <c r="V83" s="563">
        <f t="shared" si="17"/>
        <v>-172888.17474929622</v>
      </c>
      <c r="W83" s="563">
        <f>IF(V83&gt;0,0,(IF(-V83&gt;'Construction Timing'!I$23,'Construction Timing'!I$23,-V83)))</f>
        <v>82249</v>
      </c>
      <c r="X83" s="517">
        <f t="shared" si="18"/>
        <v>0</v>
      </c>
      <c r="Y83" s="499">
        <f t="shared" si="19"/>
        <v>0</v>
      </c>
      <c r="Z83" s="172">
        <f t="shared" ref="Z83:Z97" si="21">A83</f>
        <v>2077</v>
      </c>
      <c r="AA83" s="390">
        <f t="shared" ref="AA83:AA97" si="22">T83-G83</f>
        <v>-46327.299994339934</v>
      </c>
    </row>
    <row r="84" spans="1:27" x14ac:dyDescent="0.2">
      <c r="A84" s="388">
        <f t="shared" si="14"/>
        <v>2078</v>
      </c>
      <c r="C84" s="173">
        <f t="shared" si="9"/>
        <v>939998.45544306107</v>
      </c>
      <c r="D84" s="174"/>
      <c r="E84" s="174"/>
      <c r="F84" s="174">
        <f>'Summary Baseline Data'!V97</f>
        <v>270.25232637083775</v>
      </c>
      <c r="G84" s="535">
        <f>(C84*F84*'Underlying Assumptions'!E$11)/'Underlying Assumptions'!E$9</f>
        <v>284557.355559294</v>
      </c>
      <c r="H84" s="174">
        <f>IF(((F84*C84*'Underlying Assumptions'!$E$11)/'Underlying Assumptions'!$E$9)&lt;('Dynamic Population'!O84+'Underlying Assumptions'!$E$8),((F84*C84*'Underlying Assumptions'!$E$11)/'Underlying Assumptions'!$E$9),('Dynamic Population'!O84+'Underlying Assumptions'!$E$8))</f>
        <v>147747.4</v>
      </c>
      <c r="I84" s="538">
        <f>VLOOKUP(A84+'Effective Capacity'!I$15,'Dynamic Population'!A84:H167,7)</f>
        <v>301008.25653822679</v>
      </c>
      <c r="J84" s="520">
        <f t="shared" si="13"/>
        <v>225.00000000000026</v>
      </c>
      <c r="K84" s="538">
        <f>(C84*J84*365)/'Underlying Assumptions'!E$9</f>
        <v>236909.72751511543</v>
      </c>
      <c r="L84" s="538">
        <f>VLOOKUP(A84+'Effective Capacity'!I$15,'Dynamic Population'!A84:K167,11)</f>
        <v>250606.01190965116</v>
      </c>
      <c r="M84" s="588">
        <f>((G84-K84)*'Underlying Assumptions'!E$13)-SUM($M$14:M83)</f>
        <v>13995477.328289509</v>
      </c>
      <c r="N84" s="538">
        <f t="shared" si="20"/>
        <v>505064857.26829278</v>
      </c>
      <c r="O84" s="499">
        <f>'Summary Baseline Data'!L97</f>
        <v>65498.400000000001</v>
      </c>
      <c r="P84" s="499">
        <f>'Summary Baseline Data'!M97</f>
        <v>5000</v>
      </c>
      <c r="Q84" s="499">
        <f>'Summary Baseline Data'!N97</f>
        <v>4000</v>
      </c>
      <c r="R84" s="500">
        <f>IF('Supply Input'!$I$17='Dynamic Population'!A84,'Supply Input'!$I$12,R83)</f>
        <v>0</v>
      </c>
      <c r="S84" s="500">
        <f>(SUM(O84:R84))*(1-'Water Supply Evaporation'!$I$15)</f>
        <v>70773.48</v>
      </c>
      <c r="T84" s="498">
        <f t="shared" si="15"/>
        <v>236909.72751511543</v>
      </c>
      <c r="U84" s="498">
        <f t="shared" si="16"/>
        <v>-171411.32751511544</v>
      </c>
      <c r="V84" s="563">
        <f t="shared" si="17"/>
        <v>-179832.53190965118</v>
      </c>
      <c r="W84" s="563">
        <f>IF(V84&gt;0,0,(IF(-V84&gt;'Construction Timing'!I$23,'Construction Timing'!I$23,-V84)))</f>
        <v>82249</v>
      </c>
      <c r="X84" s="517">
        <f t="shared" si="18"/>
        <v>0</v>
      </c>
      <c r="Y84" s="499">
        <f t="shared" si="19"/>
        <v>0</v>
      </c>
      <c r="Z84" s="172">
        <f t="shared" si="21"/>
        <v>2078</v>
      </c>
      <c r="AA84" s="390">
        <f t="shared" si="22"/>
        <v>-47647.628044178564</v>
      </c>
    </row>
    <row r="85" spans="1:27" x14ac:dyDescent="0.2">
      <c r="A85" s="388">
        <f t="shared" si="14"/>
        <v>2079</v>
      </c>
      <c r="C85" s="173">
        <f t="shared" ref="C85:C97" si="23">C84*(1+O$6)</f>
        <v>966788.41142318828</v>
      </c>
      <c r="D85" s="174"/>
      <c r="E85" s="174"/>
      <c r="F85" s="174">
        <f>'Summary Baseline Data'!V98</f>
        <v>270.25232637083775</v>
      </c>
      <c r="G85" s="535">
        <f>(C85*F85*'Underlying Assumptions'!E$11)/'Underlying Assumptions'!E$9</f>
        <v>292667.24019273382</v>
      </c>
      <c r="H85" s="174">
        <f>IF(((F85*C85*'Underlying Assumptions'!$E$11)/'Underlying Assumptions'!$E$9)&lt;('Dynamic Population'!O85+'Underlying Assumptions'!$E$8),((F85*C85*'Underlying Assumptions'!$E$11)/'Underlying Assumptions'!$E$9),('Dynamic Population'!O85+'Underlying Assumptions'!$E$8))</f>
        <v>147747.4</v>
      </c>
      <c r="I85" s="538">
        <f>VLOOKUP(A85+'Effective Capacity'!I$15,'Dynamic Population'!A85:H168,7)</f>
        <v>309586.99184956623</v>
      </c>
      <c r="J85" s="520">
        <f t="shared" si="13"/>
        <v>225.00000000000026</v>
      </c>
      <c r="K85" s="538">
        <f>(C85*J85*365)/'Underlying Assumptions'!E$9</f>
        <v>243661.65474929623</v>
      </c>
      <c r="L85" s="538">
        <f>VLOOKUP(A85+'Effective Capacity'!I$15,'Dynamic Population'!A85:K168,11)</f>
        <v>257748.28324907622</v>
      </c>
      <c r="M85" s="588">
        <f>((G85-K85)*'Underlying Assumptions'!E$13)-SUM($M$14:M84)</f>
        <v>14394348.432145715</v>
      </c>
      <c r="N85" s="538">
        <f t="shared" si="20"/>
        <v>519459205.7004385</v>
      </c>
      <c r="O85" s="499">
        <f>'Summary Baseline Data'!L98</f>
        <v>65498.400000000001</v>
      </c>
      <c r="P85" s="499">
        <f>'Summary Baseline Data'!M98</f>
        <v>5000</v>
      </c>
      <c r="Q85" s="499">
        <f>'Summary Baseline Data'!N98</f>
        <v>4000</v>
      </c>
      <c r="R85" s="500">
        <f>IF('Supply Input'!$I$17='Dynamic Population'!A85,'Supply Input'!$I$12,R84)</f>
        <v>0</v>
      </c>
      <c r="S85" s="500">
        <f>(SUM(O85:R85))*(1-'Water Supply Evaporation'!$I$15)</f>
        <v>70773.48</v>
      </c>
      <c r="T85" s="498">
        <f t="shared" si="15"/>
        <v>243661.65474929623</v>
      </c>
      <c r="U85" s="498">
        <f t="shared" si="16"/>
        <v>-178163.25474929623</v>
      </c>
      <c r="V85" s="563">
        <f t="shared" si="17"/>
        <v>-186974.80324907624</v>
      </c>
      <c r="W85" s="563">
        <f>IF(V85&gt;0,0,(IF(-V85&gt;'Construction Timing'!I$23,'Construction Timing'!I$23,-V85)))</f>
        <v>82249</v>
      </c>
      <c r="X85" s="517">
        <f t="shared" si="18"/>
        <v>0</v>
      </c>
      <c r="Y85" s="499">
        <f t="shared" si="19"/>
        <v>0</v>
      </c>
      <c r="Z85" s="172">
        <f t="shared" si="21"/>
        <v>2079</v>
      </c>
      <c r="AA85" s="390">
        <f t="shared" si="22"/>
        <v>-49005.585443437594</v>
      </c>
    </row>
    <row r="86" spans="1:27" x14ac:dyDescent="0.2">
      <c r="A86" s="388">
        <f t="shared" si="14"/>
        <v>2080</v>
      </c>
      <c r="C86" s="173">
        <f t="shared" si="23"/>
        <v>994341.88114874915</v>
      </c>
      <c r="D86" s="174"/>
      <c r="E86" s="174"/>
      <c r="F86" s="174">
        <f>'Summary Baseline Data'!V99</f>
        <v>270.25232637083775</v>
      </c>
      <c r="G86" s="535">
        <f>(C86*F86*'Underlying Assumptions'!E$11)/'Underlying Assumptions'!E$9</f>
        <v>301008.25653822679</v>
      </c>
      <c r="H86" s="174">
        <f>IF(((F86*C86*'Underlying Assumptions'!$E$11)/'Underlying Assumptions'!$E$9)&lt;('Dynamic Population'!O86+'Underlying Assumptions'!$E$8),((F86*C86*'Underlying Assumptions'!$E$11)/'Underlying Assumptions'!$E$9),('Dynamic Population'!O86+'Underlying Assumptions'!$E$8))</f>
        <v>147747.4</v>
      </c>
      <c r="I86" s="538">
        <f>VLOOKUP(A86+'Effective Capacity'!I$15,'Dynamic Population'!A86:H169,7)</f>
        <v>318410.22111727897</v>
      </c>
      <c r="J86" s="520">
        <f t="shared" si="13"/>
        <v>225.00000000000026</v>
      </c>
      <c r="K86" s="538">
        <f>(C86*J86*365)/'Underlying Assumptions'!E$9</f>
        <v>250606.01190965116</v>
      </c>
      <c r="L86" s="538">
        <f>VLOOKUP(A86+'Effective Capacity'!I$15,'Dynamic Population'!A86:K169,11)</f>
        <v>265094.10932167491</v>
      </c>
      <c r="M86" s="588">
        <f>((G86-K86)*'Underlying Assumptions'!E$13)-SUM($M$14:M85)</f>
        <v>14804587.362463176</v>
      </c>
      <c r="N86" s="538">
        <f t="shared" si="20"/>
        <v>534263793.06290168</v>
      </c>
      <c r="O86" s="499">
        <f>'Summary Baseline Data'!L99</f>
        <v>65498.400000000001</v>
      </c>
      <c r="P86" s="499">
        <f>'Summary Baseline Data'!M99</f>
        <v>5000</v>
      </c>
      <c r="Q86" s="499">
        <f>'Summary Baseline Data'!N99</f>
        <v>4000</v>
      </c>
      <c r="R86" s="500">
        <f>IF('Supply Input'!$I$17='Dynamic Population'!A86,'Supply Input'!$I$12,R85)</f>
        <v>0</v>
      </c>
      <c r="S86" s="500">
        <f>(SUM(O86:R86))*(1-'Water Supply Evaporation'!$I$15)</f>
        <v>70773.48</v>
      </c>
      <c r="T86" s="498">
        <f t="shared" si="15"/>
        <v>250606.01190965116</v>
      </c>
      <c r="U86" s="498">
        <f t="shared" si="16"/>
        <v>-185107.61190965117</v>
      </c>
      <c r="V86" s="563">
        <f t="shared" si="17"/>
        <v>-194320.62932167493</v>
      </c>
      <c r="W86" s="563">
        <f>IF(V86&gt;0,0,(IF(-V86&gt;'Construction Timing'!I$23,'Construction Timing'!I$23,-V86)))</f>
        <v>82249</v>
      </c>
      <c r="X86" s="517">
        <f t="shared" si="18"/>
        <v>0</v>
      </c>
      <c r="Y86" s="499">
        <f t="shared" si="19"/>
        <v>0</v>
      </c>
      <c r="Z86" s="172">
        <f t="shared" si="21"/>
        <v>2080</v>
      </c>
      <c r="AA86" s="390">
        <f t="shared" si="22"/>
        <v>-50402.24462857563</v>
      </c>
    </row>
    <row r="87" spans="1:27" x14ac:dyDescent="0.2">
      <c r="A87" s="388">
        <f t="shared" si="14"/>
        <v>2081</v>
      </c>
      <c r="C87" s="173">
        <f t="shared" si="23"/>
        <v>1022680.6247614885</v>
      </c>
      <c r="D87" s="174"/>
      <c r="E87" s="174"/>
      <c r="F87" s="174">
        <f>'Summary Baseline Data'!V100</f>
        <v>270.25232637083775</v>
      </c>
      <c r="G87" s="535">
        <f>(C87*F87*'Underlying Assumptions'!E$11)/'Underlying Assumptions'!E$9</f>
        <v>309586.99184956623</v>
      </c>
      <c r="H87" s="174">
        <f>IF(((F87*C87*'Underlying Assumptions'!$E$11)/'Underlying Assumptions'!$E$9)&lt;('Dynamic Population'!O87+'Underlying Assumptions'!$E$8),((F87*C87*'Underlying Assumptions'!$E$11)/'Underlying Assumptions'!$E$9),('Dynamic Population'!O87+'Underlying Assumptions'!$E$8))</f>
        <v>147747.4</v>
      </c>
      <c r="I87" s="538">
        <f>VLOOKUP(A87+'Effective Capacity'!I$15,'Dynamic Population'!A87:H170,7)</f>
        <v>327484.91241912125</v>
      </c>
      <c r="J87" s="520">
        <f t="shared" si="13"/>
        <v>225.00000000000026</v>
      </c>
      <c r="K87" s="538">
        <f>(C87*J87*365)/'Underlying Assumptions'!E$9</f>
        <v>257748.28324907622</v>
      </c>
      <c r="L87" s="538">
        <f>VLOOKUP(A87+'Effective Capacity'!I$15,'Dynamic Population'!A87:K170,11)</f>
        <v>272649.29143734265</v>
      </c>
      <c r="M87" s="588">
        <f>((G87-K87)*'Underlying Assumptions'!E$13)-SUM($M$14:M86)</f>
        <v>15226518.102292359</v>
      </c>
      <c r="N87" s="538">
        <f t="shared" si="20"/>
        <v>549490311.16519403</v>
      </c>
      <c r="O87" s="499">
        <f>'Summary Baseline Data'!L100</f>
        <v>65498.400000000001</v>
      </c>
      <c r="P87" s="499">
        <f>'Summary Baseline Data'!M100</f>
        <v>5000</v>
      </c>
      <c r="Q87" s="499">
        <f>'Summary Baseline Data'!N100</f>
        <v>4000</v>
      </c>
      <c r="R87" s="500">
        <f>IF('Supply Input'!$I$17='Dynamic Population'!A87,'Supply Input'!$I$12,R86)</f>
        <v>0</v>
      </c>
      <c r="S87" s="500">
        <f>(SUM(O87:R87))*(1-'Water Supply Evaporation'!$I$15)</f>
        <v>70773.48</v>
      </c>
      <c r="T87" s="498">
        <f t="shared" si="15"/>
        <v>257748.28324907622</v>
      </c>
      <c r="U87" s="498">
        <f t="shared" si="16"/>
        <v>-192249.88324907623</v>
      </c>
      <c r="V87" s="563">
        <f t="shared" si="17"/>
        <v>-201875.81143734267</v>
      </c>
      <c r="W87" s="563">
        <f>IF(V87&gt;0,0,(IF(-V87&gt;'Construction Timing'!I$23,'Construction Timing'!I$23,-V87)))</f>
        <v>82249</v>
      </c>
      <c r="X87" s="517">
        <f t="shared" si="18"/>
        <v>0</v>
      </c>
      <c r="Y87" s="499">
        <f t="shared" si="19"/>
        <v>0</v>
      </c>
      <c r="Z87" s="172">
        <f t="shared" si="21"/>
        <v>2081</v>
      </c>
      <c r="AA87" s="390">
        <f t="shared" si="22"/>
        <v>-51838.708600490005</v>
      </c>
    </row>
    <row r="88" spans="1:27" x14ac:dyDescent="0.2">
      <c r="A88" s="388">
        <f t="shared" si="14"/>
        <v>2082</v>
      </c>
      <c r="C88" s="173">
        <f t="shared" si="23"/>
        <v>1051827.0225671909</v>
      </c>
      <c r="D88" s="174"/>
      <c r="E88" s="174"/>
      <c r="F88" s="174">
        <f>'Summary Baseline Data'!V101</f>
        <v>270.25232637083781</v>
      </c>
      <c r="G88" s="535">
        <f>(C88*F88*'Underlying Assumptions'!E$11)/'Underlying Assumptions'!E$9</f>
        <v>318410.22111727897</v>
      </c>
      <c r="H88" s="174">
        <f>IF(((F88*C88*'Underlying Assumptions'!$E$11)/'Underlying Assumptions'!$E$9)&lt;('Dynamic Population'!O88+'Underlying Assumptions'!$E$8),((F88*C88*'Underlying Assumptions'!$E$11)/'Underlying Assumptions'!$E$9),('Dynamic Population'!O88+'Underlying Assumptions'!$E$8))</f>
        <v>147747.4</v>
      </c>
      <c r="I88" s="538">
        <f>VLOOKUP(A88+'Effective Capacity'!I$15,'Dynamic Population'!A88:H171,7)</f>
        <v>336818.23242306628</v>
      </c>
      <c r="J88" s="520">
        <f t="shared" si="13"/>
        <v>225.00000000000026</v>
      </c>
      <c r="K88" s="538">
        <f>(C88*J88*365)/'Underlying Assumptions'!E$9</f>
        <v>265094.10932167491</v>
      </c>
      <c r="L88" s="538">
        <f>VLOOKUP(A88+'Effective Capacity'!I$15,'Dynamic Population'!A88:K171,11)</f>
        <v>280419.79624330689</v>
      </c>
      <c r="M88" s="588">
        <f>((G88-K88)*'Underlying Assumptions'!E$13)-SUM($M$14:M87)</f>
        <v>15660473.868208885</v>
      </c>
      <c r="N88" s="538">
        <f t="shared" si="20"/>
        <v>565150785.03340292</v>
      </c>
      <c r="O88" s="499">
        <f>'Summary Baseline Data'!L101</f>
        <v>65498.400000000001</v>
      </c>
      <c r="P88" s="499">
        <f>'Summary Baseline Data'!M101</f>
        <v>5000</v>
      </c>
      <c r="Q88" s="499">
        <f>'Summary Baseline Data'!N101</f>
        <v>4000</v>
      </c>
      <c r="R88" s="500">
        <f>IF('Supply Input'!$I$17='Dynamic Population'!A88,'Supply Input'!$I$12,R87)</f>
        <v>0</v>
      </c>
      <c r="S88" s="500">
        <f>(SUM(O88:R88))*(1-'Water Supply Evaporation'!$I$15)</f>
        <v>70773.48</v>
      </c>
      <c r="T88" s="498">
        <f t="shared" si="15"/>
        <v>265094.10932167491</v>
      </c>
      <c r="U88" s="498">
        <f t="shared" si="16"/>
        <v>-199595.70932167492</v>
      </c>
      <c r="V88" s="563">
        <f t="shared" si="17"/>
        <v>-209646.31624330691</v>
      </c>
      <c r="W88" s="563">
        <f>IF(V88&gt;0,0,(IF(-V88&gt;'Construction Timing'!I$23,'Construction Timing'!I$23,-V88)))</f>
        <v>82249</v>
      </c>
      <c r="X88" s="517">
        <f t="shared" si="18"/>
        <v>0</v>
      </c>
      <c r="Y88" s="499">
        <f t="shared" si="19"/>
        <v>0</v>
      </c>
      <c r="Z88" s="172">
        <f t="shared" si="21"/>
        <v>2082</v>
      </c>
      <c r="AA88" s="390">
        <f t="shared" si="22"/>
        <v>-53316.111795604054</v>
      </c>
    </row>
    <row r="89" spans="1:27" x14ac:dyDescent="0.2">
      <c r="A89" s="388">
        <f t="shared" si="14"/>
        <v>2083</v>
      </c>
      <c r="C89" s="173">
        <f t="shared" si="23"/>
        <v>1081804.0927103558</v>
      </c>
      <c r="D89" s="174"/>
      <c r="E89" s="174"/>
      <c r="F89" s="174">
        <f>'Summary Baseline Data'!V102</f>
        <v>270.25232637083775</v>
      </c>
      <c r="G89" s="535">
        <f>(C89*F89*'Underlying Assumptions'!E$11)/'Underlying Assumptions'!E$9</f>
        <v>327484.91241912125</v>
      </c>
      <c r="H89" s="174">
        <f>IF(((F89*C89*'Underlying Assumptions'!$E$11)/'Underlying Assumptions'!$E$9)&lt;('Dynamic Population'!O89+'Underlying Assumptions'!$E$8),((F89*C89*'Underlying Assumptions'!$E$11)/'Underlying Assumptions'!$E$9),('Dynamic Population'!O89+'Underlying Assumptions'!$E$8))</f>
        <v>147747.4</v>
      </c>
      <c r="I89" s="538">
        <f>VLOOKUP(A89+'Effective Capacity'!I$15,'Dynamic Population'!A89:H172,7)</f>
        <v>346417.55204712361</v>
      </c>
      <c r="J89" s="520">
        <f t="shared" si="13"/>
        <v>225.00000000000026</v>
      </c>
      <c r="K89" s="538">
        <f>(C89*J89*365)/'Underlying Assumptions'!E$9</f>
        <v>272649.29143734265</v>
      </c>
      <c r="L89" s="538">
        <f>VLOOKUP(A89+'Effective Capacity'!I$15,'Dynamic Population'!A89:K172,11)</f>
        <v>288411.76043624111</v>
      </c>
      <c r="M89" s="588">
        <f>((G89-K89)*'Underlying Assumptions'!E$13)-SUM($M$14:M88)</f>
        <v>16106797.373450279</v>
      </c>
      <c r="N89" s="538">
        <f t="shared" si="20"/>
        <v>581257582.4068532</v>
      </c>
      <c r="O89" s="499">
        <f>'Summary Baseline Data'!L102</f>
        <v>65498.400000000001</v>
      </c>
      <c r="P89" s="499">
        <f>'Summary Baseline Data'!M102</f>
        <v>5000</v>
      </c>
      <c r="Q89" s="499">
        <f>'Summary Baseline Data'!N102</f>
        <v>4000</v>
      </c>
      <c r="R89" s="500">
        <f>IF('Supply Input'!$I$17='Dynamic Population'!A89,'Supply Input'!$I$12,R88)</f>
        <v>0</v>
      </c>
      <c r="S89" s="500">
        <f>(SUM(O89:R89))*(1-'Water Supply Evaporation'!$I$15)</f>
        <v>70773.48</v>
      </c>
      <c r="T89" s="498">
        <f>IF(K89&lt;O89,O89,K89)</f>
        <v>272649.29143734265</v>
      </c>
      <c r="U89" s="498">
        <f t="shared" si="16"/>
        <v>-207150.89143734265</v>
      </c>
      <c r="V89" s="563">
        <f t="shared" si="17"/>
        <v>-217638.28043624113</v>
      </c>
      <c r="W89" s="563">
        <f>IF(V89&gt;0,0,(IF(-V89&gt;'Construction Timing'!I$23,'Construction Timing'!I$23,-V89)))</f>
        <v>82249</v>
      </c>
      <c r="X89" s="517">
        <f t="shared" si="18"/>
        <v>0</v>
      </c>
      <c r="Y89" s="499">
        <f t="shared" si="19"/>
        <v>0</v>
      </c>
      <c r="Z89" s="172">
        <f t="shared" si="21"/>
        <v>2083</v>
      </c>
      <c r="AA89" s="390">
        <f t="shared" si="22"/>
        <v>-54835.6209817786</v>
      </c>
    </row>
    <row r="90" spans="1:27" x14ac:dyDescent="0.2">
      <c r="A90" s="388">
        <f t="shared" si="14"/>
        <v>2084</v>
      </c>
      <c r="C90" s="173">
        <f t="shared" si="23"/>
        <v>1112635.5093526009</v>
      </c>
      <c r="D90" s="174"/>
      <c r="E90" s="174"/>
      <c r="F90" s="174">
        <f>'Summary Baseline Data'!V103</f>
        <v>270.25232637083781</v>
      </c>
      <c r="G90" s="535">
        <f>(C90*F90*'Underlying Assumptions'!E$11)/'Underlying Assumptions'!E$9</f>
        <v>336818.23242306628</v>
      </c>
      <c r="H90" s="174">
        <f>IF(((F90*C90*'Underlying Assumptions'!$E$11)/'Underlying Assumptions'!$E$9)&lt;('Dynamic Population'!O90+'Underlying Assumptions'!$E$8),((F90*C90*'Underlying Assumptions'!$E$11)/'Underlying Assumptions'!$E$9),('Dynamic Population'!O90+'Underlying Assumptions'!$E$8))</f>
        <v>147747.4</v>
      </c>
      <c r="I90" s="538">
        <f>VLOOKUP(A90+'Effective Capacity'!I$15,'Dynamic Population'!A90:H173,7)</f>
        <v>356290.45228046674</v>
      </c>
      <c r="J90" s="520">
        <f t="shared" si="13"/>
        <v>225.00000000000026</v>
      </c>
      <c r="K90" s="538">
        <f>(C90*J90*365)/'Underlying Assumptions'!E$9</f>
        <v>280419.79624330689</v>
      </c>
      <c r="L90" s="538">
        <f>VLOOKUP(A90+'Effective Capacity'!I$15,'Dynamic Population'!A90:K173,11)</f>
        <v>296631.49560867401</v>
      </c>
      <c r="M90" s="588">
        <f>((G90-K90)*'Underlying Assumptions'!E$13)-SUM($M$14:M89)</f>
        <v>16565841.098596334</v>
      </c>
      <c r="N90" s="538">
        <f t="shared" si="20"/>
        <v>597823423.50544953</v>
      </c>
      <c r="O90" s="499">
        <f>'Summary Baseline Data'!L103</f>
        <v>65498.400000000001</v>
      </c>
      <c r="P90" s="499">
        <f>'Summary Baseline Data'!M103</f>
        <v>5000</v>
      </c>
      <c r="Q90" s="499">
        <f>'Summary Baseline Data'!N103</f>
        <v>4000</v>
      </c>
      <c r="R90" s="500">
        <f>IF('Supply Input'!$I$17='Dynamic Population'!A90,'Supply Input'!$I$12,R89)</f>
        <v>0</v>
      </c>
      <c r="S90" s="500">
        <f>(SUM(O90:R90))*(1-'Water Supply Evaporation'!$I$15)</f>
        <v>70773.48</v>
      </c>
      <c r="T90" s="498">
        <f t="shared" ref="T90:T97" si="24">IF(K90&lt;O90,O90,K90)</f>
        <v>280419.79624330689</v>
      </c>
      <c r="U90" s="498">
        <f t="shared" si="16"/>
        <v>-214921.3962433069</v>
      </c>
      <c r="V90" s="563">
        <f t="shared" si="17"/>
        <v>-225858.01560867403</v>
      </c>
      <c r="W90" s="563">
        <f>IF(V90&gt;0,0,(IF(-V90&gt;'Construction Timing'!I$23,'Construction Timing'!I$23,-V90)))</f>
        <v>82249</v>
      </c>
      <c r="X90" s="517">
        <f t="shared" si="18"/>
        <v>0</v>
      </c>
      <c r="Y90" s="499">
        <f t="shared" si="19"/>
        <v>0</v>
      </c>
      <c r="Z90" s="172">
        <f t="shared" si="21"/>
        <v>2084</v>
      </c>
      <c r="AA90" s="390">
        <f t="shared" si="22"/>
        <v>-56398.436179759388</v>
      </c>
    </row>
    <row r="91" spans="1:27" x14ac:dyDescent="0.2">
      <c r="A91" s="388">
        <f t="shared" si="14"/>
        <v>2085</v>
      </c>
      <c r="C91" s="173">
        <f t="shared" si="23"/>
        <v>1144345.62136915</v>
      </c>
      <c r="D91" s="174"/>
      <c r="E91" s="174"/>
      <c r="F91" s="174">
        <f>'Summary Baseline Data'!V104</f>
        <v>270.25232637083775</v>
      </c>
      <c r="G91" s="535">
        <f>(C91*F91*'Underlying Assumptions'!E$11)/'Underlying Assumptions'!E$9</f>
        <v>346417.55204712361</v>
      </c>
      <c r="H91" s="174">
        <f>IF(((F91*C91*'Underlying Assumptions'!$E$11)/'Underlying Assumptions'!$E$9)&lt;('Dynamic Population'!O91+'Underlying Assumptions'!$E$8),((F91*C91*'Underlying Assumptions'!$E$11)/'Underlying Assumptions'!$E$9),('Dynamic Population'!O91+'Underlying Assumptions'!$E$8))</f>
        <v>147747.4</v>
      </c>
      <c r="I91" s="538">
        <f>VLOOKUP(A91+'Effective Capacity'!I$15,'Dynamic Population'!A91:H174,7)</f>
        <v>366444.73017046001</v>
      </c>
      <c r="J91" s="520">
        <f t="shared" si="13"/>
        <v>225.00000000000026</v>
      </c>
      <c r="K91" s="538">
        <f>(C91*J91*365)/'Underlying Assumptions'!E$9</f>
        <v>288411.76043624111</v>
      </c>
      <c r="L91" s="538">
        <f>VLOOKUP(A91+'Effective Capacity'!I$15,'Dynamic Population'!A91:K174,11)</f>
        <v>305085.49323352118</v>
      </c>
      <c r="M91" s="588">
        <f>((G91-K91)*'Underlying Assumptions'!E$13)-SUM($M$14:M90)</f>
        <v>17037967.569904923</v>
      </c>
      <c r="N91" s="538">
        <f t="shared" si="20"/>
        <v>614861391.07535446</v>
      </c>
      <c r="O91" s="499">
        <f>'Summary Baseline Data'!L104</f>
        <v>65498.400000000001</v>
      </c>
      <c r="P91" s="499">
        <f>'Summary Baseline Data'!M104</f>
        <v>5000</v>
      </c>
      <c r="Q91" s="499">
        <f>'Summary Baseline Data'!N104</f>
        <v>4000</v>
      </c>
      <c r="R91" s="500">
        <f>IF('Supply Input'!$I$17='Dynamic Population'!A91,'Supply Input'!$I$12,R90)</f>
        <v>0</v>
      </c>
      <c r="S91" s="500">
        <f>(SUM(O91:R91))*(1-'Water Supply Evaporation'!$I$15)</f>
        <v>70773.48</v>
      </c>
      <c r="T91" s="498">
        <f t="shared" si="24"/>
        <v>288411.76043624111</v>
      </c>
      <c r="U91" s="498">
        <f t="shared" si="16"/>
        <v>-222913.36043624111</v>
      </c>
      <c r="V91" s="563">
        <f t="shared" si="17"/>
        <v>-234312.0132335212</v>
      </c>
      <c r="W91" s="563">
        <f>IF(V91&gt;0,0,(IF(-V91&gt;'Construction Timing'!I$23,'Construction Timing'!I$23,-V91)))</f>
        <v>82249</v>
      </c>
      <c r="X91" s="517">
        <f t="shared" si="18"/>
        <v>0</v>
      </c>
      <c r="Y91" s="499">
        <f t="shared" si="19"/>
        <v>0</v>
      </c>
      <c r="Z91" s="172">
        <f t="shared" si="21"/>
        <v>2085</v>
      </c>
      <c r="AA91" s="390">
        <f t="shared" si="22"/>
        <v>-58005.791610882501</v>
      </c>
    </row>
    <row r="92" spans="1:27" x14ac:dyDescent="0.2">
      <c r="A92" s="388">
        <f t="shared" si="14"/>
        <v>2086</v>
      </c>
      <c r="C92" s="173">
        <f t="shared" si="23"/>
        <v>1176959.4715781708</v>
      </c>
      <c r="D92" s="174"/>
      <c r="E92" s="174"/>
      <c r="F92" s="174">
        <f>'Summary Baseline Data'!V105</f>
        <v>270.25232637083781</v>
      </c>
      <c r="G92" s="535">
        <f>(C92*F92*'Underlying Assumptions'!E$11)/'Underlying Assumptions'!E$9</f>
        <v>356290.45228046674</v>
      </c>
      <c r="H92" s="174">
        <f>IF(((F92*C92*'Underlying Assumptions'!$E$11)/'Underlying Assumptions'!$E$9)&lt;('Dynamic Population'!O92+'Underlying Assumptions'!$E$8),((F92*C92*'Underlying Assumptions'!$E$11)/'Underlying Assumptions'!$E$9),('Dynamic Population'!O92+'Underlying Assumptions'!$E$8))</f>
        <v>147747.4</v>
      </c>
      <c r="I92" s="538">
        <f>VLOOKUP(A92+'Effective Capacity'!I$15,'Dynamic Population'!A92:H175,7)</f>
        <v>376888.40498031816</v>
      </c>
      <c r="J92" s="520">
        <f t="shared" si="13"/>
        <v>225.00000000000026</v>
      </c>
      <c r="K92" s="538">
        <f>(C92*J92*365)/'Underlying Assumptions'!E$9</f>
        <v>296631.49560867401</v>
      </c>
      <c r="L92" s="538">
        <f>VLOOKUP(A92+'Effective Capacity'!I$15,'Dynamic Population'!A92:K175,11)</f>
        <v>313780.42979067657</v>
      </c>
      <c r="M92" s="588">
        <f>((G92-K92)*'Underlying Assumptions'!E$13)-SUM($M$14:M91)</f>
        <v>17523549.64564836</v>
      </c>
      <c r="N92" s="538">
        <f t="shared" si="20"/>
        <v>632384940.72100282</v>
      </c>
      <c r="O92" s="499">
        <f>'Summary Baseline Data'!L105</f>
        <v>65498.400000000001</v>
      </c>
      <c r="P92" s="499">
        <f>'Summary Baseline Data'!M105</f>
        <v>5000</v>
      </c>
      <c r="Q92" s="499">
        <f>'Summary Baseline Data'!N105</f>
        <v>4000</v>
      </c>
      <c r="R92" s="500">
        <f>IF('Supply Input'!$I$17='Dynamic Population'!A92,'Supply Input'!$I$12,R91)</f>
        <v>0</v>
      </c>
      <c r="S92" s="500">
        <f>(SUM(O92:R92))*(1-'Water Supply Evaporation'!$I$15)</f>
        <v>70773.48</v>
      </c>
      <c r="T92" s="498">
        <f t="shared" si="24"/>
        <v>296631.49560867401</v>
      </c>
      <c r="U92" s="498">
        <f t="shared" si="16"/>
        <v>-231133.09560867402</v>
      </c>
      <c r="V92" s="563">
        <f t="shared" si="17"/>
        <v>-243006.94979067659</v>
      </c>
      <c r="W92" s="563">
        <f>IF(V92&gt;0,0,(IF(-V92&gt;'Construction Timing'!I$23,'Construction Timing'!I$23,-V92)))</f>
        <v>82249</v>
      </c>
      <c r="X92" s="517">
        <f t="shared" si="18"/>
        <v>0</v>
      </c>
      <c r="Y92" s="499">
        <f t="shared" si="19"/>
        <v>0</v>
      </c>
      <c r="Z92" s="172">
        <f t="shared" si="21"/>
        <v>2086</v>
      </c>
      <c r="AA92" s="390">
        <f t="shared" si="22"/>
        <v>-59658.956671792723</v>
      </c>
    </row>
    <row r="93" spans="1:27" x14ac:dyDescent="0.2">
      <c r="A93" s="388">
        <f t="shared" si="14"/>
        <v>2087</v>
      </c>
      <c r="C93" s="173">
        <f t="shared" si="23"/>
        <v>1210502.8165181486</v>
      </c>
      <c r="D93" s="174"/>
      <c r="E93" s="174"/>
      <c r="F93" s="174">
        <f>'Summary Baseline Data'!V106</f>
        <v>270.25232637083781</v>
      </c>
      <c r="G93" s="535">
        <f>(C93*F93*'Underlying Assumptions'!E$11)/'Underlying Assumptions'!E$9</f>
        <v>366444.73017046001</v>
      </c>
      <c r="H93" s="174">
        <f>IF(((F93*C93*'Underlying Assumptions'!$E$11)/'Underlying Assumptions'!$E$9)&lt;('Dynamic Population'!O93+'Underlying Assumptions'!$E$8),((F93*C93*'Underlying Assumptions'!$E$11)/'Underlying Assumptions'!$E$9),('Dynamic Population'!O93+'Underlying Assumptions'!$E$8))</f>
        <v>147747.4</v>
      </c>
      <c r="I93" s="538">
        <f>VLOOKUP(A93+'Effective Capacity'!I$15,'Dynamic Population'!A93:H176,7)</f>
        <v>387629.72452225711</v>
      </c>
      <c r="J93" s="520">
        <f t="shared" si="13"/>
        <v>225.00000000000026</v>
      </c>
      <c r="K93" s="538">
        <f>(C93*J93*365)/'Underlying Assumptions'!E$9</f>
        <v>305085.49323352118</v>
      </c>
      <c r="L93" s="538">
        <f>VLOOKUP(A93+'Effective Capacity'!I$15,'Dynamic Population'!A93:K176,11)</f>
        <v>322723.1720397108</v>
      </c>
      <c r="M93" s="588">
        <f>((G93-K93)*'Underlying Assumptions'!E$13)-SUM($M$14:M92)</f>
        <v>18022970.810548782</v>
      </c>
      <c r="N93" s="538">
        <f t="shared" si="20"/>
        <v>650407911.5315516</v>
      </c>
      <c r="O93" s="499">
        <f>'Summary Baseline Data'!L106</f>
        <v>65498.400000000001</v>
      </c>
      <c r="P93" s="499">
        <f>'Summary Baseline Data'!M106</f>
        <v>5000</v>
      </c>
      <c r="Q93" s="499">
        <f>'Summary Baseline Data'!N106</f>
        <v>4000</v>
      </c>
      <c r="R93" s="500">
        <f>IF('Supply Input'!$I$17='Dynamic Population'!A93,'Supply Input'!$I$12,R92)</f>
        <v>0</v>
      </c>
      <c r="S93" s="500">
        <f>(SUM(O93:R93))*(1-'Water Supply Evaporation'!$I$15)</f>
        <v>70773.48</v>
      </c>
      <c r="T93" s="498">
        <f t="shared" si="24"/>
        <v>305085.49323352118</v>
      </c>
      <c r="U93" s="498">
        <f t="shared" si="16"/>
        <v>-239587.09323352118</v>
      </c>
      <c r="V93" s="563">
        <f t="shared" si="17"/>
        <v>-251949.69203971082</v>
      </c>
      <c r="W93" s="563">
        <f>IF(V93&gt;0,0,(IF(-V93&gt;'Construction Timing'!I$23,'Construction Timing'!I$23,-V93)))</f>
        <v>82249</v>
      </c>
      <c r="X93" s="517">
        <f t="shared" si="18"/>
        <v>0</v>
      </c>
      <c r="Y93" s="499">
        <f t="shared" si="19"/>
        <v>0</v>
      </c>
      <c r="Z93" s="172">
        <f t="shared" si="21"/>
        <v>2087</v>
      </c>
      <c r="AA93" s="390">
        <f t="shared" si="22"/>
        <v>-61359.236936938833</v>
      </c>
    </row>
    <row r="94" spans="1:27" x14ac:dyDescent="0.2">
      <c r="A94" s="388">
        <f t="shared" si="14"/>
        <v>2088</v>
      </c>
      <c r="C94" s="173">
        <f t="shared" si="23"/>
        <v>1245002.1467889159</v>
      </c>
      <c r="D94" s="174"/>
      <c r="E94" s="174"/>
      <c r="F94" s="174">
        <f>'Summary Baseline Data'!V107</f>
        <v>270.25232637083781</v>
      </c>
      <c r="G94" s="535">
        <f>(C94*F94*'Underlying Assumptions'!E$11)/'Underlying Assumptions'!E$9</f>
        <v>376888.40498031816</v>
      </c>
      <c r="H94" s="174">
        <f>IF(((F94*C94*'Underlying Assumptions'!$E$11)/'Underlying Assumptions'!$E$9)&lt;('Dynamic Population'!O94+'Underlying Assumptions'!$E$8),((F94*C94*'Underlying Assumptions'!$E$11)/'Underlying Assumptions'!$E$9),('Dynamic Population'!O94+'Underlying Assumptions'!$E$8))</f>
        <v>147747.4</v>
      </c>
      <c r="I94" s="538">
        <f>VLOOKUP(A94+'Effective Capacity'!I$15,'Dynamic Population'!A94:H177,7)</f>
        <v>398677.17167114152</v>
      </c>
      <c r="J94" s="520">
        <f t="shared" si="13"/>
        <v>225.00000000000026</v>
      </c>
      <c r="K94" s="538">
        <f>(C94*J94*365)/'Underlying Assumptions'!E$9</f>
        <v>313780.42979067657</v>
      </c>
      <c r="L94" s="538">
        <f>VLOOKUP(A94+'Effective Capacity'!I$15,'Dynamic Population'!A94:K177,11)</f>
        <v>331920.78244284255</v>
      </c>
      <c r="M94" s="588">
        <f>((G94-K94)*'Underlying Assumptions'!E$13)-SUM($M$14:M93)</f>
        <v>18536625.478649139</v>
      </c>
      <c r="N94" s="538">
        <f t="shared" si="20"/>
        <v>668944537.01020074</v>
      </c>
      <c r="O94" s="499">
        <f>'Summary Baseline Data'!L107</f>
        <v>65498.400000000001</v>
      </c>
      <c r="P94" s="499">
        <f>'Summary Baseline Data'!M107</f>
        <v>5000</v>
      </c>
      <c r="Q94" s="499">
        <f>'Summary Baseline Data'!N107</f>
        <v>4000</v>
      </c>
      <c r="R94" s="500">
        <f>IF('Supply Input'!$I$17='Dynamic Population'!A94,'Supply Input'!$I$12,R93)</f>
        <v>0</v>
      </c>
      <c r="S94" s="500">
        <f>(SUM(O94:R94))*(1-'Water Supply Evaporation'!$I$15)</f>
        <v>70773.48</v>
      </c>
      <c r="T94" s="498">
        <f t="shared" si="24"/>
        <v>313780.42979067657</v>
      </c>
      <c r="U94" s="498">
        <f t="shared" si="16"/>
        <v>-248282.02979067658</v>
      </c>
      <c r="V94" s="563">
        <f t="shared" si="17"/>
        <v>-261147.30244284257</v>
      </c>
      <c r="W94" s="563">
        <f>IF(V94&gt;0,0,(IF(-V94&gt;'Construction Timing'!I$23,'Construction Timing'!I$23,-V94)))</f>
        <v>82249</v>
      </c>
      <c r="X94" s="517">
        <f t="shared" si="18"/>
        <v>0</v>
      </c>
      <c r="Y94" s="499">
        <f t="shared" si="19"/>
        <v>0</v>
      </c>
      <c r="Z94" s="172">
        <f t="shared" si="21"/>
        <v>2088</v>
      </c>
      <c r="AA94" s="390">
        <f t="shared" si="22"/>
        <v>-63107.975189641584</v>
      </c>
    </row>
    <row r="95" spans="1:27" x14ac:dyDescent="0.2">
      <c r="A95" s="388">
        <f t="shared" si="14"/>
        <v>2089</v>
      </c>
      <c r="C95" s="173">
        <f t="shared" si="23"/>
        <v>1280484.7079723999</v>
      </c>
      <c r="D95" s="174"/>
      <c r="E95" s="174"/>
      <c r="F95" s="174">
        <f>'Summary Baseline Data'!V108</f>
        <v>270.25232637083775</v>
      </c>
      <c r="G95" s="535">
        <f>(C95*F95*'Underlying Assumptions'!E$11)/'Underlying Assumptions'!E$9</f>
        <v>387629.72452225711</v>
      </c>
      <c r="H95" s="174">
        <f>IF(((F95*C95*'Underlying Assumptions'!$E$11)/'Underlying Assumptions'!$E$9)&lt;('Dynamic Population'!O95+'Underlying Assumptions'!$E$8),((F95*C95*'Underlying Assumptions'!$E$11)/'Underlying Assumptions'!$E$9),('Dynamic Population'!O95+'Underlying Assumptions'!$E$8))</f>
        <v>147747.4</v>
      </c>
      <c r="I95" s="538">
        <f>VLOOKUP(A95+'Effective Capacity'!I$15,'Dynamic Population'!A95:H178,7)</f>
        <v>410039.47106376902</v>
      </c>
      <c r="J95" s="520">
        <f t="shared" si="13"/>
        <v>225.00000000000026</v>
      </c>
      <c r="K95" s="538">
        <f>(C95*J95*365)/'Underlying Assumptions'!E$9</f>
        <v>322723.1720397108</v>
      </c>
      <c r="L95" s="538">
        <f>VLOOKUP(A95+'Effective Capacity'!I$15,'Dynamic Population'!A95:K178,11)</f>
        <v>341380.52474246355</v>
      </c>
      <c r="M95" s="588">
        <f>((G95-K95)*'Underlying Assumptions'!E$13)-SUM($M$14:M94)</f>
        <v>19064919.304790139</v>
      </c>
      <c r="N95" s="538">
        <f t="shared" si="20"/>
        <v>688009456.31499088</v>
      </c>
      <c r="O95" s="499">
        <f>'Summary Baseline Data'!L108</f>
        <v>65498.400000000001</v>
      </c>
      <c r="P95" s="499">
        <f>'Summary Baseline Data'!M108</f>
        <v>5000</v>
      </c>
      <c r="Q95" s="499">
        <f>'Summary Baseline Data'!N108</f>
        <v>4000</v>
      </c>
      <c r="R95" s="500">
        <f>IF('Supply Input'!$I$17='Dynamic Population'!A95,'Supply Input'!$I$12,R94)</f>
        <v>0</v>
      </c>
      <c r="S95" s="500">
        <f>(SUM(O95:R95))*(1-'Water Supply Evaporation'!$I$15)</f>
        <v>70773.48</v>
      </c>
      <c r="T95" s="498">
        <f t="shared" si="24"/>
        <v>322723.1720397108</v>
      </c>
      <c r="U95" s="498">
        <f t="shared" si="16"/>
        <v>-257224.77203971081</v>
      </c>
      <c r="V95" s="563">
        <f t="shared" si="17"/>
        <v>-270607.04474246356</v>
      </c>
      <c r="W95" s="563">
        <f>IF(V95&gt;0,0,(IF(-V95&gt;'Construction Timing'!I$23,'Construction Timing'!I$23,-V95)))</f>
        <v>82249</v>
      </c>
      <c r="X95" s="517">
        <f t="shared" si="18"/>
        <v>0</v>
      </c>
      <c r="Y95" s="499">
        <f t="shared" si="19"/>
        <v>0</v>
      </c>
      <c r="Z95" s="172">
        <f t="shared" si="21"/>
        <v>2089</v>
      </c>
      <c r="AA95" s="390">
        <f t="shared" si="22"/>
        <v>-64906.552482546307</v>
      </c>
    </row>
    <row r="96" spans="1:27" x14ac:dyDescent="0.2">
      <c r="A96" s="388">
        <f t="shared" si="14"/>
        <v>2090</v>
      </c>
      <c r="C96" s="173">
        <f t="shared" si="23"/>
        <v>1316978.5221496134</v>
      </c>
      <c r="D96" s="174">
        <f>C96</f>
        <v>1316978.5221496134</v>
      </c>
      <c r="E96" s="174">
        <f>'Summary Baseline Data'!D109</f>
        <v>1026919.1540949297</v>
      </c>
      <c r="F96" s="174">
        <f>'Summary Baseline Data'!V109</f>
        <v>270.25232637083781</v>
      </c>
      <c r="G96" s="535">
        <f>(C96*F96*'Underlying Assumptions'!E$11)/'Underlying Assumptions'!E$9</f>
        <v>398677.17167114152</v>
      </c>
      <c r="H96" s="174">
        <f>IF(((F96*C96*'Underlying Assumptions'!$E$11)/'Underlying Assumptions'!$E$9)&lt;('Dynamic Population'!O96+'Underlying Assumptions'!$E$8),((F96*C96*'Underlying Assumptions'!$E$11)/'Underlying Assumptions'!$E$9),('Dynamic Population'!O96+'Underlying Assumptions'!$E$8))</f>
        <v>147747.4</v>
      </c>
      <c r="I96" s="538">
        <f>VLOOKUP(A96+'Effective Capacity'!I$15,'Dynamic Population'!A96:H179,7)</f>
        <v>410039.47106376902</v>
      </c>
      <c r="J96" s="520">
        <f t="shared" si="13"/>
        <v>225.00000000000026</v>
      </c>
      <c r="K96" s="538">
        <f>(C96*J96*365)/'Underlying Assumptions'!E$9</f>
        <v>331920.78244284255</v>
      </c>
      <c r="L96" s="538">
        <f>VLOOKUP(A96+'Effective Capacity'!I$15,'Dynamic Population'!A96:K179,11)</f>
        <v>341380.52474246355</v>
      </c>
      <c r="M96" s="588">
        <f>((G96-K96)*'Underlying Assumptions'!E$13)-SUM($M$14:M95)</f>
        <v>19608269.50497818</v>
      </c>
      <c r="N96" s="538">
        <f t="shared" si="20"/>
        <v>707617725.81996906</v>
      </c>
      <c r="O96" s="499">
        <f>'Summary Baseline Data'!L109</f>
        <v>65498.400000000001</v>
      </c>
      <c r="P96" s="499">
        <f>'Summary Baseline Data'!M109</f>
        <v>5000</v>
      </c>
      <c r="Q96" s="499">
        <f>'Summary Baseline Data'!N109</f>
        <v>4000</v>
      </c>
      <c r="R96" s="500">
        <f>IF('Supply Input'!$I$17='Dynamic Population'!A96,'Supply Input'!$I$12,R95)</f>
        <v>0</v>
      </c>
      <c r="S96" s="500">
        <f>(SUM(O96:R96))*(1-'Water Supply Evaporation'!$I$15)</f>
        <v>70773.48</v>
      </c>
      <c r="T96" s="498">
        <f t="shared" si="24"/>
        <v>331920.78244284255</v>
      </c>
      <c r="U96" s="498">
        <f t="shared" si="16"/>
        <v>-266422.38244284253</v>
      </c>
      <c r="V96" s="563">
        <f t="shared" si="17"/>
        <v>-270607.04474246356</v>
      </c>
      <c r="W96" s="563">
        <f>IF(V96&gt;0,0,(IF(-V96&gt;'Construction Timing'!I$23,'Construction Timing'!I$23,-V96)))</f>
        <v>82249</v>
      </c>
      <c r="X96" s="517">
        <f t="shared" si="18"/>
        <v>0</v>
      </c>
      <c r="Y96" s="499">
        <f t="shared" si="19"/>
        <v>0</v>
      </c>
      <c r="Z96" s="172">
        <f t="shared" si="21"/>
        <v>2090</v>
      </c>
      <c r="AA96" s="390">
        <f t="shared" si="22"/>
        <v>-66756.389228298969</v>
      </c>
    </row>
    <row r="97" spans="1:28" ht="13.5" thickBot="1" x14ac:dyDescent="0.25">
      <c r="A97" s="527">
        <f t="shared" si="14"/>
        <v>2091</v>
      </c>
      <c r="C97" s="173">
        <f t="shared" si="23"/>
        <v>1354512.4100308772</v>
      </c>
      <c r="D97" s="174"/>
      <c r="E97" s="174"/>
      <c r="F97" s="174">
        <f>'Summary Baseline Data'!V110</f>
        <v>270.25232637083781</v>
      </c>
      <c r="G97" s="535">
        <f>(C97*F97*'Underlying Assumptions'!E$11)/'Underlying Assumptions'!E$9</f>
        <v>410039.47106376902</v>
      </c>
      <c r="H97" s="174">
        <f>IF(((F97*C97*'Underlying Assumptions'!$E$11)/'Underlying Assumptions'!$E$9)&lt;('Dynamic Population'!O97+'Underlying Assumptions'!$E$8),((F97*C97*'Underlying Assumptions'!$E$11)/'Underlying Assumptions'!$E$9),('Dynamic Population'!O97+'Underlying Assumptions'!$E$8))</f>
        <v>147747.4</v>
      </c>
      <c r="I97" s="538">
        <f>VLOOKUP(A97+'Effective Capacity'!I$15,'Dynamic Population'!A97:H180,7)</f>
        <v>410039.47106376902</v>
      </c>
      <c r="J97" s="520">
        <f t="shared" si="13"/>
        <v>225.00000000000026</v>
      </c>
      <c r="K97" s="538">
        <f>(C97*J97*365)/'Underlying Assumptions'!E$9</f>
        <v>341380.52474246355</v>
      </c>
      <c r="L97" s="538">
        <f>VLOOKUP(A97+'Effective Capacity'!I$15,'Dynamic Population'!A97:K180,11)</f>
        <v>341380.52474246355</v>
      </c>
      <c r="M97" s="588">
        <f>((G97-K97)*'Underlying Assumptions'!E$13)-SUM($M$14:M96)</f>
        <v>20167105.185868979</v>
      </c>
      <c r="N97" s="538">
        <f t="shared" si="20"/>
        <v>727784831.00583804</v>
      </c>
      <c r="O97" s="499">
        <f>'Summary Baseline Data'!L110</f>
        <v>65498.400000000001</v>
      </c>
      <c r="P97" s="499">
        <f>'Summary Baseline Data'!M110</f>
        <v>5000</v>
      </c>
      <c r="Q97" s="499">
        <f>'Summary Baseline Data'!N110</f>
        <v>4000</v>
      </c>
      <c r="R97" s="500">
        <f>IF('Supply Input'!$I$17='Dynamic Population'!A97,'Supply Input'!$I$12,R96)</f>
        <v>0</v>
      </c>
      <c r="S97" s="500">
        <f>(SUM(O97:R97))*(1-'Water Supply Evaporation'!$I$15)</f>
        <v>70773.48</v>
      </c>
      <c r="T97" s="498">
        <f t="shared" si="24"/>
        <v>341380.52474246355</v>
      </c>
      <c r="U97" s="498">
        <f t="shared" si="16"/>
        <v>-275882.12474246352</v>
      </c>
      <c r="V97" s="563">
        <f t="shared" si="17"/>
        <v>-270607.04474246356</v>
      </c>
      <c r="W97" s="563">
        <f>IF(V97&gt;0,0,(IF(-V97&gt;'Construction Timing'!I$23,'Construction Timing'!I$23,-V97)))</f>
        <v>82249</v>
      </c>
      <c r="X97" s="517">
        <f t="shared" si="18"/>
        <v>0</v>
      </c>
      <c r="Y97" s="499">
        <f t="shared" si="19"/>
        <v>0</v>
      </c>
      <c r="Z97" s="172">
        <f t="shared" si="21"/>
        <v>2091</v>
      </c>
      <c r="AA97" s="390">
        <f t="shared" si="22"/>
        <v>-68658.94632130547</v>
      </c>
    </row>
    <row r="98" spans="1:28" ht="15.75" thickBot="1" x14ac:dyDescent="0.25">
      <c r="A98" s="525" t="s">
        <v>81</v>
      </c>
      <c r="B98" s="189"/>
      <c r="C98" s="391"/>
      <c r="D98" s="391"/>
      <c r="E98" s="391"/>
      <c r="F98" s="391"/>
      <c r="G98" s="536"/>
      <c r="H98" s="391"/>
      <c r="I98" s="469"/>
      <c r="J98" s="429"/>
      <c r="K98" s="469"/>
      <c r="L98" s="469"/>
      <c r="M98" s="589"/>
      <c r="N98" s="469"/>
      <c r="O98" s="429"/>
      <c r="P98" s="429"/>
      <c r="Q98" s="429"/>
      <c r="R98" s="429"/>
      <c r="S98" s="429"/>
      <c r="T98" s="391"/>
      <c r="U98" s="429"/>
      <c r="V98" s="429"/>
      <c r="W98" s="429"/>
      <c r="X98" s="117"/>
      <c r="Y98" s="117"/>
      <c r="Z98" s="189"/>
      <c r="AA98" s="392"/>
    </row>
    <row r="99" spans="1:28" x14ac:dyDescent="0.2">
      <c r="C99" s="174"/>
      <c r="D99" s="174"/>
      <c r="E99" s="174"/>
      <c r="F99" s="174"/>
      <c r="H99" s="174"/>
      <c r="J99" s="174"/>
      <c r="O99" s="174"/>
      <c r="P99" s="174"/>
      <c r="Q99" s="174"/>
      <c r="R99" s="174"/>
      <c r="S99" s="174"/>
      <c r="T99" s="174"/>
      <c r="U99" s="174"/>
      <c r="V99" s="174"/>
      <c r="W99" s="174"/>
    </row>
    <row r="100" spans="1:28" x14ac:dyDescent="0.2">
      <c r="C100" s="174"/>
      <c r="D100" s="174"/>
      <c r="E100" s="174"/>
      <c r="F100" s="174"/>
      <c r="H100" s="174"/>
      <c r="J100" s="174"/>
      <c r="O100" s="174"/>
      <c r="P100" s="174"/>
      <c r="Q100" s="174"/>
      <c r="R100" s="174"/>
      <c r="S100" s="174"/>
      <c r="T100" s="174"/>
      <c r="U100" s="174"/>
      <c r="V100" s="174"/>
      <c r="W100" s="174"/>
    </row>
    <row r="101" spans="1:28" x14ac:dyDescent="0.2">
      <c r="C101" s="174"/>
      <c r="D101" s="174"/>
      <c r="E101" s="174"/>
      <c r="F101" s="174"/>
      <c r="H101" s="174"/>
      <c r="J101" s="174"/>
      <c r="O101" s="174"/>
      <c r="P101" s="174"/>
      <c r="Q101" s="174"/>
      <c r="R101" s="174"/>
      <c r="S101" s="174"/>
      <c r="T101" s="174"/>
      <c r="U101" s="174"/>
      <c r="V101" s="174"/>
      <c r="W101" s="174"/>
    </row>
    <row r="102" spans="1:28" x14ac:dyDescent="0.2">
      <c r="C102" s="174"/>
      <c r="D102" s="174"/>
      <c r="E102" s="174"/>
      <c r="F102" s="174"/>
      <c r="H102" s="174"/>
      <c r="J102" s="174"/>
      <c r="O102" s="174"/>
      <c r="P102" s="174"/>
      <c r="Q102" s="174"/>
      <c r="R102" s="174"/>
      <c r="S102" s="174"/>
      <c r="T102" s="174"/>
      <c r="U102" s="174"/>
      <c r="V102" s="174"/>
      <c r="W102" s="174"/>
    </row>
    <row r="103" spans="1:28" x14ac:dyDescent="0.2">
      <c r="C103" s="174"/>
      <c r="D103" s="174"/>
      <c r="E103" s="174"/>
      <c r="F103" s="174"/>
      <c r="H103" s="174"/>
      <c r="J103" s="174"/>
      <c r="O103" s="174"/>
      <c r="P103" s="174"/>
      <c r="Q103" s="174"/>
      <c r="R103" s="174"/>
      <c r="S103" s="174"/>
      <c r="T103" s="174"/>
      <c r="U103" s="174"/>
      <c r="V103" s="174"/>
      <c r="W103" s="174"/>
    </row>
    <row r="104" spans="1:28" x14ac:dyDescent="0.2">
      <c r="C104" s="174"/>
      <c r="D104" s="174"/>
      <c r="E104" s="174"/>
      <c r="F104" s="174"/>
      <c r="H104" s="174"/>
      <c r="J104" s="174"/>
      <c r="O104" s="174"/>
      <c r="P104" s="174"/>
      <c r="Q104" s="174"/>
      <c r="R104" s="174"/>
      <c r="S104" s="174"/>
      <c r="T104" s="174"/>
      <c r="U104" s="174"/>
      <c r="V104" s="174"/>
      <c r="W104" s="174"/>
    </row>
    <row r="105" spans="1:28" x14ac:dyDescent="0.2">
      <c r="C105" s="174"/>
      <c r="D105" s="174"/>
      <c r="E105" s="174"/>
      <c r="F105" s="174"/>
      <c r="H105" s="174"/>
      <c r="J105" s="174"/>
      <c r="O105" s="174"/>
      <c r="P105" s="174"/>
      <c r="Q105" s="174"/>
      <c r="R105" s="174"/>
      <c r="S105" s="174"/>
      <c r="T105" s="174"/>
      <c r="U105" s="174"/>
      <c r="V105" s="174"/>
      <c r="W105" s="174"/>
      <c r="X105" s="174"/>
      <c r="Y105" s="174"/>
      <c r="Z105" s="174"/>
      <c r="AA105" s="174"/>
      <c r="AB105" s="174"/>
    </row>
  </sheetData>
  <mergeCells count="3">
    <mergeCell ref="A4:AA4"/>
    <mergeCell ref="A5:AA5"/>
    <mergeCell ref="C12:AA12"/>
  </mergeCells>
  <pageMargins left="0.7" right="0.7" top="0.75" bottom="0.75" header="0.3" footer="0.3"/>
  <pageSetup paperSize="17" scale="57" fitToHeight="0" orientation="landscape" r:id="rId1"/>
  <headerFooter>
    <oddFooter xml:space="preserve">&amp;L&amp;"-,Bold"&amp;9This is a preliminary draft document. It is intended for discussion purposes only.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0"/>
  <sheetViews>
    <sheetView view="pageBreakPreview" topLeftCell="A3" zoomScaleNormal="100" zoomScaleSheetLayoutView="100" zoomScalePageLayoutView="40" workbookViewId="0">
      <selection activeCell="A60" sqref="A60:A62"/>
    </sheetView>
  </sheetViews>
  <sheetFormatPr defaultRowHeight="12.75" x14ac:dyDescent="0.2"/>
  <cols>
    <col min="1" max="1" width="9.28515625" style="5" bestFit="1" customWidth="1"/>
    <col min="2" max="2" width="9.140625" style="5" hidden="1" customWidth="1"/>
    <col min="3" max="3" width="15" style="5" customWidth="1"/>
    <col min="4" max="7" width="14.85546875" style="5" bestFit="1" customWidth="1"/>
    <col min="8" max="8" width="15.5703125" style="5" bestFit="1" customWidth="1"/>
    <col min="9" max="10" width="16.140625" style="5" bestFit="1" customWidth="1"/>
    <col min="11" max="16384" width="9.140625" style="5"/>
  </cols>
  <sheetData>
    <row r="1" spans="1:10" x14ac:dyDescent="0.2">
      <c r="A1" s="121" t="s">
        <v>64</v>
      </c>
      <c r="B1" s="122"/>
      <c r="C1" s="122"/>
      <c r="D1" s="122"/>
      <c r="E1" s="123"/>
    </row>
    <row r="2" spans="1:10" x14ac:dyDescent="0.2">
      <c r="A2" s="124" t="s">
        <v>44</v>
      </c>
      <c r="B2" s="125"/>
      <c r="C2" s="125"/>
      <c r="D2" s="125"/>
      <c r="E2" s="126"/>
    </row>
    <row r="3" spans="1:10" s="118" customFormat="1" ht="15" customHeight="1" x14ac:dyDescent="0.2">
      <c r="A3" s="944" t="s">
        <v>42</v>
      </c>
      <c r="B3" s="945"/>
      <c r="C3" s="945"/>
      <c r="D3" s="945"/>
      <c r="E3" s="945"/>
      <c r="F3" s="945"/>
      <c r="G3" s="945"/>
      <c r="H3" s="945"/>
      <c r="I3" s="945"/>
      <c r="J3" s="945"/>
    </row>
    <row r="4" spans="1:10" s="118" customFormat="1" ht="15" customHeight="1" thickBot="1" x14ac:dyDescent="0.25">
      <c r="A4" s="946" t="s">
        <v>45</v>
      </c>
      <c r="B4" s="935"/>
      <c r="C4" s="935"/>
      <c r="D4" s="935"/>
      <c r="E4" s="935"/>
      <c r="F4" s="935"/>
      <c r="G4" s="935"/>
      <c r="H4" s="935"/>
      <c r="I4" s="935"/>
      <c r="J4" s="935"/>
    </row>
    <row r="5" spans="1:10" ht="13.5" thickBot="1" x14ac:dyDescent="0.25">
      <c r="A5" s="947" t="s">
        <v>41</v>
      </c>
      <c r="B5" s="948"/>
      <c r="C5" s="949"/>
      <c r="D5" s="947" t="str">
        <f>'Dynamic Assumptions'!G6</f>
        <v>Per New Resident Cost of Additional Capacity</v>
      </c>
      <c r="E5" s="948"/>
      <c r="F5" s="949"/>
      <c r="G5" s="119"/>
      <c r="H5" s="119"/>
      <c r="I5" s="119"/>
      <c r="J5" s="119"/>
    </row>
    <row r="6" spans="1:10" s="114" customFormat="1" ht="13.5" thickBot="1" x14ac:dyDescent="0.25">
      <c r="G6" s="5"/>
      <c r="H6" s="5"/>
      <c r="I6" s="5"/>
      <c r="J6" s="5"/>
    </row>
    <row r="7" spans="1:10" s="114" customFormat="1" ht="13.5" thickBot="1" x14ac:dyDescent="0.25">
      <c r="A7" s="106"/>
      <c r="B7" s="116"/>
      <c r="C7" s="950" t="s">
        <v>7</v>
      </c>
      <c r="D7" s="950"/>
      <c r="E7" s="950"/>
      <c r="F7" s="950"/>
      <c r="G7" s="950"/>
      <c r="H7" s="950"/>
      <c r="I7" s="950"/>
      <c r="J7" s="950"/>
    </row>
    <row r="8" spans="1:10" s="183" customFormat="1" ht="31.5" customHeight="1" thickBot="1" x14ac:dyDescent="0.25">
      <c r="B8" s="201"/>
      <c r="C8" s="938" t="s">
        <v>82</v>
      </c>
      <c r="D8" s="939"/>
      <c r="E8" s="939"/>
      <c r="F8" s="940"/>
      <c r="G8" s="941" t="s">
        <v>83</v>
      </c>
      <c r="H8" s="942"/>
      <c r="I8" s="942"/>
      <c r="J8" s="943"/>
    </row>
    <row r="9" spans="1:10" ht="13.5" thickBot="1" x14ac:dyDescent="0.25">
      <c r="A9" s="115" t="s">
        <v>10</v>
      </c>
      <c r="B9" s="117">
        <v>1</v>
      </c>
      <c r="C9" s="167">
        <f>'Economist Financing Model 1'!C5</f>
        <v>0.03</v>
      </c>
      <c r="D9" s="168">
        <f>'Economist Financing Model 1'!I5</f>
        <v>0.04</v>
      </c>
      <c r="E9" s="168">
        <f>'Economist Financing Model 1'!O5</f>
        <v>0.05</v>
      </c>
      <c r="F9" s="169">
        <f>'Economist Financing Model 1'!U5</f>
        <v>7.0000000000000007E-2</v>
      </c>
      <c r="G9" s="164">
        <f>'Economist Financing Model 2'!C5</f>
        <v>0.03</v>
      </c>
      <c r="H9" s="165">
        <f>'Economist Financing Model 2'!J5</f>
        <v>0.04</v>
      </c>
      <c r="I9" s="165">
        <f>'Economist Financing Model 2'!Q5</f>
        <v>0.05</v>
      </c>
      <c r="J9" s="166">
        <f>'Economist Financing Model 2'!X5</f>
        <v>7.0000000000000007E-2</v>
      </c>
    </row>
    <row r="10" spans="1:10" x14ac:dyDescent="0.2">
      <c r="A10" s="105">
        <f>'Summary Baseline Data'!A9</f>
        <v>1990</v>
      </c>
      <c r="B10" s="105">
        <v>2</v>
      </c>
      <c r="C10" s="107">
        <f>HLOOKUP($D$5,'Economist Financing Model 1'!$C$6:$H$79,B10,)</f>
        <v>0</v>
      </c>
      <c r="D10" s="108">
        <f>HLOOKUP($D$5,'Economist Financing Model 1'!$I$6:$N$80,B10,FALSE)</f>
        <v>0</v>
      </c>
      <c r="E10" s="108">
        <f>HLOOKUP($D$5,'Economist Financing Model 1'!$O$6:$T$80,B10,FALSE)</f>
        <v>0</v>
      </c>
      <c r="F10" s="109">
        <f>HLOOKUP($D$5,'Economist Financing Model 1'!$U$6:$Z$80,B10,FALSE)</f>
        <v>0</v>
      </c>
      <c r="G10" s="107">
        <f>HLOOKUP($D$5,'Economist Financing Model 2'!$C$68:$I$143,B10,FALSE)</f>
        <v>0</v>
      </c>
      <c r="H10" s="108">
        <f>HLOOKUP($D$5,'Economist Financing Model 2'!$J$68:$P$144,B10,FALSE)</f>
        <v>0</v>
      </c>
      <c r="I10" s="108">
        <f>HLOOKUP($D$5,'Economist Financing Model 2'!$Q$68:$W$144,B10,FALSE)</f>
        <v>0</v>
      </c>
      <c r="J10" s="109">
        <f>HLOOKUP($D$5,'Economist Financing Model 2'!$X$68:$AD$144,B10,FALSE)</f>
        <v>0</v>
      </c>
    </row>
    <row r="11" spans="1:10" x14ac:dyDescent="0.2">
      <c r="A11" s="105">
        <f>'Summary Baseline Data'!A10</f>
        <v>1991</v>
      </c>
      <c r="B11" s="105">
        <v>3</v>
      </c>
      <c r="C11" s="107">
        <f>HLOOKUP($D$5,'Economist Financing Model 1'!$C$6:$H$79,B11,)</f>
        <v>0</v>
      </c>
      <c r="D11" s="108">
        <f>HLOOKUP($D$5,'Economist Financing Model 1'!$I$6:$N$80,B11,FALSE)</f>
        <v>0</v>
      </c>
      <c r="E11" s="108">
        <f>HLOOKUP($D$5,'Economist Financing Model 1'!$O$6:$T$80,B11,FALSE)</f>
        <v>0</v>
      </c>
      <c r="F11" s="109">
        <f>HLOOKUP($D$5,'Economist Financing Model 1'!$U$6:$Z$80,B11,FALSE)</f>
        <v>0</v>
      </c>
      <c r="G11" s="107">
        <f>HLOOKUP($D$5,'Economist Financing Model 2'!$C$68:$I$143,B11,FALSE)</f>
        <v>0</v>
      </c>
      <c r="H11" s="108">
        <f>HLOOKUP($D$5,'Economist Financing Model 2'!$J$68:$P$144,B11,FALSE)</f>
        <v>0</v>
      </c>
      <c r="I11" s="108">
        <f>HLOOKUP($D$5,'Economist Financing Model 2'!$Q$68:$W$144,B11,FALSE)</f>
        <v>0</v>
      </c>
      <c r="J11" s="109">
        <f>HLOOKUP($D$5,'Economist Financing Model 2'!$X$68:$AD$144,B11,FALSE)</f>
        <v>0</v>
      </c>
    </row>
    <row r="12" spans="1:10" x14ac:dyDescent="0.2">
      <c r="A12" s="105">
        <f>'Summary Baseline Data'!A11</f>
        <v>1992</v>
      </c>
      <c r="B12" s="105">
        <v>4</v>
      </c>
      <c r="C12" s="107">
        <f>HLOOKUP($D$5,'Economist Financing Model 1'!$C$6:$H$79,B12,)</f>
        <v>0</v>
      </c>
      <c r="D12" s="108">
        <f>HLOOKUP($D$5,'Economist Financing Model 1'!$I$6:$N$80,B12,FALSE)</f>
        <v>0</v>
      </c>
      <c r="E12" s="108">
        <f>HLOOKUP($D$5,'Economist Financing Model 1'!$O$6:$T$80,B12,FALSE)</f>
        <v>0</v>
      </c>
      <c r="F12" s="109">
        <f>HLOOKUP($D$5,'Economist Financing Model 1'!$U$6:$Z$80,B12,FALSE)</f>
        <v>0</v>
      </c>
      <c r="G12" s="107">
        <f>HLOOKUP($D$5,'Economist Financing Model 2'!$C$68:$I$143,B12,FALSE)</f>
        <v>0</v>
      </c>
      <c r="H12" s="108">
        <f>HLOOKUP($D$5,'Economist Financing Model 2'!$J$68:$P$144,B12,FALSE)</f>
        <v>0</v>
      </c>
      <c r="I12" s="108">
        <f>HLOOKUP($D$5,'Economist Financing Model 2'!$Q$68:$W$144,B12,FALSE)</f>
        <v>0</v>
      </c>
      <c r="J12" s="109">
        <f>HLOOKUP($D$5,'Economist Financing Model 2'!$X$68:$AD$144,B12,FALSE)</f>
        <v>0</v>
      </c>
    </row>
    <row r="13" spans="1:10" x14ac:dyDescent="0.2">
      <c r="A13" s="105">
        <f>'Summary Baseline Data'!A12</f>
        <v>1993</v>
      </c>
      <c r="B13" s="105">
        <v>5</v>
      </c>
      <c r="C13" s="107">
        <f>HLOOKUP($D$5,'Economist Financing Model 1'!$C$6:$H$79,B13,)</f>
        <v>0</v>
      </c>
      <c r="D13" s="108">
        <f>HLOOKUP($D$5,'Economist Financing Model 1'!$I$6:$N$80,B13,FALSE)</f>
        <v>0</v>
      </c>
      <c r="E13" s="108">
        <f>HLOOKUP($D$5,'Economist Financing Model 1'!$O$6:$T$80,B13,FALSE)</f>
        <v>0</v>
      </c>
      <c r="F13" s="109">
        <f>HLOOKUP($D$5,'Economist Financing Model 1'!$U$6:$Z$80,B13,FALSE)</f>
        <v>0</v>
      </c>
      <c r="G13" s="107">
        <f>HLOOKUP($D$5,'Economist Financing Model 2'!$C$68:$I$143,B13,FALSE)</f>
        <v>0</v>
      </c>
      <c r="H13" s="108">
        <f>HLOOKUP($D$5,'Economist Financing Model 2'!$J$68:$P$144,B13,FALSE)</f>
        <v>0</v>
      </c>
      <c r="I13" s="108">
        <f>HLOOKUP($D$5,'Economist Financing Model 2'!$Q$68:$W$144,B13,FALSE)</f>
        <v>0</v>
      </c>
      <c r="J13" s="109">
        <f>HLOOKUP($D$5,'Economist Financing Model 2'!$X$68:$AD$144,B13,FALSE)</f>
        <v>0</v>
      </c>
    </row>
    <row r="14" spans="1:10" x14ac:dyDescent="0.2">
      <c r="A14" s="105">
        <f>'Summary Baseline Data'!A13</f>
        <v>1994</v>
      </c>
      <c r="B14" s="105">
        <v>6</v>
      </c>
      <c r="C14" s="107">
        <f>HLOOKUP($D$5,'Economist Financing Model 1'!$C$6:$H$79,B14,)</f>
        <v>0</v>
      </c>
      <c r="D14" s="108">
        <f>HLOOKUP($D$5,'Economist Financing Model 1'!$I$6:$N$80,B14,FALSE)</f>
        <v>0</v>
      </c>
      <c r="E14" s="108">
        <f>HLOOKUP($D$5,'Economist Financing Model 1'!$O$6:$T$80,B14,FALSE)</f>
        <v>0</v>
      </c>
      <c r="F14" s="109">
        <f>HLOOKUP($D$5,'Economist Financing Model 1'!$U$6:$Z$80,B14,FALSE)</f>
        <v>0</v>
      </c>
      <c r="G14" s="107">
        <f>HLOOKUP($D$5,'Economist Financing Model 2'!$C$68:$I$143,B14,FALSE)</f>
        <v>0</v>
      </c>
      <c r="H14" s="108">
        <f>HLOOKUP($D$5,'Economist Financing Model 2'!$J$68:$P$144,B14,FALSE)</f>
        <v>0</v>
      </c>
      <c r="I14" s="108">
        <f>HLOOKUP($D$5,'Economist Financing Model 2'!$Q$68:$W$144,B14,FALSE)</f>
        <v>0</v>
      </c>
      <c r="J14" s="109">
        <f>HLOOKUP($D$5,'Economist Financing Model 2'!$X$68:$AD$144,B14,FALSE)</f>
        <v>0</v>
      </c>
    </row>
    <row r="15" spans="1:10" x14ac:dyDescent="0.2">
      <c r="A15" s="105">
        <f>'Summary Baseline Data'!A14</f>
        <v>1995</v>
      </c>
      <c r="B15" s="105">
        <v>7</v>
      </c>
      <c r="C15" s="107">
        <f>HLOOKUP($D$5,'Economist Financing Model 1'!$C$6:$H$79,B15,)</f>
        <v>0</v>
      </c>
      <c r="D15" s="108">
        <f>HLOOKUP($D$5,'Economist Financing Model 1'!$I$6:$N$80,B15,FALSE)</f>
        <v>0</v>
      </c>
      <c r="E15" s="108">
        <f>HLOOKUP($D$5,'Economist Financing Model 1'!$O$6:$T$80,B15,FALSE)</f>
        <v>0</v>
      </c>
      <c r="F15" s="109">
        <f>HLOOKUP($D$5,'Economist Financing Model 1'!$U$6:$Z$80,B15,FALSE)</f>
        <v>0</v>
      </c>
      <c r="G15" s="107">
        <f>HLOOKUP($D$5,'Economist Financing Model 2'!$C$68:$I$143,B15,FALSE)</f>
        <v>0</v>
      </c>
      <c r="H15" s="108">
        <f>HLOOKUP($D$5,'Economist Financing Model 2'!$J$68:$P$144,B15,FALSE)</f>
        <v>0</v>
      </c>
      <c r="I15" s="108">
        <f>HLOOKUP($D$5,'Economist Financing Model 2'!$Q$68:$W$144,B15,FALSE)</f>
        <v>0</v>
      </c>
      <c r="J15" s="109">
        <f>HLOOKUP($D$5,'Economist Financing Model 2'!$X$68:$AD$144,B15,FALSE)</f>
        <v>0</v>
      </c>
    </row>
    <row r="16" spans="1:10" x14ac:dyDescent="0.2">
      <c r="A16" s="105">
        <f>'Summary Baseline Data'!A15</f>
        <v>1996</v>
      </c>
      <c r="B16" s="105">
        <v>8</v>
      </c>
      <c r="C16" s="107">
        <f>HLOOKUP($D$5,'Economist Financing Model 1'!$C$6:$H$79,B16,)</f>
        <v>0</v>
      </c>
      <c r="D16" s="108">
        <f>HLOOKUP($D$5,'Economist Financing Model 1'!$I$6:$N$80,B16,FALSE)</f>
        <v>0</v>
      </c>
      <c r="E16" s="108">
        <f>HLOOKUP($D$5,'Economist Financing Model 1'!$O$6:$T$80,B16,FALSE)</f>
        <v>0</v>
      </c>
      <c r="F16" s="109">
        <f>HLOOKUP($D$5,'Economist Financing Model 1'!$U$6:$Z$80,B16,FALSE)</f>
        <v>0</v>
      </c>
      <c r="G16" s="107">
        <f>HLOOKUP($D$5,'Economist Financing Model 2'!$C$68:$I$143,B16,FALSE)</f>
        <v>0</v>
      </c>
      <c r="H16" s="108">
        <f>HLOOKUP($D$5,'Economist Financing Model 2'!$J$68:$P$144,B16,FALSE)</f>
        <v>0</v>
      </c>
      <c r="I16" s="108">
        <f>HLOOKUP($D$5,'Economist Financing Model 2'!$Q$68:$W$144,B16,FALSE)</f>
        <v>0</v>
      </c>
      <c r="J16" s="109">
        <f>HLOOKUP($D$5,'Economist Financing Model 2'!$X$68:$AD$144,B16,FALSE)</f>
        <v>0</v>
      </c>
    </row>
    <row r="17" spans="1:10" x14ac:dyDescent="0.2">
      <c r="A17" s="105">
        <f>'Summary Baseline Data'!A16</f>
        <v>1997</v>
      </c>
      <c r="B17" s="105">
        <v>9</v>
      </c>
      <c r="C17" s="107">
        <f>HLOOKUP($D$5,'Economist Financing Model 1'!$C$6:$H$79,B17,)</f>
        <v>0</v>
      </c>
      <c r="D17" s="108">
        <f>HLOOKUP($D$5,'Economist Financing Model 1'!$I$6:$N$80,B17,FALSE)</f>
        <v>0</v>
      </c>
      <c r="E17" s="108">
        <f>HLOOKUP($D$5,'Economist Financing Model 1'!$O$6:$T$80,B17,FALSE)</f>
        <v>0</v>
      </c>
      <c r="F17" s="109">
        <f>HLOOKUP($D$5,'Economist Financing Model 1'!$U$6:$Z$80,B17,FALSE)</f>
        <v>0</v>
      </c>
      <c r="G17" s="107">
        <f>HLOOKUP($D$5,'Economist Financing Model 2'!$C$68:$I$143,B17,FALSE)</f>
        <v>0</v>
      </c>
      <c r="H17" s="108">
        <f>HLOOKUP($D$5,'Economist Financing Model 2'!$J$68:$P$144,B17,FALSE)</f>
        <v>0</v>
      </c>
      <c r="I17" s="108">
        <f>HLOOKUP($D$5,'Economist Financing Model 2'!$Q$68:$W$144,B17,FALSE)</f>
        <v>0</v>
      </c>
      <c r="J17" s="109">
        <f>HLOOKUP($D$5,'Economist Financing Model 2'!$X$68:$AD$144,B17,FALSE)</f>
        <v>0</v>
      </c>
    </row>
    <row r="18" spans="1:10" x14ac:dyDescent="0.2">
      <c r="A18" s="105">
        <f>'Summary Baseline Data'!A17</f>
        <v>1998</v>
      </c>
      <c r="B18" s="105">
        <v>10</v>
      </c>
      <c r="C18" s="107">
        <f>HLOOKUP($D$5,'Economist Financing Model 1'!$C$6:$H$79,B18,)</f>
        <v>0</v>
      </c>
      <c r="D18" s="108">
        <f>HLOOKUP($D$5,'Economist Financing Model 1'!$I$6:$N$80,B18,FALSE)</f>
        <v>0</v>
      </c>
      <c r="E18" s="108">
        <f>HLOOKUP($D$5,'Economist Financing Model 1'!$O$6:$T$80,B18,FALSE)</f>
        <v>0</v>
      </c>
      <c r="F18" s="109">
        <f>HLOOKUP($D$5,'Economist Financing Model 1'!$U$6:$Z$80,B18,FALSE)</f>
        <v>0</v>
      </c>
      <c r="G18" s="107">
        <f>HLOOKUP($D$5,'Economist Financing Model 2'!$C$68:$I$143,B18,FALSE)</f>
        <v>0</v>
      </c>
      <c r="H18" s="108">
        <f>HLOOKUP($D$5,'Economist Financing Model 2'!$J$68:$P$144,B18,FALSE)</f>
        <v>0</v>
      </c>
      <c r="I18" s="108">
        <f>HLOOKUP($D$5,'Economist Financing Model 2'!$Q$68:$W$144,B18,FALSE)</f>
        <v>0</v>
      </c>
      <c r="J18" s="109">
        <f>HLOOKUP($D$5,'Economist Financing Model 2'!$X$68:$AD$144,B18,FALSE)</f>
        <v>0</v>
      </c>
    </row>
    <row r="19" spans="1:10" x14ac:dyDescent="0.2">
      <c r="A19" s="105">
        <f>'Summary Baseline Data'!A18</f>
        <v>1999</v>
      </c>
      <c r="B19" s="105">
        <v>11</v>
      </c>
      <c r="C19" s="107">
        <f>HLOOKUP($D$5,'Economist Financing Model 1'!$C$6:$H$79,B19,)</f>
        <v>0</v>
      </c>
      <c r="D19" s="108">
        <f>HLOOKUP($D$5,'Economist Financing Model 1'!$I$6:$N$80,B19,FALSE)</f>
        <v>0</v>
      </c>
      <c r="E19" s="108">
        <f>HLOOKUP($D$5,'Economist Financing Model 1'!$O$6:$T$80,B19,FALSE)</f>
        <v>0</v>
      </c>
      <c r="F19" s="109">
        <f>HLOOKUP($D$5,'Economist Financing Model 1'!$U$6:$Z$80,B19,FALSE)</f>
        <v>0</v>
      </c>
      <c r="G19" s="107">
        <f>HLOOKUP($D$5,'Economist Financing Model 2'!$C$68:$I$143,B19,FALSE)</f>
        <v>0</v>
      </c>
      <c r="H19" s="108">
        <f>HLOOKUP($D$5,'Economist Financing Model 2'!$J$68:$P$144,B19,FALSE)</f>
        <v>0</v>
      </c>
      <c r="I19" s="108">
        <f>HLOOKUP($D$5,'Economist Financing Model 2'!$Q$68:$W$144,B19,FALSE)</f>
        <v>0</v>
      </c>
      <c r="J19" s="109">
        <f>HLOOKUP($D$5,'Economist Financing Model 2'!$X$68:$AD$144,B19,FALSE)</f>
        <v>0</v>
      </c>
    </row>
    <row r="20" spans="1:10" x14ac:dyDescent="0.2">
      <c r="A20" s="105">
        <f>'Summary Baseline Data'!A19</f>
        <v>2000</v>
      </c>
      <c r="B20" s="105">
        <v>12</v>
      </c>
      <c r="C20" s="107">
        <f>HLOOKUP($D$5,'Economist Financing Model 1'!$C$6:$H$79,B20,)</f>
        <v>0</v>
      </c>
      <c r="D20" s="108">
        <f>HLOOKUP($D$5,'Economist Financing Model 1'!$I$6:$N$80,B20,FALSE)</f>
        <v>0</v>
      </c>
      <c r="E20" s="108">
        <f>HLOOKUP($D$5,'Economist Financing Model 1'!$O$6:$T$80,B20,FALSE)</f>
        <v>0</v>
      </c>
      <c r="F20" s="109">
        <f>HLOOKUP($D$5,'Economist Financing Model 1'!$U$6:$Z$80,B20,FALSE)</f>
        <v>0</v>
      </c>
      <c r="G20" s="107">
        <f>HLOOKUP($D$5,'Economist Financing Model 2'!$C$68:$I$143,B20,FALSE)</f>
        <v>0</v>
      </c>
      <c r="H20" s="108">
        <f>HLOOKUP($D$5,'Economist Financing Model 2'!$J$68:$P$144,B20,FALSE)</f>
        <v>0</v>
      </c>
      <c r="I20" s="108">
        <f>HLOOKUP($D$5,'Economist Financing Model 2'!$Q$68:$W$144,B20,FALSE)</f>
        <v>0</v>
      </c>
      <c r="J20" s="109">
        <f>HLOOKUP($D$5,'Economist Financing Model 2'!$X$68:$AD$144,B20,FALSE)</f>
        <v>0</v>
      </c>
    </row>
    <row r="21" spans="1:10" x14ac:dyDescent="0.2">
      <c r="A21" s="105">
        <f>'Summary Baseline Data'!A20</f>
        <v>2001</v>
      </c>
      <c r="B21" s="105">
        <v>13</v>
      </c>
      <c r="C21" s="107">
        <f>HLOOKUP($D$5,'Economist Financing Model 1'!$C$6:$H$79,B21,)</f>
        <v>0</v>
      </c>
      <c r="D21" s="108">
        <f>HLOOKUP($D$5,'Economist Financing Model 1'!$I$6:$N$80,B21,FALSE)</f>
        <v>0</v>
      </c>
      <c r="E21" s="108">
        <f>HLOOKUP($D$5,'Economist Financing Model 1'!$O$6:$T$80,B21,FALSE)</f>
        <v>0</v>
      </c>
      <c r="F21" s="109">
        <f>HLOOKUP($D$5,'Economist Financing Model 1'!$U$6:$Z$80,B21,FALSE)</f>
        <v>0</v>
      </c>
      <c r="G21" s="107">
        <f>HLOOKUP($D$5,'Economist Financing Model 2'!$C$68:$I$143,B21,FALSE)</f>
        <v>0</v>
      </c>
      <c r="H21" s="108">
        <f>HLOOKUP($D$5,'Economist Financing Model 2'!$J$68:$P$144,B21,FALSE)</f>
        <v>0</v>
      </c>
      <c r="I21" s="108">
        <f>HLOOKUP($D$5,'Economist Financing Model 2'!$Q$68:$W$144,B21,FALSE)</f>
        <v>0</v>
      </c>
      <c r="J21" s="109">
        <f>HLOOKUP($D$5,'Economist Financing Model 2'!$X$68:$AD$144,B21,FALSE)</f>
        <v>0</v>
      </c>
    </row>
    <row r="22" spans="1:10" x14ac:dyDescent="0.2">
      <c r="A22" s="105">
        <f>'Summary Baseline Data'!A21</f>
        <v>2002</v>
      </c>
      <c r="B22" s="105">
        <v>14</v>
      </c>
      <c r="C22" s="107">
        <f>HLOOKUP($D$5,'Economist Financing Model 1'!$C$6:$H$79,B22,)</f>
        <v>0</v>
      </c>
      <c r="D22" s="108">
        <f>HLOOKUP($D$5,'Economist Financing Model 1'!$I$6:$N$80,B22,FALSE)</f>
        <v>0</v>
      </c>
      <c r="E22" s="108">
        <f>HLOOKUP($D$5,'Economist Financing Model 1'!$O$6:$T$80,B22,FALSE)</f>
        <v>0</v>
      </c>
      <c r="F22" s="109">
        <f>HLOOKUP($D$5,'Economist Financing Model 1'!$U$6:$Z$80,B22,FALSE)</f>
        <v>0</v>
      </c>
      <c r="G22" s="107">
        <f>HLOOKUP($D$5,'Economist Financing Model 2'!$C$68:$I$143,B22,FALSE)</f>
        <v>0</v>
      </c>
      <c r="H22" s="108">
        <f>HLOOKUP($D$5,'Economist Financing Model 2'!$J$68:$P$144,B22,FALSE)</f>
        <v>0</v>
      </c>
      <c r="I22" s="108">
        <f>HLOOKUP($D$5,'Economist Financing Model 2'!$Q$68:$W$144,B22,FALSE)</f>
        <v>0</v>
      </c>
      <c r="J22" s="109">
        <f>HLOOKUP($D$5,'Economist Financing Model 2'!$X$68:$AD$144,B22,FALSE)</f>
        <v>0</v>
      </c>
    </row>
    <row r="23" spans="1:10" x14ac:dyDescent="0.2">
      <c r="A23" s="105">
        <f>'Summary Baseline Data'!A22</f>
        <v>2003</v>
      </c>
      <c r="B23" s="105">
        <v>15</v>
      </c>
      <c r="C23" s="107">
        <f>HLOOKUP($D$5,'Economist Financing Model 1'!$C$6:$H$79,B23,)</f>
        <v>0</v>
      </c>
      <c r="D23" s="108">
        <f>HLOOKUP($D$5,'Economist Financing Model 1'!$I$6:$N$80,B23,FALSE)</f>
        <v>0</v>
      </c>
      <c r="E23" s="108">
        <f>HLOOKUP($D$5,'Economist Financing Model 1'!$O$6:$T$80,B23,FALSE)</f>
        <v>0</v>
      </c>
      <c r="F23" s="109">
        <f>HLOOKUP($D$5,'Economist Financing Model 1'!$U$6:$Z$80,B23,FALSE)</f>
        <v>0</v>
      </c>
      <c r="G23" s="107">
        <f>HLOOKUP($D$5,'Economist Financing Model 2'!$C$68:$I$143,B23,FALSE)</f>
        <v>0</v>
      </c>
      <c r="H23" s="108">
        <f>HLOOKUP($D$5,'Economist Financing Model 2'!$J$68:$P$144,B23,FALSE)</f>
        <v>0</v>
      </c>
      <c r="I23" s="108">
        <f>HLOOKUP($D$5,'Economist Financing Model 2'!$Q$68:$W$144,B23,FALSE)</f>
        <v>0</v>
      </c>
      <c r="J23" s="109">
        <f>HLOOKUP($D$5,'Economist Financing Model 2'!$X$68:$AD$144,B23,FALSE)</f>
        <v>0</v>
      </c>
    </row>
    <row r="24" spans="1:10" x14ac:dyDescent="0.2">
      <c r="A24" s="105">
        <f>'Summary Baseline Data'!A23</f>
        <v>2004</v>
      </c>
      <c r="B24" s="105">
        <v>16</v>
      </c>
      <c r="C24" s="107">
        <f>HLOOKUP($D$5,'Economist Financing Model 1'!$C$6:$H$79,B24,)</f>
        <v>0</v>
      </c>
      <c r="D24" s="108">
        <f>HLOOKUP($D$5,'Economist Financing Model 1'!$I$6:$N$80,B24,FALSE)</f>
        <v>0</v>
      </c>
      <c r="E24" s="108">
        <f>HLOOKUP($D$5,'Economist Financing Model 1'!$O$6:$T$80,B24,FALSE)</f>
        <v>0</v>
      </c>
      <c r="F24" s="109">
        <f>HLOOKUP($D$5,'Economist Financing Model 1'!$U$6:$Z$80,B24,FALSE)</f>
        <v>0</v>
      </c>
      <c r="G24" s="107">
        <f>HLOOKUP($D$5,'Economist Financing Model 2'!$C$68:$I$143,B24,FALSE)</f>
        <v>0</v>
      </c>
      <c r="H24" s="108">
        <f>HLOOKUP($D$5,'Economist Financing Model 2'!$J$68:$P$144,B24,FALSE)</f>
        <v>0</v>
      </c>
      <c r="I24" s="108">
        <f>HLOOKUP($D$5,'Economist Financing Model 2'!$Q$68:$W$144,B24,FALSE)</f>
        <v>0</v>
      </c>
      <c r="J24" s="109">
        <f>HLOOKUP($D$5,'Economist Financing Model 2'!$X$68:$AD$144,B24,FALSE)</f>
        <v>0</v>
      </c>
    </row>
    <row r="25" spans="1:10" x14ac:dyDescent="0.2">
      <c r="A25" s="105">
        <f>'Summary Baseline Data'!A24</f>
        <v>2005</v>
      </c>
      <c r="B25" s="105">
        <v>17</v>
      </c>
      <c r="C25" s="107">
        <f>HLOOKUP($D$5,'Economist Financing Model 1'!$C$6:$H$79,B25,)</f>
        <v>0</v>
      </c>
      <c r="D25" s="108">
        <f>HLOOKUP($D$5,'Economist Financing Model 1'!$I$6:$N$80,B25,FALSE)</f>
        <v>0</v>
      </c>
      <c r="E25" s="108">
        <f>HLOOKUP($D$5,'Economist Financing Model 1'!$O$6:$T$80,B25,FALSE)</f>
        <v>0</v>
      </c>
      <c r="F25" s="109">
        <f>HLOOKUP($D$5,'Economist Financing Model 1'!$U$6:$Z$80,B25,FALSE)</f>
        <v>0</v>
      </c>
      <c r="G25" s="107">
        <f>HLOOKUP($D$5,'Economist Financing Model 2'!$C$68:$I$143,B25,FALSE)</f>
        <v>0</v>
      </c>
      <c r="H25" s="108">
        <f>HLOOKUP($D$5,'Economist Financing Model 2'!$J$68:$P$144,B25,FALSE)</f>
        <v>0</v>
      </c>
      <c r="I25" s="108">
        <f>HLOOKUP($D$5,'Economist Financing Model 2'!$Q$68:$W$144,B25,FALSE)</f>
        <v>0</v>
      </c>
      <c r="J25" s="109">
        <f>HLOOKUP($D$5,'Economist Financing Model 2'!$X$68:$AD$144,B25,FALSE)</f>
        <v>0</v>
      </c>
    </row>
    <row r="26" spans="1:10" x14ac:dyDescent="0.2">
      <c r="A26" s="105">
        <f>'Summary Baseline Data'!A25</f>
        <v>2006</v>
      </c>
      <c r="B26" s="105">
        <v>18</v>
      </c>
      <c r="C26" s="107">
        <f>HLOOKUP($D$5,'Economist Financing Model 1'!$C$6:$H$79,B26,)</f>
        <v>0</v>
      </c>
      <c r="D26" s="108">
        <f>HLOOKUP($D$5,'Economist Financing Model 1'!$I$6:$N$80,B26,FALSE)</f>
        <v>0</v>
      </c>
      <c r="E26" s="108">
        <f>HLOOKUP($D$5,'Economist Financing Model 1'!$O$6:$T$80,B26,FALSE)</f>
        <v>0</v>
      </c>
      <c r="F26" s="109">
        <f>HLOOKUP($D$5,'Economist Financing Model 1'!$U$6:$Z$80,B26,FALSE)</f>
        <v>0</v>
      </c>
      <c r="G26" s="107">
        <f>HLOOKUP($D$5,'Economist Financing Model 2'!$C$68:$I$143,B26,FALSE)</f>
        <v>0</v>
      </c>
      <c r="H26" s="108">
        <f>HLOOKUP($D$5,'Economist Financing Model 2'!$J$68:$P$144,B26,FALSE)</f>
        <v>0</v>
      </c>
      <c r="I26" s="108">
        <f>HLOOKUP($D$5,'Economist Financing Model 2'!$Q$68:$W$144,B26,FALSE)</f>
        <v>0</v>
      </c>
      <c r="J26" s="109">
        <f>HLOOKUP($D$5,'Economist Financing Model 2'!$X$68:$AD$144,B26,FALSE)</f>
        <v>0</v>
      </c>
    </row>
    <row r="27" spans="1:10" x14ac:dyDescent="0.2">
      <c r="A27" s="105">
        <f>'Summary Baseline Data'!A26</f>
        <v>2007</v>
      </c>
      <c r="B27" s="105">
        <v>19</v>
      </c>
      <c r="C27" s="107">
        <f>HLOOKUP($D$5,'Economist Financing Model 1'!$C$6:$H$79,B27,)</f>
        <v>0</v>
      </c>
      <c r="D27" s="108">
        <f>HLOOKUP($D$5,'Economist Financing Model 1'!$I$6:$N$80,B27,FALSE)</f>
        <v>0</v>
      </c>
      <c r="E27" s="108">
        <f>HLOOKUP($D$5,'Economist Financing Model 1'!$O$6:$T$80,B27,FALSE)</f>
        <v>0</v>
      </c>
      <c r="F27" s="109">
        <f>HLOOKUP($D$5,'Economist Financing Model 1'!$U$6:$Z$80,B27,FALSE)</f>
        <v>0</v>
      </c>
      <c r="G27" s="107">
        <f>HLOOKUP($D$5,'Economist Financing Model 2'!$C$68:$I$143,B27,FALSE)</f>
        <v>0</v>
      </c>
      <c r="H27" s="108">
        <f>HLOOKUP($D$5,'Economist Financing Model 2'!$J$68:$P$144,B27,FALSE)</f>
        <v>0</v>
      </c>
      <c r="I27" s="108">
        <f>HLOOKUP($D$5,'Economist Financing Model 2'!$Q$68:$W$144,B27,FALSE)</f>
        <v>0</v>
      </c>
      <c r="J27" s="109">
        <f>HLOOKUP($D$5,'Economist Financing Model 2'!$X$68:$AD$144,B27,FALSE)</f>
        <v>0</v>
      </c>
    </row>
    <row r="28" spans="1:10" x14ac:dyDescent="0.2">
      <c r="A28" s="105">
        <f>'Summary Baseline Data'!A27</f>
        <v>2008</v>
      </c>
      <c r="B28" s="105">
        <v>20</v>
      </c>
      <c r="C28" s="107">
        <f>HLOOKUP($D$5,'Economist Financing Model 1'!$C$6:$H$79,B28,)</f>
        <v>0</v>
      </c>
      <c r="D28" s="108">
        <f>HLOOKUP($D$5,'Economist Financing Model 1'!$I$6:$N$80,B28,FALSE)</f>
        <v>0</v>
      </c>
      <c r="E28" s="108">
        <f>HLOOKUP($D$5,'Economist Financing Model 1'!$O$6:$T$80,B28,FALSE)</f>
        <v>0</v>
      </c>
      <c r="F28" s="109">
        <f>HLOOKUP($D$5,'Economist Financing Model 1'!$U$6:$Z$80,B28,FALSE)</f>
        <v>0</v>
      </c>
      <c r="G28" s="107">
        <f>HLOOKUP($D$5,'Economist Financing Model 2'!$C$68:$I$143,B28,FALSE)</f>
        <v>0</v>
      </c>
      <c r="H28" s="108">
        <f>HLOOKUP($D$5,'Economist Financing Model 2'!$J$68:$P$144,B28,FALSE)</f>
        <v>0</v>
      </c>
      <c r="I28" s="108">
        <f>HLOOKUP($D$5,'Economist Financing Model 2'!$Q$68:$W$144,B28,FALSE)</f>
        <v>0</v>
      </c>
      <c r="J28" s="109">
        <f>HLOOKUP($D$5,'Economist Financing Model 2'!$X$68:$AD$144,B28,FALSE)</f>
        <v>0</v>
      </c>
    </row>
    <row r="29" spans="1:10" x14ac:dyDescent="0.2">
      <c r="A29" s="105">
        <f>'Summary Baseline Data'!A28</f>
        <v>2009</v>
      </c>
      <c r="B29" s="105">
        <v>21</v>
      </c>
      <c r="C29" s="107">
        <f>HLOOKUP($D$5,'Economist Financing Model 1'!$C$6:$H$79,B29,)</f>
        <v>0</v>
      </c>
      <c r="D29" s="108">
        <f>HLOOKUP($D$5,'Economist Financing Model 1'!$I$6:$N$80,B29,FALSE)</f>
        <v>0</v>
      </c>
      <c r="E29" s="108">
        <f>HLOOKUP($D$5,'Economist Financing Model 1'!$O$6:$T$80,B29,FALSE)</f>
        <v>0</v>
      </c>
      <c r="F29" s="109">
        <f>HLOOKUP($D$5,'Economist Financing Model 1'!$U$6:$Z$80,B29,FALSE)</f>
        <v>0</v>
      </c>
      <c r="G29" s="107">
        <f>HLOOKUP($D$5,'Economist Financing Model 2'!$C$68:$I$143,B29,FALSE)</f>
        <v>0</v>
      </c>
      <c r="H29" s="108">
        <f>HLOOKUP($D$5,'Economist Financing Model 2'!$J$68:$P$144,B29,FALSE)</f>
        <v>0</v>
      </c>
      <c r="I29" s="108">
        <f>HLOOKUP($D$5,'Economist Financing Model 2'!$Q$68:$W$144,B29,FALSE)</f>
        <v>0</v>
      </c>
      <c r="J29" s="109">
        <f>HLOOKUP($D$5,'Economist Financing Model 2'!$X$68:$AD$144,B29,FALSE)</f>
        <v>0</v>
      </c>
    </row>
    <row r="30" spans="1:10" x14ac:dyDescent="0.2">
      <c r="A30" s="105">
        <f>'Summary Baseline Data'!A29</f>
        <v>2010</v>
      </c>
      <c r="B30" s="105">
        <v>22</v>
      </c>
      <c r="C30" s="107">
        <f>HLOOKUP($D$5,'Economist Financing Model 1'!$C$6:$H$79,B30,)</f>
        <v>0</v>
      </c>
      <c r="D30" s="108">
        <f>HLOOKUP($D$5,'Economist Financing Model 1'!$I$6:$N$80,B30,FALSE)</f>
        <v>0</v>
      </c>
      <c r="E30" s="108">
        <f>HLOOKUP($D$5,'Economist Financing Model 1'!$O$6:$T$80,B30,FALSE)</f>
        <v>0</v>
      </c>
      <c r="F30" s="109">
        <f>HLOOKUP($D$5,'Economist Financing Model 1'!$U$6:$Z$80,B30,FALSE)</f>
        <v>0</v>
      </c>
      <c r="G30" s="107">
        <f>HLOOKUP($D$5,'Economist Financing Model 2'!$C$68:$I$143,B30,FALSE)</f>
        <v>0</v>
      </c>
      <c r="H30" s="108">
        <f>HLOOKUP($D$5,'Economist Financing Model 2'!$J$68:$P$144,B30,FALSE)</f>
        <v>0</v>
      </c>
      <c r="I30" s="108">
        <f>HLOOKUP($D$5,'Economist Financing Model 2'!$Q$68:$W$144,B30,FALSE)</f>
        <v>0</v>
      </c>
      <c r="J30" s="109">
        <f>HLOOKUP($D$5,'Economist Financing Model 2'!$X$68:$AD$144,B30,FALSE)</f>
        <v>0</v>
      </c>
    </row>
    <row r="31" spans="1:10" x14ac:dyDescent="0.2">
      <c r="A31" s="105">
        <f>'Summary Baseline Data'!A30</f>
        <v>2011</v>
      </c>
      <c r="B31" s="105">
        <v>23</v>
      </c>
      <c r="C31" s="107">
        <f>HLOOKUP($D$5,'Economist Financing Model 1'!$C$6:$H$79,B31,)</f>
        <v>0</v>
      </c>
      <c r="D31" s="108">
        <f>HLOOKUP($D$5,'Economist Financing Model 1'!$I$6:$N$80,B31,FALSE)</f>
        <v>0</v>
      </c>
      <c r="E31" s="108">
        <f>HLOOKUP($D$5,'Economist Financing Model 1'!$O$6:$T$80,B31,FALSE)</f>
        <v>0</v>
      </c>
      <c r="F31" s="109">
        <f>HLOOKUP($D$5,'Economist Financing Model 1'!$U$6:$Z$80,B31,FALSE)</f>
        <v>0</v>
      </c>
      <c r="G31" s="107">
        <f>HLOOKUP($D$5,'Economist Financing Model 2'!$C$68:$I$143,B31,FALSE)</f>
        <v>0</v>
      </c>
      <c r="H31" s="108">
        <f>HLOOKUP($D$5,'Economist Financing Model 2'!$J$68:$P$144,B31,FALSE)</f>
        <v>0</v>
      </c>
      <c r="I31" s="108">
        <f>HLOOKUP($D$5,'Economist Financing Model 2'!$Q$68:$W$144,B31,FALSE)</f>
        <v>0</v>
      </c>
      <c r="J31" s="109">
        <f>HLOOKUP($D$5,'Economist Financing Model 2'!$X$68:$AD$144,B31,FALSE)</f>
        <v>0</v>
      </c>
    </row>
    <row r="32" spans="1:10" x14ac:dyDescent="0.2">
      <c r="A32" s="105">
        <f>'Summary Baseline Data'!A31</f>
        <v>2012</v>
      </c>
      <c r="B32" s="105">
        <v>24</v>
      </c>
      <c r="C32" s="107">
        <f>HLOOKUP($D$5,'Economist Financing Model 1'!$C$6:$H$79,B32,)</f>
        <v>0</v>
      </c>
      <c r="D32" s="108">
        <f>HLOOKUP($D$5,'Economist Financing Model 1'!$I$6:$N$80,B32,FALSE)</f>
        <v>0</v>
      </c>
      <c r="E32" s="108">
        <f>HLOOKUP($D$5,'Economist Financing Model 1'!$O$6:$T$80,B32,FALSE)</f>
        <v>0</v>
      </c>
      <c r="F32" s="109">
        <f>HLOOKUP($D$5,'Economist Financing Model 1'!$U$6:$Z$80,B32,FALSE)</f>
        <v>0</v>
      </c>
      <c r="G32" s="107">
        <f>HLOOKUP($D$5,'Economist Financing Model 2'!$C$68:$I$143,B32,FALSE)</f>
        <v>0</v>
      </c>
      <c r="H32" s="108">
        <f>HLOOKUP($D$5,'Economist Financing Model 2'!$J$68:$P$144,B32,FALSE)</f>
        <v>0</v>
      </c>
      <c r="I32" s="108">
        <f>HLOOKUP($D$5,'Economist Financing Model 2'!$Q$68:$W$144,B32,FALSE)</f>
        <v>0</v>
      </c>
      <c r="J32" s="109">
        <f>HLOOKUP($D$5,'Economist Financing Model 2'!$X$68:$AD$144,B32,FALSE)</f>
        <v>0</v>
      </c>
    </row>
    <row r="33" spans="1:10" x14ac:dyDescent="0.2">
      <c r="A33" s="105">
        <f>'Summary Baseline Data'!A32</f>
        <v>2013</v>
      </c>
      <c r="B33" s="105">
        <v>25</v>
      </c>
      <c r="C33" s="107">
        <f>HLOOKUP($D$5,'Economist Financing Model 1'!$C$6:$H$79,B33,)</f>
        <v>0</v>
      </c>
      <c r="D33" s="108">
        <f>HLOOKUP($D$5,'Economist Financing Model 1'!$I$6:$N$80,B33,FALSE)</f>
        <v>0</v>
      </c>
      <c r="E33" s="108">
        <f>HLOOKUP($D$5,'Economist Financing Model 1'!$O$6:$T$80,B33,FALSE)</f>
        <v>0</v>
      </c>
      <c r="F33" s="109">
        <f>HLOOKUP($D$5,'Economist Financing Model 1'!$U$6:$Z$80,B33,FALSE)</f>
        <v>0</v>
      </c>
      <c r="G33" s="107">
        <f>HLOOKUP($D$5,'Economist Financing Model 2'!$C$68:$I$143,B33,FALSE)</f>
        <v>0</v>
      </c>
      <c r="H33" s="108">
        <f>HLOOKUP($D$5,'Economist Financing Model 2'!$J$68:$P$144,B33,FALSE)</f>
        <v>0</v>
      </c>
      <c r="I33" s="108">
        <f>HLOOKUP($D$5,'Economist Financing Model 2'!$Q$68:$W$144,B33,FALSE)</f>
        <v>0</v>
      </c>
      <c r="J33" s="109">
        <f>HLOOKUP($D$5,'Economist Financing Model 2'!$X$68:$AD$144,B33,FALSE)</f>
        <v>0</v>
      </c>
    </row>
    <row r="34" spans="1:10" x14ac:dyDescent="0.2">
      <c r="A34" s="105">
        <f>'Summary Baseline Data'!A33</f>
        <v>2014</v>
      </c>
      <c r="B34" s="105">
        <v>26</v>
      </c>
      <c r="C34" s="107">
        <f>HLOOKUP($D$5,'Economist Financing Model 1'!$C$6:$H$79,B34,)</f>
        <v>-5799.1899007154261</v>
      </c>
      <c r="D34" s="108">
        <f>HLOOKUP($D$5,'Economist Financing Model 1'!$I$6:$N$80,B34,FALSE)</f>
        <v>-6945.8386211546203</v>
      </c>
      <c r="E34" s="108">
        <f>HLOOKUP($D$5,'Economist Financing Model 1'!$O$6:$T$80,B34,FALSE)</f>
        <v>-3568.6189361224997</v>
      </c>
      <c r="F34" s="109">
        <f>HLOOKUP($D$5,'Economist Financing Model 1'!$U$6:$Z$80,B34,FALSE)</f>
        <v>-4720.6462539733529</v>
      </c>
      <c r="G34" s="107">
        <f>HLOOKUP($D$5,'Economist Financing Model 2'!$C$68:$I$143,B34,FALSE)</f>
        <v>-19248.166612130193</v>
      </c>
      <c r="H34" s="108">
        <f>HLOOKUP($D$5,'Economist Financing Model 2'!$J$68:$P$144,B34,FALSE)</f>
        <v>-19248.166612130193</v>
      </c>
      <c r="I34" s="108">
        <f>HLOOKUP($D$5,'Economist Financing Model 2'!$Q$68:$W$144,B34,FALSE)</f>
        <v>-19248.166612130193</v>
      </c>
      <c r="J34" s="109">
        <f>HLOOKUP($D$5,'Economist Financing Model 2'!$X$68:$AD$144,B34,FALSE)</f>
        <v>-19248.166612130193</v>
      </c>
    </row>
    <row r="35" spans="1:10" x14ac:dyDescent="0.2">
      <c r="A35" s="105">
        <f>'Summary Baseline Data'!A34</f>
        <v>2015</v>
      </c>
      <c r="B35" s="105">
        <v>27</v>
      </c>
      <c r="C35" s="107">
        <f>C36</f>
        <v>-4494.3271891240083</v>
      </c>
      <c r="D35" s="108">
        <f>HLOOKUP($D$5,'Economist Financing Model 1'!$I$6:$N$80,B35,FALSE)</f>
        <v>-5382.9710529865051</v>
      </c>
      <c r="E35" s="108" t="e">
        <f>HLOOKUP($D$5,'Economist Financing Model 1'!$O$6:$T$80,B35,FALSE)</f>
        <v>#REF!</v>
      </c>
      <c r="F35" s="109" t="e">
        <f>HLOOKUP($D$5,'Economist Financing Model 1'!$U$6:$Z$80,B35,FALSE)</f>
        <v>#REF!</v>
      </c>
      <c r="G35" s="107">
        <f>HLOOKUP($D$5,'Economist Financing Model 2'!$C$68:$I$143,B35,FALSE)</f>
        <v>-3079.7066579408311</v>
      </c>
      <c r="H35" s="108">
        <f>HLOOKUP($D$5,'Economist Financing Model 2'!$J$68:$P$144,B35,FALSE)</f>
        <v>-3079.7066579408311</v>
      </c>
      <c r="I35" s="108">
        <f>HLOOKUP($D$5,'Economist Financing Model 2'!$Q$68:$W$144,B35,FALSE)</f>
        <v>-3079.7066579408311</v>
      </c>
      <c r="J35" s="109">
        <f>HLOOKUP($D$5,'Economist Financing Model 2'!$X$68:$AD$144,B35,FALSE)</f>
        <v>-3079.7066579408311</v>
      </c>
    </row>
    <row r="36" spans="1:10" x14ac:dyDescent="0.2">
      <c r="A36" s="105">
        <f>'Summary Baseline Data'!A35</f>
        <v>2016</v>
      </c>
      <c r="B36" s="105">
        <v>28</v>
      </c>
      <c r="C36" s="107">
        <f>HLOOKUP($D$5,'Economist Financing Model 1'!$C$6:$H$79,'Economist Financing Model 1'!B32,FALSE)</f>
        <v>-4494.3271891240083</v>
      </c>
      <c r="D36" s="108">
        <f>HLOOKUP($D$5,'Economist Financing Model 1'!$I$6:$N$80,B36,FALSE)</f>
        <v>-5382.9710529865051</v>
      </c>
      <c r="E36" s="108" t="e">
        <f>HLOOKUP($D$5,'Economist Financing Model 1'!$O$6:$T$80,B36,FALSE)</f>
        <v>#REF!</v>
      </c>
      <c r="F36" s="109" t="e">
        <f>HLOOKUP($D$5,'Economist Financing Model 1'!$U$6:$Z$80,B36,FALSE)</f>
        <v>#REF!</v>
      </c>
      <c r="G36" s="107">
        <f>HLOOKUP($D$5,'Economist Financing Model 2'!$C$68:$I$143,B36,FALSE)</f>
        <v>-2386.7487708243812</v>
      </c>
      <c r="H36" s="108">
        <f>HLOOKUP($D$5,'Economist Financing Model 2'!$J$68:$P$144,B36,FALSE)</f>
        <v>-2386.7487708243812</v>
      </c>
      <c r="I36" s="108">
        <f>HLOOKUP($D$5,'Economist Financing Model 2'!$Q$68:$W$144,B36,FALSE)</f>
        <v>-2386.7487708243812</v>
      </c>
      <c r="J36" s="109">
        <f>HLOOKUP($D$5,'Economist Financing Model 2'!$X$68:$AD$144,B36,FALSE)</f>
        <v>-2386.7487708243812</v>
      </c>
    </row>
    <row r="37" spans="1:10" x14ac:dyDescent="0.2">
      <c r="A37" s="105">
        <f>'Summary Baseline Data'!A36</f>
        <v>2017</v>
      </c>
      <c r="B37" s="105">
        <v>29</v>
      </c>
      <c r="C37" s="107">
        <f>HLOOKUP($D$5,'Economist Financing Model 1'!$C$6:$H$79,'Economist Financing Model 1'!B33,FALSE)</f>
        <v>-4494.3271891240083</v>
      </c>
      <c r="D37" s="108">
        <f>HLOOKUP($D$5,'Economist Financing Model 1'!$I$6:$N$80,B37,FALSE)</f>
        <v>-5382.9710529865051</v>
      </c>
      <c r="E37" s="108">
        <f>HLOOKUP($D$5,'Economist Financing Model 1'!$O$6:$T$80,B37,FALSE)</f>
        <v>-6334.2709300776423</v>
      </c>
      <c r="F37" s="109">
        <f>HLOOKUP($D$5,'Economist Financing Model 1'!$U$6:$Z$80,B37,FALSE)</f>
        <v>-8379.110483063605</v>
      </c>
      <c r="G37" s="107">
        <f>HLOOKUP($D$5,'Economist Financing Model 2'!$C$68:$I$143,B37,FALSE)</f>
        <v>-2386.7487708243812</v>
      </c>
      <c r="H37" s="108">
        <f>HLOOKUP($D$5,'Economist Financing Model 2'!$J$68:$P$144,B37,FALSE)</f>
        <v>-2386.7487708243812</v>
      </c>
      <c r="I37" s="108">
        <f>HLOOKUP($D$5,'Economist Financing Model 2'!$Q$68:$W$144,B37,FALSE)</f>
        <v>-2386.7487708243812</v>
      </c>
      <c r="J37" s="109">
        <f>HLOOKUP($D$5,'Economist Financing Model 2'!$X$68:$AD$144,B37,FALSE)</f>
        <v>-2386.7487708243812</v>
      </c>
    </row>
    <row r="38" spans="1:10" x14ac:dyDescent="0.2">
      <c r="A38" s="105">
        <f>'Summary Baseline Data'!A37</f>
        <v>2018</v>
      </c>
      <c r="B38" s="105">
        <v>30</v>
      </c>
      <c r="C38" s="107">
        <f>HLOOKUP($D$5,'Economist Financing Model 1'!$C$6:$H$79,'Economist Financing Model 1'!B34,FALSE)</f>
        <v>-4494.3271891240083</v>
      </c>
      <c r="D38" s="108">
        <f>HLOOKUP($D$5,'Economist Financing Model 1'!$I$6:$N$80,B38,FALSE)</f>
        <v>-5382.9710529865051</v>
      </c>
      <c r="E38" s="108">
        <f>HLOOKUP($D$5,'Economist Financing Model 1'!$O$6:$T$80,B38,FALSE)</f>
        <v>-6334.2709300776423</v>
      </c>
      <c r="F38" s="109">
        <f>HLOOKUP($D$5,'Economist Financing Model 1'!$U$6:$Z$80,B38,FALSE)</f>
        <v>-8379.110483063605</v>
      </c>
      <c r="G38" s="107">
        <f>HLOOKUP($D$5,'Economist Financing Model 2'!$C$68:$I$143,B38,FALSE)</f>
        <v>-2386.7487708243812</v>
      </c>
      <c r="H38" s="108">
        <f>HLOOKUP($D$5,'Economist Financing Model 2'!$J$68:$P$144,B38,FALSE)</f>
        <v>-2386.7487708243812</v>
      </c>
      <c r="I38" s="108">
        <f>HLOOKUP($D$5,'Economist Financing Model 2'!$Q$68:$W$144,B38,FALSE)</f>
        <v>-2386.7487708243812</v>
      </c>
      <c r="J38" s="109">
        <f>HLOOKUP($D$5,'Economist Financing Model 2'!$X$68:$AD$144,B38,FALSE)</f>
        <v>-2386.7487708243812</v>
      </c>
    </row>
    <row r="39" spans="1:10" x14ac:dyDescent="0.2">
      <c r="A39" s="105">
        <f>'Summary Baseline Data'!A38</f>
        <v>2019</v>
      </c>
      <c r="B39" s="105">
        <v>30</v>
      </c>
      <c r="C39" s="107">
        <f>HLOOKUP($D$5,'Economist Financing Model 1'!$C$6:$H$79,'Economist Financing Model 1'!B35,FALSE)</f>
        <v>-4494.3271891240083</v>
      </c>
      <c r="D39" s="108">
        <f>HLOOKUP($D$5,'Economist Financing Model 1'!$I$6:$N$80,B39,FALSE)</f>
        <v>-5382.9710529865051</v>
      </c>
      <c r="E39" s="108">
        <f>HLOOKUP($D$5,'Economist Financing Model 1'!$O$6:$T$80,B39,FALSE)</f>
        <v>-6334.2709300776423</v>
      </c>
      <c r="F39" s="109">
        <f>HLOOKUP($D$5,'Economist Financing Model 1'!$U$6:$Z$80,B39,FALSE)</f>
        <v>-8379.110483063605</v>
      </c>
      <c r="G39" s="107">
        <f>HLOOKUP($D$5,'Economist Financing Model 2'!$C$68:$I$143,B39,FALSE)</f>
        <v>-2386.7487708243812</v>
      </c>
      <c r="H39" s="108">
        <f>HLOOKUP($D$5,'Economist Financing Model 2'!$J$68:$P$144,B39,FALSE)</f>
        <v>-2386.7487708243812</v>
      </c>
      <c r="I39" s="108">
        <f>HLOOKUP($D$5,'Economist Financing Model 2'!$Q$68:$W$144,B39,FALSE)</f>
        <v>-2386.7487708243812</v>
      </c>
      <c r="J39" s="109">
        <f>HLOOKUP($D$5,'Economist Financing Model 2'!$X$68:$AD$144,B39,FALSE)</f>
        <v>-2386.7487708243812</v>
      </c>
    </row>
    <row r="40" spans="1:10" x14ac:dyDescent="0.2">
      <c r="A40" s="105">
        <f>'Summary Baseline Data'!A39</f>
        <v>2020</v>
      </c>
      <c r="B40" s="105">
        <v>31</v>
      </c>
      <c r="C40" s="107">
        <f>HLOOKUP($D$5,'Economist Financing Model 1'!$C$6:$H$79,'Economist Financing Model 1'!B36,FALSE)</f>
        <v>-4494.3271891240083</v>
      </c>
      <c r="D40" s="108">
        <f>HLOOKUP($D$5,'Economist Financing Model 1'!$I$6:$N$80,'Economist Financing Model 1'!B36,FALSE)</f>
        <v>-5382.9710529865051</v>
      </c>
      <c r="E40" s="108">
        <f>HLOOKUP($D$5,'Economist Financing Model 1'!$O$6:$T$80,'Economist Financing Model 1'!B36,FALSE)</f>
        <v>-6334.2709300776423</v>
      </c>
      <c r="F40" s="109">
        <f>HLOOKUP($D$5,'Economist Financing Model 1'!$U$6:$Z$80,'Economist Financing Model 1'!B36,FALSE)</f>
        <v>-8379.110483063605</v>
      </c>
      <c r="G40" s="107">
        <f>HLOOKUP($D$5,'Economist Financing Model 2'!$C$68:$I$143,'Economist Financing Model 2'!B99,FALSE)</f>
        <v>-2386.7487708243812</v>
      </c>
      <c r="H40" s="108">
        <f>HLOOKUP($D$5,'Economist Financing Model 2'!$J$68:$P$144,B40,FALSE)</f>
        <v>-2386.7487708243812</v>
      </c>
      <c r="I40" s="108">
        <f>HLOOKUP($D$5,'Economist Financing Model 2'!$Q$68:$W$144,B40,FALSE)</f>
        <v>-2386.7487708243812</v>
      </c>
      <c r="J40" s="109">
        <f>HLOOKUP($D$5,'Economist Financing Model 2'!$X$68:$AD$144,B40,FALSE)</f>
        <v>-2386.7487708243812</v>
      </c>
    </row>
    <row r="41" spans="1:10" x14ac:dyDescent="0.2">
      <c r="A41" s="105">
        <f>'Summary Baseline Data'!A40</f>
        <v>2021</v>
      </c>
      <c r="B41" s="105">
        <v>32</v>
      </c>
      <c r="C41" s="107">
        <f>HLOOKUP($D$5,'Economist Financing Model 1'!$C$6:$H$79,'Economist Financing Model 1'!B37,FALSE)</f>
        <v>-4494.3271891240083</v>
      </c>
      <c r="D41" s="108">
        <f>HLOOKUP($D$5,'Economist Financing Model 1'!$I$6:$N$80,'Economist Financing Model 1'!B37,FALSE)</f>
        <v>-5382.9710529865051</v>
      </c>
      <c r="E41" s="108">
        <f>HLOOKUP($D$5,'Economist Financing Model 1'!$O$6:$T$80,'Economist Financing Model 1'!B37,FALSE)</f>
        <v>-6334.2709300776423</v>
      </c>
      <c r="F41" s="109">
        <f>HLOOKUP($D$5,'Economist Financing Model 1'!$U$6:$Z$80,'Economist Financing Model 1'!B37,FALSE)</f>
        <v>-8379.110483063605</v>
      </c>
      <c r="G41" s="107">
        <f>HLOOKUP($D$5,'Economist Financing Model 2'!$C$68:$I$143,'Economist Financing Model 2'!B100,FALSE)+G40</f>
        <v>-4773.4975416487623</v>
      </c>
      <c r="H41" s="108">
        <f>HLOOKUP($D$5,'Economist Financing Model 2'!$J$68:$P$144,B41,FALSE)</f>
        <v>-2386.7487708243812</v>
      </c>
      <c r="I41" s="108">
        <f>HLOOKUP($D$5,'Economist Financing Model 2'!$Q$68:$W$144,B41,FALSE)</f>
        <v>-2386.7487708243812</v>
      </c>
      <c r="J41" s="109">
        <f>HLOOKUP($D$5,'Economist Financing Model 2'!$X$68:$AD$144,B41,FALSE)</f>
        <v>-2386.7487708243812</v>
      </c>
    </row>
    <row r="42" spans="1:10" x14ac:dyDescent="0.2">
      <c r="A42" s="105">
        <f>'Summary Baseline Data'!A41</f>
        <v>2022</v>
      </c>
      <c r="B42" s="105">
        <v>33</v>
      </c>
      <c r="C42" s="107">
        <f>HLOOKUP($D$5,'Economist Financing Model 1'!$C$6:$H$79,'Economist Financing Model 1'!B38,FALSE)</f>
        <v>-4494.3271891240083</v>
      </c>
      <c r="D42" s="108">
        <f>HLOOKUP($D$5,'Economist Financing Model 1'!$I$6:$N$80,'Economist Financing Model 1'!B38,FALSE)</f>
        <v>-5382.9710529865051</v>
      </c>
      <c r="E42" s="108">
        <f>HLOOKUP($D$5,'Economist Financing Model 1'!$O$6:$T$80,'Economist Financing Model 1'!B38,FALSE)</f>
        <v>-6334.2709300776423</v>
      </c>
      <c r="F42" s="109">
        <f>HLOOKUP($D$5,'Economist Financing Model 1'!$U$6:$Z$80,'Economist Financing Model 1'!B38,FALSE)</f>
        <v>-8379.110483063605</v>
      </c>
      <c r="G42" s="107">
        <f>HLOOKUP($D$5,'Economist Financing Model 2'!$C$68:$I$143,'Economist Financing Model 2'!B101,FALSE)+G41</f>
        <v>-7160.2463124731439</v>
      </c>
      <c r="H42" s="108">
        <f>HLOOKUP($D$5,'Economist Financing Model 2'!$J$68:$P$144,B42,FALSE)</f>
        <v>-2386.7487708243812</v>
      </c>
      <c r="I42" s="108">
        <f>HLOOKUP($D$5,'Economist Financing Model 2'!$Q$68:$W$144,B42,FALSE)</f>
        <v>-2386.7487708243812</v>
      </c>
      <c r="J42" s="109">
        <f>HLOOKUP($D$5,'Economist Financing Model 2'!$X$68:$AD$144,B42,FALSE)</f>
        <v>-2386.7487708243812</v>
      </c>
    </row>
    <row r="43" spans="1:10" x14ac:dyDescent="0.2">
      <c r="A43" s="105">
        <f>'Summary Baseline Data'!A42</f>
        <v>2023</v>
      </c>
      <c r="B43" s="105">
        <v>34</v>
      </c>
      <c r="C43" s="107">
        <f>HLOOKUP($D$5,'Economist Financing Model 1'!$C$6:$H$79,'Economist Financing Model 1'!B39,FALSE)</f>
        <v>-4494.3271891240083</v>
      </c>
      <c r="D43" s="108">
        <f>HLOOKUP($D$5,'Economist Financing Model 1'!$I$6:$N$80,'Economist Financing Model 1'!B39,FALSE)</f>
        <v>-5382.9710529865051</v>
      </c>
      <c r="E43" s="108">
        <f>HLOOKUP($D$5,'Economist Financing Model 1'!$O$6:$T$80,'Economist Financing Model 1'!B39,FALSE)</f>
        <v>-6334.2709300776423</v>
      </c>
      <c r="F43" s="109">
        <f>HLOOKUP($D$5,'Economist Financing Model 1'!$U$6:$Z$80,'Economist Financing Model 1'!B39,FALSE)</f>
        <v>-8379.110483063605</v>
      </c>
      <c r="G43" s="107">
        <f>HLOOKUP($D$5,'Economist Financing Model 2'!$C$68:$I$143,'Economist Financing Model 2'!B102,FALSE)+G42</f>
        <v>-9546.9950832975246</v>
      </c>
      <c r="H43" s="108">
        <f>HLOOKUP($D$5,'Economist Financing Model 2'!$J$68:$P$144,B43,FALSE)</f>
        <v>-2386.7487708243812</v>
      </c>
      <c r="I43" s="108">
        <f>HLOOKUP($D$5,'Economist Financing Model 2'!$Q$68:$W$144,B43,FALSE)</f>
        <v>-2386.7487708243812</v>
      </c>
      <c r="J43" s="109">
        <f>HLOOKUP($D$5,'Economist Financing Model 2'!$X$68:$AD$144,B43,FALSE)</f>
        <v>-2386.7487708243812</v>
      </c>
    </row>
    <row r="44" spans="1:10" x14ac:dyDescent="0.2">
      <c r="A44" s="105">
        <f>'Summary Baseline Data'!A43</f>
        <v>2024</v>
      </c>
      <c r="B44" s="105">
        <v>35</v>
      </c>
      <c r="C44" s="107">
        <f>HLOOKUP($D$5,'Economist Financing Model 1'!$C$6:$H$79,'Economist Financing Model 1'!B40,FALSE)</f>
        <v>-4494.3271891240238</v>
      </c>
      <c r="D44" s="108">
        <f>HLOOKUP($D$5,'Economist Financing Model 1'!$I$6:$N$80,'Economist Financing Model 1'!B40,FALSE)</f>
        <v>-5382.9710529865233</v>
      </c>
      <c r="E44" s="108">
        <f>HLOOKUP($D$5,'Economist Financing Model 1'!$O$6:$T$80,'Economist Financing Model 1'!B40,FALSE)</f>
        <v>-6334.2709300776642</v>
      </c>
      <c r="F44" s="109">
        <f>HLOOKUP($D$5,'Economist Financing Model 1'!$U$6:$Z$80,'Economist Financing Model 1'!B40,FALSE)</f>
        <v>-8379.1104830636341</v>
      </c>
      <c r="G44" s="107">
        <f>HLOOKUP($D$5,'Economist Financing Model 2'!$C$68:$I$143,'Economist Financing Model 2'!B103,FALSE)+G43</f>
        <v>-11933.743854121914</v>
      </c>
      <c r="H44" s="108">
        <f>HLOOKUP($D$5,'Economist Financing Model 2'!$J$68:$P$144,B44,FALSE)</f>
        <v>-2386.7487708243812</v>
      </c>
      <c r="I44" s="108">
        <f>HLOOKUP($D$5,'Economist Financing Model 2'!$Q$68:$W$144,B44,FALSE)</f>
        <v>-2386.7487708243812</v>
      </c>
      <c r="J44" s="109">
        <f>HLOOKUP($D$5,'Economist Financing Model 2'!$X$68:$AD$144,B44,FALSE)</f>
        <v>-2386.7487708243812</v>
      </c>
    </row>
    <row r="45" spans="1:10" x14ac:dyDescent="0.2">
      <c r="A45" s="105">
        <f>'Summary Baseline Data'!A44</f>
        <v>2025</v>
      </c>
      <c r="B45" s="105">
        <v>36</v>
      </c>
      <c r="C45" s="107">
        <f>HLOOKUP($D$5,'Economist Financing Model 1'!$C$6:$H$79,'Economist Financing Model 1'!B41,FALSE)</f>
        <v>-4494.3271891240238</v>
      </c>
      <c r="D45" s="108">
        <f>HLOOKUP($D$5,'Economist Financing Model 1'!$I$6:$N$80,'Economist Financing Model 1'!B41,FALSE)</f>
        <v>-5382.9710529865233</v>
      </c>
      <c r="E45" s="108">
        <f>HLOOKUP($D$5,'Economist Financing Model 1'!$O$6:$T$80,'Economist Financing Model 1'!B41,FALSE)</f>
        <v>-6334.2709300776642</v>
      </c>
      <c r="F45" s="109">
        <f>HLOOKUP($D$5,'Economist Financing Model 1'!$U$6:$Z$80,'Economist Financing Model 1'!B41,FALSE)</f>
        <v>-8379.1104830636341</v>
      </c>
      <c r="G45" s="107">
        <f>HLOOKUP($D$5,'Economist Financing Model 2'!$C$68:$I$143,'Economist Financing Model 2'!B104,FALSE)+G44</f>
        <v>-14320.492624946304</v>
      </c>
      <c r="H45" s="108">
        <f>HLOOKUP($D$5,'Economist Financing Model 2'!$J$68:$P$144,B45,FALSE)</f>
        <v>-2386.7487708243898</v>
      </c>
      <c r="I45" s="108">
        <f>HLOOKUP($D$5,'Economist Financing Model 2'!$Q$68:$W$144,B45,FALSE)</f>
        <v>-2386.7487708243898</v>
      </c>
      <c r="J45" s="109">
        <f>HLOOKUP($D$5,'Economist Financing Model 2'!$X$68:$AD$144,B45,FALSE)</f>
        <v>-2386.7487708243898</v>
      </c>
    </row>
    <row r="46" spans="1:10" x14ac:dyDescent="0.2">
      <c r="A46" s="105">
        <f>'Summary Baseline Data'!A45</f>
        <v>2026</v>
      </c>
      <c r="B46" s="105">
        <v>37</v>
      </c>
      <c r="C46" s="107">
        <f>HLOOKUP($D$5,'Economist Financing Model 1'!$C$6:$H$79,'Economist Financing Model 1'!B42,FALSE)</f>
        <v>-4130.1380834549063</v>
      </c>
      <c r="D46" s="108">
        <f>HLOOKUP($D$5,'Economist Financing Model 1'!$I$6:$N$80,'Economist Financing Model 1'!B42,FALSE)</f>
        <v>-4946.7724116472828</v>
      </c>
      <c r="E46" s="108">
        <f>HLOOKUP($D$5,'Economist Financing Model 1'!$O$6:$T$80,'Economist Financing Model 1'!B42,FALSE)</f>
        <v>-5820.9855442977077</v>
      </c>
      <c r="F46" s="109">
        <f>HLOOKUP($D$5,'Economist Financing Model 1'!$U$6:$Z$80,'Economist Financing Model 1'!B42,FALSE)</f>
        <v>-7700.1254815901557</v>
      </c>
      <c r="G46" s="107">
        <f>HLOOKUP($D$5,'Economist Financing Model 2'!$C$68:$I$143,'Economist Financing Model 2'!B105,FALSE)+G45</f>
        <v>-16513.835828324052</v>
      </c>
      <c r="H46" s="108">
        <f>HLOOKUP($D$5,'Economist Financing Model 2'!$J$68:$P$144,B46,FALSE)</f>
        <v>-2386.7487708243898</v>
      </c>
      <c r="I46" s="108">
        <f>HLOOKUP($D$5,'Economist Financing Model 2'!$Q$68:$W$144,B46,FALSE)</f>
        <v>-2386.7487708243898</v>
      </c>
      <c r="J46" s="109">
        <f>HLOOKUP($D$5,'Economist Financing Model 2'!$X$68:$AD$144,B46,FALSE)</f>
        <v>-2386.7487708243898</v>
      </c>
    </row>
    <row r="47" spans="1:10" x14ac:dyDescent="0.2">
      <c r="A47" s="105">
        <f>'Summary Baseline Data'!A46</f>
        <v>2027</v>
      </c>
      <c r="B47" s="105">
        <v>38</v>
      </c>
      <c r="C47" s="107">
        <f>HLOOKUP($D$5,'Economist Financing Model 1'!$C$6:$H$79,'Economist Financing Model 1'!B43,FALSE)</f>
        <v>-4130.1380834549063</v>
      </c>
      <c r="D47" s="108">
        <f>HLOOKUP($D$5,'Economist Financing Model 1'!$I$6:$N$80,'Economist Financing Model 1'!B43,FALSE)</f>
        <v>-4946.7724116472828</v>
      </c>
      <c r="E47" s="108">
        <f>HLOOKUP($D$5,'Economist Financing Model 1'!$O$6:$T$80,'Economist Financing Model 1'!B43,FALSE)</f>
        <v>-5820.9855442977077</v>
      </c>
      <c r="F47" s="109">
        <f>HLOOKUP($D$5,'Economist Financing Model 1'!$U$6:$Z$80,'Economist Financing Model 1'!B43,FALSE)</f>
        <v>-7700.1254815901557</v>
      </c>
      <c r="G47" s="107">
        <f>HLOOKUP($D$5,'Economist Financing Model 2'!$C$68:$I$143,'Economist Financing Model 2'!B106,FALSE)+G46</f>
        <v>-20997.076960072824</v>
      </c>
      <c r="H47" s="108">
        <f>HLOOKUP($D$5,'Economist Financing Model 2'!$J$68:$P$144,B47,FALSE)</f>
        <v>-2193.3432033777485</v>
      </c>
      <c r="I47" s="108">
        <f>HLOOKUP($D$5,'Economist Financing Model 2'!$Q$68:$W$144,B47,FALSE)</f>
        <v>-2193.3432033777485</v>
      </c>
      <c r="J47" s="109">
        <f>HLOOKUP($D$5,'Economist Financing Model 2'!$X$68:$AD$144,B47,FALSE)</f>
        <v>-2193.3432033777485</v>
      </c>
    </row>
    <row r="48" spans="1:10" x14ac:dyDescent="0.2">
      <c r="A48" s="105">
        <f>'Summary Baseline Data'!A47</f>
        <v>2028</v>
      </c>
      <c r="B48" s="105">
        <v>39</v>
      </c>
      <c r="C48" s="107">
        <f>HLOOKUP($D$5,'Economist Financing Model 1'!$C$6:$H$79,'Economist Financing Model 1'!B44,FALSE)</f>
        <v>-4130.1380834549063</v>
      </c>
      <c r="D48" s="108">
        <f>HLOOKUP($D$5,'Economist Financing Model 1'!$I$6:$N$80,'Economist Financing Model 1'!B44,FALSE)</f>
        <v>-4946.7724116472828</v>
      </c>
      <c r="E48" s="108">
        <f>HLOOKUP($D$5,'Economist Financing Model 1'!$O$6:$T$80,'Economist Financing Model 1'!B44,FALSE)</f>
        <v>-5820.9855442977077</v>
      </c>
      <c r="F48" s="109">
        <f>HLOOKUP($D$5,'Economist Financing Model 1'!$U$6:$Z$80,'Economist Financing Model 1'!B44,FALSE)</f>
        <v>-7700.1254815901557</v>
      </c>
      <c r="G48" s="107">
        <f>HLOOKUP($D$5,'Economist Financing Model 2'!$C$68:$I$143,'Economist Financing Model 2'!B107,FALSE)+G47</f>
        <v>-25480.318091821595</v>
      </c>
      <c r="H48" s="108">
        <f>HLOOKUP($D$5,'Economist Financing Model 2'!$J$68:$P$144,B48,FALSE)</f>
        <v>-5949.7177708377785</v>
      </c>
      <c r="I48" s="108">
        <f>HLOOKUP($D$5,'Economist Financing Model 2'!$Q$68:$W$144,B48,FALSE)</f>
        <v>-7784.6768465727782</v>
      </c>
      <c r="J48" s="109">
        <f>HLOOKUP($D$5,'Economist Financing Model 2'!$X$68:$AD$144,B48,FALSE)</f>
        <v>-12826.438481311099</v>
      </c>
    </row>
    <row r="49" spans="1:10" x14ac:dyDescent="0.2">
      <c r="A49" s="105">
        <f>'Summary Baseline Data'!A48</f>
        <v>2029</v>
      </c>
      <c r="B49" s="105">
        <v>40</v>
      </c>
      <c r="C49" s="107">
        <f>HLOOKUP($D$5,'Economist Financing Model 1'!$C$6:$H$79,'Economist Financing Model 1'!B45,FALSE)</f>
        <v>-4130.1380834549063</v>
      </c>
      <c r="D49" s="108">
        <f>HLOOKUP($D$5,'Economist Financing Model 1'!$I$6:$N$80,'Economist Financing Model 1'!B45,FALSE)</f>
        <v>-4946.7724116472828</v>
      </c>
      <c r="E49" s="108">
        <f>HLOOKUP($D$5,'Economist Financing Model 1'!$O$6:$T$80,'Economist Financing Model 1'!B45,FALSE)</f>
        <v>-5820.9855442977077</v>
      </c>
      <c r="F49" s="109">
        <f>HLOOKUP($D$5,'Economist Financing Model 1'!$U$6:$Z$80,'Economist Financing Model 1'!B45,FALSE)</f>
        <v>-7700.1254815901557</v>
      </c>
      <c r="G49" s="107">
        <f>HLOOKUP($D$5,'Economist Financing Model 2'!$C$68:$I$143,'Economist Financing Model 2'!B108,FALSE)+G48</f>
        <v>-29963.559223570366</v>
      </c>
      <c r="H49" s="108">
        <f>HLOOKUP($D$5,'Economist Financing Model 2'!$J$68:$P$144,B49,FALSE)</f>
        <v>-5949.7177708377785</v>
      </c>
      <c r="I49" s="108">
        <f>HLOOKUP($D$5,'Economist Financing Model 2'!$Q$68:$W$144,B49,FALSE)</f>
        <v>-7784.6768465727782</v>
      </c>
      <c r="J49" s="109">
        <f>HLOOKUP($D$5,'Economist Financing Model 2'!$X$68:$AD$144,B49,FALSE)</f>
        <v>-12826.438481311099</v>
      </c>
    </row>
    <row r="50" spans="1:10" x14ac:dyDescent="0.2">
      <c r="A50" s="105">
        <f>'Summary Baseline Data'!A49</f>
        <v>2030</v>
      </c>
      <c r="B50" s="105">
        <v>41</v>
      </c>
      <c r="C50" s="107">
        <f>HLOOKUP($D$5,'Economist Financing Model 1'!$C$6:$H$79,'Economist Financing Model 1'!B46,FALSE)</f>
        <v>-4130.1380834549063</v>
      </c>
      <c r="D50" s="108">
        <f>HLOOKUP($D$5,'Economist Financing Model 1'!$I$6:$N$80,'Economist Financing Model 1'!B46,FALSE)</f>
        <v>-4946.7724116472828</v>
      </c>
      <c r="E50" s="108">
        <f>HLOOKUP($D$5,'Economist Financing Model 1'!$O$6:$T$80,'Economist Financing Model 1'!B46,FALSE)</f>
        <v>-5820.9855442977077</v>
      </c>
      <c r="F50" s="109">
        <f>HLOOKUP($D$5,'Economist Financing Model 1'!$U$6:$Z$80,'Economist Financing Model 1'!B46,FALSE)</f>
        <v>-7700.1254815901557</v>
      </c>
      <c r="G50" s="107">
        <f>HLOOKUP($D$5,'Economist Financing Model 2'!$C$68:$I$143,'Economist Financing Model 2'!B109,FALSE)+G49</f>
        <v>-34446.800355319137</v>
      </c>
      <c r="H50" s="108">
        <f>HLOOKUP($D$5,'Economist Financing Model 2'!$J$68:$P$144,B50,FALSE)</f>
        <v>-5949.7177708377785</v>
      </c>
      <c r="I50" s="108">
        <f>HLOOKUP($D$5,'Economist Financing Model 2'!$Q$68:$W$144,B50,FALSE)</f>
        <v>-7784.6768465727782</v>
      </c>
      <c r="J50" s="109">
        <f>HLOOKUP($D$5,'Economist Financing Model 2'!$X$68:$AD$144,B50,FALSE)</f>
        <v>-12826.438481311099</v>
      </c>
    </row>
    <row r="51" spans="1:10" x14ac:dyDescent="0.2">
      <c r="A51" s="105">
        <f>'Summary Baseline Data'!A50</f>
        <v>2031</v>
      </c>
      <c r="B51" s="105">
        <v>42</v>
      </c>
      <c r="C51" s="107">
        <f>HLOOKUP($D$5,'Economist Financing Model 1'!$C$6:$H$79,'Economist Financing Model 1'!B47,FALSE)</f>
        <v>-4130.1380834549063</v>
      </c>
      <c r="D51" s="108">
        <f>HLOOKUP($D$5,'Economist Financing Model 1'!$I$6:$N$80,'Economist Financing Model 1'!B47,FALSE)</f>
        <v>-4946.7724116472828</v>
      </c>
      <c r="E51" s="108">
        <f>HLOOKUP($D$5,'Economist Financing Model 1'!$O$6:$T$80,'Economist Financing Model 1'!B47,FALSE)</f>
        <v>-5820.9855442977077</v>
      </c>
      <c r="F51" s="109">
        <f>HLOOKUP($D$5,'Economist Financing Model 1'!$U$6:$Z$80,'Economist Financing Model 1'!B47,FALSE)</f>
        <v>-7700.1254815901557</v>
      </c>
      <c r="G51" s="107">
        <f>HLOOKUP($D$5,'Economist Financing Model 2'!$C$68:$I$143,'Economist Financing Model 2'!B110,FALSE)+G50</f>
        <v>-38930.041487067909</v>
      </c>
      <c r="H51" s="108">
        <f>HLOOKUP($D$5,'Economist Financing Model 2'!$J$68:$P$144,B51,FALSE)</f>
        <v>-5949.7177708377785</v>
      </c>
      <c r="I51" s="108">
        <f>HLOOKUP($D$5,'Economist Financing Model 2'!$Q$68:$W$144,B51,FALSE)</f>
        <v>-7784.6768465727782</v>
      </c>
      <c r="J51" s="109">
        <f>HLOOKUP($D$5,'Economist Financing Model 2'!$X$68:$AD$144,B51,FALSE)</f>
        <v>-12826.438481311099</v>
      </c>
    </row>
    <row r="52" spans="1:10" x14ac:dyDescent="0.2">
      <c r="A52" s="105">
        <f>'Summary Baseline Data'!A51</f>
        <v>2032</v>
      </c>
      <c r="B52" s="105">
        <v>43</v>
      </c>
      <c r="C52" s="107">
        <f>HLOOKUP($D$5,'Economist Financing Model 1'!$C$6:$H$79,'Economist Financing Model 1'!B48,FALSE)</f>
        <v>-4130.1380834549063</v>
      </c>
      <c r="D52" s="108">
        <f>HLOOKUP($D$5,'Economist Financing Model 1'!$I$6:$N$80,'Economist Financing Model 1'!B48,FALSE)</f>
        <v>-4946.7724116472828</v>
      </c>
      <c r="E52" s="108">
        <f>HLOOKUP($D$5,'Economist Financing Model 1'!$O$6:$T$80,'Economist Financing Model 1'!B48,FALSE)</f>
        <v>-5820.9855442977077</v>
      </c>
      <c r="F52" s="109">
        <f>HLOOKUP($D$5,'Economist Financing Model 1'!$U$6:$Z$80,'Economist Financing Model 1'!B48,FALSE)</f>
        <v>-7700.1254815901557</v>
      </c>
      <c r="G52" s="107">
        <f>HLOOKUP($D$5,'Economist Financing Model 2'!$C$68:$I$143,'Economist Financing Model 2'!B111,FALSE)+G51</f>
        <v>-43413.28261881668</v>
      </c>
      <c r="H52" s="108">
        <f>HLOOKUP($D$5,'Economist Financing Model 2'!$J$68:$P$144,B52,FALSE)</f>
        <v>-5949.7177708377785</v>
      </c>
      <c r="I52" s="108">
        <f>HLOOKUP($D$5,'Economist Financing Model 2'!$Q$68:$W$144,B52,FALSE)</f>
        <v>-7784.6768465727782</v>
      </c>
      <c r="J52" s="109">
        <f>HLOOKUP($D$5,'Economist Financing Model 2'!$X$68:$AD$144,B52,FALSE)</f>
        <v>-12826.438481311099</v>
      </c>
    </row>
    <row r="53" spans="1:10" x14ac:dyDescent="0.2">
      <c r="A53" s="105">
        <f>'Summary Baseline Data'!A52</f>
        <v>2033</v>
      </c>
      <c r="B53" s="105">
        <v>44</v>
      </c>
      <c r="C53" s="107">
        <f>HLOOKUP($D$5,'Economist Financing Model 1'!$C$6:$H$79,'Economist Financing Model 1'!B49,FALSE)</f>
        <v>-4130.1380834549063</v>
      </c>
      <c r="D53" s="108">
        <f>HLOOKUP($D$5,'Economist Financing Model 1'!$I$6:$N$80,'Economist Financing Model 1'!B49,FALSE)</f>
        <v>-4946.7724116472828</v>
      </c>
      <c r="E53" s="108">
        <f>HLOOKUP($D$5,'Economist Financing Model 1'!$O$6:$T$80,'Economist Financing Model 1'!B49,FALSE)</f>
        <v>-5820.9855442977077</v>
      </c>
      <c r="F53" s="109">
        <f>HLOOKUP($D$5,'Economist Financing Model 1'!$U$6:$Z$80,'Economist Financing Model 1'!B49,FALSE)</f>
        <v>-7700.1254815901557</v>
      </c>
      <c r="G53" s="107">
        <f>HLOOKUP($D$5,'Economist Financing Model 2'!$C$68:$I$143,'Economist Financing Model 2'!B112,FALSE)+G52</f>
        <v>-47896.523750565451</v>
      </c>
      <c r="H53" s="108">
        <f>HLOOKUP($D$5,'Economist Financing Model 2'!$J$68:$P$144,B53,FALSE)</f>
        <v>-5949.7177708377785</v>
      </c>
      <c r="I53" s="108">
        <f>HLOOKUP($D$5,'Economist Financing Model 2'!$Q$68:$W$144,B53,FALSE)</f>
        <v>-7784.6768465727782</v>
      </c>
      <c r="J53" s="109">
        <f>HLOOKUP($D$5,'Economist Financing Model 2'!$X$68:$AD$144,B53,FALSE)</f>
        <v>-12826.438481311099</v>
      </c>
    </row>
    <row r="54" spans="1:10" x14ac:dyDescent="0.2">
      <c r="A54" s="105">
        <f>'Summary Baseline Data'!A53</f>
        <v>2034</v>
      </c>
      <c r="B54" s="105">
        <v>45</v>
      </c>
      <c r="C54" s="107">
        <f>HLOOKUP($D$5,'Economist Financing Model 1'!$C$6:$H$79,'Economist Financing Model 1'!B50,FALSE)</f>
        <v>-4130.1380834549063</v>
      </c>
      <c r="D54" s="108">
        <f>HLOOKUP($D$5,'Economist Financing Model 1'!$I$6:$N$80,'Economist Financing Model 1'!B50,FALSE)</f>
        <v>-4946.7724116472828</v>
      </c>
      <c r="E54" s="108">
        <f>HLOOKUP($D$5,'Economist Financing Model 1'!$O$6:$T$80,'Economist Financing Model 1'!B50,FALSE)</f>
        <v>-5820.9855442977077</v>
      </c>
      <c r="F54" s="109">
        <f>HLOOKUP($D$5,'Economist Financing Model 1'!$U$6:$Z$80,'Economist Financing Model 1'!B50,FALSE)</f>
        <v>-7700.1254815901557</v>
      </c>
      <c r="G54" s="107">
        <f>HLOOKUP($D$5,'Economist Financing Model 2'!$C$68:$I$143,B54,FALSE)</f>
        <v>-4483.2411317487695</v>
      </c>
      <c r="H54" s="108">
        <f>HLOOKUP($D$5,'Economist Financing Model 2'!$J$68:$P$144,B54,FALSE)</f>
        <v>-5949.7177708377785</v>
      </c>
      <c r="I54" s="108">
        <f>HLOOKUP($D$5,'Economist Financing Model 2'!$Q$68:$W$144,B54,FALSE)</f>
        <v>-7784.6768465727782</v>
      </c>
      <c r="J54" s="109">
        <f>HLOOKUP($D$5,'Economist Financing Model 2'!$X$68:$AD$144,B54,FALSE)</f>
        <v>-12826.438481311099</v>
      </c>
    </row>
    <row r="55" spans="1:10" x14ac:dyDescent="0.2">
      <c r="A55" s="105">
        <f>'Summary Baseline Data'!A54</f>
        <v>2035</v>
      </c>
      <c r="B55" s="105">
        <v>46</v>
      </c>
      <c r="C55" s="107">
        <f>HLOOKUP($D$5,'Economist Financing Model 1'!$C$6:$H$79,'Economist Financing Model 1'!B51,FALSE)</f>
        <v>-4130.1380834549063</v>
      </c>
      <c r="D55" s="108">
        <f>HLOOKUP($D$5,'Economist Financing Model 1'!$I$6:$N$80,'Economist Financing Model 1'!B51,FALSE)</f>
        <v>-4946.7724116472828</v>
      </c>
      <c r="E55" s="108">
        <f>HLOOKUP($D$5,'Economist Financing Model 1'!$O$6:$T$80,'Economist Financing Model 1'!B51,FALSE)</f>
        <v>-5820.9855442977077</v>
      </c>
      <c r="F55" s="109">
        <f>HLOOKUP($D$5,'Economist Financing Model 1'!$U$6:$Z$80,'Economist Financing Model 1'!B51,FALSE)</f>
        <v>-7700.1254815901557</v>
      </c>
      <c r="G55" s="107">
        <f>HLOOKUP($D$5,'Economist Financing Model 2'!$C$68:$I$143,B55,FALSE)</f>
        <v>-4483.2411317487695</v>
      </c>
      <c r="H55" s="108">
        <f>HLOOKUP($D$5,'Economist Financing Model 2'!$J$68:$P$144,B55,FALSE)</f>
        <v>-5949.7177708377785</v>
      </c>
      <c r="I55" s="108">
        <f>HLOOKUP($D$5,'Economist Financing Model 2'!$Q$68:$W$144,B55,FALSE)</f>
        <v>-7784.6768465727782</v>
      </c>
      <c r="J55" s="109">
        <f>HLOOKUP($D$5,'Economist Financing Model 2'!$X$68:$AD$144,B55,FALSE)</f>
        <v>-12826.438481311099</v>
      </c>
    </row>
    <row r="56" spans="1:10" x14ac:dyDescent="0.2">
      <c r="A56" s="105">
        <f>'Summary Baseline Data'!A55</f>
        <v>2036</v>
      </c>
      <c r="B56" s="105">
        <v>47</v>
      </c>
      <c r="C56" s="107">
        <f>HLOOKUP($D$5,'Economist Financing Model 1'!$C$6:$H$79,'Economist Financing Model 1'!B52,FALSE)</f>
        <v>-3735.2876412345749</v>
      </c>
      <c r="D56" s="108">
        <f>HLOOKUP($D$5,'Economist Financing Model 1'!$I$6:$N$80,'Economist Financing Model 1'!B52,FALSE)</f>
        <v>-4473.8499003814213</v>
      </c>
      <c r="E56" s="108">
        <f>HLOOKUP($D$5,'Economist Financing Model 1'!$O$6:$T$80,'Economist Financing Model 1'!B52,FALSE)</f>
        <v>-5264.4863014439543</v>
      </c>
      <c r="F56" s="109">
        <f>HLOOKUP($D$5,'Economist Financing Model 1'!$U$6:$Z$80,'Economist Financing Model 1'!B52,FALSE)</f>
        <v>-6963.9762560382123</v>
      </c>
      <c r="G56" s="107">
        <f>HLOOKUP($D$5,'Economist Financing Model 2'!$C$68:$I$143,B56,FALSE)</f>
        <v>-4483.2411317487695</v>
      </c>
      <c r="H56" s="108">
        <f>HLOOKUP($D$5,'Economist Financing Model 2'!$J$68:$P$144,B56,FALSE)</f>
        <v>-5949.7177708377785</v>
      </c>
      <c r="I56" s="108">
        <f>HLOOKUP($D$5,'Economist Financing Model 2'!$Q$68:$W$144,B56,FALSE)</f>
        <v>-7784.6768465727782</v>
      </c>
      <c r="J56" s="109">
        <f>HLOOKUP($D$5,'Economist Financing Model 2'!$X$68:$AD$144,B56,FALSE)</f>
        <v>-12826.438481311099</v>
      </c>
    </row>
    <row r="57" spans="1:10" x14ac:dyDescent="0.2">
      <c r="A57" s="105">
        <f>'Summary Baseline Data'!A56</f>
        <v>2037</v>
      </c>
      <c r="B57" s="105">
        <v>48</v>
      </c>
      <c r="C57" s="107">
        <f>HLOOKUP($D$5,'Economist Financing Model 1'!$C$6:$H$79,'Economist Financing Model 1'!B53,FALSE)</f>
        <v>-3735.2876412345749</v>
      </c>
      <c r="D57" s="108">
        <f>HLOOKUP($D$5,'Economist Financing Model 1'!$I$6:$N$80,'Economist Financing Model 1'!B53,FALSE)</f>
        <v>-4473.8499003814213</v>
      </c>
      <c r="E57" s="108">
        <f>HLOOKUP($D$5,'Economist Financing Model 1'!$O$6:$T$80,'Economist Financing Model 1'!B53,FALSE)</f>
        <v>-5264.4863014439543</v>
      </c>
      <c r="F57" s="109">
        <f>HLOOKUP($D$5,'Economist Financing Model 1'!$U$6:$Z$80,'Economist Financing Model 1'!B53,FALSE)</f>
        <v>-6963.9762560382123</v>
      </c>
      <c r="G57" s="107">
        <f>HLOOKUP($D$5,'Economist Financing Model 2'!$C$68:$I$143,B57,FALSE)</f>
        <v>-4054.6332480214101</v>
      </c>
      <c r="H57" s="108">
        <f>HLOOKUP($D$5,'Economist Financing Model 2'!$J$68:$P$144,B57,FALSE)</f>
        <v>-5380.9114390803934</v>
      </c>
      <c r="I57" s="108">
        <f>HLOOKUP($D$5,'Economist Financing Model 2'!$Q$68:$W$144,B57,FALSE)</f>
        <v>-7040.4443213395334</v>
      </c>
      <c r="J57" s="109">
        <f>HLOOKUP($D$5,'Economist Financing Model 2'!$X$68:$AD$144,B57,FALSE)</f>
        <v>-11600.202262540168</v>
      </c>
    </row>
    <row r="58" spans="1:10" x14ac:dyDescent="0.2">
      <c r="A58" s="105">
        <f>'Summary Baseline Data'!A57</f>
        <v>2038</v>
      </c>
      <c r="B58" s="105">
        <v>49</v>
      </c>
      <c r="C58" s="107">
        <f>HLOOKUP($D$5,'Economist Financing Model 1'!$C$6:$H$79,'Economist Financing Model 1'!B54,FALSE)</f>
        <v>-3735.2876412345749</v>
      </c>
      <c r="D58" s="108">
        <f>HLOOKUP($D$5,'Economist Financing Model 1'!$I$6:$N$80,'Economist Financing Model 1'!B54,FALSE)</f>
        <v>-4473.8499003814213</v>
      </c>
      <c r="E58" s="108">
        <f>HLOOKUP($D$5,'Economist Financing Model 1'!$O$6:$T$80,'Economist Financing Model 1'!B54,FALSE)</f>
        <v>-5264.4863014439543</v>
      </c>
      <c r="F58" s="109">
        <f>HLOOKUP($D$5,'Economist Financing Model 1'!$U$6:$Z$80,'Economist Financing Model 1'!B54,FALSE)</f>
        <v>-6963.9762560382123</v>
      </c>
      <c r="G58" s="107">
        <f>HLOOKUP($D$5,'Economist Financing Model 2'!$C$68:$I$143,B58,FALSE)</f>
        <v>-4054.6332480214101</v>
      </c>
      <c r="H58" s="108">
        <f>HLOOKUP($D$5,'Economist Financing Model 2'!$J$68:$P$144,B58,FALSE)</f>
        <v>-5380.9114390803934</v>
      </c>
      <c r="I58" s="108">
        <f>HLOOKUP($D$5,'Economist Financing Model 2'!$Q$68:$W$144,B58,FALSE)</f>
        <v>-7040.4443213395334</v>
      </c>
      <c r="J58" s="109">
        <f>HLOOKUP($D$5,'Economist Financing Model 2'!$X$68:$AD$144,B58,FALSE)</f>
        <v>-11600.202262540168</v>
      </c>
    </row>
    <row r="59" spans="1:10" x14ac:dyDescent="0.2">
      <c r="A59" s="105">
        <f>'Summary Baseline Data'!A58</f>
        <v>2039</v>
      </c>
      <c r="B59" s="105">
        <v>50</v>
      </c>
      <c r="C59" s="107">
        <f>HLOOKUP($D$5,'Economist Financing Model 1'!$C$6:$H$79,'Economist Financing Model 1'!B55,FALSE)</f>
        <v>-3735.2876412345749</v>
      </c>
      <c r="D59" s="108">
        <f>HLOOKUP($D$5,'Economist Financing Model 1'!$I$6:$N$80,'Economist Financing Model 1'!B55,FALSE)</f>
        <v>-4473.8499003814213</v>
      </c>
      <c r="E59" s="108">
        <f>HLOOKUP($D$5,'Economist Financing Model 1'!$O$6:$T$80,'Economist Financing Model 1'!B55,FALSE)</f>
        <v>-5264.4863014439543</v>
      </c>
      <c r="F59" s="109">
        <f>HLOOKUP($D$5,'Economist Financing Model 1'!$U$6:$Z$80,'Economist Financing Model 1'!B55,FALSE)</f>
        <v>-6963.9762560382123</v>
      </c>
      <c r="G59" s="107">
        <f>HLOOKUP($D$5,'Economist Financing Model 2'!$C$68:$I$143,B59,FALSE)</f>
        <v>-4054.6332480214101</v>
      </c>
      <c r="H59" s="108">
        <f>HLOOKUP($D$5,'Economist Financing Model 2'!$J$68:$P$144,B59,FALSE)</f>
        <v>-5380.9114390803934</v>
      </c>
      <c r="I59" s="108">
        <f>HLOOKUP($D$5,'Economist Financing Model 2'!$Q$68:$W$144,B59,FALSE)</f>
        <v>-7040.4443213395334</v>
      </c>
      <c r="J59" s="109">
        <f>HLOOKUP($D$5,'Economist Financing Model 2'!$X$68:$AD$144,B59,FALSE)</f>
        <v>-11600.202262540168</v>
      </c>
    </row>
    <row r="60" spans="1:10" x14ac:dyDescent="0.2">
      <c r="A60" s="105">
        <f>'Summary Baseline Data'!A59</f>
        <v>2040</v>
      </c>
      <c r="B60" s="105">
        <v>51</v>
      </c>
      <c r="C60" s="107">
        <f>HLOOKUP($D$5,'Economist Financing Model 1'!$C$6:$H$79,'Economist Financing Model 1'!B56,FALSE)</f>
        <v>-3735.2876412345749</v>
      </c>
      <c r="D60" s="108">
        <f>HLOOKUP($D$5,'Economist Financing Model 1'!$I$6:$N$80,'Economist Financing Model 1'!B56,FALSE)</f>
        <v>-4473.8499003814213</v>
      </c>
      <c r="E60" s="108">
        <f>HLOOKUP($D$5,'Economist Financing Model 1'!$O$6:$T$80,'Economist Financing Model 1'!B56,FALSE)</f>
        <v>-5264.4863014439543</v>
      </c>
      <c r="F60" s="109">
        <f>HLOOKUP($D$5,'Economist Financing Model 1'!$U$6:$Z$80,'Economist Financing Model 1'!B56,FALSE)</f>
        <v>-6963.9762560382123</v>
      </c>
      <c r="G60" s="107">
        <f>HLOOKUP($D$5,'Economist Financing Model 2'!$C$68:$I$143,B60,FALSE)</f>
        <v>-4054.6332480214101</v>
      </c>
      <c r="H60" s="108">
        <f>HLOOKUP($D$5,'Economist Financing Model 2'!$J$68:$P$144,B60,FALSE)</f>
        <v>-5380.9114390803934</v>
      </c>
      <c r="I60" s="108">
        <f>HLOOKUP($D$5,'Economist Financing Model 2'!$Q$68:$W$144,B60,FALSE)</f>
        <v>-7040.4443213395334</v>
      </c>
      <c r="J60" s="109">
        <f>HLOOKUP($D$5,'Economist Financing Model 2'!$X$68:$AD$144,B60,FALSE)</f>
        <v>-11600.202262540168</v>
      </c>
    </row>
    <row r="61" spans="1:10" x14ac:dyDescent="0.2">
      <c r="A61" s="105">
        <f>'Summary Baseline Data'!A60</f>
        <v>2041</v>
      </c>
      <c r="B61" s="105">
        <v>52</v>
      </c>
      <c r="C61" s="107">
        <f>HLOOKUP($D$5,'Economist Financing Model 1'!$C$6:$H$79,'Economist Financing Model 1'!B57,FALSE)</f>
        <v>-3735.2876412345749</v>
      </c>
      <c r="D61" s="108">
        <f>HLOOKUP($D$5,'Economist Financing Model 1'!$I$6:$N$80,'Economist Financing Model 1'!B57,FALSE)</f>
        <v>-4473.8499003814213</v>
      </c>
      <c r="E61" s="108">
        <f>HLOOKUP($D$5,'Economist Financing Model 1'!$O$6:$T$80,'Economist Financing Model 1'!B57,FALSE)</f>
        <v>-5264.4863014439543</v>
      </c>
      <c r="F61" s="109">
        <f>HLOOKUP($D$5,'Economist Financing Model 1'!$U$6:$Z$80,'Economist Financing Model 1'!B57,FALSE)</f>
        <v>-6963.9762560382123</v>
      </c>
      <c r="G61" s="107">
        <f>HLOOKUP($D$5,'Economist Financing Model 2'!$C$68:$I$143,B61,FALSE)</f>
        <v>-4054.6332480214101</v>
      </c>
      <c r="H61" s="108">
        <f>HLOOKUP($D$5,'Economist Financing Model 2'!$J$68:$P$144,B61,FALSE)</f>
        <v>-5380.9114390803934</v>
      </c>
      <c r="I61" s="108">
        <f>HLOOKUP($D$5,'Economist Financing Model 2'!$Q$68:$W$144,B61,FALSE)</f>
        <v>-7040.4443213395334</v>
      </c>
      <c r="J61" s="109">
        <f>HLOOKUP($D$5,'Economist Financing Model 2'!$X$68:$AD$144,B61,FALSE)</f>
        <v>-11600.202262540168</v>
      </c>
    </row>
    <row r="62" spans="1:10" x14ac:dyDescent="0.2">
      <c r="A62" s="105">
        <f>'Summary Baseline Data'!A61</f>
        <v>2042</v>
      </c>
      <c r="B62" s="105">
        <v>53</v>
      </c>
      <c r="C62" s="107">
        <f>HLOOKUP($D$5,'Economist Financing Model 1'!$C$6:$H$79,'Economist Financing Model 1'!B58,FALSE)</f>
        <v>-3735.2876412345749</v>
      </c>
      <c r="D62" s="108">
        <f>HLOOKUP($D$5,'Economist Financing Model 1'!$I$6:$N$80,'Economist Financing Model 1'!B58,FALSE)</f>
        <v>-4473.8499003814213</v>
      </c>
      <c r="E62" s="108">
        <f>HLOOKUP($D$5,'Economist Financing Model 1'!$O$6:$T$80,'Economist Financing Model 1'!B58,FALSE)</f>
        <v>-5264.4863014439543</v>
      </c>
      <c r="F62" s="109">
        <f>HLOOKUP($D$5,'Economist Financing Model 1'!$U$6:$Z$80,'Economist Financing Model 1'!B58,FALSE)</f>
        <v>-6963.9762560382123</v>
      </c>
      <c r="G62" s="107">
        <f>HLOOKUP($D$5,'Economist Financing Model 2'!$C$68:$I$143,B62,FALSE)</f>
        <v>-4054.6332480214101</v>
      </c>
      <c r="H62" s="108">
        <f>HLOOKUP($D$5,'Economist Financing Model 2'!$J$68:$P$144,B62,FALSE)</f>
        <v>-5380.9114390803934</v>
      </c>
      <c r="I62" s="108">
        <f>HLOOKUP($D$5,'Economist Financing Model 2'!$Q$68:$W$144,B62,FALSE)</f>
        <v>-7040.4443213395334</v>
      </c>
      <c r="J62" s="109">
        <f>HLOOKUP($D$5,'Economist Financing Model 2'!$X$68:$AD$144,B62,FALSE)</f>
        <v>-11600.202262540168</v>
      </c>
    </row>
    <row r="63" spans="1:10" x14ac:dyDescent="0.2">
      <c r="A63" s="105">
        <f>'Summary Baseline Data'!A62</f>
        <v>2043</v>
      </c>
      <c r="B63" s="105">
        <v>54</v>
      </c>
      <c r="C63" s="107">
        <f>HLOOKUP($D$5,'Economist Financing Model 1'!$C$6:$H$79,'Economist Financing Model 1'!B59,FALSE)</f>
        <v>-3735.2876412345749</v>
      </c>
      <c r="D63" s="108">
        <f>HLOOKUP($D$5,'Economist Financing Model 1'!$I$6:$N$80,'Economist Financing Model 1'!B59,FALSE)</f>
        <v>-4473.8499003814213</v>
      </c>
      <c r="E63" s="108">
        <f>HLOOKUP($D$5,'Economist Financing Model 1'!$O$6:$T$80,'Economist Financing Model 1'!B59,FALSE)</f>
        <v>-5264.4863014439543</v>
      </c>
      <c r="F63" s="109">
        <f>HLOOKUP($D$5,'Economist Financing Model 1'!$U$6:$Z$80,'Economist Financing Model 1'!B59,FALSE)</f>
        <v>-6963.9762560382123</v>
      </c>
      <c r="G63" s="107">
        <f>HLOOKUP($D$5,'Economist Financing Model 2'!$C$68:$I$143,B63,FALSE)</f>
        <v>-4054.6332480214101</v>
      </c>
      <c r="H63" s="108">
        <f>HLOOKUP($D$5,'Economist Financing Model 2'!$J$68:$P$144,B63,FALSE)</f>
        <v>-5380.9114390803934</v>
      </c>
      <c r="I63" s="108">
        <f>HLOOKUP($D$5,'Economist Financing Model 2'!$Q$68:$W$144,B63,FALSE)</f>
        <v>-7040.4443213395334</v>
      </c>
      <c r="J63" s="109">
        <f>HLOOKUP($D$5,'Economist Financing Model 2'!$X$68:$AD$144,B63,FALSE)</f>
        <v>-11600.202262540168</v>
      </c>
    </row>
    <row r="64" spans="1:10" x14ac:dyDescent="0.2">
      <c r="A64" s="105">
        <f>'Summary Baseline Data'!A63</f>
        <v>2044</v>
      </c>
      <c r="B64" s="105">
        <v>55</v>
      </c>
      <c r="C64" s="107">
        <f>HLOOKUP($D$5,'Economist Financing Model 1'!$C$6:$H$79,'Economist Financing Model 1'!B60,FALSE)</f>
        <v>-3735.2876412345749</v>
      </c>
      <c r="D64" s="108">
        <f>HLOOKUP($D$5,'Economist Financing Model 1'!$I$6:$N$80,'Economist Financing Model 1'!B60,FALSE)</f>
        <v>-4473.8499003814213</v>
      </c>
      <c r="E64" s="108">
        <f>HLOOKUP($D$5,'Economist Financing Model 1'!$O$6:$T$80,'Economist Financing Model 1'!B60,FALSE)</f>
        <v>-5264.4863014439543</v>
      </c>
      <c r="F64" s="109">
        <f>HLOOKUP($D$5,'Economist Financing Model 1'!$U$6:$Z$80,'Economist Financing Model 1'!B60,FALSE)</f>
        <v>-6963.9762560382123</v>
      </c>
      <c r="G64" s="107">
        <f>HLOOKUP($D$5,'Economist Financing Model 2'!$C$68:$I$143,B64,FALSE)</f>
        <v>-4054.6332480214101</v>
      </c>
      <c r="H64" s="108">
        <f>HLOOKUP($D$5,'Economist Financing Model 2'!$J$68:$P$144,B64,FALSE)</f>
        <v>-5380.9114390803934</v>
      </c>
      <c r="I64" s="108">
        <f>HLOOKUP($D$5,'Economist Financing Model 2'!$Q$68:$W$144,B64,FALSE)</f>
        <v>-7040.4443213395334</v>
      </c>
      <c r="J64" s="109">
        <f>HLOOKUP($D$5,'Economist Financing Model 2'!$X$68:$AD$144,B64,FALSE)</f>
        <v>-11600.202262540168</v>
      </c>
    </row>
    <row r="65" spans="1:10" x14ac:dyDescent="0.2">
      <c r="A65" s="105">
        <f>'Summary Baseline Data'!A64</f>
        <v>2045</v>
      </c>
      <c r="B65" s="105">
        <v>56</v>
      </c>
      <c r="C65" s="107">
        <f>HLOOKUP($D$5,'Economist Financing Model 1'!$C$6:$H$79,'Economist Financing Model 1'!B61,FALSE)</f>
        <v>-3735.2876412346609</v>
      </c>
      <c r="D65" s="108">
        <f>HLOOKUP($D$5,'Economist Financing Model 1'!$I$6:$N$80,'Economist Financing Model 1'!B61,FALSE)</f>
        <v>-4473.849900381525</v>
      </c>
      <c r="E65" s="108">
        <f>HLOOKUP($D$5,'Economist Financing Model 1'!$O$6:$T$80,'Economist Financing Model 1'!B61,FALSE)</f>
        <v>-5264.4863014440762</v>
      </c>
      <c r="F65" s="109">
        <f>HLOOKUP($D$5,'Economist Financing Model 1'!$U$6:$Z$80,'Economist Financing Model 1'!B61,FALSE)</f>
        <v>-6963.9762560383733</v>
      </c>
      <c r="G65" s="107">
        <f>HLOOKUP($D$5,'Economist Financing Model 2'!$C$68:$I$143,B65,FALSE)</f>
        <v>-4054.6332480214101</v>
      </c>
      <c r="H65" s="108">
        <f>HLOOKUP($D$5,'Economist Financing Model 2'!$J$68:$P$144,B65,FALSE)</f>
        <v>-5380.9114390803934</v>
      </c>
      <c r="I65" s="108">
        <f>HLOOKUP($D$5,'Economist Financing Model 2'!$Q$68:$W$144,B65,FALSE)</f>
        <v>-7040.4443213395334</v>
      </c>
      <c r="J65" s="109">
        <f>HLOOKUP($D$5,'Economist Financing Model 2'!$X$68:$AD$144,B65,FALSE)</f>
        <v>-11600.202262540168</v>
      </c>
    </row>
    <row r="66" spans="1:10" x14ac:dyDescent="0.2">
      <c r="A66" s="105">
        <f>'Summary Baseline Data'!A65</f>
        <v>2046</v>
      </c>
      <c r="B66" s="105">
        <v>57</v>
      </c>
      <c r="C66" s="107">
        <f>HLOOKUP($D$5,'Economist Financing Model 1'!$C$6:$H$79,'Economist Financing Model 1'!B62,FALSE)</f>
        <v>-3449.9160999948226</v>
      </c>
      <c r="D66" s="108">
        <f>HLOOKUP($D$5,'Economist Financing Model 1'!$I$6:$N$80,'Economist Financing Model 1'!B62,FALSE)</f>
        <v>-4132.0530793673415</v>
      </c>
      <c r="E66" s="108">
        <f>HLOOKUP($D$5,'Economist Financing Model 1'!$O$6:$T$80,'Economist Financing Model 1'!B62,FALSE)</f>
        <v>-4862.2857980358485</v>
      </c>
      <c r="F66" s="109">
        <f>HLOOKUP($D$5,'Economist Financing Model 1'!$U$6:$Z$80,'Economist Financing Model 1'!B62,FALSE)</f>
        <v>-6431.936737741351</v>
      </c>
      <c r="G66" s="107">
        <f>HLOOKUP($D$5,'Economist Financing Model 2'!$C$68:$I$143,B66,FALSE)</f>
        <v>-4054.6332480215037</v>
      </c>
      <c r="H66" s="108">
        <f>HLOOKUP($D$5,'Economist Financing Model 2'!$J$68:$P$144,B66,FALSE)</f>
        <v>-5380.9114390805171</v>
      </c>
      <c r="I66" s="108">
        <f>HLOOKUP($D$5,'Economist Financing Model 2'!$Q$68:$W$144,B66,FALSE)</f>
        <v>-7040.4443213396962</v>
      </c>
      <c r="J66" s="109">
        <f>HLOOKUP($D$5,'Economist Financing Model 2'!$X$68:$AD$144,B66,FALSE)</f>
        <v>-11600.202262540437</v>
      </c>
    </row>
    <row r="67" spans="1:10" x14ac:dyDescent="0.2">
      <c r="A67" s="105">
        <f>'Summary Baseline Data'!A66</f>
        <v>2047</v>
      </c>
      <c r="B67" s="105">
        <v>58</v>
      </c>
      <c r="C67" s="107">
        <f>HLOOKUP($D$5,'Economist Financing Model 1'!$C$6:$H$79,'Economist Financing Model 1'!B63,FALSE)</f>
        <v>-3449.9160999948226</v>
      </c>
      <c r="D67" s="108">
        <f>HLOOKUP($D$5,'Economist Financing Model 1'!$I$6:$N$80,'Economist Financing Model 1'!B63,FALSE)</f>
        <v>-4132.0530793673415</v>
      </c>
      <c r="E67" s="108">
        <f>HLOOKUP($D$5,'Economist Financing Model 1'!$O$6:$T$80,'Economist Financing Model 1'!B63,FALSE)</f>
        <v>-4862.2857980358485</v>
      </c>
      <c r="F67" s="109">
        <f>HLOOKUP($D$5,'Economist Financing Model 1'!$U$6:$Z$80,'Economist Financing Model 1'!B63,FALSE)</f>
        <v>-6431.936737741351</v>
      </c>
      <c r="G67" s="107">
        <f>HLOOKUP($D$5,'Economist Financing Model 2'!$C$68:$I$143,B67,FALSE)</f>
        <v>-3744.8640815517083</v>
      </c>
      <c r="H67" s="108">
        <f>HLOOKUP($D$5,'Economist Financing Model 2'!$J$68:$P$144,B67,FALSE)</f>
        <v>-4969.816193377319</v>
      </c>
      <c r="I67" s="108">
        <f>HLOOKUP($D$5,'Economist Financing Model 2'!$Q$68:$W$144,B67,FALSE)</f>
        <v>-6502.562733636888</v>
      </c>
      <c r="J67" s="109">
        <f>HLOOKUP($D$5,'Economist Financing Model 2'!$X$68:$AD$144,B67,FALSE)</f>
        <v>-10713.960581495274</v>
      </c>
    </row>
    <row r="68" spans="1:10" x14ac:dyDescent="0.2">
      <c r="A68" s="105">
        <f>'Summary Baseline Data'!A67</f>
        <v>2048</v>
      </c>
      <c r="B68" s="105">
        <v>59</v>
      </c>
      <c r="C68" s="107">
        <f>HLOOKUP($D$5,'Economist Financing Model 1'!$C$6:$H$79,'Economist Financing Model 1'!B64,FALSE)</f>
        <v>-3449.9160999948226</v>
      </c>
      <c r="D68" s="108">
        <f>HLOOKUP($D$5,'Economist Financing Model 1'!$I$6:$N$80,'Economist Financing Model 1'!B64,FALSE)</f>
        <v>-4132.0530793673415</v>
      </c>
      <c r="E68" s="108">
        <f>HLOOKUP($D$5,'Economist Financing Model 1'!$O$6:$T$80,'Economist Financing Model 1'!B64,FALSE)</f>
        <v>-4862.2857980358485</v>
      </c>
      <c r="F68" s="109">
        <f>HLOOKUP($D$5,'Economist Financing Model 1'!$U$6:$Z$80,'Economist Financing Model 1'!B64,FALSE)</f>
        <v>-6431.936737741351</v>
      </c>
      <c r="G68" s="107">
        <f>HLOOKUP($D$5,'Economist Financing Model 2'!$C$68:$I$143,B68,FALSE)</f>
        <v>-3744.8640815517083</v>
      </c>
      <c r="H68" s="108">
        <f>HLOOKUP($D$5,'Economist Financing Model 2'!$J$68:$P$144,B68,FALSE)</f>
        <v>-4969.816193377319</v>
      </c>
      <c r="I68" s="108">
        <f>HLOOKUP($D$5,'Economist Financing Model 2'!$Q$68:$W$144,B68,FALSE)</f>
        <v>-6502.562733636888</v>
      </c>
      <c r="J68" s="109">
        <f>HLOOKUP($D$5,'Economist Financing Model 2'!$X$68:$AD$144,B68,FALSE)</f>
        <v>-10713.960581495274</v>
      </c>
    </row>
    <row r="69" spans="1:10" x14ac:dyDescent="0.2">
      <c r="A69" s="105">
        <f>'Summary Baseline Data'!A68</f>
        <v>2049</v>
      </c>
      <c r="B69" s="105">
        <v>60</v>
      </c>
      <c r="C69" s="107">
        <f>HLOOKUP($D$5,'Economist Financing Model 1'!$C$6:$H$79,'Economist Financing Model 1'!B65,FALSE)</f>
        <v>-3449.9160999948226</v>
      </c>
      <c r="D69" s="108">
        <f>HLOOKUP($D$5,'Economist Financing Model 1'!$I$6:$N$80,'Economist Financing Model 1'!B65,FALSE)</f>
        <v>-4132.0530793673415</v>
      </c>
      <c r="E69" s="108">
        <f>HLOOKUP($D$5,'Economist Financing Model 1'!$O$6:$T$80,'Economist Financing Model 1'!B65,FALSE)</f>
        <v>-4862.2857980358485</v>
      </c>
      <c r="F69" s="109">
        <f>HLOOKUP($D$5,'Economist Financing Model 1'!$U$6:$Z$80,'Economist Financing Model 1'!B65,FALSE)</f>
        <v>-6431.936737741351</v>
      </c>
      <c r="G69" s="107">
        <f>HLOOKUP($D$5,'Economist Financing Model 2'!$C$68:$I$143,B69,FALSE)</f>
        <v>-3744.8640815517083</v>
      </c>
      <c r="H69" s="108">
        <f>HLOOKUP($D$5,'Economist Financing Model 2'!$J$68:$P$144,B69,FALSE)</f>
        <v>-4969.816193377319</v>
      </c>
      <c r="I69" s="108">
        <f>HLOOKUP($D$5,'Economist Financing Model 2'!$Q$68:$W$144,B69,FALSE)</f>
        <v>-6502.562733636888</v>
      </c>
      <c r="J69" s="109">
        <f>HLOOKUP($D$5,'Economist Financing Model 2'!$X$68:$AD$144,B69,FALSE)</f>
        <v>-10713.960581495274</v>
      </c>
    </row>
    <row r="70" spans="1:10" x14ac:dyDescent="0.2">
      <c r="A70" s="105">
        <f>'Summary Baseline Data'!A69</f>
        <v>2050</v>
      </c>
      <c r="B70" s="105">
        <v>61</v>
      </c>
      <c r="C70" s="107">
        <f>HLOOKUP($D$5,'Economist Financing Model 1'!$C$6:$H$79,'Economist Financing Model 1'!B66,FALSE)</f>
        <v>-3449.9160999948226</v>
      </c>
      <c r="D70" s="108">
        <f>HLOOKUP($D$5,'Economist Financing Model 1'!$I$6:$N$80,'Economist Financing Model 1'!B66,FALSE)</f>
        <v>-4132.0530793673415</v>
      </c>
      <c r="E70" s="108">
        <f>HLOOKUP($D$5,'Economist Financing Model 1'!$O$6:$T$80,'Economist Financing Model 1'!B66,FALSE)</f>
        <v>-4862.2857980358485</v>
      </c>
      <c r="F70" s="109">
        <f>HLOOKUP($D$5,'Economist Financing Model 1'!$U$6:$Z$80,'Economist Financing Model 1'!B66,FALSE)</f>
        <v>-6431.936737741351</v>
      </c>
      <c r="G70" s="107">
        <f>HLOOKUP($D$5,'Economist Financing Model 2'!$C$68:$I$143,B70,FALSE)</f>
        <v>-3744.8640815517083</v>
      </c>
      <c r="H70" s="108">
        <f>HLOOKUP($D$5,'Economist Financing Model 2'!$J$68:$P$144,B70,FALSE)</f>
        <v>-4969.816193377319</v>
      </c>
      <c r="I70" s="108">
        <f>HLOOKUP($D$5,'Economist Financing Model 2'!$Q$68:$W$144,B70,FALSE)</f>
        <v>-6502.562733636888</v>
      </c>
      <c r="J70" s="109">
        <f>HLOOKUP($D$5,'Economist Financing Model 2'!$X$68:$AD$144,B70,FALSE)</f>
        <v>-10713.960581495274</v>
      </c>
    </row>
    <row r="71" spans="1:10" x14ac:dyDescent="0.2">
      <c r="A71" s="105">
        <f>'Summary Baseline Data'!A70</f>
        <v>2051</v>
      </c>
      <c r="B71" s="105">
        <v>62</v>
      </c>
      <c r="C71" s="107">
        <f>HLOOKUP($D$5,'Economist Financing Model 1'!$C$6:$H$79,'Economist Financing Model 1'!B67,FALSE)</f>
        <v>-3449.9160999948226</v>
      </c>
      <c r="D71" s="108">
        <f>HLOOKUP($D$5,'Economist Financing Model 1'!$I$6:$N$80,'Economist Financing Model 1'!B67,FALSE)</f>
        <v>-4132.0530793673415</v>
      </c>
      <c r="E71" s="108">
        <f>HLOOKUP($D$5,'Economist Financing Model 1'!$O$6:$T$80,'Economist Financing Model 1'!B67,FALSE)</f>
        <v>-4862.2857980358485</v>
      </c>
      <c r="F71" s="109">
        <f>HLOOKUP($D$5,'Economist Financing Model 1'!$U$6:$Z$80,'Economist Financing Model 1'!B67,FALSE)</f>
        <v>-6431.936737741351</v>
      </c>
      <c r="G71" s="107">
        <f>HLOOKUP($D$5,'Economist Financing Model 2'!$C$68:$I$143,B71,FALSE)</f>
        <v>-3744.8640815517083</v>
      </c>
      <c r="H71" s="108">
        <f>HLOOKUP($D$5,'Economist Financing Model 2'!$J$68:$P$144,B71,FALSE)</f>
        <v>-4969.816193377319</v>
      </c>
      <c r="I71" s="108">
        <f>HLOOKUP($D$5,'Economist Financing Model 2'!$Q$68:$W$144,B71,FALSE)</f>
        <v>-6502.562733636888</v>
      </c>
      <c r="J71" s="109">
        <f>HLOOKUP($D$5,'Economist Financing Model 2'!$X$68:$AD$144,B71,FALSE)</f>
        <v>-10713.960581495274</v>
      </c>
    </row>
    <row r="72" spans="1:10" x14ac:dyDescent="0.2">
      <c r="A72" s="105">
        <f>'Summary Baseline Data'!A71</f>
        <v>2052</v>
      </c>
      <c r="B72" s="105">
        <v>63</v>
      </c>
      <c r="C72" s="107">
        <f>HLOOKUP($D$5,'Economist Financing Model 1'!$C$6:$H$79,'Economist Financing Model 1'!B68,FALSE)</f>
        <v>-3449.9160999948226</v>
      </c>
      <c r="D72" s="108">
        <f>HLOOKUP($D$5,'Economist Financing Model 1'!$I$6:$N$80,'Economist Financing Model 1'!B68,FALSE)</f>
        <v>-4132.0530793673415</v>
      </c>
      <c r="E72" s="108">
        <f>HLOOKUP($D$5,'Economist Financing Model 1'!$O$6:$T$80,'Economist Financing Model 1'!B68,FALSE)</f>
        <v>-4862.2857980358485</v>
      </c>
      <c r="F72" s="109">
        <f>HLOOKUP($D$5,'Economist Financing Model 1'!$U$6:$Z$80,'Economist Financing Model 1'!B68,FALSE)</f>
        <v>-6431.936737741351</v>
      </c>
      <c r="G72" s="107">
        <f>HLOOKUP($D$5,'Economist Financing Model 2'!$C$68:$I$143,B72,FALSE)</f>
        <v>-3744.8640815517083</v>
      </c>
      <c r="H72" s="108">
        <f>HLOOKUP($D$5,'Economist Financing Model 2'!$J$68:$P$144,B72,FALSE)</f>
        <v>-4969.816193377319</v>
      </c>
      <c r="I72" s="108">
        <f>HLOOKUP($D$5,'Economist Financing Model 2'!$Q$68:$W$144,B72,FALSE)</f>
        <v>-6502.562733636888</v>
      </c>
      <c r="J72" s="109">
        <f>HLOOKUP($D$5,'Economist Financing Model 2'!$X$68:$AD$144,B72,FALSE)</f>
        <v>-10713.960581495274</v>
      </c>
    </row>
    <row r="73" spans="1:10" x14ac:dyDescent="0.2">
      <c r="A73" s="105">
        <f>'Summary Baseline Data'!A72</f>
        <v>2053</v>
      </c>
      <c r="B73" s="105">
        <v>64</v>
      </c>
      <c r="C73" s="107">
        <f>HLOOKUP($D$5,'Economist Financing Model 1'!$C$6:$H$79,'Economist Financing Model 1'!B69,FALSE)</f>
        <v>-3449.9160999948226</v>
      </c>
      <c r="D73" s="108">
        <f>HLOOKUP($D$5,'Economist Financing Model 1'!$I$6:$N$80,'Economist Financing Model 1'!B69,FALSE)</f>
        <v>-4132.0530793673415</v>
      </c>
      <c r="E73" s="108">
        <f>HLOOKUP($D$5,'Economist Financing Model 1'!$O$6:$T$80,'Economist Financing Model 1'!B69,FALSE)</f>
        <v>-4862.2857980358485</v>
      </c>
      <c r="F73" s="109">
        <f>HLOOKUP($D$5,'Economist Financing Model 1'!$U$6:$Z$80,'Economist Financing Model 1'!B69,FALSE)</f>
        <v>-6431.936737741351</v>
      </c>
      <c r="G73" s="107">
        <f>HLOOKUP($D$5,'Economist Financing Model 2'!$C$68:$I$143,B73,FALSE)</f>
        <v>-3744.8640815517083</v>
      </c>
      <c r="H73" s="108">
        <f>HLOOKUP($D$5,'Economist Financing Model 2'!$J$68:$P$144,B73,FALSE)</f>
        <v>-4969.816193377319</v>
      </c>
      <c r="I73" s="108">
        <f>HLOOKUP($D$5,'Economist Financing Model 2'!$Q$68:$W$144,B73,FALSE)</f>
        <v>-6502.562733636888</v>
      </c>
      <c r="J73" s="109">
        <f>HLOOKUP($D$5,'Economist Financing Model 2'!$X$68:$AD$144,B73,FALSE)</f>
        <v>-10713.960581495274</v>
      </c>
    </row>
    <row r="74" spans="1:10" x14ac:dyDescent="0.2">
      <c r="A74" s="105">
        <f>'Summary Baseline Data'!A73</f>
        <v>2054</v>
      </c>
      <c r="B74" s="105">
        <v>65</v>
      </c>
      <c r="C74" s="107">
        <f>HLOOKUP($D$5,'Economist Financing Model 1'!$C$6:$H$79,'Economist Financing Model 1'!B70,FALSE)</f>
        <v>-3449.9160999948226</v>
      </c>
      <c r="D74" s="108">
        <f>HLOOKUP($D$5,'Economist Financing Model 1'!$I$6:$N$80,'Economist Financing Model 1'!B70,FALSE)</f>
        <v>-4132.0530793673415</v>
      </c>
      <c r="E74" s="108">
        <f>HLOOKUP($D$5,'Economist Financing Model 1'!$O$6:$T$80,'Economist Financing Model 1'!B70,FALSE)</f>
        <v>-4862.2857980358485</v>
      </c>
      <c r="F74" s="109">
        <f>HLOOKUP($D$5,'Economist Financing Model 1'!$U$6:$Z$80,'Economist Financing Model 1'!B70,FALSE)</f>
        <v>-6431.936737741351</v>
      </c>
      <c r="G74" s="107">
        <f>HLOOKUP($D$5,'Economist Financing Model 2'!$C$68:$I$143,B74,FALSE)</f>
        <v>-3744.8640815517083</v>
      </c>
      <c r="H74" s="108">
        <f>HLOOKUP($D$5,'Economist Financing Model 2'!$J$68:$P$144,B74,FALSE)</f>
        <v>-4969.816193377319</v>
      </c>
      <c r="I74" s="108">
        <f>HLOOKUP($D$5,'Economist Financing Model 2'!$Q$68:$W$144,B74,FALSE)</f>
        <v>-6502.562733636888</v>
      </c>
      <c r="J74" s="109">
        <f>HLOOKUP($D$5,'Economist Financing Model 2'!$X$68:$AD$144,B74,FALSE)</f>
        <v>-10713.960581495274</v>
      </c>
    </row>
    <row r="75" spans="1:10" x14ac:dyDescent="0.2">
      <c r="A75" s="105">
        <f>'Summary Baseline Data'!A74</f>
        <v>2055</v>
      </c>
      <c r="B75" s="105">
        <v>66</v>
      </c>
      <c r="C75" s="107">
        <f>HLOOKUP($D$5,'Economist Financing Model 1'!$C$6:$H$79,'Economist Financing Model 1'!B71,FALSE)</f>
        <v>-3449.9160999948963</v>
      </c>
      <c r="D75" s="108">
        <f>HLOOKUP($D$5,'Economist Financing Model 1'!$I$6:$N$80,'Economist Financing Model 1'!B71,FALSE)</f>
        <v>-4132.0530793674297</v>
      </c>
      <c r="E75" s="108">
        <f>HLOOKUP($D$5,'Economist Financing Model 1'!$O$6:$T$80,'Economist Financing Model 1'!B71,FALSE)</f>
        <v>-4862.2857980359522</v>
      </c>
      <c r="F75" s="109">
        <f>HLOOKUP($D$5,'Economist Financing Model 1'!$U$6:$Z$80,'Economist Financing Model 1'!B71,FALSE)</f>
        <v>-6431.9367377414883</v>
      </c>
      <c r="G75" s="107">
        <f>HLOOKUP($D$5,'Economist Financing Model 2'!$C$68:$I$143,B75,FALSE)</f>
        <v>-3744.8640815517083</v>
      </c>
      <c r="H75" s="108">
        <f>HLOOKUP($D$5,'Economist Financing Model 2'!$J$68:$P$144,B75,FALSE)</f>
        <v>-4969.816193377319</v>
      </c>
      <c r="I75" s="108">
        <f>HLOOKUP($D$5,'Economist Financing Model 2'!$Q$68:$W$144,B75,FALSE)</f>
        <v>-6502.562733636888</v>
      </c>
      <c r="J75" s="109">
        <f>HLOOKUP($D$5,'Economist Financing Model 2'!$X$68:$AD$144,B75,FALSE)</f>
        <v>-10713.960581495274</v>
      </c>
    </row>
    <row r="76" spans="1:10" x14ac:dyDescent="0.2">
      <c r="A76" s="105">
        <f>'Summary Baseline Data'!A75</f>
        <v>2056</v>
      </c>
      <c r="B76" s="105">
        <v>67</v>
      </c>
      <c r="C76" s="107">
        <f>HLOOKUP($D$5,'Economist Financing Model 1'!$C$6:$H$79,'Economist Financing Model 1'!B72,FALSE)</f>
        <v>0</v>
      </c>
      <c r="D76" s="108">
        <f>HLOOKUP($D$5,'Economist Financing Model 1'!$I$6:$N$80,'Economist Financing Model 1'!B72,FALSE)</f>
        <v>0</v>
      </c>
      <c r="E76" s="108">
        <f>HLOOKUP($D$5,'Economist Financing Model 1'!$O$6:$T$80,'Economist Financing Model 1'!B72,FALSE)</f>
        <v>0</v>
      </c>
      <c r="F76" s="109">
        <f>HLOOKUP($D$5,'Economist Financing Model 1'!$U$6:$Z$80,'Economist Financing Model 1'!B72,FALSE)</f>
        <v>0</v>
      </c>
      <c r="G76" s="107">
        <f>HLOOKUP($D$5,'Economist Financing Model 2'!$C$68:$I$143,B76,FALSE)</f>
        <v>-3744.8640815517883</v>
      </c>
      <c r="H76" s="108">
        <f>HLOOKUP($D$5,'Economist Financing Model 2'!$J$68:$P$144,B76,FALSE)</f>
        <v>-4969.8161933774245</v>
      </c>
      <c r="I76" s="108">
        <f>HLOOKUP($D$5,'Economist Financing Model 2'!$Q$68:$W$144,B76,FALSE)</f>
        <v>-6502.5627336370262</v>
      </c>
      <c r="J76" s="109">
        <f>HLOOKUP($D$5,'Economist Financing Model 2'!$X$68:$AD$144,B76,FALSE)</f>
        <v>-10713.960581495503</v>
      </c>
    </row>
    <row r="77" spans="1:10" x14ac:dyDescent="0.2">
      <c r="A77" s="105">
        <f>'Summary Baseline Data'!A76</f>
        <v>2057</v>
      </c>
      <c r="B77" s="105">
        <v>68</v>
      </c>
      <c r="C77" s="107">
        <f>HLOOKUP($D$5,'Economist Financing Model 1'!$C$6:$H$79,'Economist Financing Model 1'!B73,FALSE)</f>
        <v>0</v>
      </c>
      <c r="D77" s="108">
        <f>HLOOKUP($D$5,'Economist Financing Model 1'!$I$6:$N$80,'Economist Financing Model 1'!B73,FALSE)</f>
        <v>0</v>
      </c>
      <c r="E77" s="108">
        <f>HLOOKUP($D$5,'Economist Financing Model 1'!$O$6:$T$80,'Economist Financing Model 1'!B73,FALSE)</f>
        <v>0</v>
      </c>
      <c r="F77" s="109">
        <f>HLOOKUP($D$5,'Economist Financing Model 1'!$U$6:$Z$80,'Economist Financing Model 1'!B73,FALSE)</f>
        <v>0</v>
      </c>
      <c r="G77" s="107">
        <f>HLOOKUP($D$5,'Economist Financing Model 2'!$C$68:$I$143,B77,FALSE)</f>
        <v>0</v>
      </c>
      <c r="H77" s="108">
        <f>HLOOKUP($D$5,'Economist Financing Model 2'!$J$68:$P$144,B77,FALSE)</f>
        <v>0</v>
      </c>
      <c r="I77" s="108">
        <f>HLOOKUP($D$5,'Economist Financing Model 2'!$Q$68:$W$144,B77,FALSE)</f>
        <v>0</v>
      </c>
      <c r="J77" s="109">
        <f>HLOOKUP($D$5,'Economist Financing Model 2'!$X$68:$AD$144,B77,FALSE)</f>
        <v>0</v>
      </c>
    </row>
    <row r="78" spans="1:10" x14ac:dyDescent="0.2">
      <c r="A78" s="105">
        <f>'Summary Baseline Data'!A77</f>
        <v>2058</v>
      </c>
      <c r="B78" s="105">
        <v>69</v>
      </c>
      <c r="C78" s="107">
        <f>HLOOKUP($D$5,'Economist Financing Model 1'!$C$6:$H$79,'Economist Financing Model 1'!B74,FALSE)</f>
        <v>0</v>
      </c>
      <c r="D78" s="108">
        <f>HLOOKUP($D$5,'Economist Financing Model 1'!$I$6:$N$80,'Economist Financing Model 1'!B74,FALSE)</f>
        <v>0</v>
      </c>
      <c r="E78" s="108">
        <f>HLOOKUP($D$5,'Economist Financing Model 1'!$O$6:$T$80,'Economist Financing Model 1'!B74,FALSE)</f>
        <v>0</v>
      </c>
      <c r="F78" s="109">
        <f>HLOOKUP($D$5,'Economist Financing Model 1'!$U$6:$Z$80,'Economist Financing Model 1'!B74,FALSE)</f>
        <v>0</v>
      </c>
      <c r="G78" s="107">
        <f>HLOOKUP($D$5,'Economist Financing Model 2'!$C$68:$I$143,B78,FALSE)</f>
        <v>0</v>
      </c>
      <c r="H78" s="108">
        <f>HLOOKUP($D$5,'Economist Financing Model 2'!$J$68:$P$144,B78,FALSE)</f>
        <v>0</v>
      </c>
      <c r="I78" s="108">
        <f>HLOOKUP($D$5,'Economist Financing Model 2'!$Q$68:$W$144,B78,FALSE)</f>
        <v>0</v>
      </c>
      <c r="J78" s="109">
        <f>HLOOKUP($D$5,'Economist Financing Model 2'!$X$68:$AD$144,B78,FALSE)</f>
        <v>0</v>
      </c>
    </row>
    <row r="79" spans="1:10" x14ac:dyDescent="0.2">
      <c r="A79" s="105">
        <f>'Summary Baseline Data'!A78</f>
        <v>2059</v>
      </c>
      <c r="B79" s="105">
        <v>70</v>
      </c>
      <c r="C79" s="107">
        <f>HLOOKUP($D$5,'Economist Financing Model 1'!$C$6:$H$79,'Economist Financing Model 1'!B75,FALSE)</f>
        <v>0</v>
      </c>
      <c r="D79" s="108">
        <f>HLOOKUP($D$5,'Economist Financing Model 1'!$I$6:$N$80,'Economist Financing Model 1'!B75,FALSE)</f>
        <v>0</v>
      </c>
      <c r="E79" s="108">
        <f>HLOOKUP($D$5,'Economist Financing Model 1'!$O$6:$T$80,'Economist Financing Model 1'!B75,FALSE)</f>
        <v>0</v>
      </c>
      <c r="F79" s="109">
        <f>HLOOKUP($D$5,'Economist Financing Model 1'!$U$6:$Z$80,'Economist Financing Model 1'!B75,FALSE)</f>
        <v>0</v>
      </c>
      <c r="G79" s="107">
        <f>HLOOKUP($D$5,'Economist Financing Model 2'!$C$68:$I$143,B79,FALSE)</f>
        <v>0</v>
      </c>
      <c r="H79" s="108">
        <f>HLOOKUP($D$5,'Economist Financing Model 2'!$J$68:$P$144,B79,FALSE)</f>
        <v>0</v>
      </c>
      <c r="I79" s="108">
        <f>HLOOKUP($D$5,'Economist Financing Model 2'!$Q$68:$W$144,B79,FALSE)</f>
        <v>0</v>
      </c>
      <c r="J79" s="109">
        <f>HLOOKUP($D$5,'Economist Financing Model 2'!$X$68:$AD$144,B79,FALSE)</f>
        <v>0</v>
      </c>
    </row>
    <row r="80" spans="1:10" ht="13.5" thickBot="1" x14ac:dyDescent="0.25">
      <c r="A80" s="110">
        <f>'Summary Baseline Data'!A79</f>
        <v>2060</v>
      </c>
      <c r="B80" s="105">
        <v>71</v>
      </c>
      <c r="C80" s="107">
        <f>HLOOKUP($D$5,'Economist Financing Model 1'!$C$6:$H$79,'Economist Financing Model 1'!B76,FALSE)</f>
        <v>0</v>
      </c>
      <c r="D80" s="108">
        <f>HLOOKUP($D$5,'Economist Financing Model 1'!$I$6:$N$80,'Economist Financing Model 1'!B76,FALSE)</f>
        <v>0</v>
      </c>
      <c r="E80" s="108">
        <f>HLOOKUP($D$5,'Economist Financing Model 1'!$O$6:$T$80,'Economist Financing Model 1'!B76,FALSE)</f>
        <v>0</v>
      </c>
      <c r="F80" s="109">
        <f>HLOOKUP($D$5,'Economist Financing Model 1'!$U$6:$Z$80,'Economist Financing Model 1'!B76,FALSE)</f>
        <v>0</v>
      </c>
      <c r="G80" s="111">
        <f>HLOOKUP($D$5,'Economist Financing Model 2'!$C$68:$I$143,B80,FALSE)</f>
        <v>0</v>
      </c>
      <c r="H80" s="112">
        <f>HLOOKUP($D$5,'Economist Financing Model 2'!$J$68:$P$144,B80,FALSE)</f>
        <v>0</v>
      </c>
      <c r="I80" s="112">
        <f>HLOOKUP($D$5,'Economist Financing Model 2'!$Q$68:$W$144,B80,FALSE)</f>
        <v>0</v>
      </c>
      <c r="J80" s="113">
        <f>HLOOKUP($D$5,'Economist Financing Model 2'!$X$68:$AD$144,B80,FALSE)</f>
        <v>0</v>
      </c>
    </row>
  </sheetData>
  <mergeCells count="7">
    <mergeCell ref="C8:F8"/>
    <mergeCell ref="G8:J8"/>
    <mergeCell ref="A3:J3"/>
    <mergeCell ref="A4:J4"/>
    <mergeCell ref="A5:C5"/>
    <mergeCell ref="D5:F5"/>
    <mergeCell ref="C7:J7"/>
  </mergeCells>
  <dataValidations count="1">
    <dataValidation type="list" allowBlank="1" showInputMessage="1" showErrorMessage="1" sqref="C7">
      <formula1>DataCategoriesforSummaryPage</formula1>
    </dataValidation>
  </dataValidations>
  <pageMargins left="0.7" right="0.7" top="0.75" bottom="0.75" header="0.3" footer="0.3"/>
  <pageSetup paperSize="17" scale="86" fitToHeight="0" orientation="landscape" r:id="rId1"/>
  <headerFooter>
    <oddFooter xml:space="preserve">&amp;L&amp;"-,Bold"&amp;9This is a preliminary draft document. It is intended for discussion purposes only.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view="pageBreakPreview" zoomScaleNormal="100" zoomScaleSheetLayoutView="100" zoomScalePageLayoutView="40" workbookViewId="0">
      <selection activeCell="A60" sqref="A60:A62"/>
    </sheetView>
  </sheetViews>
  <sheetFormatPr defaultRowHeight="12.75" x14ac:dyDescent="0.2"/>
  <cols>
    <col min="1" max="1" width="9.28515625" style="5" bestFit="1" customWidth="1"/>
    <col min="2" max="2" width="9.140625" style="5" hidden="1" customWidth="1"/>
    <col min="3" max="4" width="15" style="5" customWidth="1"/>
    <col min="5" max="5" width="14.85546875" style="5" bestFit="1" customWidth="1"/>
    <col min="6" max="6" width="14.85546875" style="5" customWidth="1"/>
    <col min="7" max="7" width="14.85546875" style="5" bestFit="1" customWidth="1"/>
    <col min="8" max="9" width="14.85546875" style="5" customWidth="1"/>
    <col min="10" max="11" width="14.85546875" style="5" bestFit="1" customWidth="1"/>
    <col min="12" max="12" width="15.5703125" style="5" bestFit="1" customWidth="1"/>
    <col min="13" max="14" width="16.140625" style="5" bestFit="1" customWidth="1"/>
    <col min="15" max="16384" width="9.140625" style="5"/>
  </cols>
  <sheetData>
    <row r="1" spans="1:14" x14ac:dyDescent="0.2">
      <c r="A1" s="121" t="s">
        <v>93</v>
      </c>
      <c r="B1" s="122"/>
      <c r="C1" s="122"/>
      <c r="D1" s="122"/>
      <c r="E1" s="122"/>
      <c r="F1" s="122"/>
      <c r="G1" s="123"/>
    </row>
    <row r="2" spans="1:14" x14ac:dyDescent="0.2">
      <c r="A2" s="124" t="s">
        <v>94</v>
      </c>
      <c r="B2" s="125"/>
      <c r="C2" s="125"/>
      <c r="D2" s="125"/>
      <c r="E2" s="125"/>
      <c r="F2" s="125"/>
      <c r="G2" s="126"/>
    </row>
    <row r="3" spans="1:14" s="118" customFormat="1" ht="15" customHeight="1" x14ac:dyDescent="0.2">
      <c r="A3" s="944" t="s">
        <v>92</v>
      </c>
      <c r="B3" s="945"/>
      <c r="C3" s="945"/>
      <c r="D3" s="945"/>
      <c r="E3" s="945"/>
      <c r="F3" s="945"/>
      <c r="G3" s="945"/>
      <c r="H3" s="945"/>
      <c r="I3" s="945"/>
      <c r="J3" s="945"/>
      <c r="K3" s="945"/>
      <c r="L3" s="945"/>
      <c r="M3" s="945"/>
      <c r="N3" s="945"/>
    </row>
    <row r="4" spans="1:14" s="118" customFormat="1" ht="15" customHeight="1" thickBot="1" x14ac:dyDescent="0.25">
      <c r="A4" s="946" t="s">
        <v>96</v>
      </c>
      <c r="B4" s="935"/>
      <c r="C4" s="935"/>
      <c r="D4" s="935"/>
      <c r="E4" s="935"/>
      <c r="F4" s="935"/>
      <c r="G4" s="935"/>
      <c r="H4" s="935"/>
      <c r="I4" s="935"/>
      <c r="J4" s="935"/>
      <c r="K4" s="935"/>
      <c r="L4" s="935"/>
      <c r="M4" s="935"/>
      <c r="N4" s="935"/>
    </row>
    <row r="5" spans="1:14" ht="15.75" customHeight="1" thickBot="1" x14ac:dyDescent="0.25">
      <c r="A5" s="178" t="s">
        <v>41</v>
      </c>
      <c r="B5" s="179"/>
      <c r="C5" s="180"/>
      <c r="D5" s="179"/>
      <c r="E5" s="955" t="s">
        <v>7</v>
      </c>
      <c r="F5" s="956"/>
      <c r="G5" s="957"/>
      <c r="H5" s="549"/>
      <c r="I5" s="549"/>
      <c r="J5" s="185"/>
      <c r="K5" s="119"/>
      <c r="L5" s="119"/>
      <c r="M5" s="119"/>
      <c r="N5" s="119"/>
    </row>
    <row r="6" spans="1:14" s="114" customFormat="1" ht="13.5" thickBot="1" x14ac:dyDescent="0.25">
      <c r="K6" s="5"/>
      <c r="L6" s="5"/>
      <c r="M6" s="5"/>
      <c r="N6" s="5"/>
    </row>
    <row r="7" spans="1:14" s="114" customFormat="1" ht="13.5" customHeight="1" thickBot="1" x14ac:dyDescent="0.3">
      <c r="A7" s="106"/>
      <c r="B7" s="116"/>
      <c r="C7" s="951" t="s">
        <v>7</v>
      </c>
      <c r="D7" s="951"/>
      <c r="E7" s="952"/>
      <c r="F7" s="952"/>
      <c r="G7" s="952"/>
      <c r="H7" s="952"/>
      <c r="I7" s="952"/>
      <c r="J7" s="952"/>
      <c r="K7" s="952"/>
      <c r="L7" s="952"/>
      <c r="M7" s="952"/>
      <c r="N7" s="952"/>
    </row>
    <row r="8" spans="1:14" s="183" customFormat="1" ht="31.5" customHeight="1" thickBot="1" x14ac:dyDescent="0.25">
      <c r="B8" s="201"/>
      <c r="C8" s="953" t="s">
        <v>82</v>
      </c>
      <c r="D8" s="954"/>
      <c r="E8" s="939"/>
      <c r="F8" s="939"/>
      <c r="G8" s="939"/>
      <c r="H8" s="939"/>
      <c r="I8" s="939"/>
      <c r="J8" s="940"/>
      <c r="K8" s="941" t="s">
        <v>83</v>
      </c>
      <c r="L8" s="942"/>
      <c r="M8" s="942"/>
      <c r="N8" s="943"/>
    </row>
    <row r="9" spans="1:14" ht="13.5" thickBot="1" x14ac:dyDescent="0.25">
      <c r="A9" s="115" t="s">
        <v>10</v>
      </c>
      <c r="B9" s="117">
        <v>1</v>
      </c>
      <c r="C9" s="167">
        <f>'Economist Financing Model 1'!C5</f>
        <v>0.03</v>
      </c>
      <c r="D9" s="548" t="s">
        <v>351</v>
      </c>
      <c r="E9" s="168">
        <f>'Economist Financing Model 1'!I5</f>
        <v>0.04</v>
      </c>
      <c r="F9" s="548" t="s">
        <v>352</v>
      </c>
      <c r="G9" s="168">
        <f>'Economist Financing Model 1'!O5</f>
        <v>0.05</v>
      </c>
      <c r="H9" s="548" t="s">
        <v>353</v>
      </c>
      <c r="I9" s="169">
        <f>'Economist Financing Model 1'!U5</f>
        <v>7.0000000000000007E-2</v>
      </c>
      <c r="J9" s="550" t="s">
        <v>354</v>
      </c>
      <c r="K9" s="551" t="s">
        <v>351</v>
      </c>
      <c r="L9" s="552" t="s">
        <v>352</v>
      </c>
      <c r="M9" s="552" t="s">
        <v>353</v>
      </c>
      <c r="N9" s="553" t="s">
        <v>354</v>
      </c>
    </row>
    <row r="10" spans="1:14" x14ac:dyDescent="0.2">
      <c r="A10" s="105">
        <f>'Summary Baseline Data'!A9</f>
        <v>1990</v>
      </c>
      <c r="B10" s="105">
        <v>2</v>
      </c>
      <c r="C10" s="107">
        <f>HLOOKUP($E$5,'Economist Financing Model 1'!$C$6:$H$80,'Economist Financing Model 1'!B7,FALSE)</f>
        <v>0</v>
      </c>
      <c r="D10" s="108"/>
      <c r="E10" s="108">
        <f>HLOOKUP($E$5,'Economist Financing Model 1'!$I$6:$N$80,B10,FALSE)</f>
        <v>0</v>
      </c>
      <c r="F10" s="108"/>
      <c r="G10" s="108">
        <f>HLOOKUP($E$5,'Economist Financing Model 1'!$O$6:$T$80,B10,FALSE)</f>
        <v>0</v>
      </c>
      <c r="H10" s="108"/>
      <c r="I10" s="109">
        <f>HLOOKUP($E$5,'Economist Financing Model 1'!$U$6:$Z$80,B10,FALSE)</f>
        <v>0</v>
      </c>
      <c r="K10" s="107">
        <f>HLOOKUP($E$5,'Economist Financing Model 2'!$C$68:$I$143,B10,FALSE)</f>
        <v>0</v>
      </c>
      <c r="L10" s="108">
        <f>HLOOKUP($E$5,'Economist Financing Model 2'!$J$68:$P$144,B10,FALSE)</f>
        <v>0</v>
      </c>
      <c r="M10" s="108">
        <f>HLOOKUP($E$5,'Economist Financing Model 2'!$Q$68:$W$144,B10,FALSE)</f>
        <v>0</v>
      </c>
      <c r="N10" s="109">
        <f>HLOOKUP($E$5,'Economist Financing Model 2'!$X$68:$AD$144,B10,FALSE)</f>
        <v>0</v>
      </c>
    </row>
    <row r="11" spans="1:14" ht="13.5" thickBot="1" x14ac:dyDescent="0.25">
      <c r="A11" s="105">
        <f>'Summary Baseline Data'!A10</f>
        <v>1991</v>
      </c>
      <c r="B11" s="117">
        <v>3</v>
      </c>
      <c r="C11" s="107">
        <f>HLOOKUP($E$5,'Economist Financing Model 1'!$C$6:$H$80,'Economist Financing Model 1'!B8,FALSE)</f>
        <v>0</v>
      </c>
      <c r="D11" s="108"/>
      <c r="E11" s="108">
        <f>HLOOKUP($E$5,'Economist Financing Model 1'!$I$6:$N$80,B11,FALSE)</f>
        <v>0</v>
      </c>
      <c r="F11" s="108"/>
      <c r="G11" s="108">
        <f>HLOOKUP($E$5,'Economist Financing Model 1'!$O$6:$T$80,B11,FALSE)</f>
        <v>0</v>
      </c>
      <c r="H11" s="108"/>
      <c r="I11" s="109">
        <f>HLOOKUP($E$5,'Economist Financing Model 1'!$U$6:$Z$80,B11,FALSE)</f>
        <v>0</v>
      </c>
      <c r="K11" s="107">
        <f>HLOOKUP($E$5,'Economist Financing Model 2'!$C$68:$I$143,B11,FALSE)</f>
        <v>0</v>
      </c>
      <c r="L11" s="108">
        <f>HLOOKUP($E$5,'Economist Financing Model 2'!$J$68:$P$144,B11,FALSE)</f>
        <v>0</v>
      </c>
      <c r="M11" s="108">
        <f>HLOOKUP($E$5,'Economist Financing Model 2'!$Q$68:$W$144,B11,FALSE)</f>
        <v>0</v>
      </c>
      <c r="N11" s="109">
        <f>HLOOKUP($E$5,'Economist Financing Model 2'!$X$68:$AD$144,B11,FALSE)</f>
        <v>0</v>
      </c>
    </row>
    <row r="12" spans="1:14" x14ac:dyDescent="0.2">
      <c r="A12" s="105">
        <f>'Summary Baseline Data'!A11</f>
        <v>1992</v>
      </c>
      <c r="B12" s="105">
        <v>4</v>
      </c>
      <c r="C12" s="107">
        <f>HLOOKUP($E$5,'Economist Financing Model 1'!$C$6:$H$80,'Economist Financing Model 1'!B9,FALSE)</f>
        <v>0</v>
      </c>
      <c r="D12" s="108"/>
      <c r="E12" s="108">
        <f>HLOOKUP($E$5,'Economist Financing Model 1'!$I$6:$N$80,B12,FALSE)</f>
        <v>0</v>
      </c>
      <c r="F12" s="108"/>
      <c r="G12" s="108">
        <f>HLOOKUP($E$5,'Economist Financing Model 1'!$O$6:$T$80,B12,FALSE)</f>
        <v>0</v>
      </c>
      <c r="H12" s="108"/>
      <c r="I12" s="109">
        <f>HLOOKUP($E$5,'Economist Financing Model 1'!$U$6:$Z$80,B12,FALSE)</f>
        <v>0</v>
      </c>
      <c r="K12" s="107">
        <f>HLOOKUP($E$5,'Economist Financing Model 2'!$C$68:$I$143,B12,FALSE)</f>
        <v>0</v>
      </c>
      <c r="L12" s="108">
        <f>HLOOKUP($E$5,'Economist Financing Model 2'!$J$68:$P$144,B12,FALSE)</f>
        <v>0</v>
      </c>
      <c r="M12" s="108">
        <f>HLOOKUP($E$5,'Economist Financing Model 2'!$Q$68:$W$144,B12,FALSE)</f>
        <v>0</v>
      </c>
      <c r="N12" s="109">
        <f>HLOOKUP($E$5,'Economist Financing Model 2'!$X$68:$AD$144,B12,FALSE)</f>
        <v>0</v>
      </c>
    </row>
    <row r="13" spans="1:14" ht="13.5" thickBot="1" x14ac:dyDescent="0.25">
      <c r="A13" s="105">
        <f>'Summary Baseline Data'!A12</f>
        <v>1993</v>
      </c>
      <c r="B13" s="117">
        <v>5</v>
      </c>
      <c r="C13" s="107">
        <f>HLOOKUP($E$5,'Economist Financing Model 1'!$C$6:$H$80,'Economist Financing Model 1'!B10,FALSE)</f>
        <v>0</v>
      </c>
      <c r="D13" s="108"/>
      <c r="E13" s="108">
        <f>HLOOKUP($E$5,'Economist Financing Model 1'!$I$6:$N$80,B13,FALSE)</f>
        <v>0</v>
      </c>
      <c r="F13" s="108"/>
      <c r="G13" s="108">
        <f>HLOOKUP($E$5,'Economist Financing Model 1'!$O$6:$T$80,B13,FALSE)</f>
        <v>0</v>
      </c>
      <c r="H13" s="108"/>
      <c r="I13" s="109">
        <f>HLOOKUP($E$5,'Economist Financing Model 1'!$U$6:$Z$80,B13,FALSE)</f>
        <v>0</v>
      </c>
      <c r="K13" s="107">
        <f>HLOOKUP($E$5,'Economist Financing Model 2'!$C$68:$I$143,B13,FALSE)</f>
        <v>0</v>
      </c>
      <c r="L13" s="108">
        <f>HLOOKUP($E$5,'Economist Financing Model 2'!$J$68:$P$144,B13,FALSE)</f>
        <v>0</v>
      </c>
      <c r="M13" s="108">
        <f>HLOOKUP($E$5,'Economist Financing Model 2'!$Q$68:$W$144,B13,FALSE)</f>
        <v>0</v>
      </c>
      <c r="N13" s="109">
        <f>HLOOKUP($E$5,'Economist Financing Model 2'!$X$68:$AD$144,B13,FALSE)</f>
        <v>0</v>
      </c>
    </row>
    <row r="14" spans="1:14" x14ac:dyDescent="0.2">
      <c r="A14" s="105">
        <f>'Summary Baseline Data'!A13</f>
        <v>1994</v>
      </c>
      <c r="B14" s="105">
        <v>6</v>
      </c>
      <c r="C14" s="107">
        <f>HLOOKUP($E$5,'Economist Financing Model 1'!$C$6:$H$80,'Economist Financing Model 1'!B11,FALSE)</f>
        <v>0</v>
      </c>
      <c r="D14" s="108"/>
      <c r="E14" s="108">
        <f>HLOOKUP($E$5,'Economist Financing Model 1'!$I$6:$N$80,B14,FALSE)</f>
        <v>0</v>
      </c>
      <c r="F14" s="108"/>
      <c r="G14" s="108">
        <f>HLOOKUP($E$5,'Economist Financing Model 1'!$O$6:$T$80,B14,FALSE)</f>
        <v>0</v>
      </c>
      <c r="H14" s="108"/>
      <c r="I14" s="109">
        <f>HLOOKUP($E$5,'Economist Financing Model 1'!$U$6:$Z$80,B14,FALSE)</f>
        <v>0</v>
      </c>
      <c r="K14" s="107">
        <f>HLOOKUP($E$5,'Economist Financing Model 2'!$C$68:$I$143,B14,FALSE)</f>
        <v>0</v>
      </c>
      <c r="L14" s="108">
        <f>HLOOKUP($E$5,'Economist Financing Model 2'!$J$68:$P$144,B14,FALSE)</f>
        <v>0</v>
      </c>
      <c r="M14" s="108">
        <f>HLOOKUP($E$5,'Economist Financing Model 2'!$Q$68:$W$144,B14,FALSE)</f>
        <v>0</v>
      </c>
      <c r="N14" s="109">
        <f>HLOOKUP($E$5,'Economist Financing Model 2'!$X$68:$AD$144,B14,FALSE)</f>
        <v>0</v>
      </c>
    </row>
    <row r="15" spans="1:14" ht="13.5" thickBot="1" x14ac:dyDescent="0.25">
      <c r="A15" s="105">
        <f>'Summary Baseline Data'!A14</f>
        <v>1995</v>
      </c>
      <c r="B15" s="117">
        <v>7</v>
      </c>
      <c r="C15" s="107">
        <f>HLOOKUP($E$5,'Economist Financing Model 1'!$C$6:$H$80,'Economist Financing Model 1'!B12,FALSE)</f>
        <v>0</v>
      </c>
      <c r="D15" s="108"/>
      <c r="E15" s="108">
        <f>HLOOKUP($E$5,'Economist Financing Model 1'!$I$6:$N$80,B15,FALSE)</f>
        <v>0</v>
      </c>
      <c r="F15" s="108"/>
      <c r="G15" s="108">
        <f>HLOOKUP($E$5,'Economist Financing Model 1'!$O$6:$T$80,B15,FALSE)</f>
        <v>0</v>
      </c>
      <c r="H15" s="108"/>
      <c r="I15" s="109">
        <f>HLOOKUP($E$5,'Economist Financing Model 1'!$U$6:$Z$80,B15,FALSE)</f>
        <v>0</v>
      </c>
      <c r="K15" s="107">
        <f>HLOOKUP($E$5,'Economist Financing Model 2'!$C$68:$I$143,B15,FALSE)</f>
        <v>0</v>
      </c>
      <c r="L15" s="108">
        <f>HLOOKUP($E$5,'Economist Financing Model 2'!$J$68:$P$144,B15,FALSE)</f>
        <v>0</v>
      </c>
      <c r="M15" s="108">
        <f>HLOOKUP($E$5,'Economist Financing Model 2'!$Q$68:$W$144,B15,FALSE)</f>
        <v>0</v>
      </c>
      <c r="N15" s="109">
        <f>HLOOKUP($E$5,'Economist Financing Model 2'!$X$68:$AD$144,B15,FALSE)</f>
        <v>0</v>
      </c>
    </row>
    <row r="16" spans="1:14" x14ac:dyDescent="0.2">
      <c r="A16" s="105">
        <f>'Summary Baseline Data'!A15</f>
        <v>1996</v>
      </c>
      <c r="B16" s="105">
        <v>8</v>
      </c>
      <c r="C16" s="107">
        <f>HLOOKUP($E$5,'Economist Financing Model 1'!$C$6:$H$80,'Economist Financing Model 1'!B13,FALSE)</f>
        <v>0</v>
      </c>
      <c r="D16" s="108"/>
      <c r="E16" s="108">
        <f>HLOOKUP($E$5,'Economist Financing Model 1'!$I$6:$N$80,B16,FALSE)</f>
        <v>0</v>
      </c>
      <c r="F16" s="108"/>
      <c r="G16" s="108">
        <f>HLOOKUP($E$5,'Economist Financing Model 1'!$O$6:$T$80,B16,FALSE)</f>
        <v>0</v>
      </c>
      <c r="H16" s="108"/>
      <c r="I16" s="109">
        <f>HLOOKUP($E$5,'Economist Financing Model 1'!$U$6:$Z$80,B16,FALSE)</f>
        <v>0</v>
      </c>
      <c r="K16" s="107">
        <f>HLOOKUP($E$5,'Economist Financing Model 2'!$C$68:$I$143,B16,FALSE)</f>
        <v>0</v>
      </c>
      <c r="L16" s="108">
        <f>HLOOKUP($E$5,'Economist Financing Model 2'!$J$68:$P$144,B16,FALSE)</f>
        <v>0</v>
      </c>
      <c r="M16" s="108">
        <f>HLOOKUP($E$5,'Economist Financing Model 2'!$Q$68:$W$144,B16,FALSE)</f>
        <v>0</v>
      </c>
      <c r="N16" s="109">
        <f>HLOOKUP($E$5,'Economist Financing Model 2'!$X$68:$AD$144,B16,FALSE)</f>
        <v>0</v>
      </c>
    </row>
    <row r="17" spans="1:14" ht="13.5" thickBot="1" x14ac:dyDescent="0.25">
      <c r="A17" s="105">
        <f>'Summary Baseline Data'!A16</f>
        <v>1997</v>
      </c>
      <c r="B17" s="117">
        <v>9</v>
      </c>
      <c r="C17" s="107">
        <f>HLOOKUP($E$5,'Economist Financing Model 1'!$C$6:$H$80,'Economist Financing Model 1'!B14,FALSE)</f>
        <v>0</v>
      </c>
      <c r="D17" s="108"/>
      <c r="E17" s="108">
        <f>HLOOKUP($E$5,'Economist Financing Model 1'!$I$6:$N$80,B17,FALSE)</f>
        <v>0</v>
      </c>
      <c r="F17" s="108"/>
      <c r="G17" s="108">
        <f>HLOOKUP($E$5,'Economist Financing Model 1'!$O$6:$T$80,B17,FALSE)</f>
        <v>0</v>
      </c>
      <c r="H17" s="108"/>
      <c r="I17" s="109">
        <f>HLOOKUP($E$5,'Economist Financing Model 1'!$U$6:$Z$80,B17,FALSE)</f>
        <v>0</v>
      </c>
      <c r="K17" s="107">
        <f>HLOOKUP($E$5,'Economist Financing Model 2'!$C$68:$I$143,B17,FALSE)</f>
        <v>0</v>
      </c>
      <c r="L17" s="108">
        <f>HLOOKUP($E$5,'Economist Financing Model 2'!$J$68:$P$144,B17,FALSE)</f>
        <v>0</v>
      </c>
      <c r="M17" s="108">
        <f>HLOOKUP($E$5,'Economist Financing Model 2'!$Q$68:$W$144,B17,FALSE)</f>
        <v>0</v>
      </c>
      <c r="N17" s="109">
        <f>HLOOKUP($E$5,'Economist Financing Model 2'!$X$68:$AD$144,B17,FALSE)</f>
        <v>0</v>
      </c>
    </row>
    <row r="18" spans="1:14" x14ac:dyDescent="0.2">
      <c r="A18" s="105">
        <f>'Summary Baseline Data'!A17</f>
        <v>1998</v>
      </c>
      <c r="B18" s="105">
        <v>10</v>
      </c>
      <c r="C18" s="107">
        <f>HLOOKUP($E$5,'Economist Financing Model 1'!$C$6:$H$80,'Economist Financing Model 1'!B15,FALSE)</f>
        <v>0</v>
      </c>
      <c r="D18" s="108"/>
      <c r="E18" s="108">
        <f>HLOOKUP($E$5,'Economist Financing Model 1'!$I$6:$N$80,B18,FALSE)</f>
        <v>0</v>
      </c>
      <c r="F18" s="108"/>
      <c r="G18" s="108">
        <f>HLOOKUP($E$5,'Economist Financing Model 1'!$O$6:$T$80,B18,FALSE)</f>
        <v>0</v>
      </c>
      <c r="H18" s="108"/>
      <c r="I18" s="109">
        <f>HLOOKUP($E$5,'Economist Financing Model 1'!$U$6:$Z$80,B18,FALSE)</f>
        <v>0</v>
      </c>
      <c r="K18" s="107">
        <f>HLOOKUP($E$5,'Economist Financing Model 2'!$C$68:$I$143,B18,FALSE)</f>
        <v>0</v>
      </c>
      <c r="L18" s="108">
        <f>HLOOKUP($E$5,'Economist Financing Model 2'!$J$68:$P$144,B18,FALSE)</f>
        <v>0</v>
      </c>
      <c r="M18" s="108">
        <f>HLOOKUP($E$5,'Economist Financing Model 2'!$Q$68:$W$144,B18,FALSE)</f>
        <v>0</v>
      </c>
      <c r="N18" s="109">
        <f>HLOOKUP($E$5,'Economist Financing Model 2'!$X$68:$AD$144,B18,FALSE)</f>
        <v>0</v>
      </c>
    </row>
    <row r="19" spans="1:14" ht="13.5" thickBot="1" x14ac:dyDescent="0.25">
      <c r="A19" s="105">
        <f>'Summary Baseline Data'!A18</f>
        <v>1999</v>
      </c>
      <c r="B19" s="117">
        <v>11</v>
      </c>
      <c r="C19" s="107">
        <f>HLOOKUP($E$5,'Economist Financing Model 1'!$C$6:$H$80,'Economist Financing Model 1'!B16,FALSE)</f>
        <v>0</v>
      </c>
      <c r="D19" s="108"/>
      <c r="E19" s="108">
        <f>HLOOKUP($E$5,'Economist Financing Model 1'!$I$6:$N$80,B19,FALSE)</f>
        <v>0</v>
      </c>
      <c r="F19" s="108"/>
      <c r="G19" s="108">
        <f>HLOOKUP($E$5,'Economist Financing Model 1'!$O$6:$T$80,B19,FALSE)</f>
        <v>0</v>
      </c>
      <c r="H19" s="108"/>
      <c r="I19" s="109">
        <f>HLOOKUP($E$5,'Economist Financing Model 1'!$U$6:$Z$80,B19,FALSE)</f>
        <v>0</v>
      </c>
      <c r="K19" s="107">
        <f>HLOOKUP($E$5,'Economist Financing Model 2'!$C$68:$I$143,B19,FALSE)</f>
        <v>0</v>
      </c>
      <c r="L19" s="108">
        <f>HLOOKUP($E$5,'Economist Financing Model 2'!$J$68:$P$144,B19,FALSE)</f>
        <v>0</v>
      </c>
      <c r="M19" s="108">
        <f>HLOOKUP($E$5,'Economist Financing Model 2'!$Q$68:$W$144,B19,FALSE)</f>
        <v>0</v>
      </c>
      <c r="N19" s="109">
        <f>HLOOKUP($E$5,'Economist Financing Model 2'!$X$68:$AD$144,B19,FALSE)</f>
        <v>0</v>
      </c>
    </row>
    <row r="20" spans="1:14" x14ac:dyDescent="0.2">
      <c r="A20" s="105">
        <f>'Summary Baseline Data'!A19</f>
        <v>2000</v>
      </c>
      <c r="B20" s="105">
        <v>12</v>
      </c>
      <c r="C20" s="107">
        <f>HLOOKUP($E$5,'Economist Financing Model 1'!$C$6:$H$80,'Economist Financing Model 1'!B17,FALSE)</f>
        <v>0</v>
      </c>
      <c r="D20" s="108"/>
      <c r="E20" s="108">
        <f>HLOOKUP($E$5,'Economist Financing Model 1'!$I$6:$N$80,B20,FALSE)</f>
        <v>0</v>
      </c>
      <c r="F20" s="108"/>
      <c r="G20" s="108">
        <f>HLOOKUP($E$5,'Economist Financing Model 1'!$O$6:$T$80,B20,FALSE)</f>
        <v>0</v>
      </c>
      <c r="H20" s="108"/>
      <c r="I20" s="109">
        <f>HLOOKUP($E$5,'Economist Financing Model 1'!$U$6:$Z$80,B20,FALSE)</f>
        <v>0</v>
      </c>
      <c r="K20" s="107">
        <f>HLOOKUP($E$5,'Economist Financing Model 2'!$C$68:$I$143,B20,FALSE)</f>
        <v>0</v>
      </c>
      <c r="L20" s="108">
        <f>HLOOKUP($E$5,'Economist Financing Model 2'!$J$68:$P$144,B20,FALSE)</f>
        <v>0</v>
      </c>
      <c r="M20" s="108">
        <f>HLOOKUP($E$5,'Economist Financing Model 2'!$Q$68:$W$144,B20,FALSE)</f>
        <v>0</v>
      </c>
      <c r="N20" s="109">
        <f>HLOOKUP($E$5,'Economist Financing Model 2'!$X$68:$AD$144,B20,FALSE)</f>
        <v>0</v>
      </c>
    </row>
    <row r="21" spans="1:14" ht="13.5" thickBot="1" x14ac:dyDescent="0.25">
      <c r="A21" s="105">
        <f>'Summary Baseline Data'!A20</f>
        <v>2001</v>
      </c>
      <c r="B21" s="117">
        <v>13</v>
      </c>
      <c r="C21" s="107">
        <f>HLOOKUP($E$5,'Economist Financing Model 1'!$C$6:$H$80,'Economist Financing Model 1'!B18,FALSE)</f>
        <v>0</v>
      </c>
      <c r="D21" s="108"/>
      <c r="E21" s="108">
        <f>HLOOKUP($E$5,'Economist Financing Model 1'!$I$6:$N$80,B21,FALSE)</f>
        <v>0</v>
      </c>
      <c r="F21" s="108"/>
      <c r="G21" s="108">
        <f>HLOOKUP($E$5,'Economist Financing Model 1'!$O$6:$T$80,B21,FALSE)</f>
        <v>0</v>
      </c>
      <c r="H21" s="108"/>
      <c r="I21" s="109">
        <f>HLOOKUP($E$5,'Economist Financing Model 1'!$U$6:$Z$80,B21,FALSE)</f>
        <v>0</v>
      </c>
      <c r="K21" s="107">
        <f>HLOOKUP($E$5,'Economist Financing Model 2'!$C$68:$I$143,B21,FALSE)</f>
        <v>0</v>
      </c>
      <c r="L21" s="108">
        <f>HLOOKUP($E$5,'Economist Financing Model 2'!$J$68:$P$144,B21,FALSE)</f>
        <v>0</v>
      </c>
      <c r="M21" s="108">
        <f>HLOOKUP($E$5,'Economist Financing Model 2'!$Q$68:$W$144,B21,FALSE)</f>
        <v>0</v>
      </c>
      <c r="N21" s="109">
        <f>HLOOKUP($E$5,'Economist Financing Model 2'!$X$68:$AD$144,B21,FALSE)</f>
        <v>0</v>
      </c>
    </row>
    <row r="22" spans="1:14" x14ac:dyDescent="0.2">
      <c r="A22" s="105">
        <f>'Summary Baseline Data'!A21</f>
        <v>2002</v>
      </c>
      <c r="B22" s="105">
        <v>14</v>
      </c>
      <c r="C22" s="107">
        <f>HLOOKUP($E$5,'Economist Financing Model 1'!$C$6:$H$80,'Economist Financing Model 1'!B19,FALSE)</f>
        <v>0</v>
      </c>
      <c r="D22" s="108"/>
      <c r="E22" s="108">
        <f>HLOOKUP($E$5,'Economist Financing Model 1'!$I$6:$N$80,B22,FALSE)</f>
        <v>0</v>
      </c>
      <c r="F22" s="108"/>
      <c r="G22" s="108">
        <f>HLOOKUP($E$5,'Economist Financing Model 1'!$O$6:$T$80,B22,FALSE)</f>
        <v>0</v>
      </c>
      <c r="H22" s="108"/>
      <c r="I22" s="109">
        <f>HLOOKUP($E$5,'Economist Financing Model 1'!$U$6:$Z$80,B22,FALSE)</f>
        <v>0</v>
      </c>
      <c r="K22" s="107">
        <f>HLOOKUP($E$5,'Economist Financing Model 2'!$C$68:$I$143,B22,FALSE)</f>
        <v>0</v>
      </c>
      <c r="L22" s="108">
        <f>HLOOKUP($E$5,'Economist Financing Model 2'!$J$68:$P$144,B22,FALSE)</f>
        <v>0</v>
      </c>
      <c r="M22" s="108">
        <f>HLOOKUP($E$5,'Economist Financing Model 2'!$Q$68:$W$144,B22,FALSE)</f>
        <v>0</v>
      </c>
      <c r="N22" s="109">
        <f>HLOOKUP($E$5,'Economist Financing Model 2'!$X$68:$AD$144,B22,FALSE)</f>
        <v>0</v>
      </c>
    </row>
    <row r="23" spans="1:14" ht="13.5" thickBot="1" x14ac:dyDescent="0.25">
      <c r="A23" s="105">
        <f>'Summary Baseline Data'!A22</f>
        <v>2003</v>
      </c>
      <c r="B23" s="117">
        <v>15</v>
      </c>
      <c r="C23" s="107">
        <f>HLOOKUP($E$5,'Economist Financing Model 1'!$C$6:$H$80,'Economist Financing Model 1'!B20,FALSE)</f>
        <v>0</v>
      </c>
      <c r="D23" s="108"/>
      <c r="E23" s="108">
        <f>HLOOKUP($E$5,'Economist Financing Model 1'!$I$6:$N$80,B23,FALSE)</f>
        <v>0</v>
      </c>
      <c r="F23" s="108"/>
      <c r="G23" s="108">
        <f>HLOOKUP($E$5,'Economist Financing Model 1'!$O$6:$T$80,B23,FALSE)</f>
        <v>0</v>
      </c>
      <c r="H23" s="108"/>
      <c r="I23" s="109">
        <f>HLOOKUP($E$5,'Economist Financing Model 1'!$U$6:$Z$80,B23,FALSE)</f>
        <v>0</v>
      </c>
      <c r="K23" s="107">
        <f>HLOOKUP($E$5,'Economist Financing Model 2'!$C$68:$I$143,B23,FALSE)</f>
        <v>0</v>
      </c>
      <c r="L23" s="108">
        <f>HLOOKUP($E$5,'Economist Financing Model 2'!$J$68:$P$144,B23,FALSE)</f>
        <v>0</v>
      </c>
      <c r="M23" s="108">
        <f>HLOOKUP($E$5,'Economist Financing Model 2'!$Q$68:$W$144,B23,FALSE)</f>
        <v>0</v>
      </c>
      <c r="N23" s="109">
        <f>HLOOKUP($E$5,'Economist Financing Model 2'!$X$68:$AD$144,B23,FALSE)</f>
        <v>0</v>
      </c>
    </row>
    <row r="24" spans="1:14" x14ac:dyDescent="0.2">
      <c r="A24" s="105">
        <f>'Summary Baseline Data'!A23</f>
        <v>2004</v>
      </c>
      <c r="B24" s="105">
        <v>16</v>
      </c>
      <c r="C24" s="107">
        <f>HLOOKUP($E$5,'Economist Financing Model 1'!$C$6:$H$80,'Economist Financing Model 1'!B21,FALSE)</f>
        <v>0</v>
      </c>
      <c r="D24" s="108"/>
      <c r="E24" s="108">
        <f>HLOOKUP($E$5,'Economist Financing Model 1'!$I$6:$N$80,B24,FALSE)</f>
        <v>0</v>
      </c>
      <c r="F24" s="108"/>
      <c r="G24" s="108">
        <f>HLOOKUP($E$5,'Economist Financing Model 1'!$O$6:$T$80,B24,FALSE)</f>
        <v>0</v>
      </c>
      <c r="H24" s="108"/>
      <c r="I24" s="109">
        <f>HLOOKUP($E$5,'Economist Financing Model 1'!$U$6:$Z$80,B24,FALSE)</f>
        <v>0</v>
      </c>
      <c r="K24" s="107">
        <f>HLOOKUP($E$5,'Economist Financing Model 2'!$C$68:$I$143,B24,FALSE)</f>
        <v>0</v>
      </c>
      <c r="L24" s="108">
        <f>HLOOKUP($E$5,'Economist Financing Model 2'!$J$68:$P$144,B24,FALSE)</f>
        <v>0</v>
      </c>
      <c r="M24" s="108">
        <f>HLOOKUP($E$5,'Economist Financing Model 2'!$Q$68:$W$144,B24,FALSE)</f>
        <v>0</v>
      </c>
      <c r="N24" s="109">
        <f>HLOOKUP($E$5,'Economist Financing Model 2'!$X$68:$AD$144,B24,FALSE)</f>
        <v>0</v>
      </c>
    </row>
    <row r="25" spans="1:14" ht="13.5" thickBot="1" x14ac:dyDescent="0.25">
      <c r="A25" s="105">
        <f>'Summary Baseline Data'!A24</f>
        <v>2005</v>
      </c>
      <c r="B25" s="117">
        <v>17</v>
      </c>
      <c r="C25" s="107">
        <f>HLOOKUP($E$5,'Economist Financing Model 1'!$C$6:$H$80,'Economist Financing Model 1'!B22,FALSE)</f>
        <v>0</v>
      </c>
      <c r="D25" s="108"/>
      <c r="E25" s="108">
        <f>HLOOKUP($E$5,'Economist Financing Model 1'!$I$6:$N$80,B25,FALSE)</f>
        <v>0</v>
      </c>
      <c r="F25" s="108"/>
      <c r="G25" s="108">
        <f>HLOOKUP($E$5,'Economist Financing Model 1'!$O$6:$T$80,B25,FALSE)</f>
        <v>0</v>
      </c>
      <c r="H25" s="108"/>
      <c r="I25" s="109">
        <f>HLOOKUP($E$5,'Economist Financing Model 1'!$U$6:$Z$80,B25,FALSE)</f>
        <v>0</v>
      </c>
      <c r="K25" s="107">
        <f>HLOOKUP($E$5,'Economist Financing Model 2'!$C$68:$I$143,B25,FALSE)</f>
        <v>0</v>
      </c>
      <c r="L25" s="108">
        <f>HLOOKUP($E$5,'Economist Financing Model 2'!$J$68:$P$144,B25,FALSE)</f>
        <v>0</v>
      </c>
      <c r="M25" s="108">
        <f>HLOOKUP($E$5,'Economist Financing Model 2'!$Q$68:$W$144,B25,FALSE)</f>
        <v>0</v>
      </c>
      <c r="N25" s="109">
        <f>HLOOKUP($E$5,'Economist Financing Model 2'!$X$68:$AD$144,B25,FALSE)</f>
        <v>0</v>
      </c>
    </row>
    <row r="26" spans="1:14" x14ac:dyDescent="0.2">
      <c r="A26" s="105">
        <f>'Summary Baseline Data'!A25</f>
        <v>2006</v>
      </c>
      <c r="B26" s="105">
        <v>18</v>
      </c>
      <c r="C26" s="107">
        <f>HLOOKUP($E$5,'Economist Financing Model 1'!$C$6:$H$80,'Economist Financing Model 1'!B23,FALSE)</f>
        <v>0</v>
      </c>
      <c r="D26" s="108"/>
      <c r="E26" s="108">
        <f>HLOOKUP($E$5,'Economist Financing Model 1'!$I$6:$N$80,B26,FALSE)</f>
        <v>0</v>
      </c>
      <c r="F26" s="108"/>
      <c r="G26" s="108">
        <f>HLOOKUP($E$5,'Economist Financing Model 1'!$O$6:$T$80,B26,FALSE)</f>
        <v>0</v>
      </c>
      <c r="H26" s="108"/>
      <c r="I26" s="109">
        <f>HLOOKUP($E$5,'Economist Financing Model 1'!$U$6:$Z$80,B26,FALSE)</f>
        <v>0</v>
      </c>
      <c r="K26" s="107">
        <f>HLOOKUP($E$5,'Economist Financing Model 2'!$C$68:$I$143,B26,FALSE)</f>
        <v>0</v>
      </c>
      <c r="L26" s="108">
        <f>HLOOKUP($E$5,'Economist Financing Model 2'!$J$68:$P$144,B26,FALSE)</f>
        <v>0</v>
      </c>
      <c r="M26" s="108">
        <f>HLOOKUP($E$5,'Economist Financing Model 2'!$Q$68:$W$144,B26,FALSE)</f>
        <v>0</v>
      </c>
      <c r="N26" s="109">
        <f>HLOOKUP($E$5,'Economist Financing Model 2'!$X$68:$AD$144,B26,FALSE)</f>
        <v>0</v>
      </c>
    </row>
    <row r="27" spans="1:14" ht="13.5" thickBot="1" x14ac:dyDescent="0.25">
      <c r="A27" s="105">
        <f>'Summary Baseline Data'!A26</f>
        <v>2007</v>
      </c>
      <c r="B27" s="117">
        <v>19</v>
      </c>
      <c r="C27" s="107">
        <f>HLOOKUP($E$5,'Economist Financing Model 1'!$C$6:$H$80,'Economist Financing Model 1'!B24,FALSE)</f>
        <v>0</v>
      </c>
      <c r="D27" s="108"/>
      <c r="E27" s="108">
        <f>HLOOKUP($E$5,'Economist Financing Model 1'!$I$6:$N$80,B27,FALSE)</f>
        <v>0</v>
      </c>
      <c r="F27" s="108"/>
      <c r="G27" s="108">
        <f>HLOOKUP($E$5,'Economist Financing Model 1'!$O$6:$T$80,B27,FALSE)</f>
        <v>0</v>
      </c>
      <c r="H27" s="108"/>
      <c r="I27" s="109">
        <f>HLOOKUP($E$5,'Economist Financing Model 1'!$U$6:$Z$80,B27,FALSE)</f>
        <v>0</v>
      </c>
      <c r="K27" s="107">
        <f>HLOOKUP($E$5,'Economist Financing Model 2'!$C$68:$I$143,B27,FALSE)</f>
        <v>0</v>
      </c>
      <c r="L27" s="108">
        <f>HLOOKUP($E$5,'Economist Financing Model 2'!$J$68:$P$144,B27,FALSE)</f>
        <v>0</v>
      </c>
      <c r="M27" s="108">
        <f>HLOOKUP($E$5,'Economist Financing Model 2'!$Q$68:$W$144,B27,FALSE)</f>
        <v>0</v>
      </c>
      <c r="N27" s="109">
        <f>HLOOKUP($E$5,'Economist Financing Model 2'!$X$68:$AD$144,B27,FALSE)</f>
        <v>0</v>
      </c>
    </row>
    <row r="28" spans="1:14" x14ac:dyDescent="0.2">
      <c r="A28" s="105">
        <f>'Summary Baseline Data'!A27</f>
        <v>2008</v>
      </c>
      <c r="B28" s="105">
        <v>20</v>
      </c>
      <c r="C28" s="107">
        <f>HLOOKUP($E$5,'Economist Financing Model 1'!$C$6:$H$80,'Economist Financing Model 1'!B25,FALSE)</f>
        <v>0</v>
      </c>
      <c r="D28" s="108"/>
      <c r="E28" s="108">
        <f>HLOOKUP($E$5,'Economist Financing Model 1'!$I$6:$N$80,B28,FALSE)</f>
        <v>0</v>
      </c>
      <c r="F28" s="108"/>
      <c r="G28" s="108">
        <f>HLOOKUP($E$5,'Economist Financing Model 1'!$O$6:$T$80,B28,FALSE)</f>
        <v>0</v>
      </c>
      <c r="H28" s="108"/>
      <c r="I28" s="109">
        <f>HLOOKUP($E$5,'Economist Financing Model 1'!$U$6:$Z$80,B28,FALSE)</f>
        <v>0</v>
      </c>
      <c r="K28" s="107">
        <f>HLOOKUP($E$5,'Economist Financing Model 2'!$C$68:$I$143,B28,FALSE)</f>
        <v>0</v>
      </c>
      <c r="L28" s="108">
        <f>HLOOKUP($E$5,'Economist Financing Model 2'!$J$68:$P$144,B28,FALSE)</f>
        <v>0</v>
      </c>
      <c r="M28" s="108">
        <f>HLOOKUP($E$5,'Economist Financing Model 2'!$Q$68:$W$144,B28,FALSE)</f>
        <v>0</v>
      </c>
      <c r="N28" s="109">
        <f>HLOOKUP($E$5,'Economist Financing Model 2'!$X$68:$AD$144,B28,FALSE)</f>
        <v>0</v>
      </c>
    </row>
    <row r="29" spans="1:14" ht="13.5" thickBot="1" x14ac:dyDescent="0.25">
      <c r="A29" s="105">
        <f>'Summary Baseline Data'!A28</f>
        <v>2009</v>
      </c>
      <c r="B29" s="117">
        <v>21</v>
      </c>
      <c r="C29" s="107">
        <f>HLOOKUP($E$5,'Economist Financing Model 1'!$C$6:$H$80,'Economist Financing Model 1'!B26,FALSE)</f>
        <v>0</v>
      </c>
      <c r="D29" s="108"/>
      <c r="E29" s="108">
        <f>HLOOKUP($E$5,'Economist Financing Model 1'!$I$6:$N$80,B29,FALSE)</f>
        <v>0</v>
      </c>
      <c r="F29" s="108"/>
      <c r="G29" s="108">
        <f>HLOOKUP($E$5,'Economist Financing Model 1'!$O$6:$T$80,B29,FALSE)</f>
        <v>0</v>
      </c>
      <c r="H29" s="108"/>
      <c r="I29" s="109">
        <f>HLOOKUP($E$5,'Economist Financing Model 1'!$U$6:$Z$80,B29,FALSE)</f>
        <v>0</v>
      </c>
      <c r="K29" s="107">
        <f>HLOOKUP($E$5,'Economist Financing Model 2'!$C$68:$I$143,B29,FALSE)</f>
        <v>0</v>
      </c>
      <c r="L29" s="108">
        <f>HLOOKUP($E$5,'Economist Financing Model 2'!$J$68:$P$144,B29,FALSE)</f>
        <v>0</v>
      </c>
      <c r="M29" s="108">
        <f>HLOOKUP($E$5,'Economist Financing Model 2'!$Q$68:$W$144,B29,FALSE)</f>
        <v>0</v>
      </c>
      <c r="N29" s="109">
        <f>HLOOKUP($E$5,'Economist Financing Model 2'!$X$68:$AD$144,B29,FALSE)</f>
        <v>0</v>
      </c>
    </row>
    <row r="30" spans="1:14" x14ac:dyDescent="0.2">
      <c r="A30" s="105">
        <f>'Summary Baseline Data'!A29</f>
        <v>2010</v>
      </c>
      <c r="B30" s="105">
        <v>22</v>
      </c>
      <c r="C30" s="107">
        <f>HLOOKUP($E$5,'Economist Financing Model 1'!$C$6:$H$80,'Economist Financing Model 1'!B27,FALSE)</f>
        <v>0</v>
      </c>
      <c r="D30" s="108"/>
      <c r="E30" s="108">
        <f>HLOOKUP($E$5,'Economist Financing Model 1'!$I$6:$N$80,B30,FALSE)</f>
        <v>0</v>
      </c>
      <c r="F30" s="108"/>
      <c r="G30" s="108">
        <f>HLOOKUP($E$5,'Economist Financing Model 1'!$O$6:$T$80,B30,FALSE)</f>
        <v>0</v>
      </c>
      <c r="H30" s="108"/>
      <c r="I30" s="109">
        <f>HLOOKUP($E$5,'Economist Financing Model 1'!$U$6:$Z$80,B30,FALSE)</f>
        <v>0</v>
      </c>
      <c r="J30" s="108">
        <f t="shared" ref="J30:J34" si="0">I30</f>
        <v>0</v>
      </c>
      <c r="K30" s="107">
        <f>HLOOKUP($E$5,'Economist Financing Model 2'!$C$68:$I$143,B30,FALSE)</f>
        <v>0</v>
      </c>
      <c r="L30" s="108">
        <f>HLOOKUP($E$5,'Economist Financing Model 2'!$J$68:$P$144,B30,FALSE)</f>
        <v>0</v>
      </c>
      <c r="M30" s="108">
        <f>HLOOKUP($E$5,'Economist Financing Model 2'!$Q$68:$W$144,B30,FALSE)</f>
        <v>0</v>
      </c>
      <c r="N30" s="109">
        <f>HLOOKUP($E$5,'Economist Financing Model 2'!$X$68:$AD$144,B30,FALSE)</f>
        <v>0</v>
      </c>
    </row>
    <row r="31" spans="1:14" ht="13.5" thickBot="1" x14ac:dyDescent="0.25">
      <c r="A31" s="105">
        <f>'Summary Baseline Data'!A30</f>
        <v>2011</v>
      </c>
      <c r="B31" s="117">
        <v>23</v>
      </c>
      <c r="C31" s="107">
        <f>HLOOKUP($E$5,'Economist Financing Model 1'!$C$6:$H$80,'Economist Financing Model 1'!B28,FALSE)</f>
        <v>0</v>
      </c>
      <c r="D31" s="108"/>
      <c r="E31" s="108">
        <f>HLOOKUP($E$5,'Economist Financing Model 1'!$I$6:$N$80,B31,FALSE)</f>
        <v>0</v>
      </c>
      <c r="F31" s="108"/>
      <c r="G31" s="108">
        <f>HLOOKUP($E$5,'Economist Financing Model 1'!$O$6:$T$80,B31,FALSE)</f>
        <v>0</v>
      </c>
      <c r="H31" s="108"/>
      <c r="I31" s="109">
        <f>HLOOKUP($E$5,'Economist Financing Model 1'!$U$6:$Z$80,B31,FALSE)</f>
        <v>0</v>
      </c>
      <c r="J31" s="108">
        <f t="shared" si="0"/>
        <v>0</v>
      </c>
      <c r="K31" s="107">
        <f>HLOOKUP($E$5,'Economist Financing Model 2'!$C$68:$I$143,B31,FALSE)</f>
        <v>0</v>
      </c>
      <c r="L31" s="108">
        <f>HLOOKUP($E$5,'Economist Financing Model 2'!$J$68:$P$144,B31,FALSE)</f>
        <v>0</v>
      </c>
      <c r="M31" s="108">
        <f>HLOOKUP($E$5,'Economist Financing Model 2'!$Q$68:$W$144,B31,FALSE)</f>
        <v>0</v>
      </c>
      <c r="N31" s="109">
        <f>HLOOKUP($E$5,'Economist Financing Model 2'!$X$68:$AD$144,B31,FALSE)</f>
        <v>0</v>
      </c>
    </row>
    <row r="32" spans="1:14" x14ac:dyDescent="0.2">
      <c r="A32" s="105">
        <f>'Summary Baseline Data'!A31</f>
        <v>2012</v>
      </c>
      <c r="B32" s="105">
        <v>24</v>
      </c>
      <c r="C32" s="107">
        <f>HLOOKUP($E$5,'Economist Financing Model 1'!$C$6:$H$80,'Economist Financing Model 1'!B29,FALSE)</f>
        <v>0</v>
      </c>
      <c r="D32" s="108"/>
      <c r="E32" s="108">
        <f>HLOOKUP($E$5,'Economist Financing Model 1'!$I$6:$N$80,B32,FALSE)</f>
        <v>0</v>
      </c>
      <c r="F32" s="108"/>
      <c r="G32" s="108">
        <f>HLOOKUP($E$5,'Economist Financing Model 1'!$O$6:$T$80,B32,FALSE)</f>
        <v>0</v>
      </c>
      <c r="H32" s="108"/>
      <c r="I32" s="109">
        <f>HLOOKUP($E$5,'Economist Financing Model 1'!$U$6:$Z$80,B32,FALSE)</f>
        <v>0</v>
      </c>
      <c r="J32" s="108">
        <f t="shared" si="0"/>
        <v>0</v>
      </c>
      <c r="K32" s="107">
        <f>HLOOKUP($E$5,'Economist Financing Model 2'!$C$68:$I$143,B32,FALSE)</f>
        <v>0</v>
      </c>
      <c r="L32" s="108">
        <f>HLOOKUP($E$5,'Economist Financing Model 2'!$J$68:$P$144,B32,FALSE)</f>
        <v>0</v>
      </c>
      <c r="M32" s="108">
        <f>HLOOKUP($E$5,'Economist Financing Model 2'!$Q$68:$W$144,B32,FALSE)</f>
        <v>0</v>
      </c>
      <c r="N32" s="109">
        <f>HLOOKUP($E$5,'Economist Financing Model 2'!$X$68:$AD$144,B32,FALSE)</f>
        <v>0</v>
      </c>
    </row>
    <row r="33" spans="1:14" ht="13.5" thickBot="1" x14ac:dyDescent="0.25">
      <c r="A33" s="105">
        <f>'Summary Baseline Data'!A32</f>
        <v>2013</v>
      </c>
      <c r="B33" s="117">
        <v>25</v>
      </c>
      <c r="C33" s="107">
        <f>HLOOKUP($E$5,'Economist Financing Model 1'!$C$6:$H$80,'Economist Financing Model 1'!B30,FALSE)</f>
        <v>0</v>
      </c>
      <c r="D33" s="108"/>
      <c r="E33" s="108">
        <f>HLOOKUP($E$5,'Economist Financing Model 1'!$I$6:$N$80,B33,FALSE)</f>
        <v>0</v>
      </c>
      <c r="F33" s="108"/>
      <c r="G33" s="108">
        <f>HLOOKUP($E$5,'Economist Financing Model 1'!$O$6:$T$80,B33,FALSE)</f>
        <v>0</v>
      </c>
      <c r="H33" s="108"/>
      <c r="I33" s="109">
        <f>HLOOKUP($E$5,'Economist Financing Model 1'!$U$6:$Z$80,B33,FALSE)</f>
        <v>0</v>
      </c>
      <c r="J33" s="108">
        <f t="shared" si="0"/>
        <v>0</v>
      </c>
      <c r="K33" s="107">
        <f>HLOOKUP($E$5,'Economist Financing Model 2'!$C$68:$I$143,B33,FALSE)</f>
        <v>0</v>
      </c>
      <c r="L33" s="108">
        <f>HLOOKUP($E$5,'Economist Financing Model 2'!$J$68:$P$144,B33,FALSE)</f>
        <v>0</v>
      </c>
      <c r="M33" s="108">
        <f>HLOOKUP($E$5,'Economist Financing Model 2'!$Q$68:$W$144,B33,FALSE)</f>
        <v>0</v>
      </c>
      <c r="N33" s="109">
        <f>HLOOKUP($E$5,'Economist Financing Model 2'!$X$68:$AD$144,B33,FALSE)</f>
        <v>0</v>
      </c>
    </row>
    <row r="34" spans="1:14" x14ac:dyDescent="0.2">
      <c r="A34" s="105">
        <f>'Summary Baseline Data'!A33</f>
        <v>2014</v>
      </c>
      <c r="B34" s="105">
        <v>26</v>
      </c>
      <c r="C34" s="107">
        <f>-HLOOKUP($E$5,'Economist Financing Model 1'!$C$6:$H$80,'Economist Financing Model 1'!B31,FALSE)</f>
        <v>37660664.113983564</v>
      </c>
      <c r="D34" s="108">
        <f t="shared" ref="D34:D40" si="1">C34+D33</f>
        <v>37660664.113983564</v>
      </c>
      <c r="E34" s="108">
        <f>-HLOOKUP($E$5,'Economist Financing Model 1'!$I$6:$N$80,B34,FALSE)</f>
        <v>45107144.235605747</v>
      </c>
      <c r="F34" s="108">
        <f t="shared" ref="F34:F40" si="2">E34+F33</f>
        <v>45107144.235605747</v>
      </c>
      <c r="G34" s="108">
        <f>-HLOOKUP($E$5,'Economist Financing Model 1'!$O$6:$T$80,B34,FALSE)</f>
        <v>53078656.685678646</v>
      </c>
      <c r="H34" s="108">
        <f t="shared" ref="H34:H40" si="3">G34+H33</f>
        <v>53078656.685678646</v>
      </c>
      <c r="I34" s="109">
        <f>-HLOOKUP($E$5,'Economist Financing Model 1'!$U$6:$Z$80,B34,FALSE)</f>
        <v>70213594.203879833</v>
      </c>
      <c r="J34" s="108">
        <f t="shared" si="0"/>
        <v>70213594.203879833</v>
      </c>
      <c r="K34" s="107">
        <f>HLOOKUP($E$5,'Economist Financing Model 2'!$C$68:$I$143,B34,FALSE)</f>
        <v>0</v>
      </c>
      <c r="L34" s="108">
        <f>HLOOKUP($E$5,'Economist Financing Model 2'!$J$68:$P$144,B34,FALSE)</f>
        <v>0</v>
      </c>
      <c r="M34" s="108">
        <f>HLOOKUP($E$5,'Economist Financing Model 2'!$Q$68:$W$144,B34,FALSE)</f>
        <v>0</v>
      </c>
      <c r="N34" s="109">
        <f>HLOOKUP($E$5,'Economist Financing Model 2'!$X$68:$AD$144,B34,FALSE)</f>
        <v>0</v>
      </c>
    </row>
    <row r="35" spans="1:14" ht="13.5" thickBot="1" x14ac:dyDescent="0.25">
      <c r="A35" s="105">
        <f>'Summary Baseline Data'!A34</f>
        <v>2015</v>
      </c>
      <c r="B35" s="117">
        <v>27</v>
      </c>
      <c r="C35" s="107">
        <f>-HLOOKUP($E$5,'Economist Financing Model 1'!$C$6:$H$80,'Economist Financing Model 1'!B32,FALSE)</f>
        <v>37660664.113983564</v>
      </c>
      <c r="D35" s="108">
        <f t="shared" si="1"/>
        <v>75321328.227967128</v>
      </c>
      <c r="E35" s="108">
        <f>-HLOOKUP($E$5,'Economist Financing Model 1'!$I$6:$N$80,B35,FALSE)</f>
        <v>45107144.235605747</v>
      </c>
      <c r="F35" s="108">
        <f t="shared" si="2"/>
        <v>90214288.471211493</v>
      </c>
      <c r="G35" s="108">
        <f>-HLOOKUP($E$5,'Economist Financing Model 1'!$O$6:$T$80,B35,FALSE)</f>
        <v>53078656.685678646</v>
      </c>
      <c r="H35" s="108">
        <f t="shared" si="3"/>
        <v>106157313.37135729</v>
      </c>
      <c r="I35" s="109">
        <f>-HLOOKUP($E$5,'Economist Financing Model 1'!$U$6:$Z$80,B35,FALSE)</f>
        <v>70213594.203879833</v>
      </c>
      <c r="J35" s="108">
        <f>I35+J34</f>
        <v>140427188.40775967</v>
      </c>
      <c r="K35" s="107">
        <f>-1*HLOOKUP($E$5,'Economist Financing Model 2'!$C$68:$I$143,'Economist Financing Model 2'!B94,FALSE)</f>
        <v>20000000</v>
      </c>
      <c r="L35" s="108">
        <f>-1*HLOOKUP($E$5,'Economist Financing Model 2'!$J$68:$P$144,'Economist Financing Model 2'!B94,FALSE)</f>
        <v>20000000</v>
      </c>
      <c r="M35" s="108">
        <f>-1*HLOOKUP($E$5,'Economist Financing Model 2'!$Q$68:$W$144,'Economist Financing Model 2'!B94,FALSE)</f>
        <v>20000000</v>
      </c>
      <c r="N35" s="109">
        <f>-1*HLOOKUP($E$5,'Economist Financing Model 2'!$X$68:$AD$144,'Economist Financing Model 2'!B94,FALSE)</f>
        <v>20000000</v>
      </c>
    </row>
    <row r="36" spans="1:14" x14ac:dyDescent="0.2">
      <c r="A36" s="105">
        <f>'Summary Baseline Data'!A35</f>
        <v>2016</v>
      </c>
      <c r="B36" s="105">
        <v>28</v>
      </c>
      <c r="C36" s="107">
        <f>-HLOOKUP($E$5,'Economist Financing Model 1'!$C$6:$H$80,'Economist Financing Model 1'!B33,FALSE)</f>
        <v>37660664.113983564</v>
      </c>
      <c r="D36" s="108">
        <f t="shared" si="1"/>
        <v>112981992.34195068</v>
      </c>
      <c r="E36" s="108">
        <f>-HLOOKUP($E$5,'Economist Financing Model 1'!$I$6:$N$80,B36,FALSE)</f>
        <v>45107144.235605747</v>
      </c>
      <c r="F36" s="108">
        <f t="shared" si="2"/>
        <v>135321432.70681724</v>
      </c>
      <c r="G36" s="108">
        <f>-HLOOKUP($E$5,'Economist Financing Model 1'!$O$6:$T$80,B36,FALSE)</f>
        <v>53078656.685678646</v>
      </c>
      <c r="H36" s="108">
        <f t="shared" si="3"/>
        <v>159235970.05703592</v>
      </c>
      <c r="I36" s="109">
        <f>-HLOOKUP($E$5,'Economist Financing Model 1'!$U$6:$Z$80,B36,FALSE)</f>
        <v>70213594.203879833</v>
      </c>
      <c r="J36" s="108">
        <f t="shared" ref="J36:J59" si="4">I36+J35</f>
        <v>210640782.6116395</v>
      </c>
      <c r="K36" s="107">
        <f>-1*HLOOKUP($E$5,'Economist Financing Model 2'!$C$68:$I$143,'Economist Financing Model 2'!B95,FALSE)</f>
        <v>20000000</v>
      </c>
      <c r="L36" s="108">
        <f>-1*HLOOKUP($E$5,'Economist Financing Model 2'!$J$68:$P$144,'Economist Financing Model 2'!B95,FALSE)</f>
        <v>20000000</v>
      </c>
      <c r="M36" s="108">
        <f>-1*HLOOKUP($E$5,'Economist Financing Model 2'!$Q$68:$W$144,'Economist Financing Model 2'!B95,FALSE)</f>
        <v>20000000</v>
      </c>
      <c r="N36" s="109">
        <f>-1*HLOOKUP($E$5,'Economist Financing Model 2'!$X$68:$AD$144,'Economist Financing Model 2'!B95,FALSE)</f>
        <v>20000000</v>
      </c>
    </row>
    <row r="37" spans="1:14" ht="13.5" thickBot="1" x14ac:dyDescent="0.25">
      <c r="A37" s="105">
        <f>'Summary Baseline Data'!A36</f>
        <v>2017</v>
      </c>
      <c r="B37" s="117">
        <v>29</v>
      </c>
      <c r="C37" s="107">
        <f>-HLOOKUP($E$5,'Economist Financing Model 1'!$C$6:$H$80,'Economist Financing Model 1'!B34,FALSE)</f>
        <v>37660664.113983564</v>
      </c>
      <c r="D37" s="108">
        <f t="shared" si="1"/>
        <v>150642656.45593426</v>
      </c>
      <c r="E37" s="108">
        <f>-HLOOKUP($E$5,'Economist Financing Model 1'!$I$6:$N$80,B37,FALSE)</f>
        <v>45107144.235605747</v>
      </c>
      <c r="F37" s="108">
        <f t="shared" si="2"/>
        <v>180428576.94242299</v>
      </c>
      <c r="G37" s="108">
        <f>-HLOOKUP($E$5,'Economist Financing Model 1'!$O$6:$T$80,B37,FALSE)</f>
        <v>53078656.685678646</v>
      </c>
      <c r="H37" s="108">
        <f t="shared" si="3"/>
        <v>212314626.74271458</v>
      </c>
      <c r="I37" s="109">
        <f>-HLOOKUP($E$5,'Economist Financing Model 1'!$U$6:$Z$80,B37,FALSE)</f>
        <v>70213594.203879833</v>
      </c>
      <c r="J37" s="108">
        <f t="shared" si="4"/>
        <v>280854376.81551933</v>
      </c>
      <c r="K37" s="107">
        <f>-1*HLOOKUP($E$5,'Economist Financing Model 2'!$C$68:$I$143,'Economist Financing Model 2'!B96,FALSE)</f>
        <v>20000000</v>
      </c>
      <c r="L37" s="108">
        <f>-1*HLOOKUP($E$5,'Economist Financing Model 2'!$J$68:$P$144,'Economist Financing Model 2'!B96,FALSE)</f>
        <v>20000000</v>
      </c>
      <c r="M37" s="108">
        <f>-1*HLOOKUP($E$5,'Economist Financing Model 2'!$Q$68:$W$144,'Economist Financing Model 2'!B96,FALSE)</f>
        <v>20000000</v>
      </c>
      <c r="N37" s="109">
        <f>-1*HLOOKUP($E$5,'Economist Financing Model 2'!$X$68:$AD$144,'Economist Financing Model 2'!B96,FALSE)</f>
        <v>20000000</v>
      </c>
    </row>
    <row r="38" spans="1:14" x14ac:dyDescent="0.2">
      <c r="A38" s="105">
        <f>'Summary Baseline Data'!A37</f>
        <v>2018</v>
      </c>
      <c r="B38" s="105">
        <v>30</v>
      </c>
      <c r="C38" s="107">
        <f>-HLOOKUP($E$5,'Economist Financing Model 1'!$C$6:$H$80,'Economist Financing Model 1'!B35,FALSE)</f>
        <v>37660664.113983564</v>
      </c>
      <c r="D38" s="108">
        <f t="shared" si="1"/>
        <v>188303320.56991783</v>
      </c>
      <c r="E38" s="108">
        <f>-HLOOKUP($E$5,'Economist Financing Model 1'!$I$6:$N$80,B38,FALSE)</f>
        <v>45107144.235605747</v>
      </c>
      <c r="F38" s="108">
        <f t="shared" si="2"/>
        <v>225535721.17802873</v>
      </c>
      <c r="G38" s="108">
        <f>-HLOOKUP($E$5,'Economist Financing Model 1'!$O$6:$T$80,B38,FALSE)</f>
        <v>53078656.685678646</v>
      </c>
      <c r="H38" s="108">
        <f t="shared" si="3"/>
        <v>265393283.42839324</v>
      </c>
      <c r="I38" s="109">
        <f>-HLOOKUP($E$5,'Economist Financing Model 1'!$U$6:$Z$80,B38,FALSE)</f>
        <v>70213594.203879833</v>
      </c>
      <c r="J38" s="108">
        <f t="shared" si="4"/>
        <v>351067971.01939917</v>
      </c>
      <c r="K38" s="107">
        <f>-1*HLOOKUP($E$5,'Economist Financing Model 2'!$C$68:$I$143,'Economist Financing Model 2'!B97,FALSE)</f>
        <v>20000000</v>
      </c>
      <c r="L38" s="108">
        <f>-1*HLOOKUP($E$5,'Economist Financing Model 2'!$J$68:$P$144,'Economist Financing Model 2'!B97,FALSE)</f>
        <v>20000000</v>
      </c>
      <c r="M38" s="108">
        <f>-1*HLOOKUP($E$5,'Economist Financing Model 2'!$Q$68:$W$144,'Economist Financing Model 2'!B97,FALSE)</f>
        <v>20000000</v>
      </c>
      <c r="N38" s="109">
        <f>-1*HLOOKUP($E$5,'Economist Financing Model 2'!$X$68:$AD$144,'Economist Financing Model 2'!B97,FALSE)</f>
        <v>20000000</v>
      </c>
    </row>
    <row r="39" spans="1:14" ht="13.5" thickBot="1" x14ac:dyDescent="0.25">
      <c r="A39" s="105">
        <f>'Summary Baseline Data'!A38</f>
        <v>2019</v>
      </c>
      <c r="B39" s="117">
        <v>31</v>
      </c>
      <c r="C39" s="107">
        <f>-HLOOKUP($E$5,'Economist Financing Model 1'!$C$6:$H$80,'Economist Financing Model 1'!B36,FALSE)</f>
        <v>37660664.113983564</v>
      </c>
      <c r="D39" s="108">
        <f t="shared" si="1"/>
        <v>225963984.6839014</v>
      </c>
      <c r="E39" s="108">
        <f>-HLOOKUP($E$5,'Economist Financing Model 1'!$I$6:$N$80,B39,FALSE)</f>
        <v>45107144.235605747</v>
      </c>
      <c r="F39" s="108">
        <f t="shared" si="2"/>
        <v>270642865.41363448</v>
      </c>
      <c r="G39" s="108">
        <f>-HLOOKUP($E$5,'Economist Financing Model 1'!$O$6:$T$80,B39,FALSE)</f>
        <v>53078656.685678646</v>
      </c>
      <c r="H39" s="108">
        <f t="shared" si="3"/>
        <v>318471940.11407191</v>
      </c>
      <c r="I39" s="109">
        <f>-HLOOKUP($E$5,'Economist Financing Model 1'!$U$6:$Z$80,B39,FALSE)</f>
        <v>70213594.203879833</v>
      </c>
      <c r="J39" s="108">
        <f t="shared" si="4"/>
        <v>421281565.223279</v>
      </c>
      <c r="K39" s="107">
        <f>-1*HLOOKUP($E$5,'Economist Financing Model 2'!$C$68:$I$143,'Economist Financing Model 2'!B98,FALSE)</f>
        <v>20000000</v>
      </c>
      <c r="L39" s="108">
        <f>-1*HLOOKUP($E$5,'Economist Financing Model 2'!$J$68:$P$144,'Economist Financing Model 2'!B98,FALSE)</f>
        <v>20000000</v>
      </c>
      <c r="M39" s="108">
        <f>-1*HLOOKUP($E$5,'Economist Financing Model 2'!$Q$68:$W$144,'Economist Financing Model 2'!B98,FALSE)</f>
        <v>20000000</v>
      </c>
      <c r="N39" s="109">
        <f>-1*HLOOKUP($E$5,'Economist Financing Model 2'!$X$68:$AD$144,'Economist Financing Model 2'!B98,FALSE)</f>
        <v>20000000</v>
      </c>
    </row>
    <row r="40" spans="1:14" x14ac:dyDescent="0.2">
      <c r="A40" s="105">
        <f>'Summary Baseline Data'!A39</f>
        <v>2020</v>
      </c>
      <c r="B40" s="105">
        <v>32</v>
      </c>
      <c r="C40" s="107">
        <f>-HLOOKUP($E$5,'Economist Financing Model 1'!$C$6:$H$80,'Economist Financing Model 1'!B37,FALSE)</f>
        <v>37660664.113983564</v>
      </c>
      <c r="D40" s="108">
        <f t="shared" si="1"/>
        <v>263624648.79788497</v>
      </c>
      <c r="E40" s="108">
        <f>-HLOOKUP($E$5,'Economist Financing Model 1'!$I$6:$N$80,B40,FALSE)</f>
        <v>45107144.235605747</v>
      </c>
      <c r="F40" s="108">
        <f t="shared" si="2"/>
        <v>315750009.64924026</v>
      </c>
      <c r="G40" s="108">
        <f>-HLOOKUP($E$5,'Economist Financing Model 1'!$O$6:$T$80,B40,FALSE)</f>
        <v>53078656.685678646</v>
      </c>
      <c r="H40" s="108">
        <f t="shared" si="3"/>
        <v>371550596.79975057</v>
      </c>
      <c r="I40" s="109">
        <f>-HLOOKUP($E$5,'Economist Financing Model 1'!$U$6:$Z$80,B40,FALSE)</f>
        <v>70213594.203879833</v>
      </c>
      <c r="J40" s="108">
        <f t="shared" si="4"/>
        <v>491495159.42715883</v>
      </c>
      <c r="K40" s="107">
        <f>-1*HLOOKUP($E$5,'Economist Financing Model 2'!$C$68:$I$143,'Economist Financing Model 2'!B99,FALSE)</f>
        <v>20000000</v>
      </c>
      <c r="L40" s="108">
        <f>-1*HLOOKUP($E$5,'Economist Financing Model 2'!$J$68:$P$144,'Economist Financing Model 2'!B99,FALSE)</f>
        <v>20000000</v>
      </c>
      <c r="M40" s="108">
        <f>-1*HLOOKUP($E$5,'Economist Financing Model 2'!$Q$68:$W$144,'Economist Financing Model 2'!B99,FALSE)</f>
        <v>20000000</v>
      </c>
      <c r="N40" s="109">
        <f>-1*HLOOKUP($E$5,'Economist Financing Model 2'!$X$68:$AD$144,'Economist Financing Model 2'!B99,FALSE)</f>
        <v>20000000</v>
      </c>
    </row>
    <row r="41" spans="1:14" ht="13.5" thickBot="1" x14ac:dyDescent="0.25">
      <c r="A41" s="105">
        <f>'Summary Baseline Data'!A40</f>
        <v>2021</v>
      </c>
      <c r="B41" s="117">
        <v>33</v>
      </c>
      <c r="C41" s="107">
        <f>-1*HLOOKUP($E$5,'Economist Financing Model 1'!$C$6:$H$80,'Economist Financing Model 1'!B38,FALSE)</f>
        <v>37660664.113983564</v>
      </c>
      <c r="D41" s="108">
        <f>C41+D40</f>
        <v>301285312.91186851</v>
      </c>
      <c r="E41" s="108">
        <f>-1*HLOOKUP($E$5,'Economist Financing Model 1'!$I$6:$N$80,'Economist Financing Model 1'!B38,FALSE)</f>
        <v>45107144.235605747</v>
      </c>
      <c r="F41" s="108">
        <f>E41+F40</f>
        <v>360857153.88484597</v>
      </c>
      <c r="G41" s="108">
        <f>-1*HLOOKUP($E$5,'Economist Financing Model 1'!$O$6:$T$80,'Economist Financing Model 1'!B38,FALSE)</f>
        <v>53078656.685678646</v>
      </c>
      <c r="H41" s="108">
        <f>G41+H40</f>
        <v>424629253.48542923</v>
      </c>
      <c r="I41" s="109">
        <f>-1*HLOOKUP($E$5,'Economist Financing Model 1'!$U$6:$Z$80,'Economist Financing Model 1'!B38,FALSE)</f>
        <v>70213594.203879833</v>
      </c>
      <c r="J41" s="108">
        <f t="shared" si="4"/>
        <v>561708753.63103867</v>
      </c>
      <c r="K41" s="107">
        <f>-1*HLOOKUP($E$5,'Economist Financing Model 2'!$C$68:$I$143,'Economist Financing Model 2'!B100,FALSE)</f>
        <v>20000000</v>
      </c>
      <c r="L41" s="108">
        <f>-1*HLOOKUP($E$5,'Economist Financing Model 2'!$J$68:$P$144,'Economist Financing Model 2'!B100,FALSE)</f>
        <v>20000000</v>
      </c>
      <c r="M41" s="108">
        <f>-1*HLOOKUP($E$5,'Economist Financing Model 2'!$Q$68:$W$144,'Economist Financing Model 2'!B100,FALSE)</f>
        <v>20000000</v>
      </c>
      <c r="N41" s="109">
        <f>-1*HLOOKUP($E$5,'Economist Financing Model 2'!$X$68:$AD$144,'Economist Financing Model 2'!B100,FALSE)</f>
        <v>20000000</v>
      </c>
    </row>
    <row r="42" spans="1:14" x14ac:dyDescent="0.2">
      <c r="A42" s="105">
        <f>'Summary Baseline Data'!A41</f>
        <v>2022</v>
      </c>
      <c r="B42" s="105">
        <v>34</v>
      </c>
      <c r="C42" s="107">
        <f>-1*HLOOKUP($E$5,'Economist Financing Model 1'!$C$6:$H$80,'Economist Financing Model 1'!B39,FALSE)</f>
        <v>37660664.113983564</v>
      </c>
      <c r="D42" s="108">
        <f t="shared" ref="D42:J80" si="5">C42+D41</f>
        <v>338945977.02585208</v>
      </c>
      <c r="E42" s="108">
        <f>-1*HLOOKUP($E$5,'Economist Financing Model 1'!$I$6:$N$80,'Economist Financing Model 1'!B39,FALSE)</f>
        <v>45107144.235605747</v>
      </c>
      <c r="F42" s="108">
        <f t="shared" si="5"/>
        <v>405964298.12045169</v>
      </c>
      <c r="G42" s="108">
        <f>-1*HLOOKUP($E$5,'Economist Financing Model 1'!$O$6:$T$80,'Economist Financing Model 1'!B39,FALSE)</f>
        <v>53078656.685678646</v>
      </c>
      <c r="H42" s="108">
        <f t="shared" si="5"/>
        <v>477707910.17110789</v>
      </c>
      <c r="I42" s="109">
        <f>-1*HLOOKUP($E$5,'Economist Financing Model 1'!$U$6:$Z$80,'Economist Financing Model 1'!B39,FALSE)</f>
        <v>70213594.203879833</v>
      </c>
      <c r="J42" s="108">
        <f t="shared" si="4"/>
        <v>631922347.8349185</v>
      </c>
      <c r="K42" s="107">
        <f>-1*HLOOKUP($E$5,'Economist Financing Model 2'!$C$68:$I$143,'Economist Financing Model 2'!B101,FALSE)</f>
        <v>20000000</v>
      </c>
      <c r="L42" s="108">
        <f>-1*HLOOKUP($E$5,'Economist Financing Model 2'!$J$68:$P$144,'Economist Financing Model 2'!B101,FALSE)</f>
        <v>20000000</v>
      </c>
      <c r="M42" s="108">
        <f>-1*HLOOKUP($E$5,'Economist Financing Model 2'!$Q$68:$W$144,'Economist Financing Model 2'!B101,FALSE)</f>
        <v>20000000</v>
      </c>
      <c r="N42" s="109">
        <f>-1*HLOOKUP($E$5,'Economist Financing Model 2'!$X$68:$AD$144,'Economist Financing Model 2'!B101,FALSE)</f>
        <v>20000000</v>
      </c>
    </row>
    <row r="43" spans="1:14" ht="13.5" thickBot="1" x14ac:dyDescent="0.25">
      <c r="A43" s="105">
        <f>'Summary Baseline Data'!A42</f>
        <v>2023</v>
      </c>
      <c r="B43" s="117">
        <v>35</v>
      </c>
      <c r="C43" s="107">
        <f>-1*HLOOKUP($E$5,'Economist Financing Model 1'!$C$6:$H$80,'Economist Financing Model 1'!B40,FALSE)</f>
        <v>37660664.113983564</v>
      </c>
      <c r="D43" s="108">
        <f t="shared" si="5"/>
        <v>376606641.13983566</v>
      </c>
      <c r="E43" s="108">
        <f>-1*HLOOKUP($E$5,'Economist Financing Model 1'!$I$6:$N$80,'Economist Financing Model 1'!B40,FALSE)</f>
        <v>45107144.235605747</v>
      </c>
      <c r="F43" s="108">
        <f t="shared" si="5"/>
        <v>451071442.35605741</v>
      </c>
      <c r="G43" s="108">
        <f>-1*HLOOKUP($E$5,'Economist Financing Model 1'!$O$6:$T$80,'Economist Financing Model 1'!B40,FALSE)</f>
        <v>53078656.685678646</v>
      </c>
      <c r="H43" s="108">
        <f t="shared" si="5"/>
        <v>530786566.85678655</v>
      </c>
      <c r="I43" s="109">
        <f>-1*HLOOKUP($E$5,'Economist Financing Model 1'!$U$6:$Z$80,'Economist Financing Model 1'!B40,FALSE)</f>
        <v>70213594.203879833</v>
      </c>
      <c r="J43" s="108">
        <f t="shared" si="4"/>
        <v>702135942.03879833</v>
      </c>
      <c r="K43" s="107">
        <f>-1*HLOOKUP($E$5,'Economist Financing Model 2'!$C$68:$I$143,'Economist Financing Model 2'!B102,FALSE)</f>
        <v>20000000</v>
      </c>
      <c r="L43" s="108">
        <f>-1*HLOOKUP($E$5,'Economist Financing Model 2'!$J$68:$P$144,'Economist Financing Model 2'!B102,FALSE)</f>
        <v>20000000</v>
      </c>
      <c r="M43" s="108">
        <f>-1*HLOOKUP($E$5,'Economist Financing Model 2'!$Q$68:$W$144,'Economist Financing Model 2'!B102,FALSE)</f>
        <v>20000000</v>
      </c>
      <c r="N43" s="109">
        <f>-1*HLOOKUP($E$5,'Economist Financing Model 2'!$X$68:$AD$144,'Economist Financing Model 2'!B102,FALSE)</f>
        <v>20000000</v>
      </c>
    </row>
    <row r="44" spans="1:14" x14ac:dyDescent="0.2">
      <c r="A44" s="105">
        <f>'Summary Baseline Data'!A43</f>
        <v>2024</v>
      </c>
      <c r="B44" s="105">
        <v>36</v>
      </c>
      <c r="C44" s="107">
        <f>-1*HLOOKUP($E$5,'Economist Financing Model 1'!$C$6:$H$80,'Economist Financing Model 1'!B41,FALSE)</f>
        <v>37660664.113983564</v>
      </c>
      <c r="D44" s="108">
        <f t="shared" si="5"/>
        <v>414267305.25381923</v>
      </c>
      <c r="E44" s="108">
        <f>-1*HLOOKUP($E$5,'Economist Financing Model 1'!$I$6:$N$80,'Economist Financing Model 1'!B41,FALSE)</f>
        <v>45107144.235605747</v>
      </c>
      <c r="F44" s="108">
        <f t="shared" si="5"/>
        <v>496178586.59166312</v>
      </c>
      <c r="G44" s="108">
        <f>-1*HLOOKUP($E$5,'Economist Financing Model 1'!$O$6:$T$80,'Economist Financing Model 1'!B41,FALSE)</f>
        <v>53078656.685678646</v>
      </c>
      <c r="H44" s="108">
        <f t="shared" si="5"/>
        <v>583865223.54246521</v>
      </c>
      <c r="I44" s="109">
        <f>-1*HLOOKUP($E$5,'Economist Financing Model 1'!$U$6:$Z$80,'Economist Financing Model 1'!B41,FALSE)</f>
        <v>70213594.203879833</v>
      </c>
      <c r="J44" s="108">
        <f t="shared" si="4"/>
        <v>772349536.24267817</v>
      </c>
      <c r="K44" s="107">
        <f>-1*HLOOKUP($E$5,'Economist Financing Model 2'!$C$68:$I$143,'Economist Financing Model 2'!B103,FALSE)</f>
        <v>20000000</v>
      </c>
      <c r="L44" s="108">
        <f>-1*HLOOKUP($E$5,'Economist Financing Model 2'!$J$68:$P$144,'Economist Financing Model 2'!B103,FALSE)</f>
        <v>20000000</v>
      </c>
      <c r="M44" s="108">
        <f>-1*HLOOKUP($E$5,'Economist Financing Model 2'!$Q$68:$W$144,'Economist Financing Model 2'!B103,FALSE)</f>
        <v>20000000</v>
      </c>
      <c r="N44" s="109">
        <f>-1*HLOOKUP($E$5,'Economist Financing Model 2'!$X$68:$AD$144,'Economist Financing Model 2'!B103,FALSE)</f>
        <v>20000000</v>
      </c>
    </row>
    <row r="45" spans="1:14" ht="13.5" thickBot="1" x14ac:dyDescent="0.25">
      <c r="A45" s="105">
        <f>'Summary Baseline Data'!A44</f>
        <v>2025</v>
      </c>
      <c r="B45" s="117">
        <v>37</v>
      </c>
      <c r="C45" s="107">
        <f>-1*HLOOKUP($E$5,'Economist Financing Model 1'!$C$6:$H$80,'Economist Financing Model 1'!B42,FALSE)</f>
        <v>37660664.113983564</v>
      </c>
      <c r="D45" s="108">
        <f t="shared" si="5"/>
        <v>451927969.3678028</v>
      </c>
      <c r="E45" s="108">
        <f>-1*HLOOKUP($E$5,'Economist Financing Model 1'!$I$6:$N$80,'Economist Financing Model 1'!B42,FALSE)</f>
        <v>45107144.235605747</v>
      </c>
      <c r="F45" s="108">
        <f t="shared" si="5"/>
        <v>541285730.82726884</v>
      </c>
      <c r="G45" s="108">
        <f>-1*HLOOKUP($E$5,'Economist Financing Model 1'!$O$6:$T$80,'Economist Financing Model 1'!B42,FALSE)</f>
        <v>53078656.685678646</v>
      </c>
      <c r="H45" s="108">
        <f t="shared" si="5"/>
        <v>636943880.22814381</v>
      </c>
      <c r="I45" s="109">
        <f>-1*HLOOKUP($E$5,'Economist Financing Model 1'!$U$6:$Z$80,'Economist Financing Model 1'!B42,FALSE)</f>
        <v>70213594.203879833</v>
      </c>
      <c r="J45" s="108">
        <f t="shared" si="4"/>
        <v>842563130.446558</v>
      </c>
      <c r="K45" s="107">
        <f>-1*HLOOKUP($E$5,'Economist Financing Model 2'!$C$68:$I$143,'Economist Financing Model 2'!B104,FALSE)</f>
        <v>20000000</v>
      </c>
      <c r="L45" s="108">
        <f>-1*HLOOKUP($E$5,'Economist Financing Model 2'!$J$68:$P$144,'Economist Financing Model 2'!B104,FALSE)</f>
        <v>20000000</v>
      </c>
      <c r="M45" s="108">
        <f>-1*HLOOKUP($E$5,'Economist Financing Model 2'!$Q$68:$W$144,'Economist Financing Model 2'!B104,FALSE)</f>
        <v>20000000</v>
      </c>
      <c r="N45" s="109">
        <f>-1*HLOOKUP($E$5,'Economist Financing Model 2'!$X$68:$AD$144,'Economist Financing Model 2'!B104,FALSE)</f>
        <v>20000000</v>
      </c>
    </row>
    <row r="46" spans="1:14" x14ac:dyDescent="0.2">
      <c r="A46" s="105">
        <f>'Summary Baseline Data'!A45</f>
        <v>2026</v>
      </c>
      <c r="B46" s="105">
        <v>38</v>
      </c>
      <c r="C46" s="107">
        <f>-1*HLOOKUP($E$5,'Economist Financing Model 1'!$C$6:$H$80,'Economist Financing Model 1'!B43,FALSE)</f>
        <v>37660664.113983564</v>
      </c>
      <c r="D46" s="108">
        <f t="shared" si="5"/>
        <v>489588633.48178637</v>
      </c>
      <c r="E46" s="108">
        <f>-1*HLOOKUP($E$5,'Economist Financing Model 1'!$I$6:$N$80,'Economist Financing Model 1'!B43,FALSE)</f>
        <v>45107144.235605747</v>
      </c>
      <c r="F46" s="108">
        <f t="shared" si="5"/>
        <v>586392875.06287456</v>
      </c>
      <c r="G46" s="108">
        <f>-1*HLOOKUP($E$5,'Economist Financing Model 1'!$O$6:$T$80,'Economist Financing Model 1'!B43,FALSE)</f>
        <v>53078656.685678646</v>
      </c>
      <c r="H46" s="108">
        <f t="shared" si="5"/>
        <v>690022536.91382241</v>
      </c>
      <c r="I46" s="109">
        <f>-1*HLOOKUP($E$5,'Economist Financing Model 1'!$U$6:$Z$80,'Economist Financing Model 1'!B43,FALSE)</f>
        <v>70213594.203879833</v>
      </c>
      <c r="J46" s="108">
        <f t="shared" si="4"/>
        <v>912776724.65043783</v>
      </c>
      <c r="K46" s="107">
        <f>-1*HLOOKUP($E$5,'Economist Financing Model 2'!$C$68:$I$143,'Economist Financing Model 2'!B105,FALSE)</f>
        <v>20000000</v>
      </c>
      <c r="L46" s="108">
        <f>-1*HLOOKUP($E$5,'Economist Financing Model 2'!$J$68:$P$144,'Economist Financing Model 2'!B105,FALSE)</f>
        <v>20000000</v>
      </c>
      <c r="M46" s="108">
        <f>-1*HLOOKUP($E$5,'Economist Financing Model 2'!$Q$68:$W$144,'Economist Financing Model 2'!B105,FALSE)</f>
        <v>20000000</v>
      </c>
      <c r="N46" s="109">
        <f>-1*HLOOKUP($E$5,'Economist Financing Model 2'!$X$68:$AD$144,'Economist Financing Model 2'!B105,FALSE)</f>
        <v>20000000</v>
      </c>
    </row>
    <row r="47" spans="1:14" ht="13.5" thickBot="1" x14ac:dyDescent="0.25">
      <c r="A47" s="105">
        <f>'Summary Baseline Data'!A46</f>
        <v>2027</v>
      </c>
      <c r="B47" s="117">
        <v>39</v>
      </c>
      <c r="C47" s="107">
        <f>-1*HLOOKUP($E$5,'Economist Financing Model 1'!$C$6:$H$80,'Economist Financing Model 1'!B44,FALSE)</f>
        <v>37660664.113983564</v>
      </c>
      <c r="D47" s="108">
        <f t="shared" si="5"/>
        <v>527249297.59576994</v>
      </c>
      <c r="E47" s="108">
        <f>-1*HLOOKUP($E$5,'Economist Financing Model 1'!$I$6:$N$80,'Economist Financing Model 1'!B44,FALSE)</f>
        <v>45107144.235605747</v>
      </c>
      <c r="F47" s="108">
        <f t="shared" si="5"/>
        <v>631500019.29848027</v>
      </c>
      <c r="G47" s="108">
        <f>-1*HLOOKUP($E$5,'Economist Financing Model 1'!$O$6:$T$80,'Economist Financing Model 1'!B44,FALSE)</f>
        <v>53078656.685678646</v>
      </c>
      <c r="H47" s="108">
        <f t="shared" si="5"/>
        <v>743101193.59950101</v>
      </c>
      <c r="I47" s="109">
        <f>-1*HLOOKUP($E$5,'Economist Financing Model 1'!$U$6:$Z$80,'Economist Financing Model 1'!B44,FALSE)</f>
        <v>70213594.203879833</v>
      </c>
      <c r="J47" s="108">
        <f t="shared" si="4"/>
        <v>982990318.85431767</v>
      </c>
      <c r="K47" s="107">
        <f>-1*HLOOKUP($E$5,'Economist Financing Model 2'!$C$68:$I$143,'Economist Financing Model 2'!B106,FALSE)</f>
        <v>40880434.259851158</v>
      </c>
      <c r="L47" s="108">
        <f>-1*HLOOKUP($E$5,'Economist Financing Model 2'!$J$68:$P$144,'Economist Financing Model 2'!B106,FALSE)</f>
        <v>54252501.493384279</v>
      </c>
      <c r="M47" s="108">
        <f>-1*HLOOKUP($E$5,'Economist Financing Model 2'!$Q$68:$W$144,'Economist Financing Model 2'!B106,FALSE)</f>
        <v>70984575.825473875</v>
      </c>
      <c r="N47" s="109">
        <f>-1*HLOOKUP($E$5,'Economist Financing Model 2'!$X$68:$AD$144,'Economist Financing Model 2'!B106,FALSE)</f>
        <v>116957879.29183526</v>
      </c>
    </row>
    <row r="48" spans="1:14" x14ac:dyDescent="0.2">
      <c r="A48" s="105">
        <f>'Summary Baseline Data'!A47</f>
        <v>2028</v>
      </c>
      <c r="B48" s="105">
        <v>40</v>
      </c>
      <c r="C48" s="107">
        <f>-1*HLOOKUP($E$5,'Economist Financing Model 1'!$C$6:$H$80,'Economist Financing Model 1'!B45,FALSE)</f>
        <v>37660664.113983564</v>
      </c>
      <c r="D48" s="108">
        <f t="shared" si="5"/>
        <v>564909961.70975351</v>
      </c>
      <c r="E48" s="108">
        <f>-1*HLOOKUP($E$5,'Economist Financing Model 1'!$I$6:$N$80,'Economist Financing Model 1'!B45,FALSE)</f>
        <v>45107144.235605747</v>
      </c>
      <c r="F48" s="108">
        <f t="shared" si="5"/>
        <v>676607163.53408599</v>
      </c>
      <c r="G48" s="108">
        <f>-1*HLOOKUP($E$5,'Economist Financing Model 1'!$O$6:$T$80,'Economist Financing Model 1'!B45,FALSE)</f>
        <v>53078656.685678646</v>
      </c>
      <c r="H48" s="108">
        <f t="shared" si="5"/>
        <v>796179850.28517962</v>
      </c>
      <c r="I48" s="109">
        <f>-1*HLOOKUP($E$5,'Economist Financing Model 1'!$U$6:$Z$80,'Economist Financing Model 1'!B45,FALSE)</f>
        <v>70213594.203879833</v>
      </c>
      <c r="J48" s="108">
        <f t="shared" si="4"/>
        <v>1053203913.0581975</v>
      </c>
      <c r="K48" s="107">
        <f>-1*HLOOKUP($E$5,'Economist Financing Model 2'!$C$68:$I$143,'Economist Financing Model 2'!B107,FALSE)</f>
        <v>40880434.259851158</v>
      </c>
      <c r="L48" s="108">
        <f>-1*HLOOKUP($E$5,'Economist Financing Model 2'!$J$68:$P$144,'Economist Financing Model 2'!B107,FALSE)</f>
        <v>54252501.493384279</v>
      </c>
      <c r="M48" s="108">
        <f>-1*HLOOKUP($E$5,'Economist Financing Model 2'!$Q$68:$W$144,'Economist Financing Model 2'!B107,FALSE)</f>
        <v>70984575.825473875</v>
      </c>
      <c r="N48" s="109">
        <f>-1*HLOOKUP($E$5,'Economist Financing Model 2'!$X$68:$AD$144,'Economist Financing Model 2'!B107,FALSE)</f>
        <v>116957879.29183526</v>
      </c>
    </row>
    <row r="49" spans="1:14" ht="13.5" thickBot="1" x14ac:dyDescent="0.25">
      <c r="A49" s="105">
        <f>'Summary Baseline Data'!A48</f>
        <v>2029</v>
      </c>
      <c r="B49" s="117">
        <v>41</v>
      </c>
      <c r="C49" s="107">
        <f>-1*HLOOKUP($E$5,'Economist Financing Model 1'!$C$6:$H$80,'Economist Financing Model 1'!B46,FALSE)</f>
        <v>37660664.113983564</v>
      </c>
      <c r="D49" s="108">
        <f t="shared" si="5"/>
        <v>602570625.82373703</v>
      </c>
      <c r="E49" s="108">
        <f>-1*HLOOKUP($E$5,'Economist Financing Model 1'!$I$6:$N$80,'Economist Financing Model 1'!B46,FALSE)</f>
        <v>45107144.235605747</v>
      </c>
      <c r="F49" s="108">
        <f t="shared" si="5"/>
        <v>721714307.76969171</v>
      </c>
      <c r="G49" s="108">
        <f>-1*HLOOKUP($E$5,'Economist Financing Model 1'!$O$6:$T$80,'Economist Financing Model 1'!B46,FALSE)</f>
        <v>53078656.685678646</v>
      </c>
      <c r="H49" s="108">
        <f t="shared" si="5"/>
        <v>849258506.97085822</v>
      </c>
      <c r="I49" s="109">
        <f>-1*HLOOKUP($E$5,'Economist Financing Model 1'!$U$6:$Z$80,'Economist Financing Model 1'!B46,FALSE)</f>
        <v>70213594.203879833</v>
      </c>
      <c r="J49" s="108">
        <f t="shared" si="4"/>
        <v>1123417507.2620773</v>
      </c>
      <c r="K49" s="107">
        <f>-1*HLOOKUP($E$5,'Economist Financing Model 2'!$C$68:$I$143,'Economist Financing Model 2'!B108,FALSE)</f>
        <v>40880434.259851158</v>
      </c>
      <c r="L49" s="108">
        <f>-1*HLOOKUP($E$5,'Economist Financing Model 2'!$J$68:$P$144,'Economist Financing Model 2'!B108,FALSE)</f>
        <v>54252501.493384279</v>
      </c>
      <c r="M49" s="108">
        <f>-1*HLOOKUP($E$5,'Economist Financing Model 2'!$Q$68:$W$144,'Economist Financing Model 2'!B108,FALSE)</f>
        <v>70984575.825473875</v>
      </c>
      <c r="N49" s="109">
        <f>-1*HLOOKUP($E$5,'Economist Financing Model 2'!$X$68:$AD$144,'Economist Financing Model 2'!B108,FALSE)</f>
        <v>116957879.29183526</v>
      </c>
    </row>
    <row r="50" spans="1:14" x14ac:dyDescent="0.2">
      <c r="A50" s="105">
        <f>'Summary Baseline Data'!A49</f>
        <v>2030</v>
      </c>
      <c r="B50" s="105">
        <v>42</v>
      </c>
      <c r="C50" s="107">
        <f>-1*HLOOKUP($E$5,'Economist Financing Model 1'!$C$6:$H$80,'Economist Financing Model 1'!B47,FALSE)</f>
        <v>37660664.113983564</v>
      </c>
      <c r="D50" s="108">
        <f t="shared" si="5"/>
        <v>640231289.93772054</v>
      </c>
      <c r="E50" s="108">
        <f>-1*HLOOKUP($E$5,'Economist Financing Model 1'!$I$6:$N$80,'Economist Financing Model 1'!B47,FALSE)</f>
        <v>45107144.235605747</v>
      </c>
      <c r="F50" s="108">
        <f t="shared" si="5"/>
        <v>766821452.00529742</v>
      </c>
      <c r="G50" s="108">
        <f>-1*HLOOKUP($E$5,'Economist Financing Model 1'!$O$6:$T$80,'Economist Financing Model 1'!B47,FALSE)</f>
        <v>53078656.685678646</v>
      </c>
      <c r="H50" s="108">
        <f t="shared" si="5"/>
        <v>902337163.65653682</v>
      </c>
      <c r="I50" s="109">
        <f>-1*HLOOKUP($E$5,'Economist Financing Model 1'!$U$6:$Z$80,'Economist Financing Model 1'!B47,FALSE)</f>
        <v>70213594.203879833</v>
      </c>
      <c r="J50" s="108">
        <f t="shared" si="4"/>
        <v>1193631101.4659572</v>
      </c>
      <c r="K50" s="107">
        <f>-1*HLOOKUP($E$5,'Economist Financing Model 2'!$C$68:$I$143,'Economist Financing Model 2'!B109,FALSE)</f>
        <v>40880434.259851158</v>
      </c>
      <c r="L50" s="108">
        <f>-1*HLOOKUP($E$5,'Economist Financing Model 2'!$J$68:$P$144,'Economist Financing Model 2'!B109,FALSE)</f>
        <v>54252501.493384279</v>
      </c>
      <c r="M50" s="108">
        <f>-1*HLOOKUP($E$5,'Economist Financing Model 2'!$Q$68:$W$144,'Economist Financing Model 2'!B109,FALSE)</f>
        <v>70984575.825473875</v>
      </c>
      <c r="N50" s="109">
        <f>-1*HLOOKUP($E$5,'Economist Financing Model 2'!$X$68:$AD$144,'Economist Financing Model 2'!B109,FALSE)</f>
        <v>116957879.29183526</v>
      </c>
    </row>
    <row r="51" spans="1:14" ht="13.5" thickBot="1" x14ac:dyDescent="0.25">
      <c r="A51" s="105">
        <f>'Summary Baseline Data'!A50</f>
        <v>2031</v>
      </c>
      <c r="B51" s="117">
        <v>43</v>
      </c>
      <c r="C51" s="107">
        <f>-1*HLOOKUP($E$5,'Economist Financing Model 1'!$C$6:$H$80,'Economist Financing Model 1'!B48,FALSE)</f>
        <v>37660664.113983564</v>
      </c>
      <c r="D51" s="108">
        <f t="shared" si="5"/>
        <v>677891954.05170405</v>
      </c>
      <c r="E51" s="108">
        <f>-1*HLOOKUP($E$5,'Economist Financing Model 1'!$I$6:$N$80,'Economist Financing Model 1'!B48,FALSE)</f>
        <v>45107144.235605747</v>
      </c>
      <c r="F51" s="108">
        <f t="shared" si="5"/>
        <v>811928596.24090314</v>
      </c>
      <c r="G51" s="108">
        <f>-1*HLOOKUP($E$5,'Economist Financing Model 1'!$O$6:$T$80,'Economist Financing Model 1'!B48,FALSE)</f>
        <v>53078656.685678646</v>
      </c>
      <c r="H51" s="108">
        <f t="shared" si="5"/>
        <v>955415820.34221542</v>
      </c>
      <c r="I51" s="109">
        <f>-1*HLOOKUP($E$5,'Economist Financing Model 1'!$U$6:$Z$80,'Economist Financing Model 1'!B48,FALSE)</f>
        <v>70213594.203879833</v>
      </c>
      <c r="J51" s="108">
        <f t="shared" si="4"/>
        <v>1263844695.669837</v>
      </c>
      <c r="K51" s="107">
        <f>-1*HLOOKUP($E$5,'Economist Financing Model 2'!$C$68:$I$143,'Economist Financing Model 2'!B110,FALSE)</f>
        <v>40880434.259851158</v>
      </c>
      <c r="L51" s="108">
        <f>-1*HLOOKUP($E$5,'Economist Financing Model 2'!$J$68:$P$144,'Economist Financing Model 2'!B110,FALSE)</f>
        <v>54252501.493384279</v>
      </c>
      <c r="M51" s="108">
        <f>-1*HLOOKUP($E$5,'Economist Financing Model 2'!$Q$68:$W$144,'Economist Financing Model 2'!B110,FALSE)</f>
        <v>70984575.825473875</v>
      </c>
      <c r="N51" s="109">
        <f>-1*HLOOKUP($E$5,'Economist Financing Model 2'!$X$68:$AD$144,'Economist Financing Model 2'!B110,FALSE)</f>
        <v>116957879.29183526</v>
      </c>
    </row>
    <row r="52" spans="1:14" x14ac:dyDescent="0.2">
      <c r="A52" s="105">
        <f>'Summary Baseline Data'!A51</f>
        <v>2032</v>
      </c>
      <c r="B52" s="105">
        <v>44</v>
      </c>
      <c r="C52" s="107">
        <f>-1*HLOOKUP($E$5,'Economist Financing Model 1'!$C$6:$H$80,'Economist Financing Model 1'!B49,FALSE)</f>
        <v>37660664.113983564</v>
      </c>
      <c r="D52" s="108">
        <f t="shared" si="5"/>
        <v>715552618.16568756</v>
      </c>
      <c r="E52" s="108">
        <f>-1*HLOOKUP($E$5,'Economist Financing Model 1'!$I$6:$N$80,'Economist Financing Model 1'!B49,FALSE)</f>
        <v>45107144.235605747</v>
      </c>
      <c r="F52" s="108">
        <f t="shared" si="5"/>
        <v>857035740.47650886</v>
      </c>
      <c r="G52" s="108">
        <f>-1*HLOOKUP($E$5,'Economist Financing Model 1'!$O$6:$T$80,'Economist Financing Model 1'!B49,FALSE)</f>
        <v>53078656.685678646</v>
      </c>
      <c r="H52" s="108">
        <f t="shared" si="5"/>
        <v>1008494477.027894</v>
      </c>
      <c r="I52" s="109">
        <f>-1*HLOOKUP($E$5,'Economist Financing Model 1'!$U$6:$Z$80,'Economist Financing Model 1'!B49,FALSE)</f>
        <v>70213594.203879833</v>
      </c>
      <c r="J52" s="108">
        <f t="shared" si="4"/>
        <v>1334058289.8737168</v>
      </c>
      <c r="K52" s="107">
        <f>-1*HLOOKUP($E$5,'Economist Financing Model 2'!$C$68:$I$143,'Economist Financing Model 2'!B111,FALSE)</f>
        <v>40880434.259851158</v>
      </c>
      <c r="L52" s="108">
        <f>-1*HLOOKUP($E$5,'Economist Financing Model 2'!$J$68:$P$144,'Economist Financing Model 2'!B111,FALSE)</f>
        <v>54252501.493384279</v>
      </c>
      <c r="M52" s="108">
        <f>-1*HLOOKUP($E$5,'Economist Financing Model 2'!$Q$68:$W$144,'Economist Financing Model 2'!B111,FALSE)</f>
        <v>70984575.825473875</v>
      </c>
      <c r="N52" s="109">
        <f>-1*HLOOKUP($E$5,'Economist Financing Model 2'!$X$68:$AD$144,'Economist Financing Model 2'!B111,FALSE)</f>
        <v>116957879.29183526</v>
      </c>
    </row>
    <row r="53" spans="1:14" ht="13.5" thickBot="1" x14ac:dyDescent="0.25">
      <c r="A53" s="105">
        <f>'Summary Baseline Data'!A52</f>
        <v>2033</v>
      </c>
      <c r="B53" s="117">
        <v>45</v>
      </c>
      <c r="C53" s="107">
        <f>-1*HLOOKUP($E$5,'Economist Financing Model 1'!$C$6:$H$80,'Economist Financing Model 1'!B50,FALSE)</f>
        <v>37660664.113983564</v>
      </c>
      <c r="D53" s="108">
        <f t="shared" si="5"/>
        <v>753213282.27967107</v>
      </c>
      <c r="E53" s="108">
        <f>-1*HLOOKUP($E$5,'Economist Financing Model 1'!$I$6:$N$80,'Economist Financing Model 1'!B50,FALSE)</f>
        <v>45107144.235605747</v>
      </c>
      <c r="F53" s="108">
        <f t="shared" si="5"/>
        <v>902142884.71211457</v>
      </c>
      <c r="G53" s="108">
        <f>-1*HLOOKUP($E$5,'Economist Financing Model 1'!$O$6:$T$80,'Economist Financing Model 1'!B50,FALSE)</f>
        <v>53078656.685678646</v>
      </c>
      <c r="H53" s="108">
        <f t="shared" si="5"/>
        <v>1061573133.7135726</v>
      </c>
      <c r="I53" s="109">
        <f>-1*HLOOKUP($E$5,'Economist Financing Model 1'!$U$6:$Z$80,'Economist Financing Model 1'!B50,FALSE)</f>
        <v>70213594.203879833</v>
      </c>
      <c r="J53" s="108">
        <f t="shared" si="4"/>
        <v>1404271884.0775967</v>
      </c>
      <c r="K53" s="107">
        <f>-1*HLOOKUP($E$5,'Economist Financing Model 2'!$C$68:$I$143,'Economist Financing Model 2'!B112,FALSE)</f>
        <v>40880434.259851158</v>
      </c>
      <c r="L53" s="108">
        <f>-1*HLOOKUP($E$5,'Economist Financing Model 2'!$J$68:$P$144,'Economist Financing Model 2'!B112,FALSE)</f>
        <v>54252501.493384279</v>
      </c>
      <c r="M53" s="108">
        <f>-1*HLOOKUP($E$5,'Economist Financing Model 2'!$Q$68:$W$144,'Economist Financing Model 2'!B112,FALSE)</f>
        <v>70984575.825473875</v>
      </c>
      <c r="N53" s="109">
        <f>-1*HLOOKUP($E$5,'Economist Financing Model 2'!$X$68:$AD$144,'Economist Financing Model 2'!B112,FALSE)</f>
        <v>116957879.29183526</v>
      </c>
    </row>
    <row r="54" spans="1:14" x14ac:dyDescent="0.2">
      <c r="A54" s="105">
        <f>'Summary Baseline Data'!A53</f>
        <v>2034</v>
      </c>
      <c r="B54" s="105">
        <v>46</v>
      </c>
      <c r="C54" s="107">
        <f>-1*HLOOKUP($E$5,'Economist Financing Model 1'!$C$6:$H$80,'Economist Financing Model 1'!B51,FALSE)</f>
        <v>37660664.113983564</v>
      </c>
      <c r="D54" s="108">
        <f t="shared" si="5"/>
        <v>790873946.39365458</v>
      </c>
      <c r="E54" s="108">
        <f>-1*HLOOKUP($E$5,'Economist Financing Model 1'!$I$6:$N$80,'Economist Financing Model 1'!B51,FALSE)</f>
        <v>45107144.235605747</v>
      </c>
      <c r="F54" s="108">
        <f t="shared" si="5"/>
        <v>947250028.94772029</v>
      </c>
      <c r="G54" s="108">
        <f>-1*HLOOKUP($E$5,'Economist Financing Model 1'!$O$6:$T$80,'Economist Financing Model 1'!B51,FALSE)</f>
        <v>53078656.685678646</v>
      </c>
      <c r="H54" s="108">
        <f t="shared" si="5"/>
        <v>1114651790.3992512</v>
      </c>
      <c r="I54" s="109">
        <f>-1*HLOOKUP($E$5,'Economist Financing Model 1'!$U$6:$Z$80,'Economist Financing Model 1'!B51,FALSE)</f>
        <v>70213594.203879833</v>
      </c>
      <c r="J54" s="108">
        <f t="shared" si="4"/>
        <v>1474485478.2814765</v>
      </c>
      <c r="K54" s="107">
        <f>-1*HLOOKUP($E$5,'Economist Financing Model 2'!$C$68:$I$143,'Economist Financing Model 2'!B113,FALSE)</f>
        <v>40880434.259851158</v>
      </c>
      <c r="L54" s="108">
        <f>-1*HLOOKUP($E$5,'Economist Financing Model 2'!$J$68:$P$144,'Economist Financing Model 2'!B113,FALSE)</f>
        <v>54252501.493384279</v>
      </c>
      <c r="M54" s="108">
        <f>-1*HLOOKUP($E$5,'Economist Financing Model 2'!$Q$68:$W$144,'Economist Financing Model 2'!B113,FALSE)</f>
        <v>70984575.825473875</v>
      </c>
      <c r="N54" s="109">
        <f>-1*HLOOKUP($E$5,'Economist Financing Model 2'!$X$68:$AD$144,'Economist Financing Model 2'!B113,FALSE)</f>
        <v>116957879.29183526</v>
      </c>
    </row>
    <row r="55" spans="1:14" ht="13.5" thickBot="1" x14ac:dyDescent="0.25">
      <c r="A55" s="105">
        <f>'Summary Baseline Data'!A54</f>
        <v>2035</v>
      </c>
      <c r="B55" s="117">
        <v>47</v>
      </c>
      <c r="C55" s="107">
        <f>-1*HLOOKUP($E$5,'Economist Financing Model 1'!$C$6:$H$80,'Economist Financing Model 1'!B52,FALSE)</f>
        <v>37660664.113983564</v>
      </c>
      <c r="D55" s="108">
        <f t="shared" si="5"/>
        <v>828534610.5076381</v>
      </c>
      <c r="E55" s="108">
        <f>-1*HLOOKUP($E$5,'Economist Financing Model 1'!$I$6:$N$80,'Economist Financing Model 1'!B52,FALSE)</f>
        <v>45107144.235605747</v>
      </c>
      <c r="F55" s="108">
        <f t="shared" si="5"/>
        <v>992357173.18332601</v>
      </c>
      <c r="G55" s="108">
        <f>-1*HLOOKUP($E$5,'Economist Financing Model 1'!$O$6:$T$80,'Economist Financing Model 1'!B52,FALSE)</f>
        <v>53078656.685678646</v>
      </c>
      <c r="H55" s="108">
        <f t="shared" si="5"/>
        <v>1167730447.0849299</v>
      </c>
      <c r="I55" s="109">
        <f>-1*HLOOKUP($E$5,'Economist Financing Model 1'!$U$6:$Z$80,'Economist Financing Model 1'!B52,FALSE)</f>
        <v>70213594.203879833</v>
      </c>
      <c r="J55" s="108">
        <f t="shared" si="4"/>
        <v>1544699072.4853563</v>
      </c>
      <c r="K55" s="107">
        <f>-1*HLOOKUP($E$5,'Economist Financing Model 2'!$C$68:$I$143,'Economist Financing Model 2'!B114,FALSE)</f>
        <v>40880434.259851158</v>
      </c>
      <c r="L55" s="108">
        <f>-1*HLOOKUP($E$5,'Economist Financing Model 2'!$J$68:$P$144,'Economist Financing Model 2'!B114,FALSE)</f>
        <v>54252501.493384279</v>
      </c>
      <c r="M55" s="108">
        <f>-1*HLOOKUP($E$5,'Economist Financing Model 2'!$Q$68:$W$144,'Economist Financing Model 2'!B114,FALSE)</f>
        <v>70984575.825473875</v>
      </c>
      <c r="N55" s="109">
        <f>-1*HLOOKUP($E$5,'Economist Financing Model 2'!$X$68:$AD$144,'Economist Financing Model 2'!B114,FALSE)</f>
        <v>116957879.29183526</v>
      </c>
    </row>
    <row r="56" spans="1:14" x14ac:dyDescent="0.2">
      <c r="A56" s="105">
        <f>'Summary Baseline Data'!A55</f>
        <v>2036</v>
      </c>
      <c r="B56" s="105">
        <v>48</v>
      </c>
      <c r="C56" s="107">
        <f>-1*HLOOKUP($E$5,'Economist Financing Model 1'!$C$6:$H$80,'Economist Financing Model 1'!B53,FALSE)</f>
        <v>37660664.113983564</v>
      </c>
      <c r="D56" s="108">
        <f t="shared" si="5"/>
        <v>866195274.62162161</v>
      </c>
      <c r="E56" s="108">
        <f>-1*HLOOKUP($E$5,'Economist Financing Model 1'!$I$6:$N$80,'Economist Financing Model 1'!B53,FALSE)</f>
        <v>45107144.235605747</v>
      </c>
      <c r="F56" s="108">
        <f t="shared" si="5"/>
        <v>1037464317.4189317</v>
      </c>
      <c r="G56" s="108">
        <f>-1*HLOOKUP($E$5,'Economist Financing Model 1'!$O$6:$T$80,'Economist Financing Model 1'!B53,FALSE)</f>
        <v>53078656.685678646</v>
      </c>
      <c r="H56" s="108">
        <f t="shared" si="5"/>
        <v>1220809103.7706087</v>
      </c>
      <c r="I56" s="109">
        <f>-1*HLOOKUP($E$5,'Economist Financing Model 1'!$U$6:$Z$80,'Economist Financing Model 1'!B53,FALSE)</f>
        <v>70213594.203879833</v>
      </c>
      <c r="J56" s="108">
        <f t="shared" si="4"/>
        <v>1614912666.6892362</v>
      </c>
      <c r="K56" s="107">
        <f>-1*HLOOKUP($E$5,'Economist Financing Model 2'!$C$68:$I$143,'Economist Financing Model 2'!B115,FALSE)</f>
        <v>40880434.259851158</v>
      </c>
      <c r="L56" s="108">
        <f>-1*HLOOKUP($E$5,'Economist Financing Model 2'!$J$68:$P$144,'Economist Financing Model 2'!B115,FALSE)</f>
        <v>54252501.493384279</v>
      </c>
      <c r="M56" s="108">
        <f>-1*HLOOKUP($E$5,'Economist Financing Model 2'!$Q$68:$W$144,'Economist Financing Model 2'!B115,FALSE)</f>
        <v>70984575.825473875</v>
      </c>
      <c r="N56" s="109">
        <f>-1*HLOOKUP($E$5,'Economist Financing Model 2'!$X$68:$AD$144,'Economist Financing Model 2'!B115,FALSE)</f>
        <v>116957879.29183526</v>
      </c>
    </row>
    <row r="57" spans="1:14" ht="13.5" thickBot="1" x14ac:dyDescent="0.25">
      <c r="A57" s="105">
        <f>'Summary Baseline Data'!A56</f>
        <v>2037</v>
      </c>
      <c r="B57" s="117">
        <v>49</v>
      </c>
      <c r="C57" s="107">
        <f>-1*HLOOKUP($E$5,'Economist Financing Model 1'!$C$6:$H$80,'Economist Financing Model 1'!B54,FALSE)</f>
        <v>37660664.113983564</v>
      </c>
      <c r="D57" s="108">
        <f t="shared" si="5"/>
        <v>903855938.73560512</v>
      </c>
      <c r="E57" s="108">
        <f>-1*HLOOKUP($E$5,'Economist Financing Model 1'!$I$6:$N$80,'Economist Financing Model 1'!B54,FALSE)</f>
        <v>45107144.235605747</v>
      </c>
      <c r="F57" s="108">
        <f t="shared" si="5"/>
        <v>1082571461.6545374</v>
      </c>
      <c r="G57" s="108">
        <f>-1*HLOOKUP($E$5,'Economist Financing Model 1'!$O$6:$T$80,'Economist Financing Model 1'!B54,FALSE)</f>
        <v>53078656.685678646</v>
      </c>
      <c r="H57" s="108">
        <f t="shared" si="5"/>
        <v>1273887760.4562874</v>
      </c>
      <c r="I57" s="109">
        <f>-1*HLOOKUP($E$5,'Economist Financing Model 1'!$U$6:$Z$80,'Economist Financing Model 1'!B54,FALSE)</f>
        <v>70213594.203879833</v>
      </c>
      <c r="J57" s="108">
        <f t="shared" si="4"/>
        <v>1685126260.893116</v>
      </c>
      <c r="K57" s="107">
        <f>-1*HLOOKUP($E$5,'Economist Financing Model 2'!$C$68:$I$143,'Economist Financing Model 2'!B116,FALSE)</f>
        <v>40880434.259851158</v>
      </c>
      <c r="L57" s="108">
        <f>-1*HLOOKUP($E$5,'Economist Financing Model 2'!$J$68:$P$144,'Economist Financing Model 2'!B116,FALSE)</f>
        <v>54252501.493384279</v>
      </c>
      <c r="M57" s="108">
        <f>-1*HLOOKUP($E$5,'Economist Financing Model 2'!$Q$68:$W$144,'Economist Financing Model 2'!B116,FALSE)</f>
        <v>70984575.825473875</v>
      </c>
      <c r="N57" s="109">
        <f>-1*HLOOKUP($E$5,'Economist Financing Model 2'!$X$68:$AD$144,'Economist Financing Model 2'!B116,FALSE)</f>
        <v>116957879.29183526</v>
      </c>
    </row>
    <row r="58" spans="1:14" x14ac:dyDescent="0.2">
      <c r="A58" s="105">
        <f>'Summary Baseline Data'!A57</f>
        <v>2038</v>
      </c>
      <c r="B58" s="105">
        <v>50</v>
      </c>
      <c r="C58" s="107">
        <f>-1*HLOOKUP($E$5,'Economist Financing Model 1'!$C$6:$H$80,'Economist Financing Model 1'!B55,FALSE)</f>
        <v>37660664.113983564</v>
      </c>
      <c r="D58" s="108">
        <f t="shared" si="5"/>
        <v>941516602.84958863</v>
      </c>
      <c r="E58" s="108">
        <f>-1*HLOOKUP($E$5,'Economist Financing Model 1'!$I$6:$N$80,'Economist Financing Model 1'!B55,FALSE)</f>
        <v>45107144.235605747</v>
      </c>
      <c r="F58" s="108">
        <f t="shared" si="5"/>
        <v>1127678605.8901432</v>
      </c>
      <c r="G58" s="108">
        <f>-1*HLOOKUP($E$5,'Economist Financing Model 1'!$O$6:$T$80,'Economist Financing Model 1'!B55,FALSE)</f>
        <v>53078656.685678646</v>
      </c>
      <c r="H58" s="108">
        <f t="shared" si="5"/>
        <v>1326966417.1419661</v>
      </c>
      <c r="I58" s="109">
        <f>-1*HLOOKUP($E$5,'Economist Financing Model 1'!$U$6:$Z$80,'Economist Financing Model 1'!B55,FALSE)</f>
        <v>70213594.203879833</v>
      </c>
      <c r="J58" s="108">
        <f t="shared" si="4"/>
        <v>1755339855.0969958</v>
      </c>
      <c r="K58" s="107">
        <f>-1*HLOOKUP($E$5,'Economist Financing Model 2'!$C$68:$I$143,'Economist Financing Model 2'!B117,FALSE)</f>
        <v>40880434.259851158</v>
      </c>
      <c r="L58" s="108">
        <f>-1*HLOOKUP($E$5,'Economist Financing Model 2'!$J$68:$P$144,'Economist Financing Model 2'!B117,FALSE)</f>
        <v>54252501.493384279</v>
      </c>
      <c r="M58" s="108">
        <f>-1*HLOOKUP($E$5,'Economist Financing Model 2'!$Q$68:$W$144,'Economist Financing Model 2'!B117,FALSE)</f>
        <v>70984575.825473875</v>
      </c>
      <c r="N58" s="109">
        <f>-1*HLOOKUP($E$5,'Economist Financing Model 2'!$X$68:$AD$144,'Economist Financing Model 2'!B117,FALSE)</f>
        <v>116957879.29183526</v>
      </c>
    </row>
    <row r="59" spans="1:14" ht="13.5" thickBot="1" x14ac:dyDescent="0.25">
      <c r="A59" s="105">
        <f>'Summary Baseline Data'!A58</f>
        <v>2039</v>
      </c>
      <c r="B59" s="117">
        <v>51</v>
      </c>
      <c r="C59" s="107">
        <f>-1*HLOOKUP($E$5,'Economist Financing Model 1'!$C$6:$H$80,'Economist Financing Model 1'!B56,FALSE)</f>
        <v>37660664.113983564</v>
      </c>
      <c r="D59" s="108">
        <f t="shared" si="5"/>
        <v>979177266.96357214</v>
      </c>
      <c r="E59" s="108">
        <f>-1*HLOOKUP($E$5,'Economist Financing Model 1'!$I$6:$N$80,'Economist Financing Model 1'!B56,FALSE)</f>
        <v>45107144.235605747</v>
      </c>
      <c r="F59" s="108">
        <f t="shared" si="5"/>
        <v>1172785750.1257489</v>
      </c>
      <c r="G59" s="108">
        <f>-1*HLOOKUP($E$5,'Economist Financing Model 1'!$O$6:$T$80,'Economist Financing Model 1'!B56,FALSE)</f>
        <v>53078656.685678646</v>
      </c>
      <c r="H59" s="108">
        <f t="shared" si="5"/>
        <v>1380045073.8276448</v>
      </c>
      <c r="I59" s="109">
        <f>-1*HLOOKUP($E$5,'Economist Financing Model 1'!$U$6:$Z$80,'Economist Financing Model 1'!B56,FALSE)</f>
        <v>70213594.203879833</v>
      </c>
      <c r="J59" s="108">
        <f t="shared" si="4"/>
        <v>1825553449.3008757</v>
      </c>
      <c r="K59" s="107">
        <f>-1*HLOOKUP($E$5,'Economist Financing Model 2'!$C$68:$I$143,'Economist Financing Model 2'!B118,FALSE)</f>
        <v>40880434.259851158</v>
      </c>
      <c r="L59" s="108">
        <f>-1*HLOOKUP($E$5,'Economist Financing Model 2'!$J$68:$P$144,'Economist Financing Model 2'!B118,FALSE)</f>
        <v>54252501.493384279</v>
      </c>
      <c r="M59" s="108">
        <f>-1*HLOOKUP($E$5,'Economist Financing Model 2'!$Q$68:$W$144,'Economist Financing Model 2'!B118,FALSE)</f>
        <v>70984575.825473875</v>
      </c>
      <c r="N59" s="109">
        <f>-1*HLOOKUP($E$5,'Economist Financing Model 2'!$X$68:$AD$144,'Economist Financing Model 2'!B118,FALSE)</f>
        <v>116957879.29183526</v>
      </c>
    </row>
    <row r="60" spans="1:14" x14ac:dyDescent="0.2">
      <c r="A60" s="105">
        <f>'Summary Baseline Data'!A59</f>
        <v>2040</v>
      </c>
      <c r="B60" s="105">
        <v>52</v>
      </c>
      <c r="C60" s="107">
        <f>-1*HLOOKUP($E$5,'Economist Financing Model 1'!$C$6:$H$80,'Economist Financing Model 1'!B57,FALSE)</f>
        <v>37660664.113983564</v>
      </c>
      <c r="D60" s="108">
        <f t="shared" si="5"/>
        <v>1016837931.0775557</v>
      </c>
      <c r="E60" s="108">
        <f>-1*HLOOKUP($E$5,'Economist Financing Model 1'!$I$6:$N$80,'Economist Financing Model 1'!B57,FALSE)</f>
        <v>45107144.235605747</v>
      </c>
      <c r="F60" s="108">
        <f t="shared" si="5"/>
        <v>1217892894.3613546</v>
      </c>
      <c r="G60" s="108">
        <f>-1*HLOOKUP($E$5,'Economist Financing Model 1'!$O$6:$T$80,'Economist Financing Model 1'!B57,FALSE)</f>
        <v>53078656.685678646</v>
      </c>
      <c r="H60" s="108">
        <f t="shared" si="5"/>
        <v>1433123730.5133235</v>
      </c>
      <c r="I60" s="109">
        <f>-1*HLOOKUP($E$5,'Economist Financing Model 1'!$U$6:$Z$80,'Economist Financing Model 1'!B57,FALSE)</f>
        <v>70213594.203879833</v>
      </c>
      <c r="J60" s="108">
        <f t="shared" si="5"/>
        <v>1895767043.5047555</v>
      </c>
      <c r="K60" s="107">
        <f>-1*HLOOKUP($E$5,'Economist Financing Model 2'!$C$68:$I$143,'Economist Financing Model 2'!B119,FALSE)</f>
        <v>40880434.259851158</v>
      </c>
      <c r="L60" s="108">
        <f>-1*HLOOKUP($E$5,'Economist Financing Model 2'!$J$68:$P$144,'Economist Financing Model 2'!B119,FALSE)</f>
        <v>54252501.493384279</v>
      </c>
      <c r="M60" s="108">
        <f>-1*HLOOKUP($E$5,'Economist Financing Model 2'!$Q$68:$W$144,'Economist Financing Model 2'!B119,FALSE)</f>
        <v>70984575.825473875</v>
      </c>
      <c r="N60" s="109">
        <f>-1*HLOOKUP($E$5,'Economist Financing Model 2'!$X$68:$AD$144,'Economist Financing Model 2'!B119,FALSE)</f>
        <v>116957879.29183526</v>
      </c>
    </row>
    <row r="61" spans="1:14" ht="13.5" thickBot="1" x14ac:dyDescent="0.25">
      <c r="A61" s="105">
        <f>'Summary Baseline Data'!A60</f>
        <v>2041</v>
      </c>
      <c r="B61" s="117">
        <v>53</v>
      </c>
      <c r="C61" s="107">
        <f>-1*HLOOKUP($E$5,'Economist Financing Model 1'!$C$6:$H$80,'Economist Financing Model 1'!B58,FALSE)</f>
        <v>37660664.113983564</v>
      </c>
      <c r="D61" s="108">
        <f t="shared" si="5"/>
        <v>1054498595.1915392</v>
      </c>
      <c r="E61" s="108">
        <f>-1*HLOOKUP($E$5,'Economist Financing Model 1'!$I$6:$N$80,'Economist Financing Model 1'!B58,FALSE)</f>
        <v>45107144.235605747</v>
      </c>
      <c r="F61" s="108">
        <f t="shared" si="5"/>
        <v>1263000038.5969603</v>
      </c>
      <c r="G61" s="108">
        <f>-1*HLOOKUP($E$5,'Economist Financing Model 1'!$O$6:$T$80,'Economist Financing Model 1'!B58,FALSE)</f>
        <v>53078656.685678646</v>
      </c>
      <c r="H61" s="108">
        <f t="shared" si="5"/>
        <v>1486202387.1990023</v>
      </c>
      <c r="I61" s="109">
        <f>-1*HLOOKUP($E$5,'Economist Financing Model 1'!$U$6:$Z$80,'Economist Financing Model 1'!B58,FALSE)</f>
        <v>70213594.203879833</v>
      </c>
      <c r="J61" s="108">
        <f t="shared" si="5"/>
        <v>1965980637.7086353</v>
      </c>
      <c r="K61" s="107">
        <f>-1*HLOOKUP($E$5,'Economist Financing Model 2'!$C$68:$I$143,'Economist Financing Model 2'!B120,FALSE)</f>
        <v>40880434.259851158</v>
      </c>
      <c r="L61" s="108">
        <f>-1*HLOOKUP($E$5,'Economist Financing Model 2'!$J$68:$P$144,'Economist Financing Model 2'!B120,FALSE)</f>
        <v>54252501.493384279</v>
      </c>
      <c r="M61" s="108">
        <f>-1*HLOOKUP($E$5,'Economist Financing Model 2'!$Q$68:$W$144,'Economist Financing Model 2'!B120,FALSE)</f>
        <v>70984575.825473875</v>
      </c>
      <c r="N61" s="109">
        <f>-1*HLOOKUP($E$5,'Economist Financing Model 2'!$X$68:$AD$144,'Economist Financing Model 2'!B120,FALSE)</f>
        <v>116957879.29183526</v>
      </c>
    </row>
    <row r="62" spans="1:14" x14ac:dyDescent="0.2">
      <c r="A62" s="105">
        <f>'Summary Baseline Data'!A61</f>
        <v>2042</v>
      </c>
      <c r="B62" s="105">
        <v>54</v>
      </c>
      <c r="C62" s="107">
        <f>-1*HLOOKUP($E$5,'Economist Financing Model 1'!$C$6:$H$80,'Economist Financing Model 1'!B59,FALSE)</f>
        <v>37660664.113983564</v>
      </c>
      <c r="D62" s="108">
        <f t="shared" si="5"/>
        <v>1092159259.3055227</v>
      </c>
      <c r="E62" s="108">
        <f>-1*HLOOKUP($E$5,'Economist Financing Model 1'!$I$6:$N$80,'Economist Financing Model 1'!B59,FALSE)</f>
        <v>45107144.235605747</v>
      </c>
      <c r="F62" s="108">
        <f t="shared" si="5"/>
        <v>1308107182.832566</v>
      </c>
      <c r="G62" s="108">
        <f>-1*HLOOKUP($E$5,'Economist Financing Model 1'!$O$6:$T$80,'Economist Financing Model 1'!B59,FALSE)</f>
        <v>53078656.685678646</v>
      </c>
      <c r="H62" s="108">
        <f t="shared" si="5"/>
        <v>1539281043.884681</v>
      </c>
      <c r="I62" s="109">
        <f>-1*HLOOKUP($E$5,'Economist Financing Model 1'!$U$6:$Z$80,'Economist Financing Model 1'!B59,FALSE)</f>
        <v>70213594.203879833</v>
      </c>
      <c r="J62" s="108">
        <f t="shared" si="5"/>
        <v>2036194231.9125152</v>
      </c>
      <c r="K62" s="107">
        <f>-1*HLOOKUP($E$5,'Economist Financing Model 2'!$C$68:$I$143,'Economist Financing Model 2'!B121,FALSE)</f>
        <v>40880434.259851158</v>
      </c>
      <c r="L62" s="108">
        <f>-1*HLOOKUP($E$5,'Economist Financing Model 2'!$J$68:$P$144,'Economist Financing Model 2'!B121,FALSE)</f>
        <v>54252501.493384279</v>
      </c>
      <c r="M62" s="108">
        <f>-1*HLOOKUP($E$5,'Economist Financing Model 2'!$Q$68:$W$144,'Economist Financing Model 2'!B121,FALSE)</f>
        <v>70984575.825473875</v>
      </c>
      <c r="N62" s="109">
        <f>-1*HLOOKUP($E$5,'Economist Financing Model 2'!$X$68:$AD$144,'Economist Financing Model 2'!B121,FALSE)</f>
        <v>116957879.29183526</v>
      </c>
    </row>
    <row r="63" spans="1:14" ht="13.5" thickBot="1" x14ac:dyDescent="0.25">
      <c r="A63" s="105">
        <f>'Summary Baseline Data'!A62</f>
        <v>2043</v>
      </c>
      <c r="B63" s="117">
        <v>55</v>
      </c>
      <c r="C63" s="107">
        <f>-1*HLOOKUP($E$5,'Economist Financing Model 1'!$C$6:$H$80,'Economist Financing Model 1'!B60,FALSE)</f>
        <v>37660664.113983564</v>
      </c>
      <c r="D63" s="108">
        <f t="shared" si="5"/>
        <v>1129819923.4195063</v>
      </c>
      <c r="E63" s="108">
        <f>-1*HLOOKUP($E$5,'Economist Financing Model 1'!$I$6:$N$80,'Economist Financing Model 1'!B60,FALSE)</f>
        <v>45107144.235605747</v>
      </c>
      <c r="F63" s="108">
        <f t="shared" si="5"/>
        <v>1353214327.0681717</v>
      </c>
      <c r="G63" s="108">
        <f>-1*HLOOKUP($E$5,'Economist Financing Model 1'!$O$6:$T$80,'Economist Financing Model 1'!B60,FALSE)</f>
        <v>53078656.685678646</v>
      </c>
      <c r="H63" s="108">
        <f t="shared" si="5"/>
        <v>1592359700.5703597</v>
      </c>
      <c r="I63" s="109">
        <f>-1*HLOOKUP($E$5,'Economist Financing Model 1'!$U$6:$Z$80,'Economist Financing Model 1'!B60,FALSE)</f>
        <v>70213594.203879833</v>
      </c>
      <c r="J63" s="108">
        <f t="shared" si="5"/>
        <v>2106407826.116395</v>
      </c>
      <c r="K63" s="107">
        <f>-1*HLOOKUP($E$5,'Economist Financing Model 2'!$C$68:$I$143,'Economist Financing Model 2'!B122,FALSE)</f>
        <v>40880434.259851158</v>
      </c>
      <c r="L63" s="108">
        <f>-1*HLOOKUP($E$5,'Economist Financing Model 2'!$J$68:$P$144,'Economist Financing Model 2'!B122,FALSE)</f>
        <v>54252501.493384279</v>
      </c>
      <c r="M63" s="108">
        <f>-1*HLOOKUP($E$5,'Economist Financing Model 2'!$Q$68:$W$144,'Economist Financing Model 2'!B122,FALSE)</f>
        <v>70984575.825473875</v>
      </c>
      <c r="N63" s="109">
        <f>-1*HLOOKUP($E$5,'Economist Financing Model 2'!$X$68:$AD$144,'Economist Financing Model 2'!B122,FALSE)</f>
        <v>116957879.29183526</v>
      </c>
    </row>
    <row r="64" spans="1:14" x14ac:dyDescent="0.2">
      <c r="A64" s="105">
        <f>'Summary Baseline Data'!A63</f>
        <v>2044</v>
      </c>
      <c r="B64" s="105">
        <v>56</v>
      </c>
      <c r="C64" s="107">
        <f>-1*HLOOKUP($E$5,'Economist Financing Model 1'!$C$6:$H$80,'Economist Financing Model 1'!B61,FALSE)</f>
        <v>37660664.113983564</v>
      </c>
      <c r="D64" s="108">
        <f t="shared" si="5"/>
        <v>1167480587.5334899</v>
      </c>
      <c r="E64" s="108">
        <f>-1*HLOOKUP($E$5,'Economist Financing Model 1'!$I$6:$N$80,'Economist Financing Model 1'!B61,FALSE)</f>
        <v>45107144.235605747</v>
      </c>
      <c r="F64" s="108">
        <f t="shared" si="5"/>
        <v>1398321471.3037775</v>
      </c>
      <c r="G64" s="108">
        <f>-1*HLOOKUP($E$5,'Economist Financing Model 1'!$O$6:$T$80,'Economist Financing Model 1'!B61,FALSE)</f>
        <v>53078656.685678646</v>
      </c>
      <c r="H64" s="108">
        <f t="shared" si="5"/>
        <v>1645438357.2560384</v>
      </c>
      <c r="I64" s="109">
        <f>-1*HLOOKUP($E$5,'Economist Financing Model 1'!$U$6:$Z$80,'Economist Financing Model 1'!B61,FALSE)</f>
        <v>70213594.203879833</v>
      </c>
      <c r="J64" s="108">
        <f t="shared" si="5"/>
        <v>2176621420.3202748</v>
      </c>
      <c r="K64" s="107">
        <f>-1*HLOOKUP($E$5,'Economist Financing Model 2'!$C$68:$I$143,'Economist Financing Model 2'!B123,FALSE)</f>
        <v>40880434.259851158</v>
      </c>
      <c r="L64" s="108">
        <f>-1*HLOOKUP($E$5,'Economist Financing Model 2'!$J$68:$P$144,'Economist Financing Model 2'!B123,FALSE)</f>
        <v>54252501.493384279</v>
      </c>
      <c r="M64" s="108">
        <f>-1*HLOOKUP($E$5,'Economist Financing Model 2'!$Q$68:$W$144,'Economist Financing Model 2'!B123,FALSE)</f>
        <v>70984575.825473875</v>
      </c>
      <c r="N64" s="109">
        <f>-1*HLOOKUP($E$5,'Economist Financing Model 2'!$X$68:$AD$144,'Economist Financing Model 2'!B123,FALSE)</f>
        <v>116957879.29183526</v>
      </c>
    </row>
    <row r="65" spans="1:14" ht="13.5" thickBot="1" x14ac:dyDescent="0.25">
      <c r="A65" s="105">
        <f>'Summary Baseline Data'!A64</f>
        <v>2045</v>
      </c>
      <c r="B65" s="117">
        <v>57</v>
      </c>
      <c r="C65" s="107">
        <f>-1*HLOOKUP($E$5,'Economist Financing Model 1'!$C$6:$H$80,'Economist Financing Model 1'!B62,FALSE)</f>
        <v>37660664.113983564</v>
      </c>
      <c r="D65" s="108">
        <f t="shared" si="5"/>
        <v>1205141251.6474736</v>
      </c>
      <c r="E65" s="108">
        <f>-1*HLOOKUP($E$5,'Economist Financing Model 1'!$I$6:$N$80,'Economist Financing Model 1'!B62,FALSE)</f>
        <v>45107144.235605747</v>
      </c>
      <c r="F65" s="108">
        <f t="shared" si="5"/>
        <v>1443428615.5393832</v>
      </c>
      <c r="G65" s="108">
        <f>-1*HLOOKUP($E$5,'Economist Financing Model 1'!$O$6:$T$80,'Economist Financing Model 1'!B62,FALSE)</f>
        <v>53078656.685678646</v>
      </c>
      <c r="H65" s="108">
        <f t="shared" si="5"/>
        <v>1698517013.9417171</v>
      </c>
      <c r="I65" s="109">
        <f>-1*HLOOKUP($E$5,'Economist Financing Model 1'!$U$6:$Z$80,'Economist Financing Model 1'!B62,FALSE)</f>
        <v>70213594.203879833</v>
      </c>
      <c r="J65" s="108">
        <f t="shared" si="5"/>
        <v>2246835014.5241547</v>
      </c>
      <c r="K65" s="107">
        <f>-1*HLOOKUP($E$5,'Economist Financing Model 2'!$C$68:$I$143,'Economist Financing Model 2'!B124,FALSE)</f>
        <v>40880434.259851158</v>
      </c>
      <c r="L65" s="108">
        <f>-1*HLOOKUP($E$5,'Economist Financing Model 2'!$J$68:$P$144,'Economist Financing Model 2'!B124,FALSE)</f>
        <v>54252501.493384279</v>
      </c>
      <c r="M65" s="108">
        <f>-1*HLOOKUP($E$5,'Economist Financing Model 2'!$Q$68:$W$144,'Economist Financing Model 2'!B124,FALSE)</f>
        <v>70984575.825473875</v>
      </c>
      <c r="N65" s="109">
        <f>-1*HLOOKUP($E$5,'Economist Financing Model 2'!$X$68:$AD$144,'Economist Financing Model 2'!B124,FALSE)</f>
        <v>116957879.29183526</v>
      </c>
    </row>
    <row r="66" spans="1:14" x14ac:dyDescent="0.2">
      <c r="A66" s="105">
        <f>'Summary Baseline Data'!A65</f>
        <v>2046</v>
      </c>
      <c r="B66" s="105">
        <v>58</v>
      </c>
      <c r="C66" s="107">
        <f>-1*HLOOKUP($E$5,'Economist Financing Model 1'!$C$6:$H$80,'Economist Financing Model 1'!B63,FALSE)</f>
        <v>37660664.113983564</v>
      </c>
      <c r="D66" s="108">
        <f t="shared" si="5"/>
        <v>1242801915.7614572</v>
      </c>
      <c r="E66" s="108">
        <f>-1*HLOOKUP($E$5,'Economist Financing Model 1'!$I$6:$N$80,'Economist Financing Model 1'!B63,FALSE)</f>
        <v>45107144.235605747</v>
      </c>
      <c r="F66" s="108">
        <f t="shared" si="5"/>
        <v>1488535759.7749889</v>
      </c>
      <c r="G66" s="108">
        <f>-1*HLOOKUP($E$5,'Economist Financing Model 1'!$O$6:$T$80,'Economist Financing Model 1'!B63,FALSE)</f>
        <v>53078656.685678646</v>
      </c>
      <c r="H66" s="108">
        <f t="shared" si="5"/>
        <v>1751595670.6273959</v>
      </c>
      <c r="I66" s="109">
        <f>-1*HLOOKUP($E$5,'Economist Financing Model 1'!$U$6:$Z$80,'Economist Financing Model 1'!B63,FALSE)</f>
        <v>70213594.203879833</v>
      </c>
      <c r="J66" s="108">
        <f t="shared" si="5"/>
        <v>2317048608.7280345</v>
      </c>
      <c r="K66" s="107">
        <f>-1*HLOOKUP($E$5,'Economist Financing Model 2'!$C$68:$I$143,'Economist Financing Model 2'!B125,FALSE)</f>
        <v>40880434.259851158</v>
      </c>
      <c r="L66" s="108">
        <f>-1*HLOOKUP($E$5,'Economist Financing Model 2'!$J$68:$P$144,'Economist Financing Model 2'!B125,FALSE)</f>
        <v>54252501.493384279</v>
      </c>
      <c r="M66" s="108">
        <f>-1*HLOOKUP($E$5,'Economist Financing Model 2'!$Q$68:$W$144,'Economist Financing Model 2'!B125,FALSE)</f>
        <v>70984575.825473875</v>
      </c>
      <c r="N66" s="109">
        <f>-1*HLOOKUP($E$5,'Economist Financing Model 2'!$X$68:$AD$144,'Economist Financing Model 2'!B125,FALSE)</f>
        <v>116957879.29183526</v>
      </c>
    </row>
    <row r="67" spans="1:14" ht="13.5" thickBot="1" x14ac:dyDescent="0.25">
      <c r="A67" s="105">
        <f>'Summary Baseline Data'!A66</f>
        <v>2047</v>
      </c>
      <c r="B67" s="117">
        <v>59</v>
      </c>
      <c r="C67" s="107">
        <f>-1*HLOOKUP($E$5,'Economist Financing Model 1'!$C$6:$H$80,'Economist Financing Model 1'!B64,FALSE)</f>
        <v>37660664.113983564</v>
      </c>
      <c r="D67" s="108">
        <f t="shared" si="5"/>
        <v>1280462579.8754408</v>
      </c>
      <c r="E67" s="108">
        <f>-1*HLOOKUP($E$5,'Economist Financing Model 1'!$I$6:$N$80,'Economist Financing Model 1'!B64,FALSE)</f>
        <v>45107144.235605747</v>
      </c>
      <c r="F67" s="108">
        <f t="shared" si="5"/>
        <v>1533642904.0105946</v>
      </c>
      <c r="G67" s="108">
        <f>-1*HLOOKUP($E$5,'Economist Financing Model 1'!$O$6:$T$80,'Economist Financing Model 1'!B64,FALSE)</f>
        <v>53078656.685678646</v>
      </c>
      <c r="H67" s="108">
        <f t="shared" si="5"/>
        <v>1804674327.3130746</v>
      </c>
      <c r="I67" s="109">
        <f>-1*HLOOKUP($E$5,'Economist Financing Model 1'!$U$6:$Z$80,'Economist Financing Model 1'!B64,FALSE)</f>
        <v>70213594.203879833</v>
      </c>
      <c r="J67" s="108">
        <f t="shared" si="5"/>
        <v>2387262202.9319143</v>
      </c>
      <c r="K67" s="107">
        <f>-1*HLOOKUP($E$5,'Economist Financing Model 2'!$C$68:$I$143,'Economist Financing Model 2'!B126,FALSE)</f>
        <v>40880434.259851158</v>
      </c>
      <c r="L67" s="108">
        <f>-1*HLOOKUP($E$5,'Economist Financing Model 2'!$J$68:$P$144,'Economist Financing Model 2'!B126,FALSE)</f>
        <v>54252501.493384279</v>
      </c>
      <c r="M67" s="108">
        <f>-1*HLOOKUP($E$5,'Economist Financing Model 2'!$Q$68:$W$144,'Economist Financing Model 2'!B126,FALSE)</f>
        <v>70984575.825473875</v>
      </c>
      <c r="N67" s="109">
        <f>-1*HLOOKUP($E$5,'Economist Financing Model 2'!$X$68:$AD$144,'Economist Financing Model 2'!B126,FALSE)</f>
        <v>116957879.29183526</v>
      </c>
    </row>
    <row r="68" spans="1:14" x14ac:dyDescent="0.2">
      <c r="A68" s="105">
        <f>'Summary Baseline Data'!A67</f>
        <v>2048</v>
      </c>
      <c r="B68" s="105">
        <v>60</v>
      </c>
      <c r="C68" s="107">
        <f>-1*HLOOKUP($E$5,'Economist Financing Model 1'!$C$6:$H$80,'Economist Financing Model 1'!B65,FALSE)</f>
        <v>37660664.113983564</v>
      </c>
      <c r="D68" s="108">
        <f t="shared" si="5"/>
        <v>1318123243.9894245</v>
      </c>
      <c r="E68" s="108">
        <f>-1*HLOOKUP($E$5,'Economist Financing Model 1'!$I$6:$N$80,'Economist Financing Model 1'!B65,FALSE)</f>
        <v>45107144.235605747</v>
      </c>
      <c r="F68" s="108">
        <f t="shared" si="5"/>
        <v>1578750048.2462003</v>
      </c>
      <c r="G68" s="108">
        <f>-1*HLOOKUP($E$5,'Economist Financing Model 1'!$O$6:$T$80,'Economist Financing Model 1'!B65,FALSE)</f>
        <v>53078656.685678646</v>
      </c>
      <c r="H68" s="108">
        <f t="shared" si="5"/>
        <v>1857752983.9987533</v>
      </c>
      <c r="I68" s="109">
        <f>-1*HLOOKUP($E$5,'Economist Financing Model 1'!$U$6:$Z$80,'Economist Financing Model 1'!B65,FALSE)</f>
        <v>70213594.203879833</v>
      </c>
      <c r="J68" s="108">
        <f t="shared" si="5"/>
        <v>2457475797.1357942</v>
      </c>
      <c r="K68" s="107">
        <f>-1*HLOOKUP($E$5,'Economist Financing Model 2'!$C$68:$I$143,'Economist Financing Model 2'!B127,FALSE)</f>
        <v>40880434.259851158</v>
      </c>
      <c r="L68" s="108">
        <f>-1*HLOOKUP($E$5,'Economist Financing Model 2'!$J$68:$P$144,'Economist Financing Model 2'!B127,FALSE)</f>
        <v>54252501.493384279</v>
      </c>
      <c r="M68" s="108">
        <f>-1*HLOOKUP($E$5,'Economist Financing Model 2'!$Q$68:$W$144,'Economist Financing Model 2'!B127,FALSE)</f>
        <v>70984575.825473875</v>
      </c>
      <c r="N68" s="109">
        <f>-1*HLOOKUP($E$5,'Economist Financing Model 2'!$X$68:$AD$144,'Economist Financing Model 2'!B127,FALSE)</f>
        <v>116957879.29183526</v>
      </c>
    </row>
    <row r="69" spans="1:14" ht="13.5" thickBot="1" x14ac:dyDescent="0.25">
      <c r="A69" s="105">
        <f>'Summary Baseline Data'!A68</f>
        <v>2049</v>
      </c>
      <c r="B69" s="117">
        <v>61</v>
      </c>
      <c r="C69" s="107">
        <f>-1*HLOOKUP($E$5,'Economist Financing Model 1'!$C$6:$H$80,'Economist Financing Model 1'!B66,FALSE)</f>
        <v>37660664.113983564</v>
      </c>
      <c r="D69" s="108">
        <f t="shared" si="5"/>
        <v>1355783908.1034081</v>
      </c>
      <c r="E69" s="108">
        <f>-1*HLOOKUP($E$5,'Economist Financing Model 1'!$I$6:$N$80,'Economist Financing Model 1'!B66,FALSE)</f>
        <v>45107144.235605747</v>
      </c>
      <c r="F69" s="108">
        <f t="shared" si="5"/>
        <v>1623857192.481806</v>
      </c>
      <c r="G69" s="108">
        <f>-1*HLOOKUP($E$5,'Economist Financing Model 1'!$O$6:$T$80,'Economist Financing Model 1'!B66,FALSE)</f>
        <v>53078656.685678646</v>
      </c>
      <c r="H69" s="108">
        <f t="shared" si="5"/>
        <v>1910831640.684432</v>
      </c>
      <c r="I69" s="109">
        <f>-1*HLOOKUP($E$5,'Economist Financing Model 1'!$U$6:$Z$80,'Economist Financing Model 1'!B66,FALSE)</f>
        <v>70213594.203879833</v>
      </c>
      <c r="J69" s="108">
        <f t="shared" si="5"/>
        <v>2527689391.339674</v>
      </c>
      <c r="K69" s="107">
        <f>-1*HLOOKUP($E$5,'Economist Financing Model 2'!$C$68:$I$143,'Economist Financing Model 2'!B128,FALSE)</f>
        <v>40880434.259851158</v>
      </c>
      <c r="L69" s="108">
        <f>-1*HLOOKUP($E$5,'Economist Financing Model 2'!$J$68:$P$144,'Economist Financing Model 2'!B128,FALSE)</f>
        <v>54252501.493384279</v>
      </c>
      <c r="M69" s="108">
        <f>-1*HLOOKUP($E$5,'Economist Financing Model 2'!$Q$68:$W$144,'Economist Financing Model 2'!B128,FALSE)</f>
        <v>70984575.825473875</v>
      </c>
      <c r="N69" s="109">
        <f>-1*HLOOKUP($E$5,'Economist Financing Model 2'!$X$68:$AD$144,'Economist Financing Model 2'!B128,FALSE)</f>
        <v>116957879.29183526</v>
      </c>
    </row>
    <row r="70" spans="1:14" x14ac:dyDescent="0.2">
      <c r="A70" s="105">
        <f>'Summary Baseline Data'!A69</f>
        <v>2050</v>
      </c>
      <c r="B70" s="105">
        <v>62</v>
      </c>
      <c r="C70" s="107">
        <f>-1*HLOOKUP($E$5,'Economist Financing Model 1'!$C$6:$H$80,'Economist Financing Model 1'!B67,FALSE)</f>
        <v>37660664.113983564</v>
      </c>
      <c r="D70" s="108">
        <f t="shared" si="5"/>
        <v>1393444572.2173917</v>
      </c>
      <c r="E70" s="108">
        <f>-1*HLOOKUP($E$5,'Economist Financing Model 1'!$I$6:$N$80,'Economist Financing Model 1'!B67,FALSE)</f>
        <v>45107144.235605747</v>
      </c>
      <c r="F70" s="108">
        <f t="shared" si="5"/>
        <v>1668964336.7174118</v>
      </c>
      <c r="G70" s="108">
        <f>-1*HLOOKUP($E$5,'Economist Financing Model 1'!$O$6:$T$80,'Economist Financing Model 1'!B67,FALSE)</f>
        <v>53078656.685678646</v>
      </c>
      <c r="H70" s="108">
        <f t="shared" si="5"/>
        <v>1963910297.3701108</v>
      </c>
      <c r="I70" s="109">
        <f>-1*HLOOKUP($E$5,'Economist Financing Model 1'!$U$6:$Z$80,'Economist Financing Model 1'!B67,FALSE)</f>
        <v>70213594.203879833</v>
      </c>
      <c r="J70" s="108">
        <f t="shared" si="5"/>
        <v>2597902985.5435538</v>
      </c>
      <c r="K70" s="107">
        <f>-1*HLOOKUP($E$5,'Economist Financing Model 2'!$C$68:$I$143,'Economist Financing Model 2'!B129,FALSE)</f>
        <v>40880434.259851158</v>
      </c>
      <c r="L70" s="108">
        <f>-1*HLOOKUP($E$5,'Economist Financing Model 2'!$J$68:$P$144,'Economist Financing Model 2'!B129,FALSE)</f>
        <v>54252501.493384279</v>
      </c>
      <c r="M70" s="108">
        <f>-1*HLOOKUP($E$5,'Economist Financing Model 2'!$Q$68:$W$144,'Economist Financing Model 2'!B129,FALSE)</f>
        <v>70984575.825473875</v>
      </c>
      <c r="N70" s="109">
        <f>-1*HLOOKUP($E$5,'Economist Financing Model 2'!$X$68:$AD$144,'Economist Financing Model 2'!B129,FALSE)</f>
        <v>116957879.29183526</v>
      </c>
    </row>
    <row r="71" spans="1:14" ht="13.5" thickBot="1" x14ac:dyDescent="0.25">
      <c r="A71" s="105">
        <f>'Summary Baseline Data'!A70</f>
        <v>2051</v>
      </c>
      <c r="B71" s="117">
        <v>63</v>
      </c>
      <c r="C71" s="107">
        <f>-1*HLOOKUP($E$5,'Economist Financing Model 1'!$C$6:$H$80,'Economist Financing Model 1'!B68,FALSE)</f>
        <v>37660664.113983564</v>
      </c>
      <c r="D71" s="108">
        <f t="shared" si="5"/>
        <v>1431105236.3313754</v>
      </c>
      <c r="E71" s="108">
        <f>-1*HLOOKUP($E$5,'Economist Financing Model 1'!$I$6:$N$80,'Economist Financing Model 1'!B68,FALSE)</f>
        <v>45107144.235605747</v>
      </c>
      <c r="F71" s="108">
        <f t="shared" si="5"/>
        <v>1714071480.9530175</v>
      </c>
      <c r="G71" s="108">
        <f>-1*HLOOKUP($E$5,'Economist Financing Model 1'!$O$6:$T$80,'Economist Financing Model 1'!B68,FALSE)</f>
        <v>53078656.685678646</v>
      </c>
      <c r="H71" s="108">
        <f t="shared" si="5"/>
        <v>2016988954.0557895</v>
      </c>
      <c r="I71" s="109">
        <f>-1*HLOOKUP($E$5,'Economist Financing Model 1'!$U$6:$Z$80,'Economist Financing Model 1'!B68,FALSE)</f>
        <v>70213594.203879833</v>
      </c>
      <c r="J71" s="108">
        <f t="shared" si="5"/>
        <v>2668116579.7474337</v>
      </c>
      <c r="K71" s="107">
        <f>-1*HLOOKUP($E$5,'Economist Financing Model 2'!$C$68:$I$143,'Economist Financing Model 2'!B130,FALSE)</f>
        <v>40880434.259851158</v>
      </c>
      <c r="L71" s="108">
        <f>-1*HLOOKUP($E$5,'Economist Financing Model 2'!$J$68:$P$144,'Economist Financing Model 2'!B130,FALSE)</f>
        <v>54252501.493384279</v>
      </c>
      <c r="M71" s="108">
        <f>-1*HLOOKUP($E$5,'Economist Financing Model 2'!$Q$68:$W$144,'Economist Financing Model 2'!B130,FALSE)</f>
        <v>70984575.825473875</v>
      </c>
      <c r="N71" s="109">
        <f>-1*HLOOKUP($E$5,'Economist Financing Model 2'!$X$68:$AD$144,'Economist Financing Model 2'!B130,FALSE)</f>
        <v>116957879.29183526</v>
      </c>
    </row>
    <row r="72" spans="1:14" x14ac:dyDescent="0.2">
      <c r="A72" s="105">
        <f>'Summary Baseline Data'!A71</f>
        <v>2052</v>
      </c>
      <c r="B72" s="105">
        <v>64</v>
      </c>
      <c r="C72" s="107">
        <f>-1*HLOOKUP($E$5,'Economist Financing Model 1'!$C$6:$H$80,'Economist Financing Model 1'!B69,FALSE)</f>
        <v>37660664.113983564</v>
      </c>
      <c r="D72" s="108">
        <f t="shared" si="5"/>
        <v>1468765900.445359</v>
      </c>
      <c r="E72" s="108">
        <f>-1*HLOOKUP($E$5,'Economist Financing Model 1'!$I$6:$N$80,'Economist Financing Model 1'!B69,FALSE)</f>
        <v>45107144.235605747</v>
      </c>
      <c r="F72" s="108">
        <f t="shared" si="5"/>
        <v>1759178625.1886232</v>
      </c>
      <c r="G72" s="108">
        <f>-1*HLOOKUP($E$5,'Economist Financing Model 1'!$O$6:$T$80,'Economist Financing Model 1'!B69,FALSE)</f>
        <v>53078656.685678646</v>
      </c>
      <c r="H72" s="108">
        <f t="shared" si="5"/>
        <v>2070067610.7414682</v>
      </c>
      <c r="I72" s="109">
        <f>-1*HLOOKUP($E$5,'Economist Financing Model 1'!$U$6:$Z$80,'Economist Financing Model 1'!B69,FALSE)</f>
        <v>70213594.203879833</v>
      </c>
      <c r="J72" s="108">
        <f t="shared" si="5"/>
        <v>2738330173.9513135</v>
      </c>
      <c r="K72" s="107">
        <f>-1*HLOOKUP($E$5,'Economist Financing Model 2'!$C$68:$I$143,'Economist Financing Model 2'!B131,FALSE)</f>
        <v>40880434.259851158</v>
      </c>
      <c r="L72" s="108">
        <f>-1*HLOOKUP($E$5,'Economist Financing Model 2'!$J$68:$P$144,'Economist Financing Model 2'!B131,FALSE)</f>
        <v>54252501.493384279</v>
      </c>
      <c r="M72" s="108">
        <f>-1*HLOOKUP($E$5,'Economist Financing Model 2'!$Q$68:$W$144,'Economist Financing Model 2'!B131,FALSE)</f>
        <v>70984575.825473875</v>
      </c>
      <c r="N72" s="109">
        <f>-1*HLOOKUP($E$5,'Economist Financing Model 2'!$X$68:$AD$144,'Economist Financing Model 2'!B131,FALSE)</f>
        <v>116957879.29183526</v>
      </c>
    </row>
    <row r="73" spans="1:14" ht="13.5" thickBot="1" x14ac:dyDescent="0.25">
      <c r="A73" s="105">
        <f>'Summary Baseline Data'!A72</f>
        <v>2053</v>
      </c>
      <c r="B73" s="117">
        <v>65</v>
      </c>
      <c r="C73" s="107">
        <f>-1*HLOOKUP($E$5,'Economist Financing Model 1'!$C$6:$H$80,'Economist Financing Model 1'!B70,FALSE)</f>
        <v>37660664.113983564</v>
      </c>
      <c r="D73" s="108">
        <f t="shared" si="5"/>
        <v>1506426564.5593426</v>
      </c>
      <c r="E73" s="108">
        <f>-1*HLOOKUP($E$5,'Economist Financing Model 1'!$I$6:$N$80,'Economist Financing Model 1'!B70,FALSE)</f>
        <v>45107144.235605747</v>
      </c>
      <c r="F73" s="108">
        <f t="shared" si="5"/>
        <v>1804285769.4242289</v>
      </c>
      <c r="G73" s="108">
        <f>-1*HLOOKUP($E$5,'Economist Financing Model 1'!$O$6:$T$80,'Economist Financing Model 1'!B70,FALSE)</f>
        <v>53078656.685678646</v>
      </c>
      <c r="H73" s="108">
        <f t="shared" si="5"/>
        <v>2123146267.4271469</v>
      </c>
      <c r="I73" s="109">
        <f>-1*HLOOKUP($E$5,'Economist Financing Model 1'!$U$6:$Z$80,'Economist Financing Model 1'!B70,FALSE)</f>
        <v>70213594.203879833</v>
      </c>
      <c r="J73" s="108">
        <f t="shared" si="5"/>
        <v>2808543768.1551933</v>
      </c>
      <c r="K73" s="107">
        <f>-1*HLOOKUP($E$5,'Economist Financing Model 2'!$C$68:$I$143,'Economist Financing Model 2'!B132,FALSE)</f>
        <v>40880434.259851158</v>
      </c>
      <c r="L73" s="108">
        <f>-1*HLOOKUP($E$5,'Economist Financing Model 2'!$J$68:$P$144,'Economist Financing Model 2'!B132,FALSE)</f>
        <v>54252501.493384279</v>
      </c>
      <c r="M73" s="108">
        <f>-1*HLOOKUP($E$5,'Economist Financing Model 2'!$Q$68:$W$144,'Economist Financing Model 2'!B132,FALSE)</f>
        <v>70984575.825473875</v>
      </c>
      <c r="N73" s="109">
        <f>-1*HLOOKUP($E$5,'Economist Financing Model 2'!$X$68:$AD$144,'Economist Financing Model 2'!B132,FALSE)</f>
        <v>116957879.29183526</v>
      </c>
    </row>
    <row r="74" spans="1:14" x14ac:dyDescent="0.2">
      <c r="A74" s="105">
        <f>'Summary Baseline Data'!A73</f>
        <v>2054</v>
      </c>
      <c r="B74" s="105">
        <v>66</v>
      </c>
      <c r="C74" s="107">
        <f>-1*HLOOKUP($E$5,'Economist Financing Model 1'!$C$6:$H$80,'Economist Financing Model 1'!B71,FALSE)</f>
        <v>37660664.113983564</v>
      </c>
      <c r="D74" s="108">
        <f t="shared" si="5"/>
        <v>1544087228.6733263</v>
      </c>
      <c r="E74" s="108">
        <f>-1*HLOOKUP($E$5,'Economist Financing Model 1'!$I$6:$N$80,'Economist Financing Model 1'!B71,FALSE)</f>
        <v>45107144.235605747</v>
      </c>
      <c r="F74" s="108">
        <f t="shared" si="5"/>
        <v>1849392913.6598346</v>
      </c>
      <c r="G74" s="108">
        <f>-1*HLOOKUP($E$5,'Economist Financing Model 1'!$O$6:$T$80,'Economist Financing Model 1'!B71,FALSE)</f>
        <v>53078656.685678646</v>
      </c>
      <c r="H74" s="108">
        <f t="shared" si="5"/>
        <v>2176224924.1128254</v>
      </c>
      <c r="I74" s="109">
        <f>-1*HLOOKUP($E$5,'Economist Financing Model 1'!$U$6:$Z$80,'Economist Financing Model 1'!B71,FALSE)</f>
        <v>70213594.203879833</v>
      </c>
      <c r="J74" s="108">
        <f t="shared" si="5"/>
        <v>2878757362.3590732</v>
      </c>
      <c r="K74" s="107">
        <f>-1*HLOOKUP($E$5,'Economist Financing Model 2'!$C$68:$I$143,'Economist Financing Model 2'!B133,FALSE)</f>
        <v>40880434.259851158</v>
      </c>
      <c r="L74" s="108">
        <f>-1*HLOOKUP($E$5,'Economist Financing Model 2'!$J$68:$P$144,'Economist Financing Model 2'!B133,FALSE)</f>
        <v>54252501.493384279</v>
      </c>
      <c r="M74" s="108">
        <f>-1*HLOOKUP($E$5,'Economist Financing Model 2'!$Q$68:$W$144,'Economist Financing Model 2'!B133,FALSE)</f>
        <v>70984575.825473875</v>
      </c>
      <c r="N74" s="109">
        <f>-1*HLOOKUP($E$5,'Economist Financing Model 2'!$X$68:$AD$144,'Economist Financing Model 2'!B133,FALSE)</f>
        <v>116957879.29183526</v>
      </c>
    </row>
    <row r="75" spans="1:14" ht="13.5" thickBot="1" x14ac:dyDescent="0.25">
      <c r="A75" s="105">
        <f>'Summary Baseline Data'!A74</f>
        <v>2055</v>
      </c>
      <c r="B75" s="117">
        <v>67</v>
      </c>
      <c r="C75" s="107">
        <f>-1*HLOOKUP($E$5,'Economist Financing Model 1'!$C$6:$H$80,'Economist Financing Model 1'!B72,FALSE)</f>
        <v>37660664.113983564</v>
      </c>
      <c r="D75" s="108">
        <f t="shared" si="5"/>
        <v>1581747892.7873099</v>
      </c>
      <c r="E75" s="108">
        <f>-1*HLOOKUP($E$5,'Economist Financing Model 1'!$I$6:$N$80,'Economist Financing Model 1'!B72,FALSE)</f>
        <v>45107144.235605747</v>
      </c>
      <c r="F75" s="108">
        <f t="shared" si="5"/>
        <v>1894500057.8954403</v>
      </c>
      <c r="G75" s="108">
        <f>-1*HLOOKUP($E$5,'Economist Financing Model 1'!$O$6:$T$80,'Economist Financing Model 1'!B72,FALSE)</f>
        <v>53078656.685678646</v>
      </c>
      <c r="H75" s="108">
        <f t="shared" si="5"/>
        <v>2229303580.7985039</v>
      </c>
      <c r="I75" s="109">
        <f>-1*HLOOKUP($E$5,'Economist Financing Model 1'!$U$6:$Z$80,'Economist Financing Model 1'!B72,FALSE)</f>
        <v>70213594.203879833</v>
      </c>
      <c r="J75" s="108">
        <f t="shared" si="5"/>
        <v>2948970956.562953</v>
      </c>
      <c r="K75" s="107">
        <f>-1*HLOOKUP($E$5,'Economist Financing Model 2'!$C$68:$I$143,'Economist Financing Model 2'!B134,FALSE)</f>
        <v>40880434.259851158</v>
      </c>
      <c r="L75" s="108">
        <f>-1*HLOOKUP($E$5,'Economist Financing Model 2'!$J$68:$P$144,'Economist Financing Model 2'!B134,FALSE)</f>
        <v>54252501.493384279</v>
      </c>
      <c r="M75" s="108">
        <f>-1*HLOOKUP($E$5,'Economist Financing Model 2'!$Q$68:$W$144,'Economist Financing Model 2'!B134,FALSE)</f>
        <v>70984575.825473875</v>
      </c>
      <c r="N75" s="109">
        <f>-1*HLOOKUP($E$5,'Economist Financing Model 2'!$X$68:$AD$144,'Economist Financing Model 2'!B134,FALSE)</f>
        <v>116957879.29183526</v>
      </c>
    </row>
    <row r="76" spans="1:14" x14ac:dyDescent="0.2">
      <c r="A76" s="105">
        <f>'Summary Baseline Data'!A75</f>
        <v>2056</v>
      </c>
      <c r="B76" s="105">
        <v>68</v>
      </c>
      <c r="C76" s="107">
        <f>-1*HLOOKUP($E$5,'Economist Financing Model 1'!$C$6:$H$80,'Economist Financing Model 1'!B73,FALSE)</f>
        <v>37660664.113983564</v>
      </c>
      <c r="D76" s="108">
        <f t="shared" si="5"/>
        <v>1619408556.9012935</v>
      </c>
      <c r="E76" s="108">
        <f>-1*HLOOKUP($E$5,'Economist Financing Model 1'!$I$6:$N$80,'Economist Financing Model 1'!B73,FALSE)</f>
        <v>45107144.235605747</v>
      </c>
      <c r="F76" s="108">
        <f t="shared" si="5"/>
        <v>1939607202.1310461</v>
      </c>
      <c r="G76" s="108">
        <f>-1*HLOOKUP($E$5,'Economist Financing Model 1'!$O$6:$T$80,'Economist Financing Model 1'!B73,FALSE)</f>
        <v>53078656.685678646</v>
      </c>
      <c r="H76" s="108">
        <f t="shared" si="5"/>
        <v>2282382237.4841824</v>
      </c>
      <c r="I76" s="109">
        <f>-1*HLOOKUP($E$5,'Economist Financing Model 1'!$U$6:$Z$80,'Economist Financing Model 1'!B73,FALSE)</f>
        <v>70213594.203879833</v>
      </c>
      <c r="J76" s="108">
        <f t="shared" si="5"/>
        <v>3019184550.7668328</v>
      </c>
      <c r="K76" s="107">
        <f>-1*HLOOKUP($E$5,'Economist Financing Model 2'!$C$68:$I$143,'Economist Financing Model 2'!B135,FALSE)</f>
        <v>40880434.259851158</v>
      </c>
      <c r="L76" s="108">
        <f>-1*HLOOKUP($E$5,'Economist Financing Model 2'!$J$68:$P$144,'Economist Financing Model 2'!B135,FALSE)</f>
        <v>54252501.493384279</v>
      </c>
      <c r="M76" s="108">
        <f>-1*HLOOKUP($E$5,'Economist Financing Model 2'!$Q$68:$W$144,'Economist Financing Model 2'!B135,FALSE)</f>
        <v>70984575.825473875</v>
      </c>
      <c r="N76" s="109">
        <f>-1*HLOOKUP($E$5,'Economist Financing Model 2'!$X$68:$AD$144,'Economist Financing Model 2'!B135,FALSE)</f>
        <v>116957879.29183526</v>
      </c>
    </row>
    <row r="77" spans="1:14" ht="13.5" thickBot="1" x14ac:dyDescent="0.25">
      <c r="A77" s="105">
        <f>'Summary Baseline Data'!A76</f>
        <v>2057</v>
      </c>
      <c r="B77" s="117">
        <v>69</v>
      </c>
      <c r="C77" s="107">
        <f>-1*HLOOKUP($E$5,'Economist Financing Model 1'!$C$6:$H$80,'Economist Financing Model 1'!B74,FALSE)</f>
        <v>37660664.113983564</v>
      </c>
      <c r="D77" s="108">
        <f t="shared" si="5"/>
        <v>1657069221.0152771</v>
      </c>
      <c r="E77" s="108">
        <f>-1*HLOOKUP($E$5,'Economist Financing Model 1'!$I$6:$N$80,'Economist Financing Model 1'!B74,FALSE)</f>
        <v>45107144.235605747</v>
      </c>
      <c r="F77" s="108">
        <f t="shared" si="5"/>
        <v>1984714346.3666518</v>
      </c>
      <c r="G77" s="108">
        <f>-1*HLOOKUP($E$5,'Economist Financing Model 1'!$O$6:$T$80,'Economist Financing Model 1'!B74,FALSE)</f>
        <v>53078656.685678646</v>
      </c>
      <c r="H77" s="108">
        <f t="shared" si="5"/>
        <v>2335460894.1698608</v>
      </c>
      <c r="I77" s="109">
        <f>-1*HLOOKUP($E$5,'Economist Financing Model 1'!$U$6:$Z$80,'Economist Financing Model 1'!B74,FALSE)</f>
        <v>70213594.203879833</v>
      </c>
      <c r="J77" s="108">
        <f t="shared" si="5"/>
        <v>3089398144.9707127</v>
      </c>
      <c r="K77" s="107">
        <f>-1*HLOOKUP($E$5,'Economist Financing Model 2'!$C$68:$I$143,'Economist Financing Model 2'!B136,FALSE)</f>
        <v>40880434.259851158</v>
      </c>
      <c r="L77" s="108">
        <f>-1*HLOOKUP($E$5,'Economist Financing Model 2'!$J$68:$P$144,'Economist Financing Model 2'!B136,FALSE)</f>
        <v>54252501.493384279</v>
      </c>
      <c r="M77" s="108">
        <f>-1*HLOOKUP($E$5,'Economist Financing Model 2'!$Q$68:$W$144,'Economist Financing Model 2'!B136,FALSE)</f>
        <v>70984575.825473875</v>
      </c>
      <c r="N77" s="109">
        <f>-1*HLOOKUP($E$5,'Economist Financing Model 2'!$X$68:$AD$144,'Economist Financing Model 2'!B136,FALSE)</f>
        <v>116957879.29183526</v>
      </c>
    </row>
    <row r="78" spans="1:14" x14ac:dyDescent="0.2">
      <c r="A78" s="105">
        <f>'Summary Baseline Data'!A77</f>
        <v>2058</v>
      </c>
      <c r="B78" s="105">
        <v>70</v>
      </c>
      <c r="C78" s="107">
        <f>-1*HLOOKUP($E$5,'Economist Financing Model 1'!$C$6:$H$80,'Economist Financing Model 1'!B75,FALSE)</f>
        <v>37660664.113983564</v>
      </c>
      <c r="D78" s="108">
        <f t="shared" si="5"/>
        <v>1694729885.1292608</v>
      </c>
      <c r="E78" s="108">
        <f>-1*HLOOKUP($E$5,'Economist Financing Model 1'!$I$6:$N$80,'Economist Financing Model 1'!B75,FALSE)</f>
        <v>45107144.235605747</v>
      </c>
      <c r="F78" s="108">
        <f t="shared" si="5"/>
        <v>2029821490.6022575</v>
      </c>
      <c r="G78" s="108">
        <f>-1*HLOOKUP($E$5,'Economist Financing Model 1'!$O$6:$T$80,'Economist Financing Model 1'!B75,FALSE)</f>
        <v>53078656.685678646</v>
      </c>
      <c r="H78" s="108">
        <f t="shared" si="5"/>
        <v>2388539550.8555393</v>
      </c>
      <c r="I78" s="109">
        <f>-1*HLOOKUP($E$5,'Economist Financing Model 1'!$U$6:$Z$80,'Economist Financing Model 1'!B75,FALSE)</f>
        <v>70213594.203879833</v>
      </c>
      <c r="J78" s="108">
        <f t="shared" si="5"/>
        <v>3159611739.1745925</v>
      </c>
      <c r="K78" s="107">
        <f>-1*HLOOKUP($E$5,'Economist Financing Model 2'!$C$68:$I$143,'Economist Financing Model 2'!B137,FALSE)</f>
        <v>40880434.259851158</v>
      </c>
      <c r="L78" s="108">
        <f>-1*HLOOKUP($E$5,'Economist Financing Model 2'!$J$68:$P$144,'Economist Financing Model 2'!B137,FALSE)</f>
        <v>54252501.493384279</v>
      </c>
      <c r="M78" s="108">
        <f>-1*HLOOKUP($E$5,'Economist Financing Model 2'!$Q$68:$W$144,'Economist Financing Model 2'!B137,FALSE)</f>
        <v>70984575.825473875</v>
      </c>
      <c r="N78" s="109">
        <f>-1*HLOOKUP($E$5,'Economist Financing Model 2'!$X$68:$AD$144,'Economist Financing Model 2'!B137,FALSE)</f>
        <v>116957879.29183526</v>
      </c>
    </row>
    <row r="79" spans="1:14" ht="13.5" thickBot="1" x14ac:dyDescent="0.25">
      <c r="A79" s="105">
        <f>'Summary Baseline Data'!A78</f>
        <v>2059</v>
      </c>
      <c r="B79" s="117">
        <v>71</v>
      </c>
      <c r="C79" s="107">
        <f>-1*HLOOKUP($E$5,'Economist Financing Model 1'!$C$6:$H$80,'Economist Financing Model 1'!B76,FALSE)</f>
        <v>37660664.113983564</v>
      </c>
      <c r="D79" s="108">
        <f t="shared" si="5"/>
        <v>1732390549.2432444</v>
      </c>
      <c r="E79" s="108">
        <f>-1*HLOOKUP($E$5,'Economist Financing Model 1'!$I$6:$N$80,'Economist Financing Model 1'!B76,FALSE)</f>
        <v>45107144.235605747</v>
      </c>
      <c r="F79" s="108">
        <f t="shared" si="5"/>
        <v>2074928634.8378632</v>
      </c>
      <c r="G79" s="108">
        <f>-1*HLOOKUP($E$5,'Economist Financing Model 1'!$O$6:$T$80,'Economist Financing Model 1'!B76,FALSE)</f>
        <v>53078656.685678646</v>
      </c>
      <c r="H79" s="108">
        <f t="shared" si="5"/>
        <v>2441618207.5412178</v>
      </c>
      <c r="I79" s="109">
        <f>-1*HLOOKUP($E$5,'Economist Financing Model 1'!$U$6:$Z$80,'Economist Financing Model 1'!B76,FALSE)</f>
        <v>70213594.203879833</v>
      </c>
      <c r="J79" s="108">
        <f t="shared" si="5"/>
        <v>3229825333.3784723</v>
      </c>
      <c r="K79" s="107">
        <f>-1*HLOOKUP($E$5,'Economist Financing Model 2'!$C$68:$I$143,'Economist Financing Model 2'!B138,FALSE)</f>
        <v>40880434.259851158</v>
      </c>
      <c r="L79" s="108">
        <f>-1*HLOOKUP($E$5,'Economist Financing Model 2'!$J$68:$P$144,'Economist Financing Model 2'!B138,FALSE)</f>
        <v>54252501.493384279</v>
      </c>
      <c r="M79" s="108">
        <f>-1*HLOOKUP($E$5,'Economist Financing Model 2'!$Q$68:$W$144,'Economist Financing Model 2'!B138,FALSE)</f>
        <v>70984575.825473875</v>
      </c>
      <c r="N79" s="109">
        <f>-1*HLOOKUP($E$5,'Economist Financing Model 2'!$X$68:$AD$144,'Economist Financing Model 2'!B138,FALSE)</f>
        <v>116957879.29183526</v>
      </c>
    </row>
    <row r="80" spans="1:14" ht="13.5" thickBot="1" x14ac:dyDescent="0.25">
      <c r="A80" s="110">
        <f>'Summary Baseline Data'!A79</f>
        <v>2060</v>
      </c>
      <c r="B80" s="105">
        <v>72</v>
      </c>
      <c r="C80" s="107">
        <f>-1*HLOOKUP($E$5,'Economist Financing Model 1'!$C$6:$H$80,'Economist Financing Model 1'!B77,FALSE)</f>
        <v>37660664.113983564</v>
      </c>
      <c r="D80" s="108">
        <f t="shared" si="5"/>
        <v>1770051213.357228</v>
      </c>
      <c r="E80" s="108">
        <f>-1*HLOOKUP($E$5,'Economist Financing Model 1'!$I$6:$N$80,'Economist Financing Model 1'!B77,FALSE)</f>
        <v>45107144.235605747</v>
      </c>
      <c r="F80" s="108">
        <f t="shared" si="5"/>
        <v>2120035779.0734689</v>
      </c>
      <c r="G80" s="108">
        <f>-1*HLOOKUP($E$5,'Economist Financing Model 1'!$O$6:$T$80,'Economist Financing Model 1'!B77,FALSE)</f>
        <v>53078656.685678646</v>
      </c>
      <c r="H80" s="108">
        <f t="shared" si="5"/>
        <v>2494696864.2268963</v>
      </c>
      <c r="I80" s="109">
        <f>-1*HLOOKUP($E$5,'Economist Financing Model 1'!$U$6:$Z$80,'Economist Financing Model 1'!B77,FALSE)</f>
        <v>70213594.203879833</v>
      </c>
      <c r="J80" s="108">
        <f t="shared" si="5"/>
        <v>3300038927.5823522</v>
      </c>
      <c r="K80" s="107">
        <f>-1*HLOOKUP($E$5,'Economist Financing Model 2'!$C$68:$I$143,'Economist Financing Model 2'!B139,FALSE)</f>
        <v>40880434.259851158</v>
      </c>
      <c r="L80" s="108">
        <f>-1*HLOOKUP($E$5,'Economist Financing Model 2'!$J$68:$P$144,'Economist Financing Model 2'!B139,FALSE)</f>
        <v>54252501.493384279</v>
      </c>
      <c r="M80" s="108">
        <f>-1*HLOOKUP($E$5,'Economist Financing Model 2'!$Q$68:$W$144,'Economist Financing Model 2'!B139,FALSE)</f>
        <v>70984575.825473875</v>
      </c>
      <c r="N80" s="109">
        <f>-1*HLOOKUP($E$5,'Economist Financing Model 2'!$X$68:$AD$144,'Economist Financing Model 2'!B139,FALSE)</f>
        <v>116957879.29183526</v>
      </c>
    </row>
  </sheetData>
  <mergeCells count="6">
    <mergeCell ref="A3:N3"/>
    <mergeCell ref="A4:N4"/>
    <mergeCell ref="C7:N7"/>
    <mergeCell ref="C8:J8"/>
    <mergeCell ref="K8:N8"/>
    <mergeCell ref="E5:G5"/>
  </mergeCells>
  <dataValidations count="1">
    <dataValidation type="list" allowBlank="1" showInputMessage="1" showErrorMessage="1" sqref="C7:D7">
      <formula1>DataCategoriesforSummaryPage</formula1>
    </dataValidation>
  </dataValidations>
  <pageMargins left="0.7" right="0.7" top="0.75" bottom="0.75" header="0.3" footer="0.3"/>
  <pageSetup paperSize="17" scale="61" fitToHeight="0" orientation="landscape" r:id="rId1"/>
  <headerFooter>
    <oddFooter xml:space="preserve">&amp;L&amp;"-,Bold"&amp;9This is a preliminary draft document. It is intended for discussion purposes only.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1"/>
  <sheetViews>
    <sheetView zoomScaleNormal="100" workbookViewId="0">
      <selection activeCell="A60" sqref="A60:A62"/>
    </sheetView>
  </sheetViews>
  <sheetFormatPr defaultRowHeight="16.5" x14ac:dyDescent="0.3"/>
  <cols>
    <col min="1" max="1" width="9.140625" style="226"/>
    <col min="2" max="2" width="15.28515625" style="226" bestFit="1" customWidth="1"/>
    <col min="3" max="3" width="15" style="226" customWidth="1"/>
    <col min="4" max="5" width="13" style="226" customWidth="1"/>
    <col min="6" max="6" width="9.140625" style="226"/>
    <col min="7" max="7" width="15.28515625" style="226" customWidth="1"/>
    <col min="8" max="8" width="13.7109375" style="226" customWidth="1"/>
    <col min="9" max="9" width="13.5703125" style="226" customWidth="1"/>
    <col min="10" max="10" width="13.140625" style="226" customWidth="1"/>
    <col min="11" max="12" width="9.140625" style="226"/>
    <col min="13" max="13" width="11.5703125" style="226" customWidth="1"/>
    <col min="14" max="20" width="9.140625" style="226"/>
    <col min="21" max="21" width="14.85546875" style="226" customWidth="1"/>
    <col min="22" max="22" width="9.140625" style="226"/>
    <col min="23" max="23" width="15.5703125" style="350" bestFit="1" customWidth="1"/>
    <col min="24" max="24" width="14.5703125" style="350" bestFit="1" customWidth="1"/>
    <col min="25" max="26" width="13.5703125" style="350" bestFit="1" customWidth="1"/>
    <col min="27" max="27" width="14.5703125" style="350" bestFit="1" customWidth="1"/>
    <col min="28" max="28" width="17" style="350" bestFit="1" customWidth="1"/>
    <col min="29" max="29" width="13.5703125" style="350" bestFit="1" customWidth="1"/>
    <col min="30" max="30" width="15.5703125" style="350" bestFit="1" customWidth="1"/>
    <col min="31" max="31" width="10.140625" style="226" bestFit="1" customWidth="1"/>
    <col min="32" max="36" width="12.5703125" style="226" bestFit="1" customWidth="1"/>
    <col min="37" max="16384" width="9.140625" style="226"/>
  </cols>
  <sheetData>
    <row r="1" spans="1:36" ht="17.25" thickBot="1" x14ac:dyDescent="0.35">
      <c r="A1" s="960" t="s">
        <v>100</v>
      </c>
      <c r="B1" s="958"/>
      <c r="C1" s="958"/>
      <c r="D1" s="958"/>
      <c r="E1" s="959"/>
      <c r="F1" s="960" t="s">
        <v>101</v>
      </c>
      <c r="G1" s="958"/>
      <c r="H1" s="958"/>
      <c r="I1" s="958"/>
      <c r="J1" s="959"/>
      <c r="K1" s="964" t="s">
        <v>102</v>
      </c>
      <c r="L1" s="965"/>
      <c r="M1" s="965"/>
      <c r="N1" s="965"/>
      <c r="O1" s="965"/>
      <c r="P1" s="960" t="s">
        <v>128</v>
      </c>
      <c r="Q1" s="958"/>
      <c r="R1" s="958"/>
      <c r="S1" s="958"/>
      <c r="T1" s="958"/>
      <c r="U1" s="959"/>
      <c r="V1" s="958" t="s">
        <v>137</v>
      </c>
      <c r="W1" s="958"/>
      <c r="X1" s="958"/>
      <c r="Y1" s="958"/>
      <c r="Z1" s="958"/>
      <c r="AA1" s="959"/>
    </row>
    <row r="2" spans="1:36" ht="17.25" thickBot="1" x14ac:dyDescent="0.35">
      <c r="A2" s="228"/>
      <c r="B2" s="229"/>
      <c r="C2" s="229"/>
      <c r="D2" s="229"/>
      <c r="E2" s="230"/>
      <c r="F2" s="228"/>
      <c r="G2" s="229"/>
      <c r="H2" s="229"/>
      <c r="I2" s="229"/>
      <c r="J2" s="230"/>
      <c r="K2" s="246"/>
      <c r="L2" s="247"/>
      <c r="M2" s="247"/>
      <c r="N2" s="247"/>
      <c r="O2" s="247"/>
      <c r="P2" s="228"/>
      <c r="Q2" s="229"/>
      <c r="R2" s="229"/>
      <c r="S2" s="229"/>
      <c r="T2" s="229"/>
      <c r="U2" s="230"/>
      <c r="W2" s="455"/>
      <c r="X2" s="456"/>
      <c r="Y2" s="456"/>
      <c r="Z2" s="456"/>
      <c r="AA2" s="457"/>
    </row>
    <row r="3" spans="1:36" ht="17.25" thickBot="1" x14ac:dyDescent="0.35">
      <c r="A3" s="961" t="s">
        <v>99</v>
      </c>
      <c r="B3" s="962"/>
      <c r="C3" s="963"/>
      <c r="D3" s="258">
        <f>'Dynamic Assumptions'!G5</f>
        <v>4.4999999999999998E-2</v>
      </c>
      <c r="E3" s="230"/>
      <c r="F3" s="961" t="s">
        <v>99</v>
      </c>
      <c r="G3" s="962"/>
      <c r="H3" s="963"/>
      <c r="I3" s="258">
        <f>'Dynamic Assumptions'!G5</f>
        <v>4.4999999999999998E-2</v>
      </c>
      <c r="J3" s="230"/>
      <c r="K3" s="960" t="s">
        <v>99</v>
      </c>
      <c r="L3" s="958"/>
      <c r="M3" s="959"/>
      <c r="N3" s="257">
        <f>'Dynamic Assumptions'!G5</f>
        <v>4.4999999999999998E-2</v>
      </c>
      <c r="O3" s="229"/>
      <c r="P3" s="228"/>
      <c r="Q3" s="229"/>
      <c r="R3" s="229"/>
      <c r="S3" s="229"/>
      <c r="T3" s="229"/>
      <c r="U3" s="349"/>
      <c r="W3" s="458"/>
      <c r="X3" s="232"/>
      <c r="Y3" s="232"/>
      <c r="Z3" s="232"/>
      <c r="AA3" s="244"/>
    </row>
    <row r="4" spans="1:36" ht="17.25" hidden="1" thickBot="1" x14ac:dyDescent="0.35">
      <c r="A4" s="231">
        <v>0.03</v>
      </c>
      <c r="B4" s="229"/>
      <c r="C4" s="229"/>
      <c r="D4" s="229"/>
      <c r="E4" s="230"/>
      <c r="F4" s="231">
        <v>0.03</v>
      </c>
      <c r="G4" s="229"/>
      <c r="H4" s="229"/>
      <c r="I4" s="229"/>
      <c r="J4" s="230"/>
      <c r="K4" s="231">
        <v>0.03</v>
      </c>
      <c r="L4" s="229"/>
      <c r="M4" s="229"/>
      <c r="N4" s="229"/>
      <c r="O4" s="229"/>
      <c r="P4" s="228"/>
      <c r="Q4" s="229"/>
      <c r="R4" s="229"/>
      <c r="S4" s="229"/>
      <c r="T4" s="230"/>
      <c r="U4" s="230"/>
      <c r="W4" s="458"/>
      <c r="X4" s="232"/>
      <c r="Y4" s="232"/>
      <c r="Z4" s="232"/>
      <c r="AA4" s="244"/>
    </row>
    <row r="5" spans="1:36" ht="17.25" hidden="1" thickBot="1" x14ac:dyDescent="0.35">
      <c r="A5" s="231">
        <v>0.04</v>
      </c>
      <c r="B5" s="229"/>
      <c r="C5" s="229"/>
      <c r="D5" s="229"/>
      <c r="E5" s="230"/>
      <c r="F5" s="231">
        <v>0.04</v>
      </c>
      <c r="G5" s="229"/>
      <c r="H5" s="229"/>
      <c r="I5" s="229"/>
      <c r="J5" s="230"/>
      <c r="K5" s="231">
        <v>0.04</v>
      </c>
      <c r="L5" s="229"/>
      <c r="M5" s="229"/>
      <c r="N5" s="229"/>
      <c r="O5" s="229"/>
      <c r="P5" s="228"/>
      <c r="Q5" s="229"/>
      <c r="R5" s="229"/>
      <c r="S5" s="229"/>
      <c r="T5" s="230"/>
      <c r="U5" s="230"/>
      <c r="W5" s="458"/>
      <c r="X5" s="232"/>
      <c r="Y5" s="232"/>
      <c r="Z5" s="232"/>
      <c r="AA5" s="244"/>
    </row>
    <row r="6" spans="1:36" ht="17.25" hidden="1" thickBot="1" x14ac:dyDescent="0.35">
      <c r="A6" s="231">
        <v>0.05</v>
      </c>
      <c r="B6" s="229"/>
      <c r="C6" s="229"/>
      <c r="D6" s="229"/>
      <c r="E6" s="230"/>
      <c r="F6" s="231">
        <v>0.05</v>
      </c>
      <c r="G6" s="229"/>
      <c r="H6" s="229"/>
      <c r="I6" s="229"/>
      <c r="J6" s="230"/>
      <c r="K6" s="231">
        <v>0.05</v>
      </c>
      <c r="L6" s="229"/>
      <c r="M6" s="229"/>
      <c r="N6" s="229"/>
      <c r="O6" s="229"/>
      <c r="P6" s="228"/>
      <c r="Q6" s="229"/>
      <c r="R6" s="229"/>
      <c r="S6" s="229"/>
      <c r="T6" s="230"/>
      <c r="U6" s="230"/>
      <c r="W6" s="458"/>
      <c r="X6" s="232"/>
      <c r="Y6" s="232"/>
      <c r="Z6" s="232"/>
      <c r="AA6" s="244"/>
    </row>
    <row r="7" spans="1:36" ht="17.25" hidden="1" thickBot="1" x14ac:dyDescent="0.35">
      <c r="A7" s="231">
        <v>7.0000000000000007E-2</v>
      </c>
      <c r="B7" s="229"/>
      <c r="C7" s="229"/>
      <c r="D7" s="229"/>
      <c r="E7" s="230"/>
      <c r="F7" s="231">
        <v>7.0000000000000007E-2</v>
      </c>
      <c r="G7" s="229"/>
      <c r="H7" s="229"/>
      <c r="I7" s="229"/>
      <c r="J7" s="230"/>
      <c r="K7" s="231">
        <v>7.0000000000000007E-2</v>
      </c>
      <c r="L7" s="229"/>
      <c r="M7" s="229"/>
      <c r="N7" s="229"/>
      <c r="O7" s="229"/>
      <c r="P7" s="228"/>
      <c r="Q7" s="229"/>
      <c r="R7" s="229"/>
      <c r="S7" s="229"/>
      <c r="T7" s="230"/>
      <c r="U7" s="230"/>
      <c r="W7" s="458"/>
      <c r="X7" s="232"/>
      <c r="Y7" s="232"/>
      <c r="Z7" s="232"/>
      <c r="AA7" s="244"/>
    </row>
    <row r="8" spans="1:36" ht="17.25" hidden="1" thickBot="1" x14ac:dyDescent="0.35">
      <c r="A8" s="228"/>
      <c r="B8" s="229"/>
      <c r="C8" s="229"/>
      <c r="D8" s="229"/>
      <c r="E8" s="230"/>
      <c r="F8" s="228"/>
      <c r="G8" s="229"/>
      <c r="H8" s="229"/>
      <c r="I8" s="229"/>
      <c r="J8" s="230"/>
      <c r="K8" s="228"/>
      <c r="L8" s="229"/>
      <c r="M8" s="229"/>
      <c r="N8" s="229"/>
      <c r="O8" s="229"/>
      <c r="P8" s="228"/>
      <c r="Q8" s="229"/>
      <c r="R8" s="229"/>
      <c r="S8" s="229"/>
      <c r="T8" s="230"/>
      <c r="U8" s="230"/>
      <c r="W8" s="458"/>
      <c r="X8" s="232"/>
      <c r="Y8" s="232"/>
      <c r="Z8" s="232"/>
      <c r="AA8" s="244"/>
    </row>
    <row r="9" spans="1:36" s="243" customFormat="1" ht="66.75" thickBot="1" x14ac:dyDescent="0.35">
      <c r="A9" s="240" t="str">
        <f>'LPP Annual Financing Costs'!A9</f>
        <v>Year</v>
      </c>
      <c r="B9" s="241" t="s">
        <v>98</v>
      </c>
      <c r="C9" s="241" t="s">
        <v>152</v>
      </c>
      <c r="D9" s="242" t="e">
        <f>'LPP Annual Financing Costs'!#REF!</f>
        <v>#REF!</v>
      </c>
      <c r="E9" s="239" t="e">
        <f>'LPP Annual Financing Costs'!#REF!</f>
        <v>#REF!</v>
      </c>
      <c r="F9" s="240" t="str">
        <f>'LPP Annual Financing Costs'!A9</f>
        <v>Year</v>
      </c>
      <c r="G9" s="241" t="s">
        <v>98</v>
      </c>
      <c r="H9" s="241" t="s">
        <v>152</v>
      </c>
      <c r="I9" s="242" t="e">
        <f>'LPP Annual Financing Costs'!#REF!</f>
        <v>#REF!</v>
      </c>
      <c r="J9" s="239" t="e">
        <f>'LPP Annual Financing Costs'!#REF!</f>
        <v>#REF!</v>
      </c>
      <c r="K9" s="240" t="s">
        <v>10</v>
      </c>
      <c r="L9" s="241" t="s">
        <v>98</v>
      </c>
      <c r="M9" s="241" t="s">
        <v>152</v>
      </c>
      <c r="N9" s="242" t="e">
        <f>'LPP Per Cap Annual Finan Costs'!#REF!</f>
        <v>#REF!</v>
      </c>
      <c r="O9" s="242" t="e">
        <f>'LPP Per Cap Annual Finan Costs'!#REF!</f>
        <v>#REF!</v>
      </c>
      <c r="P9" s="385" t="s">
        <v>10</v>
      </c>
      <c r="Q9" s="386" t="s">
        <v>129</v>
      </c>
      <c r="R9" s="386" t="s">
        <v>130</v>
      </c>
      <c r="S9" s="386" t="s">
        <v>131</v>
      </c>
      <c r="T9" s="386" t="s">
        <v>132</v>
      </c>
      <c r="U9" s="463" t="s">
        <v>133</v>
      </c>
      <c r="W9" s="459" t="s">
        <v>168</v>
      </c>
      <c r="X9" s="460" t="s">
        <v>167</v>
      </c>
      <c r="Y9" s="460" t="s">
        <v>166</v>
      </c>
      <c r="Z9" s="460" t="s">
        <v>165</v>
      </c>
      <c r="AA9" s="461" t="s">
        <v>164</v>
      </c>
      <c r="AB9" s="387"/>
      <c r="AC9" s="387" t="s">
        <v>160</v>
      </c>
      <c r="AD9" s="387" t="str">
        <f>'Summary Financial'!A23</f>
        <v>Pumping Cost</v>
      </c>
      <c r="AE9" s="243" t="s">
        <v>161</v>
      </c>
      <c r="AF9" s="243" t="str">
        <f>'Summary Financial'!A25</f>
        <v>LPP Contract 1 Costs</v>
      </c>
      <c r="AG9" s="243" t="str">
        <f>'Summary Financial'!A26</f>
        <v>LPP Contract 2 Costs</v>
      </c>
      <c r="AH9" s="243" t="str">
        <f>'Summary Financial'!A27</f>
        <v>LPP Contract 3 Costs</v>
      </c>
      <c r="AI9" s="243" t="s">
        <v>162</v>
      </c>
      <c r="AJ9" s="243" t="s">
        <v>163</v>
      </c>
    </row>
    <row r="10" spans="1:36" x14ac:dyDescent="0.3">
      <c r="A10" s="228">
        <v>2013</v>
      </c>
      <c r="B10" s="232" t="e">
        <f>ABS(HLOOKUP($D$3,'LPP Annual Financing Costs'!$C$9:$I$80,'LPP Annual Financing Costs'!B33,FALSE))</f>
        <v>#N/A</v>
      </c>
      <c r="C10" s="232" t="e">
        <f>ABS(HLOOKUP($D$3,'LPP Annual Financing Costs'!$K$9:$N$80,'LPP Annual Financing Costs'!B33,FALSE))</f>
        <v>#N/A</v>
      </c>
      <c r="D10" s="233" t="e">
        <f>ABS('LPP Annual Financing Costs'!#REF!)</f>
        <v>#REF!</v>
      </c>
      <c r="E10" s="234" t="e">
        <f>ABS('LPP Annual Financing Costs'!#REF!)</f>
        <v>#REF!</v>
      </c>
      <c r="F10" s="228">
        <v>2013</v>
      </c>
      <c r="G10" s="232" t="e">
        <f>ABS(HLOOKUP($I$3,'LPP Cumulative Financing Costs'!$C$9:$F$80,'LPP Cumulative Financing Costs'!B33,FALSE))</f>
        <v>#N/A</v>
      </c>
      <c r="H10" s="232" t="e">
        <f>ABS(HLOOKUP($I$3,'LPP Cumulative Financing Costs'!$G$9:$J$80,'LPP Annual Financing Costs'!B33,FALSE))</f>
        <v>#N/A</v>
      </c>
      <c r="I10" s="233" t="e">
        <f>ABS('LPP Cumulative Financing Costs'!#REF!)</f>
        <v>#REF!</v>
      </c>
      <c r="J10" s="234" t="e">
        <f>ABS('LPP Cumulative Financing Costs'!#REF!)</f>
        <v>#REF!</v>
      </c>
      <c r="K10" s="228">
        <v>2013</v>
      </c>
      <c r="L10" s="232" t="e">
        <f>ABS(HLOOKUP($I$3,'LPP Per Cap Annual Finan Costs'!$C$9:$F$80,'LPP Per Cap Annual Finan Costs'!B33,FALSE))</f>
        <v>#N/A</v>
      </c>
      <c r="M10" s="232" t="e">
        <f>ABS(HLOOKUP($I$3,'LPP Per Cap Annual Finan Costs'!$G$9:$J$80,'LPP Per Cap Annual Finan Costs'!B33,FALSE))</f>
        <v>#N/A</v>
      </c>
      <c r="N10" s="232" t="e">
        <f>ABS('LPP Per Cap Annual Finan Costs'!#REF!)</f>
        <v>#REF!</v>
      </c>
      <c r="O10" s="244" t="e">
        <f>ABS('LPP Per Cap Annual Finan Costs'!#REF!)</f>
        <v>#REF!</v>
      </c>
      <c r="P10" s="228">
        <v>2013</v>
      </c>
      <c r="Q10" s="229" t="e">
        <f>'Summary Baseline Data'!#REF!/'Summary Baseline Data'!$D32</f>
        <v>#REF!</v>
      </c>
      <c r="R10" s="229" t="e">
        <f>'Summary Baseline Data'!#REF!/'Summary Baseline Data'!$D32</f>
        <v>#REF!</v>
      </c>
      <c r="S10" s="229" t="e">
        <f>'Summary Baseline Data'!#REF!/'Summary Baseline Data'!$D32</f>
        <v>#REF!</v>
      </c>
      <c r="T10" s="230" t="e">
        <f>SUM(Q10:S10)</f>
        <v>#REF!</v>
      </c>
      <c r="U10" s="230" t="e">
        <f>SUM('Summary Baseline Data'!#REF!,'Summary Baseline Data'!#REF!,'Summary Baseline Data'!#REF!)</f>
        <v>#REF!</v>
      </c>
      <c r="W10" s="458">
        <f t="array" ref="W10:W57">TRANSPOSE('Summary Financial'!H9:BC9)</f>
        <v>8347291</v>
      </c>
      <c r="X10" s="232">
        <f t="array" ref="X10:X57">TRANSPOSE('Summary Financial'!H12:BC12)</f>
        <v>8366536.9970039995</v>
      </c>
      <c r="Y10" s="232">
        <f t="array" ref="Y10:Y57">TRANSPOSE('Summary Financial'!H13:BC13)</f>
        <v>0</v>
      </c>
      <c r="Z10" s="232">
        <f t="array" ref="Z10:Z57">TRANSPOSE('Dynamic Summary Financial'!H13:BC13)</f>
        <v>-1350000</v>
      </c>
      <c r="AA10" s="244">
        <f t="array" ref="AA10:AA57">TRANSPOSE('Summary Financial'!H15:BC15)</f>
        <v>0</v>
      </c>
      <c r="AB10" s="464">
        <f t="array" ref="AB10:AB57">TRANSPOSE('Summary Financial'!H19:BC19)</f>
        <v>2015</v>
      </c>
      <c r="AC10" s="350">
        <f t="array" ref="AC10:AC57">-1*TRANSPOSE('Summary Financial'!H22:BC22)</f>
        <v>9812530</v>
      </c>
      <c r="AD10" s="350">
        <f t="array" ref="AD10:AD57">-1*TRANSPOSE('Summary Financial'!H23:BC23)</f>
        <v>0</v>
      </c>
      <c r="AE10" s="350">
        <f t="array" ref="AE10:AE57">-1*TRANSPOSE('Summary Financial'!H43:BC43)</f>
        <v>-8601702.9970039986</v>
      </c>
      <c r="AF10" s="350">
        <f t="array" ref="AF10:AF57">-1*TRANSPOSE('Summary Financial'!H25:BC25)</f>
        <v>0</v>
      </c>
      <c r="AG10" s="350">
        <f t="array" ref="AG10:AG57">-1*TRANSPOSE('Summary Financial'!H26:BC26)</f>
        <v>0</v>
      </c>
      <c r="AH10" s="350">
        <f t="array" ref="AH10:AH57">-1*TRANSPOSE('Summary Financial'!H27:BC27)</f>
        <v>0</v>
      </c>
      <c r="AI10" s="350">
        <f t="array" ref="AI10:AI57">-1*TRANSPOSE('Summary Financial'!H28:BC28)</f>
        <v>-1150405</v>
      </c>
      <c r="AJ10" s="350">
        <f t="array" ref="AJ10:AJ57">-1*TRANSPOSE('Summary Financial'!H29:BC29)</f>
        <v>0</v>
      </c>
    </row>
    <row r="11" spans="1:36" x14ac:dyDescent="0.3">
      <c r="A11" s="228">
        <f>'LPP Annual Financing Costs'!A34</f>
        <v>2014</v>
      </c>
      <c r="B11" s="232" t="e">
        <f>ABS(HLOOKUP($D$3,'LPP Annual Financing Costs'!$C$9:$I$80,'LPP Annual Financing Costs'!B34,FALSE))</f>
        <v>#N/A</v>
      </c>
      <c r="C11" s="232" t="e">
        <f>ABS(HLOOKUP($D$3,'LPP Annual Financing Costs'!$K$9:$N$80,'LPP Annual Financing Costs'!B34,FALSE))</f>
        <v>#N/A</v>
      </c>
      <c r="D11" s="233" t="e">
        <f>ABS('LPP Annual Financing Costs'!#REF!)</f>
        <v>#REF!</v>
      </c>
      <c r="E11" s="234" t="e">
        <f>ABS('LPP Annual Financing Costs'!#REF!)</f>
        <v>#REF!</v>
      </c>
      <c r="F11" s="228">
        <f>'LPP Annual Financing Costs'!A34</f>
        <v>2014</v>
      </c>
      <c r="G11" s="232" t="e">
        <f>ABS(HLOOKUP($I$3,'LPP Cumulative Financing Costs'!$C$9:$F$80,'LPP Cumulative Financing Costs'!B34,FALSE))</f>
        <v>#N/A</v>
      </c>
      <c r="H11" s="232" t="e">
        <f>ABS(HLOOKUP($I$3,'LPP Cumulative Financing Costs'!$G$9:$J$80,'LPP Annual Financing Costs'!B34,FALSE))+H10</f>
        <v>#N/A</v>
      </c>
      <c r="I11" s="233" t="e">
        <f>ABS('LPP Cumulative Financing Costs'!#REF!)</f>
        <v>#REF!</v>
      </c>
      <c r="J11" s="234" t="e">
        <f>ABS('LPP Cumulative Financing Costs'!#REF!)</f>
        <v>#REF!</v>
      </c>
      <c r="K11" s="228">
        <v>2014</v>
      </c>
      <c r="L11" s="232" t="e">
        <f>ABS(HLOOKUP($I$3,'LPP Per Cap Annual Finan Costs'!$C$9:$F$80,'LPP Per Cap Annual Finan Costs'!B34,FALSE))</f>
        <v>#N/A</v>
      </c>
      <c r="M11" s="232" t="e">
        <f>ABS(HLOOKUP($I$3,'LPP Per Cap Annual Finan Costs'!$G$9:$J$80,'LPP Per Cap Annual Finan Costs'!B34,FALSE))</f>
        <v>#N/A</v>
      </c>
      <c r="N11" s="232" t="e">
        <f>ABS('LPP Per Cap Annual Finan Costs'!#REF!)</f>
        <v>#REF!</v>
      </c>
      <c r="O11" s="244" t="e">
        <f>ABS('LPP Per Cap Annual Finan Costs'!#REF!)</f>
        <v>#REF!</v>
      </c>
      <c r="P11" s="228">
        <v>2014</v>
      </c>
      <c r="Q11" s="229" t="e">
        <f>'Summary Baseline Data'!#REF!/'Summary Baseline Data'!$D33</f>
        <v>#REF!</v>
      </c>
      <c r="R11" s="229" t="e">
        <f>'Summary Baseline Data'!#REF!/'Summary Baseline Data'!$D33</f>
        <v>#REF!</v>
      </c>
      <c r="S11" s="229" t="e">
        <f>'Summary Baseline Data'!#REF!/'Summary Baseline Data'!$D33</f>
        <v>#REF!</v>
      </c>
      <c r="T11" s="230" t="e">
        <f t="shared" ref="T11:T57" si="0">SUM(Q11:S11)</f>
        <v>#REF!</v>
      </c>
      <c r="U11" s="244" t="e">
        <f>SUM('Summary Baseline Data'!#REF!,'Summary Baseline Data'!#REF!,'Summary Baseline Data'!#REF!)+U10</f>
        <v>#REF!</v>
      </c>
      <c r="W11" s="458">
        <v>8962536.436947247</v>
      </c>
      <c r="X11" s="232">
        <v>8533867.7369440813</v>
      </c>
      <c r="Y11" s="232">
        <v>4127558.2143707434</v>
      </c>
      <c r="Z11" s="232">
        <v>-1404000</v>
      </c>
      <c r="AA11" s="244">
        <v>0</v>
      </c>
      <c r="AB11" s="464">
        <v>2016</v>
      </c>
      <c r="AC11" s="350">
        <v>10484110.733290145</v>
      </c>
      <c r="AD11" s="350">
        <v>0</v>
      </c>
      <c r="AE11" s="350">
        <v>-12821611.294941965</v>
      </c>
      <c r="AF11" s="350">
        <v>0</v>
      </c>
      <c r="AG11" s="350">
        <v>0</v>
      </c>
      <c r="AH11" s="350">
        <v>0</v>
      </c>
      <c r="AI11" s="350">
        <v>-1150405</v>
      </c>
      <c r="AJ11" s="350">
        <v>0</v>
      </c>
    </row>
    <row r="12" spans="1:36" x14ac:dyDescent="0.3">
      <c r="A12" s="228">
        <f>'LPP Annual Financing Costs'!A35</f>
        <v>2015</v>
      </c>
      <c r="B12" s="232" t="e">
        <f>ABS(HLOOKUP($D$3,'LPP Annual Financing Costs'!$C$9:$I$80,'LPP Annual Financing Costs'!B35,FALSE))</f>
        <v>#N/A</v>
      </c>
      <c r="C12" s="232" t="e">
        <f>ABS(HLOOKUP($D$3,'LPP Annual Financing Costs'!$K$9:$N$80,'LPP Annual Financing Costs'!B35,FALSE))</f>
        <v>#N/A</v>
      </c>
      <c r="D12" s="233" t="e">
        <f>ABS('LPP Annual Financing Costs'!#REF!)</f>
        <v>#REF!</v>
      </c>
      <c r="E12" s="234" t="e">
        <f>ABS('LPP Annual Financing Costs'!#REF!)</f>
        <v>#REF!</v>
      </c>
      <c r="F12" s="228">
        <f>'LPP Annual Financing Costs'!A35</f>
        <v>2015</v>
      </c>
      <c r="G12" s="232" t="e">
        <f>ABS(HLOOKUP($I$3,'LPP Cumulative Financing Costs'!$C$9:$F$80,'LPP Cumulative Financing Costs'!B35,FALSE))</f>
        <v>#N/A</v>
      </c>
      <c r="H12" s="232" t="e">
        <f>ABS(HLOOKUP($I$3,'LPP Cumulative Financing Costs'!$G$9:$J$80,'LPP Annual Financing Costs'!B35,FALSE))+H11</f>
        <v>#N/A</v>
      </c>
      <c r="I12" s="233" t="e">
        <f>ABS('LPP Cumulative Financing Costs'!#REF!)</f>
        <v>#REF!</v>
      </c>
      <c r="J12" s="234" t="e">
        <f>ABS('LPP Cumulative Financing Costs'!#REF!)</f>
        <v>#REF!</v>
      </c>
      <c r="K12" s="228">
        <v>2015</v>
      </c>
      <c r="L12" s="232" t="e">
        <f>ABS(HLOOKUP($I$3,'LPP Per Cap Annual Finan Costs'!$C$9:$F$80,'LPP Per Cap Annual Finan Costs'!B35,FALSE))</f>
        <v>#N/A</v>
      </c>
      <c r="M12" s="232" t="e">
        <f>ABS(HLOOKUP($I$3,'LPP Per Cap Annual Finan Costs'!$G$9:$J$80,'LPP Per Cap Annual Finan Costs'!B35,FALSE))</f>
        <v>#N/A</v>
      </c>
      <c r="N12" s="232" t="e">
        <f>ABS('LPP Per Cap Annual Finan Costs'!#REF!)</f>
        <v>#REF!</v>
      </c>
      <c r="O12" s="244" t="e">
        <f>ABS('LPP Per Cap Annual Finan Costs'!#REF!)</f>
        <v>#REF!</v>
      </c>
      <c r="P12" s="228">
        <v>2015</v>
      </c>
      <c r="Q12" s="229" t="e">
        <f>'Summary Baseline Data'!#REF!/'Summary Baseline Data'!$D34</f>
        <v>#REF!</v>
      </c>
      <c r="R12" s="229" t="e">
        <f>'Summary Baseline Data'!#REF!/'Summary Baseline Data'!$D34</f>
        <v>#REF!</v>
      </c>
      <c r="S12" s="229" t="e">
        <f>'Summary Baseline Data'!#REF!/'Summary Baseline Data'!$D34</f>
        <v>#REF!</v>
      </c>
      <c r="T12" s="230" t="e">
        <f t="shared" si="0"/>
        <v>#REF!</v>
      </c>
      <c r="U12" s="244" t="e">
        <f>SUM('Summary Baseline Data'!#REF!,'Summary Baseline Data'!#REF!,'Summary Baseline Data'!#REF!)+U11</f>
        <v>#REF!</v>
      </c>
      <c r="W12" s="458">
        <v>9622570.64786065</v>
      </c>
      <c r="X12" s="232">
        <v>8704545.0916829631</v>
      </c>
      <c r="Y12" s="232">
        <v>4127558.2143707578</v>
      </c>
      <c r="Z12" s="232">
        <v>-1460160.0000000005</v>
      </c>
      <c r="AA12" s="244">
        <v>0</v>
      </c>
      <c r="AB12" s="464">
        <v>2017</v>
      </c>
      <c r="AC12" s="350">
        <v>11346339.02987626</v>
      </c>
      <c r="AD12" s="350">
        <v>0</v>
      </c>
      <c r="AE12" s="350">
        <v>-12627053.66987437</v>
      </c>
      <c r="AF12" s="350">
        <v>0</v>
      </c>
      <c r="AG12" s="350">
        <v>0</v>
      </c>
      <c r="AH12" s="350">
        <v>0</v>
      </c>
      <c r="AI12" s="350">
        <v>-1150405</v>
      </c>
      <c r="AJ12" s="350">
        <v>0</v>
      </c>
    </row>
    <row r="13" spans="1:36" x14ac:dyDescent="0.3">
      <c r="A13" s="228">
        <f>'LPP Annual Financing Costs'!A36</f>
        <v>2016</v>
      </c>
      <c r="B13" s="232" t="e">
        <f>ABS(HLOOKUP($D$3,'LPP Annual Financing Costs'!$C$9:$I$80,'LPP Annual Financing Costs'!B36,FALSE))</f>
        <v>#N/A</v>
      </c>
      <c r="C13" s="232" t="e">
        <f>ABS(HLOOKUP($D$3,'LPP Annual Financing Costs'!$K$9:$N$80,'LPP Annual Financing Costs'!B36,FALSE))</f>
        <v>#N/A</v>
      </c>
      <c r="D13" s="233" t="e">
        <f>ABS('LPP Annual Financing Costs'!#REF!)</f>
        <v>#REF!</v>
      </c>
      <c r="E13" s="234" t="e">
        <f>ABS('LPP Annual Financing Costs'!#REF!)</f>
        <v>#REF!</v>
      </c>
      <c r="F13" s="228">
        <f>'LPP Annual Financing Costs'!A36</f>
        <v>2016</v>
      </c>
      <c r="G13" s="232" t="e">
        <f>ABS(HLOOKUP($I$3,'LPP Cumulative Financing Costs'!$C$9:$F$80,'LPP Cumulative Financing Costs'!B36,FALSE))</f>
        <v>#N/A</v>
      </c>
      <c r="H13" s="232" t="e">
        <f>ABS(HLOOKUP($I$3,'LPP Cumulative Financing Costs'!$G$9:$J$80,'LPP Annual Financing Costs'!B36,FALSE))+H12</f>
        <v>#N/A</v>
      </c>
      <c r="I13" s="233" t="e">
        <f>ABS('LPP Cumulative Financing Costs'!#REF!)</f>
        <v>#REF!</v>
      </c>
      <c r="J13" s="234" t="e">
        <f>ABS('LPP Cumulative Financing Costs'!#REF!)</f>
        <v>#REF!</v>
      </c>
      <c r="K13" s="228">
        <v>2016</v>
      </c>
      <c r="L13" s="232" t="e">
        <f>ABS(HLOOKUP($I$3,'LPP Per Cap Annual Finan Costs'!$C$9:$F$80,'LPP Per Cap Annual Finan Costs'!B36,FALSE))</f>
        <v>#N/A</v>
      </c>
      <c r="M13" s="232" t="e">
        <f>ABS(HLOOKUP($I$3,'LPP Per Cap Annual Finan Costs'!$G$9:$J$80,'LPP Per Cap Annual Finan Costs'!B36,FALSE))</f>
        <v>#N/A</v>
      </c>
      <c r="N13" s="232" t="e">
        <f>ABS('LPP Per Cap Annual Finan Costs'!#REF!)</f>
        <v>#REF!</v>
      </c>
      <c r="O13" s="244" t="e">
        <f>ABS('LPP Per Cap Annual Finan Costs'!#REF!)</f>
        <v>#REF!</v>
      </c>
      <c r="P13" s="228">
        <v>2016</v>
      </c>
      <c r="Q13" s="229" t="e">
        <f>'Summary Baseline Data'!#REF!/'Summary Baseline Data'!$D35</f>
        <v>#REF!</v>
      </c>
      <c r="R13" s="229" t="e">
        <f>'Summary Baseline Data'!#REF!/'Summary Baseline Data'!$D35</f>
        <v>#REF!</v>
      </c>
      <c r="S13" s="229" t="e">
        <f>'Summary Baseline Data'!#REF!/'Summary Baseline Data'!$D35</f>
        <v>#REF!</v>
      </c>
      <c r="T13" s="230" t="e">
        <f t="shared" si="0"/>
        <v>#REF!</v>
      </c>
      <c r="U13" s="244" t="e">
        <f>SUM('Summary Baseline Data'!#REF!,'Summary Baseline Data'!#REF!,'Summary Baseline Data'!#REF!)+U12</f>
        <v>#REF!</v>
      </c>
      <c r="W13" s="458">
        <v>10330497.629288755</v>
      </c>
      <c r="X13" s="232">
        <v>8878635.9935166221</v>
      </c>
      <c r="Y13" s="232">
        <v>4127558.2143707578</v>
      </c>
      <c r="Z13" s="232">
        <v>-1518566.4000000004</v>
      </c>
      <c r="AA13" s="244">
        <v>0</v>
      </c>
      <c r="AB13" s="464">
        <v>2018</v>
      </c>
      <c r="AC13" s="350">
        <v>12258678.9110348</v>
      </c>
      <c r="AD13" s="350">
        <v>0</v>
      </c>
      <c r="AE13" s="350">
        <v>-14897341.039928051</v>
      </c>
      <c r="AF13" s="350">
        <v>0</v>
      </c>
      <c r="AG13" s="350">
        <v>0</v>
      </c>
      <c r="AH13" s="350">
        <v>0</v>
      </c>
      <c r="AI13" s="350">
        <v>-632722.75</v>
      </c>
      <c r="AJ13" s="350">
        <v>0</v>
      </c>
    </row>
    <row r="14" spans="1:36" x14ac:dyDescent="0.3">
      <c r="A14" s="228">
        <f>'LPP Annual Financing Costs'!A37</f>
        <v>2017</v>
      </c>
      <c r="B14" s="232" t="e">
        <f>ABS(HLOOKUP($D$3,'LPP Annual Financing Costs'!$C$9:$I$80,'LPP Annual Financing Costs'!B37,FALSE))</f>
        <v>#N/A</v>
      </c>
      <c r="C14" s="232" t="e">
        <f>ABS(HLOOKUP($D$3,'LPP Annual Financing Costs'!$K$9:$N$80,'LPP Annual Financing Costs'!B37,FALSE))</f>
        <v>#N/A</v>
      </c>
      <c r="D14" s="233" t="e">
        <f>ABS('LPP Annual Financing Costs'!#REF!)</f>
        <v>#REF!</v>
      </c>
      <c r="E14" s="234" t="e">
        <f>ABS('LPP Annual Financing Costs'!#REF!)</f>
        <v>#REF!</v>
      </c>
      <c r="F14" s="228">
        <f>'LPP Annual Financing Costs'!A37</f>
        <v>2017</v>
      </c>
      <c r="G14" s="232" t="e">
        <f>ABS(HLOOKUP($I$3,'LPP Cumulative Financing Costs'!$C$9:$F$80,'LPP Cumulative Financing Costs'!B37,FALSE))</f>
        <v>#N/A</v>
      </c>
      <c r="H14" s="232" t="e">
        <f>ABS(HLOOKUP($I$3,'LPP Cumulative Financing Costs'!$G$9:$J$80,'LPP Annual Financing Costs'!B37,FALSE))+H13</f>
        <v>#N/A</v>
      </c>
      <c r="I14" s="233" t="e">
        <f>ABS('LPP Cumulative Financing Costs'!#REF!)</f>
        <v>#REF!</v>
      </c>
      <c r="J14" s="234" t="e">
        <f>ABS('LPP Cumulative Financing Costs'!#REF!)</f>
        <v>#REF!</v>
      </c>
      <c r="K14" s="228">
        <v>2017</v>
      </c>
      <c r="L14" s="232" t="e">
        <f>ABS(HLOOKUP($I$3,'LPP Per Cap Annual Finan Costs'!$C$9:$F$80,'LPP Per Cap Annual Finan Costs'!B37,FALSE))</f>
        <v>#N/A</v>
      </c>
      <c r="M14" s="232" t="e">
        <f>ABS(HLOOKUP($I$3,'LPP Per Cap Annual Finan Costs'!$G$9:$J$80,'LPP Per Cap Annual Finan Costs'!B37,FALSE))</f>
        <v>#N/A</v>
      </c>
      <c r="N14" s="232" t="e">
        <f>ABS('LPP Per Cap Annual Finan Costs'!#REF!)</f>
        <v>#REF!</v>
      </c>
      <c r="O14" s="244" t="e">
        <f>ABS('LPP Per Cap Annual Finan Costs'!#REF!)</f>
        <v>#REF!</v>
      </c>
      <c r="P14" s="228">
        <v>2017</v>
      </c>
      <c r="Q14" s="229" t="e">
        <f>'Summary Baseline Data'!#REF!/'Summary Baseline Data'!$D36</f>
        <v>#REF!</v>
      </c>
      <c r="R14" s="229" t="e">
        <f>'Summary Baseline Data'!#REF!/'Summary Baseline Data'!$D36</f>
        <v>#REF!</v>
      </c>
      <c r="S14" s="229" t="e">
        <f>'Summary Baseline Data'!#REF!/'Summary Baseline Data'!$D36</f>
        <v>#REF!</v>
      </c>
      <c r="T14" s="230" t="e">
        <f t="shared" si="0"/>
        <v>#REF!</v>
      </c>
      <c r="U14" s="244" t="e">
        <f>SUM('Summary Baseline Data'!#REF!,'Summary Baseline Data'!#REF!,'Summary Baseline Data'!#REF!)+U13</f>
        <v>#REF!</v>
      </c>
      <c r="W14" s="458">
        <v>11089627.624875233</v>
      </c>
      <c r="X14" s="232">
        <v>9056208.7133869566</v>
      </c>
      <c r="Y14" s="232">
        <v>4127558.2143707578</v>
      </c>
      <c r="Z14" s="232">
        <v>-1579309.0560000003</v>
      </c>
      <c r="AA14" s="244">
        <v>0</v>
      </c>
      <c r="AB14" s="464">
        <v>2019</v>
      </c>
      <c r="AC14" s="350">
        <v>13223714.497145975</v>
      </c>
      <c r="AD14" s="350">
        <v>0</v>
      </c>
      <c r="AE14" s="350">
        <v>-14637882.611344889</v>
      </c>
      <c r="AF14" s="350">
        <v>0</v>
      </c>
      <c r="AG14" s="350">
        <v>0</v>
      </c>
      <c r="AH14" s="350">
        <v>0</v>
      </c>
      <c r="AI14" s="350">
        <v>-632722.75</v>
      </c>
      <c r="AJ14" s="350">
        <v>0</v>
      </c>
    </row>
    <row r="15" spans="1:36" x14ac:dyDescent="0.3">
      <c r="A15" s="228">
        <f>'LPP Annual Financing Costs'!A38</f>
        <v>2018</v>
      </c>
      <c r="B15" s="232" t="e">
        <f>ABS(HLOOKUP($D$3,'LPP Annual Financing Costs'!$C$9:$I$80,'LPP Annual Financing Costs'!B38,FALSE))</f>
        <v>#N/A</v>
      </c>
      <c r="C15" s="232" t="e">
        <f>ABS(HLOOKUP($D$3,'LPP Annual Financing Costs'!$K$9:$N$80,'LPP Annual Financing Costs'!B38,FALSE))</f>
        <v>#N/A</v>
      </c>
      <c r="D15" s="233" t="e">
        <f>ABS('LPP Annual Financing Costs'!#REF!)</f>
        <v>#REF!</v>
      </c>
      <c r="E15" s="234" t="e">
        <f>ABS('LPP Annual Financing Costs'!#REF!)</f>
        <v>#REF!</v>
      </c>
      <c r="F15" s="228">
        <f>'LPP Annual Financing Costs'!A38</f>
        <v>2018</v>
      </c>
      <c r="G15" s="232" t="e">
        <f>ABS(HLOOKUP($I$3,'LPP Cumulative Financing Costs'!$C$9:$F$80,'LPP Cumulative Financing Costs'!B38,FALSE))</f>
        <v>#N/A</v>
      </c>
      <c r="H15" s="232" t="e">
        <f>ABS(HLOOKUP($I$3,'LPP Cumulative Financing Costs'!$G$9:$J$80,'LPP Annual Financing Costs'!B38,FALSE))+H14</f>
        <v>#N/A</v>
      </c>
      <c r="I15" s="233" t="e">
        <f>ABS('LPP Cumulative Financing Costs'!#REF!)</f>
        <v>#REF!</v>
      </c>
      <c r="J15" s="234" t="e">
        <f>ABS('LPP Cumulative Financing Costs'!#REF!)</f>
        <v>#REF!</v>
      </c>
      <c r="K15" s="228">
        <v>2018</v>
      </c>
      <c r="L15" s="232" t="e">
        <f>ABS(HLOOKUP($I$3,'LPP Per Cap Annual Finan Costs'!$C$9:$F$80,'LPP Per Cap Annual Finan Costs'!B38,FALSE))</f>
        <v>#N/A</v>
      </c>
      <c r="M15" s="232" t="e">
        <f>ABS(HLOOKUP($I$3,'LPP Per Cap Annual Finan Costs'!$G$9:$J$80,'LPP Per Cap Annual Finan Costs'!B38,FALSE))</f>
        <v>#N/A</v>
      </c>
      <c r="N15" s="232" t="e">
        <f>ABS('LPP Per Cap Annual Finan Costs'!#REF!)</f>
        <v>#REF!</v>
      </c>
      <c r="O15" s="244" t="e">
        <f>ABS('LPP Per Cap Annual Finan Costs'!#REF!)</f>
        <v>#REF!</v>
      </c>
      <c r="P15" s="228">
        <v>2018</v>
      </c>
      <c r="Q15" s="229" t="e">
        <f>'Summary Baseline Data'!#REF!/'Summary Baseline Data'!$D37</f>
        <v>#REF!</v>
      </c>
      <c r="R15" s="229" t="e">
        <f>'Summary Baseline Data'!#REF!/'Summary Baseline Data'!$D37</f>
        <v>#REF!</v>
      </c>
      <c r="S15" s="229" t="e">
        <f>'Summary Baseline Data'!#REF!/'Summary Baseline Data'!$D37</f>
        <v>#REF!</v>
      </c>
      <c r="T15" s="230" t="e">
        <f t="shared" si="0"/>
        <v>#REF!</v>
      </c>
      <c r="U15" s="244" t="e">
        <f>SUM('Summary Baseline Data'!#REF!,'Summary Baseline Data'!#REF!,'Summary Baseline Data'!#REF!)+U14</f>
        <v>#REF!</v>
      </c>
      <c r="W15" s="458">
        <v>11903490.501649976</v>
      </c>
      <c r="X15" s="232">
        <v>9237332.8876546938</v>
      </c>
      <c r="Y15" s="232">
        <v>4127558.2143707434</v>
      </c>
      <c r="Z15" s="232">
        <v>-547493.80608000024</v>
      </c>
      <c r="AA15" s="244">
        <v>0</v>
      </c>
      <c r="AB15" s="464">
        <v>2020</v>
      </c>
      <c r="AC15" s="350">
        <v>14244153.357335243</v>
      </c>
      <c r="AD15" s="350">
        <v>0</v>
      </c>
      <c r="AE15" s="350">
        <v>-13723509.196795467</v>
      </c>
      <c r="AF15" s="350">
        <v>0</v>
      </c>
      <c r="AG15" s="350">
        <v>0</v>
      </c>
      <c r="AH15" s="350">
        <v>0</v>
      </c>
      <c r="AI15" s="350">
        <v>-632722.75</v>
      </c>
      <c r="AJ15" s="350">
        <v>0</v>
      </c>
    </row>
    <row r="16" spans="1:36" x14ac:dyDescent="0.3">
      <c r="A16" s="228">
        <f>'LPP Annual Financing Costs'!A39</f>
        <v>2019</v>
      </c>
      <c r="B16" s="232" t="e">
        <f>ABS(HLOOKUP($D$3,'LPP Annual Financing Costs'!$C$9:$I$80,'LPP Annual Financing Costs'!B39,FALSE))</f>
        <v>#N/A</v>
      </c>
      <c r="C16" s="232" t="e">
        <f>H16</f>
        <v>#N/A</v>
      </c>
      <c r="D16" s="233" t="e">
        <f>ABS('LPP Annual Financing Costs'!#REF!)</f>
        <v>#REF!</v>
      </c>
      <c r="E16" s="234" t="e">
        <f>ABS('LPP Annual Financing Costs'!#REF!)</f>
        <v>#REF!</v>
      </c>
      <c r="F16" s="228">
        <f>'LPP Annual Financing Costs'!A39</f>
        <v>2019</v>
      </c>
      <c r="G16" s="232" t="e">
        <f>ABS(HLOOKUP($I$3,'LPP Cumulative Financing Costs'!$C$9:$F$80,'LPP Cumulative Financing Costs'!B39,FALSE))</f>
        <v>#N/A</v>
      </c>
      <c r="H16" s="232" t="e">
        <f>ABS(HLOOKUP($I$3,'LPP Cumulative Financing Costs'!$G$9:$J$80,'LPP Annual Financing Costs'!B39,FALSE))+H15</f>
        <v>#N/A</v>
      </c>
      <c r="I16" s="233" t="e">
        <f>ABS('LPP Cumulative Financing Costs'!#REF!)</f>
        <v>#REF!</v>
      </c>
      <c r="J16" s="234" t="e">
        <f>ABS('LPP Cumulative Financing Costs'!#REF!)</f>
        <v>#REF!</v>
      </c>
      <c r="K16" s="228">
        <v>2019</v>
      </c>
      <c r="L16" s="232" t="e">
        <f>ABS(HLOOKUP($I$3,'LPP Per Cap Annual Finan Costs'!$C$9:$F$80,'LPP Per Cap Annual Finan Costs'!B39,FALSE))</f>
        <v>#N/A</v>
      </c>
      <c r="M16" s="232" t="e">
        <f>ABS(HLOOKUP($I$3,'LPP Per Cap Annual Finan Costs'!$G$9:$J$80,'LPP Per Cap Annual Finan Costs'!B39,FALSE))</f>
        <v>#N/A</v>
      </c>
      <c r="N16" s="232" t="e">
        <f>ABS('LPP Per Cap Annual Finan Costs'!#REF!)</f>
        <v>#REF!</v>
      </c>
      <c r="O16" s="244" t="e">
        <f>ABS('LPP Per Cap Annual Finan Costs'!#REF!)</f>
        <v>#REF!</v>
      </c>
      <c r="P16" s="228">
        <v>2019</v>
      </c>
      <c r="Q16" s="229" t="e">
        <f>'Summary Baseline Data'!#REF!/'Summary Baseline Data'!$D38</f>
        <v>#REF!</v>
      </c>
      <c r="R16" s="229" t="e">
        <f>'Summary Baseline Data'!#REF!/'Summary Baseline Data'!$D38</f>
        <v>#REF!</v>
      </c>
      <c r="S16" s="229" t="e">
        <f>'Summary Baseline Data'!#REF!/'Summary Baseline Data'!$D38</f>
        <v>#REF!</v>
      </c>
      <c r="T16" s="230" t="e">
        <f t="shared" si="0"/>
        <v>#REF!</v>
      </c>
      <c r="U16" s="244" t="e">
        <f>SUM('Summary Baseline Data'!#REF!,'Summary Baseline Data'!#REF!,'Summary Baseline Data'!#REF!)+U15</f>
        <v>#REF!</v>
      </c>
      <c r="W16" s="458">
        <v>12775849.965299264</v>
      </c>
      <c r="X16" s="232">
        <v>9422079.5454077888</v>
      </c>
      <c r="Y16" s="232">
        <v>4127558.2143707434</v>
      </c>
      <c r="Z16" s="232">
        <v>-569393.55832320021</v>
      </c>
      <c r="AA16" s="244">
        <v>0</v>
      </c>
      <c r="AB16" s="464">
        <v>2021</v>
      </c>
      <c r="AC16" s="350">
        <v>15322832.290047413</v>
      </c>
      <c r="AD16" s="350">
        <v>0</v>
      </c>
      <c r="AE16" s="350">
        <v>-12845590.885343123</v>
      </c>
      <c r="AF16" s="350">
        <v>0</v>
      </c>
      <c r="AG16" s="350">
        <v>0</v>
      </c>
      <c r="AH16" s="350">
        <v>0</v>
      </c>
      <c r="AI16" s="350">
        <v>-632722.75</v>
      </c>
      <c r="AJ16" s="350">
        <v>0</v>
      </c>
    </row>
    <row r="17" spans="1:36" x14ac:dyDescent="0.3">
      <c r="A17" s="228">
        <f>'LPP Annual Financing Costs'!A40</f>
        <v>2020</v>
      </c>
      <c r="B17" s="232" t="e">
        <f>ABS(HLOOKUP($D$3,'LPP Annual Financing Costs'!$C$9:$I$80,'LPP Annual Financing Costs'!B40,FALSE))</f>
        <v>#N/A</v>
      </c>
      <c r="C17" s="232" t="e">
        <f>ABS(HLOOKUP($D$3,'LPP Annual Financing Costs'!$K$9:$N$80,'LPP Annual Financing Costs'!B40,FALSE))</f>
        <v>#N/A</v>
      </c>
      <c r="D17" s="233" t="e">
        <f>ABS('LPP Annual Financing Costs'!#REF!)</f>
        <v>#REF!</v>
      </c>
      <c r="E17" s="234" t="e">
        <f>ABS('LPP Annual Financing Costs'!#REF!)</f>
        <v>#REF!</v>
      </c>
      <c r="F17" s="228">
        <f>'LPP Annual Financing Costs'!A40</f>
        <v>2020</v>
      </c>
      <c r="G17" s="232" t="e">
        <f>ABS(HLOOKUP($I$3,'LPP Cumulative Financing Costs'!$C$9:$F$80,'LPP Cumulative Financing Costs'!B40,FALSE))</f>
        <v>#N/A</v>
      </c>
      <c r="H17" s="232" t="e">
        <f>ABS(HLOOKUP($I$3,'LPP Cumulative Financing Costs'!$G$9:$J$80,'LPP Annual Financing Costs'!B40,FALSE))</f>
        <v>#N/A</v>
      </c>
      <c r="I17" s="233" t="e">
        <f>ABS('LPP Cumulative Financing Costs'!#REF!)</f>
        <v>#REF!</v>
      </c>
      <c r="J17" s="234" t="e">
        <f>ABS('LPP Cumulative Financing Costs'!#REF!)</f>
        <v>#REF!</v>
      </c>
      <c r="K17" s="228">
        <v>2020</v>
      </c>
      <c r="L17" s="232" t="e">
        <f>ABS(HLOOKUP($I$3,'LPP Per Cap Annual Finan Costs'!$C$9:$F$80,'LPP Per Cap Annual Finan Costs'!B40,FALSE))</f>
        <v>#N/A</v>
      </c>
      <c r="M17" s="232" t="e">
        <f>ABS(HLOOKUP($I$3,'LPP Per Cap Annual Finan Costs'!$G$9:$J$80,'LPP Per Cap Annual Finan Costs'!B40,FALSE))</f>
        <v>#N/A</v>
      </c>
      <c r="N17" s="232" t="e">
        <f>ABS('LPP Per Cap Annual Finan Costs'!#REF!)</f>
        <v>#REF!</v>
      </c>
      <c r="O17" s="244" t="e">
        <f>ABS('LPP Per Cap Annual Finan Costs'!#REF!)</f>
        <v>#REF!</v>
      </c>
      <c r="P17" s="228">
        <v>2020</v>
      </c>
      <c r="Q17" s="229" t="e">
        <f>'Summary Baseline Data'!#REF!/'Summary Baseline Data'!$D40</f>
        <v>#REF!</v>
      </c>
      <c r="R17" s="229" t="e">
        <f>'Summary Baseline Data'!#REF!/'Summary Baseline Data'!$D40</f>
        <v>#REF!</v>
      </c>
      <c r="S17" s="229" t="e">
        <f>'Summary Baseline Data'!#REF!/'Summary Baseline Data'!$D40</f>
        <v>#REF!</v>
      </c>
      <c r="T17" s="230" t="e">
        <f t="shared" si="0"/>
        <v>#REF!</v>
      </c>
      <c r="U17" s="244" t="e">
        <f>SUM('Summary Baseline Data'!#REF!,'Summary Baseline Data'!#REF!,'Summary Baseline Data'!#REF!)+U16</f>
        <v>#REF!</v>
      </c>
      <c r="W17" s="458">
        <v>13710718.667757118</v>
      </c>
      <c r="X17" s="232">
        <v>9610521.1363159437</v>
      </c>
      <c r="Y17" s="232">
        <v>4127558.2143707289</v>
      </c>
      <c r="Z17" s="232">
        <v>-592169.30065612809</v>
      </c>
      <c r="AA17" s="244">
        <v>0</v>
      </c>
      <c r="AB17" s="464">
        <v>2022</v>
      </c>
      <c r="AC17" s="350">
        <v>16462723.349200491</v>
      </c>
      <c r="AD17" s="350">
        <v>0</v>
      </c>
      <c r="AE17" s="350">
        <v>-12668329.304835545</v>
      </c>
      <c r="AF17" s="350">
        <v>0</v>
      </c>
      <c r="AG17" s="350">
        <v>0</v>
      </c>
      <c r="AH17" s="350">
        <v>0</v>
      </c>
      <c r="AI17" s="350">
        <v>-632722.75</v>
      </c>
      <c r="AJ17" s="350">
        <v>0</v>
      </c>
    </row>
    <row r="18" spans="1:36" x14ac:dyDescent="0.3">
      <c r="A18" s="228">
        <f>'LPP Annual Financing Costs'!A41</f>
        <v>2021</v>
      </c>
      <c r="B18" s="232" t="e">
        <f>ABS(HLOOKUP($D$3,'LPP Annual Financing Costs'!$C$9:$I$80,'LPP Annual Financing Costs'!B41,FALSE))</f>
        <v>#N/A</v>
      </c>
      <c r="C18" s="232" t="e">
        <f>ABS(HLOOKUP($D$3,'LPP Annual Financing Costs'!$K$9:$N$80,'LPP Annual Financing Costs'!B41,FALSE))</f>
        <v>#N/A</v>
      </c>
      <c r="D18" s="233" t="e">
        <f>ABS('LPP Annual Financing Costs'!#REF!)</f>
        <v>#REF!</v>
      </c>
      <c r="E18" s="234" t="e">
        <f>ABS('LPP Annual Financing Costs'!#REF!)</f>
        <v>#REF!</v>
      </c>
      <c r="F18" s="228">
        <f>'LPP Annual Financing Costs'!A41</f>
        <v>2021</v>
      </c>
      <c r="G18" s="232" t="e">
        <f>ABS(HLOOKUP($I$3,'LPP Cumulative Financing Costs'!$C$9:$F$80,'LPP Cumulative Financing Costs'!B41,FALSE))</f>
        <v>#N/A</v>
      </c>
      <c r="H18" s="232" t="e">
        <f>ABS(HLOOKUP($I$3,'LPP Cumulative Financing Costs'!$G$9:$J$80,'LPP Annual Financing Costs'!B41,FALSE))</f>
        <v>#N/A</v>
      </c>
      <c r="I18" s="233" t="e">
        <f>ABS('LPP Cumulative Financing Costs'!#REF!)</f>
        <v>#REF!</v>
      </c>
      <c r="J18" s="234" t="e">
        <f>ABS('LPP Cumulative Financing Costs'!#REF!)</f>
        <v>#REF!</v>
      </c>
      <c r="K18" s="228">
        <v>2021</v>
      </c>
      <c r="L18" s="232" t="e">
        <f>ABS(HLOOKUP($I$3,'LPP Per Cap Annual Finan Costs'!$C$9:$F$80,'LPP Per Cap Annual Finan Costs'!B41,FALSE))</f>
        <v>#N/A</v>
      </c>
      <c r="M18" s="232" t="e">
        <f>ABS(HLOOKUP($I$3,'LPP Per Cap Annual Finan Costs'!$G$9:$J$80,'LPP Per Cap Annual Finan Costs'!B41,FALSE))</f>
        <v>#N/A</v>
      </c>
      <c r="N18" s="232" t="e">
        <f>ABS('LPP Per Cap Annual Finan Costs'!#REF!)</f>
        <v>#REF!</v>
      </c>
      <c r="O18" s="244" t="e">
        <f>ABS('LPP Per Cap Annual Finan Costs'!#REF!)</f>
        <v>#REF!</v>
      </c>
      <c r="P18" s="228">
        <v>2021</v>
      </c>
      <c r="Q18" s="229" t="e">
        <f>'Summary Baseline Data'!#REF!/'Summary Baseline Data'!#REF!</f>
        <v>#REF!</v>
      </c>
      <c r="R18" s="229" t="e">
        <f>'Summary Baseline Data'!#REF!/'Summary Baseline Data'!#REF!</f>
        <v>#REF!</v>
      </c>
      <c r="S18" s="229" t="e">
        <f>'Summary Baseline Data'!#REF!/'Summary Baseline Data'!#REF!</f>
        <v>#REF!</v>
      </c>
      <c r="T18" s="230" t="e">
        <f t="shared" si="0"/>
        <v>#REF!</v>
      </c>
      <c r="U18" s="244" t="e">
        <f>SUM('Summary Baseline Data'!#REF!,'Summary Baseline Data'!#REF!,'Summary Baseline Data'!#REF!)+U17</f>
        <v>#REF!</v>
      </c>
      <c r="W18" s="458">
        <v>14788469.075234367</v>
      </c>
      <c r="X18" s="232">
        <v>9802731.5590422619</v>
      </c>
      <c r="Y18" s="232">
        <v>5073363.2653061217</v>
      </c>
      <c r="Z18" s="232">
        <v>-615856.07268237346</v>
      </c>
      <c r="AA18" s="244">
        <v>0</v>
      </c>
      <c r="AB18" s="464">
        <v>2023</v>
      </c>
      <c r="AC18" s="350">
        <v>17666940.129095744</v>
      </c>
      <c r="AD18" s="350">
        <v>0</v>
      </c>
      <c r="AE18" s="350">
        <v>-13383971.470782029</v>
      </c>
      <c r="AF18" s="350">
        <v>0</v>
      </c>
      <c r="AG18" s="350">
        <v>0</v>
      </c>
      <c r="AH18" s="350">
        <v>0</v>
      </c>
      <c r="AI18" s="350">
        <v>-632722.75</v>
      </c>
      <c r="AJ18" s="350">
        <v>0</v>
      </c>
    </row>
    <row r="19" spans="1:36" x14ac:dyDescent="0.3">
      <c r="A19" s="228">
        <f>'LPP Annual Financing Costs'!A42</f>
        <v>2022</v>
      </c>
      <c r="B19" s="232" t="e">
        <f>ABS(HLOOKUP($D$3,'LPP Annual Financing Costs'!$C$9:$I$80,'LPP Annual Financing Costs'!B42,FALSE))</f>
        <v>#N/A</v>
      </c>
      <c r="C19" s="232" t="e">
        <f>ABS(HLOOKUP($D$3,'LPP Annual Financing Costs'!$K$9:$N$80,'LPP Annual Financing Costs'!B42,FALSE))</f>
        <v>#N/A</v>
      </c>
      <c r="D19" s="233" t="e">
        <f>ABS('LPP Annual Financing Costs'!#REF!)</f>
        <v>#REF!</v>
      </c>
      <c r="E19" s="234" t="e">
        <f>ABS('LPP Annual Financing Costs'!#REF!)</f>
        <v>#REF!</v>
      </c>
      <c r="F19" s="228">
        <f>'LPP Annual Financing Costs'!A42</f>
        <v>2022</v>
      </c>
      <c r="G19" s="232" t="e">
        <f>ABS(HLOOKUP($I$3,'LPP Cumulative Financing Costs'!$C$9:$F$80,'LPP Cumulative Financing Costs'!B42,FALSE))</f>
        <v>#N/A</v>
      </c>
      <c r="H19" s="232" t="e">
        <f>ABS(HLOOKUP($I$3,'LPP Cumulative Financing Costs'!$G$9:$J$80,'LPP Annual Financing Costs'!B42,FALSE))</f>
        <v>#N/A</v>
      </c>
      <c r="I19" s="233" t="e">
        <f>ABS('LPP Cumulative Financing Costs'!#REF!)</f>
        <v>#REF!</v>
      </c>
      <c r="J19" s="234" t="e">
        <f>ABS('LPP Cumulative Financing Costs'!#REF!)</f>
        <v>#REF!</v>
      </c>
      <c r="K19" s="228">
        <v>2022</v>
      </c>
      <c r="L19" s="232" t="e">
        <f>ABS(HLOOKUP($I$3,'LPP Per Cap Annual Finan Costs'!$C$9:$F$80,'LPP Per Cap Annual Finan Costs'!B42,FALSE))</f>
        <v>#N/A</v>
      </c>
      <c r="M19" s="232" t="e">
        <f>ABS(HLOOKUP($I$3,'LPP Per Cap Annual Finan Costs'!$G$9:$J$80,'LPP Per Cap Annual Finan Costs'!B42,FALSE))</f>
        <v>#N/A</v>
      </c>
      <c r="N19" s="232" t="e">
        <f>ABS('LPP Per Cap Annual Finan Costs'!#REF!)</f>
        <v>#REF!</v>
      </c>
      <c r="O19" s="244" t="e">
        <f>ABS('LPP Per Cap Annual Finan Costs'!#REF!)</f>
        <v>#REF!</v>
      </c>
      <c r="P19" s="228">
        <v>2022</v>
      </c>
      <c r="Q19" s="229" t="e">
        <f>'Summary Baseline Data'!#REF!/'Summary Baseline Data'!$D41</f>
        <v>#REF!</v>
      </c>
      <c r="R19" s="229" t="e">
        <f>'Summary Baseline Data'!#REF!/'Summary Baseline Data'!$D41</f>
        <v>#REF!</v>
      </c>
      <c r="S19" s="229" t="e">
        <f>'Summary Baseline Data'!#REF!/'Summary Baseline Data'!$D41</f>
        <v>#REF!</v>
      </c>
      <c r="T19" s="230" t="e">
        <f t="shared" si="0"/>
        <v>#REF!</v>
      </c>
      <c r="U19" s="244" t="e">
        <f>SUM('Summary Baseline Data'!#REF!,'Summary Baseline Data'!#REF!,'Summary Baseline Data'!#REF!)+U18</f>
        <v>#REF!</v>
      </c>
      <c r="W19" s="458">
        <v>15945641.988648891</v>
      </c>
      <c r="X19" s="232">
        <v>9998786.1902231071</v>
      </c>
      <c r="Y19" s="232">
        <v>5073363.2653061505</v>
      </c>
      <c r="Z19" s="232">
        <v>-640490.31558966835</v>
      </c>
      <c r="AA19" s="244">
        <v>0</v>
      </c>
      <c r="AB19" s="464">
        <v>2024</v>
      </c>
      <c r="AC19" s="350">
        <v>19068774.420948137</v>
      </c>
      <c r="AD19" s="350">
        <v>0</v>
      </c>
      <c r="AE19" s="350">
        <v>-13042678.859757455</v>
      </c>
      <c r="AF19" s="350">
        <v>0</v>
      </c>
      <c r="AG19" s="350">
        <v>0</v>
      </c>
      <c r="AH19" s="350">
        <v>0</v>
      </c>
      <c r="AI19" s="350">
        <v>-632722.75</v>
      </c>
      <c r="AJ19" s="350">
        <v>0</v>
      </c>
    </row>
    <row r="20" spans="1:36" x14ac:dyDescent="0.3">
      <c r="A20" s="228">
        <f>'LPP Annual Financing Costs'!A43</f>
        <v>2023</v>
      </c>
      <c r="B20" s="232" t="e">
        <f>ABS(HLOOKUP($D$3,'LPP Annual Financing Costs'!$C$9:$I$80,'LPP Annual Financing Costs'!B43,FALSE))</f>
        <v>#N/A</v>
      </c>
      <c r="C20" s="232" t="e">
        <f>ABS(HLOOKUP($D$3,'LPP Annual Financing Costs'!$K$9:$N$80,'LPP Annual Financing Costs'!B43,FALSE))</f>
        <v>#N/A</v>
      </c>
      <c r="D20" s="233" t="e">
        <f>ABS('LPP Annual Financing Costs'!#REF!)</f>
        <v>#REF!</v>
      </c>
      <c r="E20" s="234" t="e">
        <f>ABS('LPP Annual Financing Costs'!#REF!)</f>
        <v>#REF!</v>
      </c>
      <c r="F20" s="228">
        <f>'LPP Annual Financing Costs'!A43</f>
        <v>2023</v>
      </c>
      <c r="G20" s="232" t="e">
        <f>ABS(HLOOKUP($I$3,'LPP Cumulative Financing Costs'!$C$9:$F$80,'LPP Cumulative Financing Costs'!B43,FALSE))</f>
        <v>#N/A</v>
      </c>
      <c r="H20" s="232" t="e">
        <f>ABS(HLOOKUP($I$3,'LPP Cumulative Financing Costs'!$G$9:$J$80,'LPP Annual Financing Costs'!B43,FALSE))</f>
        <v>#N/A</v>
      </c>
      <c r="I20" s="233" t="e">
        <f>ABS('LPP Cumulative Financing Costs'!#REF!)</f>
        <v>#REF!</v>
      </c>
      <c r="J20" s="234" t="e">
        <f>ABS('LPP Cumulative Financing Costs'!#REF!)</f>
        <v>#REF!</v>
      </c>
      <c r="K20" s="228">
        <v>2023</v>
      </c>
      <c r="L20" s="232" t="e">
        <f>ABS(HLOOKUP($I$3,'LPP Per Cap Annual Finan Costs'!$C$9:$F$80,'LPP Per Cap Annual Finan Costs'!B43,FALSE))</f>
        <v>#N/A</v>
      </c>
      <c r="M20" s="232" t="e">
        <f>ABS(HLOOKUP($I$3,'LPP Per Cap Annual Finan Costs'!$G$9:$J$80,'LPP Per Cap Annual Finan Costs'!B43,FALSE))</f>
        <v>#N/A</v>
      </c>
      <c r="N20" s="232" t="e">
        <f>ABS('LPP Per Cap Annual Finan Costs'!#REF!)</f>
        <v>#REF!</v>
      </c>
      <c r="O20" s="244" t="e">
        <f>ABS('LPP Per Cap Annual Finan Costs'!#REF!)</f>
        <v>#REF!</v>
      </c>
      <c r="P20" s="228">
        <v>2023</v>
      </c>
      <c r="Q20" s="229" t="e">
        <f>'Summary Baseline Data'!#REF!/'Summary Baseline Data'!$D42</f>
        <v>#REF!</v>
      </c>
      <c r="R20" s="229" t="e">
        <f>'Summary Baseline Data'!#REF!/'Summary Baseline Data'!$D42</f>
        <v>#REF!</v>
      </c>
      <c r="S20" s="229" t="e">
        <f>'Summary Baseline Data'!#REF!/'Summary Baseline Data'!$D42</f>
        <v>#REF!</v>
      </c>
      <c r="T20" s="230" t="e">
        <f t="shared" si="0"/>
        <v>#REF!</v>
      </c>
      <c r="U20" s="244" t="e">
        <f>SUM('Summary Baseline Data'!#REF!,'Summary Baseline Data'!#REF!,'Summary Baseline Data'!#REF!)+U19</f>
        <v>#REF!</v>
      </c>
      <c r="W20" s="458">
        <v>17187756.008028481</v>
      </c>
      <c r="X20" s="232">
        <v>10198761.91402757</v>
      </c>
      <c r="Y20" s="232">
        <v>5073363.2653061217</v>
      </c>
      <c r="Z20" s="232">
        <v>-400000</v>
      </c>
      <c r="AA20" s="244">
        <v>0</v>
      </c>
      <c r="AB20" s="464">
        <v>2025</v>
      </c>
      <c r="AC20" s="350">
        <v>20551272.761244312</v>
      </c>
      <c r="AD20" s="350">
        <v>0</v>
      </c>
      <c r="AE20" s="350">
        <v>-12926536.775493376</v>
      </c>
      <c r="AF20" s="350">
        <v>0</v>
      </c>
      <c r="AG20" s="350">
        <v>0</v>
      </c>
      <c r="AH20" s="350">
        <v>0</v>
      </c>
      <c r="AI20" s="350">
        <v>0</v>
      </c>
      <c r="AJ20" s="350">
        <v>0</v>
      </c>
    </row>
    <row r="21" spans="1:36" x14ac:dyDescent="0.3">
      <c r="A21" s="228">
        <f>'LPP Annual Financing Costs'!A44</f>
        <v>2024</v>
      </c>
      <c r="B21" s="232" t="e">
        <f>ABS(HLOOKUP($D$3,'LPP Annual Financing Costs'!$C$9:$I$80,'LPP Annual Financing Costs'!B44,FALSE))</f>
        <v>#N/A</v>
      </c>
      <c r="C21" s="232" t="e">
        <f>ABS(HLOOKUP($D$3,'LPP Annual Financing Costs'!$K$9:$N$80,'LPP Annual Financing Costs'!B44,FALSE))</f>
        <v>#N/A</v>
      </c>
      <c r="D21" s="233" t="e">
        <f>ABS('LPP Annual Financing Costs'!#REF!)</f>
        <v>#REF!</v>
      </c>
      <c r="E21" s="234" t="e">
        <f>ABS('LPP Annual Financing Costs'!#REF!)</f>
        <v>#REF!</v>
      </c>
      <c r="F21" s="228">
        <f>'LPP Annual Financing Costs'!A44</f>
        <v>2024</v>
      </c>
      <c r="G21" s="232" t="e">
        <f>ABS(HLOOKUP($I$3,'LPP Cumulative Financing Costs'!$C$9:$F$80,'LPP Cumulative Financing Costs'!B44,FALSE))</f>
        <v>#N/A</v>
      </c>
      <c r="H21" s="232" t="e">
        <f>ABS(HLOOKUP($I$3,'LPP Cumulative Financing Costs'!$G$9:$J$80,'LPP Annual Financing Costs'!B44,FALSE))</f>
        <v>#N/A</v>
      </c>
      <c r="I21" s="233" t="e">
        <f>ABS('LPP Cumulative Financing Costs'!#REF!)</f>
        <v>#REF!</v>
      </c>
      <c r="J21" s="234" t="e">
        <f>ABS('LPP Cumulative Financing Costs'!#REF!)</f>
        <v>#REF!</v>
      </c>
      <c r="K21" s="228">
        <v>2024</v>
      </c>
      <c r="L21" s="232" t="e">
        <f>ABS(HLOOKUP($I$3,'LPP Per Cap Annual Finan Costs'!$C$9:$F$80,'LPP Per Cap Annual Finan Costs'!B44,FALSE))</f>
        <v>#N/A</v>
      </c>
      <c r="M21" s="232" t="e">
        <f>ABS(HLOOKUP($I$3,'LPP Per Cap Annual Finan Costs'!$G$9:$J$80,'LPP Per Cap Annual Finan Costs'!B44,FALSE))</f>
        <v>#N/A</v>
      </c>
      <c r="N21" s="232" t="e">
        <f>ABS('LPP Per Cap Annual Finan Costs'!#REF!)</f>
        <v>#REF!</v>
      </c>
      <c r="O21" s="244" t="e">
        <f>ABS('LPP Per Cap Annual Finan Costs'!#REF!)</f>
        <v>#REF!</v>
      </c>
      <c r="P21" s="228">
        <v>2024</v>
      </c>
      <c r="Q21" s="229" t="e">
        <f>'Summary Baseline Data'!#REF!/'Summary Baseline Data'!$D43</f>
        <v>#REF!</v>
      </c>
      <c r="R21" s="229" t="e">
        <f>'Summary Baseline Data'!#REF!/'Summary Baseline Data'!$D43</f>
        <v>#REF!</v>
      </c>
      <c r="S21" s="229" t="e">
        <f>'Summary Baseline Data'!#REF!/'Summary Baseline Data'!$D43</f>
        <v>#REF!</v>
      </c>
      <c r="T21" s="230" t="e">
        <f t="shared" si="0"/>
        <v>#REF!</v>
      </c>
      <c r="U21" s="244" t="e">
        <f>SUM('Summary Baseline Data'!#REF!,'Summary Baseline Data'!#REF!,'Summary Baseline Data'!#REF!)+U20</f>
        <v>#REF!</v>
      </c>
      <c r="W21" s="458">
        <v>18520696.589062992</v>
      </c>
      <c r="X21" s="232">
        <v>10402737.152308121</v>
      </c>
      <c r="Y21" s="232">
        <v>5073363.2653061356</v>
      </c>
      <c r="Z21" s="232">
        <v>-400000</v>
      </c>
      <c r="AA21" s="244">
        <v>0</v>
      </c>
      <c r="AB21" s="464">
        <v>2026</v>
      </c>
      <c r="AC21" s="350">
        <v>22118570.779545948</v>
      </c>
      <c r="AD21" s="350">
        <v>0</v>
      </c>
      <c r="AE21" s="350">
        <v>-12593045.587091621</v>
      </c>
      <c r="AF21" s="350">
        <v>0</v>
      </c>
      <c r="AG21" s="350">
        <v>0</v>
      </c>
      <c r="AH21" s="350">
        <v>0</v>
      </c>
      <c r="AI21" s="350">
        <v>0</v>
      </c>
      <c r="AJ21" s="350">
        <v>0</v>
      </c>
    </row>
    <row r="22" spans="1:36" x14ac:dyDescent="0.3">
      <c r="A22" s="228">
        <f>'LPP Annual Financing Costs'!A45</f>
        <v>2025</v>
      </c>
      <c r="B22" s="232" t="e">
        <f>ABS(HLOOKUP($D$3,'LPP Annual Financing Costs'!$C$9:$I$80,'LPP Annual Financing Costs'!B45,FALSE))</f>
        <v>#N/A</v>
      </c>
      <c r="C22" s="232" t="e">
        <f>ABS(HLOOKUP($D$3,'LPP Annual Financing Costs'!$K$9:$N$80,'LPP Annual Financing Costs'!B45,FALSE))</f>
        <v>#N/A</v>
      </c>
      <c r="D22" s="233" t="e">
        <f>ABS('LPP Annual Financing Costs'!#REF!)</f>
        <v>#REF!</v>
      </c>
      <c r="E22" s="234" t="e">
        <f>ABS('LPP Annual Financing Costs'!#REF!)</f>
        <v>#REF!</v>
      </c>
      <c r="F22" s="228">
        <f>'LPP Annual Financing Costs'!A45</f>
        <v>2025</v>
      </c>
      <c r="G22" s="232" t="e">
        <f>ABS(HLOOKUP($I$3,'LPP Cumulative Financing Costs'!$C$9:$F$80,'LPP Cumulative Financing Costs'!B45,FALSE))</f>
        <v>#N/A</v>
      </c>
      <c r="H22" s="232" t="e">
        <f>ABS(HLOOKUP($I$3,'LPP Cumulative Financing Costs'!$G$9:$J$80,'LPP Annual Financing Costs'!B45,FALSE))</f>
        <v>#N/A</v>
      </c>
      <c r="I22" s="233" t="e">
        <f>ABS('LPP Cumulative Financing Costs'!#REF!)</f>
        <v>#REF!</v>
      </c>
      <c r="J22" s="234" t="e">
        <f>ABS('LPP Cumulative Financing Costs'!#REF!)</f>
        <v>#REF!</v>
      </c>
      <c r="K22" s="228">
        <v>2025</v>
      </c>
      <c r="L22" s="232" t="e">
        <f>ABS(HLOOKUP($I$3,'LPP Per Cap Annual Finan Costs'!$C$9:$F$80,'LPP Per Cap Annual Finan Costs'!B45,FALSE))</f>
        <v>#N/A</v>
      </c>
      <c r="M22" s="232" t="e">
        <f>ABS(HLOOKUP($I$3,'LPP Per Cap Annual Finan Costs'!$G$9:$J$80,'LPP Per Cap Annual Finan Costs'!B45,FALSE))</f>
        <v>#N/A</v>
      </c>
      <c r="N22" s="232" t="e">
        <f>ABS('LPP Per Cap Annual Finan Costs'!#REF!)</f>
        <v>#REF!</v>
      </c>
      <c r="O22" s="244" t="e">
        <f>ABS('LPP Per Cap Annual Finan Costs'!#REF!)</f>
        <v>#REF!</v>
      </c>
      <c r="P22" s="228">
        <v>2025</v>
      </c>
      <c r="Q22" s="229" t="e">
        <f>'Summary Baseline Data'!#REF!/'Summary Baseline Data'!$D44</f>
        <v>#REF!</v>
      </c>
      <c r="R22" s="229" t="e">
        <f>'Summary Baseline Data'!#REF!/'Summary Baseline Data'!$D44</f>
        <v>#REF!</v>
      </c>
      <c r="S22" s="229" t="e">
        <f>'Summary Baseline Data'!#REF!/'Summary Baseline Data'!$D44</f>
        <v>#REF!</v>
      </c>
      <c r="T22" s="230" t="e">
        <f t="shared" si="0"/>
        <v>#REF!</v>
      </c>
      <c r="U22" s="244" t="e">
        <f>SUM('Summary Baseline Data'!#REF!,'Summary Baseline Data'!#REF!,'Summary Baseline Data'!#REF!)+U21</f>
        <v>#REF!</v>
      </c>
      <c r="W22" s="458">
        <v>20880587.363583084</v>
      </c>
      <c r="X22" s="232">
        <v>10610791.895354284</v>
      </c>
      <c r="Y22" s="232">
        <v>5073363.2653061068</v>
      </c>
      <c r="Z22" s="232">
        <v>0</v>
      </c>
      <c r="AA22" s="244">
        <v>-1531849.8789690041</v>
      </c>
      <c r="AB22" s="464">
        <v>2027</v>
      </c>
      <c r="AC22" s="350">
        <v>23775001.369279839</v>
      </c>
      <c r="AD22" s="350">
        <v>0</v>
      </c>
      <c r="AE22" s="350">
        <v>66463976.525882632</v>
      </c>
      <c r="AF22" s="350">
        <v>38296246.974225104</v>
      </c>
      <c r="AG22" s="350">
        <v>0</v>
      </c>
      <c r="AH22" s="350">
        <v>0</v>
      </c>
      <c r="AI22" s="350">
        <v>0</v>
      </c>
      <c r="AJ22" s="350">
        <v>0</v>
      </c>
    </row>
    <row r="23" spans="1:36" x14ac:dyDescent="0.3">
      <c r="A23" s="228">
        <f>'LPP Annual Financing Costs'!A46</f>
        <v>2026</v>
      </c>
      <c r="B23" s="232" t="e">
        <f>ABS(HLOOKUP($D$3,'LPP Annual Financing Costs'!$C$9:$I$80,'LPP Annual Financing Costs'!B46,FALSE))</f>
        <v>#N/A</v>
      </c>
      <c r="C23" s="232" t="e">
        <f>ABS(HLOOKUP($D$3,'LPP Annual Financing Costs'!$K$9:$N$80,'LPP Annual Financing Costs'!B46,FALSE))</f>
        <v>#N/A</v>
      </c>
      <c r="D23" s="233" t="e">
        <f>ABS('LPP Annual Financing Costs'!#REF!)</f>
        <v>#REF!</v>
      </c>
      <c r="E23" s="234" t="e">
        <f>ABS('LPP Annual Financing Costs'!#REF!)</f>
        <v>#REF!</v>
      </c>
      <c r="F23" s="228">
        <f>'LPP Annual Financing Costs'!A46</f>
        <v>2026</v>
      </c>
      <c r="G23" s="232" t="e">
        <f>ABS(HLOOKUP($I$3,'LPP Cumulative Financing Costs'!$C$9:$F$80,'LPP Cumulative Financing Costs'!B46,FALSE))</f>
        <v>#N/A</v>
      </c>
      <c r="H23" s="232" t="e">
        <f>ABS(HLOOKUP($I$3,'LPP Cumulative Financing Costs'!$G$9:$J$80,'LPP Annual Financing Costs'!B46,FALSE))</f>
        <v>#N/A</v>
      </c>
      <c r="I23" s="233" t="e">
        <f>ABS('LPP Cumulative Financing Costs'!#REF!)</f>
        <v>#REF!</v>
      </c>
      <c r="J23" s="234" t="e">
        <f>ABS('LPP Cumulative Financing Costs'!#REF!)</f>
        <v>#REF!</v>
      </c>
      <c r="K23" s="228">
        <v>2026</v>
      </c>
      <c r="L23" s="232" t="e">
        <f>ABS(HLOOKUP($I$3,'LPP Per Cap Annual Finan Costs'!$C$9:$F$80,'LPP Per Cap Annual Finan Costs'!B46,FALSE))</f>
        <v>#N/A</v>
      </c>
      <c r="M23" s="232" t="e">
        <f>ABS(HLOOKUP($I$3,'LPP Per Cap Annual Finan Costs'!$G$9:$J$80,'LPP Per Cap Annual Finan Costs'!B46,FALSE))</f>
        <v>#N/A</v>
      </c>
      <c r="N23" s="232" t="e">
        <f>ABS('LPP Per Cap Annual Finan Costs'!#REF!)</f>
        <v>#REF!</v>
      </c>
      <c r="O23" s="244" t="e">
        <f>ABS('LPP Per Cap Annual Finan Costs'!#REF!)</f>
        <v>#REF!</v>
      </c>
      <c r="P23" s="228">
        <v>2026</v>
      </c>
      <c r="Q23" s="229" t="e">
        <f>'Summary Baseline Data'!#REF!/'Summary Baseline Data'!$D45</f>
        <v>#REF!</v>
      </c>
      <c r="R23" s="229" t="e">
        <f>'Summary Baseline Data'!#REF!/'Summary Baseline Data'!$D45</f>
        <v>#REF!</v>
      </c>
      <c r="S23" s="229" t="e">
        <f>'Summary Baseline Data'!#REF!/'Summary Baseline Data'!$D45</f>
        <v>#REF!</v>
      </c>
      <c r="T23" s="230" t="e">
        <f t="shared" si="0"/>
        <v>#REF!</v>
      </c>
      <c r="U23" s="244" t="e">
        <f>SUM('Summary Baseline Data'!#REF!,'Summary Baseline Data'!#REF!,'Summary Baseline Data'!#REF!)+U22</f>
        <v>#REF!</v>
      </c>
      <c r="W23" s="458">
        <v>22442320.516355671</v>
      </c>
      <c r="X23" s="232">
        <v>10823007.733261369</v>
      </c>
      <c r="Y23" s="232">
        <v>5073363.2653061356</v>
      </c>
      <c r="Z23" s="232">
        <v>0</v>
      </c>
      <c r="AA23" s="244">
        <v>-236578.06164817151</v>
      </c>
      <c r="AB23" s="464">
        <v>2028</v>
      </c>
      <c r="AC23" s="350">
        <v>25525103.865741424</v>
      </c>
      <c r="AD23" s="350">
        <v>0</v>
      </c>
      <c r="AE23" s="350">
        <v>-76724783.882835358</v>
      </c>
      <c r="AF23" s="350">
        <v>0</v>
      </c>
      <c r="AG23" s="350">
        <v>0</v>
      </c>
      <c r="AH23" s="350">
        <v>0</v>
      </c>
      <c r="AI23" s="350">
        <v>0</v>
      </c>
      <c r="AJ23" s="350">
        <v>0</v>
      </c>
    </row>
    <row r="24" spans="1:36" x14ac:dyDescent="0.3">
      <c r="A24" s="228">
        <f>'LPP Annual Financing Costs'!A47</f>
        <v>2027</v>
      </c>
      <c r="B24" s="232" t="e">
        <f>ABS(HLOOKUP($D$3,'LPP Annual Financing Costs'!$C$9:$I$80,'LPP Annual Financing Costs'!B47,FALSE))</f>
        <v>#N/A</v>
      </c>
      <c r="C24" s="232" t="e">
        <f>ABS(HLOOKUP($D$3,'LPP Annual Financing Costs'!$K$9:$N$80,'LPP Annual Financing Costs'!B47,FALSE))</f>
        <v>#N/A</v>
      </c>
      <c r="D24" s="233" t="e">
        <f>ABS('LPP Annual Financing Costs'!#REF!)</f>
        <v>#REF!</v>
      </c>
      <c r="E24" s="234" t="e">
        <f>ABS('LPP Annual Financing Costs'!#REF!)</f>
        <v>#REF!</v>
      </c>
      <c r="F24" s="228">
        <f>'LPP Annual Financing Costs'!A47</f>
        <v>2027</v>
      </c>
      <c r="G24" s="232" t="e">
        <f>ABS(HLOOKUP($I$3,'LPP Cumulative Financing Costs'!$C$9:$F$80,'LPP Cumulative Financing Costs'!B47,FALSE))</f>
        <v>#N/A</v>
      </c>
      <c r="H24" s="232" t="e">
        <f>ABS(HLOOKUP($I$3,'LPP Cumulative Financing Costs'!$G$9:$J$80,'LPP Annual Financing Costs'!B47,FALSE))</f>
        <v>#N/A</v>
      </c>
      <c r="I24" s="233" t="e">
        <f>ABS('LPP Cumulative Financing Costs'!#REF!)</f>
        <v>#REF!</v>
      </c>
      <c r="J24" s="234" t="e">
        <f>ABS('LPP Cumulative Financing Costs'!#REF!)</f>
        <v>#REF!</v>
      </c>
      <c r="K24" s="228">
        <v>2027</v>
      </c>
      <c r="L24" s="232" t="e">
        <f>ABS(HLOOKUP($I$3,'LPP Per Cap Annual Finan Costs'!$C$9:$F$80,'LPP Per Cap Annual Finan Costs'!B47,FALSE))</f>
        <v>#N/A</v>
      </c>
      <c r="M24" s="232" t="e">
        <f>ABS(HLOOKUP($I$3,'LPP Per Cap Annual Finan Costs'!$G$9:$J$80,'LPP Per Cap Annual Finan Costs'!B47,FALSE))</f>
        <v>#N/A</v>
      </c>
      <c r="N24" s="232" t="e">
        <f>ABS('LPP Per Cap Annual Finan Costs'!#REF!)</f>
        <v>#REF!</v>
      </c>
      <c r="O24" s="244" t="e">
        <f>ABS('LPP Per Cap Annual Finan Costs'!#REF!)</f>
        <v>#REF!</v>
      </c>
      <c r="P24" s="228">
        <v>2027</v>
      </c>
      <c r="Q24" s="229" t="e">
        <f>'Summary Baseline Data'!#REF!/'Summary Baseline Data'!$D46</f>
        <v>#REF!</v>
      </c>
      <c r="R24" s="229" t="e">
        <f>'Summary Baseline Data'!#REF!/'Summary Baseline Data'!$D46</f>
        <v>#REF!</v>
      </c>
      <c r="S24" s="229" t="e">
        <f>'Summary Baseline Data'!#REF!/'Summary Baseline Data'!$D46</f>
        <v>#REF!</v>
      </c>
      <c r="T24" s="230" t="e">
        <f t="shared" si="0"/>
        <v>#REF!</v>
      </c>
      <c r="U24" s="244" t="e">
        <f>IF(T24=0,0,SUM('Summary Baseline Data'!#REF!,'Summary Baseline Data'!#REF!,'Summary Baseline Data'!#REF!)+U23)</f>
        <v>#REF!</v>
      </c>
      <c r="W24" s="458">
        <v>24797593.503531642</v>
      </c>
      <c r="X24" s="232">
        <v>11039467.887926597</v>
      </c>
      <c r="Y24" s="232">
        <v>5073363.2653061356</v>
      </c>
      <c r="Z24" s="232">
        <v>0</v>
      </c>
      <c r="AA24" s="244">
        <v>0</v>
      </c>
      <c r="AB24" s="464">
        <v>2029</v>
      </c>
      <c r="AC24" s="350">
        <v>27373633.62023418</v>
      </c>
      <c r="AD24" s="350">
        <v>0</v>
      </c>
      <c r="AE24" s="350">
        <v>-25423294.036327604</v>
      </c>
      <c r="AF24" s="350">
        <v>26467343.89181653</v>
      </c>
      <c r="AG24" s="350">
        <v>0</v>
      </c>
      <c r="AH24" s="350">
        <v>0</v>
      </c>
      <c r="AI24" s="350">
        <v>0</v>
      </c>
      <c r="AJ24" s="350">
        <v>0</v>
      </c>
    </row>
    <row r="25" spans="1:36" x14ac:dyDescent="0.3">
      <c r="A25" s="228">
        <f>'LPP Annual Financing Costs'!A48</f>
        <v>2028</v>
      </c>
      <c r="B25" s="232" t="e">
        <f>ABS(HLOOKUP($D$3,'LPP Annual Financing Costs'!$C$9:$I$80,'LPP Annual Financing Costs'!B48,FALSE))</f>
        <v>#N/A</v>
      </c>
      <c r="C25" s="232" t="e">
        <f>ABS(HLOOKUP($D$3,'LPP Annual Financing Costs'!$K$9:$N$80,'LPP Annual Financing Costs'!B48,FALSE))</f>
        <v>#N/A</v>
      </c>
      <c r="D25" s="233" t="e">
        <f>ABS('LPP Annual Financing Costs'!#REF!)</f>
        <v>#REF!</v>
      </c>
      <c r="E25" s="234" t="e">
        <f>ABS('LPP Annual Financing Costs'!#REF!)</f>
        <v>#REF!</v>
      </c>
      <c r="F25" s="228">
        <f>'LPP Annual Financing Costs'!A48</f>
        <v>2028</v>
      </c>
      <c r="G25" s="232" t="e">
        <f>ABS(HLOOKUP($I$3,'LPP Cumulative Financing Costs'!$C$9:$F$80,'LPP Cumulative Financing Costs'!B48,FALSE))</f>
        <v>#N/A</v>
      </c>
      <c r="H25" s="232" t="e">
        <f>ABS(HLOOKUP($I$3,'LPP Cumulative Financing Costs'!$G$9:$J$80,'LPP Annual Financing Costs'!B48,FALSE))</f>
        <v>#N/A</v>
      </c>
      <c r="I25" s="233" t="e">
        <f>ABS('LPP Cumulative Financing Costs'!#REF!)</f>
        <v>#REF!</v>
      </c>
      <c r="J25" s="234" t="e">
        <f>ABS('LPP Cumulative Financing Costs'!#REF!)</f>
        <v>#REF!</v>
      </c>
      <c r="K25" s="228">
        <v>2028</v>
      </c>
      <c r="L25" s="232" t="e">
        <f>ABS(HLOOKUP($I$3,'LPP Per Cap Annual Finan Costs'!$C$9:$F$80,'LPP Per Cap Annual Finan Costs'!B48,FALSE))</f>
        <v>#N/A</v>
      </c>
      <c r="M25" s="232" t="e">
        <f>ABS(HLOOKUP($I$3,'LPP Per Cap Annual Finan Costs'!$G$9:$J$80,'LPP Per Cap Annual Finan Costs'!B48,FALSE))</f>
        <v>#N/A</v>
      </c>
      <c r="N25" s="232" t="e">
        <f>ABS('LPP Per Cap Annual Finan Costs'!#REF!)</f>
        <v>#REF!</v>
      </c>
      <c r="O25" s="244" t="e">
        <f>ABS('LPP Per Cap Annual Finan Costs'!#REF!)</f>
        <v>#REF!</v>
      </c>
      <c r="P25" s="228">
        <v>2028</v>
      </c>
      <c r="Q25" s="229" t="e">
        <f>'Summary Baseline Data'!#REF!/'Summary Baseline Data'!$D47</f>
        <v>#REF!</v>
      </c>
      <c r="R25" s="229" t="e">
        <f>'Summary Baseline Data'!#REF!/'Summary Baseline Data'!$D47</f>
        <v>#REF!</v>
      </c>
      <c r="S25" s="229" t="e">
        <f>'Summary Baseline Data'!#REF!/'Summary Baseline Data'!$D47</f>
        <v>#REF!</v>
      </c>
      <c r="T25" s="230" t="e">
        <f t="shared" si="0"/>
        <v>#REF!</v>
      </c>
      <c r="U25" s="244" t="e">
        <f>IF(T25=0,0,SUM('Summary Baseline Data'!#REF!,'Summary Baseline Data'!#REF!,'Summary Baseline Data'!#REF!)+U24)</f>
        <v>#REF!</v>
      </c>
      <c r="W25" s="458">
        <v>27470090.968136985</v>
      </c>
      <c r="X25" s="232">
        <v>11260257.245685128</v>
      </c>
      <c r="Y25" s="232">
        <v>5073363.2653060779</v>
      </c>
      <c r="Z25" s="232">
        <v>0</v>
      </c>
      <c r="AA25" s="244">
        <v>0</v>
      </c>
      <c r="AB25" s="464">
        <v>2030</v>
      </c>
      <c r="AC25" s="350">
        <v>29325571.990170687</v>
      </c>
      <c r="AD25" s="350">
        <v>0</v>
      </c>
      <c r="AE25" s="350">
        <v>-14458160.104570355</v>
      </c>
      <c r="AF25" s="350">
        <v>32381795.433020446</v>
      </c>
      <c r="AG25" s="350">
        <v>0</v>
      </c>
      <c r="AH25" s="350">
        <v>0</v>
      </c>
      <c r="AI25" s="350">
        <v>0</v>
      </c>
      <c r="AJ25" s="350">
        <v>0</v>
      </c>
    </row>
    <row r="26" spans="1:36" x14ac:dyDescent="0.3">
      <c r="A26" s="228">
        <f>'LPP Annual Financing Costs'!A49</f>
        <v>2029</v>
      </c>
      <c r="B26" s="232" t="e">
        <f>ABS(HLOOKUP($D$3,'LPP Annual Financing Costs'!$C$9:$I$80,'LPP Annual Financing Costs'!B49,FALSE))</f>
        <v>#N/A</v>
      </c>
      <c r="C26" s="232" t="e">
        <f>ABS(HLOOKUP($D$3,'LPP Annual Financing Costs'!$K$9:$N$80,'LPP Annual Financing Costs'!B49,FALSE))</f>
        <v>#N/A</v>
      </c>
      <c r="D26" s="233" t="e">
        <f>ABS('LPP Annual Financing Costs'!#REF!)</f>
        <v>#REF!</v>
      </c>
      <c r="E26" s="234" t="e">
        <f>ABS('LPP Annual Financing Costs'!#REF!)</f>
        <v>#REF!</v>
      </c>
      <c r="F26" s="228">
        <f>'LPP Annual Financing Costs'!A49</f>
        <v>2029</v>
      </c>
      <c r="G26" s="232" t="e">
        <f>ABS(HLOOKUP($I$3,'LPP Cumulative Financing Costs'!$C$9:$F$80,'LPP Cumulative Financing Costs'!B49,FALSE))</f>
        <v>#N/A</v>
      </c>
      <c r="H26" s="232" t="e">
        <f>ABS(HLOOKUP($I$3,'LPP Cumulative Financing Costs'!$G$9:$J$80,'LPP Annual Financing Costs'!B49,FALSE))</f>
        <v>#N/A</v>
      </c>
      <c r="I26" s="233" t="e">
        <f>ABS('LPP Cumulative Financing Costs'!#REF!)</f>
        <v>#REF!</v>
      </c>
      <c r="J26" s="234" t="e">
        <f>ABS('LPP Cumulative Financing Costs'!#REF!)</f>
        <v>#REF!</v>
      </c>
      <c r="K26" s="228">
        <v>2029</v>
      </c>
      <c r="L26" s="232" t="e">
        <f>ABS(HLOOKUP($I$3,'LPP Per Cap Annual Finan Costs'!$C$9:$F$80,'LPP Per Cap Annual Finan Costs'!B49,FALSE))</f>
        <v>#N/A</v>
      </c>
      <c r="M26" s="232" t="e">
        <f>ABS(HLOOKUP($I$3,'LPP Per Cap Annual Finan Costs'!$G$9:$J$80,'LPP Per Cap Annual Finan Costs'!B49,FALSE))</f>
        <v>#N/A</v>
      </c>
      <c r="N26" s="232" t="e">
        <f>ABS('LPP Per Cap Annual Finan Costs'!#REF!)</f>
        <v>#REF!</v>
      </c>
      <c r="O26" s="244" t="e">
        <f>ABS('LPP Per Cap Annual Finan Costs'!#REF!)</f>
        <v>#REF!</v>
      </c>
      <c r="P26" s="228">
        <v>2029</v>
      </c>
      <c r="Q26" s="229" t="e">
        <f>'Summary Baseline Data'!#REF!/'Summary Baseline Data'!$D48</f>
        <v>#REF!</v>
      </c>
      <c r="R26" s="229" t="e">
        <f>'Summary Baseline Data'!#REF!/'Summary Baseline Data'!$D48</f>
        <v>#REF!</v>
      </c>
      <c r="S26" s="229" t="e">
        <f>'Summary Baseline Data'!#REF!/'Summary Baseline Data'!$D48</f>
        <v>#REF!</v>
      </c>
      <c r="T26" s="230" t="e">
        <f t="shared" si="0"/>
        <v>#REF!</v>
      </c>
      <c r="U26" s="244" t="e">
        <f>IF(T26=0,0,SUM('Summary Baseline Data'!#REF!,'Summary Baseline Data'!#REF!,'Summary Baseline Data'!#REF!)+U25)</f>
        <v>#REF!</v>
      </c>
      <c r="W26" s="458">
        <v>30322280.839079998</v>
      </c>
      <c r="X26" s="232">
        <v>11485462.39059883</v>
      </c>
      <c r="Y26" s="232">
        <v>5073363.2653061356</v>
      </c>
      <c r="Z26" s="232">
        <v>0</v>
      </c>
      <c r="AA26" s="244">
        <v>0</v>
      </c>
      <c r="AB26" s="464">
        <v>2031</v>
      </c>
      <c r="AC26" s="350">
        <v>31386136.765337132</v>
      </c>
      <c r="AD26" s="350">
        <v>0</v>
      </c>
      <c r="AE26" s="350">
        <v>-15813449.514740702</v>
      </c>
      <c r="AF26" s="350">
        <v>32381795.433020819</v>
      </c>
      <c r="AG26" s="350">
        <v>0</v>
      </c>
      <c r="AH26" s="350">
        <v>0</v>
      </c>
      <c r="AI26" s="350">
        <v>0</v>
      </c>
      <c r="AJ26" s="350">
        <v>0</v>
      </c>
    </row>
    <row r="27" spans="1:36" x14ac:dyDescent="0.3">
      <c r="A27" s="228">
        <f>'LPP Annual Financing Costs'!A50</f>
        <v>2030</v>
      </c>
      <c r="B27" s="232" t="e">
        <f>ABS(HLOOKUP($D$3,'LPP Annual Financing Costs'!$C$9:$I$80,'LPP Annual Financing Costs'!B50,FALSE))</f>
        <v>#N/A</v>
      </c>
      <c r="C27" s="232" t="e">
        <f>ABS(HLOOKUP($D$3,'LPP Annual Financing Costs'!$K$9:$N$80,'LPP Annual Financing Costs'!B50,FALSE))</f>
        <v>#N/A</v>
      </c>
      <c r="D27" s="233" t="e">
        <f>ABS('LPP Annual Financing Costs'!#REF!)</f>
        <v>#REF!</v>
      </c>
      <c r="E27" s="234" t="e">
        <f>ABS('LPP Annual Financing Costs'!#REF!)</f>
        <v>#REF!</v>
      </c>
      <c r="F27" s="228">
        <f>'LPP Annual Financing Costs'!A50</f>
        <v>2030</v>
      </c>
      <c r="G27" s="232" t="e">
        <f>ABS(HLOOKUP($I$3,'LPP Cumulative Financing Costs'!$C$9:$F$80,'LPP Cumulative Financing Costs'!B50,FALSE))</f>
        <v>#N/A</v>
      </c>
      <c r="H27" s="232" t="e">
        <f>ABS(HLOOKUP($I$3,'LPP Cumulative Financing Costs'!$G$9:$J$80,'LPP Annual Financing Costs'!B50,FALSE))</f>
        <v>#N/A</v>
      </c>
      <c r="I27" s="233" t="e">
        <f>ABS('LPP Cumulative Financing Costs'!#REF!)</f>
        <v>#REF!</v>
      </c>
      <c r="J27" s="234" t="e">
        <f>ABS('LPP Cumulative Financing Costs'!#REF!)</f>
        <v>#REF!</v>
      </c>
      <c r="K27" s="228">
        <v>2030</v>
      </c>
      <c r="L27" s="232" t="e">
        <f>ABS(HLOOKUP($I$3,'LPP Per Cap Annual Finan Costs'!$C$9:$F$80,'LPP Per Cap Annual Finan Costs'!B50,FALSE))</f>
        <v>#N/A</v>
      </c>
      <c r="M27" s="232" t="e">
        <f>ABS(HLOOKUP($I$3,'LPP Per Cap Annual Finan Costs'!$G$9:$J$80,'LPP Per Cap Annual Finan Costs'!B50,FALSE))</f>
        <v>#N/A</v>
      </c>
      <c r="N27" s="232" t="e">
        <f>ABS('LPP Per Cap Annual Finan Costs'!#REF!)</f>
        <v>#REF!</v>
      </c>
      <c r="O27" s="244" t="e">
        <f>ABS('LPP Per Cap Annual Finan Costs'!#REF!)</f>
        <v>#REF!</v>
      </c>
      <c r="P27" s="228">
        <v>2030</v>
      </c>
      <c r="Q27" s="229" t="e">
        <f>'Summary Baseline Data'!#REF!/'Summary Baseline Data'!$D49</f>
        <v>#REF!</v>
      </c>
      <c r="R27" s="229" t="e">
        <f>'Summary Baseline Data'!#REF!/'Summary Baseline Data'!$D49</f>
        <v>#REF!</v>
      </c>
      <c r="S27" s="229" t="e">
        <f>'Summary Baseline Data'!#REF!/'Summary Baseline Data'!$D49</f>
        <v>#REF!</v>
      </c>
      <c r="T27" s="230" t="e">
        <f t="shared" si="0"/>
        <v>#REF!</v>
      </c>
      <c r="U27" s="244" t="e">
        <f>IF(T27=0,0,SUM('Summary Baseline Data'!#REF!,'Summary Baseline Data'!#REF!,'Summary Baseline Data'!#REF!)+U26)</f>
        <v>#REF!</v>
      </c>
      <c r="W27" s="458">
        <v>33365168.780906521</v>
      </c>
      <c r="X27" s="232">
        <v>11715171.638410809</v>
      </c>
      <c r="Y27" s="232">
        <v>5073363.2653061068</v>
      </c>
      <c r="Z27" s="232">
        <v>0</v>
      </c>
      <c r="AA27" s="244">
        <v>0</v>
      </c>
      <c r="AB27" s="464">
        <v>2032</v>
      </c>
      <c r="AC27" s="350">
        <v>33560793.051020302</v>
      </c>
      <c r="AD27" s="350">
        <v>441181.45865033497</v>
      </c>
      <c r="AE27" s="350">
        <v>-16272158.773918886</v>
      </c>
      <c r="AF27" s="350">
        <v>32381795.433020633</v>
      </c>
      <c r="AG27" s="350">
        <v>0</v>
      </c>
      <c r="AH27" s="350">
        <v>0</v>
      </c>
      <c r="AI27" s="350">
        <v>0</v>
      </c>
      <c r="AJ27" s="350">
        <v>0</v>
      </c>
    </row>
    <row r="28" spans="1:36" x14ac:dyDescent="0.3">
      <c r="A28" s="228">
        <f>'LPP Annual Financing Costs'!A51</f>
        <v>2031</v>
      </c>
      <c r="B28" s="232" t="e">
        <f>ABS(HLOOKUP($D$3,'LPP Annual Financing Costs'!$C$9:$I$80,'LPP Annual Financing Costs'!B51,FALSE))</f>
        <v>#N/A</v>
      </c>
      <c r="C28" s="232" t="e">
        <f>ABS(HLOOKUP($D$3,'LPP Annual Financing Costs'!$K$9:$N$80,'LPP Annual Financing Costs'!B51,FALSE))</f>
        <v>#N/A</v>
      </c>
      <c r="D28" s="233" t="e">
        <f>ABS('LPP Annual Financing Costs'!#REF!)</f>
        <v>#REF!</v>
      </c>
      <c r="E28" s="234" t="e">
        <f>ABS('LPP Annual Financing Costs'!#REF!)</f>
        <v>#REF!</v>
      </c>
      <c r="F28" s="228">
        <f>'LPP Annual Financing Costs'!A51</f>
        <v>2031</v>
      </c>
      <c r="G28" s="232" t="e">
        <f>ABS(HLOOKUP($I$3,'LPP Cumulative Financing Costs'!$C$9:$F$80,'LPP Cumulative Financing Costs'!B51,FALSE))</f>
        <v>#N/A</v>
      </c>
      <c r="H28" s="232" t="e">
        <f>ABS(HLOOKUP($I$3,'LPP Cumulative Financing Costs'!$G$9:$J$80,'LPP Annual Financing Costs'!B51,FALSE))</f>
        <v>#N/A</v>
      </c>
      <c r="I28" s="233" t="e">
        <f>ABS('LPP Cumulative Financing Costs'!#REF!)</f>
        <v>#REF!</v>
      </c>
      <c r="J28" s="234" t="e">
        <f>ABS('LPP Cumulative Financing Costs'!#REF!)</f>
        <v>#REF!</v>
      </c>
      <c r="K28" s="228">
        <v>2031</v>
      </c>
      <c r="L28" s="232" t="e">
        <f>ABS(HLOOKUP($I$3,'LPP Per Cap Annual Finan Costs'!$C$9:$F$80,'LPP Per Cap Annual Finan Costs'!B51,FALSE))</f>
        <v>#N/A</v>
      </c>
      <c r="M28" s="232" t="e">
        <f>ABS(HLOOKUP($I$3,'LPP Per Cap Annual Finan Costs'!$G$9:$J$80,'LPP Per Cap Annual Finan Costs'!B51,FALSE))</f>
        <v>#N/A</v>
      </c>
      <c r="N28" s="232" t="e">
        <f>ABS('LPP Per Cap Annual Finan Costs'!#REF!)</f>
        <v>#REF!</v>
      </c>
      <c r="O28" s="244" t="e">
        <f>ABS('LPP Per Cap Annual Finan Costs'!#REF!)</f>
        <v>#REF!</v>
      </c>
      <c r="P28" s="228">
        <v>2031</v>
      </c>
      <c r="Q28" s="229" t="e">
        <f>'Summary Baseline Data'!#REF!/'Summary Baseline Data'!$D50</f>
        <v>#REF!</v>
      </c>
      <c r="R28" s="229" t="e">
        <f>'Summary Baseline Data'!#REF!/'Summary Baseline Data'!$D50</f>
        <v>#REF!</v>
      </c>
      <c r="S28" s="229" t="e">
        <f>'Summary Baseline Data'!#REF!/'Summary Baseline Data'!$D50</f>
        <v>#REF!</v>
      </c>
      <c r="T28" s="230" t="e">
        <f t="shared" si="0"/>
        <v>#REF!</v>
      </c>
      <c r="U28" s="244" t="e">
        <f>IF(T28=0,0,SUM('Summary Baseline Data'!#REF!,'Summary Baseline Data'!#REF!,'Summary Baseline Data'!#REF!)+U27)</f>
        <v>#REF!</v>
      </c>
      <c r="W28" s="458">
        <v>36753741.10939984</v>
      </c>
      <c r="X28" s="232">
        <v>11949475.071179025</v>
      </c>
      <c r="Y28" s="232">
        <v>5520724.4897959176</v>
      </c>
      <c r="Z28" s="232">
        <v>0</v>
      </c>
      <c r="AA28" s="244">
        <v>0</v>
      </c>
      <c r="AB28" s="464">
        <v>2033</v>
      </c>
      <c r="AC28" s="350">
        <v>35855264.629294463</v>
      </c>
      <c r="AD28" s="350">
        <v>454416.90240984526</v>
      </c>
      <c r="AE28" s="350">
        <v>-17481861.833055794</v>
      </c>
      <c r="AF28" s="350">
        <v>35237171.422979556</v>
      </c>
      <c r="AG28" s="350">
        <v>0</v>
      </c>
      <c r="AH28" s="350">
        <v>0</v>
      </c>
      <c r="AI28" s="350">
        <v>0</v>
      </c>
      <c r="AJ28" s="350">
        <v>0</v>
      </c>
    </row>
    <row r="29" spans="1:36" x14ac:dyDescent="0.3">
      <c r="A29" s="228">
        <f>'LPP Annual Financing Costs'!A52</f>
        <v>2032</v>
      </c>
      <c r="B29" s="232" t="e">
        <f>ABS(HLOOKUP($D$3,'LPP Annual Financing Costs'!$C$9:$I$80,'LPP Annual Financing Costs'!B52,FALSE))</f>
        <v>#N/A</v>
      </c>
      <c r="C29" s="232" t="e">
        <f>ABS(HLOOKUP($D$3,'LPP Annual Financing Costs'!$K$9:$N$80,'LPP Annual Financing Costs'!B52,FALSE))</f>
        <v>#N/A</v>
      </c>
      <c r="D29" s="233" t="e">
        <f>ABS('LPP Annual Financing Costs'!#REF!)</f>
        <v>#REF!</v>
      </c>
      <c r="E29" s="234" t="e">
        <f>ABS('LPP Annual Financing Costs'!#REF!)</f>
        <v>#REF!</v>
      </c>
      <c r="F29" s="228">
        <f>'LPP Annual Financing Costs'!A52</f>
        <v>2032</v>
      </c>
      <c r="G29" s="232" t="e">
        <f>ABS(HLOOKUP($I$3,'LPP Cumulative Financing Costs'!$C$9:$F$80,'LPP Cumulative Financing Costs'!B52,FALSE))</f>
        <v>#N/A</v>
      </c>
      <c r="H29" s="232" t="e">
        <f>ABS(HLOOKUP($I$3,'LPP Cumulative Financing Costs'!$G$9:$J$80,'LPP Annual Financing Costs'!B52,FALSE))</f>
        <v>#N/A</v>
      </c>
      <c r="I29" s="233" t="e">
        <f>ABS('LPP Cumulative Financing Costs'!#REF!)</f>
        <v>#REF!</v>
      </c>
      <c r="J29" s="234" t="e">
        <f>ABS('LPP Cumulative Financing Costs'!#REF!)</f>
        <v>#REF!</v>
      </c>
      <c r="K29" s="228">
        <v>2032</v>
      </c>
      <c r="L29" s="232" t="e">
        <f>ABS(HLOOKUP($I$3,'LPP Per Cap Annual Finan Costs'!$C$9:$F$80,'LPP Per Cap Annual Finan Costs'!B52,FALSE))</f>
        <v>#N/A</v>
      </c>
      <c r="M29" s="232" t="e">
        <f>ABS(HLOOKUP($I$3,'LPP Per Cap Annual Finan Costs'!$G$9:$J$80,'LPP Per Cap Annual Finan Costs'!B52,FALSE))</f>
        <v>#N/A</v>
      </c>
      <c r="N29" s="232" t="e">
        <f>ABS('LPP Per Cap Annual Finan Costs'!#REF!)</f>
        <v>#REF!</v>
      </c>
      <c r="O29" s="244" t="e">
        <f>ABS('LPP Per Cap Annual Finan Costs'!#REF!)</f>
        <v>#REF!</v>
      </c>
      <c r="P29" s="228">
        <v>2032</v>
      </c>
      <c r="Q29" s="229" t="e">
        <f>'Summary Baseline Data'!#REF!/'Summary Baseline Data'!$D51</f>
        <v>#REF!</v>
      </c>
      <c r="R29" s="229" t="e">
        <f>'Summary Baseline Data'!#REF!/'Summary Baseline Data'!$D51</f>
        <v>#REF!</v>
      </c>
      <c r="S29" s="229" t="e">
        <f>'Summary Baseline Data'!#REF!/'Summary Baseline Data'!$D51</f>
        <v>#REF!</v>
      </c>
      <c r="T29" s="230" t="e">
        <f t="shared" si="0"/>
        <v>#REF!</v>
      </c>
      <c r="U29" s="244" t="e">
        <f>IF(T29=0,0,SUM('Summary Baseline Data'!#REF!,'Summary Baseline Data'!#REF!,'Summary Baseline Data'!#REF!)+U28)</f>
        <v>#REF!</v>
      </c>
      <c r="W29" s="458">
        <v>40368482.186891094</v>
      </c>
      <c r="X29" s="232">
        <v>12188464.572602605</v>
      </c>
      <c r="Y29" s="232">
        <v>5520724.4897959176</v>
      </c>
      <c r="Z29" s="232">
        <v>0</v>
      </c>
      <c r="AA29" s="244">
        <v>0</v>
      </c>
      <c r="AB29" s="464">
        <v>2034</v>
      </c>
      <c r="AC29" s="350">
        <v>38364352.151931442</v>
      </c>
      <c r="AD29" s="350">
        <v>791528.22680497379</v>
      </c>
      <c r="AE29" s="350">
        <v>-18998977.677496217</v>
      </c>
      <c r="AF29" s="350">
        <v>35237171.422979556</v>
      </c>
      <c r="AG29" s="350">
        <v>0</v>
      </c>
      <c r="AH29" s="350">
        <v>0</v>
      </c>
      <c r="AI29" s="350">
        <v>0</v>
      </c>
      <c r="AJ29" s="350">
        <v>0</v>
      </c>
    </row>
    <row r="30" spans="1:36" x14ac:dyDescent="0.3">
      <c r="A30" s="228">
        <f>'LPP Annual Financing Costs'!A53</f>
        <v>2033</v>
      </c>
      <c r="B30" s="232" t="e">
        <f>ABS(HLOOKUP($D$3,'LPP Annual Financing Costs'!$C$9:$I$80,'LPP Annual Financing Costs'!B53,FALSE))</f>
        <v>#N/A</v>
      </c>
      <c r="C30" s="232" t="e">
        <f>ABS(HLOOKUP($D$3,'LPP Annual Financing Costs'!$K$9:$N$80,'LPP Annual Financing Costs'!B53,FALSE))</f>
        <v>#N/A</v>
      </c>
      <c r="D30" s="233" t="e">
        <f>ABS('LPP Annual Financing Costs'!#REF!)</f>
        <v>#REF!</v>
      </c>
      <c r="E30" s="234" t="e">
        <f>ABS('LPP Annual Financing Costs'!#REF!)</f>
        <v>#REF!</v>
      </c>
      <c r="F30" s="228">
        <f>'LPP Annual Financing Costs'!A53</f>
        <v>2033</v>
      </c>
      <c r="G30" s="232" t="e">
        <f>ABS(HLOOKUP($I$3,'LPP Cumulative Financing Costs'!$C$9:$F$80,'LPP Cumulative Financing Costs'!B53,FALSE))</f>
        <v>#N/A</v>
      </c>
      <c r="H30" s="232" t="e">
        <f>ABS(HLOOKUP($I$3,'LPP Cumulative Financing Costs'!$G$9:$J$80,'LPP Annual Financing Costs'!B53,FALSE))</f>
        <v>#N/A</v>
      </c>
      <c r="I30" s="233" t="e">
        <f>ABS('LPP Cumulative Financing Costs'!#REF!)</f>
        <v>#REF!</v>
      </c>
      <c r="J30" s="234" t="e">
        <f>ABS('LPP Cumulative Financing Costs'!#REF!)</f>
        <v>#REF!</v>
      </c>
      <c r="K30" s="228">
        <v>2033</v>
      </c>
      <c r="L30" s="232" t="e">
        <f>ABS(HLOOKUP($I$3,'LPP Per Cap Annual Finan Costs'!$C$9:$F$80,'LPP Per Cap Annual Finan Costs'!B53,FALSE))</f>
        <v>#N/A</v>
      </c>
      <c r="M30" s="232" t="e">
        <f>ABS(HLOOKUP($I$3,'LPP Per Cap Annual Finan Costs'!$G$9:$J$80,'LPP Per Cap Annual Finan Costs'!B53,FALSE))</f>
        <v>#N/A</v>
      </c>
      <c r="N30" s="232" t="e">
        <f>ABS('LPP Per Cap Annual Finan Costs'!#REF!)</f>
        <v>#REF!</v>
      </c>
      <c r="O30" s="244" t="e">
        <f>ABS('LPP Per Cap Annual Finan Costs'!#REF!)</f>
        <v>#REF!</v>
      </c>
      <c r="P30" s="228">
        <v>2033</v>
      </c>
      <c r="Q30" s="229" t="e">
        <f>'Summary Baseline Data'!#REF!/'Summary Baseline Data'!$D52</f>
        <v>#REF!</v>
      </c>
      <c r="R30" s="229" t="e">
        <f>'Summary Baseline Data'!#REF!/'Summary Baseline Data'!$D52</f>
        <v>#REF!</v>
      </c>
      <c r="S30" s="229" t="e">
        <f>'Summary Baseline Data'!#REF!/'Summary Baseline Data'!$D52</f>
        <v>#REF!</v>
      </c>
      <c r="T30" s="230" t="e">
        <f t="shared" si="0"/>
        <v>#REF!</v>
      </c>
      <c r="U30" s="244" t="e">
        <f>IF(T30=0,0,SUM('Summary Baseline Data'!#REF!,'Summary Baseline Data'!#REF!,'Summary Baseline Data'!#REF!)+U29)</f>
        <v>#REF!</v>
      </c>
      <c r="W30" s="458">
        <v>44223256.022676751</v>
      </c>
      <c r="X30" s="232">
        <v>12432233.864054658</v>
      </c>
      <c r="Y30" s="232">
        <v>5520724.4897959465</v>
      </c>
      <c r="Z30" s="232">
        <v>0</v>
      </c>
      <c r="AA30" s="244">
        <v>0</v>
      </c>
      <c r="AB30" s="464">
        <v>2035</v>
      </c>
      <c r="AC30" s="350">
        <v>41012166.855139278</v>
      </c>
      <c r="AD30" s="350">
        <v>1222911.1104136789</v>
      </c>
      <c r="AE30" s="350">
        <v>-19395727.877682194</v>
      </c>
      <c r="AF30" s="350">
        <v>35237171.422979742</v>
      </c>
      <c r="AG30" s="350">
        <v>0</v>
      </c>
      <c r="AH30" s="350">
        <v>0</v>
      </c>
      <c r="AI30" s="350">
        <v>0</v>
      </c>
      <c r="AJ30" s="350">
        <v>0</v>
      </c>
    </row>
    <row r="31" spans="1:36" x14ac:dyDescent="0.3">
      <c r="A31" s="228">
        <f>'LPP Annual Financing Costs'!A54</f>
        <v>2034</v>
      </c>
      <c r="B31" s="232" t="e">
        <f>ABS(HLOOKUP($D$3,'LPP Annual Financing Costs'!$C$9:$I$80,'LPP Annual Financing Costs'!B54,FALSE))</f>
        <v>#N/A</v>
      </c>
      <c r="C31" s="232" t="e">
        <f>ABS(HLOOKUP($D$3,'LPP Annual Financing Costs'!$K$9:$N$80,'LPP Annual Financing Costs'!B54,FALSE))</f>
        <v>#N/A</v>
      </c>
      <c r="D31" s="233" t="e">
        <f>ABS('LPP Annual Financing Costs'!#REF!)</f>
        <v>#REF!</v>
      </c>
      <c r="E31" s="234" t="e">
        <f>ABS('LPP Annual Financing Costs'!#REF!)</f>
        <v>#REF!</v>
      </c>
      <c r="F31" s="228">
        <f>'LPP Annual Financing Costs'!A54</f>
        <v>2034</v>
      </c>
      <c r="G31" s="232" t="e">
        <f>ABS(HLOOKUP($I$3,'LPP Cumulative Financing Costs'!$C$9:$F$80,'LPP Cumulative Financing Costs'!B54,FALSE))</f>
        <v>#N/A</v>
      </c>
      <c r="H31" s="232" t="e">
        <f>ABS(HLOOKUP($I$3,'LPP Cumulative Financing Costs'!$G$9:$J$80,'LPP Annual Financing Costs'!B54,FALSE))</f>
        <v>#N/A</v>
      </c>
      <c r="I31" s="233" t="e">
        <f>ABS('LPP Cumulative Financing Costs'!#REF!)</f>
        <v>#REF!</v>
      </c>
      <c r="J31" s="234" t="e">
        <f>ABS('LPP Cumulative Financing Costs'!#REF!)</f>
        <v>#REF!</v>
      </c>
      <c r="K31" s="228">
        <v>2034</v>
      </c>
      <c r="L31" s="232" t="e">
        <f>ABS(HLOOKUP($I$3,'LPP Per Cap Annual Finan Costs'!$C$9:$F$80,'LPP Per Cap Annual Finan Costs'!B54,FALSE))</f>
        <v>#N/A</v>
      </c>
      <c r="M31" s="232" t="e">
        <f>ABS(HLOOKUP($I$3,'LPP Per Cap Annual Finan Costs'!$G$9:$J$80,'LPP Per Cap Annual Finan Costs'!B54,FALSE))</f>
        <v>#N/A</v>
      </c>
      <c r="N31" s="232" t="e">
        <f>ABS('LPP Per Cap Annual Finan Costs'!#REF!)</f>
        <v>#REF!</v>
      </c>
      <c r="O31" s="244" t="e">
        <f>ABS('LPP Per Cap Annual Finan Costs'!#REF!)</f>
        <v>#REF!</v>
      </c>
      <c r="P31" s="228">
        <v>2034</v>
      </c>
      <c r="Q31" s="229" t="e">
        <f>'Summary Baseline Data'!#REF!/'Summary Baseline Data'!$D53</f>
        <v>#REF!</v>
      </c>
      <c r="R31" s="229" t="e">
        <f>'Summary Baseline Data'!#REF!/'Summary Baseline Data'!$D53</f>
        <v>#REF!</v>
      </c>
      <c r="S31" s="229" t="e">
        <f>'Summary Baseline Data'!#REF!/'Summary Baseline Data'!$D53</f>
        <v>#REF!</v>
      </c>
      <c r="T31" s="230" t="e">
        <f t="shared" si="0"/>
        <v>#REF!</v>
      </c>
      <c r="U31" s="244" t="e">
        <f>IF(T31=0,0,SUM('Summary Baseline Data'!#REF!,'Summary Baseline Data'!#REF!,'Summary Baseline Data'!#REF!)+U30)</f>
        <v>#REF!</v>
      </c>
      <c r="W31" s="458">
        <v>48332762.714928873</v>
      </c>
      <c r="X31" s="232">
        <v>12680878.54133575</v>
      </c>
      <c r="Y31" s="232">
        <v>5520724.4897959176</v>
      </c>
      <c r="Z31" s="232">
        <v>0</v>
      </c>
      <c r="AA31" s="244">
        <v>0</v>
      </c>
      <c r="AB31" s="464">
        <v>2036</v>
      </c>
      <c r="AC31" s="350">
        <v>43805662.876808226</v>
      </c>
      <c r="AD31" s="350">
        <v>1679464.591634789</v>
      </c>
      <c r="AE31" s="350">
        <v>-20183355.399871208</v>
      </c>
      <c r="AF31" s="350">
        <v>35237171.422979556</v>
      </c>
      <c r="AG31" s="350">
        <v>0</v>
      </c>
      <c r="AH31" s="350">
        <v>0</v>
      </c>
      <c r="AI31" s="350">
        <v>0</v>
      </c>
      <c r="AJ31" s="350">
        <v>0</v>
      </c>
    </row>
    <row r="32" spans="1:36" x14ac:dyDescent="0.3">
      <c r="A32" s="228">
        <f>'LPP Annual Financing Costs'!A55</f>
        <v>2035</v>
      </c>
      <c r="B32" s="232" t="e">
        <f>ABS(HLOOKUP($D$3,'LPP Annual Financing Costs'!$C$9:$I$80,'LPP Annual Financing Costs'!B55,FALSE))</f>
        <v>#N/A</v>
      </c>
      <c r="C32" s="232" t="e">
        <f>ABS(HLOOKUP($D$3,'LPP Annual Financing Costs'!$K$9:$N$80,'LPP Annual Financing Costs'!B55,FALSE))</f>
        <v>#N/A</v>
      </c>
      <c r="D32" s="233" t="e">
        <f>ABS('LPP Annual Financing Costs'!#REF!)</f>
        <v>#REF!</v>
      </c>
      <c r="E32" s="234" t="e">
        <f>ABS('LPP Annual Financing Costs'!#REF!)</f>
        <v>#REF!</v>
      </c>
      <c r="F32" s="228">
        <f>'LPP Annual Financing Costs'!A55</f>
        <v>2035</v>
      </c>
      <c r="G32" s="232" t="e">
        <f>ABS(HLOOKUP($I$3,'LPP Cumulative Financing Costs'!$C$9:$F$80,'LPP Cumulative Financing Costs'!B55,FALSE))</f>
        <v>#N/A</v>
      </c>
      <c r="H32" s="232" t="e">
        <f>ABS(HLOOKUP($I$3,'LPP Cumulative Financing Costs'!$G$9:$J$80,'LPP Annual Financing Costs'!B55,FALSE))</f>
        <v>#N/A</v>
      </c>
      <c r="I32" s="233" t="e">
        <f>ABS('LPP Cumulative Financing Costs'!#REF!)</f>
        <v>#REF!</v>
      </c>
      <c r="J32" s="234" t="e">
        <f>ABS('LPP Cumulative Financing Costs'!#REF!)</f>
        <v>#REF!</v>
      </c>
      <c r="K32" s="228">
        <v>2035</v>
      </c>
      <c r="L32" s="232" t="e">
        <f>ABS(HLOOKUP($I$3,'LPP Per Cap Annual Finan Costs'!$C$9:$F$80,'LPP Per Cap Annual Finan Costs'!B55,FALSE))</f>
        <v>#N/A</v>
      </c>
      <c r="M32" s="232" t="e">
        <f>ABS(HLOOKUP($I$3,'LPP Per Cap Annual Finan Costs'!$G$9:$J$80,'LPP Per Cap Annual Finan Costs'!B55,FALSE))</f>
        <v>#N/A</v>
      </c>
      <c r="N32" s="232" t="e">
        <f>ABS('LPP Per Cap Annual Finan Costs'!#REF!)</f>
        <v>#REF!</v>
      </c>
      <c r="O32" s="244" t="e">
        <f>ABS('LPP Per Cap Annual Finan Costs'!#REF!)</f>
        <v>#REF!</v>
      </c>
      <c r="P32" s="228">
        <v>2035</v>
      </c>
      <c r="Q32" s="229" t="e">
        <f>'Summary Baseline Data'!#REF!/'Summary Baseline Data'!$D54</f>
        <v>#REF!</v>
      </c>
      <c r="R32" s="229" t="e">
        <f>'Summary Baseline Data'!#REF!/'Summary Baseline Data'!$D54</f>
        <v>#REF!</v>
      </c>
      <c r="S32" s="229" t="e">
        <f>'Summary Baseline Data'!#REF!/'Summary Baseline Data'!$D54</f>
        <v>#REF!</v>
      </c>
      <c r="T32" s="230" t="e">
        <f t="shared" si="0"/>
        <v>#REF!</v>
      </c>
      <c r="U32" s="244" t="e">
        <f>IF(T32=0,0,SUM('Summary Baseline Data'!#REF!,'Summary Baseline Data'!#REF!,'Summary Baseline Data'!#REF!)+U31)</f>
        <v>#REF!</v>
      </c>
      <c r="W32" s="458">
        <v>52712588.941341117</v>
      </c>
      <c r="X32" s="232">
        <v>12934496.112162465</v>
      </c>
      <c r="Y32" s="232">
        <v>5520724.4897959176</v>
      </c>
      <c r="Z32" s="232">
        <v>0</v>
      </c>
      <c r="AA32" s="244">
        <v>0</v>
      </c>
      <c r="AB32" s="464">
        <v>2037</v>
      </c>
      <c r="AC32" s="350">
        <v>46752122.91270002</v>
      </c>
      <c r="AD32" s="350">
        <v>2162310.6617297903</v>
      </c>
      <c r="AE32" s="350">
        <v>-21068963.952527493</v>
      </c>
      <c r="AF32" s="350">
        <v>35237171.422979556</v>
      </c>
      <c r="AG32" s="350">
        <v>0</v>
      </c>
      <c r="AH32" s="350">
        <v>0</v>
      </c>
      <c r="AI32" s="350">
        <v>0</v>
      </c>
      <c r="AJ32" s="350">
        <v>0</v>
      </c>
    </row>
    <row r="33" spans="1:36" x14ac:dyDescent="0.3">
      <c r="A33" s="228">
        <f>'LPP Annual Financing Costs'!A56</f>
        <v>2036</v>
      </c>
      <c r="B33" s="232" t="e">
        <f>ABS(HLOOKUP($D$3,'LPP Annual Financing Costs'!$C$9:$I$80,'LPP Annual Financing Costs'!B56,FALSE))</f>
        <v>#N/A</v>
      </c>
      <c r="C33" s="232" t="e">
        <f>ABS(HLOOKUP($D$3,'LPP Annual Financing Costs'!$K$9:$N$80,'LPP Annual Financing Costs'!B56,FALSE))</f>
        <v>#N/A</v>
      </c>
      <c r="D33" s="233" t="e">
        <f>ABS('LPP Annual Financing Costs'!#REF!)</f>
        <v>#REF!</v>
      </c>
      <c r="E33" s="234" t="e">
        <f>ABS('LPP Annual Financing Costs'!#REF!)</f>
        <v>#REF!</v>
      </c>
      <c r="F33" s="228">
        <f>'LPP Annual Financing Costs'!A56</f>
        <v>2036</v>
      </c>
      <c r="G33" s="232" t="e">
        <f>ABS(HLOOKUP($I$3,'LPP Cumulative Financing Costs'!$C$9:$F$80,'LPP Cumulative Financing Costs'!B56,FALSE))</f>
        <v>#N/A</v>
      </c>
      <c r="H33" s="232" t="e">
        <f>ABS(HLOOKUP($I$3,'LPP Cumulative Financing Costs'!$G$9:$J$80,'LPP Annual Financing Costs'!B56,FALSE))</f>
        <v>#N/A</v>
      </c>
      <c r="I33" s="233" t="e">
        <f>ABS('LPP Cumulative Financing Costs'!#REF!)</f>
        <v>#REF!</v>
      </c>
      <c r="J33" s="234" t="e">
        <f>ABS('LPP Cumulative Financing Costs'!#REF!)</f>
        <v>#REF!</v>
      </c>
      <c r="K33" s="228">
        <v>2036</v>
      </c>
      <c r="L33" s="232" t="e">
        <f>ABS(HLOOKUP($I$3,'LPP Per Cap Annual Finan Costs'!$C$9:$F$80,'LPP Per Cap Annual Finan Costs'!B56,FALSE))</f>
        <v>#N/A</v>
      </c>
      <c r="M33" s="232" t="e">
        <f>ABS(HLOOKUP($I$3,'LPP Per Cap Annual Finan Costs'!$G$9:$J$80,'LPP Per Cap Annual Finan Costs'!B56,FALSE))</f>
        <v>#N/A</v>
      </c>
      <c r="N33" s="232" t="e">
        <f>ABS('LPP Per Cap Annual Finan Costs'!#REF!)</f>
        <v>#REF!</v>
      </c>
      <c r="O33" s="244" t="e">
        <f>ABS('LPP Per Cap Annual Finan Costs'!#REF!)</f>
        <v>#REF!</v>
      </c>
      <c r="P33" s="228">
        <v>2036</v>
      </c>
      <c r="Q33" s="229" t="e">
        <f>'Summary Baseline Data'!#REF!/'Summary Baseline Data'!$D55</f>
        <v>#REF!</v>
      </c>
      <c r="R33" s="229" t="e">
        <f>'Summary Baseline Data'!#REF!/'Summary Baseline Data'!$D55</f>
        <v>#REF!</v>
      </c>
      <c r="S33" s="229" t="e">
        <f>'Summary Baseline Data'!#REF!/'Summary Baseline Data'!$D55</f>
        <v>#REF!</v>
      </c>
      <c r="T33" s="230" t="e">
        <f t="shared" si="0"/>
        <v>#REF!</v>
      </c>
      <c r="U33" s="244" t="e">
        <f>IF(T33=0,0,SUM('Summary Baseline Data'!#REF!,'Summary Baseline Data'!#REF!,'Summary Baseline Data'!#REF!)+U32)</f>
        <v>#REF!</v>
      </c>
      <c r="W33" s="458">
        <v>57379261.499576807</v>
      </c>
      <c r="X33" s="232">
        <v>13193186.034405714</v>
      </c>
      <c r="Y33" s="232">
        <v>5520724.4897958878</v>
      </c>
      <c r="Z33" s="232">
        <v>0</v>
      </c>
      <c r="AA33" s="244">
        <v>0</v>
      </c>
      <c r="AB33" s="464">
        <v>2038</v>
      </c>
      <c r="AC33" s="350">
        <v>49859173.24972216</v>
      </c>
      <c r="AD33" s="350">
        <v>2711893.8262055935</v>
      </c>
      <c r="AE33" s="350">
        <v>-22135807.143448792</v>
      </c>
      <c r="AF33" s="350">
        <v>35237171.42297937</v>
      </c>
      <c r="AG33" s="350">
        <v>0</v>
      </c>
      <c r="AH33" s="350">
        <v>0</v>
      </c>
      <c r="AI33" s="350">
        <v>0</v>
      </c>
      <c r="AJ33" s="350">
        <v>0</v>
      </c>
    </row>
    <row r="34" spans="1:36" x14ac:dyDescent="0.3">
      <c r="A34" s="228">
        <f>'LPP Annual Financing Costs'!A57</f>
        <v>2037</v>
      </c>
      <c r="B34" s="232" t="e">
        <f>ABS(HLOOKUP($D$3,'LPP Annual Financing Costs'!$C$9:$I$80,'LPP Annual Financing Costs'!B57,FALSE))</f>
        <v>#N/A</v>
      </c>
      <c r="C34" s="232" t="e">
        <f>ABS(HLOOKUP($D$3,'LPP Annual Financing Costs'!$K$9:$N$80,'LPP Annual Financing Costs'!B57,FALSE))</f>
        <v>#N/A</v>
      </c>
      <c r="D34" s="233" t="e">
        <f>ABS('LPP Annual Financing Costs'!#REF!)</f>
        <v>#REF!</v>
      </c>
      <c r="E34" s="234" t="e">
        <f>ABS('LPP Annual Financing Costs'!#REF!)</f>
        <v>#REF!</v>
      </c>
      <c r="F34" s="228">
        <f>'LPP Annual Financing Costs'!A57</f>
        <v>2037</v>
      </c>
      <c r="G34" s="232" t="e">
        <f>ABS(HLOOKUP($I$3,'LPP Cumulative Financing Costs'!$C$9:$F$80,'LPP Cumulative Financing Costs'!B57,FALSE))</f>
        <v>#N/A</v>
      </c>
      <c r="H34" s="232" t="e">
        <f>ABS(HLOOKUP($I$3,'LPP Cumulative Financing Costs'!$G$9:$J$80,'LPP Annual Financing Costs'!B57,FALSE))</f>
        <v>#N/A</v>
      </c>
      <c r="I34" s="233" t="e">
        <f>ABS('LPP Cumulative Financing Costs'!#REF!)</f>
        <v>#REF!</v>
      </c>
      <c r="J34" s="234" t="e">
        <f>ABS('LPP Cumulative Financing Costs'!#REF!)</f>
        <v>#REF!</v>
      </c>
      <c r="K34" s="228">
        <v>2037</v>
      </c>
      <c r="L34" s="232" t="e">
        <f>ABS(HLOOKUP($I$3,'LPP Per Cap Annual Finan Costs'!$C$9:$F$80,'LPP Per Cap Annual Finan Costs'!B57,FALSE))</f>
        <v>#N/A</v>
      </c>
      <c r="M34" s="232" t="e">
        <f>ABS(HLOOKUP($I$3,'LPP Per Cap Annual Finan Costs'!$G$9:$J$80,'LPP Per Cap Annual Finan Costs'!B57,FALSE))</f>
        <v>#N/A</v>
      </c>
      <c r="N34" s="232" t="e">
        <f>ABS('LPP Per Cap Annual Finan Costs'!#REF!)</f>
        <v>#REF!</v>
      </c>
      <c r="O34" s="244" t="e">
        <f>ABS('LPP Per Cap Annual Finan Costs'!#REF!)</f>
        <v>#REF!</v>
      </c>
      <c r="P34" s="228">
        <v>2037</v>
      </c>
      <c r="Q34" s="229" t="e">
        <f>'Summary Baseline Data'!#REF!/'Summary Baseline Data'!$D56</f>
        <v>#REF!</v>
      </c>
      <c r="R34" s="229" t="e">
        <f>'Summary Baseline Data'!#REF!/'Summary Baseline Data'!$D56</f>
        <v>#REF!</v>
      </c>
      <c r="S34" s="229" t="e">
        <f>'Summary Baseline Data'!#REF!/'Summary Baseline Data'!$D56</f>
        <v>#REF!</v>
      </c>
      <c r="T34" s="230" t="e">
        <f t="shared" si="0"/>
        <v>#REF!</v>
      </c>
      <c r="U34" s="244" t="e">
        <f>IF(T34=0,0,SUM('Summary Baseline Data'!#REF!,'Summary Baseline Data'!#REF!,'Summary Baseline Data'!#REF!)+U33)</f>
        <v>#REF!</v>
      </c>
      <c r="W34" s="458">
        <v>62350304.08212468</v>
      </c>
      <c r="X34" s="232">
        <v>13457049.755093828</v>
      </c>
      <c r="Y34" s="232">
        <v>5520724.4897959465</v>
      </c>
      <c r="Z34" s="232">
        <v>0</v>
      </c>
      <c r="AA34" s="244">
        <v>0</v>
      </c>
      <c r="AB34" s="464">
        <v>2039</v>
      </c>
      <c r="AC34" s="350">
        <v>53134799.462684423</v>
      </c>
      <c r="AD34" s="350">
        <v>3292505.9009543872</v>
      </c>
      <c r="AE34" s="350">
        <v>-23321435.843917042</v>
      </c>
      <c r="AF34" s="350">
        <v>35237171.422979742</v>
      </c>
      <c r="AG34" s="350">
        <v>0</v>
      </c>
      <c r="AH34" s="350">
        <v>0</v>
      </c>
      <c r="AI34" s="350">
        <v>0</v>
      </c>
      <c r="AJ34" s="350">
        <v>0</v>
      </c>
    </row>
    <row r="35" spans="1:36" x14ac:dyDescent="0.3">
      <c r="A35" s="228">
        <f>'LPP Annual Financing Costs'!A58</f>
        <v>2038</v>
      </c>
      <c r="B35" s="232" t="e">
        <f>ABS(HLOOKUP($D$3,'LPP Annual Financing Costs'!$C$9:$I$80,'LPP Annual Financing Costs'!B58,FALSE))</f>
        <v>#N/A</v>
      </c>
      <c r="C35" s="232" t="e">
        <f>ABS(HLOOKUP($D$3,'LPP Annual Financing Costs'!$K$9:$N$80,'LPP Annual Financing Costs'!B58,FALSE))</f>
        <v>#N/A</v>
      </c>
      <c r="D35" s="233" t="e">
        <f>ABS('LPP Annual Financing Costs'!#REF!)</f>
        <v>#REF!</v>
      </c>
      <c r="E35" s="234" t="e">
        <f>ABS('LPP Annual Financing Costs'!#REF!)</f>
        <v>#REF!</v>
      </c>
      <c r="F35" s="228">
        <f>'LPP Annual Financing Costs'!A58</f>
        <v>2038</v>
      </c>
      <c r="G35" s="232" t="e">
        <f>ABS(HLOOKUP($I$3,'LPP Cumulative Financing Costs'!$C$9:$F$80,'LPP Cumulative Financing Costs'!B58,FALSE))</f>
        <v>#N/A</v>
      </c>
      <c r="H35" s="232" t="e">
        <f>ABS(HLOOKUP($I$3,'LPP Cumulative Financing Costs'!$G$9:$J$80,'LPP Annual Financing Costs'!B58,FALSE))</f>
        <v>#N/A</v>
      </c>
      <c r="I35" s="233" t="e">
        <f>ABS('LPP Cumulative Financing Costs'!#REF!)</f>
        <v>#REF!</v>
      </c>
      <c r="J35" s="234" t="e">
        <f>ABS('LPP Cumulative Financing Costs'!#REF!)</f>
        <v>#REF!</v>
      </c>
      <c r="K35" s="228">
        <v>2038</v>
      </c>
      <c r="L35" s="232" t="e">
        <f>ABS(HLOOKUP($I$3,'LPP Per Cap Annual Finan Costs'!$C$9:$F$80,'LPP Per Cap Annual Finan Costs'!B58,FALSE))</f>
        <v>#N/A</v>
      </c>
      <c r="M35" s="232" t="e">
        <f>ABS(HLOOKUP($I$3,'LPP Per Cap Annual Finan Costs'!$G$9:$J$80,'LPP Per Cap Annual Finan Costs'!B58,FALSE))</f>
        <v>#N/A</v>
      </c>
      <c r="N35" s="232" t="e">
        <f>ABS('LPP Per Cap Annual Finan Costs'!#REF!)</f>
        <v>#REF!</v>
      </c>
      <c r="O35" s="244" t="e">
        <f>ABS('LPP Per Cap Annual Finan Costs'!#REF!)</f>
        <v>#REF!</v>
      </c>
      <c r="P35" s="228">
        <v>2038</v>
      </c>
      <c r="Q35" s="229" t="e">
        <f>'Summary Baseline Data'!#REF!/'Summary Baseline Data'!$D57</f>
        <v>#REF!</v>
      </c>
      <c r="R35" s="229" t="e">
        <f>'Summary Baseline Data'!#REF!/'Summary Baseline Data'!$D57</f>
        <v>#REF!</v>
      </c>
      <c r="S35" s="229" t="e">
        <f>'Summary Baseline Data'!#REF!/'Summary Baseline Data'!$D57</f>
        <v>#REF!</v>
      </c>
      <c r="T35" s="230" t="e">
        <f t="shared" si="0"/>
        <v>#REF!</v>
      </c>
      <c r="U35" s="244" t="e">
        <f>IF(T35=0,0,SUM('Summary Baseline Data'!#REF!,'Summary Baseline Data'!#REF!,'Summary Baseline Data'!#REF!)+U34)</f>
        <v>#REF!</v>
      </c>
      <c r="W35" s="458">
        <v>67644297.481220379</v>
      </c>
      <c r="X35" s="232">
        <v>13726190.750195704</v>
      </c>
      <c r="Y35" s="232">
        <v>5520724.4897959176</v>
      </c>
      <c r="Z35" s="232">
        <v>0</v>
      </c>
      <c r="AA35" s="244">
        <v>0</v>
      </c>
      <c r="AB35" s="464">
        <v>2040</v>
      </c>
      <c r="AC35" s="350">
        <v>56587362.804192938</v>
      </c>
      <c r="AD35" s="350">
        <v>3905513.9957445273</v>
      </c>
      <c r="AE35" s="350">
        <v>-24635939.156090416</v>
      </c>
      <c r="AF35" s="350">
        <v>35237171.422979556</v>
      </c>
      <c r="AG35" s="350">
        <v>0</v>
      </c>
      <c r="AH35" s="350">
        <v>0</v>
      </c>
      <c r="AI35" s="350">
        <v>0</v>
      </c>
      <c r="AJ35" s="350">
        <v>0</v>
      </c>
    </row>
    <row r="36" spans="1:36" x14ac:dyDescent="0.3">
      <c r="A36" s="228">
        <f>'LPP Annual Financing Costs'!A59</f>
        <v>2039</v>
      </c>
      <c r="B36" s="232" t="e">
        <f>ABS(HLOOKUP($D$3,'LPP Annual Financing Costs'!$C$9:$I$80,'LPP Annual Financing Costs'!B59,FALSE))</f>
        <v>#N/A</v>
      </c>
      <c r="C36" s="232" t="e">
        <f>ABS(HLOOKUP($D$3,'LPP Annual Financing Costs'!$K$9:$N$80,'LPP Annual Financing Costs'!B59,FALSE))</f>
        <v>#N/A</v>
      </c>
      <c r="D36" s="233" t="e">
        <f>ABS('LPP Annual Financing Costs'!#REF!)</f>
        <v>#REF!</v>
      </c>
      <c r="E36" s="234" t="e">
        <f>ABS('LPP Annual Financing Costs'!#REF!)</f>
        <v>#REF!</v>
      </c>
      <c r="F36" s="228">
        <f>'LPP Annual Financing Costs'!A59</f>
        <v>2039</v>
      </c>
      <c r="G36" s="232" t="e">
        <f>ABS(HLOOKUP($I$3,'LPP Cumulative Financing Costs'!$C$9:$F$80,'LPP Cumulative Financing Costs'!B59,FALSE))</f>
        <v>#N/A</v>
      </c>
      <c r="H36" s="232" t="e">
        <f>ABS(HLOOKUP($I$3,'LPP Cumulative Financing Costs'!$G$9:$J$80,'LPP Annual Financing Costs'!B59,FALSE))</f>
        <v>#N/A</v>
      </c>
      <c r="I36" s="233" t="e">
        <f>ABS('LPP Cumulative Financing Costs'!#REF!)</f>
        <v>#REF!</v>
      </c>
      <c r="J36" s="234" t="e">
        <f>ABS('LPP Cumulative Financing Costs'!#REF!)</f>
        <v>#REF!</v>
      </c>
      <c r="K36" s="228">
        <v>2039</v>
      </c>
      <c r="L36" s="232" t="e">
        <f>ABS(HLOOKUP($I$3,'LPP Per Cap Annual Finan Costs'!$C$9:$F$80,'LPP Per Cap Annual Finan Costs'!B59,FALSE))</f>
        <v>#N/A</v>
      </c>
      <c r="M36" s="232" t="e">
        <f>ABS(HLOOKUP($I$3,'LPP Per Cap Annual Finan Costs'!$G$9:$J$80,'LPP Per Cap Annual Finan Costs'!B59,FALSE))</f>
        <v>#N/A</v>
      </c>
      <c r="N36" s="232" t="e">
        <f>ABS('LPP Per Cap Annual Finan Costs'!#REF!)</f>
        <v>#REF!</v>
      </c>
      <c r="O36" s="244" t="e">
        <f>ABS('LPP Per Cap Annual Finan Costs'!#REF!)</f>
        <v>#REF!</v>
      </c>
      <c r="P36" s="228">
        <v>2039</v>
      </c>
      <c r="Q36" s="229" t="e">
        <f>'Summary Baseline Data'!#REF!/'Summary Baseline Data'!$D58</f>
        <v>#REF!</v>
      </c>
      <c r="R36" s="229" t="e">
        <f>'Summary Baseline Data'!#REF!/'Summary Baseline Data'!$D58</f>
        <v>#REF!</v>
      </c>
      <c r="S36" s="229" t="e">
        <f>'Summary Baseline Data'!#REF!/'Summary Baseline Data'!$D58</f>
        <v>#REF!</v>
      </c>
      <c r="T36" s="230" t="e">
        <f t="shared" si="0"/>
        <v>#REF!</v>
      </c>
      <c r="U36" s="244" t="e">
        <f>IF(T36=0,0,SUM('Summary Baseline Data'!#REF!,'Summary Baseline Data'!#REF!,'Summary Baseline Data'!#REF!)+U35)</f>
        <v>#REF!</v>
      </c>
      <c r="W36" s="458">
        <v>73280943.431217298</v>
      </c>
      <c r="X36" s="232">
        <v>14000714.565199619</v>
      </c>
      <c r="Y36" s="232">
        <v>5520724.4897958878</v>
      </c>
      <c r="Z36" s="232">
        <v>0</v>
      </c>
      <c r="AA36" s="244">
        <v>0</v>
      </c>
      <c r="AB36" s="464">
        <v>2041</v>
      </c>
      <c r="AC36" s="350">
        <v>60225617.318501621</v>
      </c>
      <c r="AD36" s="350">
        <v>4552339.3209112175</v>
      </c>
      <c r="AE36" s="350">
        <v>-26090181.552808382</v>
      </c>
      <c r="AF36" s="350">
        <v>35237171.42297937</v>
      </c>
      <c r="AG36" s="350">
        <v>0</v>
      </c>
      <c r="AH36" s="350">
        <v>0</v>
      </c>
      <c r="AI36" s="350">
        <v>0</v>
      </c>
      <c r="AJ36" s="350">
        <v>0</v>
      </c>
    </row>
    <row r="37" spans="1:36" x14ac:dyDescent="0.3">
      <c r="A37" s="228">
        <f>'LPP Annual Financing Costs'!A60</f>
        <v>2040</v>
      </c>
      <c r="B37" s="232" t="e">
        <f>ABS(HLOOKUP($D$3,'LPP Annual Financing Costs'!$C$9:$I$80,'LPP Annual Financing Costs'!B60,FALSE))</f>
        <v>#N/A</v>
      </c>
      <c r="C37" s="232" t="e">
        <f>ABS(HLOOKUP($D$3,'LPP Annual Financing Costs'!$K$9:$N$80,'LPP Annual Financing Costs'!B60,FALSE))</f>
        <v>#N/A</v>
      </c>
      <c r="D37" s="233" t="e">
        <f>ABS('LPP Annual Financing Costs'!#REF!)</f>
        <v>#REF!</v>
      </c>
      <c r="E37" s="234" t="e">
        <f>ABS('LPP Annual Financing Costs'!#REF!)</f>
        <v>#REF!</v>
      </c>
      <c r="F37" s="228">
        <f>'LPP Annual Financing Costs'!A60</f>
        <v>2040</v>
      </c>
      <c r="G37" s="232" t="e">
        <f>ABS(HLOOKUP($I$3,'LPP Cumulative Financing Costs'!$C$9:$F$80,'LPP Cumulative Financing Costs'!B60,FALSE))</f>
        <v>#N/A</v>
      </c>
      <c r="H37" s="232" t="e">
        <f>ABS(HLOOKUP($I$3,'LPP Cumulative Financing Costs'!$G$9:$J$80,'LPP Annual Financing Costs'!B60,FALSE))</f>
        <v>#N/A</v>
      </c>
      <c r="I37" s="233" t="e">
        <f>ABS('LPP Cumulative Financing Costs'!#REF!)</f>
        <v>#REF!</v>
      </c>
      <c r="J37" s="234" t="e">
        <f>ABS('LPP Cumulative Financing Costs'!#REF!)</f>
        <v>#REF!</v>
      </c>
      <c r="K37" s="228">
        <v>2040</v>
      </c>
      <c r="L37" s="232" t="e">
        <f>ABS(HLOOKUP($I$3,'LPP Per Cap Annual Finan Costs'!$C$9:$F$80,'LPP Per Cap Annual Finan Costs'!B60,FALSE))</f>
        <v>#N/A</v>
      </c>
      <c r="M37" s="232" t="e">
        <f>ABS(HLOOKUP($I$3,'LPP Per Cap Annual Finan Costs'!$G$9:$J$80,'LPP Per Cap Annual Finan Costs'!B60,FALSE))</f>
        <v>#N/A</v>
      </c>
      <c r="N37" s="232" t="e">
        <f>ABS('LPP Per Cap Annual Finan Costs'!#REF!)</f>
        <v>#REF!</v>
      </c>
      <c r="O37" s="244" t="e">
        <f>ABS('LPP Per Cap Annual Finan Costs'!#REF!)</f>
        <v>#REF!</v>
      </c>
      <c r="P37" s="228">
        <v>2040</v>
      </c>
      <c r="Q37" s="229" t="e">
        <f>'Summary Baseline Data'!#REF!/'Summary Baseline Data'!$D59</f>
        <v>#REF!</v>
      </c>
      <c r="R37" s="229" t="e">
        <f>'Summary Baseline Data'!#REF!/'Summary Baseline Data'!$D59</f>
        <v>#REF!</v>
      </c>
      <c r="S37" s="229" t="e">
        <f>'Summary Baseline Data'!#REF!/'Summary Baseline Data'!$D59</f>
        <v>#REF!</v>
      </c>
      <c r="T37" s="230" t="e">
        <f t="shared" si="0"/>
        <v>#REF!</v>
      </c>
      <c r="U37" s="244" t="e">
        <f>IF(T37=0,0,SUM('Summary Baseline Data'!#REF!,'Summary Baseline Data'!#REF!,'Summary Baseline Data'!#REF!)+U36)</f>
        <v>#REF!</v>
      </c>
      <c r="W37" s="458">
        <v>79281132.308228165</v>
      </c>
      <c r="X37" s="232">
        <v>14280728.856503611</v>
      </c>
      <c r="Y37" s="232">
        <v>5520724.4897959465</v>
      </c>
      <c r="Z37" s="232">
        <v>0</v>
      </c>
      <c r="AA37" s="244">
        <v>0</v>
      </c>
      <c r="AB37" s="464">
        <v>2042</v>
      </c>
      <c r="AC37" s="350">
        <v>64058727.711374432</v>
      </c>
      <c r="AD37" s="350">
        <v>5234459.2029917333</v>
      </c>
      <c r="AE37" s="350">
        <v>-27695858.437639892</v>
      </c>
      <c r="AF37" s="350">
        <v>35237171.422979742</v>
      </c>
      <c r="AG37" s="350">
        <v>0</v>
      </c>
      <c r="AH37" s="350">
        <v>0</v>
      </c>
      <c r="AI37" s="350">
        <v>0</v>
      </c>
      <c r="AJ37" s="350">
        <v>0</v>
      </c>
    </row>
    <row r="38" spans="1:36" x14ac:dyDescent="0.3">
      <c r="A38" s="228">
        <f>'LPP Annual Financing Costs'!A61</f>
        <v>2041</v>
      </c>
      <c r="B38" s="232" t="e">
        <f>ABS(HLOOKUP($D$3,'LPP Annual Financing Costs'!$C$9:$I$80,'LPP Annual Financing Costs'!B61,FALSE))</f>
        <v>#N/A</v>
      </c>
      <c r="C38" s="232" t="e">
        <f>ABS(HLOOKUP($D$3,'LPP Annual Financing Costs'!$K$9:$N$80,'LPP Annual Financing Costs'!B61,FALSE))</f>
        <v>#N/A</v>
      </c>
      <c r="D38" s="233" t="e">
        <f>ABS('LPP Annual Financing Costs'!#REF!)</f>
        <v>#REF!</v>
      </c>
      <c r="E38" s="234" t="e">
        <f>ABS('LPP Annual Financing Costs'!#REF!)</f>
        <v>#REF!</v>
      </c>
      <c r="F38" s="228">
        <f>'LPP Annual Financing Costs'!A61</f>
        <v>2041</v>
      </c>
      <c r="G38" s="232" t="e">
        <f>ABS(HLOOKUP($I$3,'LPP Cumulative Financing Costs'!$C$9:$F$80,'LPP Cumulative Financing Costs'!B61,FALSE))</f>
        <v>#N/A</v>
      </c>
      <c r="H38" s="232" t="e">
        <f>ABS(HLOOKUP($I$3,'LPP Cumulative Financing Costs'!$G$9:$J$80,'LPP Annual Financing Costs'!B61,FALSE))</f>
        <v>#N/A</v>
      </c>
      <c r="I38" s="233" t="e">
        <f>ABS('LPP Cumulative Financing Costs'!#REF!)</f>
        <v>#REF!</v>
      </c>
      <c r="J38" s="234" t="e">
        <f>ABS('LPP Cumulative Financing Costs'!#REF!)</f>
        <v>#REF!</v>
      </c>
      <c r="K38" s="228">
        <v>2041</v>
      </c>
      <c r="L38" s="232" t="e">
        <f>ABS(HLOOKUP($I$3,'LPP Per Cap Annual Finan Costs'!$C$9:$F$80,'LPP Per Cap Annual Finan Costs'!B61,FALSE))</f>
        <v>#N/A</v>
      </c>
      <c r="M38" s="232" t="e">
        <f>ABS(HLOOKUP($I$3,'LPP Per Cap Annual Finan Costs'!$G$9:$J$80,'LPP Per Cap Annual Finan Costs'!B61,FALSE))</f>
        <v>#N/A</v>
      </c>
      <c r="N38" s="232" t="e">
        <f>ABS('LPP Per Cap Annual Finan Costs'!#REF!)</f>
        <v>#REF!</v>
      </c>
      <c r="O38" s="244" t="e">
        <f>ABS('LPP Per Cap Annual Finan Costs'!#REF!)</f>
        <v>#REF!</v>
      </c>
      <c r="P38" s="228">
        <v>2041</v>
      </c>
      <c r="Q38" s="229" t="e">
        <f>'Summary Baseline Data'!#REF!/'Summary Baseline Data'!$D60</f>
        <v>#REF!</v>
      </c>
      <c r="R38" s="229" t="e">
        <f>'Summary Baseline Data'!#REF!/'Summary Baseline Data'!$D60</f>
        <v>#REF!</v>
      </c>
      <c r="S38" s="229" t="e">
        <f>'Summary Baseline Data'!#REF!/'Summary Baseline Data'!$D60</f>
        <v>#REF!</v>
      </c>
      <c r="T38" s="230" t="e">
        <f t="shared" si="0"/>
        <v>#REF!</v>
      </c>
      <c r="U38" s="244" t="e">
        <f>IF(T38=0,0,SUM('Summary Baseline Data'!#REF!,'Summary Baseline Data'!#REF!,'Summary Baseline Data'!#REF!)+U37)</f>
        <v>#REF!</v>
      </c>
      <c r="W38" s="458">
        <v>85945505.550775707</v>
      </c>
      <c r="X38" s="232">
        <v>14566343.433633685</v>
      </c>
      <c r="Y38" s="232">
        <v>6104310.2040816154</v>
      </c>
      <c r="Z38" s="232">
        <v>0</v>
      </c>
      <c r="AA38" s="244">
        <v>0</v>
      </c>
      <c r="AB38" s="464">
        <v>2043</v>
      </c>
      <c r="AC38" s="350">
        <v>68096288.009314477</v>
      </c>
      <c r="AD38" s="350">
        <v>5953409.1726082601</v>
      </c>
      <c r="AE38" s="350">
        <v>-30327631.833564371</v>
      </c>
      <c r="AF38" s="350">
        <v>38962028.530465335</v>
      </c>
      <c r="AG38" s="350">
        <v>0</v>
      </c>
      <c r="AH38" s="350">
        <v>0</v>
      </c>
      <c r="AI38" s="350">
        <v>0</v>
      </c>
      <c r="AJ38" s="350">
        <v>0</v>
      </c>
    </row>
    <row r="39" spans="1:36" x14ac:dyDescent="0.3">
      <c r="A39" s="228">
        <f>'LPP Annual Financing Costs'!A62</f>
        <v>2042</v>
      </c>
      <c r="B39" s="232" t="e">
        <f>ABS(HLOOKUP($D$3,'LPP Annual Financing Costs'!$C$9:$I$80,'LPP Annual Financing Costs'!B62,FALSE))</f>
        <v>#N/A</v>
      </c>
      <c r="C39" s="232" t="e">
        <f>ABS(HLOOKUP($D$3,'LPP Annual Financing Costs'!$K$9:$N$80,'LPP Annual Financing Costs'!B62,FALSE))</f>
        <v>#N/A</v>
      </c>
      <c r="D39" s="233" t="e">
        <f>ABS('LPP Annual Financing Costs'!#REF!)</f>
        <v>#REF!</v>
      </c>
      <c r="E39" s="234" t="e">
        <f>ABS('LPP Annual Financing Costs'!#REF!)</f>
        <v>#REF!</v>
      </c>
      <c r="F39" s="228">
        <f>'LPP Annual Financing Costs'!A62</f>
        <v>2042</v>
      </c>
      <c r="G39" s="232" t="e">
        <f>ABS(HLOOKUP($I$3,'LPP Cumulative Financing Costs'!$C$9:$F$80,'LPP Cumulative Financing Costs'!B62,FALSE))</f>
        <v>#N/A</v>
      </c>
      <c r="H39" s="232" t="e">
        <f>ABS(HLOOKUP($I$3,'LPP Cumulative Financing Costs'!$G$9:$J$80,'LPP Annual Financing Costs'!B62,FALSE))</f>
        <v>#N/A</v>
      </c>
      <c r="I39" s="233" t="e">
        <f>ABS('LPP Cumulative Financing Costs'!#REF!)</f>
        <v>#REF!</v>
      </c>
      <c r="J39" s="234" t="e">
        <f>ABS('LPP Cumulative Financing Costs'!#REF!)</f>
        <v>#REF!</v>
      </c>
      <c r="K39" s="228">
        <v>2042</v>
      </c>
      <c r="L39" s="232" t="e">
        <f>ABS(HLOOKUP($I$3,'LPP Per Cap Annual Finan Costs'!$C$9:$F$80,'LPP Per Cap Annual Finan Costs'!B62,FALSE))</f>
        <v>#N/A</v>
      </c>
      <c r="M39" s="232" t="e">
        <f>ABS(HLOOKUP($I$3,'LPP Per Cap Annual Finan Costs'!$G$9:$J$80,'LPP Per Cap Annual Finan Costs'!B62,FALSE))</f>
        <v>#N/A</v>
      </c>
      <c r="N39" s="232" t="e">
        <f>ABS('LPP Per Cap Annual Finan Costs'!#REF!)</f>
        <v>#REF!</v>
      </c>
      <c r="O39" s="244" t="e">
        <f>ABS('LPP Per Cap Annual Finan Costs'!#REF!)</f>
        <v>#REF!</v>
      </c>
      <c r="P39" s="228">
        <v>2042</v>
      </c>
      <c r="Q39" s="229" t="e">
        <f>'Summary Baseline Data'!#REF!/'Summary Baseline Data'!$D61</f>
        <v>#REF!</v>
      </c>
      <c r="R39" s="229" t="e">
        <f>'Summary Baseline Data'!#REF!/'Summary Baseline Data'!$D61</f>
        <v>#REF!</v>
      </c>
      <c r="S39" s="229" t="e">
        <f>'Summary Baseline Data'!#REF!/'Summary Baseline Data'!$D61</f>
        <v>#REF!</v>
      </c>
      <c r="T39" s="230" t="e">
        <f t="shared" si="0"/>
        <v>#REF!</v>
      </c>
      <c r="U39" s="244" t="e">
        <f>IF(T39=0,0,SUM('Summary Baseline Data'!#REF!,'Summary Baseline Data'!#REF!,'Summary Baseline Data'!#REF!)+U38)</f>
        <v>#REF!</v>
      </c>
      <c r="W39" s="458">
        <v>93042081.517792746</v>
      </c>
      <c r="X39" s="232">
        <v>14857670.302306358</v>
      </c>
      <c r="Y39" s="232">
        <v>6104310.2040816452</v>
      </c>
      <c r="Z39" s="232">
        <v>0</v>
      </c>
      <c r="AA39" s="244">
        <v>0</v>
      </c>
      <c r="AB39" s="464">
        <v>2044</v>
      </c>
      <c r="AC39" s="350">
        <v>72516131.141595542</v>
      </c>
      <c r="AD39" s="350">
        <v>6710785.1271190904</v>
      </c>
      <c r="AE39" s="350">
        <v>-32417231.296214722</v>
      </c>
      <c r="AF39" s="350">
        <v>38962028.530465521</v>
      </c>
      <c r="AG39" s="350">
        <v>0</v>
      </c>
      <c r="AH39" s="350">
        <v>0</v>
      </c>
      <c r="AI39" s="350">
        <v>0</v>
      </c>
      <c r="AJ39" s="350">
        <v>0</v>
      </c>
    </row>
    <row r="40" spans="1:36" x14ac:dyDescent="0.3">
      <c r="A40" s="228">
        <f>'LPP Annual Financing Costs'!A63</f>
        <v>2043</v>
      </c>
      <c r="B40" s="232" t="e">
        <f>ABS(HLOOKUP($D$3,'LPP Annual Financing Costs'!$C$9:$I$80,'LPP Annual Financing Costs'!B63,FALSE))</f>
        <v>#N/A</v>
      </c>
      <c r="C40" s="232" t="e">
        <f>ABS(HLOOKUP($D$3,'LPP Annual Financing Costs'!$K$9:$N$80,'LPP Annual Financing Costs'!B63,FALSE))</f>
        <v>#N/A</v>
      </c>
      <c r="D40" s="233" t="e">
        <f>ABS('LPP Annual Financing Costs'!#REF!)</f>
        <v>#REF!</v>
      </c>
      <c r="E40" s="234" t="e">
        <f>ABS('LPP Annual Financing Costs'!#REF!)</f>
        <v>#REF!</v>
      </c>
      <c r="F40" s="228">
        <f>'LPP Annual Financing Costs'!A63</f>
        <v>2043</v>
      </c>
      <c r="G40" s="232" t="e">
        <f>ABS(HLOOKUP($I$3,'LPP Cumulative Financing Costs'!$C$9:$F$80,'LPP Cumulative Financing Costs'!B63,FALSE))</f>
        <v>#N/A</v>
      </c>
      <c r="H40" s="232" t="e">
        <f>ABS(HLOOKUP($I$3,'LPP Cumulative Financing Costs'!$G$9:$J$80,'LPP Annual Financing Costs'!B63,FALSE))</f>
        <v>#N/A</v>
      </c>
      <c r="I40" s="233" t="e">
        <f>ABS('LPP Cumulative Financing Costs'!#REF!)</f>
        <v>#REF!</v>
      </c>
      <c r="J40" s="234" t="e">
        <f>ABS('LPP Cumulative Financing Costs'!#REF!)</f>
        <v>#REF!</v>
      </c>
      <c r="K40" s="228">
        <v>2043</v>
      </c>
      <c r="L40" s="232" t="e">
        <f>ABS(HLOOKUP($I$3,'LPP Per Cap Annual Finan Costs'!$C$9:$F$80,'LPP Per Cap Annual Finan Costs'!B63,FALSE))</f>
        <v>#N/A</v>
      </c>
      <c r="M40" s="232" t="e">
        <f>ABS(HLOOKUP($I$3,'LPP Per Cap Annual Finan Costs'!$G$9:$J$80,'LPP Per Cap Annual Finan Costs'!B63,FALSE))</f>
        <v>#N/A</v>
      </c>
      <c r="N40" s="232" t="e">
        <f>ABS('LPP Per Cap Annual Finan Costs'!#REF!)</f>
        <v>#REF!</v>
      </c>
      <c r="O40" s="244" t="e">
        <f>ABS('LPP Per Cap Annual Finan Costs'!#REF!)</f>
        <v>#REF!</v>
      </c>
      <c r="P40" s="228">
        <v>2043</v>
      </c>
      <c r="Q40" s="229" t="e">
        <f>'Summary Baseline Data'!#REF!/'Summary Baseline Data'!$D62</f>
        <v>#REF!</v>
      </c>
      <c r="R40" s="229" t="e">
        <f>'Summary Baseline Data'!#REF!/'Summary Baseline Data'!$D62</f>
        <v>#REF!</v>
      </c>
      <c r="S40" s="229" t="e">
        <f>'Summary Baseline Data'!#REF!/'Summary Baseline Data'!$D62</f>
        <v>#REF!</v>
      </c>
      <c r="T40" s="230" t="e">
        <f t="shared" si="0"/>
        <v>#REF!</v>
      </c>
      <c r="U40" s="244" t="e">
        <f>IF(T40=0,0,SUM('Summary Baseline Data'!#REF!,'Summary Baseline Data'!#REF!,'Summary Baseline Data'!#REF!)+U39)</f>
        <v>#REF!</v>
      </c>
      <c r="W40" s="458">
        <v>100597322.28387028</v>
      </c>
      <c r="X40" s="232">
        <v>15154823.708352486</v>
      </c>
      <c r="Y40" s="232">
        <v>6104310.2040816452</v>
      </c>
      <c r="Z40" s="232">
        <v>0</v>
      </c>
      <c r="AA40" s="244">
        <v>0</v>
      </c>
      <c r="AB40" s="464">
        <v>2045</v>
      </c>
      <c r="AC40" s="350">
        <v>77173585.474732742</v>
      </c>
      <c r="AD40" s="350">
        <v>7508245.5706452262</v>
      </c>
      <c r="AE40" s="350">
        <v>-34712346.885837831</v>
      </c>
      <c r="AF40" s="350">
        <v>38962028.530465521</v>
      </c>
      <c r="AG40" s="350">
        <v>0</v>
      </c>
      <c r="AH40" s="350">
        <v>0</v>
      </c>
      <c r="AI40" s="350">
        <v>0</v>
      </c>
      <c r="AJ40" s="350">
        <v>0</v>
      </c>
    </row>
    <row r="41" spans="1:36" x14ac:dyDescent="0.3">
      <c r="A41" s="228">
        <f>'LPP Annual Financing Costs'!A64</f>
        <v>2044</v>
      </c>
      <c r="B41" s="232" t="e">
        <f>ABS(HLOOKUP($D$3,'LPP Annual Financing Costs'!$C$9:$I$80,'LPP Annual Financing Costs'!B64,FALSE))</f>
        <v>#N/A</v>
      </c>
      <c r="C41" s="232" t="e">
        <f>ABS(HLOOKUP($D$3,'LPP Annual Financing Costs'!$K$9:$N$80,'LPP Annual Financing Costs'!B64,FALSE))</f>
        <v>#N/A</v>
      </c>
      <c r="D41" s="233" t="e">
        <f>ABS('LPP Annual Financing Costs'!#REF!)</f>
        <v>#REF!</v>
      </c>
      <c r="E41" s="234" t="e">
        <f>ABS('LPP Annual Financing Costs'!#REF!)</f>
        <v>#REF!</v>
      </c>
      <c r="F41" s="228">
        <f>'LPP Annual Financing Costs'!A64</f>
        <v>2044</v>
      </c>
      <c r="G41" s="232" t="e">
        <f>ABS(HLOOKUP($I$3,'LPP Cumulative Financing Costs'!$C$9:$F$80,'LPP Cumulative Financing Costs'!B64,FALSE))</f>
        <v>#N/A</v>
      </c>
      <c r="H41" s="232" t="e">
        <f>ABS(HLOOKUP($I$3,'LPP Cumulative Financing Costs'!$G$9:$J$80,'LPP Annual Financing Costs'!B64,FALSE))</f>
        <v>#N/A</v>
      </c>
      <c r="I41" s="233" t="e">
        <f>ABS('LPP Cumulative Financing Costs'!#REF!)</f>
        <v>#REF!</v>
      </c>
      <c r="J41" s="234" t="e">
        <f>ABS('LPP Cumulative Financing Costs'!#REF!)</f>
        <v>#REF!</v>
      </c>
      <c r="K41" s="228">
        <v>2044</v>
      </c>
      <c r="L41" s="232" t="e">
        <f>ABS(HLOOKUP($I$3,'LPP Per Cap Annual Finan Costs'!$C$9:$F$80,'LPP Per Cap Annual Finan Costs'!B64,FALSE))</f>
        <v>#N/A</v>
      </c>
      <c r="M41" s="232" t="e">
        <f>ABS(HLOOKUP($I$3,'LPP Per Cap Annual Finan Costs'!$G$9:$J$80,'LPP Per Cap Annual Finan Costs'!B64,FALSE))</f>
        <v>#N/A</v>
      </c>
      <c r="N41" s="232" t="e">
        <f>ABS('LPP Per Cap Annual Finan Costs'!#REF!)</f>
        <v>#REF!</v>
      </c>
      <c r="O41" s="244" t="e">
        <f>ABS('LPP Per Cap Annual Finan Costs'!#REF!)</f>
        <v>#REF!</v>
      </c>
      <c r="P41" s="228">
        <v>2044</v>
      </c>
      <c r="Q41" s="229" t="e">
        <f>'Summary Baseline Data'!#REF!/'Summary Baseline Data'!$D63</f>
        <v>#REF!</v>
      </c>
      <c r="R41" s="229" t="e">
        <f>'Summary Baseline Data'!#REF!/'Summary Baseline Data'!$D63</f>
        <v>#REF!</v>
      </c>
      <c r="S41" s="229" t="e">
        <f>'Summary Baseline Data'!#REF!/'Summary Baseline Data'!$D63</f>
        <v>#REF!</v>
      </c>
      <c r="T41" s="230" t="e">
        <f t="shared" si="0"/>
        <v>#REF!</v>
      </c>
      <c r="U41" s="244" t="e">
        <f>IF(T41=0,0,SUM('Summary Baseline Data'!#REF!,'Summary Baseline Data'!#REF!,'Summary Baseline Data'!#REF!)+U40)</f>
        <v>#REF!</v>
      </c>
      <c r="W41" s="458">
        <v>108639292.92865203</v>
      </c>
      <c r="X41" s="232">
        <v>15457920.182519535</v>
      </c>
      <c r="Y41" s="232">
        <v>6104310.2040816741</v>
      </c>
      <c r="Z41" s="232">
        <v>0</v>
      </c>
      <c r="AA41" s="244">
        <v>0</v>
      </c>
      <c r="AB41" s="464">
        <v>2046</v>
      </c>
      <c r="AC41" s="350">
        <v>82080375.299432665</v>
      </c>
      <c r="AD41" s="350">
        <v>8347513.9341685101</v>
      </c>
      <c r="AE41" s="350">
        <v>-38030806.986979753</v>
      </c>
      <c r="AF41" s="350">
        <v>38962028.530465707</v>
      </c>
      <c r="AG41" s="350">
        <v>0</v>
      </c>
      <c r="AH41" s="350">
        <v>0</v>
      </c>
      <c r="AI41" s="350">
        <v>0</v>
      </c>
      <c r="AJ41" s="350">
        <v>0</v>
      </c>
    </row>
    <row r="42" spans="1:36" x14ac:dyDescent="0.3">
      <c r="A42" s="228">
        <f>'LPP Annual Financing Costs'!A65</f>
        <v>2045</v>
      </c>
      <c r="B42" s="232" t="e">
        <f>ABS(HLOOKUP($D$3,'LPP Annual Financing Costs'!$C$9:$I$80,'LPP Annual Financing Costs'!B65,FALSE))</f>
        <v>#N/A</v>
      </c>
      <c r="C42" s="232" t="e">
        <f>ABS(HLOOKUP($D$3,'LPP Annual Financing Costs'!$K$9:$N$80,'LPP Annual Financing Costs'!B65,FALSE))</f>
        <v>#N/A</v>
      </c>
      <c r="D42" s="233" t="e">
        <f>ABS('LPP Annual Financing Costs'!#REF!)</f>
        <v>#REF!</v>
      </c>
      <c r="E42" s="234" t="e">
        <f>ABS('LPP Annual Financing Costs'!#REF!)</f>
        <v>#REF!</v>
      </c>
      <c r="F42" s="228">
        <f>'LPP Annual Financing Costs'!A65</f>
        <v>2045</v>
      </c>
      <c r="G42" s="232" t="e">
        <f>ABS(HLOOKUP($I$3,'LPP Cumulative Financing Costs'!$C$9:$F$80,'LPP Cumulative Financing Costs'!B65,FALSE))</f>
        <v>#N/A</v>
      </c>
      <c r="H42" s="232" t="e">
        <f>ABS(HLOOKUP($I$3,'LPP Cumulative Financing Costs'!$G$9:$J$80,'LPP Annual Financing Costs'!B65,FALSE))</f>
        <v>#N/A</v>
      </c>
      <c r="I42" s="233" t="e">
        <f>ABS('LPP Cumulative Financing Costs'!#REF!)</f>
        <v>#REF!</v>
      </c>
      <c r="J42" s="234" t="e">
        <f>ABS('LPP Cumulative Financing Costs'!#REF!)</f>
        <v>#REF!</v>
      </c>
      <c r="K42" s="228">
        <v>2045</v>
      </c>
      <c r="L42" s="232" t="e">
        <f>ABS(HLOOKUP($I$3,'LPP Per Cap Annual Finan Costs'!$C$9:$F$80,'LPP Per Cap Annual Finan Costs'!B65,FALSE))</f>
        <v>#N/A</v>
      </c>
      <c r="M42" s="232" t="e">
        <f>ABS(HLOOKUP($I$3,'LPP Per Cap Annual Finan Costs'!$G$9:$J$80,'LPP Per Cap Annual Finan Costs'!B65,FALSE))</f>
        <v>#N/A</v>
      </c>
      <c r="N42" s="232" t="e">
        <f>ABS('LPP Per Cap Annual Finan Costs'!#REF!)</f>
        <v>#REF!</v>
      </c>
      <c r="O42" s="244" t="e">
        <f>ABS('LPP Per Cap Annual Finan Costs'!#REF!)</f>
        <v>#REF!</v>
      </c>
      <c r="P42" s="228">
        <v>2045</v>
      </c>
      <c r="Q42" s="229" t="e">
        <f>'Summary Baseline Data'!#REF!/'Summary Baseline Data'!$D64</f>
        <v>#REF!</v>
      </c>
      <c r="R42" s="229" t="e">
        <f>'Summary Baseline Data'!#REF!/'Summary Baseline Data'!$D64</f>
        <v>#REF!</v>
      </c>
      <c r="S42" s="229" t="e">
        <f>'Summary Baseline Data'!#REF!/'Summary Baseline Data'!$D64</f>
        <v>#REF!</v>
      </c>
      <c r="T42" s="230" t="e">
        <f t="shared" si="0"/>
        <v>#REF!</v>
      </c>
      <c r="U42" s="244" t="e">
        <f>IF(T42=0,0,SUM('Summary Baseline Data'!#REF!,'Summary Baseline Data'!#REF!,'Summary Baseline Data'!#REF!)+U41)</f>
        <v>#REF!</v>
      </c>
      <c r="W42" s="458">
        <v>117197758.66017015</v>
      </c>
      <c r="X42" s="232">
        <v>15767078.586169926</v>
      </c>
      <c r="Y42" s="232">
        <v>6104310.2040815866</v>
      </c>
      <c r="Z42" s="232">
        <v>0</v>
      </c>
      <c r="AA42" s="244">
        <v>0</v>
      </c>
      <c r="AB42" s="464">
        <v>2047</v>
      </c>
      <c r="AC42" s="350">
        <v>87248774.051923364</v>
      </c>
      <c r="AD42" s="350">
        <v>9230380.9784896187</v>
      </c>
      <c r="AE42" s="350">
        <v>-40750042.755981408</v>
      </c>
      <c r="AF42" s="350">
        <v>38962028.530465148</v>
      </c>
      <c r="AG42" s="350">
        <v>0</v>
      </c>
      <c r="AH42" s="350">
        <v>0</v>
      </c>
      <c r="AI42" s="350">
        <v>0</v>
      </c>
      <c r="AJ42" s="350">
        <v>0</v>
      </c>
    </row>
    <row r="43" spans="1:36" x14ac:dyDescent="0.3">
      <c r="A43" s="228">
        <f>'LPP Annual Financing Costs'!A66</f>
        <v>2046</v>
      </c>
      <c r="B43" s="232" t="e">
        <f>ABS(HLOOKUP($D$3,'LPP Annual Financing Costs'!$C$9:$I$80,'LPP Annual Financing Costs'!B66,FALSE))</f>
        <v>#N/A</v>
      </c>
      <c r="C43" s="232" t="e">
        <f>ABS(HLOOKUP($D$3,'LPP Annual Financing Costs'!$K$9:$N$80,'LPP Annual Financing Costs'!B66,FALSE))</f>
        <v>#N/A</v>
      </c>
      <c r="D43" s="233" t="e">
        <f>ABS('LPP Annual Financing Costs'!#REF!)</f>
        <v>#REF!</v>
      </c>
      <c r="E43" s="234" t="e">
        <f>ABS('LPP Annual Financing Costs'!#REF!)</f>
        <v>#REF!</v>
      </c>
      <c r="F43" s="228">
        <f>'LPP Annual Financing Costs'!A66</f>
        <v>2046</v>
      </c>
      <c r="G43" s="232" t="e">
        <f>ABS(HLOOKUP($I$3,'LPP Cumulative Financing Costs'!$C$9:$F$80,'LPP Cumulative Financing Costs'!B66,FALSE))</f>
        <v>#N/A</v>
      </c>
      <c r="H43" s="232" t="e">
        <f>ABS(HLOOKUP($I$3,'LPP Cumulative Financing Costs'!$G$9:$J$80,'LPP Annual Financing Costs'!B66,FALSE))</f>
        <v>#N/A</v>
      </c>
      <c r="I43" s="233" t="e">
        <f>ABS('LPP Cumulative Financing Costs'!#REF!)</f>
        <v>#REF!</v>
      </c>
      <c r="J43" s="234" t="e">
        <f>ABS('LPP Cumulative Financing Costs'!#REF!)</f>
        <v>#REF!</v>
      </c>
      <c r="K43" s="228">
        <v>2046</v>
      </c>
      <c r="L43" s="232" t="e">
        <f>ABS(HLOOKUP($I$3,'LPP Per Cap Annual Finan Costs'!$C$9:$F$80,'LPP Per Cap Annual Finan Costs'!B66,FALSE))</f>
        <v>#N/A</v>
      </c>
      <c r="M43" s="232" t="e">
        <f>ABS(HLOOKUP($I$3,'LPP Per Cap Annual Finan Costs'!$G$9:$J$80,'LPP Per Cap Annual Finan Costs'!B66,FALSE))</f>
        <v>#N/A</v>
      </c>
      <c r="N43" s="232" t="e">
        <f>ABS('LPP Per Cap Annual Finan Costs'!#REF!)</f>
        <v>#REF!</v>
      </c>
      <c r="O43" s="244" t="e">
        <f>ABS('LPP Per Cap Annual Finan Costs'!#REF!)</f>
        <v>#REF!</v>
      </c>
      <c r="P43" s="228">
        <v>2046</v>
      </c>
      <c r="Q43" s="229" t="e">
        <f>'Summary Baseline Data'!#REF!/'Summary Baseline Data'!$D65</f>
        <v>#REF!</v>
      </c>
      <c r="R43" s="229" t="e">
        <f>'Summary Baseline Data'!#REF!/'Summary Baseline Data'!$D65</f>
        <v>#REF!</v>
      </c>
      <c r="S43" s="229" t="e">
        <f>'Summary Baseline Data'!#REF!/'Summary Baseline Data'!$D65</f>
        <v>#REF!</v>
      </c>
      <c r="T43" s="230" t="e">
        <f t="shared" si="0"/>
        <v>#REF!</v>
      </c>
      <c r="U43" s="244" t="e">
        <f>IF(T43=0,0,SUM('Summary Baseline Data'!#REF!,'Summary Baseline Data'!#REF!,'Summary Baseline Data'!#REF!)+U42)</f>
        <v>#REF!</v>
      </c>
      <c r="W43" s="458">
        <v>126304287.81856014</v>
      </c>
      <c r="X43" s="232">
        <v>16082420.157893324</v>
      </c>
      <c r="Y43" s="232">
        <v>6104310.2040816741</v>
      </c>
      <c r="Z43" s="232">
        <v>0</v>
      </c>
      <c r="AA43" s="244">
        <v>0</v>
      </c>
      <c r="AB43" s="464">
        <v>2048</v>
      </c>
      <c r="AC43" s="350">
        <v>92691629.232086733</v>
      </c>
      <c r="AD43" s="350">
        <v>10227567.160989709</v>
      </c>
      <c r="AE43" s="350">
        <v>-43659564.668643489</v>
      </c>
      <c r="AF43" s="350">
        <v>25869036.675482936</v>
      </c>
      <c r="AG43" s="350">
        <v>13092991.854982769</v>
      </c>
      <c r="AH43" s="350">
        <v>0</v>
      </c>
      <c r="AI43" s="350">
        <v>0</v>
      </c>
      <c r="AJ43" s="350">
        <v>0</v>
      </c>
    </row>
    <row r="44" spans="1:36" x14ac:dyDescent="0.3">
      <c r="A44" s="228">
        <f>'LPP Annual Financing Costs'!A67</f>
        <v>2047</v>
      </c>
      <c r="B44" s="232" t="e">
        <f>ABS(HLOOKUP($D$3,'LPP Annual Financing Costs'!$C$9:$I$80,'LPP Annual Financing Costs'!B67,FALSE))</f>
        <v>#N/A</v>
      </c>
      <c r="C44" s="232" t="e">
        <f>ABS(HLOOKUP($D$3,'LPP Annual Financing Costs'!$K$9:$N$80,'LPP Annual Financing Costs'!B67,FALSE))</f>
        <v>#N/A</v>
      </c>
      <c r="D44" s="233" t="e">
        <f>ABS('LPP Annual Financing Costs'!#REF!)</f>
        <v>#REF!</v>
      </c>
      <c r="E44" s="234" t="e">
        <f>ABS('LPP Annual Financing Costs'!#REF!)</f>
        <v>#REF!</v>
      </c>
      <c r="F44" s="228">
        <f>'LPP Annual Financing Costs'!A67</f>
        <v>2047</v>
      </c>
      <c r="G44" s="232" t="e">
        <f>ABS(HLOOKUP($I$3,'LPP Cumulative Financing Costs'!$C$9:$F$80,'LPP Cumulative Financing Costs'!B67,FALSE))</f>
        <v>#N/A</v>
      </c>
      <c r="H44" s="232" t="e">
        <f>ABS(HLOOKUP($I$3,'LPP Cumulative Financing Costs'!$G$9:$J$80,'LPP Annual Financing Costs'!B67,FALSE))</f>
        <v>#N/A</v>
      </c>
      <c r="I44" s="233" t="e">
        <f>ABS('LPP Cumulative Financing Costs'!#REF!)</f>
        <v>#REF!</v>
      </c>
      <c r="J44" s="234" t="e">
        <f>ABS('LPP Cumulative Financing Costs'!#REF!)</f>
        <v>#REF!</v>
      </c>
      <c r="K44" s="228">
        <v>2047</v>
      </c>
      <c r="L44" s="232" t="e">
        <f>ABS(HLOOKUP($I$3,'LPP Per Cap Annual Finan Costs'!$C$9:$F$80,'LPP Per Cap Annual Finan Costs'!B67,FALSE))</f>
        <v>#N/A</v>
      </c>
      <c r="M44" s="232" t="e">
        <f>ABS(HLOOKUP($I$3,'LPP Per Cap Annual Finan Costs'!$G$9:$J$80,'LPP Per Cap Annual Finan Costs'!B67,FALSE))</f>
        <v>#N/A</v>
      </c>
      <c r="N44" s="232" t="e">
        <f>ABS('LPP Per Cap Annual Finan Costs'!#REF!)</f>
        <v>#REF!</v>
      </c>
      <c r="O44" s="244" t="e">
        <f>ABS('LPP Per Cap Annual Finan Costs'!#REF!)</f>
        <v>#REF!</v>
      </c>
      <c r="P44" s="228">
        <v>2047</v>
      </c>
      <c r="Q44" s="229" t="e">
        <f>'Summary Baseline Data'!#REF!/'Summary Baseline Data'!$D66</f>
        <v>#REF!</v>
      </c>
      <c r="R44" s="229" t="e">
        <f>'Summary Baseline Data'!#REF!/'Summary Baseline Data'!$D66</f>
        <v>#REF!</v>
      </c>
      <c r="S44" s="229" t="e">
        <f>'Summary Baseline Data'!#REF!/'Summary Baseline Data'!$D66</f>
        <v>#REF!</v>
      </c>
      <c r="T44" s="230" t="e">
        <f t="shared" si="0"/>
        <v>#REF!</v>
      </c>
      <c r="U44" s="244" t="e">
        <f>IF(T44=0,0,SUM('Summary Baseline Data'!#REF!,'Summary Baseline Data'!#REF!,'Summary Baseline Data'!#REF!)+U43)</f>
        <v>#REF!</v>
      </c>
      <c r="W44" s="458">
        <v>135992361.11559448</v>
      </c>
      <c r="X44" s="232">
        <v>16404068.561051192</v>
      </c>
      <c r="Y44" s="232">
        <v>6104310.2040816741</v>
      </c>
      <c r="Z44" s="232">
        <v>0</v>
      </c>
      <c r="AA44" s="244">
        <v>0</v>
      </c>
      <c r="AB44" s="464">
        <v>2049</v>
      </c>
      <c r="AC44" s="350">
        <v>98422388.421781272</v>
      </c>
      <c r="AD44" s="350">
        <v>11276277.171559166</v>
      </c>
      <c r="AE44" s="350">
        <v>-47833957.723496571</v>
      </c>
      <c r="AF44" s="350">
        <v>0</v>
      </c>
      <c r="AG44" s="350">
        <v>38962028.530465707</v>
      </c>
      <c r="AH44" s="350">
        <v>0</v>
      </c>
      <c r="AI44" s="350">
        <v>0</v>
      </c>
      <c r="AJ44" s="350">
        <v>0</v>
      </c>
    </row>
    <row r="45" spans="1:36" x14ac:dyDescent="0.3">
      <c r="A45" s="228">
        <f>'LPP Annual Financing Costs'!A68</f>
        <v>2048</v>
      </c>
      <c r="B45" s="232" t="e">
        <f>ABS(HLOOKUP($D$3,'LPP Annual Financing Costs'!$C$9:$I$80,'LPP Annual Financing Costs'!B68,FALSE))</f>
        <v>#N/A</v>
      </c>
      <c r="C45" s="232" t="e">
        <f>ABS(HLOOKUP($D$3,'LPP Annual Financing Costs'!$K$9:$N$80,'LPP Annual Financing Costs'!B68,FALSE))</f>
        <v>#N/A</v>
      </c>
      <c r="D45" s="233" t="e">
        <f>ABS('LPP Annual Financing Costs'!#REF!)</f>
        <v>#REF!</v>
      </c>
      <c r="E45" s="234" t="e">
        <f>ABS('LPP Annual Financing Costs'!#REF!)</f>
        <v>#REF!</v>
      </c>
      <c r="F45" s="228">
        <f>'LPP Annual Financing Costs'!A68</f>
        <v>2048</v>
      </c>
      <c r="G45" s="232" t="e">
        <f>ABS(HLOOKUP($I$3,'LPP Cumulative Financing Costs'!$C$9:$F$80,'LPP Cumulative Financing Costs'!B68,FALSE))</f>
        <v>#N/A</v>
      </c>
      <c r="H45" s="232" t="e">
        <f>ABS(HLOOKUP($I$3,'LPP Cumulative Financing Costs'!$G$9:$J$80,'LPP Annual Financing Costs'!B68,FALSE))</f>
        <v>#N/A</v>
      </c>
      <c r="I45" s="233" t="e">
        <f>ABS('LPP Cumulative Financing Costs'!#REF!)</f>
        <v>#REF!</v>
      </c>
      <c r="J45" s="234" t="e">
        <f>ABS('LPP Cumulative Financing Costs'!#REF!)</f>
        <v>#REF!</v>
      </c>
      <c r="K45" s="228">
        <v>2048</v>
      </c>
      <c r="L45" s="232" t="e">
        <f>ABS(HLOOKUP($I$3,'LPP Per Cap Annual Finan Costs'!$C$9:$F$80,'LPP Per Cap Annual Finan Costs'!B68,FALSE))</f>
        <v>#N/A</v>
      </c>
      <c r="M45" s="232" t="e">
        <f>ABS(HLOOKUP($I$3,'LPP Per Cap Annual Finan Costs'!$G$9:$J$80,'LPP Per Cap Annual Finan Costs'!B68,FALSE))</f>
        <v>#N/A</v>
      </c>
      <c r="N45" s="232" t="e">
        <f>ABS('LPP Per Cap Annual Finan Costs'!#REF!)</f>
        <v>#REF!</v>
      </c>
      <c r="O45" s="244" t="e">
        <f>ABS('LPP Per Cap Annual Finan Costs'!#REF!)</f>
        <v>#REF!</v>
      </c>
      <c r="P45" s="228">
        <v>2048</v>
      </c>
      <c r="Q45" s="229" t="e">
        <f>'Summary Baseline Data'!#REF!/'Summary Baseline Data'!$D67</f>
        <v>#REF!</v>
      </c>
      <c r="R45" s="229" t="e">
        <f>'Summary Baseline Data'!#REF!/'Summary Baseline Data'!$D67</f>
        <v>#REF!</v>
      </c>
      <c r="S45" s="229" t="e">
        <f>'Summary Baseline Data'!#REF!/'Summary Baseline Data'!$D67</f>
        <v>#REF!</v>
      </c>
      <c r="T45" s="230" t="e">
        <f t="shared" si="0"/>
        <v>#REF!</v>
      </c>
      <c r="U45" s="244" t="e">
        <f>IF(T45=0,0,SUM('Summary Baseline Data'!#REF!,'Summary Baseline Data'!#REF!,'Summary Baseline Data'!#REF!)+U44)</f>
        <v>#REF!</v>
      </c>
      <c r="W45" s="458">
        <v>146297487.48683161</v>
      </c>
      <c r="X45" s="232">
        <v>16732149.932272216</v>
      </c>
      <c r="Y45" s="232">
        <v>6104310.2040816452</v>
      </c>
      <c r="Z45" s="232">
        <v>0</v>
      </c>
      <c r="AA45" s="244">
        <v>0</v>
      </c>
      <c r="AB45" s="464">
        <v>2050</v>
      </c>
      <c r="AC45" s="350">
        <v>104455126.4515285</v>
      </c>
      <c r="AD45" s="350">
        <v>12378704.972317901</v>
      </c>
      <c r="AE45" s="350">
        <v>-51467911.765942268</v>
      </c>
      <c r="AF45" s="350">
        <v>0</v>
      </c>
      <c r="AG45" s="350">
        <v>38962028.530465521</v>
      </c>
      <c r="AH45" s="350">
        <v>0</v>
      </c>
      <c r="AI45" s="350">
        <v>0</v>
      </c>
      <c r="AJ45" s="350">
        <v>0</v>
      </c>
    </row>
    <row r="46" spans="1:36" x14ac:dyDescent="0.3">
      <c r="A46" s="228">
        <f>'LPP Annual Financing Costs'!A69</f>
        <v>2049</v>
      </c>
      <c r="B46" s="232" t="e">
        <f>ABS(HLOOKUP($D$3,'LPP Annual Financing Costs'!$C$9:$I$80,'LPP Annual Financing Costs'!B69,FALSE))</f>
        <v>#N/A</v>
      </c>
      <c r="C46" s="232" t="e">
        <f>ABS(HLOOKUP($D$3,'LPP Annual Financing Costs'!$K$9:$N$80,'LPP Annual Financing Costs'!B69,FALSE))</f>
        <v>#N/A</v>
      </c>
      <c r="D46" s="233" t="e">
        <f>ABS('LPP Annual Financing Costs'!#REF!)</f>
        <v>#REF!</v>
      </c>
      <c r="E46" s="234" t="e">
        <f>ABS('LPP Annual Financing Costs'!#REF!)</f>
        <v>#REF!</v>
      </c>
      <c r="F46" s="228">
        <f>'LPP Annual Financing Costs'!A69</f>
        <v>2049</v>
      </c>
      <c r="G46" s="232" t="e">
        <f>ABS(HLOOKUP($I$3,'LPP Cumulative Financing Costs'!$C$9:$F$80,'LPP Cumulative Financing Costs'!B69,FALSE))</f>
        <v>#N/A</v>
      </c>
      <c r="H46" s="232" t="e">
        <f>ABS(HLOOKUP($I$3,'LPP Cumulative Financing Costs'!$G$9:$J$80,'LPP Annual Financing Costs'!B69,FALSE))</f>
        <v>#N/A</v>
      </c>
      <c r="I46" s="233" t="e">
        <f>ABS('LPP Cumulative Financing Costs'!#REF!)</f>
        <v>#REF!</v>
      </c>
      <c r="J46" s="234" t="e">
        <f>ABS('LPP Cumulative Financing Costs'!#REF!)</f>
        <v>#REF!</v>
      </c>
      <c r="K46" s="228">
        <v>2049</v>
      </c>
      <c r="L46" s="232" t="e">
        <f>ABS(HLOOKUP($I$3,'LPP Per Cap Annual Finan Costs'!$C$9:$F$80,'LPP Per Cap Annual Finan Costs'!B69,FALSE))</f>
        <v>#N/A</v>
      </c>
      <c r="M46" s="232" t="e">
        <f>ABS(HLOOKUP($I$3,'LPP Per Cap Annual Finan Costs'!$G$9:$J$80,'LPP Per Cap Annual Finan Costs'!B69,FALSE))</f>
        <v>#N/A</v>
      </c>
      <c r="N46" s="232" t="e">
        <f>ABS('LPP Per Cap Annual Finan Costs'!#REF!)</f>
        <v>#REF!</v>
      </c>
      <c r="O46" s="244" t="e">
        <f>ABS('LPP Per Cap Annual Finan Costs'!#REF!)</f>
        <v>#REF!</v>
      </c>
      <c r="P46" s="228">
        <v>2049</v>
      </c>
      <c r="Q46" s="229" t="e">
        <f>'Summary Baseline Data'!#REF!/'Summary Baseline Data'!$D68</f>
        <v>#REF!</v>
      </c>
      <c r="R46" s="229" t="e">
        <f>'Summary Baseline Data'!#REF!/'Summary Baseline Data'!$D68</f>
        <v>#REF!</v>
      </c>
      <c r="S46" s="229" t="e">
        <f>'Summary Baseline Data'!#REF!/'Summary Baseline Data'!$D68</f>
        <v>#REF!</v>
      </c>
      <c r="T46" s="230" t="e">
        <f t="shared" si="0"/>
        <v>#REF!</v>
      </c>
      <c r="U46" s="244" t="e">
        <f>IF(T46=0,0,SUM('Summary Baseline Data'!#REF!,'Summary Baseline Data'!#REF!,'Summary Baseline Data'!#REF!)+U45)</f>
        <v>#REF!</v>
      </c>
      <c r="W46" s="458">
        <v>157257326.95581451</v>
      </c>
      <c r="X46" s="232">
        <v>17066792.930917662</v>
      </c>
      <c r="Y46" s="232">
        <v>6104310.204081703</v>
      </c>
      <c r="Z46" s="232">
        <v>0</v>
      </c>
      <c r="AA46" s="244">
        <v>0</v>
      </c>
      <c r="AB46" s="464">
        <v>2051</v>
      </c>
      <c r="AC46" s="350">
        <v>110804573.76575676</v>
      </c>
      <c r="AD46" s="350">
        <v>13537129.791667763</v>
      </c>
      <c r="AE46" s="350">
        <v>-55424176.093164541</v>
      </c>
      <c r="AF46" s="350">
        <v>0</v>
      </c>
      <c r="AG46" s="350">
        <v>38962028.530465893</v>
      </c>
      <c r="AH46" s="350">
        <v>0</v>
      </c>
      <c r="AI46" s="350">
        <v>0</v>
      </c>
      <c r="AJ46" s="350">
        <v>0</v>
      </c>
    </row>
    <row r="47" spans="1:36" x14ac:dyDescent="0.3">
      <c r="A47" s="228">
        <f>'LPP Annual Financing Costs'!A70</f>
        <v>2050</v>
      </c>
      <c r="B47" s="232" t="e">
        <f>ABS(HLOOKUP($D$3,'LPP Annual Financing Costs'!$C$9:$I$80,'LPP Annual Financing Costs'!B70,FALSE))</f>
        <v>#N/A</v>
      </c>
      <c r="C47" s="232" t="e">
        <f>ABS(HLOOKUP($D$3,'LPP Annual Financing Costs'!$K$9:$N$80,'LPP Annual Financing Costs'!B70,FALSE))</f>
        <v>#N/A</v>
      </c>
      <c r="D47" s="233" t="e">
        <f>ABS('LPP Annual Financing Costs'!#REF!)</f>
        <v>#REF!</v>
      </c>
      <c r="E47" s="234" t="e">
        <f>ABS('LPP Annual Financing Costs'!#REF!)</f>
        <v>#REF!</v>
      </c>
      <c r="F47" s="228">
        <f>'LPP Annual Financing Costs'!A70</f>
        <v>2050</v>
      </c>
      <c r="G47" s="232" t="e">
        <f>ABS(HLOOKUP($I$3,'LPP Cumulative Financing Costs'!$C$9:$F$80,'LPP Cumulative Financing Costs'!B70,FALSE))</f>
        <v>#N/A</v>
      </c>
      <c r="H47" s="232" t="e">
        <f>ABS(HLOOKUP($I$3,'LPP Cumulative Financing Costs'!$G$9:$J$80,'LPP Annual Financing Costs'!B70,FALSE))</f>
        <v>#N/A</v>
      </c>
      <c r="I47" s="233" t="e">
        <f>ABS('LPP Cumulative Financing Costs'!#REF!)</f>
        <v>#REF!</v>
      </c>
      <c r="J47" s="234" t="e">
        <f>ABS('LPP Cumulative Financing Costs'!#REF!)</f>
        <v>#REF!</v>
      </c>
      <c r="K47" s="228">
        <v>2050</v>
      </c>
      <c r="L47" s="232" t="e">
        <f>ABS(HLOOKUP($I$3,'LPP Per Cap Annual Finan Costs'!$C$9:$F$80,'LPP Per Cap Annual Finan Costs'!B70,FALSE))</f>
        <v>#N/A</v>
      </c>
      <c r="M47" s="232" t="e">
        <f>ABS(HLOOKUP($I$3,'LPP Per Cap Annual Finan Costs'!$G$9:$J$80,'LPP Per Cap Annual Finan Costs'!B70,FALSE))</f>
        <v>#N/A</v>
      </c>
      <c r="N47" s="232" t="e">
        <f>ABS('LPP Per Cap Annual Finan Costs'!#REF!)</f>
        <v>#REF!</v>
      </c>
      <c r="O47" s="244" t="e">
        <f>ABS('LPP Per Cap Annual Finan Costs'!#REF!)</f>
        <v>#REF!</v>
      </c>
      <c r="P47" s="228">
        <v>2050</v>
      </c>
      <c r="Q47" s="229" t="e">
        <f>'Summary Baseline Data'!#REF!/'Summary Baseline Data'!$D69</f>
        <v>#REF!</v>
      </c>
      <c r="R47" s="229" t="e">
        <f>'Summary Baseline Data'!#REF!/'Summary Baseline Data'!$D69</f>
        <v>#REF!</v>
      </c>
      <c r="S47" s="229" t="e">
        <f>'Summary Baseline Data'!#REF!/'Summary Baseline Data'!$D69</f>
        <v>#REF!</v>
      </c>
      <c r="T47" s="230" t="e">
        <f t="shared" si="0"/>
        <v>#REF!</v>
      </c>
      <c r="U47" s="244" t="e">
        <f>IF(T47=0,0,SUM('Summary Baseline Data'!#REF!,'Summary Baseline Data'!#REF!,'Summary Baseline Data'!#REF!)+U46)</f>
        <v>#REF!</v>
      </c>
      <c r="W47" s="458">
        <v>168911820.93375066</v>
      </c>
      <c r="X47" s="232">
        <v>17408128.789536014</v>
      </c>
      <c r="Y47" s="232">
        <v>6104310.2040814701</v>
      </c>
      <c r="Z47" s="232">
        <v>0</v>
      </c>
      <c r="AA47" s="244">
        <v>0</v>
      </c>
      <c r="AB47" s="464">
        <v>2052</v>
      </c>
      <c r="AC47" s="350">
        <v>117486146.03891046</v>
      </c>
      <c r="AD47" s="350">
        <v>14753919.265703499</v>
      </c>
      <c r="AE47" s="350">
        <v>-60278185.210895158</v>
      </c>
      <c r="AF47" s="350">
        <v>0</v>
      </c>
      <c r="AG47" s="350">
        <v>38962028.530464403</v>
      </c>
      <c r="AH47" s="350">
        <v>0</v>
      </c>
      <c r="AI47" s="350">
        <v>0</v>
      </c>
      <c r="AJ47" s="350">
        <v>0</v>
      </c>
    </row>
    <row r="48" spans="1:36" x14ac:dyDescent="0.3">
      <c r="A48" s="228">
        <f>'LPP Annual Financing Costs'!A71</f>
        <v>2051</v>
      </c>
      <c r="B48" s="232" t="e">
        <f>ABS(HLOOKUP($D$3,'LPP Annual Financing Costs'!$C$9:$I$80,'LPP Annual Financing Costs'!B71,FALSE))</f>
        <v>#N/A</v>
      </c>
      <c r="C48" s="232" t="e">
        <f>ABS(HLOOKUP($D$3,'LPP Annual Financing Costs'!$K$9:$N$80,'LPP Annual Financing Costs'!B71,FALSE))</f>
        <v>#N/A</v>
      </c>
      <c r="D48" s="233" t="e">
        <f>ABS('LPP Annual Financing Costs'!#REF!)</f>
        <v>#REF!</v>
      </c>
      <c r="E48" s="234" t="e">
        <f>ABS('LPP Annual Financing Costs'!#REF!)</f>
        <v>#REF!</v>
      </c>
      <c r="F48" s="228">
        <f>'LPP Annual Financing Costs'!A71</f>
        <v>2051</v>
      </c>
      <c r="G48" s="232" t="e">
        <f>ABS(HLOOKUP($I$3,'LPP Cumulative Financing Costs'!$C$9:$F$80,'LPP Cumulative Financing Costs'!B71,FALSE))</f>
        <v>#N/A</v>
      </c>
      <c r="H48" s="232" t="e">
        <f>ABS(HLOOKUP($I$3,'LPP Cumulative Financing Costs'!$G$9:$J$80,'LPP Annual Financing Costs'!B71,FALSE))</f>
        <v>#N/A</v>
      </c>
      <c r="I48" s="233" t="e">
        <f>ABS('LPP Cumulative Financing Costs'!#REF!)</f>
        <v>#REF!</v>
      </c>
      <c r="J48" s="234" t="e">
        <f>ABS('LPP Cumulative Financing Costs'!#REF!)</f>
        <v>#REF!</v>
      </c>
      <c r="K48" s="228">
        <v>2051</v>
      </c>
      <c r="L48" s="232" t="e">
        <f>ABS(HLOOKUP($I$3,'LPP Per Cap Annual Finan Costs'!$C$9:$F$80,'LPP Per Cap Annual Finan Costs'!B71,FALSE))</f>
        <v>#N/A</v>
      </c>
      <c r="M48" s="232" t="e">
        <f>ABS(HLOOKUP($I$3,'LPP Per Cap Annual Finan Costs'!$G$9:$J$80,'LPP Per Cap Annual Finan Costs'!B71,FALSE))</f>
        <v>#N/A</v>
      </c>
      <c r="N48" s="232" t="e">
        <f>ABS('LPP Per Cap Annual Finan Costs'!#REF!)</f>
        <v>#REF!</v>
      </c>
      <c r="O48" s="244" t="e">
        <f>ABS('LPP Per Cap Annual Finan Costs'!#REF!)</f>
        <v>#REF!</v>
      </c>
      <c r="P48" s="228">
        <v>2051</v>
      </c>
      <c r="Q48" s="229" t="e">
        <f>'Summary Baseline Data'!#REF!/'Summary Baseline Data'!$D70</f>
        <v>#REF!</v>
      </c>
      <c r="R48" s="229" t="e">
        <f>'Summary Baseline Data'!#REF!/'Summary Baseline Data'!$D70</f>
        <v>#REF!</v>
      </c>
      <c r="S48" s="229" t="e">
        <f>'Summary Baseline Data'!#REF!/'Summary Baseline Data'!$D70</f>
        <v>#REF!</v>
      </c>
      <c r="T48" s="230" t="e">
        <f t="shared" si="0"/>
        <v>#REF!</v>
      </c>
      <c r="U48" s="244" t="e">
        <f>IF(T48=0,0,SUM('Summary Baseline Data'!#REF!,'Summary Baseline Data'!#REF!,'Summary Baseline Data'!#REF!)+U47)</f>
        <v>#REF!</v>
      </c>
      <c r="W48" s="458">
        <v>181667092.73296556</v>
      </c>
      <c r="X48" s="232">
        <v>17756291.365326736</v>
      </c>
      <c r="Y48" s="232">
        <v>6609248.9795918223</v>
      </c>
      <c r="Z48" s="232">
        <v>0</v>
      </c>
      <c r="AA48" s="244">
        <v>0</v>
      </c>
      <c r="AB48" s="464">
        <v>2053</v>
      </c>
      <c r="AC48" s="350">
        <v>124515975.09694186</v>
      </c>
      <c r="AD48" s="350">
        <v>16031532.691368908</v>
      </c>
      <c r="AE48" s="350">
        <v>-65727392.050684713</v>
      </c>
      <c r="AF48" s="350">
        <v>0</v>
      </c>
      <c r="AG48" s="350">
        <v>41047428.515358411</v>
      </c>
      <c r="AH48" s="350">
        <v>1137476.6907405425</v>
      </c>
      <c r="AI48" s="350">
        <v>0</v>
      </c>
      <c r="AJ48" s="350">
        <v>0</v>
      </c>
    </row>
    <row r="49" spans="1:36" x14ac:dyDescent="0.3">
      <c r="A49" s="228">
        <f>'LPP Annual Financing Costs'!A72</f>
        <v>2052</v>
      </c>
      <c r="B49" s="232" t="e">
        <f>ABS(HLOOKUP($D$3,'LPP Annual Financing Costs'!$C$9:$I$80,'LPP Annual Financing Costs'!B72,FALSE))</f>
        <v>#N/A</v>
      </c>
      <c r="C49" s="232" t="e">
        <f>ABS(HLOOKUP($D$3,'LPP Annual Financing Costs'!$K$9:$N$80,'LPP Annual Financing Costs'!B72,FALSE))</f>
        <v>#N/A</v>
      </c>
      <c r="D49" s="233" t="e">
        <f>ABS('LPP Annual Financing Costs'!#REF!)</f>
        <v>#REF!</v>
      </c>
      <c r="E49" s="234" t="e">
        <f>ABS('LPP Annual Financing Costs'!#REF!)</f>
        <v>#REF!</v>
      </c>
      <c r="F49" s="228">
        <f>'LPP Annual Financing Costs'!A72</f>
        <v>2052</v>
      </c>
      <c r="G49" s="232" t="e">
        <f>ABS(HLOOKUP($I$3,'LPP Cumulative Financing Costs'!$C$9:$F$80,'LPP Cumulative Financing Costs'!B72,FALSE))</f>
        <v>#N/A</v>
      </c>
      <c r="H49" s="232" t="e">
        <f>ABS(HLOOKUP($I$3,'LPP Cumulative Financing Costs'!$G$9:$J$80,'LPP Annual Financing Costs'!B72,FALSE))</f>
        <v>#N/A</v>
      </c>
      <c r="I49" s="233" t="e">
        <f>ABS('LPP Cumulative Financing Costs'!#REF!)</f>
        <v>#REF!</v>
      </c>
      <c r="J49" s="234" t="e">
        <f>ABS('LPP Cumulative Financing Costs'!#REF!)</f>
        <v>#REF!</v>
      </c>
      <c r="K49" s="228">
        <v>2052</v>
      </c>
      <c r="L49" s="232" t="e">
        <f>ABS(HLOOKUP($I$3,'LPP Per Cap Annual Finan Costs'!$C$9:$F$80,'LPP Per Cap Annual Finan Costs'!B72,FALSE))</f>
        <v>#N/A</v>
      </c>
      <c r="M49" s="232" t="e">
        <f>ABS(HLOOKUP($I$3,'LPP Per Cap Annual Finan Costs'!$G$9:$J$80,'LPP Per Cap Annual Finan Costs'!B72,FALSE))</f>
        <v>#N/A</v>
      </c>
      <c r="N49" s="232" t="e">
        <f>ABS('LPP Per Cap Annual Finan Costs'!#REF!)</f>
        <v>#REF!</v>
      </c>
      <c r="O49" s="244" t="e">
        <f>ABS('LPP Per Cap Annual Finan Costs'!#REF!)</f>
        <v>#REF!</v>
      </c>
      <c r="P49" s="228">
        <v>2052</v>
      </c>
      <c r="Q49" s="229" t="e">
        <f>'Summary Baseline Data'!#REF!/'Summary Baseline Data'!$D71</f>
        <v>#REF!</v>
      </c>
      <c r="R49" s="229" t="e">
        <f>'Summary Baseline Data'!#REF!/'Summary Baseline Data'!$D71</f>
        <v>#REF!</v>
      </c>
      <c r="S49" s="229" t="e">
        <f>'Summary Baseline Data'!#REF!/'Summary Baseline Data'!$D71</f>
        <v>#REF!</v>
      </c>
      <c r="T49" s="230" t="e">
        <f t="shared" si="0"/>
        <v>#REF!</v>
      </c>
      <c r="U49" s="244" t="e">
        <f>IF(T49=0,0,SUM('Summary Baseline Data'!#REF!,'Summary Baseline Data'!#REF!,'Summary Baseline Data'!#REF!)+U48)</f>
        <v>#REF!</v>
      </c>
      <c r="W49" s="458">
        <v>195235431.59780088</v>
      </c>
      <c r="X49" s="232">
        <v>18111417.192633271</v>
      </c>
      <c r="Y49" s="232">
        <v>6609248.9795918809</v>
      </c>
      <c r="Z49" s="232">
        <v>0</v>
      </c>
      <c r="AA49" s="244">
        <v>0</v>
      </c>
      <c r="AB49" s="464">
        <v>2054</v>
      </c>
      <c r="AC49" s="350">
        <v>132121242.12332657</v>
      </c>
      <c r="AD49" s="350">
        <v>17372524.395235106</v>
      </c>
      <c r="AE49" s="350">
        <v>-71001984.674289852</v>
      </c>
      <c r="AF49" s="350">
        <v>0</v>
      </c>
      <c r="AG49" s="350">
        <v>0</v>
      </c>
      <c r="AH49" s="350">
        <v>42184905.206099324</v>
      </c>
      <c r="AI49" s="350">
        <v>0</v>
      </c>
      <c r="AJ49" s="350">
        <v>0</v>
      </c>
    </row>
    <row r="50" spans="1:36" x14ac:dyDescent="0.3">
      <c r="A50" s="228">
        <f>'LPP Annual Financing Costs'!A73</f>
        <v>2053</v>
      </c>
      <c r="B50" s="232" t="e">
        <f>ABS(HLOOKUP($D$3,'LPP Annual Financing Costs'!$C$9:$I$80,'LPP Annual Financing Costs'!B73,FALSE))</f>
        <v>#N/A</v>
      </c>
      <c r="C50" s="232" t="e">
        <f>ABS(HLOOKUP($D$3,'LPP Annual Financing Costs'!$K$9:$N$80,'LPP Annual Financing Costs'!B73,FALSE))</f>
        <v>#N/A</v>
      </c>
      <c r="D50" s="233" t="e">
        <f>ABS('LPP Annual Financing Costs'!#REF!)</f>
        <v>#REF!</v>
      </c>
      <c r="E50" s="234" t="e">
        <f>ABS('LPP Annual Financing Costs'!#REF!)</f>
        <v>#REF!</v>
      </c>
      <c r="F50" s="228">
        <f>'LPP Annual Financing Costs'!A73</f>
        <v>2053</v>
      </c>
      <c r="G50" s="232" t="e">
        <f>ABS(HLOOKUP($I$3,'LPP Cumulative Financing Costs'!$C$9:$F$80,'LPP Cumulative Financing Costs'!B73,FALSE))</f>
        <v>#N/A</v>
      </c>
      <c r="H50" s="232" t="e">
        <f>ABS(HLOOKUP($I$3,'LPP Cumulative Financing Costs'!$G$9:$J$80,'LPP Annual Financing Costs'!B73,FALSE))</f>
        <v>#N/A</v>
      </c>
      <c r="I50" s="233" t="e">
        <f>ABS('LPP Cumulative Financing Costs'!#REF!)</f>
        <v>#REF!</v>
      </c>
      <c r="J50" s="234" t="e">
        <f>ABS('LPP Cumulative Financing Costs'!#REF!)</f>
        <v>#REF!</v>
      </c>
      <c r="K50" s="228">
        <v>2053</v>
      </c>
      <c r="L50" s="232" t="e">
        <f>ABS(HLOOKUP($I$3,'LPP Per Cap Annual Finan Costs'!$C$9:$F$80,'LPP Per Cap Annual Finan Costs'!B73,FALSE))</f>
        <v>#N/A</v>
      </c>
      <c r="M50" s="232" t="e">
        <f>ABS(HLOOKUP($I$3,'LPP Per Cap Annual Finan Costs'!$G$9:$J$80,'LPP Per Cap Annual Finan Costs'!B73,FALSE))</f>
        <v>#N/A</v>
      </c>
      <c r="N50" s="232" t="e">
        <f>ABS('LPP Per Cap Annual Finan Costs'!#REF!)</f>
        <v>#REF!</v>
      </c>
      <c r="O50" s="244" t="e">
        <f>ABS('LPP Per Cap Annual Finan Costs'!#REF!)</f>
        <v>#REF!</v>
      </c>
      <c r="P50" s="228">
        <v>2053</v>
      </c>
      <c r="Q50" s="229" t="e">
        <f>'Summary Baseline Data'!#REF!/'Summary Baseline Data'!$D72</f>
        <v>#REF!</v>
      </c>
      <c r="R50" s="229" t="e">
        <f>'Summary Baseline Data'!#REF!/'Summary Baseline Data'!$D72</f>
        <v>#REF!</v>
      </c>
      <c r="S50" s="229" t="e">
        <f>'Summary Baseline Data'!#REF!/'Summary Baseline Data'!$D72</f>
        <v>#REF!</v>
      </c>
      <c r="T50" s="230" t="e">
        <f t="shared" si="0"/>
        <v>#REF!</v>
      </c>
      <c r="U50" s="244" t="e">
        <f>IF(T50=0,0,SUM('Summary Baseline Data'!#REF!,'Summary Baseline Data'!#REF!,'Summary Baseline Data'!#REF!)+U49)</f>
        <v>#REF!</v>
      </c>
      <c r="W50" s="458">
        <v>209666652.46882233</v>
      </c>
      <c r="X50" s="232">
        <v>18473645.53648594</v>
      </c>
      <c r="Y50" s="232">
        <v>6609248.9795918223</v>
      </c>
      <c r="Z50" s="232">
        <v>0</v>
      </c>
      <c r="AA50" s="244">
        <v>0</v>
      </c>
      <c r="AB50" s="464">
        <v>2055</v>
      </c>
      <c r="AC50" s="350">
        <v>140125160.9785805</v>
      </c>
      <c r="AD50" s="350">
        <v>18779547.221911065</v>
      </c>
      <c r="AE50" s="350">
        <v>-76734624.795184165</v>
      </c>
      <c r="AF50" s="350">
        <v>0</v>
      </c>
      <c r="AG50" s="350">
        <v>0</v>
      </c>
      <c r="AH50" s="350">
        <v>42184905.206098951</v>
      </c>
      <c r="AI50" s="350">
        <v>0</v>
      </c>
      <c r="AJ50" s="350">
        <v>0</v>
      </c>
    </row>
    <row r="51" spans="1:36" x14ac:dyDescent="0.3">
      <c r="A51" s="228">
        <f>'LPP Annual Financing Costs'!A74</f>
        <v>2054</v>
      </c>
      <c r="B51" s="232" t="e">
        <f>ABS(HLOOKUP($D$3,'LPP Annual Financing Costs'!$C$9:$I$80,'LPP Annual Financing Costs'!B74,FALSE))</f>
        <v>#N/A</v>
      </c>
      <c r="C51" s="232" t="e">
        <f>ABS(HLOOKUP($D$3,'LPP Annual Financing Costs'!$K$9:$N$80,'LPP Annual Financing Costs'!B74,FALSE))</f>
        <v>#N/A</v>
      </c>
      <c r="D51" s="233" t="e">
        <f>ABS('LPP Annual Financing Costs'!#REF!)</f>
        <v>#REF!</v>
      </c>
      <c r="E51" s="234" t="e">
        <f>ABS('LPP Annual Financing Costs'!#REF!)</f>
        <v>#REF!</v>
      </c>
      <c r="F51" s="228">
        <f>'LPP Annual Financing Costs'!A74</f>
        <v>2054</v>
      </c>
      <c r="G51" s="232" t="e">
        <f>ABS(HLOOKUP($I$3,'LPP Cumulative Financing Costs'!$C$9:$F$80,'LPP Cumulative Financing Costs'!B74,FALSE))</f>
        <v>#N/A</v>
      </c>
      <c r="H51" s="232" t="e">
        <f>ABS(HLOOKUP($I$3,'LPP Cumulative Financing Costs'!$G$9:$J$80,'LPP Annual Financing Costs'!B74,FALSE))</f>
        <v>#N/A</v>
      </c>
      <c r="I51" s="233" t="e">
        <f>ABS('LPP Cumulative Financing Costs'!#REF!)</f>
        <v>#REF!</v>
      </c>
      <c r="J51" s="234" t="e">
        <f>ABS('LPP Cumulative Financing Costs'!#REF!)</f>
        <v>#REF!</v>
      </c>
      <c r="K51" s="228">
        <v>2054</v>
      </c>
      <c r="L51" s="232" t="e">
        <f>ABS(HLOOKUP($I$3,'LPP Per Cap Annual Finan Costs'!$C$9:$F$80,'LPP Per Cap Annual Finan Costs'!B74,FALSE))</f>
        <v>#N/A</v>
      </c>
      <c r="M51" s="232" t="e">
        <f>ABS(HLOOKUP($I$3,'LPP Per Cap Annual Finan Costs'!$G$9:$J$80,'LPP Per Cap Annual Finan Costs'!B74,FALSE))</f>
        <v>#N/A</v>
      </c>
      <c r="N51" s="232" t="e">
        <f>ABS('LPP Per Cap Annual Finan Costs'!#REF!)</f>
        <v>#REF!</v>
      </c>
      <c r="O51" s="244" t="e">
        <f>ABS('LPP Per Cap Annual Finan Costs'!#REF!)</f>
        <v>#REF!</v>
      </c>
      <c r="P51" s="228">
        <v>2054</v>
      </c>
      <c r="Q51" s="229" t="e">
        <f>'Summary Baseline Data'!#REF!/'Summary Baseline Data'!$D73</f>
        <v>#REF!</v>
      </c>
      <c r="R51" s="229" t="e">
        <f>'Summary Baseline Data'!#REF!/'Summary Baseline Data'!$D73</f>
        <v>#REF!</v>
      </c>
      <c r="S51" s="229" t="e">
        <f>'Summary Baseline Data'!#REF!/'Summary Baseline Data'!$D73</f>
        <v>#REF!</v>
      </c>
      <c r="T51" s="230" t="e">
        <f t="shared" si="0"/>
        <v>#REF!</v>
      </c>
      <c r="U51" s="244" t="e">
        <f>IF(T51=0,0,SUM('Summary Baseline Data'!#REF!,'Summary Baseline Data'!#REF!,'Summary Baseline Data'!#REF!)+U50)</f>
        <v>#REF!</v>
      </c>
      <c r="W51" s="458">
        <v>223714861.91020659</v>
      </c>
      <c r="X51" s="232">
        <v>18843118.447215658</v>
      </c>
      <c r="Y51" s="232">
        <v>6609248.9795918809</v>
      </c>
      <c r="Z51" s="232">
        <v>0</v>
      </c>
      <c r="AA51" s="244">
        <v>0</v>
      </c>
      <c r="AB51" s="464">
        <v>2056</v>
      </c>
      <c r="AC51" s="350">
        <v>148547118.53961819</v>
      </c>
      <c r="AD51" s="350">
        <v>20255356.14623183</v>
      </c>
      <c r="AE51" s="350">
        <v>-81712415.634959102</v>
      </c>
      <c r="AF51" s="350">
        <v>0</v>
      </c>
      <c r="AG51" s="350">
        <v>0</v>
      </c>
      <c r="AH51" s="350">
        <v>19486980.143162537</v>
      </c>
      <c r="AI51" s="350">
        <v>0</v>
      </c>
      <c r="AJ51" s="350">
        <v>0</v>
      </c>
    </row>
    <row r="52" spans="1:36" x14ac:dyDescent="0.3">
      <c r="A52" s="228">
        <f>'LPP Annual Financing Costs'!A75</f>
        <v>2055</v>
      </c>
      <c r="B52" s="232" t="e">
        <f>ABS(HLOOKUP($D$3,'LPP Annual Financing Costs'!$C$9:$I$80,'LPP Annual Financing Costs'!B75,FALSE))</f>
        <v>#N/A</v>
      </c>
      <c r="C52" s="232" t="e">
        <f>ABS(HLOOKUP($D$3,'LPP Annual Financing Costs'!$K$9:$N$80,'LPP Annual Financing Costs'!B75,FALSE))</f>
        <v>#N/A</v>
      </c>
      <c r="D52" s="233" t="e">
        <f>ABS('LPP Annual Financing Costs'!#REF!)</f>
        <v>#REF!</v>
      </c>
      <c r="E52" s="234" t="e">
        <f>ABS('LPP Annual Financing Costs'!#REF!)</f>
        <v>#REF!</v>
      </c>
      <c r="F52" s="228">
        <f>'LPP Annual Financing Costs'!A75</f>
        <v>2055</v>
      </c>
      <c r="G52" s="232" t="e">
        <f>ABS(HLOOKUP($I$3,'LPP Cumulative Financing Costs'!$C$9:$F$80,'LPP Cumulative Financing Costs'!B75,FALSE))</f>
        <v>#N/A</v>
      </c>
      <c r="H52" s="232" t="e">
        <f>ABS(HLOOKUP($I$3,'LPP Cumulative Financing Costs'!$G$9:$J$80,'LPP Annual Financing Costs'!B75,FALSE))</f>
        <v>#N/A</v>
      </c>
      <c r="I52" s="233" t="e">
        <f>ABS('LPP Cumulative Financing Costs'!#REF!)</f>
        <v>#REF!</v>
      </c>
      <c r="J52" s="234" t="e">
        <f>ABS('LPP Cumulative Financing Costs'!#REF!)</f>
        <v>#REF!</v>
      </c>
      <c r="K52" s="228">
        <v>2055</v>
      </c>
      <c r="L52" s="232" t="e">
        <f>ABS(HLOOKUP($I$3,'LPP Per Cap Annual Finan Costs'!$C$9:$F$80,'LPP Per Cap Annual Finan Costs'!B75,FALSE))</f>
        <v>#N/A</v>
      </c>
      <c r="M52" s="232" t="e">
        <f>ABS(HLOOKUP($I$3,'LPP Per Cap Annual Finan Costs'!$G$9:$J$80,'LPP Per Cap Annual Finan Costs'!B75,FALSE))</f>
        <v>#N/A</v>
      </c>
      <c r="N52" s="232" t="e">
        <f>ABS('LPP Per Cap Annual Finan Costs'!#REF!)</f>
        <v>#REF!</v>
      </c>
      <c r="O52" s="244" t="e">
        <f>ABS('LPP Per Cap Annual Finan Costs'!#REF!)</f>
        <v>#REF!</v>
      </c>
      <c r="P52" s="228">
        <v>2055</v>
      </c>
      <c r="Q52" s="229" t="e">
        <f>'Summary Baseline Data'!#REF!/'Summary Baseline Data'!$D74</f>
        <v>#REF!</v>
      </c>
      <c r="R52" s="229" t="e">
        <f>'Summary Baseline Data'!#REF!/'Summary Baseline Data'!$D74</f>
        <v>#REF!</v>
      </c>
      <c r="S52" s="229" t="e">
        <f>'Summary Baseline Data'!#REF!/'Summary Baseline Data'!$D74</f>
        <v>#REF!</v>
      </c>
      <c r="T52" s="230" t="e">
        <f t="shared" si="0"/>
        <v>#REF!</v>
      </c>
      <c r="U52" s="244" t="e">
        <f>IF(T52=0,0,SUM('Summary Baseline Data'!#REF!,'Summary Baseline Data'!#REF!,'Summary Baseline Data'!#REF!)+U51)</f>
        <v>#REF!</v>
      </c>
      <c r="W52" s="458">
        <v>237508466.34501132</v>
      </c>
      <c r="X52" s="232">
        <v>19219980.816159971</v>
      </c>
      <c r="Y52" s="232">
        <v>6609248.9795918223</v>
      </c>
      <c r="Z52" s="232">
        <v>0</v>
      </c>
      <c r="AA52" s="244">
        <v>0</v>
      </c>
      <c r="AB52" s="464">
        <v>2057</v>
      </c>
      <c r="AC52" s="350">
        <v>157407401.82284203</v>
      </c>
      <c r="AD52" s="350">
        <v>21802812.013512097</v>
      </c>
      <c r="AE52" s="350">
        <v>-86982796.169620797</v>
      </c>
      <c r="AF52" s="350">
        <v>0</v>
      </c>
      <c r="AG52" s="350">
        <v>0</v>
      </c>
      <c r="AH52" s="350">
        <v>0</v>
      </c>
      <c r="AI52" s="350">
        <v>0</v>
      </c>
      <c r="AJ52" s="350">
        <v>0</v>
      </c>
    </row>
    <row r="53" spans="1:36" x14ac:dyDescent="0.3">
      <c r="A53" s="228">
        <f>'LPP Annual Financing Costs'!A76</f>
        <v>2056</v>
      </c>
      <c r="B53" s="232" t="e">
        <f>ABS(HLOOKUP($D$3,'LPP Annual Financing Costs'!$C$9:$I$80,'LPP Annual Financing Costs'!B76,FALSE))</f>
        <v>#N/A</v>
      </c>
      <c r="C53" s="232" t="e">
        <f>ABS(HLOOKUP($D$3,'LPP Annual Financing Costs'!$K$9:$N$80,'LPP Annual Financing Costs'!B76,FALSE))</f>
        <v>#N/A</v>
      </c>
      <c r="D53" s="233" t="e">
        <f>ABS('LPP Annual Financing Costs'!#REF!)</f>
        <v>#REF!</v>
      </c>
      <c r="E53" s="234" t="e">
        <f>ABS('LPP Annual Financing Costs'!#REF!)</f>
        <v>#REF!</v>
      </c>
      <c r="F53" s="228">
        <f>'LPP Annual Financing Costs'!A76</f>
        <v>2056</v>
      </c>
      <c r="G53" s="232" t="e">
        <f>ABS(HLOOKUP($I$3,'LPP Cumulative Financing Costs'!$C$9:$F$80,'LPP Cumulative Financing Costs'!B76,FALSE))</f>
        <v>#N/A</v>
      </c>
      <c r="H53" s="232" t="e">
        <f>ABS(HLOOKUP($I$3,'LPP Cumulative Financing Costs'!$G$9:$J$80,'LPP Annual Financing Costs'!B76,FALSE))</f>
        <v>#N/A</v>
      </c>
      <c r="I53" s="233" t="e">
        <f>ABS('LPP Cumulative Financing Costs'!#REF!)</f>
        <v>#REF!</v>
      </c>
      <c r="J53" s="234" t="e">
        <f>ABS('LPP Cumulative Financing Costs'!#REF!)</f>
        <v>#REF!</v>
      </c>
      <c r="K53" s="228">
        <v>2056</v>
      </c>
      <c r="L53" s="232" t="e">
        <f>ABS(HLOOKUP($I$3,'LPP Per Cap Annual Finan Costs'!$C$9:$F$80,'LPP Per Cap Annual Finan Costs'!B76,FALSE))</f>
        <v>#N/A</v>
      </c>
      <c r="M53" s="232" t="e">
        <f>ABS(HLOOKUP($I$3,'LPP Per Cap Annual Finan Costs'!$G$9:$J$80,'LPP Per Cap Annual Finan Costs'!B76,FALSE))</f>
        <v>#N/A</v>
      </c>
      <c r="N53" s="232" t="e">
        <f>ABS('LPP Per Cap Annual Finan Costs'!#REF!)</f>
        <v>#REF!</v>
      </c>
      <c r="O53" s="244" t="e">
        <f>ABS('LPP Per Cap Annual Finan Costs'!#REF!)</f>
        <v>#REF!</v>
      </c>
      <c r="P53" s="228">
        <v>2056</v>
      </c>
      <c r="Q53" s="229" t="e">
        <f>'Summary Baseline Data'!#REF!/'Summary Baseline Data'!$D75</f>
        <v>#REF!</v>
      </c>
      <c r="R53" s="229" t="e">
        <f>'Summary Baseline Data'!#REF!/'Summary Baseline Data'!$D75</f>
        <v>#REF!</v>
      </c>
      <c r="S53" s="229" t="e">
        <f>'Summary Baseline Data'!#REF!/'Summary Baseline Data'!$D75</f>
        <v>#REF!</v>
      </c>
      <c r="T53" s="230" t="e">
        <f t="shared" si="0"/>
        <v>#REF!</v>
      </c>
      <c r="U53" s="244" t="e">
        <f>IF(T53=0,0,SUM('Summary Baseline Data'!#REF!,'Summary Baseline Data'!#REF!,'Summary Baseline Data'!#REF!)+U52)</f>
        <v>#REF!</v>
      </c>
      <c r="W53" s="458">
        <v>252182977.74531054</v>
      </c>
      <c r="X53" s="232">
        <v>19604380.43248317</v>
      </c>
      <c r="Y53" s="232">
        <v>6609248.9795918223</v>
      </c>
      <c r="Z53" s="232">
        <v>0</v>
      </c>
      <c r="AA53" s="244">
        <v>0</v>
      </c>
      <c r="AB53" s="464">
        <v>2058</v>
      </c>
      <c r="AC53" s="350">
        <v>166727238.54472521</v>
      </c>
      <c r="AD53" s="350">
        <v>23504955.917138644</v>
      </c>
      <c r="AE53" s="350">
        <v>-91520770.325308725</v>
      </c>
      <c r="AF53" s="350">
        <v>0</v>
      </c>
      <c r="AG53" s="350">
        <v>0</v>
      </c>
      <c r="AH53" s="350">
        <v>0</v>
      </c>
      <c r="AI53" s="350">
        <v>0</v>
      </c>
      <c r="AJ53" s="350">
        <v>0</v>
      </c>
    </row>
    <row r="54" spans="1:36" x14ac:dyDescent="0.3">
      <c r="A54" s="228">
        <f>'LPP Annual Financing Costs'!A77</f>
        <v>2057</v>
      </c>
      <c r="B54" s="232" t="e">
        <f>ABS(HLOOKUP($D$3,'LPP Annual Financing Costs'!$C$9:$I$80,'LPP Annual Financing Costs'!B77,FALSE))</f>
        <v>#N/A</v>
      </c>
      <c r="C54" s="232" t="e">
        <f>ABS(HLOOKUP($D$3,'LPP Annual Financing Costs'!$K$9:$N$80,'LPP Annual Financing Costs'!B77,FALSE))</f>
        <v>#N/A</v>
      </c>
      <c r="D54" s="233" t="e">
        <f>ABS('LPP Annual Financing Costs'!#REF!)</f>
        <v>#REF!</v>
      </c>
      <c r="E54" s="234" t="e">
        <f>ABS('LPP Annual Financing Costs'!#REF!)</f>
        <v>#REF!</v>
      </c>
      <c r="F54" s="228">
        <f>'LPP Annual Financing Costs'!A77</f>
        <v>2057</v>
      </c>
      <c r="G54" s="232" t="e">
        <f>ABS(HLOOKUP($I$3,'LPP Cumulative Financing Costs'!$C$9:$F$80,'LPP Cumulative Financing Costs'!B77,FALSE))</f>
        <v>#N/A</v>
      </c>
      <c r="H54" s="232" t="e">
        <f>ABS(HLOOKUP($I$3,'LPP Cumulative Financing Costs'!$G$9:$J$80,'LPP Annual Financing Costs'!B77,FALSE))</f>
        <v>#N/A</v>
      </c>
      <c r="I54" s="233" t="e">
        <f>ABS('LPP Cumulative Financing Costs'!#REF!)</f>
        <v>#REF!</v>
      </c>
      <c r="J54" s="234" t="e">
        <f>ABS('LPP Cumulative Financing Costs'!#REF!)</f>
        <v>#REF!</v>
      </c>
      <c r="K54" s="228">
        <v>2057</v>
      </c>
      <c r="L54" s="232" t="e">
        <f>ABS(HLOOKUP($I$3,'LPP Per Cap Annual Finan Costs'!$C$9:$F$80,'LPP Per Cap Annual Finan Costs'!B77,FALSE))</f>
        <v>#N/A</v>
      </c>
      <c r="M54" s="232" t="e">
        <f>ABS(HLOOKUP($I$3,'LPP Per Cap Annual Finan Costs'!$G$9:$J$80,'LPP Per Cap Annual Finan Costs'!B77,FALSE))</f>
        <v>#N/A</v>
      </c>
      <c r="N54" s="232" t="e">
        <f>ABS('LPP Per Cap Annual Finan Costs'!#REF!)</f>
        <v>#REF!</v>
      </c>
      <c r="O54" s="244" t="e">
        <f>ABS('LPP Per Cap Annual Finan Costs'!#REF!)</f>
        <v>#REF!</v>
      </c>
      <c r="P54" s="228">
        <v>2057</v>
      </c>
      <c r="Q54" s="229" t="e">
        <f>'Summary Baseline Data'!#REF!/'Summary Baseline Data'!$D76</f>
        <v>#REF!</v>
      </c>
      <c r="R54" s="229" t="e">
        <f>'Summary Baseline Data'!#REF!/'Summary Baseline Data'!$D76</f>
        <v>#REF!</v>
      </c>
      <c r="S54" s="229" t="e">
        <f>'Summary Baseline Data'!#REF!/'Summary Baseline Data'!$D76</f>
        <v>#REF!</v>
      </c>
      <c r="T54" s="230" t="e">
        <f t="shared" si="0"/>
        <v>#REF!</v>
      </c>
      <c r="U54" s="244" t="e">
        <f>IF(T54=0,0,SUM('Summary Baseline Data'!#REF!,'Summary Baseline Data'!#REF!,'Summary Baseline Data'!#REF!)+U53)</f>
        <v>#REF!</v>
      </c>
      <c r="W54" s="458">
        <v>267794726.71011266</v>
      </c>
      <c r="X54" s="232">
        <v>19996468.041132834</v>
      </c>
      <c r="Y54" s="232">
        <v>6609248.9795918809</v>
      </c>
      <c r="Z54" s="232">
        <v>0</v>
      </c>
      <c r="AA54" s="244">
        <v>0</v>
      </c>
      <c r="AB54" s="464">
        <v>2059</v>
      </c>
      <c r="AC54" s="350">
        <v>176528839.46784803</v>
      </c>
      <c r="AD54" s="350">
        <v>25289605.924170591</v>
      </c>
      <c r="AE54" s="350">
        <v>-96496642.059175581</v>
      </c>
      <c r="AF54" s="350">
        <v>0</v>
      </c>
      <c r="AG54" s="350">
        <v>0</v>
      </c>
      <c r="AH54" s="350">
        <v>0</v>
      </c>
      <c r="AI54" s="350">
        <v>0</v>
      </c>
      <c r="AJ54" s="350">
        <v>0</v>
      </c>
    </row>
    <row r="55" spans="1:36" x14ac:dyDescent="0.3">
      <c r="A55" s="228">
        <f>'LPP Annual Financing Costs'!A78</f>
        <v>2058</v>
      </c>
      <c r="B55" s="232" t="e">
        <f>ABS(HLOOKUP($D$3,'LPP Annual Financing Costs'!$C$9:$I$80,'LPP Annual Financing Costs'!B78,FALSE))</f>
        <v>#N/A</v>
      </c>
      <c r="C55" s="232" t="e">
        <f>ABS(HLOOKUP($D$3,'LPP Annual Financing Costs'!$K$9:$N$80,'LPP Annual Financing Costs'!B78,FALSE))</f>
        <v>#N/A</v>
      </c>
      <c r="D55" s="233" t="e">
        <f>ABS('LPP Annual Financing Costs'!#REF!)</f>
        <v>#REF!</v>
      </c>
      <c r="E55" s="234" t="e">
        <f>ABS('LPP Annual Financing Costs'!#REF!)</f>
        <v>#REF!</v>
      </c>
      <c r="F55" s="228">
        <f>'LPP Annual Financing Costs'!A78</f>
        <v>2058</v>
      </c>
      <c r="G55" s="232" t="e">
        <f>ABS(HLOOKUP($I$3,'LPP Cumulative Financing Costs'!$C$9:$F$80,'LPP Cumulative Financing Costs'!B78,FALSE))</f>
        <v>#N/A</v>
      </c>
      <c r="H55" s="232" t="e">
        <f>ABS(HLOOKUP($I$3,'LPP Cumulative Financing Costs'!$G$9:$J$80,'LPP Annual Financing Costs'!B78,FALSE))</f>
        <v>#N/A</v>
      </c>
      <c r="I55" s="233" t="e">
        <f>ABS('LPP Cumulative Financing Costs'!#REF!)</f>
        <v>#REF!</v>
      </c>
      <c r="J55" s="234" t="e">
        <f>ABS('LPP Cumulative Financing Costs'!#REF!)</f>
        <v>#REF!</v>
      </c>
      <c r="K55" s="228">
        <v>2058</v>
      </c>
      <c r="L55" s="232" t="e">
        <f>ABS(HLOOKUP($I$3,'LPP Per Cap Annual Finan Costs'!$C$9:$F$80,'LPP Per Cap Annual Finan Costs'!B78,FALSE))</f>
        <v>#N/A</v>
      </c>
      <c r="M55" s="232" t="e">
        <f>ABS(HLOOKUP($I$3,'LPP Per Cap Annual Finan Costs'!$G$9:$J$80,'LPP Per Cap Annual Finan Costs'!B78,FALSE))</f>
        <v>#N/A</v>
      </c>
      <c r="N55" s="232" t="e">
        <f>ABS('LPP Per Cap Annual Finan Costs'!#REF!)</f>
        <v>#REF!</v>
      </c>
      <c r="O55" s="244" t="e">
        <f>ABS('LPP Per Cap Annual Finan Costs'!#REF!)</f>
        <v>#REF!</v>
      </c>
      <c r="P55" s="228">
        <v>2058</v>
      </c>
      <c r="Q55" s="229" t="e">
        <f>'Summary Baseline Data'!#REF!/'Summary Baseline Data'!$D77</f>
        <v>#REF!</v>
      </c>
      <c r="R55" s="229" t="e">
        <f>'Summary Baseline Data'!#REF!/'Summary Baseline Data'!$D77</f>
        <v>#REF!</v>
      </c>
      <c r="S55" s="229" t="e">
        <f>'Summary Baseline Data'!#REF!/'Summary Baseline Data'!$D77</f>
        <v>#REF!</v>
      </c>
      <c r="T55" s="230" t="e">
        <f t="shared" si="0"/>
        <v>#REF!</v>
      </c>
      <c r="U55" s="244" t="e">
        <f>IF(T55=0,0,SUM('Summary Baseline Data'!#REF!,'Summary Baseline Data'!#REF!,'Summary Baseline Data'!#REF!)+U54)</f>
        <v>#REF!</v>
      </c>
      <c r="W55" s="458">
        <v>284403608.21472847</v>
      </c>
      <c r="X55" s="232">
        <v>20396397.401955493</v>
      </c>
      <c r="Y55" s="232">
        <v>6609248.9795918223</v>
      </c>
      <c r="Z55" s="232">
        <v>0</v>
      </c>
      <c r="AA55" s="244">
        <v>0</v>
      </c>
      <c r="AB55" s="464">
        <v>2060</v>
      </c>
      <c r="AC55" s="350">
        <v>186835442.60992154</v>
      </c>
      <c r="AD55" s="350">
        <v>27160180.47129903</v>
      </c>
      <c r="AE55" s="350">
        <v>-104936320.04332046</v>
      </c>
      <c r="AF55" s="350">
        <v>0</v>
      </c>
      <c r="AG55" s="350">
        <v>0</v>
      </c>
      <c r="AH55" s="350">
        <v>0</v>
      </c>
      <c r="AI55" s="350">
        <v>0</v>
      </c>
      <c r="AJ55" s="350">
        <v>0</v>
      </c>
    </row>
    <row r="56" spans="1:36" x14ac:dyDescent="0.3">
      <c r="A56" s="228">
        <f>'LPP Annual Financing Costs'!A79</f>
        <v>2059</v>
      </c>
      <c r="B56" s="232" t="e">
        <f>ABS(HLOOKUP($D$3,'LPP Annual Financing Costs'!$C$9:$I$80,'LPP Annual Financing Costs'!B79,FALSE))</f>
        <v>#N/A</v>
      </c>
      <c r="C56" s="232" t="e">
        <f>ABS(HLOOKUP($D$3,'LPP Annual Financing Costs'!$K$9:$N$80,'LPP Annual Financing Costs'!B79,FALSE))</f>
        <v>#N/A</v>
      </c>
      <c r="D56" s="233" t="e">
        <f>ABS('LPP Annual Financing Costs'!#REF!)</f>
        <v>#REF!</v>
      </c>
      <c r="E56" s="234" t="e">
        <f>ABS('LPP Annual Financing Costs'!#REF!)</f>
        <v>#REF!</v>
      </c>
      <c r="F56" s="228">
        <f>'LPP Annual Financing Costs'!A79</f>
        <v>2059</v>
      </c>
      <c r="G56" s="232" t="e">
        <f>ABS(HLOOKUP($I$3,'LPP Cumulative Financing Costs'!$C$9:$F$80,'LPP Cumulative Financing Costs'!B79,FALSE))</f>
        <v>#N/A</v>
      </c>
      <c r="H56" s="232" t="e">
        <f>ABS(HLOOKUP($I$3,'LPP Cumulative Financing Costs'!$G$9:$J$80,'LPP Annual Financing Costs'!B79,FALSE))</f>
        <v>#N/A</v>
      </c>
      <c r="I56" s="233" t="e">
        <f>ABS('LPP Cumulative Financing Costs'!#REF!)</f>
        <v>#REF!</v>
      </c>
      <c r="J56" s="234" t="e">
        <f>ABS('LPP Cumulative Financing Costs'!#REF!)</f>
        <v>#REF!</v>
      </c>
      <c r="K56" s="228">
        <v>2059</v>
      </c>
      <c r="L56" s="232" t="e">
        <f>ABS(HLOOKUP($I$3,'LPP Per Cap Annual Finan Costs'!$C$9:$F$80,'LPP Per Cap Annual Finan Costs'!B79,FALSE))</f>
        <v>#N/A</v>
      </c>
      <c r="M56" s="232" t="e">
        <f>ABS(HLOOKUP($I$3,'LPP Per Cap Annual Finan Costs'!$G$9:$J$80,'LPP Per Cap Annual Finan Costs'!B79,FALSE))</f>
        <v>#N/A</v>
      </c>
      <c r="N56" s="232" t="e">
        <f>ABS('LPP Per Cap Annual Finan Costs'!#REF!)</f>
        <v>#REF!</v>
      </c>
      <c r="O56" s="244" t="e">
        <f>ABS('LPP Per Cap Annual Finan Costs'!#REF!)</f>
        <v>#REF!</v>
      </c>
      <c r="P56" s="228">
        <v>2059</v>
      </c>
      <c r="Q56" s="229" t="e">
        <f>'Summary Baseline Data'!#REF!/'Summary Baseline Data'!$D78</f>
        <v>#REF!</v>
      </c>
      <c r="R56" s="229" t="e">
        <f>'Summary Baseline Data'!#REF!/'Summary Baseline Data'!$D78</f>
        <v>#REF!</v>
      </c>
      <c r="S56" s="229" t="e">
        <f>'Summary Baseline Data'!#REF!/'Summary Baseline Data'!$D78</f>
        <v>#REF!</v>
      </c>
      <c r="T56" s="230" t="e">
        <f t="shared" si="0"/>
        <v>#REF!</v>
      </c>
      <c r="U56" s="244" t="e">
        <f>IF(T56=0,0,SUM('Summary Baseline Data'!#REF!,'Summary Baseline Data'!#REF!,'Summary Baseline Data'!#REF!)+U55)</f>
        <v>#REF!</v>
      </c>
      <c r="W56" s="458">
        <v>302073304.21529961</v>
      </c>
      <c r="X56" s="232">
        <v>20804325.3499946</v>
      </c>
      <c r="Y56" s="232">
        <v>6609248.9795918809</v>
      </c>
      <c r="Z56" s="232">
        <v>0</v>
      </c>
      <c r="AA56" s="244">
        <v>0</v>
      </c>
      <c r="AB56" s="464">
        <v>2061</v>
      </c>
      <c r="AC56" s="350">
        <v>197671359.39662784</v>
      </c>
      <c r="AD56" s="350">
        <v>28504021.727074794</v>
      </c>
      <c r="AE56" s="350">
        <v>-111348688.77063347</v>
      </c>
      <c r="AF56" s="350">
        <v>0</v>
      </c>
      <c r="AG56" s="350">
        <v>0</v>
      </c>
      <c r="AH56" s="350">
        <v>0</v>
      </c>
      <c r="AI56" s="350">
        <v>0</v>
      </c>
      <c r="AJ56" s="350">
        <v>0</v>
      </c>
    </row>
    <row r="57" spans="1:36" ht="17.25" thickBot="1" x14ac:dyDescent="0.35">
      <c r="A57" s="235">
        <f>'LPP Annual Financing Costs'!A80</f>
        <v>2060</v>
      </c>
      <c r="B57" s="236" t="e">
        <f>ABS(HLOOKUP($D$3,'LPP Annual Financing Costs'!$C$9:$I$80,'LPP Annual Financing Costs'!B80,FALSE))</f>
        <v>#N/A</v>
      </c>
      <c r="C57" s="236" t="e">
        <f>ABS(HLOOKUP($D$3,'LPP Annual Financing Costs'!$K$9:$N$80,'LPP Annual Financing Costs'!B80,FALSE))</f>
        <v>#N/A</v>
      </c>
      <c r="D57" s="237" t="e">
        <f>ABS('LPP Annual Financing Costs'!#REF!)</f>
        <v>#REF!</v>
      </c>
      <c r="E57" s="238" t="e">
        <f>ABS('LPP Annual Financing Costs'!#REF!)</f>
        <v>#REF!</v>
      </c>
      <c r="F57" s="235">
        <f>'LPP Annual Financing Costs'!A80</f>
        <v>2060</v>
      </c>
      <c r="G57" s="236" t="e">
        <f>ABS(HLOOKUP($I$3,'LPP Cumulative Financing Costs'!$C$9:$F$80,'LPP Cumulative Financing Costs'!B80,FALSE))</f>
        <v>#N/A</v>
      </c>
      <c r="H57" s="236" t="e">
        <f>ABS(HLOOKUP($I$3,'LPP Cumulative Financing Costs'!$G$9:$J$80,'LPP Annual Financing Costs'!B80,FALSE))</f>
        <v>#N/A</v>
      </c>
      <c r="I57" s="237" t="e">
        <f>ABS('LPP Cumulative Financing Costs'!#REF!)</f>
        <v>#REF!</v>
      </c>
      <c r="J57" s="238" t="e">
        <f>ABS('LPP Cumulative Financing Costs'!#REF!)</f>
        <v>#REF!</v>
      </c>
      <c r="K57" s="235">
        <v>2060</v>
      </c>
      <c r="L57" s="236" t="e">
        <f>ABS(HLOOKUP($I$3,'LPP Per Cap Annual Finan Costs'!$C$9:$F$80,'LPP Per Cap Annual Finan Costs'!B80,FALSE))</f>
        <v>#N/A</v>
      </c>
      <c r="M57" s="236" t="e">
        <f>ABS(HLOOKUP($I$3,'LPP Per Cap Annual Finan Costs'!$G$9:$J$80,'LPP Per Cap Annual Finan Costs'!B80,FALSE))</f>
        <v>#N/A</v>
      </c>
      <c r="N57" s="236" t="e">
        <f>ABS('LPP Per Cap Annual Finan Costs'!#REF!)</f>
        <v>#REF!</v>
      </c>
      <c r="O57" s="245" t="e">
        <f>ABS('LPP Per Cap Annual Finan Costs'!#REF!)</f>
        <v>#REF!</v>
      </c>
      <c r="P57" s="235">
        <v>2060</v>
      </c>
      <c r="Q57" s="343" t="e">
        <f>'Summary Baseline Data'!#REF!/'Summary Baseline Data'!$D79</f>
        <v>#REF!</v>
      </c>
      <c r="R57" s="343" t="e">
        <f>'Summary Baseline Data'!#REF!/'Summary Baseline Data'!$D79</f>
        <v>#REF!</v>
      </c>
      <c r="S57" s="343" t="e">
        <f>'Summary Baseline Data'!#REF!/'Summary Baseline Data'!$D79</f>
        <v>#REF!</v>
      </c>
      <c r="T57" s="349" t="e">
        <f t="shared" si="0"/>
        <v>#REF!</v>
      </c>
      <c r="U57" s="244" t="e">
        <f>IF(T57=0,0,SUM('Summary Baseline Data'!#REF!,'Summary Baseline Data'!#REF!,'Summary Baseline Data'!#REF!)+U56)</f>
        <v>#REF!</v>
      </c>
      <c r="W57" s="462">
        <v>320871519.97997528</v>
      </c>
      <c r="X57" s="236">
        <v>21220411.856994491</v>
      </c>
      <c r="Y57" s="236">
        <v>6609248.9795917068</v>
      </c>
      <c r="Z57" s="236">
        <v>0</v>
      </c>
      <c r="AA57" s="245">
        <v>0</v>
      </c>
      <c r="AB57" s="464">
        <v>2062</v>
      </c>
      <c r="AC57" s="350">
        <v>209062022.84254685</v>
      </c>
      <c r="AD57" s="350">
        <v>29359142.378887042</v>
      </c>
      <c r="AE57" s="350">
        <v>-119931213.25166461</v>
      </c>
      <c r="AF57" s="350">
        <v>0</v>
      </c>
      <c r="AG57" s="350">
        <v>0</v>
      </c>
      <c r="AH57" s="350">
        <v>0</v>
      </c>
      <c r="AI57" s="350">
        <v>0</v>
      </c>
      <c r="AJ57" s="350">
        <v>0</v>
      </c>
    </row>
    <row r="58" spans="1:36" x14ac:dyDescent="0.3">
      <c r="D58" s="227"/>
      <c r="E58" s="227"/>
    </row>
    <row r="59" spans="1:36" x14ac:dyDescent="0.3">
      <c r="D59" s="227"/>
      <c r="E59" s="227"/>
    </row>
    <row r="60" spans="1:36" x14ac:dyDescent="0.3">
      <c r="D60" s="227"/>
      <c r="E60" s="227"/>
    </row>
    <row r="61" spans="1:36" x14ac:dyDescent="0.3">
      <c r="D61" s="227"/>
      <c r="E61" s="227"/>
    </row>
  </sheetData>
  <mergeCells count="8">
    <mergeCell ref="V1:AA1"/>
    <mergeCell ref="P1:U1"/>
    <mergeCell ref="A3:C3"/>
    <mergeCell ref="F3:H3"/>
    <mergeCell ref="A1:E1"/>
    <mergeCell ref="F1:J1"/>
    <mergeCell ref="K1:O1"/>
    <mergeCell ref="K3:M3"/>
  </mergeCells>
  <pageMargins left="0.7" right="0.7" top="0.75" bottom="0.75" header="0.3" footer="0.3"/>
  <pageSetup paperSize="17" scale="45" fitToHeight="0" orientation="landscape" r:id="rId1"/>
  <headerFooter>
    <oddFooter xml:space="preserve">&amp;L&amp;"-,Bold"&amp;9This is a preliminary draft document. It is intended for discussion purposes only.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0"/>
  <sheetViews>
    <sheetView view="pageBreakPreview" topLeftCell="A16" zoomScaleNormal="100" zoomScaleSheetLayoutView="100" zoomScalePageLayoutView="40" workbookViewId="0">
      <selection activeCell="A60" sqref="A60:A62"/>
    </sheetView>
  </sheetViews>
  <sheetFormatPr defaultRowHeight="12.75" x14ac:dyDescent="0.2"/>
  <cols>
    <col min="1" max="1" width="9.28515625" style="5" bestFit="1" customWidth="1"/>
    <col min="2" max="2" width="9.140625" style="5" hidden="1" customWidth="1"/>
    <col min="3" max="3" width="15" style="5" customWidth="1"/>
    <col min="4" max="7" width="14.85546875" style="5" bestFit="1" customWidth="1"/>
    <col min="8" max="8" width="15.5703125" style="5" bestFit="1" customWidth="1"/>
    <col min="9" max="10" width="16.140625" style="5" bestFit="1" customWidth="1"/>
    <col min="11" max="16384" width="9.140625" style="5"/>
  </cols>
  <sheetData>
    <row r="1" spans="1:10" x14ac:dyDescent="0.2">
      <c r="A1" s="313" t="s">
        <v>93</v>
      </c>
      <c r="B1" s="116"/>
      <c r="C1" s="116"/>
      <c r="D1" s="116"/>
      <c r="E1" s="314"/>
      <c r="F1" s="116"/>
      <c r="G1" s="116"/>
      <c r="H1" s="116"/>
      <c r="I1" s="116"/>
      <c r="J1" s="116"/>
    </row>
    <row r="2" spans="1:10" x14ac:dyDescent="0.2">
      <c r="A2" s="315" t="s">
        <v>94</v>
      </c>
      <c r="B2" s="125"/>
      <c r="C2" s="125"/>
      <c r="D2" s="125"/>
      <c r="E2" s="126"/>
    </row>
    <row r="3" spans="1:10" s="118" customFormat="1" ht="15" customHeight="1" x14ac:dyDescent="0.2">
      <c r="A3" s="966" t="s">
        <v>92</v>
      </c>
      <c r="B3" s="945"/>
      <c r="C3" s="945"/>
      <c r="D3" s="945"/>
      <c r="E3" s="945"/>
      <c r="F3" s="945"/>
      <c r="G3" s="945"/>
      <c r="H3" s="945"/>
      <c r="I3" s="945"/>
      <c r="J3" s="945"/>
    </row>
    <row r="4" spans="1:10" s="118" customFormat="1" ht="15" customHeight="1" thickBot="1" x14ac:dyDescent="0.25">
      <c r="A4" s="934" t="s">
        <v>96</v>
      </c>
      <c r="B4" s="935"/>
      <c r="C4" s="935"/>
      <c r="D4" s="935"/>
      <c r="E4" s="935"/>
      <c r="F4" s="935"/>
      <c r="G4" s="935"/>
      <c r="H4" s="935"/>
      <c r="I4" s="935"/>
      <c r="J4" s="935"/>
    </row>
    <row r="5" spans="1:10" ht="15.75" customHeight="1" thickBot="1" x14ac:dyDescent="0.25">
      <c r="A5" s="178" t="s">
        <v>41</v>
      </c>
      <c r="B5" s="179"/>
      <c r="C5" s="180"/>
      <c r="D5" s="955" t="s">
        <v>38</v>
      </c>
      <c r="E5" s="957"/>
      <c r="F5" s="185"/>
      <c r="G5" s="248"/>
      <c r="H5" s="248"/>
      <c r="I5" s="248"/>
      <c r="J5" s="248"/>
    </row>
    <row r="6" spans="1:10" s="114" customFormat="1" ht="13.5" thickBot="1" x14ac:dyDescent="0.25">
      <c r="A6" s="316"/>
      <c r="G6" s="5"/>
      <c r="H6" s="5"/>
      <c r="I6" s="5"/>
      <c r="J6" s="5"/>
    </row>
    <row r="7" spans="1:10" s="114" customFormat="1" ht="13.5" customHeight="1" thickBot="1" x14ac:dyDescent="0.3">
      <c r="A7" s="106"/>
      <c r="B7" s="116"/>
      <c r="C7" s="951" t="s">
        <v>7</v>
      </c>
      <c r="D7" s="952"/>
      <c r="E7" s="952"/>
      <c r="F7" s="952"/>
      <c r="G7" s="952"/>
      <c r="H7" s="952"/>
      <c r="I7" s="952"/>
      <c r="J7" s="952"/>
    </row>
    <row r="8" spans="1:10" s="183" customFormat="1" ht="31.5" customHeight="1" thickBot="1" x14ac:dyDescent="0.25">
      <c r="A8" s="268"/>
      <c r="B8" s="201"/>
      <c r="C8" s="953" t="s">
        <v>82</v>
      </c>
      <c r="D8" s="939"/>
      <c r="E8" s="939"/>
      <c r="F8" s="940"/>
      <c r="G8" s="941" t="s">
        <v>83</v>
      </c>
      <c r="H8" s="942"/>
      <c r="I8" s="942"/>
      <c r="J8" s="943"/>
    </row>
    <row r="9" spans="1:10" ht="13.5" thickBot="1" x14ac:dyDescent="0.25">
      <c r="A9" s="115" t="s">
        <v>10</v>
      </c>
      <c r="B9" s="117">
        <v>1</v>
      </c>
      <c r="C9" s="167">
        <f>'Economist Financing Model 1'!C5</f>
        <v>0.03</v>
      </c>
      <c r="D9" s="168">
        <f>'Economist Financing Model 1'!I5</f>
        <v>0.04</v>
      </c>
      <c r="E9" s="168">
        <f>'Economist Financing Model 1'!O5</f>
        <v>0.05</v>
      </c>
      <c r="F9" s="169">
        <f>'Economist Financing Model 1'!U5</f>
        <v>7.0000000000000007E-2</v>
      </c>
      <c r="G9" s="164">
        <f>'Economist Financing Model 2'!C5</f>
        <v>0.03</v>
      </c>
      <c r="H9" s="165">
        <f>'Economist Financing Model 2'!J5</f>
        <v>0.04</v>
      </c>
      <c r="I9" s="165">
        <f>'Economist Financing Model 2'!Q5</f>
        <v>0.05</v>
      </c>
      <c r="J9" s="166">
        <f>'Economist Financing Model 2'!X5</f>
        <v>7.0000000000000007E-2</v>
      </c>
    </row>
    <row r="10" spans="1:10" x14ac:dyDescent="0.2">
      <c r="A10" s="105">
        <f>'Summary Baseline Data'!A9</f>
        <v>1990</v>
      </c>
      <c r="B10" s="105">
        <v>2</v>
      </c>
      <c r="C10" s="107">
        <f>HLOOKUP($D$5,'Economist Financing Model 1'!$C$6:$H$80,'Economist Financing Model 1'!B7,FALSE)</f>
        <v>0</v>
      </c>
      <c r="D10" s="108">
        <f>HLOOKUP($D$5,'Economist Financing Model 1'!$I$6:$N$80,B10,FALSE)</f>
        <v>0</v>
      </c>
      <c r="E10" s="108">
        <f>HLOOKUP($D$5,'Economist Financing Model 1'!$O$6:$T$80,B10,FALSE)</f>
        <v>0</v>
      </c>
      <c r="F10" s="109">
        <f>HLOOKUP($D$5,'Economist Financing Model 1'!$U$6:$Z$80,B10,FALSE)</f>
        <v>0</v>
      </c>
      <c r="G10" s="107">
        <f>HLOOKUP($D$5,'Economist Financing Model 2'!$C$68:$I$143,B10,FALSE)</f>
        <v>0</v>
      </c>
      <c r="H10" s="108">
        <f>HLOOKUP($D$5,'Economist Financing Model 2'!$J$68:$P$144,B10,FALSE)</f>
        <v>0</v>
      </c>
      <c r="I10" s="108">
        <f>HLOOKUP($D$5,'Economist Financing Model 2'!$Q$68:$W$144,B10,FALSE)</f>
        <v>0</v>
      </c>
      <c r="J10" s="109">
        <f>HLOOKUP($D$5,'Economist Financing Model 2'!$X$68:$AD$144,B10,FALSE)</f>
        <v>0</v>
      </c>
    </row>
    <row r="11" spans="1:10" ht="13.5" thickBot="1" x14ac:dyDescent="0.25">
      <c r="A11" s="105">
        <f>'Summary Baseline Data'!A10</f>
        <v>1991</v>
      </c>
      <c r="B11" s="117">
        <v>3</v>
      </c>
      <c r="C11" s="107">
        <f>HLOOKUP($D$5,'Economist Financing Model 1'!$C$6:$H$80,'Economist Financing Model 1'!B8,FALSE)</f>
        <v>0</v>
      </c>
      <c r="D11" s="108">
        <f>HLOOKUP($D$5,'Economist Financing Model 1'!$I$6:$N$80,B11,FALSE)</f>
        <v>0</v>
      </c>
      <c r="E11" s="108">
        <f>HLOOKUP($D$5,'Economist Financing Model 1'!$O$6:$T$80,B11,FALSE)</f>
        <v>0</v>
      </c>
      <c r="F11" s="109">
        <f>HLOOKUP($D$5,'Economist Financing Model 1'!$U$6:$Z$80,B11,FALSE)</f>
        <v>0</v>
      </c>
      <c r="G11" s="107">
        <f>HLOOKUP($D$5,'Economist Financing Model 2'!$C$68:$I$143,B11,FALSE)</f>
        <v>0</v>
      </c>
      <c r="H11" s="108">
        <f>HLOOKUP($D$5,'Economist Financing Model 2'!$J$68:$P$144,B11,FALSE)</f>
        <v>0</v>
      </c>
      <c r="I11" s="108">
        <f>HLOOKUP($D$5,'Economist Financing Model 2'!$Q$68:$W$144,B11,FALSE)</f>
        <v>0</v>
      </c>
      <c r="J11" s="109">
        <f>HLOOKUP($D$5,'Economist Financing Model 2'!$X$68:$AD$144,B11,FALSE)</f>
        <v>0</v>
      </c>
    </row>
    <row r="12" spans="1:10" x14ac:dyDescent="0.2">
      <c r="A12" s="105">
        <f>'Summary Baseline Data'!A11</f>
        <v>1992</v>
      </c>
      <c r="B12" s="105">
        <v>4</v>
      </c>
      <c r="C12" s="107">
        <f>HLOOKUP($D$5,'Economist Financing Model 1'!$C$6:$H$80,'Economist Financing Model 1'!B9,FALSE)</f>
        <v>0</v>
      </c>
      <c r="D12" s="108">
        <f>HLOOKUP($D$5,'Economist Financing Model 1'!$I$6:$N$80,B12,FALSE)</f>
        <v>0</v>
      </c>
      <c r="E12" s="108">
        <f>HLOOKUP($D$5,'Economist Financing Model 1'!$O$6:$T$80,B12,FALSE)</f>
        <v>0</v>
      </c>
      <c r="F12" s="109">
        <f>HLOOKUP($D$5,'Economist Financing Model 1'!$U$6:$Z$80,B12,FALSE)</f>
        <v>0</v>
      </c>
      <c r="G12" s="107">
        <f>HLOOKUP($D$5,'Economist Financing Model 2'!$C$68:$I$143,B12,FALSE)</f>
        <v>0</v>
      </c>
      <c r="H12" s="108">
        <f>HLOOKUP($D$5,'Economist Financing Model 2'!$J$68:$P$144,B12,FALSE)</f>
        <v>0</v>
      </c>
      <c r="I12" s="108">
        <f>HLOOKUP($D$5,'Economist Financing Model 2'!$Q$68:$W$144,B12,FALSE)</f>
        <v>0</v>
      </c>
      <c r="J12" s="109">
        <f>HLOOKUP($D$5,'Economist Financing Model 2'!$X$68:$AD$144,B12,FALSE)</f>
        <v>0</v>
      </c>
    </row>
    <row r="13" spans="1:10" ht="13.5" thickBot="1" x14ac:dyDescent="0.25">
      <c r="A13" s="105">
        <f>'Summary Baseline Data'!A12</f>
        <v>1993</v>
      </c>
      <c r="B13" s="117">
        <v>5</v>
      </c>
      <c r="C13" s="107">
        <f>HLOOKUP($D$5,'Economist Financing Model 1'!$C$6:$H$80,'Economist Financing Model 1'!B10,FALSE)</f>
        <v>0</v>
      </c>
      <c r="D13" s="108">
        <f>HLOOKUP($D$5,'Economist Financing Model 1'!$I$6:$N$80,B13,FALSE)</f>
        <v>0</v>
      </c>
      <c r="E13" s="108">
        <f>HLOOKUP($D$5,'Economist Financing Model 1'!$O$6:$T$80,B13,FALSE)</f>
        <v>0</v>
      </c>
      <c r="F13" s="109">
        <f>HLOOKUP($D$5,'Economist Financing Model 1'!$U$6:$Z$80,B13,FALSE)</f>
        <v>0</v>
      </c>
      <c r="G13" s="107">
        <f>HLOOKUP($D$5,'Economist Financing Model 2'!$C$68:$I$143,B13,FALSE)</f>
        <v>0</v>
      </c>
      <c r="H13" s="108">
        <f>HLOOKUP($D$5,'Economist Financing Model 2'!$J$68:$P$144,B13,FALSE)</f>
        <v>0</v>
      </c>
      <c r="I13" s="108">
        <f>HLOOKUP($D$5,'Economist Financing Model 2'!$Q$68:$W$144,B13,FALSE)</f>
        <v>0</v>
      </c>
      <c r="J13" s="109">
        <f>HLOOKUP($D$5,'Economist Financing Model 2'!$X$68:$AD$144,B13,FALSE)</f>
        <v>0</v>
      </c>
    </row>
    <row r="14" spans="1:10" x14ac:dyDescent="0.2">
      <c r="A14" s="105">
        <f>'Summary Baseline Data'!A13</f>
        <v>1994</v>
      </c>
      <c r="B14" s="105">
        <v>6</v>
      </c>
      <c r="C14" s="107">
        <f>HLOOKUP($D$5,'Economist Financing Model 1'!$C$6:$H$80,'Economist Financing Model 1'!B11,FALSE)</f>
        <v>0</v>
      </c>
      <c r="D14" s="108">
        <f>HLOOKUP($D$5,'Economist Financing Model 1'!$I$6:$N$80,B14,FALSE)</f>
        <v>0</v>
      </c>
      <c r="E14" s="108">
        <f>HLOOKUP($D$5,'Economist Financing Model 1'!$O$6:$T$80,B14,FALSE)</f>
        <v>0</v>
      </c>
      <c r="F14" s="109">
        <f>HLOOKUP($D$5,'Economist Financing Model 1'!$U$6:$Z$80,B14,FALSE)</f>
        <v>0</v>
      </c>
      <c r="G14" s="107">
        <f>HLOOKUP($D$5,'Economist Financing Model 2'!$C$68:$I$143,B14,FALSE)</f>
        <v>0</v>
      </c>
      <c r="H14" s="108">
        <f>HLOOKUP($D$5,'Economist Financing Model 2'!$J$68:$P$144,B14,FALSE)</f>
        <v>0</v>
      </c>
      <c r="I14" s="108">
        <f>HLOOKUP($D$5,'Economist Financing Model 2'!$Q$68:$W$144,B14,FALSE)</f>
        <v>0</v>
      </c>
      <c r="J14" s="109">
        <f>HLOOKUP($D$5,'Economist Financing Model 2'!$X$68:$AD$144,B14,FALSE)</f>
        <v>0</v>
      </c>
    </row>
    <row r="15" spans="1:10" ht="13.5" thickBot="1" x14ac:dyDescent="0.25">
      <c r="A15" s="105">
        <f>'Summary Baseline Data'!A14</f>
        <v>1995</v>
      </c>
      <c r="B15" s="117">
        <v>7</v>
      </c>
      <c r="C15" s="107">
        <f>HLOOKUP($D$5,'Economist Financing Model 1'!$C$6:$H$80,'Economist Financing Model 1'!B12,FALSE)</f>
        <v>0</v>
      </c>
      <c r="D15" s="108">
        <f>HLOOKUP($D$5,'Economist Financing Model 1'!$I$6:$N$80,B15,FALSE)</f>
        <v>0</v>
      </c>
      <c r="E15" s="108">
        <f>HLOOKUP($D$5,'Economist Financing Model 1'!$O$6:$T$80,B15,FALSE)</f>
        <v>0</v>
      </c>
      <c r="F15" s="109">
        <f>HLOOKUP($D$5,'Economist Financing Model 1'!$U$6:$Z$80,B15,FALSE)</f>
        <v>0</v>
      </c>
      <c r="G15" s="107">
        <f>HLOOKUP($D$5,'Economist Financing Model 2'!$C$68:$I$143,B15,FALSE)</f>
        <v>0</v>
      </c>
      <c r="H15" s="108">
        <f>HLOOKUP($D$5,'Economist Financing Model 2'!$J$68:$P$144,B15,FALSE)</f>
        <v>0</v>
      </c>
      <c r="I15" s="108">
        <f>HLOOKUP($D$5,'Economist Financing Model 2'!$Q$68:$W$144,B15,FALSE)</f>
        <v>0</v>
      </c>
      <c r="J15" s="109">
        <f>HLOOKUP($D$5,'Economist Financing Model 2'!$X$68:$AD$144,B15,FALSE)</f>
        <v>0</v>
      </c>
    </row>
    <row r="16" spans="1:10" x14ac:dyDescent="0.2">
      <c r="A16" s="105">
        <f>'Summary Baseline Data'!A15</f>
        <v>1996</v>
      </c>
      <c r="B16" s="105">
        <v>8</v>
      </c>
      <c r="C16" s="107">
        <f>HLOOKUP($D$5,'Economist Financing Model 1'!$C$6:$H$80,'Economist Financing Model 1'!B13,FALSE)</f>
        <v>0</v>
      </c>
      <c r="D16" s="108">
        <f>HLOOKUP($D$5,'Economist Financing Model 1'!$I$6:$N$80,B16,FALSE)</f>
        <v>0</v>
      </c>
      <c r="E16" s="108">
        <f>HLOOKUP($D$5,'Economist Financing Model 1'!$O$6:$T$80,B16,FALSE)</f>
        <v>0</v>
      </c>
      <c r="F16" s="109">
        <f>HLOOKUP($D$5,'Economist Financing Model 1'!$U$6:$Z$80,B16,FALSE)</f>
        <v>0</v>
      </c>
      <c r="G16" s="107">
        <f>HLOOKUP($D$5,'Economist Financing Model 2'!$C$68:$I$143,B16,FALSE)</f>
        <v>0</v>
      </c>
      <c r="H16" s="108">
        <f>HLOOKUP($D$5,'Economist Financing Model 2'!$J$68:$P$144,B16,FALSE)</f>
        <v>0</v>
      </c>
      <c r="I16" s="108">
        <f>HLOOKUP($D$5,'Economist Financing Model 2'!$Q$68:$W$144,B16,FALSE)</f>
        <v>0</v>
      </c>
      <c r="J16" s="109">
        <f>HLOOKUP($D$5,'Economist Financing Model 2'!$X$68:$AD$144,B16,FALSE)</f>
        <v>0</v>
      </c>
    </row>
    <row r="17" spans="1:10" ht="13.5" thickBot="1" x14ac:dyDescent="0.25">
      <c r="A17" s="105">
        <f>'Summary Baseline Data'!A16</f>
        <v>1997</v>
      </c>
      <c r="B17" s="117">
        <v>9</v>
      </c>
      <c r="C17" s="107">
        <f>HLOOKUP($D$5,'Economist Financing Model 1'!$C$6:$H$80,'Economist Financing Model 1'!B14,FALSE)</f>
        <v>0</v>
      </c>
      <c r="D17" s="108">
        <f>HLOOKUP($D$5,'Economist Financing Model 1'!$I$6:$N$80,B17,FALSE)</f>
        <v>0</v>
      </c>
      <c r="E17" s="108">
        <f>HLOOKUP($D$5,'Economist Financing Model 1'!$O$6:$T$80,B17,FALSE)</f>
        <v>0</v>
      </c>
      <c r="F17" s="109">
        <f>HLOOKUP($D$5,'Economist Financing Model 1'!$U$6:$Z$80,B17,FALSE)</f>
        <v>0</v>
      </c>
      <c r="G17" s="107">
        <f>HLOOKUP($D$5,'Economist Financing Model 2'!$C$68:$I$143,B17,FALSE)</f>
        <v>0</v>
      </c>
      <c r="H17" s="108">
        <f>HLOOKUP($D$5,'Economist Financing Model 2'!$J$68:$P$144,B17,FALSE)</f>
        <v>0</v>
      </c>
      <c r="I17" s="108">
        <f>HLOOKUP($D$5,'Economist Financing Model 2'!$Q$68:$W$144,B17,FALSE)</f>
        <v>0</v>
      </c>
      <c r="J17" s="109">
        <f>HLOOKUP($D$5,'Economist Financing Model 2'!$X$68:$AD$144,B17,FALSE)</f>
        <v>0</v>
      </c>
    </row>
    <row r="18" spans="1:10" x14ac:dyDescent="0.2">
      <c r="A18" s="105">
        <f>'Summary Baseline Data'!A17</f>
        <v>1998</v>
      </c>
      <c r="B18" s="105">
        <v>10</v>
      </c>
      <c r="C18" s="107">
        <f>HLOOKUP($D$5,'Economist Financing Model 1'!$C$6:$H$80,'Economist Financing Model 1'!B15,FALSE)</f>
        <v>0</v>
      </c>
      <c r="D18" s="108">
        <f>HLOOKUP($D$5,'Economist Financing Model 1'!$I$6:$N$80,B18,FALSE)</f>
        <v>0</v>
      </c>
      <c r="E18" s="108">
        <f>HLOOKUP($D$5,'Economist Financing Model 1'!$O$6:$T$80,B18,FALSE)</f>
        <v>0</v>
      </c>
      <c r="F18" s="109">
        <f>HLOOKUP($D$5,'Economist Financing Model 1'!$U$6:$Z$80,B18,FALSE)</f>
        <v>0</v>
      </c>
      <c r="G18" s="107">
        <f>HLOOKUP($D$5,'Economist Financing Model 2'!$C$68:$I$143,B18,FALSE)</f>
        <v>0</v>
      </c>
      <c r="H18" s="108">
        <f>HLOOKUP($D$5,'Economist Financing Model 2'!$J$68:$P$144,B18,FALSE)</f>
        <v>0</v>
      </c>
      <c r="I18" s="108">
        <f>HLOOKUP($D$5,'Economist Financing Model 2'!$Q$68:$W$144,B18,FALSE)</f>
        <v>0</v>
      </c>
      <c r="J18" s="109">
        <f>HLOOKUP($D$5,'Economist Financing Model 2'!$X$68:$AD$144,B18,FALSE)</f>
        <v>0</v>
      </c>
    </row>
    <row r="19" spans="1:10" ht="13.5" thickBot="1" x14ac:dyDescent="0.25">
      <c r="A19" s="105">
        <f>'Summary Baseline Data'!A18</f>
        <v>1999</v>
      </c>
      <c r="B19" s="117">
        <v>11</v>
      </c>
      <c r="C19" s="107">
        <f>HLOOKUP($D$5,'Economist Financing Model 1'!$C$6:$H$80,'Economist Financing Model 1'!B16,FALSE)</f>
        <v>0</v>
      </c>
      <c r="D19" s="108">
        <f>HLOOKUP($D$5,'Economist Financing Model 1'!$I$6:$N$80,B19,FALSE)</f>
        <v>0</v>
      </c>
      <c r="E19" s="108">
        <f>HLOOKUP($D$5,'Economist Financing Model 1'!$O$6:$T$80,B19,FALSE)</f>
        <v>0</v>
      </c>
      <c r="F19" s="109">
        <f>HLOOKUP($D$5,'Economist Financing Model 1'!$U$6:$Z$80,B19,FALSE)</f>
        <v>0</v>
      </c>
      <c r="G19" s="107">
        <f>HLOOKUP($D$5,'Economist Financing Model 2'!$C$68:$I$143,B19,FALSE)</f>
        <v>0</v>
      </c>
      <c r="H19" s="108">
        <f>HLOOKUP($D$5,'Economist Financing Model 2'!$J$68:$P$144,B19,FALSE)</f>
        <v>0</v>
      </c>
      <c r="I19" s="108">
        <f>HLOOKUP($D$5,'Economist Financing Model 2'!$Q$68:$W$144,B19,FALSE)</f>
        <v>0</v>
      </c>
      <c r="J19" s="109">
        <f>HLOOKUP($D$5,'Economist Financing Model 2'!$X$68:$AD$144,B19,FALSE)</f>
        <v>0</v>
      </c>
    </row>
    <row r="20" spans="1:10" x14ac:dyDescent="0.2">
      <c r="A20" s="105">
        <f>'Summary Baseline Data'!A19</f>
        <v>2000</v>
      </c>
      <c r="B20" s="105">
        <v>12</v>
      </c>
      <c r="C20" s="107">
        <f>HLOOKUP($D$5,'Economist Financing Model 1'!$C$6:$H$80,'Economist Financing Model 1'!B17,FALSE)</f>
        <v>0</v>
      </c>
      <c r="D20" s="108">
        <f>HLOOKUP($D$5,'Economist Financing Model 1'!$I$6:$N$80,B20,FALSE)</f>
        <v>0</v>
      </c>
      <c r="E20" s="108">
        <f>HLOOKUP($D$5,'Economist Financing Model 1'!$O$6:$T$80,B20,FALSE)</f>
        <v>0</v>
      </c>
      <c r="F20" s="109">
        <f>HLOOKUP($D$5,'Economist Financing Model 1'!$U$6:$Z$80,B20,FALSE)</f>
        <v>0</v>
      </c>
      <c r="G20" s="107">
        <f>HLOOKUP($D$5,'Economist Financing Model 2'!$C$68:$I$143,B20,FALSE)</f>
        <v>0</v>
      </c>
      <c r="H20" s="108">
        <f>HLOOKUP($D$5,'Economist Financing Model 2'!$J$68:$P$144,B20,FALSE)</f>
        <v>0</v>
      </c>
      <c r="I20" s="108">
        <f>HLOOKUP($D$5,'Economist Financing Model 2'!$Q$68:$W$144,B20,FALSE)</f>
        <v>0</v>
      </c>
      <c r="J20" s="109">
        <f>HLOOKUP($D$5,'Economist Financing Model 2'!$X$68:$AD$144,B20,FALSE)</f>
        <v>0</v>
      </c>
    </row>
    <row r="21" spans="1:10" ht="13.5" thickBot="1" x14ac:dyDescent="0.25">
      <c r="A21" s="105">
        <f>'Summary Baseline Data'!A20</f>
        <v>2001</v>
      </c>
      <c r="B21" s="117">
        <v>13</v>
      </c>
      <c r="C21" s="107">
        <f>HLOOKUP($D$5,'Economist Financing Model 1'!$C$6:$H$80,'Economist Financing Model 1'!B18,FALSE)</f>
        <v>0</v>
      </c>
      <c r="D21" s="108">
        <f>HLOOKUP($D$5,'Economist Financing Model 1'!$I$6:$N$80,B21,FALSE)</f>
        <v>0</v>
      </c>
      <c r="E21" s="108">
        <f>HLOOKUP($D$5,'Economist Financing Model 1'!$O$6:$T$80,B21,FALSE)</f>
        <v>0</v>
      </c>
      <c r="F21" s="109">
        <f>HLOOKUP($D$5,'Economist Financing Model 1'!$U$6:$Z$80,B21,FALSE)</f>
        <v>0</v>
      </c>
      <c r="G21" s="107">
        <f>HLOOKUP($D$5,'Economist Financing Model 2'!$C$68:$I$143,B21,FALSE)</f>
        <v>0</v>
      </c>
      <c r="H21" s="108">
        <f>HLOOKUP($D$5,'Economist Financing Model 2'!$J$68:$P$144,B21,FALSE)</f>
        <v>0</v>
      </c>
      <c r="I21" s="108">
        <f>HLOOKUP($D$5,'Economist Financing Model 2'!$Q$68:$W$144,B21,FALSE)</f>
        <v>0</v>
      </c>
      <c r="J21" s="109">
        <f>HLOOKUP($D$5,'Economist Financing Model 2'!$X$68:$AD$144,B21,FALSE)</f>
        <v>0</v>
      </c>
    </row>
    <row r="22" spans="1:10" x14ac:dyDescent="0.2">
      <c r="A22" s="105">
        <f>'Summary Baseline Data'!A21</f>
        <v>2002</v>
      </c>
      <c r="B22" s="105">
        <v>14</v>
      </c>
      <c r="C22" s="107">
        <f>HLOOKUP($D$5,'Economist Financing Model 1'!$C$6:$H$80,'Economist Financing Model 1'!B19,FALSE)</f>
        <v>0</v>
      </c>
      <c r="D22" s="108">
        <f>HLOOKUP($D$5,'Economist Financing Model 1'!$I$6:$N$80,B22,FALSE)</f>
        <v>0</v>
      </c>
      <c r="E22" s="108">
        <f>HLOOKUP($D$5,'Economist Financing Model 1'!$O$6:$T$80,B22,FALSE)</f>
        <v>0</v>
      </c>
      <c r="F22" s="109">
        <f>HLOOKUP($D$5,'Economist Financing Model 1'!$U$6:$Z$80,B22,FALSE)</f>
        <v>0</v>
      </c>
      <c r="G22" s="107">
        <f>HLOOKUP($D$5,'Economist Financing Model 2'!$C$68:$I$143,B22,FALSE)</f>
        <v>0</v>
      </c>
      <c r="H22" s="108">
        <f>HLOOKUP($D$5,'Economist Financing Model 2'!$J$68:$P$144,B22,FALSE)</f>
        <v>0</v>
      </c>
      <c r="I22" s="108">
        <f>HLOOKUP($D$5,'Economist Financing Model 2'!$Q$68:$W$144,B22,FALSE)</f>
        <v>0</v>
      </c>
      <c r="J22" s="109">
        <f>HLOOKUP($D$5,'Economist Financing Model 2'!$X$68:$AD$144,B22,FALSE)</f>
        <v>0</v>
      </c>
    </row>
    <row r="23" spans="1:10" ht="13.5" thickBot="1" x14ac:dyDescent="0.25">
      <c r="A23" s="105">
        <f>'Summary Baseline Data'!A22</f>
        <v>2003</v>
      </c>
      <c r="B23" s="117">
        <v>15</v>
      </c>
      <c r="C23" s="107">
        <f>HLOOKUP($D$5,'Economist Financing Model 1'!$C$6:$H$80,'Economist Financing Model 1'!B20,FALSE)</f>
        <v>0</v>
      </c>
      <c r="D23" s="108">
        <f>HLOOKUP($D$5,'Economist Financing Model 1'!$I$6:$N$80,B23,FALSE)</f>
        <v>0</v>
      </c>
      <c r="E23" s="108">
        <f>HLOOKUP($D$5,'Economist Financing Model 1'!$O$6:$T$80,B23,FALSE)</f>
        <v>0</v>
      </c>
      <c r="F23" s="109">
        <f>HLOOKUP($D$5,'Economist Financing Model 1'!$U$6:$Z$80,B23,FALSE)</f>
        <v>0</v>
      </c>
      <c r="G23" s="107">
        <f>HLOOKUP($D$5,'Economist Financing Model 2'!$C$68:$I$143,B23,FALSE)</f>
        <v>0</v>
      </c>
      <c r="H23" s="108">
        <f>HLOOKUP($D$5,'Economist Financing Model 2'!$J$68:$P$144,B23,FALSE)</f>
        <v>0</v>
      </c>
      <c r="I23" s="108">
        <f>HLOOKUP($D$5,'Economist Financing Model 2'!$Q$68:$W$144,B23,FALSE)</f>
        <v>0</v>
      </c>
      <c r="J23" s="109">
        <f>HLOOKUP($D$5,'Economist Financing Model 2'!$X$68:$AD$144,B23,FALSE)</f>
        <v>0</v>
      </c>
    </row>
    <row r="24" spans="1:10" x14ac:dyDescent="0.2">
      <c r="A24" s="105">
        <f>'Summary Baseline Data'!A23</f>
        <v>2004</v>
      </c>
      <c r="B24" s="105">
        <v>16</v>
      </c>
      <c r="C24" s="107">
        <f>HLOOKUP($D$5,'Economist Financing Model 1'!$C$6:$H$80,'Economist Financing Model 1'!B21,FALSE)</f>
        <v>0</v>
      </c>
      <c r="D24" s="108">
        <f>HLOOKUP($D$5,'Economist Financing Model 1'!$I$6:$N$80,B24,FALSE)</f>
        <v>0</v>
      </c>
      <c r="E24" s="108">
        <f>HLOOKUP($D$5,'Economist Financing Model 1'!$O$6:$T$80,B24,FALSE)</f>
        <v>0</v>
      </c>
      <c r="F24" s="109">
        <f>HLOOKUP($D$5,'Economist Financing Model 1'!$U$6:$Z$80,B24,FALSE)</f>
        <v>0</v>
      </c>
      <c r="G24" s="107">
        <f>HLOOKUP($D$5,'Economist Financing Model 2'!$C$68:$I$143,B24,FALSE)</f>
        <v>0</v>
      </c>
      <c r="H24" s="108">
        <f>HLOOKUP($D$5,'Economist Financing Model 2'!$J$68:$P$144,B24,FALSE)</f>
        <v>0</v>
      </c>
      <c r="I24" s="108">
        <f>HLOOKUP($D$5,'Economist Financing Model 2'!$Q$68:$W$144,B24,FALSE)</f>
        <v>0</v>
      </c>
      <c r="J24" s="109">
        <f>HLOOKUP($D$5,'Economist Financing Model 2'!$X$68:$AD$144,B24,FALSE)</f>
        <v>0</v>
      </c>
    </row>
    <row r="25" spans="1:10" ht="13.5" thickBot="1" x14ac:dyDescent="0.25">
      <c r="A25" s="105">
        <f>'Summary Baseline Data'!A24</f>
        <v>2005</v>
      </c>
      <c r="B25" s="117">
        <v>17</v>
      </c>
      <c r="C25" s="107">
        <f>HLOOKUP($D$5,'Economist Financing Model 1'!$C$6:$H$80,'Economist Financing Model 1'!B22,FALSE)</f>
        <v>0</v>
      </c>
      <c r="D25" s="108">
        <f>HLOOKUP($D$5,'Economist Financing Model 1'!$I$6:$N$80,B25,FALSE)</f>
        <v>0</v>
      </c>
      <c r="E25" s="108">
        <f>HLOOKUP($D$5,'Economist Financing Model 1'!$O$6:$T$80,B25,FALSE)</f>
        <v>0</v>
      </c>
      <c r="F25" s="109">
        <f>HLOOKUP($D$5,'Economist Financing Model 1'!$U$6:$Z$80,B25,FALSE)</f>
        <v>0</v>
      </c>
      <c r="G25" s="107">
        <f>HLOOKUP($D$5,'Economist Financing Model 2'!$C$68:$I$143,B25,FALSE)</f>
        <v>0</v>
      </c>
      <c r="H25" s="108">
        <f>HLOOKUP($D$5,'Economist Financing Model 2'!$J$68:$P$144,B25,FALSE)</f>
        <v>0</v>
      </c>
      <c r="I25" s="108">
        <f>HLOOKUP($D$5,'Economist Financing Model 2'!$Q$68:$W$144,B25,FALSE)</f>
        <v>0</v>
      </c>
      <c r="J25" s="109">
        <f>HLOOKUP($D$5,'Economist Financing Model 2'!$X$68:$AD$144,B25,FALSE)</f>
        <v>0</v>
      </c>
    </row>
    <row r="26" spans="1:10" x14ac:dyDescent="0.2">
      <c r="A26" s="105">
        <f>'Summary Baseline Data'!A25</f>
        <v>2006</v>
      </c>
      <c r="B26" s="105">
        <v>18</v>
      </c>
      <c r="C26" s="107">
        <f>HLOOKUP($D$5,'Economist Financing Model 1'!$C$6:$H$80,'Economist Financing Model 1'!B23,FALSE)</f>
        <v>0</v>
      </c>
      <c r="D26" s="108">
        <f>HLOOKUP($D$5,'Economist Financing Model 1'!$I$6:$N$80,B26,FALSE)</f>
        <v>0</v>
      </c>
      <c r="E26" s="108">
        <f>HLOOKUP($D$5,'Economist Financing Model 1'!$O$6:$T$80,B26,FALSE)</f>
        <v>0</v>
      </c>
      <c r="F26" s="109">
        <f>HLOOKUP($D$5,'Economist Financing Model 1'!$U$6:$Z$80,B26,FALSE)</f>
        <v>0</v>
      </c>
      <c r="G26" s="107">
        <f>HLOOKUP($D$5,'Economist Financing Model 2'!$C$68:$I$143,B26,FALSE)</f>
        <v>0</v>
      </c>
      <c r="H26" s="108">
        <f>HLOOKUP($D$5,'Economist Financing Model 2'!$J$68:$P$144,B26,FALSE)</f>
        <v>0</v>
      </c>
      <c r="I26" s="108">
        <f>HLOOKUP($D$5,'Economist Financing Model 2'!$Q$68:$W$144,B26,FALSE)</f>
        <v>0</v>
      </c>
      <c r="J26" s="109">
        <f>HLOOKUP($D$5,'Economist Financing Model 2'!$X$68:$AD$144,B26,FALSE)</f>
        <v>0</v>
      </c>
    </row>
    <row r="27" spans="1:10" ht="13.5" thickBot="1" x14ac:dyDescent="0.25">
      <c r="A27" s="105">
        <f>'Summary Baseline Data'!A26</f>
        <v>2007</v>
      </c>
      <c r="B27" s="117">
        <v>19</v>
      </c>
      <c r="C27" s="107">
        <f>HLOOKUP($D$5,'Economist Financing Model 1'!$C$6:$H$80,'Economist Financing Model 1'!B24,FALSE)</f>
        <v>0</v>
      </c>
      <c r="D27" s="108">
        <f>HLOOKUP($D$5,'Economist Financing Model 1'!$I$6:$N$80,B27,FALSE)</f>
        <v>0</v>
      </c>
      <c r="E27" s="108">
        <f>HLOOKUP($D$5,'Economist Financing Model 1'!$O$6:$T$80,B27,FALSE)</f>
        <v>0</v>
      </c>
      <c r="F27" s="109">
        <f>HLOOKUP($D$5,'Economist Financing Model 1'!$U$6:$Z$80,B27,FALSE)</f>
        <v>0</v>
      </c>
      <c r="G27" s="107">
        <f>HLOOKUP($D$5,'Economist Financing Model 2'!$C$68:$I$143,B27,FALSE)</f>
        <v>0</v>
      </c>
      <c r="H27" s="108">
        <f>HLOOKUP($D$5,'Economist Financing Model 2'!$J$68:$P$144,B27,FALSE)</f>
        <v>0</v>
      </c>
      <c r="I27" s="108">
        <f>HLOOKUP($D$5,'Economist Financing Model 2'!$Q$68:$W$144,B27,FALSE)</f>
        <v>0</v>
      </c>
      <c r="J27" s="109">
        <f>HLOOKUP($D$5,'Economist Financing Model 2'!$X$68:$AD$144,B27,FALSE)</f>
        <v>0</v>
      </c>
    </row>
    <row r="28" spans="1:10" x14ac:dyDescent="0.2">
      <c r="A28" s="105">
        <f>'Summary Baseline Data'!A27</f>
        <v>2008</v>
      </c>
      <c r="B28" s="105">
        <v>20</v>
      </c>
      <c r="C28" s="107">
        <f>HLOOKUP($D$5,'Economist Financing Model 1'!$C$6:$H$80,'Economist Financing Model 1'!B25,FALSE)</f>
        <v>0</v>
      </c>
      <c r="D28" s="108">
        <f>HLOOKUP($D$5,'Economist Financing Model 1'!$I$6:$N$80,B28,FALSE)</f>
        <v>0</v>
      </c>
      <c r="E28" s="108">
        <f>HLOOKUP($D$5,'Economist Financing Model 1'!$O$6:$T$80,B28,FALSE)</f>
        <v>0</v>
      </c>
      <c r="F28" s="109">
        <f>HLOOKUP($D$5,'Economist Financing Model 1'!$U$6:$Z$80,B28,FALSE)</f>
        <v>0</v>
      </c>
      <c r="G28" s="107">
        <f>HLOOKUP($D$5,'Economist Financing Model 2'!$C$68:$I$143,B28,FALSE)</f>
        <v>0</v>
      </c>
      <c r="H28" s="108">
        <f>HLOOKUP($D$5,'Economist Financing Model 2'!$J$68:$P$144,B28,FALSE)</f>
        <v>0</v>
      </c>
      <c r="I28" s="108">
        <f>HLOOKUP($D$5,'Economist Financing Model 2'!$Q$68:$W$144,B28,FALSE)</f>
        <v>0</v>
      </c>
      <c r="J28" s="109">
        <f>HLOOKUP($D$5,'Economist Financing Model 2'!$X$68:$AD$144,B28,FALSE)</f>
        <v>0</v>
      </c>
    </row>
    <row r="29" spans="1:10" ht="13.5" thickBot="1" x14ac:dyDescent="0.25">
      <c r="A29" s="105">
        <f>'Summary Baseline Data'!A28</f>
        <v>2009</v>
      </c>
      <c r="B29" s="117">
        <v>21</v>
      </c>
      <c r="C29" s="107">
        <f>HLOOKUP($D$5,'Economist Financing Model 1'!$C$6:$H$80,'Economist Financing Model 1'!B26,FALSE)</f>
        <v>0</v>
      </c>
      <c r="D29" s="108">
        <f>HLOOKUP($D$5,'Economist Financing Model 1'!$I$6:$N$80,B29,FALSE)</f>
        <v>0</v>
      </c>
      <c r="E29" s="108">
        <f>HLOOKUP($D$5,'Economist Financing Model 1'!$O$6:$T$80,B29,FALSE)</f>
        <v>0</v>
      </c>
      <c r="F29" s="109">
        <f>HLOOKUP($D$5,'Economist Financing Model 1'!$U$6:$Z$80,B29,FALSE)</f>
        <v>0</v>
      </c>
      <c r="G29" s="107">
        <f>HLOOKUP($D$5,'Economist Financing Model 2'!$C$68:$I$143,B29,FALSE)</f>
        <v>0</v>
      </c>
      <c r="H29" s="108">
        <f>HLOOKUP($D$5,'Economist Financing Model 2'!$J$68:$P$144,B29,FALSE)</f>
        <v>0</v>
      </c>
      <c r="I29" s="108">
        <f>HLOOKUP($D$5,'Economist Financing Model 2'!$Q$68:$W$144,B29,FALSE)</f>
        <v>0</v>
      </c>
      <c r="J29" s="109">
        <f>HLOOKUP($D$5,'Economist Financing Model 2'!$X$68:$AD$144,B29,FALSE)</f>
        <v>0</v>
      </c>
    </row>
    <row r="30" spans="1:10" x14ac:dyDescent="0.2">
      <c r="A30" s="105">
        <f>'Summary Baseline Data'!A29</f>
        <v>2010</v>
      </c>
      <c r="B30" s="105">
        <v>22</v>
      </c>
      <c r="C30" s="107">
        <f>HLOOKUP($D$5,'Economist Financing Model 1'!$C$6:$H$80,'Economist Financing Model 1'!B27,FALSE)</f>
        <v>0</v>
      </c>
      <c r="D30" s="108">
        <f>HLOOKUP($D$5,'Economist Financing Model 1'!$I$6:$N$80,B30,FALSE)</f>
        <v>0</v>
      </c>
      <c r="E30" s="108">
        <f>HLOOKUP($D$5,'Economist Financing Model 1'!$O$6:$T$80,B30,FALSE)</f>
        <v>0</v>
      </c>
      <c r="F30" s="109">
        <f>HLOOKUP($D$5,'Economist Financing Model 1'!$U$6:$Z$80,B30,FALSE)</f>
        <v>0</v>
      </c>
      <c r="G30" s="107">
        <f>HLOOKUP($D$5,'Economist Financing Model 2'!$C$68:$I$143,B30,FALSE)</f>
        <v>0</v>
      </c>
      <c r="H30" s="108">
        <f>HLOOKUP($D$5,'Economist Financing Model 2'!$J$68:$P$144,B30,FALSE)</f>
        <v>0</v>
      </c>
      <c r="I30" s="108">
        <f>HLOOKUP($D$5,'Economist Financing Model 2'!$Q$68:$W$144,B30,FALSE)</f>
        <v>0</v>
      </c>
      <c r="J30" s="109">
        <f>HLOOKUP($D$5,'Economist Financing Model 2'!$X$68:$AD$144,B30,FALSE)</f>
        <v>0</v>
      </c>
    </row>
    <row r="31" spans="1:10" ht="13.5" thickBot="1" x14ac:dyDescent="0.25">
      <c r="A31" s="105">
        <f>'Summary Baseline Data'!A30</f>
        <v>2011</v>
      </c>
      <c r="B31" s="117">
        <v>23</v>
      </c>
      <c r="C31" s="107">
        <f>HLOOKUP($D$5,'Economist Financing Model 1'!$C$6:$H$80,'Economist Financing Model 1'!B28,FALSE)</f>
        <v>0</v>
      </c>
      <c r="D31" s="108">
        <f>HLOOKUP($D$5,'Economist Financing Model 1'!$I$6:$N$80,B31,FALSE)</f>
        <v>0</v>
      </c>
      <c r="E31" s="108">
        <f>HLOOKUP($D$5,'Economist Financing Model 1'!$O$6:$T$80,B31,FALSE)</f>
        <v>0</v>
      </c>
      <c r="F31" s="109">
        <f>HLOOKUP($D$5,'Economist Financing Model 1'!$U$6:$Z$80,B31,FALSE)</f>
        <v>0</v>
      </c>
      <c r="G31" s="107">
        <f>HLOOKUP($D$5,'Economist Financing Model 2'!$C$68:$I$143,B31,FALSE)</f>
        <v>0</v>
      </c>
      <c r="H31" s="108">
        <f>HLOOKUP($D$5,'Economist Financing Model 2'!$J$68:$P$144,B31,FALSE)</f>
        <v>0</v>
      </c>
      <c r="I31" s="108">
        <f>HLOOKUP($D$5,'Economist Financing Model 2'!$Q$68:$W$144,B31,FALSE)</f>
        <v>0</v>
      </c>
      <c r="J31" s="109">
        <f>HLOOKUP($D$5,'Economist Financing Model 2'!$X$68:$AD$144,B31,FALSE)</f>
        <v>0</v>
      </c>
    </row>
    <row r="32" spans="1:10" x14ac:dyDescent="0.2">
      <c r="A32" s="105">
        <f>'Summary Baseline Data'!A31</f>
        <v>2012</v>
      </c>
      <c r="B32" s="105">
        <v>24</v>
      </c>
      <c r="C32" s="107">
        <f>HLOOKUP($D$5,'Economist Financing Model 1'!$C$6:$H$80,'Economist Financing Model 1'!B29,FALSE)</f>
        <v>0</v>
      </c>
      <c r="D32" s="108">
        <f>HLOOKUP($D$5,'Economist Financing Model 1'!$I$6:$N$80,B32,FALSE)</f>
        <v>0</v>
      </c>
      <c r="E32" s="108">
        <f>HLOOKUP($D$5,'Economist Financing Model 1'!$O$6:$T$80,B32,FALSE)</f>
        <v>0</v>
      </c>
      <c r="F32" s="109">
        <f>HLOOKUP($D$5,'Economist Financing Model 1'!$U$6:$Z$80,B32,FALSE)</f>
        <v>0</v>
      </c>
      <c r="G32" s="107">
        <f>HLOOKUP($D$5,'Economist Financing Model 2'!$C$68:$I$143,B32,FALSE)</f>
        <v>0</v>
      </c>
      <c r="H32" s="108">
        <f>HLOOKUP($D$5,'Economist Financing Model 2'!$J$68:$P$144,B32,FALSE)</f>
        <v>0</v>
      </c>
      <c r="I32" s="108">
        <f>HLOOKUP($D$5,'Economist Financing Model 2'!$Q$68:$W$144,B32,FALSE)</f>
        <v>0</v>
      </c>
      <c r="J32" s="109">
        <f>HLOOKUP($D$5,'Economist Financing Model 2'!$X$68:$AD$144,B32,FALSE)</f>
        <v>0</v>
      </c>
    </row>
    <row r="33" spans="1:10" ht="13.5" thickBot="1" x14ac:dyDescent="0.25">
      <c r="A33" s="105">
        <f>'Summary Baseline Data'!A32</f>
        <v>2013</v>
      </c>
      <c r="B33" s="117">
        <v>25</v>
      </c>
      <c r="C33" s="107">
        <f>HLOOKUP($D$5,'Economist Financing Model 1'!$C$6:$H$80,'Economist Financing Model 1'!B30,FALSE)</f>
        <v>0</v>
      </c>
      <c r="D33" s="108">
        <f>HLOOKUP($D$5,'Economist Financing Model 1'!$I$6:$N$80,B33,FALSE)</f>
        <v>0</v>
      </c>
      <c r="E33" s="108">
        <f>HLOOKUP($D$5,'Economist Financing Model 1'!$O$6:$T$80,B33,FALSE)</f>
        <v>0</v>
      </c>
      <c r="F33" s="109">
        <f>HLOOKUP($D$5,'Economist Financing Model 1'!$U$6:$Z$80,B33,FALSE)</f>
        <v>0</v>
      </c>
      <c r="G33" s="107">
        <f>HLOOKUP($D$5,'Economist Financing Model 2'!$C$68:$I$143,B33,FALSE)</f>
        <v>0</v>
      </c>
      <c r="H33" s="108">
        <f>HLOOKUP($D$5,'Economist Financing Model 2'!$J$68:$P$144,B33,FALSE)</f>
        <v>0</v>
      </c>
      <c r="I33" s="108">
        <f>HLOOKUP($D$5,'Economist Financing Model 2'!$Q$68:$W$144,B33,FALSE)</f>
        <v>0</v>
      </c>
      <c r="J33" s="109">
        <f>HLOOKUP($D$5,'Economist Financing Model 2'!$X$68:$AD$144,B33,FALSE)</f>
        <v>0</v>
      </c>
    </row>
    <row r="34" spans="1:10" x14ac:dyDescent="0.2">
      <c r="A34" s="105">
        <f>'Summary Baseline Data'!A33</f>
        <v>2014</v>
      </c>
      <c r="B34" s="105">
        <v>26</v>
      </c>
      <c r="C34" s="107">
        <f>HLOOKUP($D$5,'Economist Financing Model 1'!$C$6:$H$80,'Economist Financing Model 1'!B31,FALSE)</f>
        <v>-191.40212090740877</v>
      </c>
      <c r="D34" s="108">
        <f>HLOOKUP($D$5,'Economist Financing Model 1'!$I$6:$N$80,B34,FALSE)</f>
        <v>-229.2472338947853</v>
      </c>
      <c r="E34" s="108">
        <f>HLOOKUP($D$5,'Economist Financing Model 1'!$O$6:$T$80,B34,FALSE)</f>
        <v>-258.74155551910798</v>
      </c>
      <c r="F34" s="109">
        <f>HLOOKUP($D$5,'Economist Financing Model 1'!$U$6:$Z$80,B34,FALSE)</f>
        <v>-342.26892158333476</v>
      </c>
      <c r="G34" s="107">
        <f>HLOOKUP($D$5,'Economist Financing Model 2'!$C$68:$I$143,B34,FALSE)</f>
        <v>-656.96849770356664</v>
      </c>
      <c r="H34" s="108">
        <f>HLOOKUP($D$5,'Economist Financing Model 2'!$J$68:$P$144,B34,FALSE)</f>
        <v>-656.96849770356664</v>
      </c>
      <c r="I34" s="108">
        <f>HLOOKUP($D$5,'Economist Financing Model 2'!$Q$68:$W$144,B34,FALSE)</f>
        <v>-656.96849770356664</v>
      </c>
      <c r="J34" s="109">
        <f>HLOOKUP($D$5,'Economist Financing Model 2'!$X$68:$AD$144,B34,FALSE)</f>
        <v>-656.96849770356664</v>
      </c>
    </row>
    <row r="35" spans="1:10" ht="13.5" thickBot="1" x14ac:dyDescent="0.25">
      <c r="A35" s="105">
        <f>'Summary Baseline Data'!A34</f>
        <v>2015</v>
      </c>
      <c r="B35" s="117">
        <v>27</v>
      </c>
      <c r="C35" s="107">
        <f>HLOOKUP($D$5,'Economist Financing Model 1'!$C$6:$H$80,'Economist Financing Model 1'!B32,FALSE)</f>
        <v>-183.58374953682511</v>
      </c>
      <c r="D35" s="108">
        <f>HLOOKUP($D$5,'Economist Financing Model 1'!$I$6:$N$80,B35,FALSE)</f>
        <v>-219.88296979065069</v>
      </c>
      <c r="E35" s="108" t="e">
        <f>HLOOKUP($D$5,'Economist Financing Model 1'!$O$6:$T$80,B35,FALSE)</f>
        <v>#REF!</v>
      </c>
      <c r="F35" s="109" t="e">
        <f>HLOOKUP($D$5,'Economist Financing Model 1'!$U$6:$Z$80,B35,FALSE)</f>
        <v>#REF!</v>
      </c>
      <c r="G35" s="107">
        <f>HLOOKUP($D$5,'Economist Financing Model 2'!$C$68:$I$143,B35,FALSE)</f>
        <v>-101.64564295951455</v>
      </c>
      <c r="H35" s="108">
        <f>HLOOKUP($D$5,'Economist Financing Model 2'!$J$68:$P$144,B35,FALSE)</f>
        <v>-101.64564295951455</v>
      </c>
      <c r="I35" s="108">
        <f>HLOOKUP($D$5,'Economist Financing Model 2'!$Q$68:$W$144,B35,FALSE)</f>
        <v>-101.64564295951455</v>
      </c>
      <c r="J35" s="109">
        <f>HLOOKUP($D$5,'Economist Financing Model 2'!$X$68:$AD$144,B35,FALSE)</f>
        <v>-101.64564295951455</v>
      </c>
    </row>
    <row r="36" spans="1:10" x14ac:dyDescent="0.2">
      <c r="A36" s="105">
        <f>'Summary Baseline Data'!A35</f>
        <v>2016</v>
      </c>
      <c r="B36" s="105">
        <v>28</v>
      </c>
      <c r="C36" s="107">
        <f>HLOOKUP($D$5,'Economist Financing Model 1'!$C$6:$H$80,'Economist Financing Model 1'!B33,FALSE)</f>
        <v>-176.37903924286471</v>
      </c>
      <c r="D36" s="108">
        <f>HLOOKUP($D$5,'Economist Financing Model 1'!$I$6:$N$80,B36,FALSE)</f>
        <v>-211.25370331192286</v>
      </c>
      <c r="E36" s="108">
        <f>HLOOKUP($D$5,'Economist Financing Model 1'!$O$6:$T$80,B36,FALSE)</f>
        <v>-248.5872910309545</v>
      </c>
      <c r="F36" s="109">
        <f>HLOOKUP($D$5,'Economist Financing Model 1'!$U$6:$Z$80,B36,FALSE)</f>
        <v>-328.83664106365001</v>
      </c>
      <c r="G36" s="107">
        <f>HLOOKUP($D$5,'Economist Financing Model 2'!$C$68:$I$143,B36,FALSE)</f>
        <v>-97.493633665721632</v>
      </c>
      <c r="H36" s="108">
        <f>HLOOKUP($D$5,'Economist Financing Model 2'!$J$68:$P$144,B36,FALSE)</f>
        <v>-97.493633665721632</v>
      </c>
      <c r="I36" s="108">
        <f>HLOOKUP($D$5,'Economist Financing Model 2'!$Q$68:$W$144,B36,FALSE)</f>
        <v>-97.493633665721632</v>
      </c>
      <c r="J36" s="109">
        <f>HLOOKUP($D$5,'Economist Financing Model 2'!$X$68:$AD$144,B36,FALSE)</f>
        <v>-97.493633665721632</v>
      </c>
    </row>
    <row r="37" spans="1:10" ht="13.5" thickBot="1" x14ac:dyDescent="0.25">
      <c r="A37" s="105">
        <f>'Summary Baseline Data'!A36</f>
        <v>2017</v>
      </c>
      <c r="B37" s="117">
        <v>29</v>
      </c>
      <c r="C37" s="107">
        <f>HLOOKUP($D$5,'Economist Financing Model 1'!$C$6:$H$80,'Economist Financing Model 1'!B34,FALSE)</f>
        <v>-169.71846930693158</v>
      </c>
      <c r="D37" s="108">
        <f>HLOOKUP($D$5,'Economist Financing Model 1'!$I$6:$N$80,B37,FALSE)</f>
        <v>-203.27616770920042</v>
      </c>
      <c r="E37" s="108">
        <f>HLOOKUP($D$5,'Economist Financing Model 1'!$O$6:$T$80,B37,FALSE)</f>
        <v>-239.1999338699033</v>
      </c>
      <c r="F37" s="109">
        <f>HLOOKUP($D$5,'Economist Financing Model 1'!$U$6:$Z$80,B37,FALSE)</f>
        <v>-316.41884213071711</v>
      </c>
      <c r="G37" s="107">
        <f>HLOOKUP($D$5,'Economist Financing Model 2'!$C$68:$I$143,B37,FALSE)</f>
        <v>-93.667514045443724</v>
      </c>
      <c r="H37" s="108">
        <f>HLOOKUP($D$5,'Economist Financing Model 2'!$J$68:$P$144,B37,FALSE)</f>
        <v>-93.667514045443724</v>
      </c>
      <c r="I37" s="108">
        <f>HLOOKUP($D$5,'Economist Financing Model 2'!$Q$68:$W$144,B37,FALSE)</f>
        <v>-93.667514045443724</v>
      </c>
      <c r="J37" s="109">
        <f>HLOOKUP($D$5,'Economist Financing Model 2'!$X$68:$AD$144,B37,FALSE)</f>
        <v>-93.667514045443724</v>
      </c>
    </row>
    <row r="38" spans="1:10" x14ac:dyDescent="0.2">
      <c r="A38" s="105">
        <f>'Summary Baseline Data'!A37</f>
        <v>2018</v>
      </c>
      <c r="B38" s="105">
        <v>30</v>
      </c>
      <c r="C38" s="107">
        <f>HLOOKUP($D$5,'Economist Financing Model 1'!$C$6:$H$80,'Economist Financing Model 1'!B35,FALSE)</f>
        <v>-163.5426380794178</v>
      </c>
      <c r="D38" s="108">
        <f>HLOOKUP($D$5,'Economist Financing Model 1'!$I$6:$N$80,B38,FALSE)</f>
        <v>-195.87921610178608</v>
      </c>
      <c r="E38" s="108">
        <f>HLOOKUP($D$5,'Economist Financing Model 1'!$O$6:$T$80,B38,FALSE)</f>
        <v>-230.49576379786834</v>
      </c>
      <c r="F38" s="109">
        <f>HLOOKUP($D$5,'Economist Financing Model 1'!$U$6:$Z$80,B38,FALSE)</f>
        <v>-304.9047778442274</v>
      </c>
      <c r="G38" s="107">
        <f>HLOOKUP($D$5,'Economist Financing Model 2'!$C$68:$I$143,B38,FALSE)</f>
        <v>-90.130364559298556</v>
      </c>
      <c r="H38" s="108">
        <f>HLOOKUP($D$5,'Economist Financing Model 2'!$J$68:$P$144,B38,FALSE)</f>
        <v>-90.130364559298556</v>
      </c>
      <c r="I38" s="108">
        <f>HLOOKUP($D$5,'Economist Financing Model 2'!$Q$68:$W$144,B38,FALSE)</f>
        <v>-90.130364559298556</v>
      </c>
      <c r="J38" s="109">
        <f>HLOOKUP($D$5,'Economist Financing Model 2'!$X$68:$AD$144,B38,FALSE)</f>
        <v>-90.130364559298556</v>
      </c>
    </row>
    <row r="39" spans="1:10" ht="13.5" thickBot="1" x14ac:dyDescent="0.25">
      <c r="A39" s="105">
        <f>'Summary Baseline Data'!A38</f>
        <v>2019</v>
      </c>
      <c r="B39" s="117">
        <v>31</v>
      </c>
      <c r="C39" s="107">
        <f>HLOOKUP($D$5,'Economist Financing Model 1'!$C$6:$H$80,'Economist Financing Model 1'!B36,FALSE)</f>
        <v>-157.80048652469438</v>
      </c>
      <c r="D39" s="108">
        <f>HLOOKUP($D$5,'Economist Financing Model 1'!$I$6:$N$80,B39,FALSE)</f>
        <v>-189.00169377191713</v>
      </c>
      <c r="E39" s="108">
        <f>HLOOKUP($D$5,'Economist Financing Model 1'!$O$6:$T$80,B39,FALSE)</f>
        <v>-222.40281859414497</v>
      </c>
      <c r="F39" s="109">
        <f>HLOOKUP($D$5,'Economist Financing Model 1'!$U$6:$Z$80,B39,FALSE)</f>
        <v>-294.19925502337981</v>
      </c>
      <c r="G39" s="107">
        <f>HLOOKUP($D$5,'Economist Financing Model 2'!$C$68:$I$143,B39,FALSE)</f>
        <v>-86.850639481258497</v>
      </c>
      <c r="H39" s="108">
        <f>HLOOKUP($D$5,'Economist Financing Model 2'!$J$68:$P$144,B39,FALSE)</f>
        <v>-86.850639481258497</v>
      </c>
      <c r="I39" s="108">
        <f>HLOOKUP($D$5,'Economist Financing Model 2'!$Q$68:$W$144,B39,FALSE)</f>
        <v>-86.850639481258497</v>
      </c>
      <c r="J39" s="109">
        <f>HLOOKUP($D$5,'Economist Financing Model 2'!$X$68:$AD$144,B39,FALSE)</f>
        <v>-86.850639481258497</v>
      </c>
    </row>
    <row r="40" spans="1:10" x14ac:dyDescent="0.2">
      <c r="A40" s="105">
        <f>'Summary Baseline Data'!A39</f>
        <v>2020</v>
      </c>
      <c r="B40" s="105">
        <v>32</v>
      </c>
      <c r="C40" s="107">
        <f>HLOOKUP($D$5,'Economist Financing Model 1'!$C$6:$H$80,'Economist Financing Model 1'!B37,FALSE)</f>
        <v>-152.44788331094918</v>
      </c>
      <c r="D40" s="108">
        <f>HLOOKUP($D$5,'Economist Financing Model 1'!$I$6:$N$80,'Economist Financing Model 1'!B37,FALSE)</f>
        <v>-182.59074349054055</v>
      </c>
      <c r="E40" s="108">
        <f>HLOOKUP($D$5,'Economist Financing Model 1'!$O$6:$T$80,'Economist Financing Model 1'!B37,FALSE)</f>
        <v>-214.85889989167177</v>
      </c>
      <c r="F40" s="109">
        <f>HLOOKUP($D$5,'Economist Financing Model 1'!$U$6:$Z$80,'Economist Financing Model 1'!B37,FALSE)</f>
        <v>-284.21999632398945</v>
      </c>
      <c r="G40" s="107">
        <f>HLOOKUP($D$5,'Economist Financing Model 2'!$C$68:$I$143,'Economist Financing Model 2'!B99,FALSE)</f>
        <v>-83.801223497863063</v>
      </c>
      <c r="H40" s="108">
        <f>HLOOKUP($D$5,'Economist Financing Model 2'!$J$68:$P$144,'Economist Financing Model 2'!B99,FALSE)</f>
        <v>-83.801223497863063</v>
      </c>
      <c r="I40" s="108">
        <f>HLOOKUP($D$5,'Economist Financing Model 2'!$Q$68:$W$144,'Economist Financing Model 2'!B99,FALSE)</f>
        <v>-83.801223497863063</v>
      </c>
      <c r="J40" s="109">
        <f>HLOOKUP($D$5,'Economist Financing Model 2'!$X$68:$AD$144,'Economist Financing Model 2'!B99,FALSE)</f>
        <v>-83.801223497863063</v>
      </c>
    </row>
    <row r="41" spans="1:10" ht="13.5" thickBot="1" x14ac:dyDescent="0.25">
      <c r="A41" s="105">
        <f>'Summary Baseline Data'!A40</f>
        <v>2021</v>
      </c>
      <c r="B41" s="117">
        <v>33</v>
      </c>
      <c r="C41" s="107">
        <f>HLOOKUP($D$5,'Economist Financing Model 1'!$C$6:$H$80,'Economist Financing Model 1'!B38,FALSE)</f>
        <v>-147.44648841584171</v>
      </c>
      <c r="D41" s="108">
        <f>HLOOKUP($D$5,'Economist Financing Model 1'!$I$6:$N$80,'Economist Financing Model 1'!B38,FALSE)</f>
        <v>-176.60044442863239</v>
      </c>
      <c r="E41" s="108">
        <f>HLOOKUP($D$5,'Economist Financing Model 1'!$O$6:$T$80,'Economist Financing Model 1'!B38,FALSE)</f>
        <v>-207.8099715513894</v>
      </c>
      <c r="F41" s="109">
        <f>HLOOKUP($D$5,'Economist Financing Model 1'!$U$6:$Z$80,'Economist Financing Model 1'!B38,FALSE)</f>
        <v>-274.89552157347538</v>
      </c>
      <c r="G41" s="107">
        <f>HLOOKUP($D$5,'Economist Financing Model 2'!$C$68:$I$143,'Economist Financing Model 2'!B100,FALSE)</f>
        <v>-80.958680308744007</v>
      </c>
      <c r="H41" s="108">
        <f>HLOOKUP($D$5,'Economist Financing Model 2'!$J$68:$P$144,'Economist Financing Model 2'!B100,FALSE)</f>
        <v>-80.958680308744007</v>
      </c>
      <c r="I41" s="108">
        <f>HLOOKUP($D$5,'Economist Financing Model 2'!$Q$68:$W$144,'Economist Financing Model 2'!B100,FALSE)</f>
        <v>-80.958680308744007</v>
      </c>
      <c r="J41" s="109">
        <f>HLOOKUP($D$5,'Economist Financing Model 2'!$X$68:$AD$144,'Economist Financing Model 2'!B100,FALSE)</f>
        <v>-80.958680308744007</v>
      </c>
    </row>
    <row r="42" spans="1:10" x14ac:dyDescent="0.2">
      <c r="A42" s="105">
        <f>'Summary Baseline Data'!A41</f>
        <v>2022</v>
      </c>
      <c r="B42" s="105">
        <v>34</v>
      </c>
      <c r="C42" s="107">
        <f>HLOOKUP($D$5,'Economist Financing Model 1'!$C$6:$H$80,'Economist Financing Model 1'!B39,FALSE)</f>
        <v>-142.76283331836066</v>
      </c>
      <c r="D42" s="108">
        <f>HLOOKUP($D$5,'Economist Financing Model 1'!$I$6:$N$80,'Economist Financing Model 1'!B39,FALSE)</f>
        <v>-170.99071047937193</v>
      </c>
      <c r="E42" s="108">
        <f>HLOOKUP($D$5,'Economist Financing Model 1'!$O$6:$T$80,'Economist Financing Model 1'!B39,FALSE)</f>
        <v>-201.208863291564</v>
      </c>
      <c r="F42" s="109">
        <f>HLOOKUP($D$5,'Economist Financing Model 1'!$U$6:$Z$80,'Economist Financing Model 1'!B39,FALSE)</f>
        <v>-266.16343290371231</v>
      </c>
      <c r="G42" s="107">
        <f>HLOOKUP($D$5,'Economist Financing Model 2'!$C$68:$I$143,'Economist Financing Model 2'!B101,FALSE)</f>
        <v>-78.302649135225536</v>
      </c>
      <c r="H42" s="108">
        <f>HLOOKUP($D$5,'Economist Financing Model 2'!$J$68:$P$144,'Economist Financing Model 2'!B101,FALSE)</f>
        <v>-78.302649135225536</v>
      </c>
      <c r="I42" s="108">
        <f>HLOOKUP($D$5,'Economist Financing Model 2'!$Q$68:$W$144,'Economist Financing Model 2'!B101,FALSE)</f>
        <v>-78.302649135225536</v>
      </c>
      <c r="J42" s="109">
        <f>HLOOKUP($D$5,'Economist Financing Model 2'!$X$68:$AD$144,'Economist Financing Model 2'!B101,FALSE)</f>
        <v>-78.302649135225536</v>
      </c>
    </row>
    <row r="43" spans="1:10" ht="13.5" thickBot="1" x14ac:dyDescent="0.25">
      <c r="A43" s="105">
        <f>'Summary Baseline Data'!A42</f>
        <v>2023</v>
      </c>
      <c r="B43" s="117">
        <v>35</v>
      </c>
      <c r="C43" s="107">
        <f>HLOOKUP($D$5,'Economist Financing Model 1'!$C$6:$H$80,'Economist Financing Model 1'!B40,FALSE)</f>
        <v>-138.3675711003649</v>
      </c>
      <c r="D43" s="108">
        <f>HLOOKUP($D$5,'Economist Financing Model 1'!$I$6:$N$80,'Economist Financing Model 1'!B40,FALSE)</f>
        <v>-165.72639208550621</v>
      </c>
      <c r="E43" s="108">
        <f>HLOOKUP($D$5,'Economist Financing Model 1'!$O$6:$T$80,'Economist Financing Model 1'!B40,FALSE)</f>
        <v>-195.01421378654089</v>
      </c>
      <c r="F43" s="109">
        <f>HLOOKUP($D$5,'Economist Financing Model 1'!$U$6:$Z$80,'Economist Financing Model 1'!B40,FALSE)</f>
        <v>-257.96901665921996</v>
      </c>
      <c r="G43" s="107">
        <f>HLOOKUP($D$5,'Economist Financing Model 2'!$C$68:$I$143,'Economist Financing Model 2'!B102,FALSE)</f>
        <v>-75.815356248777462</v>
      </c>
      <c r="H43" s="108">
        <f>HLOOKUP($D$5,'Economist Financing Model 2'!$J$68:$P$144,'Economist Financing Model 2'!B102,FALSE)</f>
        <v>-75.815356248777462</v>
      </c>
      <c r="I43" s="108">
        <f>HLOOKUP($D$5,'Economist Financing Model 2'!$Q$68:$W$144,'Economist Financing Model 2'!B102,FALSE)</f>
        <v>-75.815356248777462</v>
      </c>
      <c r="J43" s="109">
        <f>HLOOKUP($D$5,'Economist Financing Model 2'!$X$68:$AD$144,'Economist Financing Model 2'!B102,FALSE)</f>
        <v>-75.815356248777462</v>
      </c>
    </row>
    <row r="44" spans="1:10" x14ac:dyDescent="0.2">
      <c r="A44" s="105">
        <f>'Summary Baseline Data'!A43</f>
        <v>2024</v>
      </c>
      <c r="B44" s="105">
        <v>36</v>
      </c>
      <c r="C44" s="107">
        <f>HLOOKUP($D$5,'Economist Financing Model 1'!$C$6:$H$80,'Economist Financing Model 1'!B41,FALSE)</f>
        <v>-134.23486093422238</v>
      </c>
      <c r="D44" s="108">
        <f>HLOOKUP($D$5,'Economist Financing Model 1'!$I$6:$N$80,'Economist Financing Model 1'!B41,FALSE)</f>
        <v>-160.77653902439334</v>
      </c>
      <c r="E44" s="108">
        <f>HLOOKUP($D$5,'Economist Financing Model 1'!$O$6:$T$80,'Economist Financing Model 1'!B41,FALSE)</f>
        <v>-189.18960316825272</v>
      </c>
      <c r="F44" s="109">
        <f>HLOOKUP($D$5,'Economist Financing Model 1'!$U$6:$Z$80,'Economist Financing Model 1'!B41,FALSE)</f>
        <v>-250.26409585140982</v>
      </c>
      <c r="G44" s="107">
        <f>HLOOKUP($D$5,'Economist Financing Model 2'!$C$68:$I$143,'Economist Financing Model 2'!B103,FALSE)</f>
        <v>-73.481216731379121</v>
      </c>
      <c r="H44" s="108">
        <f>HLOOKUP($D$5,'Economist Financing Model 2'!$J$68:$P$144,'Economist Financing Model 2'!B103,FALSE)</f>
        <v>-73.481216731379121</v>
      </c>
      <c r="I44" s="108">
        <f>HLOOKUP($D$5,'Economist Financing Model 2'!$Q$68:$W$144,'Economist Financing Model 2'!B103,FALSE)</f>
        <v>-73.481216731379121</v>
      </c>
      <c r="J44" s="109">
        <f>HLOOKUP($D$5,'Economist Financing Model 2'!$X$68:$AD$144,'Economist Financing Model 2'!B103,FALSE)</f>
        <v>-73.481216731379121</v>
      </c>
    </row>
    <row r="45" spans="1:10" ht="13.5" thickBot="1" x14ac:dyDescent="0.25">
      <c r="A45" s="105">
        <f>'Summary Baseline Data'!A44</f>
        <v>2025</v>
      </c>
      <c r="B45" s="117">
        <v>37</v>
      </c>
      <c r="C45" s="107">
        <f>HLOOKUP($D$5,'Economist Financing Model 1'!$C$6:$H$80,'Economist Financing Model 1'!B42,FALSE)</f>
        <v>-130.00938672617062</v>
      </c>
      <c r="D45" s="108">
        <f>HLOOKUP($D$5,'Economist Financing Model 1'!$I$6:$N$80,'Economist Financing Model 1'!B42,FALSE)</f>
        <v>-155.71558008884307</v>
      </c>
      <c r="E45" s="108">
        <f>HLOOKUP($D$5,'Economist Financing Model 1'!$O$6:$T$80,'Economist Financing Model 1'!B42,FALSE)</f>
        <v>-183.23425160715021</v>
      </c>
      <c r="F45" s="109">
        <f>HLOOKUP($D$5,'Economist Financing Model 1'!$U$6:$Z$80,'Economist Financing Model 1'!B42,FALSE)</f>
        <v>-242.38622809886144</v>
      </c>
      <c r="G45" s="107">
        <f>HLOOKUP($D$5,'Economist Financing Model 2'!$C$68:$I$143,'Economist Financing Model 2'!B104,FALSE)</f>
        <v>-71.286507602706038</v>
      </c>
      <c r="H45" s="108">
        <f>HLOOKUP($D$5,'Economist Financing Model 2'!$J$68:$P$144,'Economist Financing Model 2'!B104,FALSE)</f>
        <v>-71.286507602706038</v>
      </c>
      <c r="I45" s="108">
        <f>HLOOKUP($D$5,'Economist Financing Model 2'!$Q$68:$W$144,'Economist Financing Model 2'!B104,FALSE)</f>
        <v>-71.286507602706038</v>
      </c>
      <c r="J45" s="109">
        <f>HLOOKUP($D$5,'Economist Financing Model 2'!$X$68:$AD$144,'Economist Financing Model 2'!B104,FALSE)</f>
        <v>-71.286507602706038</v>
      </c>
    </row>
    <row r="46" spans="1:10" x14ac:dyDescent="0.2">
      <c r="A46" s="105">
        <f>'Summary Baseline Data'!A45</f>
        <v>2026</v>
      </c>
      <c r="B46" s="105">
        <v>38</v>
      </c>
      <c r="C46" s="107">
        <f>HLOOKUP($D$5,'Economist Financing Model 1'!$C$6:$H$80,'Economist Financing Model 1'!B43,FALSE)</f>
        <v>-126.04181500354278</v>
      </c>
      <c r="D46" s="108">
        <f>HLOOKUP($D$5,'Economist Financing Model 1'!$I$6:$N$80,'Economist Financing Model 1'!B43,FALSE)</f>
        <v>-150.96351758096938</v>
      </c>
      <c r="E46" s="108">
        <f>HLOOKUP($D$5,'Economist Financing Model 1'!$O$6:$T$80,'Economist Financing Model 1'!B43,FALSE)</f>
        <v>-177.64238586883531</v>
      </c>
      <c r="F46" s="109">
        <f>HLOOKUP($D$5,'Economist Financing Model 1'!$U$6:$Z$80,'Economist Financing Model 1'!B43,FALSE)</f>
        <v>-234.98918724838043</v>
      </c>
      <c r="G46" s="107">
        <f>HLOOKUP($D$5,'Economist Financing Model 2'!$C$68:$I$143,'Economist Financing Model 2'!B105,FALSE)</f>
        <v>-69.04253537998423</v>
      </c>
      <c r="H46" s="108">
        <f>HLOOKUP($D$5,'Economist Financing Model 2'!$J$68:$P$144,'Economist Financing Model 2'!B105,FALSE)</f>
        <v>-69.04253537998423</v>
      </c>
      <c r="I46" s="108">
        <f>HLOOKUP($D$5,'Economist Financing Model 2'!$Q$68:$W$144,'Economist Financing Model 2'!B105,FALSE)</f>
        <v>-69.04253537998423</v>
      </c>
      <c r="J46" s="109">
        <f>HLOOKUP($D$5,'Economist Financing Model 2'!$X$68:$AD$144,'Economist Financing Model 2'!B105,FALSE)</f>
        <v>-69.04253537998423</v>
      </c>
    </row>
    <row r="47" spans="1:10" ht="13.5" thickBot="1" x14ac:dyDescent="0.25">
      <c r="A47" s="105">
        <f>'Summary Baseline Data'!A46</f>
        <v>2027</v>
      </c>
      <c r="B47" s="117">
        <v>39</v>
      </c>
      <c r="C47" s="107">
        <f>HLOOKUP($D$5,'Economist Financing Model 1'!$C$6:$H$80,'Economist Financing Model 1'!B44,FALSE)</f>
        <v>-122.30923332034342</v>
      </c>
      <c r="D47" s="108">
        <f>HLOOKUP($D$5,'Economist Financing Model 1'!$I$6:$N$80,'Economist Financing Model 1'!B44,FALSE)</f>
        <v>-146.49290867599422</v>
      </c>
      <c r="E47" s="108">
        <f>HLOOKUP($D$5,'Economist Financing Model 1'!$O$6:$T$80,'Economist Financing Model 1'!B44,FALSE)</f>
        <v>-172.38171332428959</v>
      </c>
      <c r="F47" s="109">
        <f>HLOOKUP($D$5,'Economist Financing Model 1'!$U$6:$Z$80,'Economist Financing Model 1'!B44,FALSE)</f>
        <v>-228.03025591239043</v>
      </c>
      <c r="G47" s="107">
        <f>HLOOKUP($D$5,'Economist Financing Model 2'!$C$68:$I$143,'Economist Financing Model 2'!B106,FALSE)</f>
        <v>-136.81766515454126</v>
      </c>
      <c r="H47" s="108">
        <f>HLOOKUP($D$5,'Economist Financing Model 2'!$J$68:$P$144,'Economist Financing Model 2'!B106,FALSE)</f>
        <v>-181.57098175466217</v>
      </c>
      <c r="I47" s="108">
        <f>HLOOKUP($D$5,'Economist Financing Model 2'!$Q$68:$W$144,'Economist Financing Model 2'!B106,FALSE)</f>
        <v>-237.56949020389857</v>
      </c>
      <c r="J47" s="109">
        <f>HLOOKUP($D$5,'Economist Financing Model 2'!$X$68:$AD$144,'Economist Financing Model 2'!B106,FALSE)</f>
        <v>-391.43184889919598</v>
      </c>
    </row>
    <row r="48" spans="1:10" x14ac:dyDescent="0.2">
      <c r="A48" s="105">
        <f>'Summary Baseline Data'!A47</f>
        <v>2028</v>
      </c>
      <c r="B48" s="105">
        <v>40</v>
      </c>
      <c r="C48" s="107">
        <f>HLOOKUP($D$5,'Economist Financing Model 1'!$C$6:$H$80,'Economist Financing Model 1'!B45,FALSE)</f>
        <v>-118.79136526906926</v>
      </c>
      <c r="D48" s="108">
        <f>HLOOKUP($D$5,'Economist Financing Model 1'!$I$6:$N$80,'Economist Financing Model 1'!B45,FALSE)</f>
        <v>-142.27946780011402</v>
      </c>
      <c r="E48" s="108">
        <f>HLOOKUP($D$5,'Economist Financing Model 1'!$O$6:$T$80,'Economist Financing Model 1'!B45,FALSE)</f>
        <v>-167.42365655731487</v>
      </c>
      <c r="F48" s="109">
        <f>HLOOKUP($D$5,'Economist Financing Model 1'!$U$6:$Z$80,'Economist Financing Model 1'!B45,FALSE)</f>
        <v>-221.47163126712709</v>
      </c>
      <c r="G48" s="107">
        <f>HLOOKUP($D$5,'Economist Financing Model 2'!$C$68:$I$143,'Economist Financing Model 2'!B107,FALSE)</f>
        <v>-132.76596920840157</v>
      </c>
      <c r="H48" s="108">
        <f>HLOOKUP($D$5,'Economist Financing Model 2'!$J$68:$P$144,'Economist Financing Model 2'!B107,FALSE)</f>
        <v>-176.19396841445496</v>
      </c>
      <c r="I48" s="108">
        <f>HLOOKUP($D$5,'Economist Financing Model 2'!$Q$68:$W$144,'Economist Financing Model 2'!B107,FALSE)</f>
        <v>-230.53414619844168</v>
      </c>
      <c r="J48" s="109">
        <f>HLOOKUP($D$5,'Economist Financing Model 2'!$X$68:$AD$144,'Economist Financing Model 2'!B107,FALSE)</f>
        <v>-379.84005018238975</v>
      </c>
    </row>
    <row r="49" spans="1:10" ht="13.5" thickBot="1" x14ac:dyDescent="0.25">
      <c r="A49" s="105">
        <f>'Summary Baseline Data'!A48</f>
        <v>2029</v>
      </c>
      <c r="B49" s="117">
        <v>41</v>
      </c>
      <c r="C49" s="107">
        <f>HLOOKUP($D$5,'Economist Financing Model 1'!$C$6:$H$80,'Economist Financing Model 1'!B46,FALSE)</f>
        <v>-115.47020198952191</v>
      </c>
      <c r="D49" s="108">
        <f>HLOOKUP($D$5,'Economist Financing Model 1'!$I$6:$N$80,'Economist Financing Model 1'!B46,FALSE)</f>
        <v>-138.3016252791449</v>
      </c>
      <c r="E49" s="108">
        <f>HLOOKUP($D$5,'Economist Financing Model 1'!$O$6:$T$80,'Economist Financing Model 1'!B46,FALSE)</f>
        <v>-162.74283401582596</v>
      </c>
      <c r="F49" s="109">
        <f>HLOOKUP($D$5,'Economist Financing Model 1'!$U$6:$Z$80,'Economist Financing Model 1'!B46,FALSE)</f>
        <v>-215.27973804694406</v>
      </c>
      <c r="G49" s="107">
        <f>HLOOKUP($D$5,'Economist Financing Model 2'!$C$68:$I$143,'Economist Financing Model 2'!B108,FALSE)</f>
        <v>-128.94734367461695</v>
      </c>
      <c r="H49" s="108">
        <f>HLOOKUP($D$5,'Economist Financing Model 2'!$J$68:$P$144,'Economist Financing Model 2'!B108,FALSE)</f>
        <v>-171.1262632585489</v>
      </c>
      <c r="I49" s="108">
        <f>HLOOKUP($D$5,'Economist Financing Model 2'!$Q$68:$W$144,'Economist Financing Model 2'!B108,FALSE)</f>
        <v>-223.90350445845806</v>
      </c>
      <c r="J49" s="109">
        <f>HLOOKUP($D$5,'Economist Financing Model 2'!$X$68:$AD$144,'Economist Financing Model 2'!B108,FALSE)</f>
        <v>-368.91505996819018</v>
      </c>
    </row>
    <row r="50" spans="1:10" x14ac:dyDescent="0.2">
      <c r="A50" s="105">
        <f>'Summary Baseline Data'!A49</f>
        <v>2030</v>
      </c>
      <c r="B50" s="105">
        <v>42</v>
      </c>
      <c r="C50" s="107">
        <f>HLOOKUP($D$5,'Economist Financing Model 1'!$C$6:$H$80,'Economist Financing Model 1'!B47,FALSE)</f>
        <v>-112.32969380999604</v>
      </c>
      <c r="D50" s="108">
        <f>HLOOKUP($D$5,'Economist Financing Model 1'!$I$6:$N$80,'Economist Financing Model 1'!B47,FALSE)</f>
        <v>-134.54015800925748</v>
      </c>
      <c r="E50" s="108">
        <f>HLOOKUP($D$5,'Economist Financing Model 1'!$O$6:$T$80,'Economist Financing Model 1'!B47,FALSE)</f>
        <v>-158.31662541326114</v>
      </c>
      <c r="F50" s="109">
        <f>HLOOKUP($D$5,'Economist Financing Model 1'!$U$6:$Z$80,'Economist Financing Model 1'!B47,FALSE)</f>
        <v>-209.4246536479061</v>
      </c>
      <c r="G50" s="107">
        <f>HLOOKUP($D$5,'Economist Financing Model 2'!$C$68:$I$143,'Economist Financing Model 2'!B109,FALSE)</f>
        <v>-125.34224003903461</v>
      </c>
      <c r="H50" s="108">
        <f>HLOOKUP($D$5,'Economist Financing Model 2'!$J$68:$P$144,'Economist Financing Model 2'!B109,FALSE)</f>
        <v>-166.34192341690195</v>
      </c>
      <c r="I50" s="108">
        <f>HLOOKUP($D$5,'Economist Financing Model 2'!$Q$68:$W$144,'Economist Financing Model 2'!B109,FALSE)</f>
        <v>-217.64362104449901</v>
      </c>
      <c r="J50" s="109">
        <f>HLOOKUP($D$5,'Economist Financing Model 2'!$X$68:$AD$144,'Economist Financing Model 2'!B109,FALSE)</f>
        <v>-358.60095045641589</v>
      </c>
    </row>
    <row r="51" spans="1:10" ht="13.5" thickBot="1" x14ac:dyDescent="0.25">
      <c r="A51" s="105">
        <f>'Summary Baseline Data'!A50</f>
        <v>2031</v>
      </c>
      <c r="B51" s="117">
        <v>43</v>
      </c>
      <c r="C51" s="107">
        <f>HLOOKUP($D$5,'Economist Financing Model 1'!$C$6:$H$80,'Economist Financing Model 1'!B48,FALSE)</f>
        <v>-109.35549087578255</v>
      </c>
      <c r="D51" s="108">
        <f>HLOOKUP($D$5,'Economist Financing Model 1'!$I$6:$N$80,'Economist Financing Model 1'!B48,FALSE)</f>
        <v>-130.97787880107654</v>
      </c>
      <c r="E51" s="108">
        <f>HLOOKUP($D$5,'Economist Financing Model 1'!$O$6:$T$80,'Economist Financing Model 1'!B48,FALSE)</f>
        <v>-154.12480617234553</v>
      </c>
      <c r="F51" s="109">
        <f>HLOOKUP($D$5,'Economist Financing Model 1'!$U$6:$Z$80,'Economist Financing Model 1'!B48,FALSE)</f>
        <v>-203.87962456209888</v>
      </c>
      <c r="G51" s="107">
        <f>HLOOKUP($D$5,'Economist Financing Model 2'!$C$68:$I$143,'Economist Financing Model 2'!B110,FALSE)</f>
        <v>-121.93323647534116</v>
      </c>
      <c r="H51" s="108">
        <f>HLOOKUP($D$5,'Economist Financing Model 2'!$J$68:$P$144,'Economist Financing Model 2'!B110,FALSE)</f>
        <v>-161.81782835091906</v>
      </c>
      <c r="I51" s="108">
        <f>HLOOKUP($D$5,'Economist Financing Model 2'!$Q$68:$W$144,'Economist Financing Model 2'!B110,FALSE)</f>
        <v>-211.72424478694384</v>
      </c>
      <c r="J51" s="109">
        <f>HLOOKUP($D$5,'Economist Financing Model 2'!$X$68:$AD$144,'Economist Financing Model 2'!B110,FALSE)</f>
        <v>-348.84787824652818</v>
      </c>
    </row>
    <row r="52" spans="1:10" x14ac:dyDescent="0.2">
      <c r="A52" s="105">
        <f>'Summary Baseline Data'!A51</f>
        <v>2032</v>
      </c>
      <c r="B52" s="105">
        <v>44</v>
      </c>
      <c r="C52" s="107">
        <f>HLOOKUP($D$5,'Economist Financing Model 1'!$C$6:$H$80,'Economist Financing Model 1'!B49,FALSE)</f>
        <v>-106.53472391977382</v>
      </c>
      <c r="D52" s="108">
        <f>HLOOKUP($D$5,'Economist Financing Model 1'!$I$6:$N$80,'Economist Financing Model 1'!B49,FALSE)</f>
        <v>-127.59937380300687</v>
      </c>
      <c r="E52" s="108">
        <f>HLOOKUP($D$5,'Economist Financing Model 1'!$O$6:$T$80,'Economist Financing Model 1'!B49,FALSE)</f>
        <v>-150.14923844483161</v>
      </c>
      <c r="F52" s="109">
        <f>HLOOKUP($D$5,'Economist Financing Model 1'!$U$6:$Z$80,'Economist Financing Model 1'!B49,FALSE)</f>
        <v>-198.62065765186401</v>
      </c>
      <c r="G52" s="107">
        <f>HLOOKUP($D$5,'Economist Financing Model 2'!$C$68:$I$143,'Economist Financing Model 2'!B111,FALSE)</f>
        <v>-118.70475629879469</v>
      </c>
      <c r="H52" s="108">
        <f>HLOOKUP($D$5,'Economist Financing Model 2'!$J$68:$P$144,'Economist Financing Model 2'!B111,FALSE)</f>
        <v>-157.53330621286858</v>
      </c>
      <c r="I52" s="108">
        <f>HLOOKUP($D$5,'Economist Financing Model 2'!$Q$68:$W$144,'Economist Financing Model 2'!B111,FALSE)</f>
        <v>-206.11832841050816</v>
      </c>
      <c r="J52" s="109">
        <f>HLOOKUP($D$5,'Economist Financing Model 2'!$X$68:$AD$144,'Economist Financing Model 2'!B111,FALSE)</f>
        <v>-339.61127884094304</v>
      </c>
    </row>
    <row r="53" spans="1:10" ht="13.5" thickBot="1" x14ac:dyDescent="0.25">
      <c r="A53" s="105">
        <f>'Summary Baseline Data'!A52</f>
        <v>2033</v>
      </c>
      <c r="B53" s="117">
        <v>45</v>
      </c>
      <c r="C53" s="107">
        <f>HLOOKUP($D$5,'Economist Financing Model 1'!$C$6:$H$80,'Economist Financing Model 1'!B50,FALSE)</f>
        <v>-103.85581810932125</v>
      </c>
      <c r="D53" s="108">
        <f>HLOOKUP($D$5,'Economist Financing Model 1'!$I$6:$N$80,'Economist Financing Model 1'!B50,FALSE)</f>
        <v>-124.39077954083562</v>
      </c>
      <c r="E53" s="108">
        <f>HLOOKUP($D$5,'Economist Financing Model 1'!$O$6:$T$80,'Economist Financing Model 1'!B50,FALSE)</f>
        <v>-146.37360874866053</v>
      </c>
      <c r="F53" s="109">
        <f>HLOOKUP($D$5,'Economist Financing Model 1'!$U$6:$Z$80,'Economist Financing Model 1'!B50,FALSE)</f>
        <v>-193.62617309056569</v>
      </c>
      <c r="G53" s="107">
        <f>HLOOKUP($D$5,'Economist Financing Model 2'!$C$68:$I$143,'Economist Financing Model 2'!B112,FALSE)</f>
        <v>-115.64282999397791</v>
      </c>
      <c r="H53" s="108">
        <f>HLOOKUP($D$5,'Economist Financing Model 2'!$J$68:$P$144,'Economist Financing Model 2'!B112,FALSE)</f>
        <v>-153.46981803246416</v>
      </c>
      <c r="I53" s="108">
        <f>HLOOKUP($D$5,'Economist Financing Model 2'!$Q$68:$W$144,'Economist Financing Model 2'!B112,FALSE)</f>
        <v>-200.80161532045813</v>
      </c>
      <c r="J53" s="109">
        <f>HLOOKUP($D$5,'Economist Financing Model 2'!$X$68:$AD$144,'Economist Financing Model 2'!B112,FALSE)</f>
        <v>-330.85118581250464</v>
      </c>
    </row>
    <row r="54" spans="1:10" x14ac:dyDescent="0.2">
      <c r="A54" s="105">
        <f>'Summary Baseline Data'!A53</f>
        <v>2034</v>
      </c>
      <c r="B54" s="105">
        <v>46</v>
      </c>
      <c r="C54" s="107">
        <f>HLOOKUP($D$5,'Economist Financing Model 1'!$C$6:$H$80,'Economist Financing Model 1'!B51,FALSE)</f>
        <v>-101.30833429004329</v>
      </c>
      <c r="D54" s="108">
        <f>HLOOKUP($D$5,'Economist Financing Model 1'!$I$6:$N$80,'Economist Financing Model 1'!B51,FALSE)</f>
        <v>-121.33959277136556</v>
      </c>
      <c r="E54" s="108">
        <f>HLOOKUP($D$5,'Economist Financing Model 1'!$O$6:$T$80,'Economist Financing Model 1'!B51,FALSE)</f>
        <v>-142.78320421817935</v>
      </c>
      <c r="F54" s="109">
        <f>HLOOKUP($D$5,'Economist Financing Model 1'!$U$6:$Z$80,'Economist Financing Model 1'!B51,FALSE)</f>
        <v>-188.87670838154273</v>
      </c>
      <c r="G54" s="107">
        <f>HLOOKUP($D$5,'Economist Financing Model 2'!$C$68:$I$143,'Economist Financing Model 2'!B113,FALSE)</f>
        <v>-112.73489314663283</v>
      </c>
      <c r="H54" s="108">
        <f>HLOOKUP($D$5,'Economist Financing Model 2'!$J$68:$P$144,'Economist Financing Model 2'!B113,FALSE)</f>
        <v>-149.61068955182091</v>
      </c>
      <c r="I54" s="108">
        <f>HLOOKUP($D$5,'Economist Financing Model 2'!$Q$68:$W$144,'Economist Financing Model 2'!B113,FALSE)</f>
        <v>-195.75228873248739</v>
      </c>
      <c r="J54" s="109">
        <f>HLOOKUP($D$5,'Economist Financing Model 2'!$X$68:$AD$144,'Economist Financing Model 2'!B113,FALSE)</f>
        <v>-322.53165269262075</v>
      </c>
    </row>
    <row r="55" spans="1:10" ht="13.5" thickBot="1" x14ac:dyDescent="0.25">
      <c r="A55" s="105">
        <f>'Summary Baseline Data'!A54</f>
        <v>2035</v>
      </c>
      <c r="B55" s="117">
        <v>47</v>
      </c>
      <c r="C55" s="107">
        <f>HLOOKUP($D$5,'Economist Financing Model 1'!$C$6:$H$80,'Economist Financing Model 1'!B52,FALSE)</f>
        <v>-98.633208042166814</v>
      </c>
      <c r="D55" s="108">
        <f>HLOOKUP($D$5,'Economist Financing Model 1'!$I$6:$N$80,'Economist Financing Model 1'!B52,FALSE)</f>
        <v>-118.1355253883208</v>
      </c>
      <c r="E55" s="108">
        <f>HLOOKUP($D$5,'Economist Financing Model 1'!$O$6:$T$80,'Economist Financing Model 1'!B52,FALSE)</f>
        <v>-139.0129014090698</v>
      </c>
      <c r="F55" s="109">
        <f>HLOOKUP($D$5,'Economist Financing Model 1'!$U$6:$Z$80,'Economist Financing Model 1'!B52,FALSE)</f>
        <v>-183.88927034157453</v>
      </c>
      <c r="G55" s="107">
        <f>HLOOKUP($D$5,'Economist Financing Model 2'!$C$68:$I$143,'Economist Financing Model 2'!B114,FALSE)</f>
        <v>-109.96961411472753</v>
      </c>
      <c r="H55" s="108">
        <f>HLOOKUP($D$5,'Economist Financing Model 2'!$J$68:$P$144,'Economist Financing Model 2'!B114,FALSE)</f>
        <v>-145.94088252740275</v>
      </c>
      <c r="I55" s="108">
        <f>HLOOKUP($D$5,'Economist Financing Model 2'!$Q$68:$W$144,'Economist Financing Model 2'!B114,FALSE)</f>
        <v>-190.95067244164349</v>
      </c>
      <c r="J55" s="109">
        <f>HLOOKUP($D$5,'Economist Financing Model 2'!$X$68:$AD$144,'Economist Financing Model 2'!B114,FALSE)</f>
        <v>-314.62025994258198</v>
      </c>
    </row>
    <row r="56" spans="1:10" x14ac:dyDescent="0.2">
      <c r="A56" s="105">
        <f>'Summary Baseline Data'!A55</f>
        <v>2036</v>
      </c>
      <c r="B56" s="105">
        <v>48</v>
      </c>
      <c r="C56" s="107">
        <f>HLOOKUP($D$5,'Economist Financing Model 1'!$C$6:$H$80,'Economist Financing Model 1'!B53,FALSE)</f>
        <v>-96.095724846465316</v>
      </c>
      <c r="D56" s="108">
        <f>HLOOKUP($D$5,'Economist Financing Model 1'!$I$6:$N$80,'Economist Financing Model 1'!B53,FALSE)</f>
        <v>-115.09631662244472</v>
      </c>
      <c r="E56" s="108">
        <f>HLOOKUP($D$5,'Economist Financing Model 1'!$O$6:$T$80,'Economist Financing Model 1'!B53,FALSE)</f>
        <v>-135.43659168222382</v>
      </c>
      <c r="F56" s="109">
        <f>HLOOKUP($D$5,'Economist Financing Model 1'!$U$6:$Z$80,'Economist Financing Model 1'!B53,FALSE)</f>
        <v>-179.15845054341818</v>
      </c>
      <c r="G56" s="107">
        <f>HLOOKUP($D$5,'Economist Financing Model 2'!$C$68:$I$143,'Economist Financing Model 2'!B115,FALSE)</f>
        <v>-107.06577996081758</v>
      </c>
      <c r="H56" s="108">
        <f>HLOOKUP($D$5,'Economist Financing Model 2'!$J$68:$P$144,'Economist Financing Model 2'!B115,FALSE)</f>
        <v>-142.08719873896362</v>
      </c>
      <c r="I56" s="108">
        <f>HLOOKUP($D$5,'Economist Financing Model 2'!$Q$68:$W$144,'Economist Financing Model 2'!B115,FALSE)</f>
        <v>-185.90846974945583</v>
      </c>
      <c r="J56" s="109">
        <f>HLOOKUP($D$5,'Economist Financing Model 2'!$X$68:$AD$144,'Economist Financing Model 2'!B115,FALSE)</f>
        <v>-306.31246452392969</v>
      </c>
    </row>
    <row r="57" spans="1:10" ht="13.5" thickBot="1" x14ac:dyDescent="0.25">
      <c r="A57" s="105">
        <f>'Summary Baseline Data'!A56</f>
        <v>2037</v>
      </c>
      <c r="B57" s="117">
        <v>49</v>
      </c>
      <c r="C57" s="107">
        <f>HLOOKUP($D$5,'Economist Financing Model 1'!$C$6:$H$80,'Economist Financing Model 1'!B54,FALSE)</f>
        <v>-93.685527940689994</v>
      </c>
      <c r="D57" s="108">
        <f>HLOOKUP($D$5,'Economist Financing Model 1'!$I$6:$N$80,'Economist Financing Model 1'!B54,FALSE)</f>
        <v>-112.20956191371268</v>
      </c>
      <c r="E57" s="108">
        <f>HLOOKUP($D$5,'Economist Financing Model 1'!$O$6:$T$80,'Economist Financing Model 1'!B54,FALSE)</f>
        <v>-132.0396782948406</v>
      </c>
      <c r="F57" s="109">
        <f>HLOOKUP($D$5,'Economist Financing Model 1'!$U$6:$Z$80,'Economist Financing Model 1'!B54,FALSE)</f>
        <v>-174.66494010023087</v>
      </c>
      <c r="G57" s="107">
        <f>HLOOKUP($D$5,'Economist Financing Model 2'!$C$68:$I$143,'Economist Financing Model 2'!B116,FALSE)</f>
        <v>-104.31135654827781</v>
      </c>
      <c r="H57" s="108">
        <f>HLOOKUP($D$5,'Economist Financing Model 2'!$J$68:$P$144,'Economist Financing Model 2'!B116,FALSE)</f>
        <v>-138.43179822750216</v>
      </c>
      <c r="I57" s="108">
        <f>HLOOKUP($D$5,'Economist Financing Model 2'!$Q$68:$W$144,'Economist Financing Model 2'!B116,FALSE)</f>
        <v>-181.12570310025436</v>
      </c>
      <c r="J57" s="109">
        <f>HLOOKUP($D$5,'Economist Financing Model 2'!$X$68:$AD$144,'Economist Financing Model 2'!B116,FALSE)</f>
        <v>-298.43212942389829</v>
      </c>
    </row>
    <row r="58" spans="1:10" x14ac:dyDescent="0.2">
      <c r="A58" s="105">
        <f>'Summary Baseline Data'!A57</f>
        <v>2038</v>
      </c>
      <c r="B58" s="105">
        <v>50</v>
      </c>
      <c r="C58" s="107">
        <f>HLOOKUP($D$5,'Economist Financing Model 1'!$C$6:$H$80,'Economist Financing Model 1'!B55,FALSE)</f>
        <v>-91.393274180286568</v>
      </c>
      <c r="D58" s="108">
        <f>HLOOKUP($D$5,'Economist Financing Model 1'!$I$6:$N$80,'Economist Financing Model 1'!B55,FALSE)</f>
        <v>-109.46407073803435</v>
      </c>
      <c r="E58" s="108">
        <f>HLOOKUP($D$5,'Economist Financing Model 1'!$O$6:$T$80,'Economist Financing Model 1'!B55,FALSE)</f>
        <v>-128.80899308927269</v>
      </c>
      <c r="F58" s="109">
        <f>HLOOKUP($D$5,'Economist Financing Model 1'!$U$6:$Z$80,'Economist Financing Model 1'!B55,FALSE)</f>
        <v>-170.39131988848521</v>
      </c>
      <c r="G58" s="107">
        <f>HLOOKUP($D$5,'Economist Financing Model 2'!$C$68:$I$143,'Economist Financing Model 2'!B117,FALSE)</f>
        <v>-101.69510167126251</v>
      </c>
      <c r="H58" s="108">
        <f>HLOOKUP($D$5,'Economist Financing Model 2'!$J$68:$P$144,'Economist Financing Model 2'!B117,FALSE)</f>
        <v>-134.9597614404139</v>
      </c>
      <c r="I58" s="108">
        <f>HLOOKUP($D$5,'Economist Financing Model 2'!$Q$68:$W$144,'Economist Financing Model 2'!B117,FALSE)</f>
        <v>-176.5828515856204</v>
      </c>
      <c r="J58" s="109">
        <f>HLOOKUP($D$5,'Economist Financing Model 2'!$X$68:$AD$144,'Economist Financing Model 2'!B117,FALSE)</f>
        <v>-290.94709097842497</v>
      </c>
    </row>
    <row r="59" spans="1:10" ht="13.5" thickBot="1" x14ac:dyDescent="0.25">
      <c r="A59" s="105">
        <f>'Summary Baseline Data'!A58</f>
        <v>2039</v>
      </c>
      <c r="B59" s="117">
        <v>51</v>
      </c>
      <c r="C59" s="107">
        <f>HLOOKUP($D$5,'Economist Financing Model 1'!$C$6:$H$80,'Economist Financing Model 1'!B56,FALSE)</f>
        <v>-89.210512996372316</v>
      </c>
      <c r="D59" s="108">
        <f>HLOOKUP($D$5,'Economist Financing Model 1'!$I$6:$N$80,'Economist Financing Model 1'!B56,FALSE)</f>
        <v>-106.84972163211553</v>
      </c>
      <c r="E59" s="108">
        <f>HLOOKUP($D$5,'Economist Financing Model 1'!$O$6:$T$80,'Economist Financing Model 1'!B56,FALSE)</f>
        <v>-125.73262589730936</v>
      </c>
      <c r="F59" s="109">
        <f>HLOOKUP($D$5,'Economist Financing Model 1'!$U$6:$Z$80,'Economist Financing Model 1'!B56,FALSE)</f>
        <v>-166.32183488026865</v>
      </c>
      <c r="G59" s="107">
        <f>HLOOKUP($D$5,'Economist Financing Model 2'!$C$68:$I$143,'Economist Financing Model 2'!B118,FALSE)</f>
        <v>-99.206873400102666</v>
      </c>
      <c r="H59" s="108">
        <f>HLOOKUP($D$5,'Economist Financing Model 2'!$J$68:$P$144,'Economist Financing Model 2'!B118,FALSE)</f>
        <v>-131.65762900368591</v>
      </c>
      <c r="I59" s="108">
        <f>HLOOKUP($D$5,'Economist Financing Model 2'!$Q$68:$W$144,'Economist Financing Model 2'!B118,FALSE)</f>
        <v>-172.26230481103053</v>
      </c>
      <c r="J59" s="109">
        <f>HLOOKUP($D$5,'Economist Financing Model 2'!$X$68:$AD$144,'Economist Financing Model 2'!B118,FALSE)</f>
        <v>-283.82833338551325</v>
      </c>
    </row>
    <row r="60" spans="1:10" x14ac:dyDescent="0.2">
      <c r="A60" s="105">
        <f>'Summary Baseline Data'!A59</f>
        <v>2040</v>
      </c>
      <c r="B60" s="105">
        <v>52</v>
      </c>
      <c r="C60" s="107">
        <f>HLOOKUP($D$5,'Economist Financing Model 1'!$C$6:$H$80,'Economist Financing Model 1'!B57,FALSE)</f>
        <v>-87.12958229432148</v>
      </c>
      <c r="D60" s="108">
        <f>HLOOKUP($D$5,'Economist Financing Model 1'!$I$6:$N$80,'Economist Financing Model 1'!B57,FALSE)</f>
        <v>-104.35733750852131</v>
      </c>
      <c r="E60" s="108">
        <f>HLOOKUP($D$5,'Economist Financing Model 1'!$O$6:$T$80,'Economist Financing Model 1'!B57,FALSE)</f>
        <v>-122.79977782042606</v>
      </c>
      <c r="F60" s="109">
        <f>HLOOKUP($D$5,'Economist Financing Model 1'!$U$6:$Z$80,'Economist Financing Model 1'!B57,FALSE)</f>
        <v>-162.44220005922628</v>
      </c>
      <c r="G60" s="107">
        <f>HLOOKUP($D$5,'Economist Financing Model 2'!$C$68:$I$143,'Economist Financing Model 2'!B119,FALSE)</f>
        <v>-96.837498690886392</v>
      </c>
      <c r="H60" s="108">
        <f>HLOOKUP($D$5,'Economist Financing Model 2'!$J$68:$P$144,'Economist Financing Model 2'!B119,FALSE)</f>
        <v>-128.51322735342293</v>
      </c>
      <c r="I60" s="108">
        <f>HLOOKUP($D$5,'Economist Financing Model 2'!$Q$68:$W$144,'Economist Financing Model 2'!B119,FALSE)</f>
        <v>-168.14813475020753</v>
      </c>
      <c r="J60" s="109">
        <f>HLOOKUP($D$5,'Economist Financing Model 2'!$X$68:$AD$144,'Economist Financing Model 2'!B119,FALSE)</f>
        <v>-277.04961280059513</v>
      </c>
    </row>
    <row r="61" spans="1:10" ht="13.5" thickBot="1" x14ac:dyDescent="0.25">
      <c r="A61" s="105">
        <f>'Summary Baseline Data'!A60</f>
        <v>2041</v>
      </c>
      <c r="B61" s="117">
        <v>53</v>
      </c>
      <c r="C61" s="107">
        <f>HLOOKUP($D$5,'Economist Financing Model 1'!$C$6:$H$80,'Economist Financing Model 1'!B58,FALSE)</f>
        <v>-85.143518589906108</v>
      </c>
      <c r="D61" s="108">
        <f>HLOOKUP($D$5,'Economist Financing Model 1'!$I$6:$N$80,'Economist Financing Model 1'!B58,FALSE)</f>
        <v>-101.97857802342497</v>
      </c>
      <c r="E61" s="108">
        <f>HLOOKUP($D$5,'Economist Financing Model 1'!$O$6:$T$80,'Economist Financing Model 1'!B58,FALSE)</f>
        <v>-120.00063457633736</v>
      </c>
      <c r="F61" s="109">
        <f>HLOOKUP($D$5,'Economist Financing Model 1'!$U$6:$Z$80,'Economist Financing Model 1'!B58,FALSE)</f>
        <v>-158.73943288064385</v>
      </c>
      <c r="G61" s="107">
        <f>HLOOKUP($D$5,'Economist Financing Model 2'!$C$68:$I$143,'Economist Financing Model 2'!B120,FALSE)</f>
        <v>-94.578660383972192</v>
      </c>
      <c r="H61" s="108">
        <f>HLOOKUP($D$5,'Economist Financing Model 2'!$J$68:$P$144,'Economist Financing Model 2'!B120,FALSE)</f>
        <v>-125.51551877136097</v>
      </c>
      <c r="I61" s="108">
        <f>HLOOKUP($D$5,'Economist Financing Model 2'!$Q$68:$W$144,'Economist Financing Model 2'!B120,FALSE)</f>
        <v>-164.22589952992001</v>
      </c>
      <c r="J61" s="109">
        <f>HLOOKUP($D$5,'Economist Financing Model 2'!$X$68:$AD$144,'Economist Financing Model 2'!B120,FALSE)</f>
        <v>-270.58713404216115</v>
      </c>
    </row>
    <row r="62" spans="1:10" x14ac:dyDescent="0.2">
      <c r="A62" s="105">
        <f>'Summary Baseline Data'!A61</f>
        <v>2042</v>
      </c>
      <c r="B62" s="105">
        <v>54</v>
      </c>
      <c r="C62" s="107">
        <f>HLOOKUP($D$5,'Economist Financing Model 1'!$C$6:$H$80,'Economist Financing Model 1'!B59,FALSE)</f>
        <v>-83.245979161868689</v>
      </c>
      <c r="D62" s="108">
        <f>HLOOKUP($D$5,'Economist Financing Model 1'!$I$6:$N$80,'Economist Financing Model 1'!B59,FALSE)</f>
        <v>-99.705846336745765</v>
      </c>
      <c r="E62" s="108">
        <f>HLOOKUP($D$5,'Economist Financing Model 1'!$O$6:$T$80,'Economist Financing Model 1'!B59,FALSE)</f>
        <v>-117.32625678141845</v>
      </c>
      <c r="F62" s="109">
        <f>HLOOKUP($D$5,'Economist Financing Model 1'!$U$6:$Z$80,'Economist Financing Model 1'!B59,FALSE)</f>
        <v>-155.20170813466382</v>
      </c>
      <c r="G62" s="107">
        <f>HLOOKUP($D$5,'Economist Financing Model 2'!$C$68:$I$143,'Economist Financing Model 2'!B121,FALSE)</f>
        <v>-92.422799657286745</v>
      </c>
      <c r="H62" s="108">
        <f>HLOOKUP($D$5,'Economist Financing Model 2'!$J$68:$P$144,'Economist Financing Model 2'!B121,FALSE)</f>
        <v>-122.65447193045452</v>
      </c>
      <c r="I62" s="108">
        <f>HLOOKUP($D$5,'Economist Financing Model 2'!$Q$68:$W$144,'Economist Financing Model 2'!B121,FALSE)</f>
        <v>-160.48247405039035</v>
      </c>
      <c r="J62" s="109">
        <f>HLOOKUP($D$5,'Economist Financing Model 2'!$X$68:$AD$144,'Economist Financing Model 2'!B121,FALSE)</f>
        <v>-264.41927151313422</v>
      </c>
    </row>
    <row r="63" spans="1:10" ht="13.5" thickBot="1" x14ac:dyDescent="0.25">
      <c r="A63" s="105">
        <f>'Summary Baseline Data'!A62</f>
        <v>2043</v>
      </c>
      <c r="B63" s="117">
        <v>55</v>
      </c>
      <c r="C63" s="107">
        <f>HLOOKUP($D$5,'Economist Financing Model 1'!$C$6:$H$80,'Economist Financing Model 1'!B60,FALSE)</f>
        <v>-81.431174387176455</v>
      </c>
      <c r="D63" s="108">
        <f>HLOOKUP($D$5,'Economist Financing Model 1'!$I$6:$N$80,'Economist Financing Model 1'!B60,FALSE)</f>
        <v>-97.532208068345895</v>
      </c>
      <c r="E63" s="108">
        <f>HLOOKUP($D$5,'Economist Financing Model 1'!$O$6:$T$80,'Economist Financing Model 1'!B60,FALSE)</f>
        <v>-114.76848458452156</v>
      </c>
      <c r="F63" s="109">
        <f>HLOOKUP($D$5,'Economist Financing Model 1'!$U$6:$Z$80,'Economist Financing Model 1'!B60,FALSE)</f>
        <v>-151.81823179383659</v>
      </c>
      <c r="G63" s="107">
        <f>HLOOKUP($D$5,'Economist Financing Model 2'!$C$68:$I$143,'Economist Financing Model 2'!B122,FALSE)</f>
        <v>-90.363031523390333</v>
      </c>
      <c r="H63" s="108">
        <f>HLOOKUP($D$5,'Economist Financing Model 2'!$J$68:$P$144,'Economist Financing Model 2'!B122,FALSE)</f>
        <v>-119.92094975087269</v>
      </c>
      <c r="I63" s="108">
        <f>HLOOKUP($D$5,'Economist Financing Model 2'!$Q$68:$W$144,'Economist Financing Model 2'!B122,FALSE)</f>
        <v>-156.90590325483353</v>
      </c>
      <c r="J63" s="109">
        <f>HLOOKUP($D$5,'Economist Financing Model 2'!$X$68:$AD$144,'Economist Financing Model 2'!B122,FALSE)</f>
        <v>-258.5263274401301</v>
      </c>
    </row>
    <row r="64" spans="1:10" x14ac:dyDescent="0.2">
      <c r="A64" s="105">
        <f>'Summary Baseline Data'!A63</f>
        <v>2044</v>
      </c>
      <c r="B64" s="105">
        <v>56</v>
      </c>
      <c r="C64" s="107">
        <f>HLOOKUP($D$5,'Economist Financing Model 1'!$C$6:$H$80,'Economist Financing Model 1'!B61,FALSE)</f>
        <v>-79.693808738197049</v>
      </c>
      <c r="D64" s="108">
        <f>HLOOKUP($D$5,'Economist Financing Model 1'!$I$6:$N$80,'Economist Financing Model 1'!B61,FALSE)</f>
        <v>-95.451320628833045</v>
      </c>
      <c r="E64" s="108">
        <f>HLOOKUP($D$5,'Economist Financing Model 1'!$O$6:$T$80,'Economist Financing Model 1'!B61,FALSE)</f>
        <v>-112.31985450883927</v>
      </c>
      <c r="F64" s="109">
        <f>HLOOKUP($D$5,'Economist Financing Model 1'!$U$6:$Z$80,'Economist Financing Model 1'!B61,FALSE)</f>
        <v>-148.57913100974005</v>
      </c>
      <c r="G64" s="107">
        <f>HLOOKUP($D$5,'Economist Financing Model 2'!$C$68:$I$143,'Economist Financing Model 2'!B123,FALSE)</f>
        <v>-88.393071379784615</v>
      </c>
      <c r="H64" s="108">
        <f>HLOOKUP($D$5,'Economist Financing Model 2'!$J$68:$P$144,'Economist Financing Model 2'!B123,FALSE)</f>
        <v>-117.30661192477383</v>
      </c>
      <c r="I64" s="108">
        <f>HLOOKUP($D$5,'Economist Financing Model 2'!$Q$68:$W$144,'Economist Financing Model 2'!B123,FALSE)</f>
        <v>-153.48527459178931</v>
      </c>
      <c r="J64" s="109">
        <f>HLOOKUP($D$5,'Economist Financing Model 2'!$X$68:$AD$144,'Economist Financing Model 2'!B123,FALSE)</f>
        <v>-252.89032173576203</v>
      </c>
    </row>
    <row r="65" spans="1:10" ht="13.5" thickBot="1" x14ac:dyDescent="0.25">
      <c r="A65" s="105">
        <f>'Summary Baseline Data'!A64</f>
        <v>2045</v>
      </c>
      <c r="B65" s="117">
        <v>57</v>
      </c>
      <c r="C65" s="107">
        <f>HLOOKUP($D$5,'Economist Financing Model 1'!$C$6:$H$80,'Economist Financing Model 1'!B62,FALSE)</f>
        <v>-77.894430530569537</v>
      </c>
      <c r="D65" s="108">
        <f>HLOOKUP($D$5,'Economist Financing Model 1'!$I$6:$N$80,'Economist Financing Model 1'!B62,FALSE)</f>
        <v>-93.296159155838126</v>
      </c>
      <c r="E65" s="108">
        <f>HLOOKUP($D$5,'Economist Financing Model 1'!$O$6:$T$80,'Economist Financing Model 1'!B62,FALSE)</f>
        <v>-109.78382439951122</v>
      </c>
      <c r="F65" s="109">
        <f>HLOOKUP($D$5,'Economist Financing Model 1'!$U$6:$Z$80,'Economist Financing Model 1'!B62,FALSE)</f>
        <v>-145.22441557224059</v>
      </c>
      <c r="G65" s="107">
        <f>HLOOKUP($D$5,'Economist Financing Model 2'!$C$68:$I$143,'Economist Financing Model 2'!B124,FALSE)</f>
        <v>-86.507170961686185</v>
      </c>
      <c r="H65" s="108">
        <f>HLOOKUP($D$5,'Economist Financing Model 2'!$J$68:$P$144,'Economist Financing Model 2'!B124,FALSE)</f>
        <v>-114.80382991911047</v>
      </c>
      <c r="I65" s="108">
        <f>HLOOKUP($D$5,'Economist Financing Model 2'!$Q$68:$W$144,'Economist Financing Model 2'!B124,FALSE)</f>
        <v>-150.21060680384767</v>
      </c>
      <c r="J65" s="109">
        <f>HLOOKUP($D$5,'Economist Financing Model 2'!$X$68:$AD$144,'Economist Financing Model 2'!B124,FALSE)</f>
        <v>-247.49480876116036</v>
      </c>
    </row>
    <row r="66" spans="1:10" x14ac:dyDescent="0.2">
      <c r="A66" s="105">
        <f>'Summary Baseline Data'!A65</f>
        <v>2046</v>
      </c>
      <c r="B66" s="105">
        <v>58</v>
      </c>
      <c r="C66" s="107">
        <f>HLOOKUP($D$5,'Economist Financing Model 1'!$C$6:$H$80,'Economist Financing Model 1'!B63,FALSE)</f>
        <v>-76.174513246129067</v>
      </c>
      <c r="D66" s="108">
        <f>HLOOKUP($D$5,'Economist Financing Model 1'!$I$6:$N$80,'Economist Financing Model 1'!B63,FALSE)</f>
        <v>-91.236170070468759</v>
      </c>
      <c r="E66" s="108">
        <f>HLOOKUP($D$5,'Economist Financing Model 1'!$O$6:$T$80,'Economist Financing Model 1'!B63,FALSE)</f>
        <v>-107.35978591754819</v>
      </c>
      <c r="F66" s="109">
        <f>HLOOKUP($D$5,'Economist Financing Model 1'!$U$6:$Z$80,'Economist Financing Model 1'!B63,FALSE)</f>
        <v>-142.01784507979136</v>
      </c>
      <c r="G66" s="107">
        <f>HLOOKUP($D$5,'Economist Financing Model 2'!$C$68:$I$143,'Economist Financing Model 2'!B125,FALSE)</f>
        <v>-84.553956267890797</v>
      </c>
      <c r="H66" s="108">
        <f>HLOOKUP($D$5,'Economist Financing Model 2'!$J$68:$P$144,'Economist Financing Model 2'!B125,FALSE)</f>
        <v>-112.2117150110723</v>
      </c>
      <c r="I66" s="108">
        <f>HLOOKUP($D$5,'Economist Financing Model 2'!$Q$68:$W$144,'Economist Financing Model 2'!B125,FALSE)</f>
        <v>-146.81905485374239</v>
      </c>
      <c r="J66" s="109">
        <f>HLOOKUP($D$5,'Economist Financing Model 2'!$X$68:$AD$144,'Economist Financing Model 2'!B125,FALSE)</f>
        <v>-241.90671136141438</v>
      </c>
    </row>
    <row r="67" spans="1:10" ht="13.5" thickBot="1" x14ac:dyDescent="0.25">
      <c r="A67" s="105">
        <f>'Summary Baseline Data'!A66</f>
        <v>2047</v>
      </c>
      <c r="B67" s="117">
        <v>59</v>
      </c>
      <c r="C67" s="107">
        <f>HLOOKUP($D$5,'Economist Financing Model 1'!$C$6:$H$80,'Economist Financing Model 1'!B64,FALSE)</f>
        <v>-74.528907076368341</v>
      </c>
      <c r="D67" s="108">
        <f>HLOOKUP($D$5,'Economist Financing Model 1'!$I$6:$N$80,'Economist Financing Model 1'!B64,FALSE)</f>
        <v>-89.265185314869655</v>
      </c>
      <c r="E67" s="108">
        <f>HLOOKUP($D$5,'Economist Financing Model 1'!$O$6:$T$80,'Economist Financing Model 1'!B64,FALSE)</f>
        <v>-105.04048096158137</v>
      </c>
      <c r="F67" s="109">
        <f>HLOOKUP($D$5,'Economist Financing Model 1'!$U$6:$Z$80,'Economist Financing Model 1'!B64,FALSE)</f>
        <v>-138.949818359039</v>
      </c>
      <c r="G67" s="107">
        <f>HLOOKUP($D$5,'Economist Financing Model 2'!$C$68:$I$143,'Economist Financing Model 2'!B126,FALSE)</f>
        <v>-82.68699594913096</v>
      </c>
      <c r="H67" s="108">
        <f>HLOOKUP($D$5,'Economist Financing Model 2'!$J$68:$P$144,'Economist Financing Model 2'!B126,FALSE)</f>
        <v>-109.73406844700236</v>
      </c>
      <c r="I67" s="108">
        <f>HLOOKUP($D$5,'Economist Financing Model 2'!$Q$68:$W$144,'Economist Financing Model 2'!B126,FALSE)</f>
        <v>-143.57727455689479</v>
      </c>
      <c r="J67" s="109">
        <f>HLOOKUP($D$5,'Economist Financing Model 2'!$X$68:$AD$144,'Economist Financing Model 2'!B126,FALSE)</f>
        <v>-236.56538552773534</v>
      </c>
    </row>
    <row r="68" spans="1:10" x14ac:dyDescent="0.2">
      <c r="A68" s="105">
        <f>'Summary Baseline Data'!A67</f>
        <v>2048</v>
      </c>
      <c r="B68" s="105">
        <v>60</v>
      </c>
      <c r="C68" s="107">
        <f>HLOOKUP($D$5,'Economist Financing Model 1'!$C$6:$H$80,'Economist Financing Model 1'!B65,FALSE)</f>
        <v>-72.952897809986339</v>
      </c>
      <c r="D68" s="108">
        <f>HLOOKUP($D$5,'Economist Financing Model 1'!$I$6:$N$80,'Economist Financing Model 1'!B65,FALSE)</f>
        <v>-87.377558557142152</v>
      </c>
      <c r="E68" s="108">
        <f>HLOOKUP($D$5,'Economist Financing Model 1'!$O$6:$T$80,'Economist Financing Model 1'!B65,FALSE)</f>
        <v>-102.81926535766752</v>
      </c>
      <c r="F68" s="109">
        <f>HLOOKUP($D$5,'Economist Financing Model 1'!$U$6:$Z$80,'Economist Financing Model 1'!B65,FALSE)</f>
        <v>-136.01154635309706</v>
      </c>
      <c r="G68" s="107">
        <f>HLOOKUP($D$5,'Economist Financing Model 2'!$C$68:$I$143,'Economist Financing Model 2'!B127,FALSE)</f>
        <v>-80.900699917895281</v>
      </c>
      <c r="H68" s="108">
        <f>HLOOKUP($D$5,'Economist Financing Model 2'!$J$68:$P$144,'Economist Financing Model 2'!B127,FALSE)</f>
        <v>-107.36347161120952</v>
      </c>
      <c r="I68" s="108">
        <f>HLOOKUP($D$5,'Economist Financing Model 2'!$Q$68:$W$144,'Economist Financing Model 2'!B127,FALSE)</f>
        <v>-140.47555931409653</v>
      </c>
      <c r="J68" s="109">
        <f>HLOOKUP($D$5,'Economist Financing Model 2'!$X$68:$AD$144,'Economist Financing Model 2'!B127,FALSE)</f>
        <v>-231.45483816239266</v>
      </c>
    </row>
    <row r="69" spans="1:10" ht="13.5" thickBot="1" x14ac:dyDescent="0.25">
      <c r="A69" s="105">
        <f>'Summary Baseline Data'!A68</f>
        <v>2049</v>
      </c>
      <c r="B69" s="117">
        <v>61</v>
      </c>
      <c r="C69" s="107">
        <f>HLOOKUP($D$5,'Economist Financing Model 1'!$C$6:$H$80,'Economist Financing Model 1'!B66,FALSE)</f>
        <v>-71.442161730333467</v>
      </c>
      <c r="D69" s="108">
        <f>HLOOKUP($D$5,'Economist Financing Model 1'!$I$6:$N$80,'Economist Financing Model 1'!B66,FALSE)</f>
        <v>-85.568111170856312</v>
      </c>
      <c r="E69" s="108">
        <f>HLOOKUP($D$5,'Economist Financing Model 1'!$O$6:$T$80,'Economist Financing Model 1'!B66,FALSE)</f>
        <v>-100.6900452920875</v>
      </c>
      <c r="F69" s="109">
        <f>HLOOKUP($D$5,'Economist Financing Model 1'!$U$6:$Z$80,'Economist Financing Model 1'!B66,FALSE)</f>
        <v>-133.19496803347786</v>
      </c>
      <c r="G69" s="107">
        <f>HLOOKUP($D$5,'Economist Financing Model 2'!$C$68:$I$143,'Economist Financing Model 2'!B128,FALSE)</f>
        <v>-79.189950924934124</v>
      </c>
      <c r="H69" s="108">
        <f>HLOOKUP($D$5,'Economist Financing Model 2'!$J$68:$P$144,'Economist Financing Model 2'!B128,FALSE)</f>
        <v>-105.09313339255264</v>
      </c>
      <c r="I69" s="108">
        <f>HLOOKUP($D$5,'Economist Financing Model 2'!$Q$68:$W$144,'Economist Financing Model 2'!B128,FALSE)</f>
        <v>-137.5050235600655</v>
      </c>
      <c r="J69" s="109">
        <f>HLOOKUP($D$5,'Economist Financing Model 2'!$X$68:$AD$144,'Economist Financing Model 2'!B128,FALSE)</f>
        <v>-226.56042894585744</v>
      </c>
    </row>
    <row r="70" spans="1:10" x14ac:dyDescent="0.2">
      <c r="A70" s="105">
        <f>'Summary Baseline Data'!A69</f>
        <v>2050</v>
      </c>
      <c r="B70" s="105">
        <v>62</v>
      </c>
      <c r="C70" s="107">
        <f>HLOOKUP($D$5,'Economist Financing Model 1'!$C$6:$H$80,'Economist Financing Model 1'!B67,FALSE)</f>
        <v>-69.99272600316533</v>
      </c>
      <c r="D70" s="108">
        <f>HLOOKUP($D$5,'Economist Financing Model 1'!$I$6:$N$80,'Economist Financing Model 1'!B67,FALSE)</f>
        <v>-83.832084790446913</v>
      </c>
      <c r="E70" s="108">
        <f>HLOOKUP($D$5,'Economist Financing Model 1'!$O$6:$T$80,'Economist Financing Model 1'!B67,FALSE)</f>
        <v>-98.647221482144417</v>
      </c>
      <c r="F70" s="109">
        <f>HLOOKUP($D$5,'Economist Financing Model 1'!$U$6:$Z$80,'Economist Financing Model 1'!B67,FALSE)</f>
        <v>-130.49267654801778</v>
      </c>
      <c r="G70" s="107">
        <f>HLOOKUP($D$5,'Economist Financing Model 2'!$C$68:$I$143,'Economist Financing Model 2'!B129,FALSE)</f>
        <v>-77.550055600695714</v>
      </c>
      <c r="H70" s="108">
        <f>HLOOKUP($D$5,'Economist Financing Model 2'!$J$68:$P$144,'Economist Financing Model 2'!B129,FALSE)</f>
        <v>-102.91682521143788</v>
      </c>
      <c r="I70" s="108">
        <f>HLOOKUP($D$5,'Economist Financing Model 2'!$Q$68:$W$144,'Economist Financing Model 2'!B129,FALSE)</f>
        <v>-134.65751775204706</v>
      </c>
      <c r="J70" s="109">
        <f>HLOOKUP($D$5,'Economist Financing Model 2'!$X$68:$AD$144,'Economist Financing Model 2'!B129,FALSE)</f>
        <v>-221.86873026760031</v>
      </c>
    </row>
    <row r="71" spans="1:10" ht="13.5" thickBot="1" x14ac:dyDescent="0.25">
      <c r="A71" s="105">
        <f>'Summary Baseline Data'!A70</f>
        <v>2051</v>
      </c>
      <c r="B71" s="117">
        <v>63</v>
      </c>
      <c r="C71" s="107">
        <f>HLOOKUP($D$5,'Economist Financing Model 1'!$C$6:$H$80,'Economist Financing Model 1'!B68,FALSE)</f>
        <v>-68.600933790489137</v>
      </c>
      <c r="D71" s="108">
        <f>HLOOKUP($D$5,'Economist Financing Model 1'!$I$6:$N$80,'Economist Financing Model 1'!B68,FALSE)</f>
        <v>-82.165099527171449</v>
      </c>
      <c r="E71" s="108">
        <f>HLOOKUP($D$5,'Economist Financing Model 1'!$O$6:$T$80,'Economist Financing Model 1'!B68,FALSE)</f>
        <v>-96.68564000788119</v>
      </c>
      <c r="F71" s="109">
        <f>HLOOKUP($D$5,'Economist Financing Model 1'!$U$6:$Z$80,'Economist Financing Model 1'!B68,FALSE)</f>
        <v>-127.89785418001073</v>
      </c>
      <c r="G71" s="107">
        <f>HLOOKUP($D$5,'Economist Financing Model 2'!$C$68:$I$143,'Economist Financing Model 2'!B130,FALSE)</f>
        <v>-75.976701456460773</v>
      </c>
      <c r="H71" s="108">
        <f>HLOOKUP($D$5,'Economist Financing Model 2'!$J$68:$P$144,'Economist Financing Model 2'!B130,FALSE)</f>
        <v>-100.82882395594339</v>
      </c>
      <c r="I71" s="108">
        <f>HLOOKUP($D$5,'Economist Financing Model 2'!$Q$68:$W$144,'Economist Financing Model 2'!B130,FALSE)</f>
        <v>-131.92555370680563</v>
      </c>
      <c r="J71" s="109">
        <f>HLOOKUP($D$5,'Economist Financing Model 2'!$X$68:$AD$144,'Economist Financing Model 2'!B130,FALSE)</f>
        <v>-217.36740420743507</v>
      </c>
    </row>
    <row r="72" spans="1:10" x14ac:dyDescent="0.2">
      <c r="A72" s="105">
        <f>'Summary Baseline Data'!A71</f>
        <v>2052</v>
      </c>
      <c r="B72" s="105">
        <v>64</v>
      </c>
      <c r="C72" s="107">
        <f>HLOOKUP($D$5,'Economist Financing Model 1'!$C$6:$H$80,'Economist Financing Model 1'!B69,FALSE)</f>
        <v>-67.26341344548625</v>
      </c>
      <c r="D72" s="108">
        <f>HLOOKUP($D$5,'Economist Financing Model 1'!$I$6:$N$80,'Economist Financing Model 1'!B69,FALSE)</f>
        <v>-80.563117073078161</v>
      </c>
      <c r="E72" s="108">
        <f>HLOOKUP($D$5,'Economist Financing Model 1'!$O$6:$T$80,'Economist Financing Model 1'!B69,FALSE)</f>
        <v>-94.800548895636084</v>
      </c>
      <c r="F72" s="109">
        <f>HLOOKUP($D$5,'Economist Financing Model 1'!$U$6:$Z$80,'Economist Financing Model 1'!B69,FALSE)</f>
        <v>-125.40421491599689</v>
      </c>
      <c r="G72" s="107">
        <f>HLOOKUP($D$5,'Economist Financing Model 2'!$C$68:$I$143,'Economist Financing Model 2'!B131,FALSE)</f>
        <v>-74.465919015623371</v>
      </c>
      <c r="H72" s="108">
        <f>HLOOKUP($D$5,'Economist Financing Model 2'!$J$68:$P$144,'Economist Financing Model 2'!B131,FALSE)</f>
        <v>-98.823861726170634</v>
      </c>
      <c r="I72" s="108">
        <f>HLOOKUP($D$5,'Economist Financing Model 2'!$Q$68:$W$144,'Economist Financing Model 2'!B131,FALSE)</f>
        <v>-129.30223884557532</v>
      </c>
      <c r="J72" s="109">
        <f>HLOOKUP($D$5,'Economist Financing Model 2'!$X$68:$AD$144,'Economist Financing Model 2'!B131,FALSE)</f>
        <v>-213.04509419407935</v>
      </c>
    </row>
    <row r="73" spans="1:10" ht="13.5" thickBot="1" x14ac:dyDescent="0.25">
      <c r="A73" s="105">
        <f>'Summary Baseline Data'!A72</f>
        <v>2053</v>
      </c>
      <c r="B73" s="117">
        <v>65</v>
      </c>
      <c r="C73" s="107">
        <f>HLOOKUP($D$5,'Economist Financing Model 1'!$C$6:$H$80,'Economist Financing Model 1'!B70,FALSE)</f>
        <v>-65.977051242178376</v>
      </c>
      <c r="D73" s="108">
        <f>HLOOKUP($D$5,'Economist Financing Model 1'!$I$6:$N$80,'Economist Financing Model 1'!B70,FALSE)</f>
        <v>-79.022408038627134</v>
      </c>
      <c r="E73" s="108">
        <f>HLOOKUP($D$5,'Economist Financing Model 1'!$O$6:$T$80,'Economist Financing Model 1'!B70,FALSE)</f>
        <v>-92.987559683439471</v>
      </c>
      <c r="F73" s="109">
        <f>HLOOKUP($D$5,'Economist Financing Model 1'!$U$6:$Z$80,'Economist Financing Model 1'!B70,FALSE)</f>
        <v>-123.0059536036391</v>
      </c>
      <c r="G73" s="107">
        <f>HLOOKUP($D$5,'Economist Financing Model 2'!$C$68:$I$143,'Economist Financing Model 2'!B132,FALSE)</f>
        <v>-73.01404837495663</v>
      </c>
      <c r="H73" s="108">
        <f>HLOOKUP($D$5,'Economist Financing Model 2'!$J$68:$P$144,'Economist Financing Model 2'!B132,FALSE)</f>
        <v>-96.897081457636872</v>
      </c>
      <c r="I73" s="108">
        <f>HLOOKUP($D$5,'Economist Financing Model 2'!$Q$68:$W$144,'Economist Financing Model 2'!B132,FALSE)</f>
        <v>-126.78121813121359</v>
      </c>
      <c r="J73" s="109">
        <f>HLOOKUP($D$5,'Economist Financing Model 2'!$X$68:$AD$144,'Economist Financing Model 2'!B132,FALSE)</f>
        <v>-208.89132933778896</v>
      </c>
    </row>
    <row r="74" spans="1:10" x14ac:dyDescent="0.2">
      <c r="A74" s="105">
        <f>'Summary Baseline Data'!A73</f>
        <v>2054</v>
      </c>
      <c r="B74" s="105">
        <v>66</v>
      </c>
      <c r="C74" s="107">
        <f>HLOOKUP($D$5,'Economist Financing Model 1'!$C$6:$H$80,'Economist Financing Model 1'!B71,FALSE)</f>
        <v>-64.738967175521964</v>
      </c>
      <c r="D74" s="108">
        <f>HLOOKUP($D$5,'Economist Financing Model 1'!$I$6:$N$80,'Economist Financing Model 1'!B71,FALSE)</f>
        <v>-77.539522967842089</v>
      </c>
      <c r="E74" s="108">
        <f>HLOOKUP($D$5,'Economist Financing Model 1'!$O$6:$T$80,'Economist Financing Model 1'!B71,FALSE)</f>
        <v>-91.242613313848921</v>
      </c>
      <c r="F74" s="109">
        <f>HLOOKUP($D$5,'Economist Financing Model 1'!$U$6:$Z$80,'Economist Financing Model 1'!B71,FALSE)</f>
        <v>-120.69770083402781</v>
      </c>
      <c r="G74" s="107">
        <f>HLOOKUP($D$5,'Economist Financing Model 2'!$C$68:$I$143,'Economist Financing Model 2'!B133,FALSE)</f>
        <v>-71.617709602822245</v>
      </c>
      <c r="H74" s="108">
        <f>HLOOKUP($D$5,'Economist Financing Model 2'!$J$68:$P$144,'Economist Financing Model 2'!B133,FALSE)</f>
        <v>-95.043997636683187</v>
      </c>
      <c r="I74" s="108">
        <f>HLOOKUP($D$5,'Economist Financing Model 2'!$Q$68:$W$144,'Economist Financing Model 2'!B133,FALSE)</f>
        <v>-124.35662266780466</v>
      </c>
      <c r="J74" s="109">
        <f>HLOOKUP($D$5,'Economist Financing Model 2'!$X$68:$AD$144,'Economist Financing Model 2'!B133,FALSE)</f>
        <v>-204.89643974039069</v>
      </c>
    </row>
    <row r="75" spans="1:10" ht="13.5" thickBot="1" x14ac:dyDescent="0.25">
      <c r="A75" s="105">
        <f>'Summary Baseline Data'!A74</f>
        <v>2055</v>
      </c>
      <c r="B75" s="117">
        <v>67</v>
      </c>
      <c r="C75" s="107">
        <f>HLOOKUP($D$5,'Economist Financing Model 1'!$C$6:$H$80,'Economist Financing Model 1'!B72,FALSE)</f>
        <v>0</v>
      </c>
      <c r="D75" s="108">
        <f>HLOOKUP($D$5,'Economist Financing Model 1'!$I$6:$N$80,'Economist Financing Model 1'!B72,FALSE)</f>
        <v>0</v>
      </c>
      <c r="E75" s="108">
        <f>HLOOKUP($D$5,'Economist Financing Model 1'!$O$6:$T$80,'Economist Financing Model 1'!B72,FALSE)</f>
        <v>0</v>
      </c>
      <c r="F75" s="109">
        <f>HLOOKUP($D$5,'Economist Financing Model 1'!$U$6:$Z$80,'Economist Financing Model 1'!B72,FALSE)</f>
        <v>0</v>
      </c>
      <c r="G75" s="107">
        <f>HLOOKUP($D$5,'Economist Financing Model 2'!$C$68:$I$143,'Economist Financing Model 2'!B134,FALSE)</f>
        <v>-70.273776470312157</v>
      </c>
      <c r="H75" s="108">
        <f>HLOOKUP($D$5,'Economist Financing Model 2'!$J$68:$P$144,'Economist Financing Model 2'!B134,FALSE)</f>
        <v>-93.26046143902299</v>
      </c>
      <c r="I75" s="108">
        <f>HLOOKUP($D$5,'Economist Financing Model 2'!$Q$68:$W$144,'Economist Financing Model 2'!B134,FALSE)</f>
        <v>-122.02302408754885</v>
      </c>
      <c r="J75" s="109">
        <f>HLOOKUP($D$5,'Economist Financing Model 2'!$X$68:$AD$144,'Economist Financing Model 2'!B134,FALSE)</f>
        <v>-201.05148134074901</v>
      </c>
    </row>
    <row r="76" spans="1:10" x14ac:dyDescent="0.2">
      <c r="A76" s="105">
        <f>'Summary Baseline Data'!A75</f>
        <v>2056</v>
      </c>
      <c r="B76" s="105">
        <v>68</v>
      </c>
      <c r="C76" s="107">
        <f>HLOOKUP($D$5,'Economist Financing Model 1'!$C$6:$H$80,'Economist Financing Model 1'!B73,FALSE)</f>
        <v>0</v>
      </c>
      <c r="D76" s="108">
        <f>HLOOKUP($D$5,'Economist Financing Model 1'!$I$6:$N$80,'Economist Financing Model 1'!B73,FALSE)</f>
        <v>0</v>
      </c>
      <c r="E76" s="108">
        <f>HLOOKUP($D$5,'Economist Financing Model 1'!$O$6:$T$80,'Economist Financing Model 1'!B73,FALSE)</f>
        <v>0</v>
      </c>
      <c r="F76" s="109">
        <f>HLOOKUP($D$5,'Economist Financing Model 1'!$U$6:$Z$80,'Economist Financing Model 1'!B73,FALSE)</f>
        <v>0</v>
      </c>
      <c r="G76" s="107">
        <f>HLOOKUP($D$5,'Economist Financing Model 2'!$C$68:$I$143,'Economist Financing Model 2'!B135,FALSE)</f>
        <v>0</v>
      </c>
      <c r="H76" s="108">
        <f>HLOOKUP($D$5,'Economist Financing Model 2'!$J$68:$P$144,'Economist Financing Model 2'!B135,FALSE)</f>
        <v>0</v>
      </c>
      <c r="I76" s="108">
        <f>HLOOKUP($D$5,'Economist Financing Model 2'!$Q$68:$W$144,'Economist Financing Model 2'!B135,FALSE)</f>
        <v>0</v>
      </c>
      <c r="J76" s="109">
        <f>HLOOKUP($D$5,'Economist Financing Model 2'!$X$68:$AD$144,'Economist Financing Model 2'!B135,FALSE)</f>
        <v>0</v>
      </c>
    </row>
    <row r="77" spans="1:10" ht="13.5" thickBot="1" x14ac:dyDescent="0.25">
      <c r="A77" s="105">
        <f>'Summary Baseline Data'!A76</f>
        <v>2057</v>
      </c>
      <c r="B77" s="117">
        <v>69</v>
      </c>
      <c r="C77" s="107">
        <f>HLOOKUP($D$5,'Economist Financing Model 1'!$C$6:$H$80,'Economist Financing Model 1'!B74,FALSE)</f>
        <v>0</v>
      </c>
      <c r="D77" s="108">
        <f>HLOOKUP($D$5,'Economist Financing Model 1'!$I$6:$N$80,'Economist Financing Model 1'!B74,FALSE)</f>
        <v>0</v>
      </c>
      <c r="E77" s="108">
        <f>HLOOKUP($D$5,'Economist Financing Model 1'!$O$6:$T$80,'Economist Financing Model 1'!B74,FALSE)</f>
        <v>0</v>
      </c>
      <c r="F77" s="109">
        <f>HLOOKUP($D$5,'Economist Financing Model 1'!$U$6:$Z$80,'Economist Financing Model 1'!B74,FALSE)</f>
        <v>0</v>
      </c>
      <c r="G77" s="107">
        <f>HLOOKUP($D$5,'Economist Financing Model 2'!$C$68:$I$143,'Economist Financing Model 2'!B136,FALSE)</f>
        <v>0</v>
      </c>
      <c r="H77" s="108">
        <f>HLOOKUP($D$5,'Economist Financing Model 2'!$J$68:$P$144,'Economist Financing Model 2'!B136,FALSE)</f>
        <v>0</v>
      </c>
      <c r="I77" s="108">
        <f>HLOOKUP($D$5,'Economist Financing Model 2'!$Q$68:$W$144,'Economist Financing Model 2'!B136,FALSE)</f>
        <v>0</v>
      </c>
      <c r="J77" s="109">
        <f>HLOOKUP($D$5,'Economist Financing Model 2'!$X$68:$AD$144,'Economist Financing Model 2'!B136,FALSE)</f>
        <v>0</v>
      </c>
    </row>
    <row r="78" spans="1:10" x14ac:dyDescent="0.2">
      <c r="A78" s="105">
        <f>'Summary Baseline Data'!A77</f>
        <v>2058</v>
      </c>
      <c r="B78" s="105">
        <v>70</v>
      </c>
      <c r="C78" s="107">
        <f>HLOOKUP($D$5,'Economist Financing Model 1'!$C$6:$H$80,'Economist Financing Model 1'!B75,FALSE)</f>
        <v>0</v>
      </c>
      <c r="D78" s="108">
        <f>HLOOKUP($D$5,'Economist Financing Model 1'!$I$6:$N$80,'Economist Financing Model 1'!B75,FALSE)</f>
        <v>0</v>
      </c>
      <c r="E78" s="108">
        <f>HLOOKUP($D$5,'Economist Financing Model 1'!$O$6:$T$80,'Economist Financing Model 1'!B75,FALSE)</f>
        <v>0</v>
      </c>
      <c r="F78" s="109">
        <f>HLOOKUP($D$5,'Economist Financing Model 1'!$U$6:$Z$80,'Economist Financing Model 1'!B75,FALSE)</f>
        <v>0</v>
      </c>
      <c r="G78" s="107">
        <f>HLOOKUP($D$5,'Economist Financing Model 2'!$C$68:$I$143,'Economist Financing Model 2'!B137,FALSE)</f>
        <v>0</v>
      </c>
      <c r="H78" s="108">
        <f>HLOOKUP($D$5,'Economist Financing Model 2'!$J$68:$P$144,'Economist Financing Model 2'!B137,FALSE)</f>
        <v>0</v>
      </c>
      <c r="I78" s="108">
        <f>HLOOKUP($D$5,'Economist Financing Model 2'!$Q$68:$W$144,'Economist Financing Model 2'!B137,FALSE)</f>
        <v>0</v>
      </c>
      <c r="J78" s="109">
        <f>HLOOKUP($D$5,'Economist Financing Model 2'!$X$68:$AD$144,'Economist Financing Model 2'!B137,FALSE)</f>
        <v>0</v>
      </c>
    </row>
    <row r="79" spans="1:10" ht="13.5" thickBot="1" x14ac:dyDescent="0.25">
      <c r="A79" s="105">
        <f>'Summary Baseline Data'!A78</f>
        <v>2059</v>
      </c>
      <c r="B79" s="117">
        <v>71</v>
      </c>
      <c r="C79" s="107">
        <f>HLOOKUP($D$5,'Economist Financing Model 1'!$C$6:$H$80,'Economist Financing Model 1'!B76,FALSE)</f>
        <v>0</v>
      </c>
      <c r="D79" s="108">
        <f>HLOOKUP($D$5,'Economist Financing Model 1'!$I$6:$N$80,'Economist Financing Model 1'!B76,FALSE)</f>
        <v>0</v>
      </c>
      <c r="E79" s="108">
        <f>HLOOKUP($D$5,'Economist Financing Model 1'!$O$6:$T$80,'Economist Financing Model 1'!B76,FALSE)</f>
        <v>0</v>
      </c>
      <c r="F79" s="109">
        <f>HLOOKUP($D$5,'Economist Financing Model 1'!$U$6:$Z$80,'Economist Financing Model 1'!B76,FALSE)</f>
        <v>0</v>
      </c>
      <c r="G79" s="107">
        <f>HLOOKUP($D$5,'Economist Financing Model 2'!$C$68:$I$143,'Economist Financing Model 2'!B138,FALSE)</f>
        <v>0</v>
      </c>
      <c r="H79" s="108">
        <f>HLOOKUP($D$5,'Economist Financing Model 2'!$J$68:$P$144,'Economist Financing Model 2'!B138,FALSE)</f>
        <v>0</v>
      </c>
      <c r="I79" s="108">
        <f>HLOOKUP($D$5,'Economist Financing Model 2'!$Q$68:$W$144,'Economist Financing Model 2'!B138,FALSE)</f>
        <v>0</v>
      </c>
      <c r="J79" s="109">
        <f>HLOOKUP($D$5,'Economist Financing Model 2'!$X$68:$AD$144,'Economist Financing Model 2'!B138,FALSE)</f>
        <v>0</v>
      </c>
    </row>
    <row r="80" spans="1:10" ht="13.5" thickBot="1" x14ac:dyDescent="0.25">
      <c r="A80" s="110">
        <f>'Summary Baseline Data'!A79</f>
        <v>2060</v>
      </c>
      <c r="B80" s="110">
        <v>72</v>
      </c>
      <c r="C80" s="111">
        <f>HLOOKUP($D$5,'Economist Financing Model 1'!$C$6:$H$80,'Economist Financing Model 1'!B77,FALSE)</f>
        <v>0</v>
      </c>
      <c r="D80" s="112">
        <f>HLOOKUP($D$5,'Economist Financing Model 1'!$I$6:$N$80,'Economist Financing Model 1'!B77,FALSE)</f>
        <v>0</v>
      </c>
      <c r="E80" s="112">
        <f>HLOOKUP($D$5,'Economist Financing Model 1'!$O$6:$T$80,'Economist Financing Model 1'!B77,FALSE)</f>
        <v>0</v>
      </c>
      <c r="F80" s="113">
        <f>HLOOKUP($D$5,'Economist Financing Model 1'!$U$6:$Z$80,'Economist Financing Model 1'!B77,FALSE)</f>
        <v>0</v>
      </c>
      <c r="G80" s="111">
        <f>HLOOKUP($D$5,'Economist Financing Model 2'!$C$68:$I$143,'Economist Financing Model 2'!B139,FALSE)</f>
        <v>0</v>
      </c>
      <c r="H80" s="112">
        <f>HLOOKUP($D$5,'Economist Financing Model 2'!$J$68:$P$144,'Economist Financing Model 2'!B139,FALSE)</f>
        <v>0</v>
      </c>
      <c r="I80" s="112">
        <f>HLOOKUP($D$5,'Economist Financing Model 2'!$Q$68:$W$144,'Economist Financing Model 2'!B139,FALSE)</f>
        <v>0</v>
      </c>
      <c r="J80" s="113">
        <f>HLOOKUP($D$5,'Economist Financing Model 2'!$X$68:$AD$144,'Economist Financing Model 2'!B139,FALSE)</f>
        <v>0</v>
      </c>
    </row>
  </sheetData>
  <mergeCells count="6">
    <mergeCell ref="A3:J3"/>
    <mergeCell ref="A4:J4"/>
    <mergeCell ref="D5:E5"/>
    <mergeCell ref="C7:J7"/>
    <mergeCell ref="C8:F8"/>
    <mergeCell ref="G8:J8"/>
  </mergeCells>
  <dataValidations count="1">
    <dataValidation type="list" allowBlank="1" showInputMessage="1" showErrorMessage="1" sqref="C7">
      <formula1>DataCategoriesforSummaryPage</formula1>
    </dataValidation>
  </dataValidations>
  <pageMargins left="0.7" right="0.7" top="0.75" bottom="0.75" header="0.3" footer="0.3"/>
  <pageSetup paperSize="17" scale="86" fitToHeight="0" orientation="landscape" r:id="rId1"/>
  <headerFooter>
    <oddFooter xml:space="preserve">&amp;L&amp;"-,Bold"&amp;9This is a preliminary draft document. It is intended for discussion purposes only.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0"/>
  <sheetViews>
    <sheetView view="pageBreakPreview" zoomScaleNormal="100" zoomScaleSheetLayoutView="100" zoomScalePageLayoutView="40" workbookViewId="0">
      <selection activeCell="A60" sqref="A60:A62"/>
    </sheetView>
  </sheetViews>
  <sheetFormatPr defaultRowHeight="12.75" x14ac:dyDescent="0.2"/>
  <cols>
    <col min="1" max="1" width="9.28515625" style="5" bestFit="1" customWidth="1"/>
    <col min="2" max="2" width="0" style="5" hidden="1" customWidth="1"/>
    <col min="3" max="3" width="15" style="5" customWidth="1"/>
    <col min="4" max="7" width="14.85546875" style="5" bestFit="1" customWidth="1"/>
    <col min="8" max="8" width="15.5703125" style="5" bestFit="1" customWidth="1"/>
    <col min="9" max="10" width="16.140625" style="5" bestFit="1" customWidth="1"/>
    <col min="11" max="16384" width="9.140625" style="5"/>
  </cols>
  <sheetData>
    <row r="1" spans="1:10" x14ac:dyDescent="0.2">
      <c r="A1" s="313" t="s">
        <v>90</v>
      </c>
      <c r="B1" s="116"/>
      <c r="C1" s="116"/>
      <c r="D1" s="116"/>
      <c r="E1" s="314"/>
      <c r="F1" s="116"/>
      <c r="G1" s="116"/>
      <c r="H1" s="116"/>
      <c r="I1" s="116"/>
      <c r="J1" s="116"/>
    </row>
    <row r="2" spans="1:10" x14ac:dyDescent="0.2">
      <c r="A2" s="315" t="s">
        <v>91</v>
      </c>
      <c r="B2" s="125"/>
      <c r="C2" s="125"/>
      <c r="D2" s="125"/>
      <c r="E2" s="126"/>
    </row>
    <row r="3" spans="1:10" s="118" customFormat="1" ht="15" customHeight="1" x14ac:dyDescent="0.2">
      <c r="A3" s="966" t="s">
        <v>89</v>
      </c>
      <c r="B3" s="945"/>
      <c r="C3" s="945"/>
      <c r="D3" s="945"/>
      <c r="E3" s="945"/>
      <c r="F3" s="945"/>
      <c r="G3" s="945"/>
      <c r="H3" s="945"/>
      <c r="I3" s="945"/>
      <c r="J3" s="945"/>
    </row>
    <row r="4" spans="1:10" s="118" customFormat="1" ht="15" customHeight="1" thickBot="1" x14ac:dyDescent="0.25">
      <c r="A4" s="934" t="s">
        <v>95</v>
      </c>
      <c r="B4" s="935"/>
      <c r="C4" s="935"/>
      <c r="D4" s="935"/>
      <c r="E4" s="935"/>
      <c r="F4" s="935"/>
      <c r="G4" s="935"/>
      <c r="H4" s="935"/>
      <c r="I4" s="935"/>
      <c r="J4" s="935"/>
    </row>
    <row r="5" spans="1:10" ht="15.75" customHeight="1" thickBot="1" x14ac:dyDescent="0.25">
      <c r="A5" s="178" t="s">
        <v>41</v>
      </c>
      <c r="B5" s="179"/>
      <c r="C5" s="180"/>
      <c r="D5" s="955" t="s">
        <v>7</v>
      </c>
      <c r="E5" s="957"/>
      <c r="F5" s="185"/>
      <c r="G5" s="248"/>
      <c r="H5" s="248"/>
      <c r="I5" s="248"/>
      <c r="J5" s="248"/>
    </row>
    <row r="6" spans="1:10" s="114" customFormat="1" ht="13.5" thickBot="1" x14ac:dyDescent="0.25">
      <c r="A6" s="316"/>
      <c r="G6" s="5"/>
      <c r="H6" s="5"/>
      <c r="I6" s="5"/>
      <c r="J6" s="5"/>
    </row>
    <row r="7" spans="1:10" s="114" customFormat="1" ht="13.5" thickBot="1" x14ac:dyDescent="0.25">
      <c r="A7" s="106"/>
      <c r="B7" s="116"/>
      <c r="C7" s="967" t="s">
        <v>7</v>
      </c>
      <c r="D7" s="967"/>
      <c r="E7" s="967"/>
      <c r="F7" s="967"/>
      <c r="G7" s="967"/>
      <c r="H7" s="967"/>
      <c r="I7" s="967"/>
      <c r="J7" s="967"/>
    </row>
    <row r="8" spans="1:10" s="183" customFormat="1" ht="31.5" customHeight="1" thickBot="1" x14ac:dyDescent="0.25">
      <c r="A8" s="268"/>
      <c r="B8" s="201"/>
      <c r="C8" s="938" t="s">
        <v>82</v>
      </c>
      <c r="D8" s="939"/>
      <c r="E8" s="939"/>
      <c r="F8" s="940"/>
      <c r="G8" s="941" t="s">
        <v>83</v>
      </c>
      <c r="H8" s="942"/>
      <c r="I8" s="942"/>
      <c r="J8" s="943"/>
    </row>
    <row r="9" spans="1:10" ht="13.5" thickBot="1" x14ac:dyDescent="0.25">
      <c r="A9" s="115" t="s">
        <v>10</v>
      </c>
      <c r="B9" s="117"/>
      <c r="C9" s="167">
        <f>'Economist Financing Model 1'!C5</f>
        <v>0.03</v>
      </c>
      <c r="D9" s="168">
        <f>'Economist Financing Model 1'!I5</f>
        <v>0.04</v>
      </c>
      <c r="E9" s="168">
        <f>'Economist Financing Model 1'!O5</f>
        <v>0.05</v>
      </c>
      <c r="F9" s="169">
        <f>'Economist Financing Model 1'!U5</f>
        <v>7.0000000000000007E-2</v>
      </c>
      <c r="G9" s="164">
        <f>'Economist Financing Model 2'!C5</f>
        <v>0.03</v>
      </c>
      <c r="H9" s="165">
        <f>'Economist Financing Model 2'!J5</f>
        <v>0.04</v>
      </c>
      <c r="I9" s="165">
        <f>'Economist Financing Model 2'!Q5</f>
        <v>0.05</v>
      </c>
      <c r="J9" s="166">
        <f>'Economist Financing Model 2'!X5</f>
        <v>7.0000000000000007E-2</v>
      </c>
    </row>
    <row r="10" spans="1:10" ht="12.75" customHeight="1" x14ac:dyDescent="0.2">
      <c r="A10" s="105">
        <v>1990</v>
      </c>
      <c r="B10" s="105">
        <v>2</v>
      </c>
      <c r="C10" s="107">
        <f>HLOOKUP($D$5,'Economist Financing Model 1'!$C$6:$H$80,'Economist Financing Model 1'!B7,FALSE)</f>
        <v>0</v>
      </c>
      <c r="D10" s="108">
        <f>HLOOKUP($D$5,'Economist Financing Model 1'!$I$6:$N$80,'Economist Financing Model 1'!B7,FALSE)</f>
        <v>0</v>
      </c>
      <c r="E10" s="108">
        <f>HLOOKUP($D$5,'Economist Financing Model 1'!$O$6:$T$80,'Economist Financing Model 1'!B7,FALSE)</f>
        <v>0</v>
      </c>
      <c r="F10" s="109">
        <f>HLOOKUP($D$5,'Economist Financing Model 1'!$U$6:$Z$80,'Economist Financing Model 1'!B7,FALSE)</f>
        <v>0</v>
      </c>
      <c r="G10" s="107">
        <f>HLOOKUP($D$5,'Economist Financing Model 2'!$C$68:$I$143,B10,FALSE)</f>
        <v>0</v>
      </c>
      <c r="H10" s="108">
        <f>HLOOKUP($D$5,'Economist Financing Model 2'!$J$68:$P$144,B10,FALSE)</f>
        <v>0</v>
      </c>
      <c r="I10" s="108">
        <f>HLOOKUP($D$5,'Economist Financing Model 2'!$Q$68:$W$144,B10,FALSE)</f>
        <v>0</v>
      </c>
      <c r="J10" s="109">
        <f>HLOOKUP($D$5,'Economist Financing Model 2'!$X$68:$AD$144,B10,FALSE)</f>
        <v>0</v>
      </c>
    </row>
    <row r="11" spans="1:10" ht="12.75" customHeight="1" x14ac:dyDescent="0.2">
      <c r="A11" s="105">
        <v>1991</v>
      </c>
      <c r="B11" s="105">
        <v>3</v>
      </c>
      <c r="C11" s="107">
        <f>HLOOKUP($D$5,'Economist Financing Model 1'!$C$6:$H$80,'Economist Financing Model 1'!B8,FALSE)+C10</f>
        <v>0</v>
      </c>
      <c r="D11" s="108">
        <f>HLOOKUP($D$5,'Economist Financing Model 1'!$I$6:$N$80,'Economist Financing Model 1'!B8,FALSE)+D10</f>
        <v>0</v>
      </c>
      <c r="E11" s="108">
        <f>HLOOKUP($D$5,'Economist Financing Model 1'!$O$6:$T$80,'Economist Financing Model 1'!B8,FALSE)+E10</f>
        <v>0</v>
      </c>
      <c r="F11" s="109">
        <f>HLOOKUP($D$5,'Economist Financing Model 1'!$U$6:$Z$80,'Economist Financing Model 1'!B8,FALSE)+F10</f>
        <v>0</v>
      </c>
      <c r="G11" s="107">
        <f>HLOOKUP($D$5,'Economist Financing Model 2'!$C$68:$I$143,B11,FALSE)</f>
        <v>0</v>
      </c>
      <c r="H11" s="108">
        <f>HLOOKUP($D$5,'Economist Financing Model 2'!$J$68:$P$144,B11,FALSE)</f>
        <v>0</v>
      </c>
      <c r="I11" s="108">
        <f>HLOOKUP($D$5,'Economist Financing Model 2'!$Q$68:$W$144,B11,FALSE)</f>
        <v>0</v>
      </c>
      <c r="J11" s="109">
        <f>HLOOKUP($D$5,'Economist Financing Model 2'!$X$68:$AD$144,B11,FALSE)</f>
        <v>0</v>
      </c>
    </row>
    <row r="12" spans="1:10" ht="12.75" customHeight="1" x14ac:dyDescent="0.2">
      <c r="A12" s="105">
        <v>1992</v>
      </c>
      <c r="B12" s="105">
        <v>4</v>
      </c>
      <c r="C12" s="107">
        <f>HLOOKUP($D$5,'Economist Financing Model 1'!$C$6:$H$80,'Economist Financing Model 1'!B9,FALSE)+C11</f>
        <v>0</v>
      </c>
      <c r="D12" s="108">
        <f>HLOOKUP($D$5,'Economist Financing Model 1'!$I$6:$N$80,'Economist Financing Model 1'!B9,FALSE)+D11</f>
        <v>0</v>
      </c>
      <c r="E12" s="108">
        <f>HLOOKUP($D$5,'Economist Financing Model 1'!$O$6:$T$80,'Economist Financing Model 1'!B9,FALSE)+E11</f>
        <v>0</v>
      </c>
      <c r="F12" s="109">
        <f>HLOOKUP($D$5,'Economist Financing Model 1'!$U$6:$Z$80,'Economist Financing Model 1'!B9,FALSE)+F11</f>
        <v>0</v>
      </c>
      <c r="G12" s="107">
        <f>HLOOKUP($D$5,'Economist Financing Model 2'!$C$68:$I$143,B12,FALSE)</f>
        <v>0</v>
      </c>
      <c r="H12" s="108">
        <f>HLOOKUP($D$5,'Economist Financing Model 2'!$J$68:$P$144,B12,FALSE)</f>
        <v>0</v>
      </c>
      <c r="I12" s="108">
        <f>HLOOKUP($D$5,'Economist Financing Model 2'!$Q$68:$W$144,B12,FALSE)</f>
        <v>0</v>
      </c>
      <c r="J12" s="109">
        <f>HLOOKUP($D$5,'Economist Financing Model 2'!$X$68:$AD$144,B12,FALSE)</f>
        <v>0</v>
      </c>
    </row>
    <row r="13" spans="1:10" ht="12.75" customHeight="1" x14ac:dyDescent="0.2">
      <c r="A13" s="105">
        <v>1993</v>
      </c>
      <c r="B13" s="105">
        <v>5</v>
      </c>
      <c r="C13" s="107">
        <f>HLOOKUP($D$5,'Economist Financing Model 1'!$C$6:$H$80,'Economist Financing Model 1'!B10,FALSE)+C12</f>
        <v>0</v>
      </c>
      <c r="D13" s="108">
        <f>HLOOKUP($D$5,'Economist Financing Model 1'!$I$6:$N$80,'Economist Financing Model 1'!B10,FALSE)+D12</f>
        <v>0</v>
      </c>
      <c r="E13" s="108">
        <f>HLOOKUP($D$5,'Economist Financing Model 1'!$O$6:$T$80,'Economist Financing Model 1'!B10,FALSE)+E12</f>
        <v>0</v>
      </c>
      <c r="F13" s="109">
        <f>HLOOKUP($D$5,'Economist Financing Model 1'!$U$6:$Z$80,'Economist Financing Model 1'!B10,FALSE)+F12</f>
        <v>0</v>
      </c>
      <c r="G13" s="107">
        <f>HLOOKUP($D$5,'Economist Financing Model 2'!$C$68:$I$143,B13,FALSE)</f>
        <v>0</v>
      </c>
      <c r="H13" s="108">
        <f>HLOOKUP($D$5,'Economist Financing Model 2'!$J$68:$P$144,B13,FALSE)</f>
        <v>0</v>
      </c>
      <c r="I13" s="108">
        <f>HLOOKUP($D$5,'Economist Financing Model 2'!$Q$68:$W$144,B13,FALSE)</f>
        <v>0</v>
      </c>
      <c r="J13" s="109">
        <f>HLOOKUP($D$5,'Economist Financing Model 2'!$X$68:$AD$144,B13,FALSE)</f>
        <v>0</v>
      </c>
    </row>
    <row r="14" spans="1:10" ht="12.75" customHeight="1" x14ac:dyDescent="0.2">
      <c r="A14" s="105">
        <v>1994</v>
      </c>
      <c r="B14" s="105">
        <v>6</v>
      </c>
      <c r="C14" s="107">
        <f>HLOOKUP($D$5,'Economist Financing Model 1'!$C$6:$H$80,'Economist Financing Model 1'!B11,FALSE)+C13</f>
        <v>0</v>
      </c>
      <c r="D14" s="108">
        <f>HLOOKUP($D$5,'Economist Financing Model 1'!$I$6:$N$80,'Economist Financing Model 1'!B11,FALSE)+D13</f>
        <v>0</v>
      </c>
      <c r="E14" s="108">
        <f>HLOOKUP($D$5,'Economist Financing Model 1'!$O$6:$T$80,'Economist Financing Model 1'!B11,FALSE)+E13</f>
        <v>0</v>
      </c>
      <c r="F14" s="109">
        <f>HLOOKUP($D$5,'Economist Financing Model 1'!$U$6:$Z$80,'Economist Financing Model 1'!B11,FALSE)+F13</f>
        <v>0</v>
      </c>
      <c r="G14" s="107">
        <f>HLOOKUP($D$5,'Economist Financing Model 2'!$C$68:$I$143,B14,FALSE)</f>
        <v>0</v>
      </c>
      <c r="H14" s="108">
        <f>HLOOKUP($D$5,'Economist Financing Model 2'!$J$68:$P$144,B14,FALSE)</f>
        <v>0</v>
      </c>
      <c r="I14" s="108">
        <f>HLOOKUP($D$5,'Economist Financing Model 2'!$Q$68:$W$144,B14,FALSE)</f>
        <v>0</v>
      </c>
      <c r="J14" s="109">
        <f>HLOOKUP($D$5,'Economist Financing Model 2'!$X$68:$AD$144,B14,FALSE)</f>
        <v>0</v>
      </c>
    </row>
    <row r="15" spans="1:10" ht="12.75" customHeight="1" x14ac:dyDescent="0.2">
      <c r="A15" s="105">
        <v>1995</v>
      </c>
      <c r="B15" s="105">
        <v>7</v>
      </c>
      <c r="C15" s="107">
        <f>HLOOKUP($D$5,'Economist Financing Model 1'!$C$6:$H$80,'Economist Financing Model 1'!B12,FALSE)+C14</f>
        <v>0</v>
      </c>
      <c r="D15" s="108">
        <f>HLOOKUP($D$5,'Economist Financing Model 1'!$I$6:$N$80,'Economist Financing Model 1'!B12,FALSE)+D14</f>
        <v>0</v>
      </c>
      <c r="E15" s="108">
        <f>HLOOKUP($D$5,'Economist Financing Model 1'!$O$6:$T$80,'Economist Financing Model 1'!B12,FALSE)+E14</f>
        <v>0</v>
      </c>
      <c r="F15" s="109">
        <f>HLOOKUP($D$5,'Economist Financing Model 1'!$U$6:$Z$80,'Economist Financing Model 1'!B12,FALSE)+F14</f>
        <v>0</v>
      </c>
      <c r="G15" s="107">
        <f>HLOOKUP($D$5,'Economist Financing Model 2'!$C$68:$I$143,B15,FALSE)</f>
        <v>0</v>
      </c>
      <c r="H15" s="108">
        <f>HLOOKUP($D$5,'Economist Financing Model 2'!$J$68:$P$144,B15,FALSE)</f>
        <v>0</v>
      </c>
      <c r="I15" s="108">
        <f>HLOOKUP($D$5,'Economist Financing Model 2'!$Q$68:$W$144,B15,FALSE)</f>
        <v>0</v>
      </c>
      <c r="J15" s="109">
        <f>HLOOKUP($D$5,'Economist Financing Model 2'!$X$68:$AD$144,B15,FALSE)</f>
        <v>0</v>
      </c>
    </row>
    <row r="16" spans="1:10" ht="12.75" customHeight="1" x14ac:dyDescent="0.2">
      <c r="A16" s="105">
        <v>1996</v>
      </c>
      <c r="B16" s="105">
        <v>8</v>
      </c>
      <c r="C16" s="107">
        <f>HLOOKUP($D$5,'Economist Financing Model 1'!$C$6:$H$80,'Economist Financing Model 1'!B13,FALSE)+C15</f>
        <v>0</v>
      </c>
      <c r="D16" s="108">
        <f>HLOOKUP($D$5,'Economist Financing Model 1'!$I$6:$N$80,'Economist Financing Model 1'!B13,FALSE)+D15</f>
        <v>0</v>
      </c>
      <c r="E16" s="108">
        <f>HLOOKUP($D$5,'Economist Financing Model 1'!$O$6:$T$80,'Economist Financing Model 1'!B13,FALSE)+E15</f>
        <v>0</v>
      </c>
      <c r="F16" s="109">
        <f>HLOOKUP($D$5,'Economist Financing Model 1'!$U$6:$Z$80,'Economist Financing Model 1'!B13,FALSE)+F15</f>
        <v>0</v>
      </c>
      <c r="G16" s="107">
        <f>HLOOKUP($D$5,'Economist Financing Model 2'!$C$68:$I$143,B16,FALSE)</f>
        <v>0</v>
      </c>
      <c r="H16" s="108">
        <f>HLOOKUP($D$5,'Economist Financing Model 2'!$J$68:$P$144,B16,FALSE)</f>
        <v>0</v>
      </c>
      <c r="I16" s="108">
        <f>HLOOKUP($D$5,'Economist Financing Model 2'!$Q$68:$W$144,B16,FALSE)</f>
        <v>0</v>
      </c>
      <c r="J16" s="109">
        <f>HLOOKUP($D$5,'Economist Financing Model 2'!$X$68:$AD$144,B16,FALSE)</f>
        <v>0</v>
      </c>
    </row>
    <row r="17" spans="1:10" ht="12.75" customHeight="1" x14ac:dyDescent="0.2">
      <c r="A17" s="105">
        <v>1997</v>
      </c>
      <c r="B17" s="105">
        <v>9</v>
      </c>
      <c r="C17" s="107">
        <f>HLOOKUP($D$5,'Economist Financing Model 1'!$C$6:$H$80,'Economist Financing Model 1'!B14,FALSE)+C16</f>
        <v>0</v>
      </c>
      <c r="D17" s="108">
        <f>HLOOKUP($D$5,'Economist Financing Model 1'!$I$6:$N$80,'Economist Financing Model 1'!B14,FALSE)+D16</f>
        <v>0</v>
      </c>
      <c r="E17" s="108">
        <f>HLOOKUP($D$5,'Economist Financing Model 1'!$O$6:$T$80,'Economist Financing Model 1'!B14,FALSE)+E16</f>
        <v>0</v>
      </c>
      <c r="F17" s="109">
        <f>HLOOKUP($D$5,'Economist Financing Model 1'!$U$6:$Z$80,'Economist Financing Model 1'!B14,FALSE)+F16</f>
        <v>0</v>
      </c>
      <c r="G17" s="107">
        <f>HLOOKUP($D$5,'Economist Financing Model 2'!$C$68:$I$143,B17,FALSE)</f>
        <v>0</v>
      </c>
      <c r="H17" s="108">
        <f>HLOOKUP($D$5,'Economist Financing Model 2'!$J$68:$P$144,B17,FALSE)</f>
        <v>0</v>
      </c>
      <c r="I17" s="108">
        <f>HLOOKUP($D$5,'Economist Financing Model 2'!$Q$68:$W$144,B17,FALSE)</f>
        <v>0</v>
      </c>
      <c r="J17" s="109">
        <f>HLOOKUP($D$5,'Economist Financing Model 2'!$X$68:$AD$144,B17,FALSE)</f>
        <v>0</v>
      </c>
    </row>
    <row r="18" spans="1:10" ht="12.75" customHeight="1" x14ac:dyDescent="0.2">
      <c r="A18" s="105">
        <v>1998</v>
      </c>
      <c r="B18" s="105">
        <v>10</v>
      </c>
      <c r="C18" s="107">
        <f>HLOOKUP($D$5,'Economist Financing Model 1'!$C$6:$H$80,'Economist Financing Model 1'!B15,FALSE)+C17</f>
        <v>0</v>
      </c>
      <c r="D18" s="108">
        <f>HLOOKUP($D$5,'Economist Financing Model 1'!$I$6:$N$80,'Economist Financing Model 1'!B15,FALSE)+D17</f>
        <v>0</v>
      </c>
      <c r="E18" s="108">
        <f>HLOOKUP($D$5,'Economist Financing Model 1'!$O$6:$T$80,'Economist Financing Model 1'!B15,FALSE)+E17</f>
        <v>0</v>
      </c>
      <c r="F18" s="109">
        <f>HLOOKUP($D$5,'Economist Financing Model 1'!$U$6:$Z$80,'Economist Financing Model 1'!B15,FALSE)+F17</f>
        <v>0</v>
      </c>
      <c r="G18" s="107">
        <f>HLOOKUP($D$5,'Economist Financing Model 2'!$C$68:$I$143,B18,FALSE)</f>
        <v>0</v>
      </c>
      <c r="H18" s="108">
        <f>HLOOKUP($D$5,'Economist Financing Model 2'!$J$68:$P$144,B18,FALSE)</f>
        <v>0</v>
      </c>
      <c r="I18" s="108">
        <f>HLOOKUP($D$5,'Economist Financing Model 2'!$Q$68:$W$144,B18,FALSE)</f>
        <v>0</v>
      </c>
      <c r="J18" s="109">
        <f>HLOOKUP($D$5,'Economist Financing Model 2'!$X$68:$AD$144,B18,FALSE)</f>
        <v>0</v>
      </c>
    </row>
    <row r="19" spans="1:10" ht="12.75" customHeight="1" x14ac:dyDescent="0.2">
      <c r="A19" s="105">
        <v>1999</v>
      </c>
      <c r="B19" s="105">
        <v>11</v>
      </c>
      <c r="C19" s="107">
        <f>HLOOKUP($D$5,'Economist Financing Model 1'!$C$6:$H$80,'Economist Financing Model 1'!B16,FALSE)+C18</f>
        <v>0</v>
      </c>
      <c r="D19" s="108">
        <f>HLOOKUP($D$5,'Economist Financing Model 1'!$I$6:$N$80,'Economist Financing Model 1'!B16,FALSE)+D18</f>
        <v>0</v>
      </c>
      <c r="E19" s="108">
        <f>HLOOKUP($D$5,'Economist Financing Model 1'!$O$6:$T$80,'Economist Financing Model 1'!B16,FALSE)+E18</f>
        <v>0</v>
      </c>
      <c r="F19" s="109">
        <f>HLOOKUP($D$5,'Economist Financing Model 1'!$U$6:$Z$80,'Economist Financing Model 1'!B16,FALSE)+F18</f>
        <v>0</v>
      </c>
      <c r="G19" s="107">
        <f>HLOOKUP($D$5,'Economist Financing Model 2'!$C$68:$I$143,B19,FALSE)</f>
        <v>0</v>
      </c>
      <c r="H19" s="108">
        <f>HLOOKUP($D$5,'Economist Financing Model 2'!$J$68:$P$144,B19,FALSE)</f>
        <v>0</v>
      </c>
      <c r="I19" s="108">
        <f>HLOOKUP($D$5,'Economist Financing Model 2'!$Q$68:$W$144,B19,FALSE)</f>
        <v>0</v>
      </c>
      <c r="J19" s="109">
        <f>HLOOKUP($D$5,'Economist Financing Model 2'!$X$68:$AD$144,B19,FALSE)</f>
        <v>0</v>
      </c>
    </row>
    <row r="20" spans="1:10" ht="12.75" customHeight="1" x14ac:dyDescent="0.2">
      <c r="A20" s="105">
        <v>2000</v>
      </c>
      <c r="B20" s="105">
        <v>12</v>
      </c>
      <c r="C20" s="107">
        <f>HLOOKUP($D$5,'Economist Financing Model 1'!$C$6:$H$80,'Economist Financing Model 1'!B17,FALSE)+C19</f>
        <v>0</v>
      </c>
      <c r="D20" s="108">
        <f>HLOOKUP($D$5,'Economist Financing Model 1'!$I$6:$N$80,'Economist Financing Model 1'!B17,FALSE)+D19</f>
        <v>0</v>
      </c>
      <c r="E20" s="108">
        <f>HLOOKUP($D$5,'Economist Financing Model 1'!$O$6:$T$80,'Economist Financing Model 1'!B17,FALSE)+E19</f>
        <v>0</v>
      </c>
      <c r="F20" s="109">
        <f>HLOOKUP($D$5,'Economist Financing Model 1'!$U$6:$Z$80,'Economist Financing Model 1'!B17,FALSE)+F19</f>
        <v>0</v>
      </c>
      <c r="G20" s="107">
        <f>HLOOKUP($D$5,'Economist Financing Model 2'!$C$68:$I$143,B20,FALSE)</f>
        <v>0</v>
      </c>
      <c r="H20" s="108">
        <f>HLOOKUP($D$5,'Economist Financing Model 2'!$J$68:$P$144,B20,FALSE)</f>
        <v>0</v>
      </c>
      <c r="I20" s="108">
        <f>HLOOKUP($D$5,'Economist Financing Model 2'!$Q$68:$W$144,B20,FALSE)</f>
        <v>0</v>
      </c>
      <c r="J20" s="109">
        <f>HLOOKUP($D$5,'Economist Financing Model 2'!$X$68:$AD$144,B20,FALSE)</f>
        <v>0</v>
      </c>
    </row>
    <row r="21" spans="1:10" ht="12.75" customHeight="1" x14ac:dyDescent="0.2">
      <c r="A21" s="105">
        <v>2001</v>
      </c>
      <c r="B21" s="105">
        <v>13</v>
      </c>
      <c r="C21" s="107">
        <f>HLOOKUP($D$5,'Economist Financing Model 1'!$C$6:$H$80,'Economist Financing Model 1'!B18,FALSE)+C20</f>
        <v>0</v>
      </c>
      <c r="D21" s="108">
        <f>HLOOKUP($D$5,'Economist Financing Model 1'!$I$6:$N$80,'Economist Financing Model 1'!B18,FALSE)+D20</f>
        <v>0</v>
      </c>
      <c r="E21" s="108">
        <f>HLOOKUP($D$5,'Economist Financing Model 1'!$O$6:$T$80,'Economist Financing Model 1'!B18,FALSE)+E20</f>
        <v>0</v>
      </c>
      <c r="F21" s="109">
        <f>HLOOKUP($D$5,'Economist Financing Model 1'!$U$6:$Z$80,'Economist Financing Model 1'!B18,FALSE)+F20</f>
        <v>0</v>
      </c>
      <c r="G21" s="107">
        <f>HLOOKUP($D$5,'Economist Financing Model 2'!$C$68:$I$143,B21,FALSE)</f>
        <v>0</v>
      </c>
      <c r="H21" s="108">
        <f>HLOOKUP($D$5,'Economist Financing Model 2'!$J$68:$P$144,B21,FALSE)</f>
        <v>0</v>
      </c>
      <c r="I21" s="108">
        <f>HLOOKUP($D$5,'Economist Financing Model 2'!$Q$68:$W$144,B21,FALSE)</f>
        <v>0</v>
      </c>
      <c r="J21" s="109">
        <f>HLOOKUP($D$5,'Economist Financing Model 2'!$X$68:$AD$144,B21,FALSE)</f>
        <v>0</v>
      </c>
    </row>
    <row r="22" spans="1:10" ht="12.75" customHeight="1" x14ac:dyDescent="0.2">
      <c r="A22" s="105">
        <v>2002</v>
      </c>
      <c r="B22" s="105">
        <v>14</v>
      </c>
      <c r="C22" s="107">
        <f>HLOOKUP($D$5,'Economist Financing Model 1'!$C$6:$H$80,'Economist Financing Model 1'!B19,FALSE)+C21</f>
        <v>0</v>
      </c>
      <c r="D22" s="108">
        <f>HLOOKUP($D$5,'Economist Financing Model 1'!$I$6:$N$80,'Economist Financing Model 1'!B19,FALSE)+D21</f>
        <v>0</v>
      </c>
      <c r="E22" s="108">
        <f>HLOOKUP($D$5,'Economist Financing Model 1'!$O$6:$T$80,'Economist Financing Model 1'!B19,FALSE)+E21</f>
        <v>0</v>
      </c>
      <c r="F22" s="109">
        <f>HLOOKUP($D$5,'Economist Financing Model 1'!$U$6:$Z$80,'Economist Financing Model 1'!B19,FALSE)+F21</f>
        <v>0</v>
      </c>
      <c r="G22" s="107">
        <f>HLOOKUP($D$5,'Economist Financing Model 2'!$C$68:$I$143,B22,FALSE)</f>
        <v>0</v>
      </c>
      <c r="H22" s="108">
        <f>HLOOKUP($D$5,'Economist Financing Model 2'!$J$68:$P$144,B22,FALSE)</f>
        <v>0</v>
      </c>
      <c r="I22" s="108">
        <f>HLOOKUP($D$5,'Economist Financing Model 2'!$Q$68:$W$144,B22,FALSE)</f>
        <v>0</v>
      </c>
      <c r="J22" s="109">
        <f>HLOOKUP($D$5,'Economist Financing Model 2'!$X$68:$AD$144,B22,FALSE)</f>
        <v>0</v>
      </c>
    </row>
    <row r="23" spans="1:10" ht="12.75" customHeight="1" x14ac:dyDescent="0.2">
      <c r="A23" s="105">
        <v>2003</v>
      </c>
      <c r="B23" s="105">
        <v>15</v>
      </c>
      <c r="C23" s="107">
        <f>HLOOKUP($D$5,'Economist Financing Model 1'!$C$6:$H$80,'Economist Financing Model 1'!B20,FALSE)+C22</f>
        <v>0</v>
      </c>
      <c r="D23" s="108">
        <f>HLOOKUP($D$5,'Economist Financing Model 1'!$I$6:$N$80,'Economist Financing Model 1'!B20,FALSE)+D22</f>
        <v>0</v>
      </c>
      <c r="E23" s="108">
        <f>HLOOKUP($D$5,'Economist Financing Model 1'!$O$6:$T$80,'Economist Financing Model 1'!B20,FALSE)+E22</f>
        <v>0</v>
      </c>
      <c r="F23" s="109">
        <f>HLOOKUP($D$5,'Economist Financing Model 1'!$U$6:$Z$80,'Economist Financing Model 1'!B20,FALSE)+F22</f>
        <v>0</v>
      </c>
      <c r="G23" s="107">
        <f>HLOOKUP($D$5,'Economist Financing Model 2'!$C$68:$I$143,B23,FALSE)</f>
        <v>0</v>
      </c>
      <c r="H23" s="108">
        <f>HLOOKUP($D$5,'Economist Financing Model 2'!$J$68:$P$144,B23,FALSE)</f>
        <v>0</v>
      </c>
      <c r="I23" s="108">
        <f>HLOOKUP($D$5,'Economist Financing Model 2'!$Q$68:$W$144,B23,FALSE)</f>
        <v>0</v>
      </c>
      <c r="J23" s="109">
        <f>HLOOKUP($D$5,'Economist Financing Model 2'!$X$68:$AD$144,B23,FALSE)</f>
        <v>0</v>
      </c>
    </row>
    <row r="24" spans="1:10" ht="12.75" customHeight="1" x14ac:dyDescent="0.2">
      <c r="A24" s="105">
        <v>2004</v>
      </c>
      <c r="B24" s="105">
        <v>16</v>
      </c>
      <c r="C24" s="107">
        <f>HLOOKUP($D$5,'Economist Financing Model 1'!$C$6:$H$80,'Economist Financing Model 1'!B21,FALSE)+C23</f>
        <v>0</v>
      </c>
      <c r="D24" s="108">
        <f>HLOOKUP($D$5,'Economist Financing Model 1'!$I$6:$N$80,'Economist Financing Model 1'!B21,FALSE)+D23</f>
        <v>0</v>
      </c>
      <c r="E24" s="108">
        <f>HLOOKUP($D$5,'Economist Financing Model 1'!$O$6:$T$80,'Economist Financing Model 1'!B21,FALSE)+E23</f>
        <v>0</v>
      </c>
      <c r="F24" s="109">
        <f>HLOOKUP($D$5,'Economist Financing Model 1'!$U$6:$Z$80,'Economist Financing Model 1'!B21,FALSE)+F23</f>
        <v>0</v>
      </c>
      <c r="G24" s="107">
        <f>HLOOKUP($D$5,'Economist Financing Model 2'!$C$68:$I$143,B24,FALSE)</f>
        <v>0</v>
      </c>
      <c r="H24" s="108">
        <f>HLOOKUP($D$5,'Economist Financing Model 2'!$J$68:$P$144,B24,FALSE)</f>
        <v>0</v>
      </c>
      <c r="I24" s="108">
        <f>HLOOKUP($D$5,'Economist Financing Model 2'!$Q$68:$W$144,B24,FALSE)</f>
        <v>0</v>
      </c>
      <c r="J24" s="109">
        <f>HLOOKUP($D$5,'Economist Financing Model 2'!$X$68:$AD$144,B24,FALSE)</f>
        <v>0</v>
      </c>
    </row>
    <row r="25" spans="1:10" ht="12.75" customHeight="1" x14ac:dyDescent="0.2">
      <c r="A25" s="105">
        <v>2005</v>
      </c>
      <c r="B25" s="105">
        <v>17</v>
      </c>
      <c r="C25" s="107">
        <f>HLOOKUP($D$5,'Economist Financing Model 1'!$C$6:$H$80,'Economist Financing Model 1'!B22,FALSE)+C24</f>
        <v>0</v>
      </c>
      <c r="D25" s="108">
        <f>HLOOKUP($D$5,'Economist Financing Model 1'!$I$6:$N$80,'Economist Financing Model 1'!B22,FALSE)+D24</f>
        <v>0</v>
      </c>
      <c r="E25" s="108">
        <f>HLOOKUP($D$5,'Economist Financing Model 1'!$O$6:$T$80,'Economist Financing Model 1'!B22,FALSE)+E24</f>
        <v>0</v>
      </c>
      <c r="F25" s="109">
        <f>HLOOKUP($D$5,'Economist Financing Model 1'!$U$6:$Z$80,'Economist Financing Model 1'!B22,FALSE)+F24</f>
        <v>0</v>
      </c>
      <c r="G25" s="107">
        <f>HLOOKUP($D$5,'Economist Financing Model 2'!$C$68:$I$143,B25,FALSE)</f>
        <v>0</v>
      </c>
      <c r="H25" s="108">
        <f>HLOOKUP($D$5,'Economist Financing Model 2'!$J$68:$P$144,B25,FALSE)</f>
        <v>0</v>
      </c>
      <c r="I25" s="108">
        <f>HLOOKUP($D$5,'Economist Financing Model 2'!$Q$68:$W$144,B25,FALSE)</f>
        <v>0</v>
      </c>
      <c r="J25" s="109">
        <f>HLOOKUP($D$5,'Economist Financing Model 2'!$X$68:$AD$144,B25,FALSE)</f>
        <v>0</v>
      </c>
    </row>
    <row r="26" spans="1:10" ht="12.75" customHeight="1" x14ac:dyDescent="0.2">
      <c r="A26" s="105">
        <v>2006</v>
      </c>
      <c r="B26" s="105">
        <v>18</v>
      </c>
      <c r="C26" s="107">
        <f>HLOOKUP($D$5,'Economist Financing Model 1'!$C$6:$H$80,'Economist Financing Model 1'!B23,FALSE)+C25</f>
        <v>0</v>
      </c>
      <c r="D26" s="108">
        <f>HLOOKUP($D$5,'Economist Financing Model 1'!$I$6:$N$80,'Economist Financing Model 1'!B23,FALSE)+D25</f>
        <v>0</v>
      </c>
      <c r="E26" s="108">
        <f>HLOOKUP($D$5,'Economist Financing Model 1'!$O$6:$T$80,'Economist Financing Model 1'!B23,FALSE)+E25</f>
        <v>0</v>
      </c>
      <c r="F26" s="109">
        <f>HLOOKUP($D$5,'Economist Financing Model 1'!$U$6:$Z$80,'Economist Financing Model 1'!B23,FALSE)+F25</f>
        <v>0</v>
      </c>
      <c r="G26" s="107">
        <f>HLOOKUP($D$5,'Economist Financing Model 2'!$C$68:$I$143,B26,FALSE)</f>
        <v>0</v>
      </c>
      <c r="H26" s="108">
        <f>HLOOKUP($D$5,'Economist Financing Model 2'!$J$68:$P$144,B26,FALSE)</f>
        <v>0</v>
      </c>
      <c r="I26" s="108">
        <f>HLOOKUP($D$5,'Economist Financing Model 2'!$Q$68:$W$144,B26,FALSE)</f>
        <v>0</v>
      </c>
      <c r="J26" s="109">
        <f>HLOOKUP($D$5,'Economist Financing Model 2'!$X$68:$AD$144,B26,FALSE)</f>
        <v>0</v>
      </c>
    </row>
    <row r="27" spans="1:10" ht="12.75" customHeight="1" x14ac:dyDescent="0.2">
      <c r="A27" s="105">
        <v>2007</v>
      </c>
      <c r="B27" s="105">
        <v>19</v>
      </c>
      <c r="C27" s="107">
        <f>HLOOKUP($D$5,'Economist Financing Model 1'!$C$6:$H$80,'Economist Financing Model 1'!B24,FALSE)+C26</f>
        <v>0</v>
      </c>
      <c r="D27" s="108">
        <f>HLOOKUP($D$5,'Economist Financing Model 1'!$I$6:$N$80,'Economist Financing Model 1'!B24,FALSE)+D26</f>
        <v>0</v>
      </c>
      <c r="E27" s="108">
        <f>HLOOKUP($D$5,'Economist Financing Model 1'!$O$6:$T$80,'Economist Financing Model 1'!B24,FALSE)+E26</f>
        <v>0</v>
      </c>
      <c r="F27" s="109">
        <f>HLOOKUP($D$5,'Economist Financing Model 1'!$U$6:$Z$80,'Economist Financing Model 1'!B24,FALSE)+F26</f>
        <v>0</v>
      </c>
      <c r="G27" s="107">
        <f>HLOOKUP($D$5,'Economist Financing Model 2'!$C$68:$I$143,B27,FALSE)</f>
        <v>0</v>
      </c>
      <c r="H27" s="108">
        <f>HLOOKUP($D$5,'Economist Financing Model 2'!$J$68:$P$144,B27,FALSE)</f>
        <v>0</v>
      </c>
      <c r="I27" s="108">
        <f>HLOOKUP($D$5,'Economist Financing Model 2'!$Q$68:$W$144,B27,FALSE)</f>
        <v>0</v>
      </c>
      <c r="J27" s="109">
        <f>HLOOKUP($D$5,'Economist Financing Model 2'!$X$68:$AD$144,B27,FALSE)</f>
        <v>0</v>
      </c>
    </row>
    <row r="28" spans="1:10" ht="12.75" customHeight="1" x14ac:dyDescent="0.2">
      <c r="A28" s="105">
        <v>2008</v>
      </c>
      <c r="B28" s="105">
        <v>20</v>
      </c>
      <c r="C28" s="107">
        <f>HLOOKUP($D$5,'Economist Financing Model 1'!$C$6:$H$80,'Economist Financing Model 1'!B25,FALSE)+C27</f>
        <v>0</v>
      </c>
      <c r="D28" s="108">
        <f>HLOOKUP($D$5,'Economist Financing Model 1'!$I$6:$N$80,'Economist Financing Model 1'!B25,FALSE)+D27</f>
        <v>0</v>
      </c>
      <c r="E28" s="108">
        <f>HLOOKUP($D$5,'Economist Financing Model 1'!$O$6:$T$80,'Economist Financing Model 1'!B25,FALSE)+E27</f>
        <v>0</v>
      </c>
      <c r="F28" s="109">
        <f>HLOOKUP($D$5,'Economist Financing Model 1'!$U$6:$Z$80,'Economist Financing Model 1'!B25,FALSE)+F27</f>
        <v>0</v>
      </c>
      <c r="G28" s="107">
        <f>HLOOKUP($D$5,'Economist Financing Model 2'!$C$68:$I$143,B28,FALSE)</f>
        <v>0</v>
      </c>
      <c r="H28" s="108">
        <f>HLOOKUP($D$5,'Economist Financing Model 2'!$J$68:$P$144,B28,FALSE)</f>
        <v>0</v>
      </c>
      <c r="I28" s="108">
        <f>HLOOKUP($D$5,'Economist Financing Model 2'!$Q$68:$W$144,B28,FALSE)</f>
        <v>0</v>
      </c>
      <c r="J28" s="109">
        <f>HLOOKUP($D$5,'Economist Financing Model 2'!$X$68:$AD$144,B28,FALSE)</f>
        <v>0</v>
      </c>
    </row>
    <row r="29" spans="1:10" ht="12.75" customHeight="1" x14ac:dyDescent="0.2">
      <c r="A29" s="105">
        <v>2009</v>
      </c>
      <c r="B29" s="105">
        <v>21</v>
      </c>
      <c r="C29" s="107">
        <f>HLOOKUP($D$5,'Economist Financing Model 1'!$C$6:$H$80,'Economist Financing Model 1'!B26,FALSE)+C28</f>
        <v>0</v>
      </c>
      <c r="D29" s="108">
        <f>HLOOKUP($D$5,'Economist Financing Model 1'!$I$6:$N$80,'Economist Financing Model 1'!B26,FALSE)+D28</f>
        <v>0</v>
      </c>
      <c r="E29" s="108">
        <f>HLOOKUP($D$5,'Economist Financing Model 1'!$O$6:$T$80,'Economist Financing Model 1'!B26,FALSE)+E28</f>
        <v>0</v>
      </c>
      <c r="F29" s="109">
        <f>HLOOKUP($D$5,'Economist Financing Model 1'!$U$6:$Z$80,'Economist Financing Model 1'!B26,FALSE)+F28</f>
        <v>0</v>
      </c>
      <c r="G29" s="107">
        <f>HLOOKUP($D$5,'Economist Financing Model 2'!$C$68:$I$143,B29,FALSE)</f>
        <v>0</v>
      </c>
      <c r="H29" s="108">
        <f>HLOOKUP($D$5,'Economist Financing Model 2'!$J$68:$P$144,B29,FALSE)</f>
        <v>0</v>
      </c>
      <c r="I29" s="108">
        <f>HLOOKUP($D$5,'Economist Financing Model 2'!$Q$68:$W$144,B29,FALSE)</f>
        <v>0</v>
      </c>
      <c r="J29" s="109">
        <f>HLOOKUP($D$5,'Economist Financing Model 2'!$X$68:$AD$144,B29,FALSE)</f>
        <v>0</v>
      </c>
    </row>
    <row r="30" spans="1:10" ht="12.75" customHeight="1" x14ac:dyDescent="0.2">
      <c r="A30" s="105">
        <v>2010</v>
      </c>
      <c r="B30" s="105">
        <v>22</v>
      </c>
      <c r="C30" s="107">
        <f>HLOOKUP($D$5,'Economist Financing Model 1'!$C$6:$H$80,'Economist Financing Model 1'!B27,FALSE)+C29</f>
        <v>0</v>
      </c>
      <c r="D30" s="108">
        <f>HLOOKUP($D$5,'Economist Financing Model 1'!$I$6:$N$80,'Economist Financing Model 1'!B27,FALSE)+D29</f>
        <v>0</v>
      </c>
      <c r="E30" s="108">
        <f>HLOOKUP($D$5,'Economist Financing Model 1'!$O$6:$T$80,'Economist Financing Model 1'!B27,FALSE)+E29</f>
        <v>0</v>
      </c>
      <c r="F30" s="109">
        <f>HLOOKUP($D$5,'Economist Financing Model 1'!$U$6:$Z$80,'Economist Financing Model 1'!B27,FALSE)+F29</f>
        <v>0</v>
      </c>
      <c r="G30" s="107">
        <f>HLOOKUP($D$5,'Economist Financing Model 2'!$C$68:$I$143,B30,FALSE)</f>
        <v>0</v>
      </c>
      <c r="H30" s="108">
        <f>HLOOKUP($D$5,'Economist Financing Model 2'!$J$68:$P$144,B30,FALSE)</f>
        <v>0</v>
      </c>
      <c r="I30" s="108">
        <f>HLOOKUP($D$5,'Economist Financing Model 2'!$Q$68:$W$144,B30,FALSE)</f>
        <v>0</v>
      </c>
      <c r="J30" s="109">
        <f>HLOOKUP($D$5,'Economist Financing Model 2'!$X$68:$AD$144,B30,FALSE)</f>
        <v>0</v>
      </c>
    </row>
    <row r="31" spans="1:10" ht="12.75" customHeight="1" x14ac:dyDescent="0.2">
      <c r="A31" s="105">
        <v>2011</v>
      </c>
      <c r="B31" s="105">
        <v>23</v>
      </c>
      <c r="C31" s="107">
        <f>HLOOKUP($D$5,'Economist Financing Model 1'!$C$6:$H$80,'Economist Financing Model 1'!B28,FALSE)+C30</f>
        <v>0</v>
      </c>
      <c r="D31" s="108">
        <f>HLOOKUP($D$5,'Economist Financing Model 1'!$I$6:$N$80,'Economist Financing Model 1'!B28,FALSE)+D30</f>
        <v>0</v>
      </c>
      <c r="E31" s="108">
        <f>HLOOKUP($D$5,'Economist Financing Model 1'!$O$6:$T$80,'Economist Financing Model 1'!B28,FALSE)+E30</f>
        <v>0</v>
      </c>
      <c r="F31" s="109">
        <f>HLOOKUP($D$5,'Economist Financing Model 1'!$U$6:$Z$80,'Economist Financing Model 1'!B28,FALSE)+F30</f>
        <v>0</v>
      </c>
      <c r="G31" s="107">
        <f>HLOOKUP($D$5,'Economist Financing Model 2'!$C$68:$I$143,B31,FALSE)</f>
        <v>0</v>
      </c>
      <c r="H31" s="108">
        <f>HLOOKUP($D$5,'Economist Financing Model 2'!$J$68:$P$144,B31,FALSE)</f>
        <v>0</v>
      </c>
      <c r="I31" s="108">
        <f>HLOOKUP($D$5,'Economist Financing Model 2'!$Q$68:$W$144,B31,FALSE)</f>
        <v>0</v>
      </c>
      <c r="J31" s="109">
        <f>HLOOKUP($D$5,'Economist Financing Model 2'!$X$68:$AD$144,B31,FALSE)</f>
        <v>0</v>
      </c>
    </row>
    <row r="32" spans="1:10" ht="12.75" customHeight="1" x14ac:dyDescent="0.2">
      <c r="A32" s="105">
        <v>2012</v>
      </c>
      <c r="B32" s="105">
        <v>24</v>
      </c>
      <c r="C32" s="107">
        <f>HLOOKUP($D$5,'Economist Financing Model 1'!$C$6:$H$80,'Economist Financing Model 1'!B29,FALSE)+C31</f>
        <v>0</v>
      </c>
      <c r="D32" s="108">
        <f>HLOOKUP($D$5,'Economist Financing Model 1'!$I$6:$N$80,'Economist Financing Model 1'!B29,FALSE)+D31</f>
        <v>0</v>
      </c>
      <c r="E32" s="108">
        <f>HLOOKUP($D$5,'Economist Financing Model 1'!$O$6:$T$80,'Economist Financing Model 1'!B29,FALSE)+E31</f>
        <v>0</v>
      </c>
      <c r="F32" s="109">
        <f>HLOOKUP($D$5,'Economist Financing Model 1'!$U$6:$Z$80,'Economist Financing Model 1'!B29,FALSE)+F31</f>
        <v>0</v>
      </c>
      <c r="G32" s="107">
        <f>HLOOKUP($D$5,'Economist Financing Model 2'!$C$68:$I$143,B32,FALSE)</f>
        <v>0</v>
      </c>
      <c r="H32" s="108">
        <f>HLOOKUP($D$5,'Economist Financing Model 2'!$J$68:$P$144,B32,FALSE)</f>
        <v>0</v>
      </c>
      <c r="I32" s="108">
        <f>HLOOKUP($D$5,'Economist Financing Model 2'!$Q$68:$W$144,B32,FALSE)</f>
        <v>0</v>
      </c>
      <c r="J32" s="109">
        <f>HLOOKUP($D$5,'Economist Financing Model 2'!$X$68:$AD$144,B32,FALSE)</f>
        <v>0</v>
      </c>
    </row>
    <row r="33" spans="1:10" ht="12.75" customHeight="1" x14ac:dyDescent="0.2">
      <c r="A33" s="105">
        <v>2013</v>
      </c>
      <c r="B33" s="105">
        <v>25</v>
      </c>
      <c r="C33" s="107">
        <f>HLOOKUP($D$5,'Economist Financing Model 1'!$C$6:$H$80,'Economist Financing Model 1'!B30,FALSE)+C32</f>
        <v>0</v>
      </c>
      <c r="D33" s="108">
        <f>HLOOKUP($D$5,'Economist Financing Model 1'!$I$6:$N$80,'Economist Financing Model 1'!B30,FALSE)+D32</f>
        <v>0</v>
      </c>
      <c r="E33" s="108">
        <f>HLOOKUP($D$5,'Economist Financing Model 1'!$O$6:$T$80,'Economist Financing Model 1'!B30,FALSE)+E32</f>
        <v>0</v>
      </c>
      <c r="F33" s="109">
        <f>HLOOKUP($D$5,'Economist Financing Model 1'!$U$6:$Z$80,'Economist Financing Model 1'!B30,FALSE)+F32</f>
        <v>0</v>
      </c>
      <c r="G33" s="107">
        <f>HLOOKUP($D$5,'Economist Financing Model 2'!$C$68:$I$143,B33,FALSE)</f>
        <v>0</v>
      </c>
      <c r="H33" s="108">
        <f>HLOOKUP($D$5,'Economist Financing Model 2'!$J$68:$P$144,B33,FALSE)</f>
        <v>0</v>
      </c>
      <c r="I33" s="108">
        <f>HLOOKUP($D$5,'Economist Financing Model 2'!$Q$68:$W$144,B33,FALSE)</f>
        <v>0</v>
      </c>
      <c r="J33" s="109">
        <f>HLOOKUP($D$5,'Economist Financing Model 2'!$X$68:$AD$144,B33,FALSE)</f>
        <v>0</v>
      </c>
    </row>
    <row r="34" spans="1:10" ht="12.75" customHeight="1" x14ac:dyDescent="0.2">
      <c r="A34" s="105">
        <v>2014</v>
      </c>
      <c r="B34" s="105">
        <v>26</v>
      </c>
      <c r="C34" s="107">
        <f>HLOOKUP($D$5,'Economist Financing Model 1'!$C$6:$H$80,'Economist Financing Model 1'!B31,FALSE)+C33</f>
        <v>-37660664.113983564</v>
      </c>
      <c r="D34" s="108">
        <f>HLOOKUP($D$5,'Economist Financing Model 1'!$I$6:$N$80,'Economist Financing Model 1'!B31,FALSE)+D33</f>
        <v>-45107144.235605747</v>
      </c>
      <c r="E34" s="108">
        <f>HLOOKUP($D$5,'Economist Financing Model 1'!$O$6:$T$80,'Economist Financing Model 1'!B31,FALSE)+E33</f>
        <v>-53078656.685678646</v>
      </c>
      <c r="F34" s="109">
        <f>HLOOKUP($D$5,'Economist Financing Model 1'!$U$6:$Z$80,'Economist Financing Model 1'!B31,FALSE)+F33</f>
        <v>-70213594.203879833</v>
      </c>
      <c r="G34" s="107">
        <f>HLOOKUP($D$5,'Economist Financing Model 2'!$C$68:$I$143,B34,FALSE)</f>
        <v>0</v>
      </c>
      <c r="H34" s="108">
        <f>HLOOKUP($D$5,'Economist Financing Model 2'!$J$68:$P$144,B34,FALSE)</f>
        <v>0</v>
      </c>
      <c r="I34" s="108">
        <f>HLOOKUP($D$5,'Economist Financing Model 2'!$Q$68:$W$144,B34,FALSE)</f>
        <v>0</v>
      </c>
      <c r="J34" s="109">
        <f>HLOOKUP($D$5,'Economist Financing Model 2'!$X$68:$AD$144,B34,FALSE)</f>
        <v>0</v>
      </c>
    </row>
    <row r="35" spans="1:10" ht="12.75" customHeight="1" x14ac:dyDescent="0.2">
      <c r="A35" s="105">
        <v>2015</v>
      </c>
      <c r="B35" s="105">
        <v>27</v>
      </c>
      <c r="C35" s="107">
        <f>HLOOKUP($D$5,'Economist Financing Model 1'!$C$6:$H$80,'Economist Financing Model 1'!B32,FALSE)+C34</f>
        <v>-75321328.227967128</v>
      </c>
      <c r="D35" s="108">
        <f>HLOOKUP($D$5,'Economist Financing Model 1'!$I$6:$N$80,'Economist Financing Model 1'!B32,FALSE)+D34</f>
        <v>-90214288.471211493</v>
      </c>
      <c r="E35" s="108">
        <f>HLOOKUP($D$5,'Economist Financing Model 1'!$O$6:$T$80,'Economist Financing Model 1'!B32,FALSE)+E34</f>
        <v>-106157313.37135729</v>
      </c>
      <c r="F35" s="109">
        <f>HLOOKUP($D$5,'Economist Financing Model 1'!$U$6:$Z$80,'Economist Financing Model 1'!B32,FALSE)+F34</f>
        <v>-140427188.40775967</v>
      </c>
      <c r="G35" s="107">
        <f>HLOOKUP($D$5,'Economist Financing Model 2'!$C$68:$I$143,B35,FALSE)</f>
        <v>-20000000</v>
      </c>
      <c r="H35" s="108">
        <f>HLOOKUP($D$5,'Economist Financing Model 2'!$J$68:$P$144,B35,FALSE)</f>
        <v>-20000000</v>
      </c>
      <c r="I35" s="108">
        <f>HLOOKUP($D$5,'Economist Financing Model 2'!$Q$68:$W$144,B35,FALSE)</f>
        <v>-20000000</v>
      </c>
      <c r="J35" s="109">
        <f>HLOOKUP($D$5,'Economist Financing Model 2'!$X$68:$AD$144,B35,FALSE)</f>
        <v>-20000000</v>
      </c>
    </row>
    <row r="36" spans="1:10" ht="12.75" customHeight="1" x14ac:dyDescent="0.2">
      <c r="A36" s="105">
        <v>2016</v>
      </c>
      <c r="B36" s="105">
        <v>28</v>
      </c>
      <c r="C36" s="107">
        <f>HLOOKUP($D$5,'Economist Financing Model 1'!$C$6:$H$80,'Economist Financing Model 1'!B33,FALSE)+C35</f>
        <v>-112981992.34195068</v>
      </c>
      <c r="D36" s="108">
        <f>HLOOKUP($D$5,'Economist Financing Model 1'!$I$6:$N$80,'Economist Financing Model 1'!B33,FALSE)+D35</f>
        <v>-135321432.70681724</v>
      </c>
      <c r="E36" s="108">
        <f>HLOOKUP($D$5,'Economist Financing Model 1'!$O$6:$T$80,'Economist Financing Model 1'!B33,FALSE)+E35</f>
        <v>-159235970.05703592</v>
      </c>
      <c r="F36" s="109">
        <f>HLOOKUP($D$5,'Economist Financing Model 1'!$U$6:$Z$80,'Economist Financing Model 1'!B33,FALSE)+F35</f>
        <v>-210640782.6116395</v>
      </c>
      <c r="G36" s="107">
        <f>HLOOKUP($D$5,'Economist Financing Model 2'!$C$68:$I$143,B36,FALSE)</f>
        <v>-20000000</v>
      </c>
      <c r="H36" s="108">
        <f>HLOOKUP($D$5,'Economist Financing Model 2'!$J$68:$P$144,B36,FALSE)</f>
        <v>-20000000</v>
      </c>
      <c r="I36" s="108">
        <f>HLOOKUP($D$5,'Economist Financing Model 2'!$Q$68:$W$144,B36,FALSE)</f>
        <v>-20000000</v>
      </c>
      <c r="J36" s="109">
        <f>HLOOKUP($D$5,'Economist Financing Model 2'!$X$68:$AD$144,B36,FALSE)</f>
        <v>-20000000</v>
      </c>
    </row>
    <row r="37" spans="1:10" ht="12.75" customHeight="1" x14ac:dyDescent="0.2">
      <c r="A37" s="105">
        <v>2017</v>
      </c>
      <c r="B37" s="105">
        <v>29</v>
      </c>
      <c r="C37" s="107">
        <f>HLOOKUP($D$5,'Economist Financing Model 1'!$C$6:$H$80,'Economist Financing Model 1'!B34,FALSE)+C36</f>
        <v>-150642656.45593426</v>
      </c>
      <c r="D37" s="108">
        <f>HLOOKUP($D$5,'Economist Financing Model 1'!$I$6:$N$80,'Economist Financing Model 1'!B34,FALSE)+D36</f>
        <v>-180428576.94242299</v>
      </c>
      <c r="E37" s="108">
        <f>HLOOKUP($D$5,'Economist Financing Model 1'!$O$6:$T$80,'Economist Financing Model 1'!B34,FALSE)+E36</f>
        <v>-212314626.74271458</v>
      </c>
      <c r="F37" s="109">
        <f>HLOOKUP($D$5,'Economist Financing Model 1'!$U$6:$Z$80,'Economist Financing Model 1'!B34,FALSE)+F36</f>
        <v>-280854376.81551933</v>
      </c>
      <c r="G37" s="107">
        <f>HLOOKUP($D$5,'Economist Financing Model 2'!$C$68:$I$143,B37,FALSE)</f>
        <v>-20000000</v>
      </c>
      <c r="H37" s="108">
        <f>HLOOKUP($D$5,'Economist Financing Model 2'!$J$68:$P$144,B37,FALSE)</f>
        <v>-20000000</v>
      </c>
      <c r="I37" s="108">
        <f>HLOOKUP($D$5,'Economist Financing Model 2'!$Q$68:$W$144,B37,FALSE)</f>
        <v>-20000000</v>
      </c>
      <c r="J37" s="109">
        <f>HLOOKUP($D$5,'Economist Financing Model 2'!$X$68:$AD$144,B37,FALSE)</f>
        <v>-20000000</v>
      </c>
    </row>
    <row r="38" spans="1:10" ht="12.75" customHeight="1" x14ac:dyDescent="0.2">
      <c r="A38" s="105">
        <v>2018</v>
      </c>
      <c r="B38" s="105">
        <v>30</v>
      </c>
      <c r="C38" s="107">
        <f>HLOOKUP($D$5,'Economist Financing Model 1'!$C$6:$H$80,'Economist Financing Model 1'!B35,FALSE)+C37</f>
        <v>-188303320.56991783</v>
      </c>
      <c r="D38" s="108">
        <f>HLOOKUP($D$5,'Economist Financing Model 1'!$I$6:$N$80,'Economist Financing Model 1'!B35,FALSE)+D37</f>
        <v>-225535721.17802873</v>
      </c>
      <c r="E38" s="108">
        <f>HLOOKUP($D$5,'Economist Financing Model 1'!$O$6:$T$80,'Economist Financing Model 1'!B35,FALSE)+E37</f>
        <v>-265393283.42839324</v>
      </c>
      <c r="F38" s="109">
        <f>HLOOKUP($D$5,'Economist Financing Model 1'!$U$6:$Z$80,'Economist Financing Model 1'!B35,FALSE)+F37</f>
        <v>-351067971.01939917</v>
      </c>
      <c r="G38" s="107">
        <f>HLOOKUP($D$5,'Economist Financing Model 2'!$C$68:$I$143,B38,FALSE)</f>
        <v>-20000000</v>
      </c>
      <c r="H38" s="108">
        <f>HLOOKUP($D$5,'Economist Financing Model 2'!$J$68:$P$144,B38,FALSE)</f>
        <v>-20000000</v>
      </c>
      <c r="I38" s="108">
        <f>HLOOKUP($D$5,'Economist Financing Model 2'!$Q$68:$W$144,B38,FALSE)</f>
        <v>-20000000</v>
      </c>
      <c r="J38" s="109">
        <f>HLOOKUP($D$5,'Economist Financing Model 2'!$X$68:$AD$144,B38,FALSE)</f>
        <v>-20000000</v>
      </c>
    </row>
    <row r="39" spans="1:10" x14ac:dyDescent="0.2">
      <c r="A39" s="105">
        <v>2019</v>
      </c>
      <c r="B39" s="105">
        <v>31</v>
      </c>
      <c r="C39" s="107">
        <f>HLOOKUP($D$5,'Economist Financing Model 1'!$C$6:$H$80,'Economist Financing Model 1'!B36,FALSE)+C38</f>
        <v>-225963984.6839014</v>
      </c>
      <c r="D39" s="108">
        <f>HLOOKUP($D$5,'Economist Financing Model 1'!$I$6:$N$80,'Economist Financing Model 1'!B36,FALSE)+D38</f>
        <v>-270642865.41363448</v>
      </c>
      <c r="E39" s="108">
        <f>HLOOKUP($D$5,'Economist Financing Model 1'!$O$6:$T$80,'Economist Financing Model 1'!B36,FALSE)+E38</f>
        <v>-318471940.11407191</v>
      </c>
      <c r="F39" s="109">
        <f>HLOOKUP($D$5,'Economist Financing Model 1'!$U$6:$Z$80,'Economist Financing Model 1'!B36,FALSE)+F38</f>
        <v>-421281565.223279</v>
      </c>
      <c r="G39" s="107">
        <f>-1*'Economist Financing Model 2'!C93</f>
        <v>125000000</v>
      </c>
      <c r="H39" s="108">
        <f>-1*'Economist Financing Model 2'!J93</f>
        <v>125000000</v>
      </c>
      <c r="I39" s="108">
        <f>-1*'Economist Financing Model 2'!Q93</f>
        <v>125000000</v>
      </c>
      <c r="J39" s="109">
        <f>-1*'Economist Financing Model 2'!X93</f>
        <v>125000000</v>
      </c>
    </row>
    <row r="40" spans="1:10" x14ac:dyDescent="0.2">
      <c r="A40" s="105">
        <v>2020</v>
      </c>
      <c r="B40" s="105">
        <v>32</v>
      </c>
      <c r="C40" s="107">
        <f>HLOOKUP($D$5,'Economist Financing Model 1'!$C$6:$H$80,'Economist Financing Model 1'!B37,FALSE)+C39</f>
        <v>-263624648.79788497</v>
      </c>
      <c r="D40" s="108">
        <f>HLOOKUP($D$5,'Economist Financing Model 1'!$I$6:$N$80,'Economist Financing Model 1'!B37,FALSE)+D39</f>
        <v>-315750009.64924026</v>
      </c>
      <c r="E40" s="108">
        <f>HLOOKUP($D$5,'Economist Financing Model 1'!$O$6:$T$80,'Economist Financing Model 1'!B37,FALSE)+E39</f>
        <v>-371550596.79975057</v>
      </c>
      <c r="F40" s="109">
        <f>HLOOKUP($D$5,'Economist Financing Model 1'!$U$6:$Z$80,'Economist Financing Model 1'!B37,FALSE)+F39</f>
        <v>-491495159.42715883</v>
      </c>
      <c r="G40" s="107">
        <f>-1*HLOOKUP($D$5,'Economist Financing Model 2'!$C$68:$I$143,'Economist Financing Model 2'!B99,FALSE)+G39</f>
        <v>145000000</v>
      </c>
      <c r="H40" s="108">
        <f>-1*HLOOKUP($D$5,'Economist Financing Model 2'!$J$68:$P$144,'Economist Financing Model 2'!B99,FALSE)+H39</f>
        <v>145000000</v>
      </c>
      <c r="I40" s="108">
        <f>-1*HLOOKUP($D$5,'Economist Financing Model 2'!$Q$68:$W$144,'Economist Financing Model 2'!B99,FALSE)+I39</f>
        <v>145000000</v>
      </c>
      <c r="J40" s="109">
        <f>-1*HLOOKUP($D$5,'Economist Financing Model 2'!$X$68:$AD$144,'Economist Financing Model 2'!B99,FALSE)+J39</f>
        <v>145000000</v>
      </c>
    </row>
    <row r="41" spans="1:10" x14ac:dyDescent="0.2">
      <c r="A41" s="105">
        <v>2021</v>
      </c>
      <c r="B41" s="105">
        <v>33</v>
      </c>
      <c r="C41" s="107">
        <f>HLOOKUP($D$5,'Economist Financing Model 1'!$C$6:$H$80,'Economist Financing Model 1'!B38,FALSE)+C40</f>
        <v>-301285312.91186851</v>
      </c>
      <c r="D41" s="108">
        <f>HLOOKUP($D$5,'Economist Financing Model 1'!$I$6:$N$80,'Economist Financing Model 1'!B38,FALSE)+D40</f>
        <v>-360857153.88484597</v>
      </c>
      <c r="E41" s="108">
        <f>HLOOKUP($D$5,'Economist Financing Model 1'!$O$6:$T$80,'Economist Financing Model 1'!B38,FALSE)+E40</f>
        <v>-424629253.48542923</v>
      </c>
      <c r="F41" s="109">
        <f>HLOOKUP($D$5,'Economist Financing Model 1'!$U$6:$Z$80,'Economist Financing Model 1'!B38,FALSE)+F40</f>
        <v>-561708753.63103867</v>
      </c>
      <c r="G41" s="107">
        <f>-1*HLOOKUP($D$5,'Economist Financing Model 2'!$C$68:$I$143,'Economist Financing Model 2'!B100,FALSE)+G40</f>
        <v>165000000</v>
      </c>
      <c r="H41" s="108">
        <f>-1*HLOOKUP($D$5,'Economist Financing Model 2'!$J$68:$P$144,'Economist Financing Model 2'!B100,FALSE)+H40</f>
        <v>165000000</v>
      </c>
      <c r="I41" s="108">
        <f>-1*HLOOKUP($D$5,'Economist Financing Model 2'!$Q$68:$W$144,'Economist Financing Model 2'!B100,FALSE)+I40</f>
        <v>165000000</v>
      </c>
      <c r="J41" s="109">
        <f>-1*HLOOKUP($D$5,'Economist Financing Model 2'!$X$68:$AD$144,'Economist Financing Model 2'!B100,FALSE)+J40</f>
        <v>165000000</v>
      </c>
    </row>
    <row r="42" spans="1:10" x14ac:dyDescent="0.2">
      <c r="A42" s="105">
        <v>2022</v>
      </c>
      <c r="B42" s="105">
        <v>34</v>
      </c>
      <c r="C42" s="107">
        <f>HLOOKUP($D$5,'Economist Financing Model 1'!$C$6:$H$80,'Economist Financing Model 1'!B39,FALSE)+C41</f>
        <v>-338945977.02585208</v>
      </c>
      <c r="D42" s="108">
        <f>HLOOKUP($D$5,'Economist Financing Model 1'!$I$6:$N$80,'Economist Financing Model 1'!B39,FALSE)+D41</f>
        <v>-405964298.12045169</v>
      </c>
      <c r="E42" s="108">
        <f>HLOOKUP($D$5,'Economist Financing Model 1'!$O$6:$T$80,'Economist Financing Model 1'!B39,FALSE)+E41</f>
        <v>-477707910.17110789</v>
      </c>
      <c r="F42" s="109">
        <f>HLOOKUP($D$5,'Economist Financing Model 1'!$U$6:$Z$80,'Economist Financing Model 1'!B39,FALSE)+F41</f>
        <v>-631922347.8349185</v>
      </c>
      <c r="G42" s="107">
        <f>-1*HLOOKUP($D$5,'Economist Financing Model 2'!$C$68:$I$143,'Economist Financing Model 2'!B101,FALSE)+G41</f>
        <v>185000000</v>
      </c>
      <c r="H42" s="108">
        <f>-1*HLOOKUP($D$5,'Economist Financing Model 2'!$J$68:$P$144,'Economist Financing Model 2'!B101,FALSE)+H41</f>
        <v>185000000</v>
      </c>
      <c r="I42" s="108">
        <f>-1*HLOOKUP($D$5,'Economist Financing Model 2'!$Q$68:$W$144,'Economist Financing Model 2'!B101,FALSE)+I41</f>
        <v>185000000</v>
      </c>
      <c r="J42" s="109">
        <f>-1*HLOOKUP($D$5,'Economist Financing Model 2'!$X$68:$AD$144,'Economist Financing Model 2'!B101,FALSE)+J41</f>
        <v>185000000</v>
      </c>
    </row>
    <row r="43" spans="1:10" x14ac:dyDescent="0.2">
      <c r="A43" s="105">
        <v>2023</v>
      </c>
      <c r="B43" s="105">
        <v>35</v>
      </c>
      <c r="C43" s="107">
        <f>HLOOKUP($D$5,'Economist Financing Model 1'!$C$6:$H$80,'Economist Financing Model 1'!B40,FALSE)+C42</f>
        <v>-376606641.13983566</v>
      </c>
      <c r="D43" s="108">
        <f>HLOOKUP($D$5,'Economist Financing Model 1'!$I$6:$N$80,'Economist Financing Model 1'!B40,FALSE)+D42</f>
        <v>-451071442.35605741</v>
      </c>
      <c r="E43" s="108">
        <f>HLOOKUP($D$5,'Economist Financing Model 1'!$O$6:$T$80,'Economist Financing Model 1'!B40,FALSE)+E42</f>
        <v>-530786566.85678655</v>
      </c>
      <c r="F43" s="109">
        <f>HLOOKUP($D$5,'Economist Financing Model 1'!$U$6:$Z$80,'Economist Financing Model 1'!B40,FALSE)+F42</f>
        <v>-702135942.03879833</v>
      </c>
      <c r="G43" s="107">
        <f>-1*HLOOKUP($D$5,'Economist Financing Model 2'!$C$68:$I$143,'Economist Financing Model 2'!B102,FALSE)+G42</f>
        <v>205000000</v>
      </c>
      <c r="H43" s="108">
        <f>-1*HLOOKUP($D$5,'Economist Financing Model 2'!$J$68:$P$144,'Economist Financing Model 2'!B102,FALSE)+H42</f>
        <v>205000000</v>
      </c>
      <c r="I43" s="108">
        <f>-1*HLOOKUP($D$5,'Economist Financing Model 2'!$Q$68:$W$144,'Economist Financing Model 2'!B102,FALSE)+I42</f>
        <v>205000000</v>
      </c>
      <c r="J43" s="109">
        <f>-1*HLOOKUP($D$5,'Economist Financing Model 2'!$X$68:$AD$144,'Economist Financing Model 2'!B102,FALSE)+J42</f>
        <v>205000000</v>
      </c>
    </row>
    <row r="44" spans="1:10" x14ac:dyDescent="0.2">
      <c r="A44" s="105">
        <v>2024</v>
      </c>
      <c r="B44" s="105">
        <v>36</v>
      </c>
      <c r="C44" s="107">
        <f>HLOOKUP($D$5,'Economist Financing Model 1'!$C$6:$H$80,'Economist Financing Model 1'!B41,FALSE)+C43</f>
        <v>-414267305.25381923</v>
      </c>
      <c r="D44" s="108">
        <f>HLOOKUP($D$5,'Economist Financing Model 1'!$I$6:$N$80,'Economist Financing Model 1'!B41,FALSE)+D43</f>
        <v>-496178586.59166312</v>
      </c>
      <c r="E44" s="108">
        <f>HLOOKUP($D$5,'Economist Financing Model 1'!$O$6:$T$80,'Economist Financing Model 1'!B41,FALSE)+E43</f>
        <v>-583865223.54246521</v>
      </c>
      <c r="F44" s="109">
        <f>HLOOKUP($D$5,'Economist Financing Model 1'!$U$6:$Z$80,'Economist Financing Model 1'!B41,FALSE)+F43</f>
        <v>-772349536.24267817</v>
      </c>
      <c r="G44" s="107">
        <f>-1*HLOOKUP($D$5,'Economist Financing Model 2'!$C$68:$I$143,'Economist Financing Model 2'!B103,FALSE)+G43</f>
        <v>225000000</v>
      </c>
      <c r="H44" s="108">
        <f>-1*HLOOKUP($D$5,'Economist Financing Model 2'!$J$68:$P$144,'Economist Financing Model 2'!B103,FALSE)+H43</f>
        <v>225000000</v>
      </c>
      <c r="I44" s="108">
        <f>-1*HLOOKUP($D$5,'Economist Financing Model 2'!$Q$68:$W$144,'Economist Financing Model 2'!B103,FALSE)+I43</f>
        <v>225000000</v>
      </c>
      <c r="J44" s="109">
        <f>-1*HLOOKUP($D$5,'Economist Financing Model 2'!$X$68:$AD$144,'Economist Financing Model 2'!B103,FALSE)+J43</f>
        <v>225000000</v>
      </c>
    </row>
    <row r="45" spans="1:10" x14ac:dyDescent="0.2">
      <c r="A45" s="105">
        <v>2025</v>
      </c>
      <c r="B45" s="105">
        <v>37</v>
      </c>
      <c r="C45" s="107">
        <f>HLOOKUP($D$5,'Economist Financing Model 1'!$C$6:$H$80,'Economist Financing Model 1'!B42,FALSE)+C44</f>
        <v>-451927969.3678028</v>
      </c>
      <c r="D45" s="108">
        <f>HLOOKUP($D$5,'Economist Financing Model 1'!$I$6:$N$80,'Economist Financing Model 1'!B42,FALSE)+D44</f>
        <v>-541285730.82726884</v>
      </c>
      <c r="E45" s="108">
        <f>HLOOKUP($D$5,'Economist Financing Model 1'!$O$6:$T$80,'Economist Financing Model 1'!B42,FALSE)+E44</f>
        <v>-636943880.22814381</v>
      </c>
      <c r="F45" s="109">
        <f>HLOOKUP($D$5,'Economist Financing Model 1'!$U$6:$Z$80,'Economist Financing Model 1'!B42,FALSE)+F44</f>
        <v>-842563130.446558</v>
      </c>
      <c r="G45" s="107">
        <f>-1*HLOOKUP($D$5,'Economist Financing Model 2'!$C$68:$I$143,'Economist Financing Model 2'!B104,FALSE)+G44</f>
        <v>245000000</v>
      </c>
      <c r="H45" s="108">
        <f>-1*HLOOKUP($D$5,'Economist Financing Model 2'!$J$68:$P$144,'Economist Financing Model 2'!B104,FALSE)+H44</f>
        <v>245000000</v>
      </c>
      <c r="I45" s="108">
        <f>-1*HLOOKUP($D$5,'Economist Financing Model 2'!$Q$68:$W$144,'Economist Financing Model 2'!B104,FALSE)+I44</f>
        <v>245000000</v>
      </c>
      <c r="J45" s="109">
        <f>-1*HLOOKUP($D$5,'Economist Financing Model 2'!$X$68:$AD$144,'Economist Financing Model 2'!B104,FALSE)+J44</f>
        <v>245000000</v>
      </c>
    </row>
    <row r="46" spans="1:10" x14ac:dyDescent="0.2">
      <c r="A46" s="105">
        <v>2026</v>
      </c>
      <c r="B46" s="105">
        <v>38</v>
      </c>
      <c r="C46" s="107">
        <f>HLOOKUP($D$5,'Economist Financing Model 1'!$C$6:$H$80,'Economist Financing Model 1'!B43,FALSE)+C45</f>
        <v>-489588633.48178637</v>
      </c>
      <c r="D46" s="108">
        <f>HLOOKUP($D$5,'Economist Financing Model 1'!$I$6:$N$80,'Economist Financing Model 1'!B43,FALSE)+D45</f>
        <v>-586392875.06287456</v>
      </c>
      <c r="E46" s="108">
        <f>HLOOKUP($D$5,'Economist Financing Model 1'!$O$6:$T$80,'Economist Financing Model 1'!B43,FALSE)+E45</f>
        <v>-690022536.91382241</v>
      </c>
      <c r="F46" s="109">
        <f>HLOOKUP($D$5,'Economist Financing Model 1'!$U$6:$Z$80,'Economist Financing Model 1'!B43,FALSE)+F45</f>
        <v>-912776724.65043783</v>
      </c>
      <c r="G46" s="107">
        <f>-1*HLOOKUP($D$5,'Economist Financing Model 2'!$C$68:$I$143,'Economist Financing Model 2'!B105,FALSE)+G45</f>
        <v>265000000</v>
      </c>
      <c r="H46" s="108">
        <f>-1*HLOOKUP($D$5,'Economist Financing Model 2'!$J$68:$P$144,'Economist Financing Model 2'!B105,FALSE)+H45</f>
        <v>265000000</v>
      </c>
      <c r="I46" s="108">
        <f>-1*HLOOKUP($D$5,'Economist Financing Model 2'!$Q$68:$W$144,'Economist Financing Model 2'!B105,FALSE)+I45</f>
        <v>265000000</v>
      </c>
      <c r="J46" s="109">
        <f>-1*HLOOKUP($D$5,'Economist Financing Model 2'!$X$68:$AD$144,'Economist Financing Model 2'!B105,FALSE)+J45</f>
        <v>265000000</v>
      </c>
    </row>
    <row r="47" spans="1:10" x14ac:dyDescent="0.2">
      <c r="A47" s="105">
        <v>2027</v>
      </c>
      <c r="B47" s="105">
        <v>39</v>
      </c>
      <c r="C47" s="107">
        <f>HLOOKUP($D$5,'Economist Financing Model 1'!$C$6:$H$80,'Economist Financing Model 1'!B44,FALSE)+C46</f>
        <v>-527249297.59576994</v>
      </c>
      <c r="D47" s="108">
        <f>HLOOKUP($D$5,'Economist Financing Model 1'!$I$6:$N$80,'Economist Financing Model 1'!B44,FALSE)+D46</f>
        <v>-631500019.29848027</v>
      </c>
      <c r="E47" s="108">
        <f>HLOOKUP($D$5,'Economist Financing Model 1'!$O$6:$T$80,'Economist Financing Model 1'!B44,FALSE)+E46</f>
        <v>-743101193.59950101</v>
      </c>
      <c r="F47" s="109">
        <f>HLOOKUP($D$5,'Economist Financing Model 1'!$U$6:$Z$80,'Economist Financing Model 1'!B44,FALSE)+F46</f>
        <v>-982990318.85431767</v>
      </c>
      <c r="G47" s="107">
        <f>-1*HLOOKUP($D$5,'Economist Financing Model 2'!$C$68:$I$143,'Economist Financing Model 2'!B106,FALSE)+G46</f>
        <v>305880434.25985116</v>
      </c>
      <c r="H47" s="108">
        <f>-1*HLOOKUP($D$5,'Economist Financing Model 2'!$J$68:$P$144,'Economist Financing Model 2'!B106,FALSE)+H46</f>
        <v>319252501.4933843</v>
      </c>
      <c r="I47" s="108">
        <f>-1*HLOOKUP($D$5,'Economist Financing Model 2'!$Q$68:$W$144,'Economist Financing Model 2'!B106,FALSE)+I46</f>
        <v>335984575.8254739</v>
      </c>
      <c r="J47" s="109">
        <f>-1*HLOOKUP($D$5,'Economist Financing Model 2'!$X$68:$AD$144,'Economist Financing Model 2'!B106,FALSE)+J46</f>
        <v>381957879.29183525</v>
      </c>
    </row>
    <row r="48" spans="1:10" x14ac:dyDescent="0.2">
      <c r="A48" s="105">
        <v>2028</v>
      </c>
      <c r="B48" s="105">
        <v>40</v>
      </c>
      <c r="C48" s="107">
        <f>HLOOKUP($D$5,'Economist Financing Model 1'!$C$6:$H$80,'Economist Financing Model 1'!B45,FALSE)+C47</f>
        <v>-564909961.70975351</v>
      </c>
      <c r="D48" s="108">
        <f>HLOOKUP($D$5,'Economist Financing Model 1'!$I$6:$N$80,'Economist Financing Model 1'!B45,FALSE)+D47</f>
        <v>-676607163.53408599</v>
      </c>
      <c r="E48" s="108">
        <f>HLOOKUP($D$5,'Economist Financing Model 1'!$O$6:$T$80,'Economist Financing Model 1'!B45,FALSE)+E47</f>
        <v>-796179850.28517962</v>
      </c>
      <c r="F48" s="109">
        <f>HLOOKUP($D$5,'Economist Financing Model 1'!$U$6:$Z$80,'Economist Financing Model 1'!B45,FALSE)+F47</f>
        <v>-1053203913.0581975</v>
      </c>
      <c r="G48" s="107">
        <f>-1*HLOOKUP($D$5,'Economist Financing Model 2'!$C$68:$I$143,'Economist Financing Model 2'!B107,FALSE)+G47</f>
        <v>346760868.51970232</v>
      </c>
      <c r="H48" s="108">
        <f>-1*HLOOKUP($D$5,'Economist Financing Model 2'!$J$68:$P$144,'Economist Financing Model 2'!B107,FALSE)+H47</f>
        <v>373505002.9867686</v>
      </c>
      <c r="I48" s="108">
        <f>-1*HLOOKUP($D$5,'Economist Financing Model 2'!$Q$68:$W$144,'Economist Financing Model 2'!B107,FALSE)+I47</f>
        <v>406969151.65094781</v>
      </c>
      <c r="J48" s="109">
        <f>-1*HLOOKUP($D$5,'Economist Financing Model 2'!$X$68:$AD$144,'Economist Financing Model 2'!B107,FALSE)+J47</f>
        <v>498915758.5836705</v>
      </c>
    </row>
    <row r="49" spans="1:10" x14ac:dyDescent="0.2">
      <c r="A49" s="105">
        <v>2029</v>
      </c>
      <c r="B49" s="105">
        <v>41</v>
      </c>
      <c r="C49" s="107">
        <f>HLOOKUP($D$5,'Economist Financing Model 1'!$C$6:$H$80,'Economist Financing Model 1'!B46,FALSE)+C48</f>
        <v>-602570625.82373703</v>
      </c>
      <c r="D49" s="108">
        <f>HLOOKUP($D$5,'Economist Financing Model 1'!$I$6:$N$80,'Economist Financing Model 1'!B46,FALSE)+D48</f>
        <v>-721714307.76969171</v>
      </c>
      <c r="E49" s="108">
        <f>HLOOKUP($D$5,'Economist Financing Model 1'!$O$6:$T$80,'Economist Financing Model 1'!B46,FALSE)+E48</f>
        <v>-849258506.97085822</v>
      </c>
      <c r="F49" s="109">
        <f>HLOOKUP($D$5,'Economist Financing Model 1'!$U$6:$Z$80,'Economist Financing Model 1'!B46,FALSE)+F48</f>
        <v>-1123417507.2620773</v>
      </c>
      <c r="G49" s="107">
        <f>-1*HLOOKUP($D$5,'Economist Financing Model 2'!$C$68:$I$143,'Economist Financing Model 2'!B108,FALSE)+G48</f>
        <v>387641302.77955347</v>
      </c>
      <c r="H49" s="108">
        <f>-1*HLOOKUP($D$5,'Economist Financing Model 2'!$J$68:$P$144,'Economist Financing Model 2'!B108,FALSE)+H48</f>
        <v>427757504.4801529</v>
      </c>
      <c r="I49" s="108">
        <f>-1*HLOOKUP($D$5,'Economist Financing Model 2'!$Q$68:$W$144,'Economist Financing Model 2'!B108,FALSE)+I48</f>
        <v>477953727.47642171</v>
      </c>
      <c r="J49" s="109">
        <f>-1*HLOOKUP($D$5,'Economist Financing Model 2'!$X$68:$AD$144,'Economist Financing Model 2'!B108,FALSE)+J48</f>
        <v>615873637.87550581</v>
      </c>
    </row>
    <row r="50" spans="1:10" x14ac:dyDescent="0.2">
      <c r="A50" s="105">
        <v>2030</v>
      </c>
      <c r="B50" s="105">
        <v>42</v>
      </c>
      <c r="C50" s="107">
        <f>HLOOKUP($D$5,'Economist Financing Model 1'!$C$6:$H$80,'Economist Financing Model 1'!B47,FALSE)+C49</f>
        <v>-640231289.93772054</v>
      </c>
      <c r="D50" s="108">
        <f>HLOOKUP($D$5,'Economist Financing Model 1'!$I$6:$N$80,'Economist Financing Model 1'!B47,FALSE)+D49</f>
        <v>-766821452.00529742</v>
      </c>
      <c r="E50" s="108">
        <f>HLOOKUP($D$5,'Economist Financing Model 1'!$O$6:$T$80,'Economist Financing Model 1'!B47,FALSE)+E49</f>
        <v>-902337163.65653682</v>
      </c>
      <c r="F50" s="109">
        <f>HLOOKUP($D$5,'Economist Financing Model 1'!$U$6:$Z$80,'Economist Financing Model 1'!B47,FALSE)+F49</f>
        <v>-1193631101.4659572</v>
      </c>
      <c r="G50" s="107">
        <f>-1*HLOOKUP($D$5,'Economist Financing Model 2'!$C$68:$I$143,'Economist Financing Model 2'!B109,FALSE)+G49</f>
        <v>428521737.03940463</v>
      </c>
      <c r="H50" s="108">
        <f>-1*HLOOKUP($D$5,'Economist Financing Model 2'!$J$68:$P$144,'Economist Financing Model 2'!B109,FALSE)+H49</f>
        <v>482010005.97353721</v>
      </c>
      <c r="I50" s="108">
        <f>-1*HLOOKUP($D$5,'Economist Financing Model 2'!$Q$68:$W$144,'Economist Financing Model 2'!B109,FALSE)+I49</f>
        <v>548938303.30189562</v>
      </c>
      <c r="J50" s="109">
        <f>-1*HLOOKUP($D$5,'Economist Financing Model 2'!$X$68:$AD$144,'Economist Financing Model 2'!B109,FALSE)+J49</f>
        <v>732831517.16734111</v>
      </c>
    </row>
    <row r="51" spans="1:10" x14ac:dyDescent="0.2">
      <c r="A51" s="105">
        <v>2031</v>
      </c>
      <c r="B51" s="105">
        <v>43</v>
      </c>
      <c r="C51" s="107">
        <f>HLOOKUP($D$5,'Economist Financing Model 1'!$C$6:$H$80,'Economist Financing Model 1'!B48,FALSE)+C50</f>
        <v>-677891954.05170405</v>
      </c>
      <c r="D51" s="108">
        <f>HLOOKUP($D$5,'Economist Financing Model 1'!$I$6:$N$80,'Economist Financing Model 1'!B48,FALSE)+D50</f>
        <v>-811928596.24090314</v>
      </c>
      <c r="E51" s="108">
        <f>HLOOKUP($D$5,'Economist Financing Model 1'!$O$6:$T$80,'Economist Financing Model 1'!B48,FALSE)+E50</f>
        <v>-955415820.34221542</v>
      </c>
      <c r="F51" s="109">
        <f>HLOOKUP($D$5,'Economist Financing Model 1'!$U$6:$Z$80,'Economist Financing Model 1'!B48,FALSE)+F50</f>
        <v>-1263844695.669837</v>
      </c>
      <c r="G51" s="107">
        <f>-1*HLOOKUP($D$5,'Economist Financing Model 2'!$C$68:$I$143,'Economist Financing Model 2'!B110,FALSE)+G50</f>
        <v>469402171.29925579</v>
      </c>
      <c r="H51" s="108">
        <f>-1*HLOOKUP($D$5,'Economist Financing Model 2'!$J$68:$P$144,'Economist Financing Model 2'!B110,FALSE)+H50</f>
        <v>536262507.46692151</v>
      </c>
      <c r="I51" s="108">
        <f>-1*HLOOKUP($D$5,'Economist Financing Model 2'!$Q$68:$W$144,'Economist Financing Model 2'!B110,FALSE)+I50</f>
        <v>619922879.12736952</v>
      </c>
      <c r="J51" s="109">
        <f>-1*HLOOKUP($D$5,'Economist Financing Model 2'!$X$68:$AD$144,'Economist Financing Model 2'!B110,FALSE)+J50</f>
        <v>849789396.45917642</v>
      </c>
    </row>
    <row r="52" spans="1:10" x14ac:dyDescent="0.2">
      <c r="A52" s="105">
        <v>2032</v>
      </c>
      <c r="B52" s="105">
        <v>44</v>
      </c>
      <c r="C52" s="107">
        <f>HLOOKUP($D$5,'Economist Financing Model 1'!$C$6:$H$80,'Economist Financing Model 1'!B49,FALSE)+C51</f>
        <v>-715552618.16568756</v>
      </c>
      <c r="D52" s="108">
        <f>HLOOKUP($D$5,'Economist Financing Model 1'!$I$6:$N$80,'Economist Financing Model 1'!B49,FALSE)+D51</f>
        <v>-857035740.47650886</v>
      </c>
      <c r="E52" s="108">
        <f>HLOOKUP($D$5,'Economist Financing Model 1'!$O$6:$T$80,'Economist Financing Model 1'!B49,FALSE)+E51</f>
        <v>-1008494477.027894</v>
      </c>
      <c r="F52" s="109">
        <f>HLOOKUP($D$5,'Economist Financing Model 1'!$U$6:$Z$80,'Economist Financing Model 1'!B49,FALSE)+F51</f>
        <v>-1334058289.8737168</v>
      </c>
      <c r="G52" s="107">
        <f>-1*HLOOKUP($D$5,'Economist Financing Model 2'!$C$68:$I$143,'Economist Financing Model 2'!B111,FALSE)+G51</f>
        <v>510282605.55910695</v>
      </c>
      <c r="H52" s="108">
        <f>-1*HLOOKUP($D$5,'Economist Financing Model 2'!$J$68:$P$144,'Economist Financing Model 2'!B111,FALSE)+H51</f>
        <v>590515008.96030581</v>
      </c>
      <c r="I52" s="108">
        <f>-1*HLOOKUP($D$5,'Economist Financing Model 2'!$Q$68:$W$144,'Economist Financing Model 2'!B111,FALSE)+I51</f>
        <v>690907454.95284343</v>
      </c>
      <c r="J52" s="109">
        <f>-1*HLOOKUP($D$5,'Economist Financing Model 2'!$X$68:$AD$144,'Economist Financing Model 2'!B111,FALSE)+J51</f>
        <v>966747275.75101173</v>
      </c>
    </row>
    <row r="53" spans="1:10" x14ac:dyDescent="0.2">
      <c r="A53" s="105">
        <v>2033</v>
      </c>
      <c r="B53" s="105">
        <v>45</v>
      </c>
      <c r="C53" s="107">
        <f>HLOOKUP($D$5,'Economist Financing Model 1'!$C$6:$H$80,'Economist Financing Model 1'!B50,FALSE)+C52</f>
        <v>-753213282.27967107</v>
      </c>
      <c r="D53" s="108">
        <f>HLOOKUP($D$5,'Economist Financing Model 1'!$I$6:$N$80,'Economist Financing Model 1'!B50,FALSE)+D52</f>
        <v>-902142884.71211457</v>
      </c>
      <c r="E53" s="108">
        <f>HLOOKUP($D$5,'Economist Financing Model 1'!$O$6:$T$80,'Economist Financing Model 1'!B50,FALSE)+E52</f>
        <v>-1061573133.7135726</v>
      </c>
      <c r="F53" s="109">
        <f>HLOOKUP($D$5,'Economist Financing Model 1'!$U$6:$Z$80,'Economist Financing Model 1'!B50,FALSE)+F52</f>
        <v>-1404271884.0775967</v>
      </c>
      <c r="G53" s="107">
        <f>-1*HLOOKUP($D$5,'Economist Financing Model 2'!$C$68:$I$143,'Economist Financing Model 2'!B112,FALSE)+G52</f>
        <v>551163039.81895804</v>
      </c>
      <c r="H53" s="108">
        <f>-1*HLOOKUP($D$5,'Economist Financing Model 2'!$J$68:$P$144,'Economist Financing Model 2'!B112,FALSE)+H52</f>
        <v>644767510.45369005</v>
      </c>
      <c r="I53" s="108">
        <f>-1*HLOOKUP($D$5,'Economist Financing Model 2'!$Q$68:$W$144,'Economist Financing Model 2'!B112,FALSE)+I52</f>
        <v>761892030.77831733</v>
      </c>
      <c r="J53" s="109">
        <f>-1*HLOOKUP($D$5,'Economist Financing Model 2'!$X$68:$AD$144,'Economist Financing Model 2'!B112,FALSE)+J52</f>
        <v>1083705155.0428469</v>
      </c>
    </row>
    <row r="54" spans="1:10" x14ac:dyDescent="0.2">
      <c r="A54" s="105">
        <v>2034</v>
      </c>
      <c r="B54" s="105">
        <v>46</v>
      </c>
      <c r="C54" s="107">
        <f>HLOOKUP($D$5,'Economist Financing Model 1'!$C$6:$H$80,'Economist Financing Model 1'!B51,FALSE)+C53</f>
        <v>-790873946.39365458</v>
      </c>
      <c r="D54" s="108">
        <f>HLOOKUP($D$5,'Economist Financing Model 1'!$I$6:$N$80,'Economist Financing Model 1'!B51,FALSE)+D53</f>
        <v>-947250028.94772029</v>
      </c>
      <c r="E54" s="108">
        <f>HLOOKUP($D$5,'Economist Financing Model 1'!$O$6:$T$80,'Economist Financing Model 1'!B51,FALSE)+E53</f>
        <v>-1114651790.3992512</v>
      </c>
      <c r="F54" s="109">
        <f>HLOOKUP($D$5,'Economist Financing Model 1'!$U$6:$Z$80,'Economist Financing Model 1'!B51,FALSE)+F53</f>
        <v>-1474485478.2814765</v>
      </c>
      <c r="G54" s="107">
        <f>-1*HLOOKUP($D$5,'Economist Financing Model 2'!$C$68:$I$143,'Economist Financing Model 2'!B113,FALSE)+G53</f>
        <v>592043474.07880926</v>
      </c>
      <c r="H54" s="108">
        <f>-1*HLOOKUP($D$5,'Economist Financing Model 2'!$J$68:$P$144,'Economist Financing Model 2'!B113,FALSE)+H53</f>
        <v>699020011.94707429</v>
      </c>
      <c r="I54" s="108">
        <f>-1*HLOOKUP($D$5,'Economist Financing Model 2'!$Q$68:$W$144,'Economist Financing Model 2'!B113,FALSE)+I53</f>
        <v>832876606.60379124</v>
      </c>
      <c r="J54" s="109">
        <f>-1*HLOOKUP($D$5,'Economist Financing Model 2'!$X$68:$AD$144,'Economist Financing Model 2'!B113,FALSE)+J53</f>
        <v>1200663034.3346822</v>
      </c>
    </row>
    <row r="55" spans="1:10" x14ac:dyDescent="0.2">
      <c r="A55" s="105">
        <v>2035</v>
      </c>
      <c r="B55" s="105">
        <v>47</v>
      </c>
      <c r="C55" s="107">
        <f>HLOOKUP($D$5,'Economist Financing Model 1'!$C$6:$H$80,'Economist Financing Model 1'!B52,FALSE)+C54</f>
        <v>-828534610.5076381</v>
      </c>
      <c r="D55" s="108">
        <f>HLOOKUP($D$5,'Economist Financing Model 1'!$I$6:$N$80,'Economist Financing Model 1'!B52,FALSE)+D54</f>
        <v>-992357173.18332601</v>
      </c>
      <c r="E55" s="108">
        <f>HLOOKUP($D$5,'Economist Financing Model 1'!$O$6:$T$80,'Economist Financing Model 1'!B52,FALSE)+E54</f>
        <v>-1167730447.0849299</v>
      </c>
      <c r="F55" s="109">
        <f>HLOOKUP($D$5,'Economist Financing Model 1'!$U$6:$Z$80,'Economist Financing Model 1'!B52,FALSE)+F54</f>
        <v>-1544699072.4853563</v>
      </c>
      <c r="G55" s="107">
        <f>-1*HLOOKUP($D$5,'Economist Financing Model 2'!$C$68:$I$143,'Economist Financing Model 2'!B114,FALSE)+G54</f>
        <v>632923908.33866048</v>
      </c>
      <c r="H55" s="108">
        <f>-1*HLOOKUP($D$5,'Economist Financing Model 2'!$J$68:$P$144,'Economist Financing Model 2'!B114,FALSE)+H54</f>
        <v>753272513.44045854</v>
      </c>
      <c r="I55" s="108">
        <f>-1*HLOOKUP($D$5,'Economist Financing Model 2'!$Q$68:$W$144,'Economist Financing Model 2'!B114,FALSE)+I54</f>
        <v>903861182.42926514</v>
      </c>
      <c r="J55" s="109">
        <f>-1*HLOOKUP($D$5,'Economist Financing Model 2'!$X$68:$AD$144,'Economist Financing Model 2'!B114,FALSE)+J54</f>
        <v>1317620913.6265175</v>
      </c>
    </row>
    <row r="56" spans="1:10" x14ac:dyDescent="0.2">
      <c r="A56" s="105">
        <v>2036</v>
      </c>
      <c r="B56" s="105">
        <v>48</v>
      </c>
      <c r="C56" s="107">
        <f>HLOOKUP($D$5,'Economist Financing Model 1'!$C$6:$H$80,'Economist Financing Model 1'!B53,FALSE)+C55</f>
        <v>-866195274.62162161</v>
      </c>
      <c r="D56" s="108">
        <f>HLOOKUP($D$5,'Economist Financing Model 1'!$I$6:$N$80,'Economist Financing Model 1'!B53,FALSE)+D55</f>
        <v>-1037464317.4189317</v>
      </c>
      <c r="E56" s="108">
        <f>HLOOKUP($D$5,'Economist Financing Model 1'!$O$6:$T$80,'Economist Financing Model 1'!B53,FALSE)+E55</f>
        <v>-1220809103.7706087</v>
      </c>
      <c r="F56" s="109">
        <f>HLOOKUP($D$5,'Economist Financing Model 1'!$U$6:$Z$80,'Economist Financing Model 1'!B53,FALSE)+F55</f>
        <v>-1614912666.6892362</v>
      </c>
      <c r="G56" s="107">
        <f>-1*HLOOKUP($D$5,'Economist Financing Model 2'!$C$68:$I$143,'Economist Financing Model 2'!B115,FALSE)+G55</f>
        <v>673804342.5985117</v>
      </c>
      <c r="H56" s="108">
        <f>-1*HLOOKUP($D$5,'Economist Financing Model 2'!$J$68:$P$144,'Economist Financing Model 2'!B115,FALSE)+H55</f>
        <v>807525014.93384278</v>
      </c>
      <c r="I56" s="108">
        <f>-1*HLOOKUP($D$5,'Economist Financing Model 2'!$Q$68:$W$144,'Economist Financing Model 2'!B115,FALSE)+I55</f>
        <v>974845758.25473905</v>
      </c>
      <c r="J56" s="109">
        <f>-1*HLOOKUP($D$5,'Economist Financing Model 2'!$X$68:$AD$144,'Economist Financing Model 2'!B115,FALSE)+J55</f>
        <v>1434578792.9183528</v>
      </c>
    </row>
    <row r="57" spans="1:10" x14ac:dyDescent="0.2">
      <c r="A57" s="105">
        <v>2037</v>
      </c>
      <c r="B57" s="105">
        <v>49</v>
      </c>
      <c r="C57" s="107">
        <f>HLOOKUP($D$5,'Economist Financing Model 1'!$C$6:$H$80,'Economist Financing Model 1'!B54,FALSE)+C56</f>
        <v>-903855938.73560512</v>
      </c>
      <c r="D57" s="108">
        <f>HLOOKUP($D$5,'Economist Financing Model 1'!$I$6:$N$80,'Economist Financing Model 1'!B54,FALSE)+D56</f>
        <v>-1082571461.6545374</v>
      </c>
      <c r="E57" s="108">
        <f>HLOOKUP($D$5,'Economist Financing Model 1'!$O$6:$T$80,'Economist Financing Model 1'!B54,FALSE)+E56</f>
        <v>-1273887760.4562874</v>
      </c>
      <c r="F57" s="109">
        <f>HLOOKUP($D$5,'Economist Financing Model 1'!$U$6:$Z$80,'Economist Financing Model 1'!B54,FALSE)+F56</f>
        <v>-1685126260.893116</v>
      </c>
      <c r="G57" s="107">
        <f>-1*HLOOKUP($D$5,'Economist Financing Model 2'!$C$68:$I$143,'Economist Financing Model 2'!B116,FALSE)+G56</f>
        <v>714684776.85836291</v>
      </c>
      <c r="H57" s="108">
        <f>-1*HLOOKUP($D$5,'Economist Financing Model 2'!$J$68:$P$144,'Economist Financing Model 2'!B116,FALSE)+H56</f>
        <v>861777516.42722702</v>
      </c>
      <c r="I57" s="108">
        <f>-1*HLOOKUP($D$5,'Economist Financing Model 2'!$Q$68:$W$144,'Economist Financing Model 2'!B116,FALSE)+I56</f>
        <v>1045830334.080213</v>
      </c>
      <c r="J57" s="109">
        <f>-1*HLOOKUP($D$5,'Economist Financing Model 2'!$X$68:$AD$144,'Economist Financing Model 2'!B116,FALSE)+J56</f>
        <v>1551536672.2101882</v>
      </c>
    </row>
    <row r="58" spans="1:10" x14ac:dyDescent="0.2">
      <c r="A58" s="105">
        <v>2038</v>
      </c>
      <c r="B58" s="105">
        <v>50</v>
      </c>
      <c r="C58" s="107">
        <f>HLOOKUP($D$5,'Economist Financing Model 1'!$C$6:$H$80,'Economist Financing Model 1'!B55,FALSE)+C57</f>
        <v>-941516602.84958863</v>
      </c>
      <c r="D58" s="108">
        <f>HLOOKUP($D$5,'Economist Financing Model 1'!$I$6:$N$80,'Economist Financing Model 1'!B55,FALSE)+D57</f>
        <v>-1127678605.8901432</v>
      </c>
      <c r="E58" s="108">
        <f>HLOOKUP($D$5,'Economist Financing Model 1'!$O$6:$T$80,'Economist Financing Model 1'!B55,FALSE)+E57</f>
        <v>-1326966417.1419661</v>
      </c>
      <c r="F58" s="109">
        <f>HLOOKUP($D$5,'Economist Financing Model 1'!$U$6:$Z$80,'Economist Financing Model 1'!B55,FALSE)+F57</f>
        <v>-1755339855.0969958</v>
      </c>
      <c r="G58" s="107">
        <f>-1*HLOOKUP($D$5,'Economist Financing Model 2'!$C$68:$I$143,'Economist Financing Model 2'!B117,FALSE)+G57</f>
        <v>755565211.11821413</v>
      </c>
      <c r="H58" s="108">
        <f>-1*HLOOKUP($D$5,'Economist Financing Model 2'!$J$68:$P$144,'Economist Financing Model 2'!B117,FALSE)+H57</f>
        <v>916030017.92061126</v>
      </c>
      <c r="I58" s="108">
        <f>-1*HLOOKUP($D$5,'Economist Financing Model 2'!$Q$68:$W$144,'Economist Financing Model 2'!B117,FALSE)+I57</f>
        <v>1116814909.9056869</v>
      </c>
      <c r="J58" s="109">
        <f>-1*HLOOKUP($D$5,'Economist Financing Model 2'!$X$68:$AD$144,'Economist Financing Model 2'!B117,FALSE)+J57</f>
        <v>1668494551.5020235</v>
      </c>
    </row>
    <row r="59" spans="1:10" x14ac:dyDescent="0.2">
      <c r="A59" s="105">
        <v>2039</v>
      </c>
      <c r="B59" s="105">
        <v>51</v>
      </c>
      <c r="C59" s="107">
        <f>HLOOKUP($D$5,'Economist Financing Model 1'!$C$6:$H$80,'Economist Financing Model 1'!B56,FALSE)+C58</f>
        <v>-979177266.96357214</v>
      </c>
      <c r="D59" s="108">
        <f>HLOOKUP($D$5,'Economist Financing Model 1'!$I$6:$N$80,'Economist Financing Model 1'!B56,FALSE)+D58</f>
        <v>-1172785750.1257489</v>
      </c>
      <c r="E59" s="108">
        <f>HLOOKUP($D$5,'Economist Financing Model 1'!$O$6:$T$80,'Economist Financing Model 1'!B56,FALSE)+E58</f>
        <v>-1380045073.8276448</v>
      </c>
      <c r="F59" s="109">
        <f>HLOOKUP($D$5,'Economist Financing Model 1'!$U$6:$Z$80,'Economist Financing Model 1'!B56,FALSE)+F58</f>
        <v>-1825553449.3008757</v>
      </c>
      <c r="G59" s="107">
        <f>-1*HLOOKUP($D$5,'Economist Financing Model 2'!$C$68:$I$143,'Economist Financing Model 2'!B118,FALSE)+G58</f>
        <v>796445645.37806535</v>
      </c>
      <c r="H59" s="108">
        <f>-1*HLOOKUP($D$5,'Economist Financing Model 2'!$J$68:$P$144,'Economist Financing Model 2'!B118,FALSE)+H58</f>
        <v>970282519.4139955</v>
      </c>
      <c r="I59" s="108">
        <f>-1*HLOOKUP($D$5,'Economist Financing Model 2'!$Q$68:$W$144,'Economist Financing Model 2'!B118,FALSE)+I58</f>
        <v>1187799485.7311606</v>
      </c>
      <c r="J59" s="109">
        <f>-1*HLOOKUP($D$5,'Economist Financing Model 2'!$X$68:$AD$144,'Economist Financing Model 2'!B118,FALSE)+J58</f>
        <v>1785452430.7938588</v>
      </c>
    </row>
    <row r="60" spans="1:10" x14ac:dyDescent="0.2">
      <c r="A60" s="105">
        <v>2040</v>
      </c>
      <c r="B60" s="105">
        <v>52</v>
      </c>
      <c r="C60" s="107">
        <f>HLOOKUP($D$5,'Economist Financing Model 1'!$C$6:$H$80,'Economist Financing Model 1'!B57,FALSE)+C59</f>
        <v>-1016837931.0775557</v>
      </c>
      <c r="D60" s="108">
        <f>HLOOKUP($D$5,'Economist Financing Model 1'!$I$6:$N$80,'Economist Financing Model 1'!B57,FALSE)+D59</f>
        <v>-1217892894.3613546</v>
      </c>
      <c r="E60" s="108">
        <f>HLOOKUP($D$5,'Economist Financing Model 1'!$O$6:$T$80,'Economist Financing Model 1'!B57,FALSE)+E59</f>
        <v>-1433123730.5133235</v>
      </c>
      <c r="F60" s="109">
        <f>HLOOKUP($D$5,'Economist Financing Model 1'!$U$6:$Z$80,'Economist Financing Model 1'!B57,FALSE)+F59</f>
        <v>-1895767043.5047555</v>
      </c>
      <c r="G60" s="107">
        <f>-1*HLOOKUP($D$5,'Economist Financing Model 2'!$C$68:$I$143,'Economist Financing Model 2'!B119,FALSE)+G59</f>
        <v>837326079.63791656</v>
      </c>
      <c r="H60" s="108">
        <f>-1*HLOOKUP($D$5,'Economist Financing Model 2'!$J$68:$P$144,'Economist Financing Model 2'!B119,FALSE)+H59</f>
        <v>1024535020.9073797</v>
      </c>
      <c r="I60" s="108">
        <f>-1*HLOOKUP($D$5,'Economist Financing Model 2'!$Q$68:$W$144,'Economist Financing Model 2'!B119,FALSE)+I59</f>
        <v>1258784061.5566344</v>
      </c>
      <c r="J60" s="109">
        <f>-1*HLOOKUP($D$5,'Economist Financing Model 2'!$X$68:$AD$144,'Economist Financing Model 2'!B119,FALSE)+J59</f>
        <v>1902410310.0856941</v>
      </c>
    </row>
    <row r="61" spans="1:10" x14ac:dyDescent="0.2">
      <c r="A61" s="105">
        <v>2041</v>
      </c>
      <c r="B61" s="105">
        <v>53</v>
      </c>
      <c r="C61" s="107">
        <f>HLOOKUP($D$5,'Economist Financing Model 1'!$C$6:$H$80,'Economist Financing Model 1'!B58,FALSE)+C60</f>
        <v>-1054498595.1915392</v>
      </c>
      <c r="D61" s="108">
        <f>HLOOKUP($D$5,'Economist Financing Model 1'!$I$6:$N$80,'Economist Financing Model 1'!B58,FALSE)+D60</f>
        <v>-1263000038.5969603</v>
      </c>
      <c r="E61" s="108">
        <f>HLOOKUP($D$5,'Economist Financing Model 1'!$O$6:$T$80,'Economist Financing Model 1'!B58,FALSE)+E60</f>
        <v>-1486202387.1990023</v>
      </c>
      <c r="F61" s="109">
        <f>HLOOKUP($D$5,'Economist Financing Model 1'!$U$6:$Z$80,'Economist Financing Model 1'!B58,FALSE)+F60</f>
        <v>-1965980637.7086353</v>
      </c>
      <c r="G61" s="107">
        <f>-1*HLOOKUP($D$5,'Economist Financing Model 2'!$C$68:$I$143,'Economist Financing Model 2'!B120,FALSE)+G60</f>
        <v>878206513.89776778</v>
      </c>
      <c r="H61" s="108">
        <f>-1*HLOOKUP($D$5,'Economist Financing Model 2'!$J$68:$P$144,'Economist Financing Model 2'!B120,FALSE)+H60</f>
        <v>1078787522.400764</v>
      </c>
      <c r="I61" s="108">
        <f>-1*HLOOKUP($D$5,'Economist Financing Model 2'!$Q$68:$W$144,'Economist Financing Model 2'!B120,FALSE)+I60</f>
        <v>1329768637.3821082</v>
      </c>
      <c r="J61" s="109">
        <f>-1*HLOOKUP($D$5,'Economist Financing Model 2'!$X$68:$AD$144,'Economist Financing Model 2'!B120,FALSE)+J60</f>
        <v>2019368189.3775294</v>
      </c>
    </row>
    <row r="62" spans="1:10" x14ac:dyDescent="0.2">
      <c r="A62" s="105">
        <v>2042</v>
      </c>
      <c r="B62" s="105">
        <v>54</v>
      </c>
      <c r="C62" s="107">
        <f>HLOOKUP($D$5,'Economist Financing Model 1'!$C$6:$H$80,'Economist Financing Model 1'!B59,FALSE)+C61</f>
        <v>-1092159259.3055227</v>
      </c>
      <c r="D62" s="108">
        <f>HLOOKUP($D$5,'Economist Financing Model 1'!$I$6:$N$80,'Economist Financing Model 1'!B59,FALSE)+D61</f>
        <v>-1308107182.832566</v>
      </c>
      <c r="E62" s="108">
        <f>HLOOKUP($D$5,'Economist Financing Model 1'!$O$6:$T$80,'Economist Financing Model 1'!B59,FALSE)+E61</f>
        <v>-1539281043.884681</v>
      </c>
      <c r="F62" s="109">
        <f>HLOOKUP($D$5,'Economist Financing Model 1'!$U$6:$Z$80,'Economist Financing Model 1'!B59,FALSE)+F61</f>
        <v>-2036194231.9125152</v>
      </c>
      <c r="G62" s="107">
        <f>-1*HLOOKUP($D$5,'Economist Financing Model 2'!$C$68:$I$143,'Economist Financing Model 2'!B121,FALSE)+G61</f>
        <v>919086948.157619</v>
      </c>
      <c r="H62" s="108">
        <f>-1*HLOOKUP($D$5,'Economist Financing Model 2'!$J$68:$P$144,'Economist Financing Model 2'!B121,FALSE)+H61</f>
        <v>1133040023.8941483</v>
      </c>
      <c r="I62" s="108">
        <f>-1*HLOOKUP($D$5,'Economist Financing Model 2'!$Q$68:$W$144,'Economist Financing Model 2'!B121,FALSE)+I61</f>
        <v>1400753213.207582</v>
      </c>
      <c r="J62" s="109">
        <f>-1*HLOOKUP($D$5,'Economist Financing Model 2'!$X$68:$AD$144,'Economist Financing Model 2'!B121,FALSE)+J61</f>
        <v>2136326068.6693647</v>
      </c>
    </row>
    <row r="63" spans="1:10" x14ac:dyDescent="0.2">
      <c r="A63" s="105">
        <v>2043</v>
      </c>
      <c r="B63" s="105">
        <v>55</v>
      </c>
      <c r="C63" s="107">
        <f>HLOOKUP($D$5,'Economist Financing Model 1'!$C$6:$H$80,'Economist Financing Model 1'!B60,FALSE)+C62</f>
        <v>-1129819923.4195063</v>
      </c>
      <c r="D63" s="108">
        <f>HLOOKUP($D$5,'Economist Financing Model 1'!$I$6:$N$80,'Economist Financing Model 1'!B60,FALSE)+D62</f>
        <v>-1353214327.0681717</v>
      </c>
      <c r="E63" s="108">
        <f>HLOOKUP($D$5,'Economist Financing Model 1'!$O$6:$T$80,'Economist Financing Model 1'!B60,FALSE)+E62</f>
        <v>-1592359700.5703597</v>
      </c>
      <c r="F63" s="109">
        <f>HLOOKUP($D$5,'Economist Financing Model 1'!$U$6:$Z$80,'Economist Financing Model 1'!B60,FALSE)+F62</f>
        <v>-2106407826.116395</v>
      </c>
      <c r="G63" s="107">
        <f>-1*HLOOKUP($D$5,'Economist Financing Model 2'!$C$68:$I$143,'Economist Financing Model 2'!B122,FALSE)+G62</f>
        <v>959967382.41747022</v>
      </c>
      <c r="H63" s="108">
        <f>-1*HLOOKUP($D$5,'Economist Financing Model 2'!$J$68:$P$144,'Economist Financing Model 2'!B122,FALSE)+H62</f>
        <v>1187292525.3875327</v>
      </c>
      <c r="I63" s="108">
        <f>-1*HLOOKUP($D$5,'Economist Financing Model 2'!$Q$68:$W$144,'Economist Financing Model 2'!B122,FALSE)+I62</f>
        <v>1471737789.0330558</v>
      </c>
      <c r="J63" s="109">
        <f>-1*HLOOKUP($D$5,'Economist Financing Model 2'!$X$68:$AD$144,'Economist Financing Model 2'!B122,FALSE)+J62</f>
        <v>2253283947.9611998</v>
      </c>
    </row>
    <row r="64" spans="1:10" x14ac:dyDescent="0.2">
      <c r="A64" s="105">
        <v>2044</v>
      </c>
      <c r="B64" s="105">
        <v>56</v>
      </c>
      <c r="C64" s="107">
        <f>HLOOKUP($D$5,'Economist Financing Model 1'!$C$6:$H$80,'Economist Financing Model 1'!B61,FALSE)+C63</f>
        <v>-1167480587.5334899</v>
      </c>
      <c r="D64" s="108">
        <f>HLOOKUP($D$5,'Economist Financing Model 1'!$I$6:$N$80,'Economist Financing Model 1'!B61,FALSE)+D63</f>
        <v>-1398321471.3037775</v>
      </c>
      <c r="E64" s="108">
        <f>HLOOKUP($D$5,'Economist Financing Model 1'!$O$6:$T$80,'Economist Financing Model 1'!B61,FALSE)+E63</f>
        <v>-1645438357.2560384</v>
      </c>
      <c r="F64" s="109">
        <f>HLOOKUP($D$5,'Economist Financing Model 1'!$U$6:$Z$80,'Economist Financing Model 1'!B61,FALSE)+F63</f>
        <v>-2176621420.3202748</v>
      </c>
      <c r="G64" s="107">
        <f>-1*HLOOKUP($D$5,'Economist Financing Model 2'!$C$68:$I$143,'Economist Financing Model 2'!B123,FALSE)+G63</f>
        <v>1000847816.6773214</v>
      </c>
      <c r="H64" s="108">
        <f>-1*HLOOKUP($D$5,'Economist Financing Model 2'!$J$68:$P$144,'Economist Financing Model 2'!B123,FALSE)+H63</f>
        <v>1241545026.8809171</v>
      </c>
      <c r="I64" s="108">
        <f>-1*HLOOKUP($D$5,'Economist Financing Model 2'!$Q$68:$W$144,'Economist Financing Model 2'!B123,FALSE)+I63</f>
        <v>1542722364.8585296</v>
      </c>
      <c r="J64" s="109">
        <f>-1*HLOOKUP($D$5,'Economist Financing Model 2'!$X$68:$AD$144,'Economist Financing Model 2'!B123,FALSE)+J63</f>
        <v>2370241827.2530351</v>
      </c>
    </row>
    <row r="65" spans="1:10" x14ac:dyDescent="0.2">
      <c r="A65" s="105">
        <v>2045</v>
      </c>
      <c r="B65" s="105">
        <v>57</v>
      </c>
      <c r="C65" s="107">
        <f>HLOOKUP($D$5,'Economist Financing Model 1'!$C$6:$H$80,'Economist Financing Model 1'!B62,FALSE)+C64</f>
        <v>-1205141251.6474736</v>
      </c>
      <c r="D65" s="108">
        <f>HLOOKUP($D$5,'Economist Financing Model 1'!$I$6:$N$80,'Economist Financing Model 1'!B62,FALSE)+D64</f>
        <v>-1443428615.5393832</v>
      </c>
      <c r="E65" s="108">
        <f>HLOOKUP($D$5,'Economist Financing Model 1'!$O$6:$T$80,'Economist Financing Model 1'!B62,FALSE)+E64</f>
        <v>-1698517013.9417171</v>
      </c>
      <c r="F65" s="109">
        <f>HLOOKUP($D$5,'Economist Financing Model 1'!$U$6:$Z$80,'Economist Financing Model 1'!B62,FALSE)+F64</f>
        <v>-2246835014.5241547</v>
      </c>
      <c r="G65" s="107">
        <f>-1*HLOOKUP($D$5,'Economist Financing Model 2'!$C$68:$I$143,'Economist Financing Model 2'!B124,FALSE)+G64</f>
        <v>1041728250.9371727</v>
      </c>
      <c r="H65" s="108">
        <f>-1*HLOOKUP($D$5,'Economist Financing Model 2'!$J$68:$P$144,'Economist Financing Model 2'!B124,FALSE)+H64</f>
        <v>1295797528.3743014</v>
      </c>
      <c r="I65" s="108">
        <f>-1*HLOOKUP($D$5,'Economist Financing Model 2'!$Q$68:$W$144,'Economist Financing Model 2'!B124,FALSE)+I64</f>
        <v>1613706940.6840034</v>
      </c>
      <c r="J65" s="109">
        <f>-1*HLOOKUP($D$5,'Economist Financing Model 2'!$X$68:$AD$144,'Economist Financing Model 2'!B124,FALSE)+J64</f>
        <v>2487199706.5448704</v>
      </c>
    </row>
    <row r="66" spans="1:10" x14ac:dyDescent="0.2">
      <c r="A66" s="105">
        <v>2046</v>
      </c>
      <c r="B66" s="105">
        <v>58</v>
      </c>
      <c r="C66" s="107">
        <f>HLOOKUP($D$5,'Economist Financing Model 1'!$C$6:$H$80,'Economist Financing Model 1'!B63,FALSE)+C65</f>
        <v>-1242801915.7614572</v>
      </c>
      <c r="D66" s="108">
        <f>HLOOKUP($D$5,'Economist Financing Model 1'!$I$6:$N$80,'Economist Financing Model 1'!B63,FALSE)+D65</f>
        <v>-1488535759.7749889</v>
      </c>
      <c r="E66" s="108">
        <f>HLOOKUP($D$5,'Economist Financing Model 1'!$O$6:$T$80,'Economist Financing Model 1'!B63,FALSE)+E65</f>
        <v>-1751595670.6273959</v>
      </c>
      <c r="F66" s="109">
        <f>HLOOKUP($D$5,'Economist Financing Model 1'!$U$6:$Z$80,'Economist Financing Model 1'!B63,FALSE)+F65</f>
        <v>-2317048608.7280345</v>
      </c>
      <c r="G66" s="107">
        <f>-1*HLOOKUP($D$5,'Economist Financing Model 2'!$C$68:$I$143,'Economist Financing Model 2'!B125,FALSE)+G65</f>
        <v>1082608685.1970239</v>
      </c>
      <c r="H66" s="108">
        <f>-1*HLOOKUP($D$5,'Economist Financing Model 2'!$J$68:$P$144,'Economist Financing Model 2'!B125,FALSE)+H65</f>
        <v>1350050029.8676858</v>
      </c>
      <c r="I66" s="108">
        <f>-1*HLOOKUP($D$5,'Economist Financing Model 2'!$Q$68:$W$144,'Economist Financing Model 2'!B125,FALSE)+I65</f>
        <v>1684691516.5094771</v>
      </c>
      <c r="J66" s="109">
        <f>-1*HLOOKUP($D$5,'Economist Financing Model 2'!$X$68:$AD$144,'Economist Financing Model 2'!B125,FALSE)+J65</f>
        <v>2604157585.8367057</v>
      </c>
    </row>
    <row r="67" spans="1:10" x14ac:dyDescent="0.2">
      <c r="A67" s="105">
        <v>2047</v>
      </c>
      <c r="B67" s="105">
        <v>59</v>
      </c>
      <c r="C67" s="107">
        <f>HLOOKUP($D$5,'Economist Financing Model 1'!$C$6:$H$80,'Economist Financing Model 1'!B64,FALSE)+C66</f>
        <v>-1280462579.8754408</v>
      </c>
      <c r="D67" s="108">
        <f>HLOOKUP($D$5,'Economist Financing Model 1'!$I$6:$N$80,'Economist Financing Model 1'!B64,FALSE)+D66</f>
        <v>-1533642904.0105946</v>
      </c>
      <c r="E67" s="108">
        <f>HLOOKUP($D$5,'Economist Financing Model 1'!$O$6:$T$80,'Economist Financing Model 1'!B64,FALSE)+E66</f>
        <v>-1804674327.3130746</v>
      </c>
      <c r="F67" s="109">
        <f>HLOOKUP($D$5,'Economist Financing Model 1'!$U$6:$Z$80,'Economist Financing Model 1'!B64,FALSE)+F66</f>
        <v>-2387262202.9319143</v>
      </c>
      <c r="G67" s="107">
        <f>-1*HLOOKUP($D$5,'Economist Financing Model 2'!$C$68:$I$143,'Economist Financing Model 2'!B126,FALSE)+G66</f>
        <v>1123489119.4568751</v>
      </c>
      <c r="H67" s="108">
        <f>-1*HLOOKUP($D$5,'Economist Financing Model 2'!$J$68:$P$144,'Economist Financing Model 2'!B126,FALSE)+H66</f>
        <v>1404302531.3610702</v>
      </c>
      <c r="I67" s="108">
        <f>-1*HLOOKUP($D$5,'Economist Financing Model 2'!$Q$68:$W$144,'Economist Financing Model 2'!B126,FALSE)+I66</f>
        <v>1755676092.3349509</v>
      </c>
      <c r="J67" s="109">
        <f>-1*HLOOKUP($D$5,'Economist Financing Model 2'!$X$68:$AD$144,'Economist Financing Model 2'!B126,FALSE)+J66</f>
        <v>2721115465.128541</v>
      </c>
    </row>
    <row r="68" spans="1:10" x14ac:dyDescent="0.2">
      <c r="A68" s="105">
        <v>2048</v>
      </c>
      <c r="B68" s="105">
        <v>60</v>
      </c>
      <c r="C68" s="107">
        <f>HLOOKUP($D$5,'Economist Financing Model 1'!$C$6:$H$80,'Economist Financing Model 1'!B65,FALSE)+C67</f>
        <v>-1318123243.9894245</v>
      </c>
      <c r="D68" s="108">
        <f>HLOOKUP($D$5,'Economist Financing Model 1'!$I$6:$N$80,'Economist Financing Model 1'!B65,FALSE)+D67</f>
        <v>-1578750048.2462003</v>
      </c>
      <c r="E68" s="108">
        <f>HLOOKUP($D$5,'Economist Financing Model 1'!$O$6:$T$80,'Economist Financing Model 1'!B65,FALSE)+E67</f>
        <v>-1857752983.9987533</v>
      </c>
      <c r="F68" s="109">
        <f>HLOOKUP($D$5,'Economist Financing Model 1'!$U$6:$Z$80,'Economist Financing Model 1'!B65,FALSE)+F67</f>
        <v>-2457475797.1357942</v>
      </c>
      <c r="G68" s="107">
        <f>-1*HLOOKUP($D$5,'Economist Financing Model 2'!$C$68:$I$143,'Economist Financing Model 2'!B127,FALSE)+G67</f>
        <v>1164369553.7167263</v>
      </c>
      <c r="H68" s="108">
        <f>-1*HLOOKUP($D$5,'Economist Financing Model 2'!$J$68:$P$144,'Economist Financing Model 2'!B127,FALSE)+H67</f>
        <v>1458555032.8544545</v>
      </c>
      <c r="I68" s="108">
        <f>-1*HLOOKUP($D$5,'Economist Financing Model 2'!$Q$68:$W$144,'Economist Financing Model 2'!B127,FALSE)+I67</f>
        <v>1826660668.1604247</v>
      </c>
      <c r="J68" s="109">
        <f>-1*HLOOKUP($D$5,'Economist Financing Model 2'!$X$68:$AD$144,'Economist Financing Model 2'!B127,FALSE)+J67</f>
        <v>2838073344.4203763</v>
      </c>
    </row>
    <row r="69" spans="1:10" x14ac:dyDescent="0.2">
      <c r="A69" s="105">
        <v>2049</v>
      </c>
      <c r="B69" s="105">
        <v>61</v>
      </c>
      <c r="C69" s="107">
        <f>HLOOKUP($D$5,'Economist Financing Model 1'!$C$6:$H$80,'Economist Financing Model 1'!B66,FALSE)+C68</f>
        <v>-1355783908.1034081</v>
      </c>
      <c r="D69" s="108">
        <f>HLOOKUP($D$5,'Economist Financing Model 1'!$I$6:$N$80,'Economist Financing Model 1'!B66,FALSE)+D68</f>
        <v>-1623857192.481806</v>
      </c>
      <c r="E69" s="108">
        <f>HLOOKUP($D$5,'Economist Financing Model 1'!$O$6:$T$80,'Economist Financing Model 1'!B66,FALSE)+E68</f>
        <v>-1910831640.684432</v>
      </c>
      <c r="F69" s="109">
        <f>HLOOKUP($D$5,'Economist Financing Model 1'!$U$6:$Z$80,'Economist Financing Model 1'!B66,FALSE)+F68</f>
        <v>-2527689391.339674</v>
      </c>
      <c r="G69" s="107">
        <f>-1*HLOOKUP($D$5,'Economist Financing Model 2'!$C$68:$I$143,'Economist Financing Model 2'!B128,FALSE)+G68</f>
        <v>1205249987.9765775</v>
      </c>
      <c r="H69" s="108">
        <f>-1*HLOOKUP($D$5,'Economist Financing Model 2'!$J$68:$P$144,'Economist Financing Model 2'!B128,FALSE)+H68</f>
        <v>1512807534.3478389</v>
      </c>
      <c r="I69" s="108">
        <f>-1*HLOOKUP($D$5,'Economist Financing Model 2'!$Q$68:$W$144,'Economist Financing Model 2'!B128,FALSE)+I68</f>
        <v>1897645243.9858985</v>
      </c>
      <c r="J69" s="109">
        <f>-1*HLOOKUP($D$5,'Economist Financing Model 2'!$X$68:$AD$144,'Economist Financing Model 2'!B128,FALSE)+J68</f>
        <v>2955031223.7122116</v>
      </c>
    </row>
    <row r="70" spans="1:10" x14ac:dyDescent="0.2">
      <c r="A70" s="105">
        <v>2050</v>
      </c>
      <c r="B70" s="105">
        <v>62</v>
      </c>
      <c r="C70" s="107">
        <f>HLOOKUP($D$5,'Economist Financing Model 1'!$C$6:$H$80,'Economist Financing Model 1'!B67,FALSE)+C69</f>
        <v>-1393444572.2173917</v>
      </c>
      <c r="D70" s="108">
        <f>HLOOKUP($D$5,'Economist Financing Model 1'!$I$6:$N$80,'Economist Financing Model 1'!B67,FALSE)+D69</f>
        <v>-1668964336.7174118</v>
      </c>
      <c r="E70" s="108">
        <f>HLOOKUP($D$5,'Economist Financing Model 1'!$O$6:$T$80,'Economist Financing Model 1'!B67,FALSE)+E69</f>
        <v>-1963910297.3701108</v>
      </c>
      <c r="F70" s="109">
        <f>HLOOKUP($D$5,'Economist Financing Model 1'!$U$6:$Z$80,'Economist Financing Model 1'!B67,FALSE)+F69</f>
        <v>-2597902985.5435538</v>
      </c>
      <c r="G70" s="107">
        <f>-1*HLOOKUP($D$5,'Economist Financing Model 2'!$C$68:$I$143,'Economist Financing Model 2'!B129,FALSE)+G69</f>
        <v>1246130422.2364287</v>
      </c>
      <c r="H70" s="108">
        <f>-1*HLOOKUP($D$5,'Economist Financing Model 2'!$J$68:$P$144,'Economist Financing Model 2'!B129,FALSE)+H69</f>
        <v>1567060035.8412232</v>
      </c>
      <c r="I70" s="108">
        <f>-1*HLOOKUP($D$5,'Economist Financing Model 2'!$Q$68:$W$144,'Economist Financing Model 2'!B129,FALSE)+I69</f>
        <v>1968629819.8113723</v>
      </c>
      <c r="J70" s="109">
        <f>-1*HLOOKUP($D$5,'Economist Financing Model 2'!$X$68:$AD$144,'Economist Financing Model 2'!B129,FALSE)+J69</f>
        <v>3071989103.0040469</v>
      </c>
    </row>
    <row r="71" spans="1:10" x14ac:dyDescent="0.2">
      <c r="A71" s="105">
        <v>2051</v>
      </c>
      <c r="B71" s="105">
        <v>63</v>
      </c>
      <c r="C71" s="107">
        <f>HLOOKUP($D$5,'Economist Financing Model 1'!$C$6:$H$80,'Economist Financing Model 1'!B68,FALSE)+C70</f>
        <v>-1431105236.3313754</v>
      </c>
      <c r="D71" s="108">
        <f>HLOOKUP($D$5,'Economist Financing Model 1'!$I$6:$N$80,'Economist Financing Model 1'!B68,FALSE)+D70</f>
        <v>-1714071480.9530175</v>
      </c>
      <c r="E71" s="108">
        <f>HLOOKUP($D$5,'Economist Financing Model 1'!$O$6:$T$80,'Economist Financing Model 1'!B68,FALSE)+E70</f>
        <v>-2016988954.0557895</v>
      </c>
      <c r="F71" s="109">
        <f>HLOOKUP($D$5,'Economist Financing Model 1'!$U$6:$Z$80,'Economist Financing Model 1'!B68,FALSE)+F70</f>
        <v>-2668116579.7474337</v>
      </c>
      <c r="G71" s="107">
        <f>-1*HLOOKUP($D$5,'Economist Financing Model 2'!$C$68:$I$143,'Economist Financing Model 2'!B130,FALSE)+G70</f>
        <v>1287010856.49628</v>
      </c>
      <c r="H71" s="108">
        <f>-1*HLOOKUP($D$5,'Economist Financing Model 2'!$J$68:$P$144,'Economist Financing Model 2'!B130,FALSE)+H70</f>
        <v>1621312537.3346076</v>
      </c>
      <c r="I71" s="108">
        <f>-1*HLOOKUP($D$5,'Economist Financing Model 2'!$Q$68:$W$144,'Economist Financing Model 2'!B130,FALSE)+I70</f>
        <v>2039614395.6368461</v>
      </c>
      <c r="J71" s="109">
        <f>-1*HLOOKUP($D$5,'Economist Financing Model 2'!$X$68:$AD$144,'Economist Financing Model 2'!B130,FALSE)+J70</f>
        <v>3188946982.2958822</v>
      </c>
    </row>
    <row r="72" spans="1:10" x14ac:dyDescent="0.2">
      <c r="A72" s="105">
        <v>2052</v>
      </c>
      <c r="B72" s="105">
        <v>64</v>
      </c>
      <c r="C72" s="107">
        <f>HLOOKUP($D$5,'Economist Financing Model 1'!$C$6:$H$80,'Economist Financing Model 1'!B69,FALSE)+C71</f>
        <v>-1468765900.445359</v>
      </c>
      <c r="D72" s="108">
        <f>HLOOKUP($D$5,'Economist Financing Model 1'!$I$6:$N$80,'Economist Financing Model 1'!B69,FALSE)+D71</f>
        <v>-1759178625.1886232</v>
      </c>
      <c r="E72" s="108">
        <f>HLOOKUP($D$5,'Economist Financing Model 1'!$O$6:$T$80,'Economist Financing Model 1'!B69,FALSE)+E71</f>
        <v>-2070067610.7414682</v>
      </c>
      <c r="F72" s="109">
        <f>HLOOKUP($D$5,'Economist Financing Model 1'!$U$6:$Z$80,'Economist Financing Model 1'!B69,FALSE)+F71</f>
        <v>-2738330173.9513135</v>
      </c>
      <c r="G72" s="107">
        <f>-1*HLOOKUP($D$5,'Economist Financing Model 2'!$C$68:$I$143,'Economist Financing Model 2'!B131,FALSE)+G71</f>
        <v>1327891290.7561312</v>
      </c>
      <c r="H72" s="108">
        <f>-1*HLOOKUP($D$5,'Economist Financing Model 2'!$J$68:$P$144,'Economist Financing Model 2'!B131,FALSE)+H71</f>
        <v>1675565038.827992</v>
      </c>
      <c r="I72" s="108">
        <f>-1*HLOOKUP($D$5,'Economist Financing Model 2'!$Q$68:$W$144,'Economist Financing Model 2'!B131,FALSE)+I71</f>
        <v>2110598971.4623199</v>
      </c>
      <c r="J72" s="109">
        <f>-1*HLOOKUP($D$5,'Economist Financing Model 2'!$X$68:$AD$144,'Economist Financing Model 2'!B131,FALSE)+J71</f>
        <v>3305904861.5877175</v>
      </c>
    </row>
    <row r="73" spans="1:10" x14ac:dyDescent="0.2">
      <c r="A73" s="105">
        <v>2053</v>
      </c>
      <c r="B73" s="105">
        <v>65</v>
      </c>
      <c r="C73" s="107">
        <f>HLOOKUP($D$5,'Economist Financing Model 1'!$C$6:$H$80,'Economist Financing Model 1'!B70,FALSE)+C72</f>
        <v>-1506426564.5593426</v>
      </c>
      <c r="D73" s="108">
        <f>HLOOKUP($D$5,'Economist Financing Model 1'!$I$6:$N$80,'Economist Financing Model 1'!B70,FALSE)+D72</f>
        <v>-1804285769.4242289</v>
      </c>
      <c r="E73" s="108">
        <f>HLOOKUP($D$5,'Economist Financing Model 1'!$O$6:$T$80,'Economist Financing Model 1'!B70,FALSE)+E72</f>
        <v>-2123146267.4271469</v>
      </c>
      <c r="F73" s="109">
        <f>HLOOKUP($D$5,'Economist Financing Model 1'!$U$6:$Z$80,'Economist Financing Model 1'!B70,FALSE)+F72</f>
        <v>-2808543768.1551933</v>
      </c>
      <c r="G73" s="107">
        <f>-1*HLOOKUP($D$5,'Economist Financing Model 2'!$C$68:$I$143,'Economist Financing Model 2'!B132,FALSE)+G72</f>
        <v>1368771725.0159824</v>
      </c>
      <c r="H73" s="108">
        <f>-1*HLOOKUP($D$5,'Economist Financing Model 2'!$J$68:$P$144,'Economist Financing Model 2'!B132,FALSE)+H72</f>
        <v>1729817540.3213763</v>
      </c>
      <c r="I73" s="108">
        <f>-1*HLOOKUP($D$5,'Economist Financing Model 2'!$Q$68:$W$144,'Economist Financing Model 2'!B132,FALSE)+I72</f>
        <v>2181583547.2877936</v>
      </c>
      <c r="J73" s="109">
        <f>-1*HLOOKUP($D$5,'Economist Financing Model 2'!$X$68:$AD$144,'Economist Financing Model 2'!B132,FALSE)+J72</f>
        <v>3422862740.8795528</v>
      </c>
    </row>
    <row r="74" spans="1:10" x14ac:dyDescent="0.2">
      <c r="A74" s="105">
        <v>2054</v>
      </c>
      <c r="B74" s="105">
        <v>66</v>
      </c>
      <c r="C74" s="107">
        <f>HLOOKUP($D$5,'Economist Financing Model 1'!$C$6:$H$80,'Economist Financing Model 1'!B71,FALSE)+C73</f>
        <v>-1544087228.6733263</v>
      </c>
      <c r="D74" s="108">
        <f>HLOOKUP($D$5,'Economist Financing Model 1'!$I$6:$N$80,'Economist Financing Model 1'!B71,FALSE)+D73</f>
        <v>-1849392913.6598346</v>
      </c>
      <c r="E74" s="108">
        <f>HLOOKUP($D$5,'Economist Financing Model 1'!$O$6:$T$80,'Economist Financing Model 1'!B71,FALSE)+E73</f>
        <v>-2176224924.1128254</v>
      </c>
      <c r="F74" s="109">
        <f>HLOOKUP($D$5,'Economist Financing Model 1'!$U$6:$Z$80,'Economist Financing Model 1'!B71,FALSE)+F73</f>
        <v>-2878757362.3590732</v>
      </c>
      <c r="G74" s="107">
        <f>-1*HLOOKUP($D$5,'Economist Financing Model 2'!$C$68:$I$143,'Economist Financing Model 2'!B133,FALSE)+G73</f>
        <v>1409652159.2758336</v>
      </c>
      <c r="H74" s="108">
        <f>-1*HLOOKUP($D$5,'Economist Financing Model 2'!$J$68:$P$144,'Economist Financing Model 2'!B133,FALSE)+H73</f>
        <v>1784070041.8147607</v>
      </c>
      <c r="I74" s="108">
        <f>-1*HLOOKUP($D$5,'Economist Financing Model 2'!$Q$68:$W$144,'Economist Financing Model 2'!B133,FALSE)+I73</f>
        <v>2252568123.1132674</v>
      </c>
      <c r="J74" s="109">
        <f>-1*HLOOKUP($D$5,'Economist Financing Model 2'!$X$68:$AD$144,'Economist Financing Model 2'!B133,FALSE)+J73</f>
        <v>3539820620.1713881</v>
      </c>
    </row>
    <row r="75" spans="1:10" x14ac:dyDescent="0.2">
      <c r="A75" s="105">
        <v>2055</v>
      </c>
      <c r="B75" s="105">
        <v>67</v>
      </c>
      <c r="C75" s="107">
        <f>HLOOKUP($D$5,'Economist Financing Model 1'!$C$6:$H$80,'Economist Financing Model 1'!B72,FALSE)+C74</f>
        <v>-1581747892.7873099</v>
      </c>
      <c r="D75" s="108">
        <f>HLOOKUP($D$5,'Economist Financing Model 1'!$I$6:$N$80,'Economist Financing Model 1'!B72,FALSE)+D74</f>
        <v>-1894500057.8954403</v>
      </c>
      <c r="E75" s="108">
        <f>HLOOKUP($D$5,'Economist Financing Model 1'!$O$6:$T$80,'Economist Financing Model 1'!B72,FALSE)+E74</f>
        <v>-2229303580.7985039</v>
      </c>
      <c r="F75" s="109">
        <f>HLOOKUP($D$5,'Economist Financing Model 1'!$U$6:$Z$80,'Economist Financing Model 1'!B72,FALSE)+F74</f>
        <v>-2948970956.562953</v>
      </c>
      <c r="G75" s="107">
        <f>-1*HLOOKUP($D$5,'Economist Financing Model 2'!$C$68:$I$143,'Economist Financing Model 2'!B134,FALSE)+G74</f>
        <v>1450532593.5356848</v>
      </c>
      <c r="H75" s="108">
        <f>-1*HLOOKUP($D$5,'Economist Financing Model 2'!$J$68:$P$144,'Economist Financing Model 2'!B134,FALSE)+H74</f>
        <v>1838322543.308145</v>
      </c>
      <c r="I75" s="108">
        <f>-1*HLOOKUP($D$5,'Economist Financing Model 2'!$Q$68:$W$144,'Economist Financing Model 2'!B134,FALSE)+I74</f>
        <v>2323552698.9387412</v>
      </c>
      <c r="J75" s="109">
        <f>-1*HLOOKUP($D$5,'Economist Financing Model 2'!$X$68:$AD$144,'Economist Financing Model 2'!B134,FALSE)+J74</f>
        <v>3656778499.4632235</v>
      </c>
    </row>
    <row r="76" spans="1:10" x14ac:dyDescent="0.2">
      <c r="A76" s="105">
        <v>2056</v>
      </c>
      <c r="B76" s="105">
        <v>68</v>
      </c>
      <c r="C76" s="107">
        <f>HLOOKUP($D$5,'Economist Financing Model 1'!$C$6:$H$80,'Economist Financing Model 1'!B73,FALSE)+C75</f>
        <v>-1619408556.9012935</v>
      </c>
      <c r="D76" s="108">
        <f>HLOOKUP($D$5,'Economist Financing Model 1'!$I$6:$N$80,'Economist Financing Model 1'!B73,FALSE)+D75</f>
        <v>-1939607202.1310461</v>
      </c>
      <c r="E76" s="108">
        <f>HLOOKUP($D$5,'Economist Financing Model 1'!$O$6:$T$80,'Economist Financing Model 1'!B73,FALSE)+E75</f>
        <v>-2282382237.4841824</v>
      </c>
      <c r="F76" s="109">
        <f>HLOOKUP($D$5,'Economist Financing Model 1'!$U$6:$Z$80,'Economist Financing Model 1'!B73,FALSE)+F75</f>
        <v>-3019184550.7668328</v>
      </c>
      <c r="G76" s="107">
        <f>-1*HLOOKUP($D$5,'Economist Financing Model 2'!$C$68:$I$143,'Economist Financing Model 2'!B135,FALSE)+G75</f>
        <v>1491413027.795536</v>
      </c>
      <c r="H76" s="108">
        <f>-1*HLOOKUP($D$5,'Economist Financing Model 2'!$J$68:$P$144,'Economist Financing Model 2'!B135,FALSE)+H75</f>
        <v>1892575044.8015294</v>
      </c>
      <c r="I76" s="108">
        <f>-1*HLOOKUP($D$5,'Economist Financing Model 2'!$Q$68:$W$144,'Economist Financing Model 2'!B135,FALSE)+I75</f>
        <v>2394537274.764215</v>
      </c>
      <c r="J76" s="109">
        <f>-1*HLOOKUP($D$5,'Economist Financing Model 2'!$X$68:$AD$144,'Economist Financing Model 2'!B135,FALSE)+J75</f>
        <v>3773736378.7550588</v>
      </c>
    </row>
    <row r="77" spans="1:10" x14ac:dyDescent="0.2">
      <c r="A77" s="105">
        <v>2057</v>
      </c>
      <c r="B77" s="105">
        <v>69</v>
      </c>
      <c r="C77" s="107">
        <f>HLOOKUP($D$5,'Economist Financing Model 1'!$C$6:$H$80,'Economist Financing Model 1'!B74,FALSE)+C76</f>
        <v>-1657069221.0152771</v>
      </c>
      <c r="D77" s="108">
        <f>HLOOKUP($D$5,'Economist Financing Model 1'!$I$6:$N$80,'Economist Financing Model 1'!B74,FALSE)+D76</f>
        <v>-1984714346.3666518</v>
      </c>
      <c r="E77" s="108">
        <f>HLOOKUP($D$5,'Economist Financing Model 1'!$O$6:$T$80,'Economist Financing Model 1'!B74,FALSE)+E76</f>
        <v>-2335460894.1698608</v>
      </c>
      <c r="F77" s="109">
        <f>HLOOKUP($D$5,'Economist Financing Model 1'!$U$6:$Z$80,'Economist Financing Model 1'!B74,FALSE)+F76</f>
        <v>-3089398144.9707127</v>
      </c>
      <c r="G77" s="107">
        <f>-1*HLOOKUP($D$5,'Economist Financing Model 2'!$C$68:$I$143,'Economist Financing Model 2'!B136,FALSE)+G76</f>
        <v>1532293462.0553873</v>
      </c>
      <c r="H77" s="108">
        <f>-1*HLOOKUP($D$5,'Economist Financing Model 2'!$J$68:$P$144,'Economist Financing Model 2'!B136,FALSE)+H76</f>
        <v>1946827546.2949138</v>
      </c>
      <c r="I77" s="108">
        <f>-1*HLOOKUP($D$5,'Economist Financing Model 2'!$Q$68:$W$144,'Economist Financing Model 2'!B136,FALSE)+I76</f>
        <v>2465521850.5896888</v>
      </c>
      <c r="J77" s="109">
        <f>-1*HLOOKUP($D$5,'Economist Financing Model 2'!$X$68:$AD$144,'Economist Financing Model 2'!B136,FALSE)+J76</f>
        <v>3890694258.0468941</v>
      </c>
    </row>
    <row r="78" spans="1:10" x14ac:dyDescent="0.2">
      <c r="A78" s="105">
        <v>2058</v>
      </c>
      <c r="B78" s="105">
        <v>70</v>
      </c>
      <c r="C78" s="107">
        <f>HLOOKUP($D$5,'Economist Financing Model 1'!$C$6:$H$80,'Economist Financing Model 1'!B75,FALSE)+C77</f>
        <v>-1694729885.1292608</v>
      </c>
      <c r="D78" s="108">
        <f>HLOOKUP($D$5,'Economist Financing Model 1'!$I$6:$N$80,'Economist Financing Model 1'!B75,FALSE)+D77</f>
        <v>-2029821490.6022575</v>
      </c>
      <c r="E78" s="108">
        <f>HLOOKUP($D$5,'Economist Financing Model 1'!$O$6:$T$80,'Economist Financing Model 1'!B75,FALSE)+E77</f>
        <v>-2388539550.8555393</v>
      </c>
      <c r="F78" s="109">
        <f>HLOOKUP($D$5,'Economist Financing Model 1'!$U$6:$Z$80,'Economist Financing Model 1'!B75,FALSE)+F77</f>
        <v>-3159611739.1745925</v>
      </c>
      <c r="G78" s="107">
        <f>-1*HLOOKUP($D$5,'Economist Financing Model 2'!$C$68:$I$143,'Economist Financing Model 2'!B137,FALSE)+G77</f>
        <v>1573173896.3152385</v>
      </c>
      <c r="H78" s="108">
        <f>-1*HLOOKUP($D$5,'Economist Financing Model 2'!$J$68:$P$144,'Economist Financing Model 2'!B137,FALSE)+H77</f>
        <v>2001080047.7882981</v>
      </c>
      <c r="I78" s="108">
        <f>-1*HLOOKUP($D$5,'Economist Financing Model 2'!$Q$68:$W$144,'Economist Financing Model 2'!B137,FALSE)+I77</f>
        <v>2536506426.4151626</v>
      </c>
      <c r="J78" s="109">
        <f>-1*HLOOKUP($D$5,'Economist Financing Model 2'!$X$68:$AD$144,'Economist Financing Model 2'!B137,FALSE)+J77</f>
        <v>4007652137.3387294</v>
      </c>
    </row>
    <row r="79" spans="1:10" x14ac:dyDescent="0.2">
      <c r="A79" s="105">
        <v>2059</v>
      </c>
      <c r="B79" s="105">
        <v>71</v>
      </c>
      <c r="C79" s="107">
        <f>HLOOKUP($D$5,'Economist Financing Model 1'!$C$6:$H$80,'Economist Financing Model 1'!B76,FALSE)+C78</f>
        <v>-1732390549.2432444</v>
      </c>
      <c r="D79" s="108">
        <f>HLOOKUP($D$5,'Economist Financing Model 1'!$I$6:$N$80,'Economist Financing Model 1'!B76,FALSE)+D78</f>
        <v>-2074928634.8378632</v>
      </c>
      <c r="E79" s="108">
        <f>HLOOKUP($D$5,'Economist Financing Model 1'!$O$6:$T$80,'Economist Financing Model 1'!B76,FALSE)+E78</f>
        <v>-2441618207.5412178</v>
      </c>
      <c r="F79" s="109">
        <f>HLOOKUP($D$5,'Economist Financing Model 1'!$U$6:$Z$80,'Economist Financing Model 1'!B76,FALSE)+F78</f>
        <v>-3229825333.3784723</v>
      </c>
      <c r="G79" s="107">
        <f>-1*HLOOKUP($D$5,'Economist Financing Model 2'!$C$68:$I$143,'Economist Financing Model 2'!B138,FALSE)+G78</f>
        <v>1614054330.5750897</v>
      </c>
      <c r="H79" s="108">
        <f>-1*HLOOKUP($D$5,'Economist Financing Model 2'!$J$68:$P$144,'Economist Financing Model 2'!B138,FALSE)+H78</f>
        <v>2055332549.2816825</v>
      </c>
      <c r="I79" s="108">
        <f>-1*HLOOKUP($D$5,'Economist Financing Model 2'!$Q$68:$W$144,'Economist Financing Model 2'!B138,FALSE)+I78</f>
        <v>2607491002.2406363</v>
      </c>
      <c r="J79" s="109">
        <f>-1*HLOOKUP($D$5,'Economist Financing Model 2'!$X$68:$AD$144,'Economist Financing Model 2'!B138,FALSE)+J78</f>
        <v>4124610016.6305647</v>
      </c>
    </row>
    <row r="80" spans="1:10" ht="13.5" thickBot="1" x14ac:dyDescent="0.25">
      <c r="A80" s="110">
        <v>2060</v>
      </c>
      <c r="B80" s="110">
        <v>72</v>
      </c>
      <c r="C80" s="111">
        <f>HLOOKUP($D$5,'Economist Financing Model 1'!$C$6:$H$80,'Economist Financing Model 1'!B77,FALSE)+C79</f>
        <v>-1770051213.357228</v>
      </c>
      <c r="D80" s="112">
        <f>HLOOKUP($D$5,'Economist Financing Model 1'!$I$6:$N$80,'Economist Financing Model 1'!B77,FALSE)+D79</f>
        <v>-2120035779.0734689</v>
      </c>
      <c r="E80" s="112">
        <f>HLOOKUP($D$5,'Economist Financing Model 1'!$O$6:$T$80,'Economist Financing Model 1'!B77,FALSE)+E79</f>
        <v>-2494696864.2268963</v>
      </c>
      <c r="F80" s="113">
        <f>HLOOKUP($D$5,'Economist Financing Model 1'!$U$6:$Z$80,'Economist Financing Model 1'!B77,FALSE)+F79</f>
        <v>-3300038927.5823522</v>
      </c>
      <c r="G80" s="107">
        <f>-1*HLOOKUP($D$5,'Economist Financing Model 2'!$C$68:$I$143,'Economist Financing Model 2'!B139,FALSE)+G79</f>
        <v>1654934764.8349409</v>
      </c>
      <c r="H80" s="108">
        <f>-1*HLOOKUP($D$5,'Economist Financing Model 2'!$J$68:$P$144,'Economist Financing Model 2'!B139,FALSE)+H79</f>
        <v>2109585050.7750669</v>
      </c>
      <c r="I80" s="108">
        <f>-1*HLOOKUP($D$5,'Economist Financing Model 2'!$Q$68:$W$144,'Economist Financing Model 2'!B139,FALSE)+I79</f>
        <v>2678475578.0661101</v>
      </c>
      <c r="J80" s="109">
        <f>-1*HLOOKUP($D$5,'Economist Financing Model 2'!$X$68:$AD$144,'Economist Financing Model 2'!B139,FALSE)+J79</f>
        <v>4241567895.9224</v>
      </c>
    </row>
  </sheetData>
  <mergeCells count="6">
    <mergeCell ref="A3:J3"/>
    <mergeCell ref="A4:J4"/>
    <mergeCell ref="D5:E5"/>
    <mergeCell ref="C7:J7"/>
    <mergeCell ref="C8:F8"/>
    <mergeCell ref="G8:J8"/>
  </mergeCells>
  <dataValidations count="2">
    <dataValidation type="list" allowBlank="1" showInputMessage="1" showErrorMessage="1" sqref="D5">
      <formula1>Categories</formula1>
    </dataValidation>
    <dataValidation type="list" allowBlank="1" showInputMessage="1" showErrorMessage="1" sqref="C7">
      <formula1>DataCategoriesforSummaryPage</formula1>
    </dataValidation>
  </dataValidations>
  <pageMargins left="0.7" right="0.7" top="0.75" bottom="0.75" header="0.3" footer="0.3"/>
  <pageSetup paperSize="17" scale="86" fitToHeight="0" orientation="landscape" r:id="rId1"/>
  <headerFooter>
    <oddFooter xml:space="preserve">&amp;L&amp;"-,Bold"&amp;9This is a preliminary draft document. It is intended for discussion purposes only. </oddFooter>
  </headerFooter>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2:M21"/>
  <sheetViews>
    <sheetView showGridLines="0" zoomScale="125" zoomScaleNormal="125" workbookViewId="0">
      <selection activeCell="B3" sqref="A1:Y40"/>
    </sheetView>
  </sheetViews>
  <sheetFormatPr defaultRowHeight="45.75" x14ac:dyDescent="0.2"/>
  <cols>
    <col min="1" max="1" width="5.85546875" style="439" customWidth="1"/>
    <col min="2" max="2" width="4.5703125" style="439" customWidth="1"/>
    <col min="3" max="4" width="9.140625" style="439"/>
    <col min="5" max="5" width="13.42578125" style="439" customWidth="1"/>
    <col min="6" max="7" width="9.140625" style="439"/>
    <col min="8" max="8" width="18.28515625" style="439" customWidth="1"/>
    <col min="9" max="9" width="16.42578125" style="439" bestFit="1" customWidth="1"/>
    <col min="10" max="10" width="21.7109375" style="439" customWidth="1"/>
    <col min="11" max="11" width="9.42578125" style="501" customWidth="1"/>
    <col min="12" max="12" width="5.28515625" style="439" customWidth="1"/>
    <col min="13" max="13" width="3.85546875" style="439" customWidth="1"/>
    <col min="14" max="16384" width="9.140625" style="439"/>
  </cols>
  <sheetData>
    <row r="2" spans="2:13" ht="21" customHeight="1" x14ac:dyDescent="0.2"/>
    <row r="3" spans="2:13" ht="15.75" customHeight="1" x14ac:dyDescent="0.2">
      <c r="B3" s="811" t="s">
        <v>328</v>
      </c>
      <c r="C3" s="811"/>
      <c r="D3" s="811"/>
      <c r="E3" s="811"/>
      <c r="F3" s="811"/>
      <c r="G3" s="811"/>
      <c r="H3" s="811"/>
      <c r="I3" s="811"/>
      <c r="J3" s="811"/>
      <c r="K3" s="811"/>
      <c r="L3" s="811"/>
      <c r="M3" s="811"/>
    </row>
    <row r="4" spans="2:13" ht="12.75" customHeight="1" x14ac:dyDescent="0.2">
      <c r="B4" s="811"/>
      <c r="C4" s="811"/>
      <c r="D4" s="811"/>
      <c r="E4" s="811"/>
      <c r="F4" s="811"/>
      <c r="G4" s="811"/>
      <c r="H4" s="811"/>
      <c r="I4" s="811"/>
      <c r="J4" s="811"/>
      <c r="K4" s="811"/>
      <c r="L4" s="811"/>
      <c r="M4" s="811"/>
    </row>
    <row r="5" spans="2:13" ht="12.75" customHeight="1" x14ac:dyDescent="0.2">
      <c r="B5" s="811"/>
      <c r="C5" s="811"/>
      <c r="D5" s="811"/>
      <c r="E5" s="811"/>
      <c r="F5" s="811"/>
      <c r="G5" s="811"/>
      <c r="H5" s="811"/>
      <c r="I5" s="811"/>
      <c r="J5" s="811"/>
      <c r="K5" s="811"/>
      <c r="L5" s="811"/>
      <c r="M5" s="811"/>
    </row>
    <row r="6" spans="2:13" ht="15" customHeight="1" x14ac:dyDescent="0.2">
      <c r="B6" s="811"/>
      <c r="C6" s="811"/>
      <c r="D6" s="811"/>
      <c r="E6" s="811"/>
      <c r="F6" s="811"/>
      <c r="G6" s="811"/>
      <c r="H6" s="811"/>
      <c r="I6" s="811"/>
      <c r="J6" s="811"/>
      <c r="K6" s="811"/>
      <c r="L6" s="811"/>
      <c r="M6" s="811"/>
    </row>
    <row r="7" spans="2:13" ht="15" customHeight="1" x14ac:dyDescent="0.2">
      <c r="B7" s="811"/>
      <c r="C7" s="811"/>
      <c r="D7" s="811"/>
      <c r="E7" s="811"/>
      <c r="F7" s="811"/>
      <c r="G7" s="811"/>
      <c r="H7" s="811"/>
      <c r="I7" s="811"/>
      <c r="J7" s="811"/>
      <c r="K7" s="811"/>
      <c r="L7" s="811"/>
      <c r="M7" s="811"/>
    </row>
    <row r="8" spans="2:13" ht="22.5" customHeight="1" x14ac:dyDescent="0.2">
      <c r="B8" s="811"/>
      <c r="C8" s="811"/>
      <c r="D8" s="811"/>
      <c r="E8" s="811"/>
      <c r="F8" s="811"/>
      <c r="G8" s="811"/>
      <c r="H8" s="811"/>
      <c r="I8" s="811"/>
      <c r="J8" s="811"/>
      <c r="K8" s="811"/>
      <c r="L8" s="811"/>
      <c r="M8" s="811"/>
    </row>
    <row r="9" spans="2:13" ht="12.75" customHeight="1" x14ac:dyDescent="0.25">
      <c r="D9" s="440"/>
      <c r="E9" s="440"/>
      <c r="F9" s="440"/>
      <c r="G9" s="440"/>
      <c r="H9" s="440"/>
      <c r="I9" s="440"/>
      <c r="J9" s="440"/>
      <c r="K9" s="502"/>
    </row>
    <row r="10" spans="2:13" ht="12.75" customHeight="1" x14ac:dyDescent="0.25">
      <c r="D10" s="440"/>
      <c r="E10" s="440"/>
      <c r="F10" s="440"/>
      <c r="G10" s="440"/>
      <c r="H10" s="440"/>
      <c r="I10" s="440"/>
      <c r="J10" s="440"/>
      <c r="K10" s="502"/>
    </row>
    <row r="11" spans="2:13" ht="7.5" customHeight="1" thickBot="1" x14ac:dyDescent="0.25"/>
    <row r="12" spans="2:13" ht="32.25" customHeight="1" thickTop="1" x14ac:dyDescent="0.2">
      <c r="E12" s="812" t="s">
        <v>329</v>
      </c>
      <c r="F12" s="812"/>
      <c r="G12" s="812"/>
      <c r="H12" s="812"/>
      <c r="I12" s="833">
        <v>0</v>
      </c>
      <c r="J12" s="834"/>
      <c r="K12" s="839" t="s">
        <v>334</v>
      </c>
      <c r="L12" s="831"/>
      <c r="M12" s="832"/>
    </row>
    <row r="13" spans="2:13" ht="13.5" customHeight="1" x14ac:dyDescent="0.2">
      <c r="E13" s="812"/>
      <c r="F13" s="812"/>
      <c r="G13" s="812"/>
      <c r="H13" s="812"/>
      <c r="I13" s="835"/>
      <c r="J13" s="836"/>
      <c r="K13" s="840"/>
      <c r="L13" s="831"/>
      <c r="M13" s="832"/>
    </row>
    <row r="14" spans="2:13" ht="13.5" customHeight="1" x14ac:dyDescent="0.2">
      <c r="E14" s="812"/>
      <c r="F14" s="812"/>
      <c r="G14" s="812"/>
      <c r="H14" s="812"/>
      <c r="I14" s="835"/>
      <c r="J14" s="836"/>
      <c r="K14" s="840"/>
      <c r="L14" s="831"/>
      <c r="M14" s="832"/>
    </row>
    <row r="15" spans="2:13" ht="13.5" customHeight="1" thickBot="1" x14ac:dyDescent="0.25">
      <c r="E15" s="812"/>
      <c r="F15" s="812"/>
      <c r="G15" s="812"/>
      <c r="H15" s="812"/>
      <c r="I15" s="837"/>
      <c r="J15" s="838"/>
      <c r="K15" s="841"/>
      <c r="L15" s="831"/>
      <c r="M15" s="832"/>
    </row>
    <row r="16" spans="2:13" ht="47.25" thickTop="1" thickBot="1" x14ac:dyDescent="0.25"/>
    <row r="17" spans="5:11" ht="13.5" thickTop="1" x14ac:dyDescent="0.2">
      <c r="E17" s="812" t="s">
        <v>330</v>
      </c>
      <c r="F17" s="812"/>
      <c r="G17" s="812"/>
      <c r="H17" s="812"/>
      <c r="I17" s="822">
        <v>2025</v>
      </c>
      <c r="J17" s="823"/>
      <c r="K17" s="824"/>
    </row>
    <row r="18" spans="5:11" ht="12.75" x14ac:dyDescent="0.2">
      <c r="E18" s="812"/>
      <c r="F18" s="812"/>
      <c r="G18" s="812"/>
      <c r="H18" s="812"/>
      <c r="I18" s="825"/>
      <c r="J18" s="826"/>
      <c r="K18" s="827"/>
    </row>
    <row r="19" spans="5:11" ht="12.75" x14ac:dyDescent="0.2">
      <c r="E19" s="812"/>
      <c r="F19" s="812"/>
      <c r="G19" s="812"/>
      <c r="H19" s="812"/>
      <c r="I19" s="825"/>
      <c r="J19" s="826"/>
      <c r="K19" s="827"/>
    </row>
    <row r="20" spans="5:11" ht="24.75" customHeight="1" thickBot="1" x14ac:dyDescent="0.25">
      <c r="E20" s="812"/>
      <c r="F20" s="812"/>
      <c r="G20" s="812"/>
      <c r="H20" s="812"/>
      <c r="I20" s="828"/>
      <c r="J20" s="829"/>
      <c r="K20" s="830"/>
    </row>
    <row r="21" spans="5:11" ht="46.5" thickTop="1" x14ac:dyDescent="0.2"/>
  </sheetData>
  <mergeCells count="7">
    <mergeCell ref="E12:H15"/>
    <mergeCell ref="B3:M8"/>
    <mergeCell ref="E17:H20"/>
    <mergeCell ref="I17:K20"/>
    <mergeCell ref="L12:M15"/>
    <mergeCell ref="I12:J15"/>
    <mergeCell ref="K12:K15"/>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K138"/>
  <sheetViews>
    <sheetView showWhiteSpace="0" topLeftCell="A67" zoomScaleNormal="100" zoomScaleSheetLayoutView="100" zoomScalePageLayoutView="40" workbookViewId="0">
      <selection activeCell="A60" sqref="A60:A62"/>
    </sheetView>
  </sheetViews>
  <sheetFormatPr defaultRowHeight="12.75" x14ac:dyDescent="0.2"/>
  <cols>
    <col min="1" max="1" width="7.140625" style="21" customWidth="1"/>
    <col min="2" max="2" width="10.7109375" style="16" customWidth="1"/>
    <col min="3" max="3" width="9.28515625" style="16" bestFit="1" customWidth="1"/>
    <col min="4" max="4" width="12" style="16" customWidth="1"/>
    <col min="5" max="5" width="12.5703125" style="17" customWidth="1"/>
    <col min="6" max="6" width="14.5703125" style="23" customWidth="1"/>
    <col min="7" max="7" width="8.85546875" style="24" customWidth="1"/>
    <col min="8" max="8" width="12.5703125" style="16" customWidth="1"/>
    <col min="9" max="9" width="10" style="16" customWidth="1"/>
    <col min="10" max="10" width="1.85546875" style="16" customWidth="1"/>
    <col min="11" max="11" width="9.85546875" style="16" customWidth="1"/>
    <col min="12" max="12" width="7.42578125" style="16" customWidth="1"/>
    <col min="13" max="13" width="8.140625" style="16" customWidth="1"/>
    <col min="14" max="14" width="9.42578125" style="16" customWidth="1"/>
    <col min="15" max="15" width="1.85546875" style="16" customWidth="1"/>
    <col min="16" max="16" width="11.5703125" style="16" customWidth="1"/>
    <col min="17" max="17" width="10.42578125" style="16" customWidth="1"/>
    <col min="18" max="20" width="12.28515625" style="16" customWidth="1"/>
    <col min="21" max="21" width="10.42578125" style="16" customWidth="1"/>
    <col min="22" max="22" width="15.28515625" style="29" customWidth="1"/>
    <col min="23" max="23" width="13" style="16" customWidth="1"/>
    <col min="24" max="24" width="9.28515625" style="16" customWidth="1"/>
    <col min="25" max="25" width="12" style="22" customWidth="1"/>
    <col min="26" max="26" width="12.42578125" style="22" customWidth="1"/>
    <col min="27" max="27" width="12" style="22" customWidth="1"/>
    <col min="28" max="16384" width="9.140625" style="22"/>
  </cols>
  <sheetData>
    <row r="1" spans="1:323" x14ac:dyDescent="0.2">
      <c r="A1" s="131" t="s">
        <v>46</v>
      </c>
      <c r="B1" s="132"/>
      <c r="C1" s="133"/>
      <c r="D1" s="134"/>
      <c r="E1" s="135"/>
      <c r="F1" s="203"/>
      <c r="G1" s="134"/>
      <c r="H1" s="134"/>
      <c r="I1" s="132"/>
      <c r="J1" s="134"/>
      <c r="K1" s="134"/>
      <c r="L1" s="134"/>
      <c r="M1" s="134"/>
      <c r="N1" s="134"/>
      <c r="O1" s="134"/>
      <c r="P1" s="134"/>
      <c r="Q1" s="134"/>
      <c r="R1" s="134"/>
      <c r="S1" s="134"/>
      <c r="T1" s="134"/>
      <c r="U1" s="134"/>
      <c r="V1" s="309"/>
      <c r="W1" s="134"/>
      <c r="X1" s="134"/>
      <c r="Y1" s="310"/>
      <c r="Z1" s="310"/>
      <c r="AA1" s="311"/>
    </row>
    <row r="2" spans="1:323" s="7" customFormat="1" ht="13.5" thickBot="1" x14ac:dyDescent="0.25">
      <c r="A2" s="136" t="s">
        <v>47</v>
      </c>
      <c r="B2" s="24"/>
      <c r="C2" s="24"/>
      <c r="D2" s="24"/>
      <c r="E2" s="25"/>
      <c r="F2" s="129"/>
      <c r="G2" s="6"/>
      <c r="H2" s="6"/>
      <c r="I2" s="128"/>
      <c r="J2" s="24"/>
      <c r="K2" s="24"/>
      <c r="L2" s="24"/>
      <c r="M2" s="24"/>
      <c r="N2" s="24"/>
      <c r="O2" s="24"/>
      <c r="P2" s="24"/>
      <c r="Q2" s="24"/>
      <c r="R2" s="24"/>
      <c r="S2" s="24"/>
      <c r="T2" s="24"/>
      <c r="U2" s="24"/>
      <c r="V2" s="130"/>
      <c r="X2" s="24"/>
      <c r="AA2" s="312"/>
    </row>
    <row r="3" spans="1:323" s="7" customFormat="1" ht="15" customHeight="1" thickBot="1" x14ac:dyDescent="0.25">
      <c r="A3" s="273"/>
      <c r="B3" s="991" t="s">
        <v>48</v>
      </c>
      <c r="C3" s="992"/>
      <c r="D3" s="992"/>
      <c r="E3" s="992"/>
      <c r="F3" s="992"/>
      <c r="G3" s="993"/>
      <c r="H3" s="448"/>
      <c r="I3" s="998" t="s">
        <v>48</v>
      </c>
      <c r="J3" s="999"/>
      <c r="K3" s="999"/>
      <c r="L3" s="999"/>
      <c r="M3" s="999"/>
      <c r="N3" s="999"/>
      <c r="O3" s="999"/>
      <c r="P3" s="999"/>
      <c r="Q3" s="999"/>
      <c r="R3" s="999"/>
      <c r="S3" s="999"/>
      <c r="T3" s="999"/>
      <c r="U3" s="999"/>
      <c r="V3" s="999"/>
      <c r="W3" s="999"/>
      <c r="X3" s="999"/>
      <c r="Y3" s="999"/>
      <c r="Z3" s="999"/>
      <c r="AA3" s="999"/>
      <c r="AB3" s="202"/>
      <c r="AC3" s="202"/>
      <c r="AD3" s="202"/>
      <c r="AE3" s="202"/>
      <c r="AF3" s="202"/>
      <c r="AG3" s="202"/>
    </row>
    <row r="4" spans="1:323" s="7" customFormat="1" ht="29.25" customHeight="1" thickBot="1" x14ac:dyDescent="0.25">
      <c r="A4" s="131"/>
      <c r="B4" s="994" t="s">
        <v>49</v>
      </c>
      <c r="C4" s="995"/>
      <c r="D4" s="995"/>
      <c r="E4" s="995"/>
      <c r="F4" s="995"/>
      <c r="G4" s="995"/>
      <c r="H4" s="449"/>
      <c r="I4" s="996" t="s">
        <v>49</v>
      </c>
      <c r="J4" s="996"/>
      <c r="K4" s="996"/>
      <c r="L4" s="996"/>
      <c r="M4" s="996"/>
      <c r="N4" s="996"/>
      <c r="O4" s="996"/>
      <c r="P4" s="996"/>
      <c r="Q4" s="996"/>
      <c r="R4" s="996"/>
      <c r="S4" s="996"/>
      <c r="T4" s="996"/>
      <c r="U4" s="996"/>
      <c r="V4" s="996"/>
      <c r="W4" s="996"/>
      <c r="X4" s="996"/>
      <c r="Y4" s="996"/>
      <c r="Z4" s="996"/>
      <c r="AA4" s="997"/>
    </row>
    <row r="5" spans="1:323" s="8" customFormat="1" ht="20.25" customHeight="1" x14ac:dyDescent="0.2">
      <c r="A5" s="220"/>
      <c r="B5" s="1000" t="s">
        <v>4</v>
      </c>
      <c r="C5" s="1001"/>
      <c r="D5" s="1001"/>
      <c r="E5" s="1001"/>
      <c r="F5" s="1001"/>
      <c r="G5" s="1001"/>
      <c r="H5" s="1002"/>
      <c r="I5" s="978" t="s">
        <v>5</v>
      </c>
      <c r="J5" s="978"/>
      <c r="K5" s="978"/>
      <c r="L5" s="978"/>
      <c r="M5" s="978"/>
      <c r="N5" s="978"/>
      <c r="O5" s="978"/>
      <c r="P5" s="978"/>
      <c r="Q5" s="982" t="s">
        <v>0</v>
      </c>
      <c r="R5" s="983"/>
      <c r="S5" s="983"/>
      <c r="T5" s="983"/>
      <c r="U5" s="983"/>
      <c r="V5" s="984"/>
      <c r="W5" s="974" t="s">
        <v>6</v>
      </c>
      <c r="X5" s="975"/>
      <c r="Y5" s="975"/>
      <c r="Z5" s="975"/>
      <c r="AA5" s="975"/>
    </row>
    <row r="6" spans="1:323" s="8" customFormat="1" ht="13.5" customHeight="1" thickBot="1" x14ac:dyDescent="0.25">
      <c r="A6" s="220"/>
      <c r="B6" s="1003"/>
      <c r="C6" s="1004"/>
      <c r="D6" s="1004"/>
      <c r="E6" s="1004"/>
      <c r="F6" s="1004"/>
      <c r="G6" s="1004"/>
      <c r="H6" s="1005"/>
      <c r="I6" s="979"/>
      <c r="J6" s="979"/>
      <c r="K6" s="979"/>
      <c r="L6" s="979"/>
      <c r="M6" s="979"/>
      <c r="N6" s="979"/>
      <c r="O6" s="979"/>
      <c r="P6" s="979"/>
      <c r="Q6" s="985"/>
      <c r="R6" s="986"/>
      <c r="S6" s="986"/>
      <c r="T6" s="986"/>
      <c r="U6" s="986"/>
      <c r="V6" s="987"/>
      <c r="W6" s="976"/>
      <c r="X6" s="977"/>
      <c r="Y6" s="977"/>
      <c r="Z6" s="977"/>
      <c r="AA6" s="977"/>
    </row>
    <row r="7" spans="1:323" s="10" customFormat="1" ht="35.25" customHeight="1" x14ac:dyDescent="0.25">
      <c r="A7" s="269"/>
      <c r="B7" s="968" t="s">
        <v>13</v>
      </c>
      <c r="C7" s="969"/>
      <c r="D7" s="969"/>
      <c r="E7" s="969"/>
      <c r="F7" s="969"/>
      <c r="G7" s="969"/>
      <c r="H7" s="970"/>
      <c r="I7" s="980" t="s">
        <v>26</v>
      </c>
      <c r="J7" s="981"/>
      <c r="K7" s="981"/>
      <c r="L7" s="981"/>
      <c r="M7" s="981"/>
      <c r="N7" s="981"/>
      <c r="O7" s="981"/>
      <c r="P7" s="980"/>
      <c r="Q7" s="988" t="s">
        <v>28</v>
      </c>
      <c r="R7" s="989"/>
      <c r="S7" s="989"/>
      <c r="T7" s="989"/>
      <c r="U7" s="989"/>
      <c r="V7" s="990"/>
      <c r="W7" s="972" t="s">
        <v>27</v>
      </c>
      <c r="X7" s="972"/>
      <c r="Y7" s="972"/>
      <c r="Z7" s="972"/>
      <c r="AA7" s="973"/>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row>
    <row r="8" spans="1:323" s="14" customFormat="1" ht="92.25" customHeight="1" x14ac:dyDescent="0.25">
      <c r="A8" s="270" t="s">
        <v>10</v>
      </c>
      <c r="B8" s="59" t="s">
        <v>3</v>
      </c>
      <c r="C8" s="12" t="s">
        <v>11</v>
      </c>
      <c r="D8" s="12" t="s">
        <v>8</v>
      </c>
      <c r="E8" s="13" t="s">
        <v>57</v>
      </c>
      <c r="F8" s="322" t="s">
        <v>12</v>
      </c>
      <c r="G8" s="12" t="s">
        <v>9</v>
      </c>
      <c r="H8" s="12" t="s">
        <v>281</v>
      </c>
      <c r="I8" s="11" t="s">
        <v>31</v>
      </c>
      <c r="J8" s="11"/>
      <c r="K8" s="12" t="s">
        <v>32</v>
      </c>
      <c r="L8" s="12" t="s">
        <v>331</v>
      </c>
      <c r="M8" s="12" t="s">
        <v>332</v>
      </c>
      <c r="N8" s="12" t="s">
        <v>333</v>
      </c>
      <c r="O8" s="12"/>
      <c r="P8" s="12" t="s">
        <v>33</v>
      </c>
      <c r="Q8" s="59" t="s">
        <v>150</v>
      </c>
      <c r="R8" s="435" t="s">
        <v>159</v>
      </c>
      <c r="S8" s="435" t="s">
        <v>149</v>
      </c>
      <c r="T8" s="436" t="s">
        <v>35</v>
      </c>
      <c r="U8" s="435" t="s">
        <v>151</v>
      </c>
      <c r="V8" s="62" t="s">
        <v>34</v>
      </c>
      <c r="W8" s="50" t="s">
        <v>58</v>
      </c>
      <c r="X8" s="50" t="s">
        <v>121</v>
      </c>
      <c r="Y8" s="51" t="s">
        <v>7</v>
      </c>
      <c r="Z8" s="51" t="s">
        <v>24</v>
      </c>
      <c r="AA8" s="271" t="s">
        <v>25</v>
      </c>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row>
    <row r="9" spans="1:323" s="18" customFormat="1" ht="15" x14ac:dyDescent="0.25">
      <c r="A9" s="224">
        <v>1990</v>
      </c>
      <c r="B9" s="327">
        <v>49183</v>
      </c>
      <c r="C9" s="328"/>
      <c r="D9" s="328">
        <f>B9</f>
        <v>49183</v>
      </c>
      <c r="E9" s="329"/>
      <c r="F9" s="330"/>
      <c r="G9" s="328">
        <f>D9/'Underlying Assumptions'!$E$10</f>
        <v>16728.911564625851</v>
      </c>
      <c r="H9" s="331"/>
      <c r="I9" s="52"/>
      <c r="J9" s="52"/>
      <c r="K9" s="30"/>
      <c r="L9" s="30"/>
      <c r="M9" s="30"/>
      <c r="N9" s="30"/>
      <c r="O9" s="30"/>
      <c r="P9" s="30"/>
      <c r="Q9" s="60" t="s">
        <v>344</v>
      </c>
      <c r="R9" s="437" t="s">
        <v>336</v>
      </c>
      <c r="S9" s="437" t="s">
        <v>336</v>
      </c>
      <c r="T9" s="437" t="s">
        <v>336</v>
      </c>
      <c r="U9" s="522" t="s">
        <v>343</v>
      </c>
      <c r="V9" s="31" t="s">
        <v>336</v>
      </c>
      <c r="W9" s="30"/>
      <c r="X9" s="30"/>
      <c r="Y9" s="52"/>
      <c r="Z9" s="52"/>
      <c r="AA9" s="272"/>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row>
    <row r="10" spans="1:323" s="18" customFormat="1" x14ac:dyDescent="0.2">
      <c r="A10" s="224">
        <v>1991</v>
      </c>
      <c r="B10" s="327">
        <v>52811</v>
      </c>
      <c r="C10" s="328"/>
      <c r="D10" s="328">
        <f t="shared" ref="D10:D18" si="0">B10</f>
        <v>52811</v>
      </c>
      <c r="E10" s="332">
        <f t="shared" ref="E10:E23" si="1">(D10-D9)/D9</f>
        <v>7.3765325417318992E-2</v>
      </c>
      <c r="F10" s="332"/>
      <c r="G10" s="328">
        <f>D10/'Underlying Assumptions'!$E$10</f>
        <v>17962.925170068029</v>
      </c>
      <c r="H10" s="331">
        <f>G10-G9</f>
        <v>1234.0136054421782</v>
      </c>
      <c r="I10" s="52"/>
      <c r="J10" s="52"/>
      <c r="K10" s="30"/>
      <c r="L10" s="30"/>
      <c r="M10" s="30"/>
      <c r="N10" s="30"/>
      <c r="O10" s="30"/>
      <c r="P10" s="30"/>
      <c r="Q10" s="60"/>
      <c r="R10" s="52"/>
      <c r="S10" s="52"/>
      <c r="T10" s="52"/>
      <c r="U10" s="52"/>
      <c r="V10" s="63"/>
      <c r="W10" s="30"/>
      <c r="X10" s="30"/>
      <c r="Y10" s="52"/>
      <c r="Z10" s="52"/>
      <c r="AA10" s="272"/>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row>
    <row r="11" spans="1:323" s="18" customFormat="1" x14ac:dyDescent="0.2">
      <c r="A11" s="224">
        <v>1992</v>
      </c>
      <c r="B11" s="327">
        <v>56349</v>
      </c>
      <c r="C11" s="328"/>
      <c r="D11" s="328">
        <f t="shared" si="0"/>
        <v>56349</v>
      </c>
      <c r="E11" s="332">
        <f t="shared" si="1"/>
        <v>6.6993618753668743E-2</v>
      </c>
      <c r="F11" s="332"/>
      <c r="G11" s="328">
        <f>D11/'Underlying Assumptions'!$E$10</f>
        <v>19166.326530612245</v>
      </c>
      <c r="H11" s="331">
        <f t="shared" ref="H11:H74" si="2">G11-G10</f>
        <v>1203.401360544216</v>
      </c>
      <c r="I11" s="52"/>
      <c r="J11" s="52"/>
      <c r="K11" s="30"/>
      <c r="L11" s="30"/>
      <c r="M11" s="30"/>
      <c r="N11" s="30"/>
      <c r="O11" s="30"/>
      <c r="P11" s="30"/>
      <c r="Q11" s="60"/>
      <c r="R11" s="52"/>
      <c r="S11" s="52"/>
      <c r="T11" s="52"/>
      <c r="U11" s="52"/>
      <c r="V11" s="63"/>
      <c r="W11" s="30"/>
      <c r="X11" s="30"/>
      <c r="Y11" s="52"/>
      <c r="Z11" s="52"/>
      <c r="AA11" s="272"/>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row>
    <row r="12" spans="1:323" s="18" customFormat="1" x14ac:dyDescent="0.2">
      <c r="A12" s="224">
        <v>1993</v>
      </c>
      <c r="B12" s="327">
        <v>60656</v>
      </c>
      <c r="C12" s="328"/>
      <c r="D12" s="328">
        <f t="shared" si="0"/>
        <v>60656</v>
      </c>
      <c r="E12" s="332">
        <f t="shared" si="1"/>
        <v>7.6434364407531638E-2</v>
      </c>
      <c r="F12" s="332"/>
      <c r="G12" s="328">
        <f>D12/'Underlying Assumptions'!$E$10</f>
        <v>20631.292517006805</v>
      </c>
      <c r="H12" s="331">
        <f t="shared" si="2"/>
        <v>1464.9659863945599</v>
      </c>
      <c r="I12" s="52"/>
      <c r="J12" s="52"/>
      <c r="K12" s="30"/>
      <c r="L12" s="30"/>
      <c r="M12" s="30"/>
      <c r="N12" s="30"/>
      <c r="O12" s="30"/>
      <c r="P12" s="30"/>
      <c r="Q12" s="60"/>
      <c r="R12" s="52"/>
      <c r="S12" s="52"/>
      <c r="T12" s="52"/>
      <c r="U12" s="52"/>
      <c r="V12" s="63"/>
      <c r="W12" s="30"/>
      <c r="X12" s="30"/>
      <c r="Y12" s="52"/>
      <c r="Z12" s="52"/>
      <c r="AA12" s="272"/>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row>
    <row r="13" spans="1:323" s="18" customFormat="1" x14ac:dyDescent="0.2">
      <c r="A13" s="224">
        <v>1994</v>
      </c>
      <c r="B13" s="327">
        <v>66493</v>
      </c>
      <c r="C13" s="328"/>
      <c r="D13" s="328">
        <f t="shared" si="0"/>
        <v>66493</v>
      </c>
      <c r="E13" s="332">
        <f t="shared" si="1"/>
        <v>9.6231205486678975E-2</v>
      </c>
      <c r="F13" s="332"/>
      <c r="G13" s="328">
        <f>D13/'Underlying Assumptions'!$E$10</f>
        <v>22616.666666666668</v>
      </c>
      <c r="H13" s="331">
        <f t="shared" si="2"/>
        <v>1985.3741496598632</v>
      </c>
      <c r="I13" s="52"/>
      <c r="J13" s="52"/>
      <c r="K13" s="30"/>
      <c r="L13" s="30"/>
      <c r="M13" s="30"/>
      <c r="N13" s="30"/>
      <c r="O13" s="30"/>
      <c r="P13" s="30"/>
      <c r="Q13" s="60"/>
      <c r="R13" s="52"/>
      <c r="S13" s="52"/>
      <c r="T13" s="52"/>
      <c r="U13" s="52"/>
      <c r="V13" s="63"/>
      <c r="W13" s="30"/>
      <c r="X13" s="30"/>
      <c r="Y13" s="52"/>
      <c r="Z13" s="52"/>
      <c r="AA13" s="272"/>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row>
    <row r="14" spans="1:323" s="18" customFormat="1" x14ac:dyDescent="0.2">
      <c r="A14" s="224">
        <v>1995</v>
      </c>
      <c r="B14" s="327">
        <v>72261</v>
      </c>
      <c r="C14" s="328"/>
      <c r="D14" s="328">
        <f t="shared" si="0"/>
        <v>72261</v>
      </c>
      <c r="E14" s="332">
        <f t="shared" si="1"/>
        <v>8.6745973260343195E-2</v>
      </c>
      <c r="F14" s="332"/>
      <c r="G14" s="328">
        <f>D14/'Underlying Assumptions'!$E$10</f>
        <v>24578.571428571428</v>
      </c>
      <c r="H14" s="331">
        <f t="shared" si="2"/>
        <v>1961.9047619047597</v>
      </c>
      <c r="I14" s="52"/>
      <c r="J14" s="52"/>
      <c r="K14" s="30"/>
      <c r="L14" s="30"/>
      <c r="M14" s="30"/>
      <c r="N14" s="30"/>
      <c r="O14" s="30"/>
      <c r="P14" s="30"/>
      <c r="Q14" s="333">
        <f t="shared" ref="Q14:Q23" si="3">(U14*365*D14)/325851</f>
        <v>27115.809910050913</v>
      </c>
      <c r="R14" s="52"/>
      <c r="S14" s="508">
        <f t="shared" ref="S14:S24" si="4">Q14/G14</f>
        <v>1.1032296970087556</v>
      </c>
      <c r="T14" s="52"/>
      <c r="U14" s="523">
        <v>335</v>
      </c>
      <c r="V14" s="63"/>
      <c r="W14" s="30"/>
      <c r="X14" s="30"/>
      <c r="Y14" s="52"/>
      <c r="Z14" s="52"/>
      <c r="AA14" s="272"/>
    </row>
    <row r="15" spans="1:323" s="18" customFormat="1" x14ac:dyDescent="0.2">
      <c r="A15" s="224">
        <v>1996</v>
      </c>
      <c r="B15" s="327">
        <v>77647</v>
      </c>
      <c r="C15" s="328"/>
      <c r="D15" s="328">
        <f t="shared" si="0"/>
        <v>77647</v>
      </c>
      <c r="E15" s="332">
        <f t="shared" si="1"/>
        <v>7.4535364857945499E-2</v>
      </c>
      <c r="F15" s="332"/>
      <c r="G15" s="328">
        <f>D15/'Underlying Assumptions'!$E$10</f>
        <v>26410.544217687075</v>
      </c>
      <c r="H15" s="331">
        <f t="shared" si="2"/>
        <v>1831.9727891156472</v>
      </c>
      <c r="I15" s="52"/>
      <c r="J15" s="52"/>
      <c r="K15" s="30"/>
      <c r="L15" s="30"/>
      <c r="M15" s="30"/>
      <c r="N15" s="30"/>
      <c r="O15" s="30"/>
      <c r="P15" s="30"/>
      <c r="Q15" s="333">
        <f t="shared" si="3"/>
        <v>33659.638868685382</v>
      </c>
      <c r="R15" s="52"/>
      <c r="S15" s="508">
        <f t="shared" si="4"/>
        <v>1.2744772917683236</v>
      </c>
      <c r="T15" s="52"/>
      <c r="U15" s="523">
        <v>387</v>
      </c>
      <c r="V15" s="63"/>
      <c r="W15" s="30"/>
      <c r="X15" s="30"/>
      <c r="Y15" s="52"/>
      <c r="Z15" s="52"/>
      <c r="AA15" s="272"/>
    </row>
    <row r="16" spans="1:323" s="18" customFormat="1" x14ac:dyDescent="0.2">
      <c r="A16" s="224">
        <v>1997</v>
      </c>
      <c r="B16" s="327">
        <v>81520</v>
      </c>
      <c r="C16" s="328"/>
      <c r="D16" s="328">
        <f t="shared" si="0"/>
        <v>81520</v>
      </c>
      <c r="E16" s="332">
        <f t="shared" si="1"/>
        <v>4.9879583242108519E-2</v>
      </c>
      <c r="F16" s="332"/>
      <c r="G16" s="328">
        <f>D16/'Underlying Assumptions'!$E$10</f>
        <v>27727.891156462585</v>
      </c>
      <c r="H16" s="331">
        <f t="shared" si="2"/>
        <v>1317.3469387755104</v>
      </c>
      <c r="I16" s="52"/>
      <c r="J16" s="52"/>
      <c r="K16" s="30"/>
      <c r="L16" s="30"/>
      <c r="M16" s="30"/>
      <c r="N16" s="30"/>
      <c r="O16" s="30"/>
      <c r="P16" s="30"/>
      <c r="Q16" s="333">
        <f t="shared" si="3"/>
        <v>33055.71442162215</v>
      </c>
      <c r="R16" s="52"/>
      <c r="S16" s="508">
        <f t="shared" si="4"/>
        <v>1.1921467173646849</v>
      </c>
      <c r="T16" s="52"/>
      <c r="U16" s="523">
        <v>362</v>
      </c>
      <c r="V16" s="63"/>
      <c r="W16" s="30"/>
      <c r="X16" s="30"/>
      <c r="Y16" s="52"/>
      <c r="Z16" s="52"/>
      <c r="AA16" s="272"/>
    </row>
    <row r="17" spans="1:27" s="18" customFormat="1" x14ac:dyDescent="0.2">
      <c r="A17" s="224">
        <v>1998</v>
      </c>
      <c r="B17" s="327">
        <v>84837</v>
      </c>
      <c r="C17" s="328"/>
      <c r="D17" s="328">
        <f t="shared" si="0"/>
        <v>84837</v>
      </c>
      <c r="E17" s="332">
        <f t="shared" si="1"/>
        <v>4.0689401373895977E-2</v>
      </c>
      <c r="F17" s="332"/>
      <c r="G17" s="328">
        <f>D17/'Underlying Assumptions'!$E$10</f>
        <v>28856.122448979593</v>
      </c>
      <c r="H17" s="331">
        <f t="shared" si="2"/>
        <v>1128.2312925170081</v>
      </c>
      <c r="I17" s="52"/>
      <c r="J17" s="52"/>
      <c r="K17" s="30"/>
      <c r="L17" s="30"/>
      <c r="M17" s="30"/>
      <c r="N17" s="30"/>
      <c r="O17" s="30"/>
      <c r="P17" s="30"/>
      <c r="Q17" s="333">
        <f t="shared" si="3"/>
        <v>28603.923280886051</v>
      </c>
      <c r="R17" s="52"/>
      <c r="S17" s="508">
        <f t="shared" si="4"/>
        <v>0.99126011581980722</v>
      </c>
      <c r="T17" s="52"/>
      <c r="U17" s="524">
        <v>301</v>
      </c>
      <c r="V17" s="63"/>
      <c r="W17" s="30"/>
      <c r="X17" s="30"/>
      <c r="Y17" s="52"/>
      <c r="Z17" s="52"/>
      <c r="AA17" s="272"/>
    </row>
    <row r="18" spans="1:27" s="18" customFormat="1" x14ac:dyDescent="0.2">
      <c r="A18" s="224">
        <v>1999</v>
      </c>
      <c r="B18" s="327">
        <v>88049</v>
      </c>
      <c r="C18" s="328"/>
      <c r="D18" s="328">
        <f t="shared" si="0"/>
        <v>88049</v>
      </c>
      <c r="E18" s="332">
        <f t="shared" si="1"/>
        <v>3.7860839020710302E-2</v>
      </c>
      <c r="F18" s="332"/>
      <c r="G18" s="328">
        <f>D18/'Underlying Assumptions'!$E$10</f>
        <v>29948.639455782315</v>
      </c>
      <c r="H18" s="331">
        <f t="shared" si="2"/>
        <v>1092.5170068027219</v>
      </c>
      <c r="I18" s="52"/>
      <c r="J18" s="52"/>
      <c r="K18" s="30"/>
      <c r="L18" s="30"/>
      <c r="M18" s="30"/>
      <c r="N18" s="30"/>
      <c r="O18" s="30"/>
      <c r="P18" s="30"/>
      <c r="Q18" s="333">
        <f t="shared" si="3"/>
        <v>23769.238961979554</v>
      </c>
      <c r="R18" s="52"/>
      <c r="S18" s="508">
        <f t="shared" si="4"/>
        <v>0.79366673725107484</v>
      </c>
      <c r="T18" s="52"/>
      <c r="U18" s="524">
        <v>241</v>
      </c>
      <c r="V18" s="63"/>
      <c r="W18" s="30"/>
      <c r="X18" s="30"/>
      <c r="Y18" s="52"/>
      <c r="Z18" s="52"/>
      <c r="AA18" s="272"/>
    </row>
    <row r="19" spans="1:27" s="18" customFormat="1" x14ac:dyDescent="0.2">
      <c r="A19" s="273">
        <v>2000</v>
      </c>
      <c r="B19" s="327">
        <v>91206</v>
      </c>
      <c r="C19" s="328"/>
      <c r="D19" s="328">
        <f>B19</f>
        <v>91206</v>
      </c>
      <c r="E19" s="332">
        <f t="shared" si="1"/>
        <v>3.5855035264455021E-2</v>
      </c>
      <c r="F19" s="332"/>
      <c r="G19" s="328">
        <f>D19/'Underlying Assumptions'!$E$10</f>
        <v>31022.448979591838</v>
      </c>
      <c r="H19" s="331">
        <f t="shared" si="2"/>
        <v>1073.8095238095229</v>
      </c>
      <c r="I19" s="52"/>
      <c r="J19" s="52"/>
      <c r="K19" s="30"/>
      <c r="L19" s="30"/>
      <c r="M19" s="30"/>
      <c r="N19" s="30"/>
      <c r="O19" s="30"/>
      <c r="P19" s="30"/>
      <c r="Q19" s="333">
        <f t="shared" si="3"/>
        <v>33305.412412421625</v>
      </c>
      <c r="R19" s="52"/>
      <c r="S19" s="508">
        <f t="shared" si="4"/>
        <v>1.0735906902234456</v>
      </c>
      <c r="T19" s="52"/>
      <c r="U19" s="524">
        <v>326</v>
      </c>
      <c r="V19" s="63"/>
      <c r="W19" s="30"/>
      <c r="X19" s="30"/>
      <c r="Y19" s="52"/>
      <c r="Z19" s="52"/>
      <c r="AA19" s="272"/>
    </row>
    <row r="20" spans="1:27" s="18" customFormat="1" x14ac:dyDescent="0.2">
      <c r="A20" s="224">
        <v>2001</v>
      </c>
      <c r="B20" s="327">
        <v>94512</v>
      </c>
      <c r="C20" s="328"/>
      <c r="D20" s="328">
        <f t="shared" ref="D20:D23" si="5">B20</f>
        <v>94512</v>
      </c>
      <c r="E20" s="332">
        <f t="shared" si="1"/>
        <v>3.6247615288467865E-2</v>
      </c>
      <c r="F20" s="332"/>
      <c r="G20" s="328">
        <f>D20/'Underlying Assumptions'!$E$10</f>
        <v>32146.938775510203</v>
      </c>
      <c r="H20" s="331">
        <f t="shared" si="2"/>
        <v>1124.4897959183654</v>
      </c>
      <c r="I20" s="52"/>
      <c r="J20" s="52"/>
      <c r="K20" s="30"/>
      <c r="L20" s="30"/>
      <c r="M20" s="30"/>
      <c r="N20" s="30"/>
      <c r="O20" s="30"/>
      <c r="P20" s="30"/>
      <c r="Q20" s="333">
        <f t="shared" si="3"/>
        <v>32818.781590358783</v>
      </c>
      <c r="R20" s="52"/>
      <c r="S20" s="508">
        <f t="shared" si="4"/>
        <v>1.0208991226051172</v>
      </c>
      <c r="T20" s="52"/>
      <c r="U20" s="524">
        <v>310</v>
      </c>
      <c r="V20" s="63"/>
      <c r="W20" s="30"/>
      <c r="X20" s="30"/>
      <c r="Y20" s="52"/>
      <c r="Z20" s="52"/>
      <c r="AA20" s="272"/>
    </row>
    <row r="21" spans="1:27" s="18" customFormat="1" x14ac:dyDescent="0.2">
      <c r="A21" s="273">
        <v>2002</v>
      </c>
      <c r="B21" s="327">
        <v>99274</v>
      </c>
      <c r="C21" s="328"/>
      <c r="D21" s="328">
        <f t="shared" si="5"/>
        <v>99274</v>
      </c>
      <c r="E21" s="332">
        <f t="shared" si="1"/>
        <v>5.0385136278991029E-2</v>
      </c>
      <c r="F21" s="332"/>
      <c r="G21" s="328">
        <f>D21/'Underlying Assumptions'!$E$10</f>
        <v>33766.666666666664</v>
      </c>
      <c r="H21" s="331">
        <f t="shared" si="2"/>
        <v>1619.7278911564608</v>
      </c>
      <c r="I21" s="52"/>
      <c r="J21" s="52"/>
      <c r="K21" s="30"/>
      <c r="L21" s="30"/>
      <c r="M21" s="30"/>
      <c r="N21" s="30"/>
      <c r="O21" s="30"/>
      <c r="P21" s="30"/>
      <c r="Q21" s="333">
        <f t="shared" si="3"/>
        <v>31025.124335969507</v>
      </c>
      <c r="R21" s="52"/>
      <c r="S21" s="508">
        <f t="shared" si="4"/>
        <v>0.91880921034460539</v>
      </c>
      <c r="T21" s="52"/>
      <c r="U21" s="524">
        <v>279</v>
      </c>
      <c r="V21" s="515"/>
      <c r="W21" s="30"/>
      <c r="X21" s="30"/>
      <c r="Y21" s="52"/>
      <c r="Z21" s="52"/>
      <c r="AA21" s="272"/>
    </row>
    <row r="22" spans="1:27" s="18" customFormat="1" x14ac:dyDescent="0.2">
      <c r="A22" s="224">
        <v>2003</v>
      </c>
      <c r="B22" s="327">
        <v>104188</v>
      </c>
      <c r="C22" s="328"/>
      <c r="D22" s="328">
        <f t="shared" si="5"/>
        <v>104188</v>
      </c>
      <c r="E22" s="332">
        <f t="shared" si="1"/>
        <v>4.9499365392751377E-2</v>
      </c>
      <c r="F22" s="332"/>
      <c r="G22" s="328">
        <f>D22/'Underlying Assumptions'!$E$10</f>
        <v>35438.095238095237</v>
      </c>
      <c r="H22" s="331">
        <f t="shared" si="2"/>
        <v>1671.4285714285725</v>
      </c>
      <c r="I22" s="52"/>
      <c r="J22" s="52"/>
      <c r="K22" s="30"/>
      <c r="L22" s="30"/>
      <c r="M22" s="30"/>
      <c r="N22" s="30"/>
      <c r="O22" s="30"/>
      <c r="P22" s="30"/>
      <c r="Q22" s="333">
        <f t="shared" si="3"/>
        <v>34194.725994396213</v>
      </c>
      <c r="R22" s="52"/>
      <c r="S22" s="508">
        <f t="shared" si="4"/>
        <v>0.96491433201064292</v>
      </c>
      <c r="T22" s="52"/>
      <c r="U22" s="524">
        <v>293</v>
      </c>
      <c r="V22" s="63"/>
      <c r="W22" s="30"/>
      <c r="X22" s="30"/>
      <c r="Y22" s="52"/>
      <c r="Z22" s="52"/>
      <c r="AA22" s="272"/>
    </row>
    <row r="23" spans="1:27" s="18" customFormat="1" x14ac:dyDescent="0.2">
      <c r="A23" s="273">
        <v>2004</v>
      </c>
      <c r="B23" s="327">
        <v>110207</v>
      </c>
      <c r="C23" s="328"/>
      <c r="D23" s="328">
        <f t="shared" si="5"/>
        <v>110207</v>
      </c>
      <c r="E23" s="332">
        <f t="shared" si="1"/>
        <v>5.7770568587553271E-2</v>
      </c>
      <c r="F23" s="332"/>
      <c r="G23" s="328">
        <f>D23/'Underlying Assumptions'!$E$10</f>
        <v>37485.374149659867</v>
      </c>
      <c r="H23" s="331">
        <f t="shared" si="2"/>
        <v>2047.2789115646301</v>
      </c>
      <c r="I23" s="52"/>
      <c r="J23" s="52"/>
      <c r="K23" s="30"/>
      <c r="L23" s="30"/>
      <c r="M23" s="30"/>
      <c r="N23" s="30"/>
      <c r="O23" s="30"/>
      <c r="P23" s="30"/>
      <c r="Q23" s="333">
        <f t="shared" si="3"/>
        <v>31108.819245606119</v>
      </c>
      <c r="R23" s="52"/>
      <c r="S23" s="508">
        <f t="shared" si="4"/>
        <v>0.82989218998867564</v>
      </c>
      <c r="T23" s="52"/>
      <c r="U23" s="524">
        <v>252</v>
      </c>
      <c r="V23" s="63"/>
      <c r="W23" s="30"/>
      <c r="X23" s="30"/>
      <c r="Y23" s="52"/>
      <c r="Z23" s="52"/>
      <c r="AA23" s="272"/>
    </row>
    <row r="24" spans="1:27" s="18" customFormat="1" x14ac:dyDescent="0.2">
      <c r="A24" s="224">
        <v>2005</v>
      </c>
      <c r="B24" s="333">
        <v>119000</v>
      </c>
      <c r="C24" s="334"/>
      <c r="D24" s="334">
        <f>B24</f>
        <v>119000</v>
      </c>
      <c r="E24" s="332"/>
      <c r="F24" s="332">
        <f t="shared" ref="F24:F55" si="6">(D24-D23)/D23</f>
        <v>7.9786220476013317E-2</v>
      </c>
      <c r="G24" s="328">
        <f>D24/'Underlying Assumptions'!$E$10</f>
        <v>40476.190476190473</v>
      </c>
      <c r="H24" s="331">
        <f t="shared" si="2"/>
        <v>2990.8163265306066</v>
      </c>
      <c r="I24" s="52"/>
      <c r="J24" s="52"/>
      <c r="K24" s="30"/>
      <c r="L24" s="338">
        <v>65498.400000000001</v>
      </c>
      <c r="M24" s="509">
        <v>0</v>
      </c>
      <c r="N24" s="328">
        <v>0</v>
      </c>
      <c r="O24" s="30"/>
      <c r="P24" s="328">
        <f>SUM(L24:N24)</f>
        <v>65498.400000000001</v>
      </c>
      <c r="Q24" s="333">
        <f>(U24*365*D24)/325851</f>
        <v>33190.982995295395</v>
      </c>
      <c r="R24" s="52"/>
      <c r="S24" s="508">
        <f t="shared" si="4"/>
        <v>0.82001252106023925</v>
      </c>
      <c r="T24" s="52"/>
      <c r="U24" s="524">
        <v>249</v>
      </c>
      <c r="V24" s="63"/>
      <c r="W24" s="30"/>
      <c r="X24" s="30"/>
      <c r="Y24" s="52"/>
      <c r="Z24" s="52"/>
      <c r="AA24" s="272"/>
    </row>
    <row r="25" spans="1:27" x14ac:dyDescent="0.2">
      <c r="A25" s="273">
        <v>2006</v>
      </c>
      <c r="B25" s="333">
        <v>126796</v>
      </c>
      <c r="C25" s="334"/>
      <c r="D25" s="334">
        <f t="shared" ref="D25:D31" si="7">B25</f>
        <v>126796</v>
      </c>
      <c r="E25" s="332"/>
      <c r="F25" s="332">
        <f t="shared" si="6"/>
        <v>6.5512605042016808E-2</v>
      </c>
      <c r="G25" s="328">
        <f>D25/'Underlying Assumptions'!$E$10</f>
        <v>43127.891156462589</v>
      </c>
      <c r="H25" s="331">
        <f t="shared" si="2"/>
        <v>2651.7006802721153</v>
      </c>
      <c r="I25" s="58"/>
      <c r="J25" s="58"/>
      <c r="K25" s="31"/>
      <c r="L25" s="338">
        <v>65498.400000000001</v>
      </c>
      <c r="M25" s="509">
        <v>0</v>
      </c>
      <c r="N25" s="328">
        <v>0</v>
      </c>
      <c r="O25" s="31"/>
      <c r="P25" s="328">
        <f t="shared" ref="P25:P88" si="8">SUM(L25:N25)</f>
        <v>65498.400000000001</v>
      </c>
      <c r="Q25" s="333">
        <v>38478.211564625853</v>
      </c>
      <c r="R25" s="31"/>
      <c r="S25" s="508">
        <f>Q25/G25</f>
        <v>0.89218857061736967</v>
      </c>
      <c r="T25" s="58"/>
      <c r="U25" s="511">
        <f>(((Q25*'Underlying Assumptions'!E$9)/365)/D25)</f>
        <v>270.91689524810857</v>
      </c>
      <c r="V25" s="512"/>
      <c r="W25" s="339">
        <f>IF(P25-Q25&gt;(-1*'Underlying Assumptions'!$E$8),P25-Q25,'Underlying Assumptions'!$E$8)</f>
        <v>27020.188435374148</v>
      </c>
      <c r="X25" s="339">
        <f>IF(W25&gt;0,0,IF(W24&gt;0,W25,W25-W24))</f>
        <v>0</v>
      </c>
      <c r="Y25" s="340">
        <f>IF(AND(X25=0, X26&lt;-1),-100000000, (IF(X25&gt;=0,0,((X25/69000)*'Underlying Assumptions'!$E$7))))</f>
        <v>0</v>
      </c>
      <c r="Z25" s="274">
        <f t="shared" ref="Z25:Z56" si="9">Y25/(D25-D24)</f>
        <v>0</v>
      </c>
      <c r="AA25" s="275">
        <f t="shared" ref="AA25:AA56" si="10">Y25/(G25-G24)</f>
        <v>0</v>
      </c>
    </row>
    <row r="26" spans="1:27" x14ac:dyDescent="0.2">
      <c r="A26" s="273">
        <v>2007</v>
      </c>
      <c r="B26" s="333">
        <v>132277</v>
      </c>
      <c r="C26" s="334"/>
      <c r="D26" s="334">
        <f t="shared" si="7"/>
        <v>132277</v>
      </c>
      <c r="E26" s="332"/>
      <c r="F26" s="332">
        <f t="shared" si="6"/>
        <v>4.3226915675573359E-2</v>
      </c>
      <c r="G26" s="328">
        <f>D26/'Underlying Assumptions'!$E$10</f>
        <v>44992.176870748299</v>
      </c>
      <c r="H26" s="331">
        <f t="shared" si="2"/>
        <v>1864.2857142857101</v>
      </c>
      <c r="I26" s="58"/>
      <c r="J26" s="58"/>
      <c r="K26" s="31"/>
      <c r="L26" s="338">
        <v>65498.400000000001</v>
      </c>
      <c r="M26" s="509">
        <v>0</v>
      </c>
      <c r="N26" s="328">
        <v>0</v>
      </c>
      <c r="O26" s="31"/>
      <c r="P26" s="328">
        <f t="shared" si="8"/>
        <v>65498.400000000001</v>
      </c>
      <c r="Q26" s="333">
        <v>39891.888775510211</v>
      </c>
      <c r="R26" s="31"/>
      <c r="S26" s="508">
        <f t="shared" ref="S26:S32" si="11">Q26/G26</f>
        <v>0.88664055731533087</v>
      </c>
      <c r="T26" s="58"/>
      <c r="U26" s="511">
        <f>(((Q26*'Underlying Assumptions'!E$9)/365)/D26)</f>
        <v>269.23221715640932</v>
      </c>
      <c r="V26" s="512"/>
      <c r="W26" s="339">
        <f>IF(P26-Q26&gt;(-1*'Underlying Assumptions'!$E$8),P26-Q26,'Underlying Assumptions'!$E$8)</f>
        <v>25606.51122448979</v>
      </c>
      <c r="X26" s="339">
        <f t="shared" ref="X26:X43" si="12">IF(W26&gt;0,0,IF(W25&gt;0,W26,W26-W25))</f>
        <v>0</v>
      </c>
      <c r="Y26" s="340">
        <f>IF(AND(X26=0, X27&lt;-1),-100000000, (IF(X26&gt;=0,0,((X26/69000)*'Underlying Assumptions'!$E$7))))</f>
        <v>0</v>
      </c>
      <c r="Z26" s="274">
        <f t="shared" si="9"/>
        <v>0</v>
      </c>
      <c r="AA26" s="275">
        <f t="shared" si="10"/>
        <v>0</v>
      </c>
    </row>
    <row r="27" spans="1:27" x14ac:dyDescent="0.2">
      <c r="A27" s="273">
        <v>2008</v>
      </c>
      <c r="B27" s="333">
        <v>135552</v>
      </c>
      <c r="C27" s="334"/>
      <c r="D27" s="334">
        <f t="shared" si="7"/>
        <v>135552</v>
      </c>
      <c r="E27" s="332"/>
      <c r="F27" s="332">
        <f t="shared" si="6"/>
        <v>2.4758650407856242E-2</v>
      </c>
      <c r="G27" s="328">
        <f>D27/'Underlying Assumptions'!$E$10</f>
        <v>46106.122448979593</v>
      </c>
      <c r="H27" s="331">
        <f t="shared" si="2"/>
        <v>1113.9455782312943</v>
      </c>
      <c r="I27" s="58"/>
      <c r="J27" s="58"/>
      <c r="K27" s="31"/>
      <c r="L27" s="338">
        <v>65498.400000000001</v>
      </c>
      <c r="M27" s="509">
        <v>0</v>
      </c>
      <c r="N27" s="328">
        <v>0</v>
      </c>
      <c r="O27" s="31"/>
      <c r="P27" s="328">
        <f t="shared" si="8"/>
        <v>65498.400000000001</v>
      </c>
      <c r="Q27" s="333">
        <v>40966.094557823133</v>
      </c>
      <c r="R27" s="31"/>
      <c r="S27" s="508">
        <f t="shared" si="11"/>
        <v>0.88851745455618514</v>
      </c>
      <c r="T27" s="58"/>
      <c r="U27" s="511">
        <f>(((Q27*'Underlying Assumptions'!E$9)/365)/D27)</f>
        <v>269.80214507292601</v>
      </c>
      <c r="V27" s="512"/>
      <c r="W27" s="339">
        <f>IF(P27-Q27&gt;(-1*'Underlying Assumptions'!$E$8),P27-Q27,'Underlying Assumptions'!$E$8)</f>
        <v>24532.305442176868</v>
      </c>
      <c r="X27" s="339">
        <f t="shared" si="12"/>
        <v>0</v>
      </c>
      <c r="Y27" s="340">
        <f>IF(AND(X27=0, X28&lt;-1),-100000000, (IF(X27&gt;=0,0,((X27/69000)*'Underlying Assumptions'!$E$7))))</f>
        <v>0</v>
      </c>
      <c r="Z27" s="274">
        <f t="shared" si="9"/>
        <v>0</v>
      </c>
      <c r="AA27" s="275">
        <f t="shared" si="10"/>
        <v>0</v>
      </c>
    </row>
    <row r="28" spans="1:27" x14ac:dyDescent="0.2">
      <c r="A28" s="273">
        <v>2009</v>
      </c>
      <c r="B28" s="333">
        <v>137088</v>
      </c>
      <c r="C28" s="334"/>
      <c r="D28" s="334">
        <f t="shared" si="7"/>
        <v>137088</v>
      </c>
      <c r="E28" s="332"/>
      <c r="F28" s="332">
        <f t="shared" si="6"/>
        <v>1.1331444759206799E-2</v>
      </c>
      <c r="G28" s="328">
        <f>D28/'Underlying Assumptions'!$E$10</f>
        <v>46628.571428571428</v>
      </c>
      <c r="H28" s="331">
        <f t="shared" si="2"/>
        <v>522.44897959183436</v>
      </c>
      <c r="I28" s="58"/>
      <c r="J28" s="58"/>
      <c r="K28" s="31"/>
      <c r="L28" s="338">
        <v>65498.400000000001</v>
      </c>
      <c r="M28" s="509">
        <v>0</v>
      </c>
      <c r="N28" s="328">
        <v>0</v>
      </c>
      <c r="O28" s="31"/>
      <c r="P28" s="328">
        <f t="shared" si="8"/>
        <v>65498.400000000001</v>
      </c>
      <c r="Q28" s="333">
        <v>41225.405442176867</v>
      </c>
      <c r="R28" s="31"/>
      <c r="S28" s="508">
        <f t="shared" si="11"/>
        <v>0.88412327847805783</v>
      </c>
      <c r="T28" s="58"/>
      <c r="U28" s="511">
        <f>(((Q28*'Underlying Assumptions'!E$9)/365)/D28)</f>
        <v>268.46783461495187</v>
      </c>
      <c r="V28" s="512"/>
      <c r="W28" s="339">
        <f>IF(P28-Q28&gt;(-1*'Underlying Assumptions'!$E$8),P28-Q28,'Underlying Assumptions'!$E$8)</f>
        <v>24272.994557823135</v>
      </c>
      <c r="X28" s="339">
        <f t="shared" si="12"/>
        <v>0</v>
      </c>
      <c r="Y28" s="340">
        <f>IF(AND(X28=0, X29&lt;-1),-100000000, (IF(X28&gt;=0,0,((X28/69000)*'Underlying Assumptions'!$E$7))))</f>
        <v>0</v>
      </c>
      <c r="Z28" s="274">
        <f t="shared" si="9"/>
        <v>0</v>
      </c>
      <c r="AA28" s="275">
        <f t="shared" si="10"/>
        <v>0</v>
      </c>
    </row>
    <row r="29" spans="1:27" ht="15" x14ac:dyDescent="0.2">
      <c r="A29" s="273">
        <v>2010</v>
      </c>
      <c r="B29" s="333">
        <v>138516</v>
      </c>
      <c r="C29" s="334"/>
      <c r="D29" s="334">
        <f t="shared" si="7"/>
        <v>138516</v>
      </c>
      <c r="E29" s="332"/>
      <c r="F29" s="332">
        <f t="shared" si="6"/>
        <v>1.0416666666666666E-2</v>
      </c>
      <c r="G29" s="328">
        <f>D29/'Underlying Assumptions'!$E$10</f>
        <v>47114.285714285717</v>
      </c>
      <c r="H29" s="331">
        <f t="shared" si="2"/>
        <v>485.71428571428987</v>
      </c>
      <c r="I29" s="324">
        <v>2000</v>
      </c>
      <c r="J29" s="276" t="s">
        <v>14</v>
      </c>
      <c r="K29" s="31"/>
      <c r="L29" s="338">
        <v>65498.400000000001</v>
      </c>
      <c r="M29" s="509">
        <v>0</v>
      </c>
      <c r="N29" s="328">
        <v>0</v>
      </c>
      <c r="O29" s="31"/>
      <c r="P29" s="328">
        <f t="shared" si="8"/>
        <v>65498.400000000001</v>
      </c>
      <c r="Q29" s="333">
        <v>42005.880952380954</v>
      </c>
      <c r="R29" s="31"/>
      <c r="S29" s="508">
        <f t="shared" si="11"/>
        <v>0.89157418637558117</v>
      </c>
      <c r="T29" s="58"/>
      <c r="U29" s="511">
        <f>(((Q29*'Underlying Assumptions'!E$9)/365)/D29)</f>
        <v>270.73033483167154</v>
      </c>
      <c r="V29" s="512"/>
      <c r="W29" s="339">
        <f>IF(P29-Q29&gt;(-1*'Underlying Assumptions'!$E$8),P29-Q29,'Underlying Assumptions'!$E$8)</f>
        <v>23492.519047619047</v>
      </c>
      <c r="X29" s="339">
        <f t="shared" si="12"/>
        <v>0</v>
      </c>
      <c r="Y29" s="340">
        <f>IF(AND(X29=0, X30&lt;-1),-100000000, (IF(X29&gt;=0,0,((X29/69000)*'Underlying Assumptions'!$E$7))))</f>
        <v>0</v>
      </c>
      <c r="Z29" s="274">
        <f t="shared" si="9"/>
        <v>0</v>
      </c>
      <c r="AA29" s="275">
        <f t="shared" si="10"/>
        <v>0</v>
      </c>
    </row>
    <row r="30" spans="1:27" ht="15" customHeight="1" x14ac:dyDescent="0.2">
      <c r="A30" s="273">
        <f t="shared" ref="A30:A69" si="13">+A29+1</f>
        <v>2011</v>
      </c>
      <c r="B30" s="333">
        <v>141666</v>
      </c>
      <c r="C30" s="335"/>
      <c r="D30" s="334">
        <f t="shared" si="7"/>
        <v>141666</v>
      </c>
      <c r="E30" s="332"/>
      <c r="F30" s="332">
        <f t="shared" si="6"/>
        <v>2.2741055184960581E-2</v>
      </c>
      <c r="G30" s="328">
        <f>D30/'Underlying Assumptions'!$E$10</f>
        <v>48185.71428571429</v>
      </c>
      <c r="H30" s="331">
        <f t="shared" si="2"/>
        <v>1071.4285714285725</v>
      </c>
      <c r="I30" s="58"/>
      <c r="J30" s="58"/>
      <c r="K30" s="31"/>
      <c r="L30" s="338">
        <v>65498.400000000001</v>
      </c>
      <c r="M30" s="509">
        <v>0</v>
      </c>
      <c r="N30" s="328">
        <v>0</v>
      </c>
      <c r="O30" s="31"/>
      <c r="P30" s="328">
        <f t="shared" si="8"/>
        <v>65498.400000000001</v>
      </c>
      <c r="Q30" s="333">
        <v>43498.820368485714</v>
      </c>
      <c r="R30" s="31"/>
      <c r="S30" s="508">
        <f t="shared" si="11"/>
        <v>0.90273270850696696</v>
      </c>
      <c r="T30" s="971"/>
      <c r="U30" s="511">
        <f>(((Q30*'Underlying Assumptions'!E$9)/365)/D30)</f>
        <v>274.11866805062385</v>
      </c>
      <c r="V30" s="512"/>
      <c r="W30" s="339">
        <f>IF(P30-Q30&gt;(-1*'Underlying Assumptions'!$E$8),P30-Q30,'Underlying Assumptions'!$E$8)</f>
        <v>21999.579631514287</v>
      </c>
      <c r="X30" s="339">
        <f t="shared" si="12"/>
        <v>0</v>
      </c>
      <c r="Y30" s="340">
        <f>IF(AND(X30=0, X31&lt;-1),-100000000, (IF(X30&gt;=0,0,((X30/69000)*'Underlying Assumptions'!$E$7))))</f>
        <v>0</v>
      </c>
      <c r="Z30" s="274">
        <f t="shared" si="9"/>
        <v>0</v>
      </c>
      <c r="AA30" s="275">
        <f t="shared" si="10"/>
        <v>0</v>
      </c>
    </row>
    <row r="31" spans="1:27" x14ac:dyDescent="0.2">
      <c r="A31" s="273">
        <f t="shared" si="13"/>
        <v>2012</v>
      </c>
      <c r="B31" s="333">
        <v>144809</v>
      </c>
      <c r="C31" s="334"/>
      <c r="D31" s="334">
        <f t="shared" si="7"/>
        <v>144809</v>
      </c>
      <c r="E31" s="332"/>
      <c r="F31" s="332">
        <f t="shared" si="6"/>
        <v>2.2185986757584743E-2</v>
      </c>
      <c r="G31" s="328">
        <f>D31/'Underlying Assumptions'!$E$10</f>
        <v>49254.761904761908</v>
      </c>
      <c r="H31" s="331">
        <f t="shared" si="2"/>
        <v>1069.0476190476184</v>
      </c>
      <c r="I31" s="58"/>
      <c r="J31" s="58"/>
      <c r="K31" s="31"/>
      <c r="L31" s="338">
        <v>65498.400000000001</v>
      </c>
      <c r="M31" s="509">
        <v>0</v>
      </c>
      <c r="N31" s="328">
        <v>0</v>
      </c>
      <c r="O31" s="31"/>
      <c r="P31" s="328">
        <f t="shared" si="8"/>
        <v>65498.400000000001</v>
      </c>
      <c r="Q31" s="333">
        <v>45044.820642966151</v>
      </c>
      <c r="R31" s="31"/>
      <c r="S31" s="508">
        <f t="shared" si="11"/>
        <v>0.91452722337921311</v>
      </c>
      <c r="T31" s="971"/>
      <c r="U31" s="511">
        <f>(((Q31*'Underlying Assumptions'!E$9)/365)/D31)</f>
        <v>277.70012319965753</v>
      </c>
      <c r="V31" s="512"/>
      <c r="W31" s="339">
        <f>IF(P31-Q31&gt;(-1*'Underlying Assumptions'!$E$8),P31-Q31,'Underlying Assumptions'!$E$8)</f>
        <v>20453.57935703385</v>
      </c>
      <c r="X31" s="339">
        <f t="shared" si="12"/>
        <v>0</v>
      </c>
      <c r="Y31" s="340">
        <f>IF(AND(X31=0, X32&lt;-1),-100000000, (IF(X31&gt;=0,0,((X31/69000)*'Underlying Assumptions'!$E$7))))</f>
        <v>0</v>
      </c>
      <c r="Z31" s="274">
        <f t="shared" si="9"/>
        <v>0</v>
      </c>
      <c r="AA31" s="275">
        <f t="shared" si="10"/>
        <v>0</v>
      </c>
    </row>
    <row r="32" spans="1:27" x14ac:dyDescent="0.2">
      <c r="A32" s="273">
        <f t="shared" si="13"/>
        <v>2013</v>
      </c>
      <c r="B32" s="333"/>
      <c r="C32" s="334"/>
      <c r="D32" s="334">
        <f>((($D$39-$D$31)/8))+$D31</f>
        <v>151303.125</v>
      </c>
      <c r="E32" s="504"/>
      <c r="F32" s="332">
        <f t="shared" si="6"/>
        <v>4.4846142159672399E-2</v>
      </c>
      <c r="G32" s="328">
        <f>D32/'Underlying Assumptions'!$E$10</f>
        <v>51463.647959183676</v>
      </c>
      <c r="H32" s="331">
        <f t="shared" si="2"/>
        <v>2208.8860544217678</v>
      </c>
      <c r="I32" s="58"/>
      <c r="J32" s="58"/>
      <c r="K32" s="31"/>
      <c r="L32" s="338">
        <v>65498.400000000001</v>
      </c>
      <c r="M32" s="509">
        <v>0</v>
      </c>
      <c r="N32" s="328">
        <v>0</v>
      </c>
      <c r="O32" s="31"/>
      <c r="P32" s="328">
        <f t="shared" si="8"/>
        <v>65498.400000000001</v>
      </c>
      <c r="Q32" s="333">
        <v>46126</v>
      </c>
      <c r="R32" s="31"/>
      <c r="S32" s="508">
        <f t="shared" si="11"/>
        <v>0.89628314021934441</v>
      </c>
      <c r="T32" s="971"/>
      <c r="U32" s="511">
        <f>(((Q32*'Underlying Assumptions'!E$9)/365)/D32)</f>
        <v>272.16022891150294</v>
      </c>
      <c r="V32" s="513"/>
      <c r="W32" s="339">
        <f>IF(P32-Q32&gt;(-1*'Underlying Assumptions'!$E$8),P32-Q32,'Underlying Assumptions'!$E$8)</f>
        <v>19372.400000000001</v>
      </c>
      <c r="X32" s="339">
        <f t="shared" si="12"/>
        <v>0</v>
      </c>
      <c r="Y32" s="340">
        <f>IF(AND(X32=0, X33&lt;-1),-100000000, (IF(X32&gt;=0,0,((X32/69000)*'Underlying Assumptions'!$E$7))))</f>
        <v>0</v>
      </c>
      <c r="Z32" s="274">
        <f t="shared" si="9"/>
        <v>0</v>
      </c>
      <c r="AA32" s="275">
        <f t="shared" si="10"/>
        <v>0</v>
      </c>
    </row>
    <row r="33" spans="1:27" x14ac:dyDescent="0.2">
      <c r="A33" s="273">
        <f t="shared" si="13"/>
        <v>2014</v>
      </c>
      <c r="B33" s="333"/>
      <c r="C33" s="334"/>
      <c r="D33" s="334">
        <f t="shared" ref="D33:D38" si="14">((($D$39-$D$31)/8))+$D32</f>
        <v>157797.25</v>
      </c>
      <c r="E33" s="504"/>
      <c r="F33" s="332">
        <f t="shared" si="6"/>
        <v>4.2921287977363325E-2</v>
      </c>
      <c r="G33" s="328">
        <f>D33/'Underlying Assumptions'!$E$10</f>
        <v>53672.534013605444</v>
      </c>
      <c r="H33" s="331">
        <f t="shared" si="2"/>
        <v>2208.8860544217678</v>
      </c>
      <c r="I33" s="58"/>
      <c r="J33" s="58"/>
      <c r="K33" s="24"/>
      <c r="L33" s="338">
        <v>65498.400000000001</v>
      </c>
      <c r="M33" s="509">
        <v>0</v>
      </c>
      <c r="N33" s="328">
        <v>0</v>
      </c>
      <c r="P33" s="328">
        <f t="shared" si="8"/>
        <v>65498.400000000001</v>
      </c>
      <c r="Q33" s="60"/>
      <c r="R33" s="334">
        <f>G33*0.89</f>
        <v>47768.555272108846</v>
      </c>
      <c r="S33" s="519"/>
      <c r="T33" s="508">
        <f>R33/G33</f>
        <v>0.89</v>
      </c>
      <c r="U33" s="58"/>
      <c r="V33" s="514">
        <f>((R33/'Underlying Assumptions'!$E$11)/D33)*'Underlying Assumptions'!$E$9</f>
        <v>270.25232637083775</v>
      </c>
      <c r="W33" s="339">
        <f>IF(P33-R33&gt;(-1*'Underlying Assumptions'!$E$8),P33-R33,'Underlying Assumptions'!$E$8)</f>
        <v>17729.844727891155</v>
      </c>
      <c r="X33" s="339">
        <f t="shared" si="12"/>
        <v>0</v>
      </c>
      <c r="Y33" s="340">
        <f>IF(AND(X33=0, X34&lt;-1),-100000000, (IF(X33&gt;=0,0,((X33/69000)*'Underlying Assumptions'!$E$7))))</f>
        <v>0</v>
      </c>
      <c r="Z33" s="274">
        <f t="shared" si="9"/>
        <v>0</v>
      </c>
      <c r="AA33" s="275">
        <f t="shared" si="10"/>
        <v>0</v>
      </c>
    </row>
    <row r="34" spans="1:27" ht="15" x14ac:dyDescent="0.2">
      <c r="A34" s="273">
        <f t="shared" si="13"/>
        <v>2015</v>
      </c>
      <c r="B34" s="333"/>
      <c r="C34" s="334"/>
      <c r="D34" s="334">
        <f t="shared" si="14"/>
        <v>164291.375</v>
      </c>
      <c r="E34" s="504"/>
      <c r="F34" s="332">
        <f t="shared" si="6"/>
        <v>4.1154868034772467E-2</v>
      </c>
      <c r="G34" s="328">
        <f>D34/'Underlying Assumptions'!$E$10</f>
        <v>55881.420068027212</v>
      </c>
      <c r="H34" s="331">
        <f t="shared" si="2"/>
        <v>2208.8860544217678</v>
      </c>
      <c r="I34" s="58"/>
      <c r="J34" s="58"/>
      <c r="K34" s="326">
        <v>5000</v>
      </c>
      <c r="L34" s="338">
        <v>65498.400000000001</v>
      </c>
      <c r="M34" s="510">
        <f>K34</f>
        <v>5000</v>
      </c>
      <c r="N34" s="328">
        <v>0</v>
      </c>
      <c r="O34" s="276"/>
      <c r="P34" s="328">
        <f t="shared" si="8"/>
        <v>70498.399999999994</v>
      </c>
      <c r="Q34" s="60"/>
      <c r="R34" s="334">
        <f t="shared" ref="R34:R97" si="15">G34*0.89</f>
        <v>49734.463860544216</v>
      </c>
      <c r="S34" s="31"/>
      <c r="T34" s="508">
        <f t="shared" ref="T34:T97" si="16">R34/G34</f>
        <v>0.89</v>
      </c>
      <c r="U34" s="58"/>
      <c r="V34" s="514">
        <f>((R34/'Underlying Assumptions'!$E$11)/D34)*'Underlying Assumptions'!$E$9</f>
        <v>270.25232637083775</v>
      </c>
      <c r="W34" s="339">
        <f>IF(P34-R34&gt;(-1*'Underlying Assumptions'!$E$8),P34-R34,'Underlying Assumptions'!$E$8)</f>
        <v>20763.936139455778</v>
      </c>
      <c r="X34" s="339">
        <f t="shared" si="12"/>
        <v>0</v>
      </c>
      <c r="Y34" s="340">
        <f>IF(AND(X34=0, X35&lt;-1),-100000000, (IF(X34&gt;=0,0,((X34/69000)*'Underlying Assumptions'!$E$7))))</f>
        <v>0</v>
      </c>
      <c r="Z34" s="274">
        <f t="shared" si="9"/>
        <v>0</v>
      </c>
      <c r="AA34" s="275">
        <f t="shared" si="10"/>
        <v>0</v>
      </c>
    </row>
    <row r="35" spans="1:27" x14ac:dyDescent="0.2">
      <c r="A35" s="273">
        <f t="shared" si="13"/>
        <v>2016</v>
      </c>
      <c r="B35" s="333"/>
      <c r="C35" s="334"/>
      <c r="D35" s="334">
        <f t="shared" si="14"/>
        <v>170785.5</v>
      </c>
      <c r="E35" s="504"/>
      <c r="F35" s="332">
        <f t="shared" si="6"/>
        <v>3.9528094521090955E-2</v>
      </c>
      <c r="G35" s="328">
        <f>D35/'Underlying Assumptions'!$E$10</f>
        <v>58090.306122448979</v>
      </c>
      <c r="H35" s="331">
        <f t="shared" si="2"/>
        <v>2208.8860544217678</v>
      </c>
      <c r="I35" s="58"/>
      <c r="J35" s="58"/>
      <c r="K35" s="326"/>
      <c r="L35" s="338">
        <v>65498.400000000001</v>
      </c>
      <c r="M35" s="510">
        <f>M34</f>
        <v>5000</v>
      </c>
      <c r="N35" s="328">
        <v>0</v>
      </c>
      <c r="O35" s="24"/>
      <c r="P35" s="328">
        <f t="shared" si="8"/>
        <v>70498.399999999994</v>
      </c>
      <c r="Q35" s="60"/>
      <c r="R35" s="334">
        <f t="shared" si="15"/>
        <v>51700.372448979593</v>
      </c>
      <c r="S35" s="31"/>
      <c r="T35" s="508">
        <f t="shared" si="16"/>
        <v>0.89</v>
      </c>
      <c r="U35" s="58"/>
      <c r="V35" s="514">
        <f>((R35/'Underlying Assumptions'!$E$11)/D35)*'Underlying Assumptions'!$E$9</f>
        <v>270.25232637083781</v>
      </c>
      <c r="W35" s="339">
        <f>IF(P35-R35&gt;(-1*'Underlying Assumptions'!$E$8),P35-R35,-1*'Underlying Assumptions'!$E$8)</f>
        <v>18798.027551020401</v>
      </c>
      <c r="X35" s="339">
        <f t="shared" si="12"/>
        <v>0</v>
      </c>
      <c r="Y35" s="340">
        <f>IF(AND(X35=0, X36&lt;-1),-100000000, (IF(X35&gt;=0,0,((X35/69000)*'Underlying Assumptions'!$E$7))))</f>
        <v>0</v>
      </c>
      <c r="Z35" s="274">
        <f t="shared" si="9"/>
        <v>0</v>
      </c>
      <c r="AA35" s="275">
        <f t="shared" si="10"/>
        <v>0</v>
      </c>
    </row>
    <row r="36" spans="1:27" x14ac:dyDescent="0.2">
      <c r="A36" s="273">
        <f t="shared" si="13"/>
        <v>2017</v>
      </c>
      <c r="B36" s="333"/>
      <c r="C36" s="334"/>
      <c r="D36" s="334">
        <f t="shared" si="14"/>
        <v>177279.625</v>
      </c>
      <c r="E36" s="504"/>
      <c r="F36" s="332">
        <f t="shared" si="6"/>
        <v>3.8025037254333649E-2</v>
      </c>
      <c r="G36" s="328">
        <f>D36/'Underlying Assumptions'!$E$10</f>
        <v>60299.192176870747</v>
      </c>
      <c r="H36" s="331">
        <f t="shared" si="2"/>
        <v>2208.8860544217678</v>
      </c>
      <c r="I36" s="58"/>
      <c r="J36" s="58"/>
      <c r="K36" s="326"/>
      <c r="L36" s="338">
        <v>65498.400000000001</v>
      </c>
      <c r="M36" s="510">
        <f t="shared" ref="M36:M99" si="17">M35</f>
        <v>5000</v>
      </c>
      <c r="N36" s="328">
        <v>0</v>
      </c>
      <c r="P36" s="328">
        <f t="shared" si="8"/>
        <v>70498.399999999994</v>
      </c>
      <c r="Q36" s="60"/>
      <c r="R36" s="334">
        <f t="shared" si="15"/>
        <v>53666.281037414963</v>
      </c>
      <c r="S36" s="31"/>
      <c r="T36" s="508">
        <f t="shared" si="16"/>
        <v>0.89</v>
      </c>
      <c r="U36" s="58"/>
      <c r="V36" s="514">
        <f>((R36/'Underlying Assumptions'!$E$11)/D36)*'Underlying Assumptions'!$E$9</f>
        <v>270.25232637083775</v>
      </c>
      <c r="W36" s="339">
        <f>IF(P36-R36&gt;(-1*'Underlying Assumptions'!$E$8),P36-R36,-1*'Underlying Assumptions'!$E$8)</f>
        <v>16832.118962585031</v>
      </c>
      <c r="X36" s="339">
        <f t="shared" si="12"/>
        <v>0</v>
      </c>
      <c r="Y36" s="340">
        <f>IF(AND(X36=0, X37&lt;-1),-100000000, (IF(X36&gt;=0,0,((X36/69000)*'Underlying Assumptions'!$E$7))))</f>
        <v>0</v>
      </c>
      <c r="Z36" s="274">
        <f t="shared" si="9"/>
        <v>0</v>
      </c>
      <c r="AA36" s="275">
        <f t="shared" si="10"/>
        <v>0</v>
      </c>
    </row>
    <row r="37" spans="1:27" x14ac:dyDescent="0.2">
      <c r="A37" s="273">
        <f t="shared" si="13"/>
        <v>2018</v>
      </c>
      <c r="B37" s="333"/>
      <c r="C37" s="334"/>
      <c r="D37" s="334">
        <f t="shared" si="14"/>
        <v>183773.75</v>
      </c>
      <c r="E37" s="504"/>
      <c r="F37" s="332">
        <f t="shared" si="6"/>
        <v>3.6632100276611033E-2</v>
      </c>
      <c r="G37" s="328">
        <f>D37/'Underlying Assumptions'!$E$10</f>
        <v>62508.078231292515</v>
      </c>
      <c r="H37" s="331">
        <f t="shared" si="2"/>
        <v>2208.8860544217678</v>
      </c>
      <c r="I37" s="58"/>
      <c r="J37" s="58"/>
      <c r="K37" s="326"/>
      <c r="L37" s="338">
        <v>65498.400000000001</v>
      </c>
      <c r="M37" s="510">
        <f t="shared" si="17"/>
        <v>5000</v>
      </c>
      <c r="N37" s="328">
        <v>0</v>
      </c>
      <c r="P37" s="328">
        <f t="shared" si="8"/>
        <v>70498.399999999994</v>
      </c>
      <c r="Q37" s="60"/>
      <c r="R37" s="334">
        <f t="shared" si="15"/>
        <v>55632.18962585034</v>
      </c>
      <c r="S37" s="31"/>
      <c r="T37" s="508">
        <f t="shared" si="16"/>
        <v>0.89</v>
      </c>
      <c r="U37" s="58"/>
      <c r="V37" s="514">
        <f>((R37/'Underlying Assumptions'!$E$11)/D37)*'Underlying Assumptions'!$E$9</f>
        <v>270.25232637083775</v>
      </c>
      <c r="W37" s="339">
        <f>IF(P37-R37&gt;(-1*'Underlying Assumptions'!$E$8),P37-R37,-1*'Underlying Assumptions'!$E$8)</f>
        <v>14866.210374149654</v>
      </c>
      <c r="X37" s="339">
        <f t="shared" si="12"/>
        <v>0</v>
      </c>
      <c r="Y37" s="340">
        <f>IF(AND(X37=0, X38&lt;-1),-100000000, (IF(X37&gt;=0,0,((X37/69000)*'Underlying Assumptions'!$E$7))))</f>
        <v>0</v>
      </c>
      <c r="Z37" s="274">
        <f t="shared" si="9"/>
        <v>0</v>
      </c>
      <c r="AA37" s="275">
        <f t="shared" si="10"/>
        <v>0</v>
      </c>
    </row>
    <row r="38" spans="1:27" ht="15" x14ac:dyDescent="0.2">
      <c r="A38" s="273">
        <f t="shared" si="13"/>
        <v>2019</v>
      </c>
      <c r="B38" s="333"/>
      <c r="C38" s="334"/>
      <c r="D38" s="334">
        <f t="shared" si="14"/>
        <v>190267.875</v>
      </c>
      <c r="E38" s="504"/>
      <c r="F38" s="332">
        <f t="shared" si="6"/>
        <v>3.533760942463219E-2</v>
      </c>
      <c r="G38" s="328">
        <f>D38/'Underlying Assumptions'!$E$10</f>
        <v>64716.96428571429</v>
      </c>
      <c r="H38" s="331">
        <f t="shared" si="2"/>
        <v>2208.886054421775</v>
      </c>
      <c r="I38" s="58"/>
      <c r="J38" s="58"/>
      <c r="K38" s="337">
        <v>4000</v>
      </c>
      <c r="L38" s="338">
        <v>65498.400000000001</v>
      </c>
      <c r="M38" s="510">
        <f t="shared" si="17"/>
        <v>5000</v>
      </c>
      <c r="N38" s="509">
        <f>K38</f>
        <v>4000</v>
      </c>
      <c r="O38" s="276"/>
      <c r="P38" s="328">
        <f t="shared" si="8"/>
        <v>74498.399999999994</v>
      </c>
      <c r="Q38" s="60"/>
      <c r="R38" s="334">
        <f t="shared" si="15"/>
        <v>57598.098214285717</v>
      </c>
      <c r="S38" s="31"/>
      <c r="T38" s="508">
        <f t="shared" si="16"/>
        <v>0.89</v>
      </c>
      <c r="U38" s="58"/>
      <c r="V38" s="514">
        <f>((R38/'Underlying Assumptions'!$E$11)/D38)*'Underlying Assumptions'!$E$9</f>
        <v>270.25232637083775</v>
      </c>
      <c r="W38" s="339">
        <f>IF(P38-R38&gt;(-1*'Underlying Assumptions'!$E$8),P38-R38,-1*'Underlying Assumptions'!$E$8)</f>
        <v>16900.301785714277</v>
      </c>
      <c r="X38" s="339">
        <f t="shared" si="12"/>
        <v>0</v>
      </c>
      <c r="Y38" s="340">
        <f>IF(AND(X38=0, X39&lt;-1),-100000000, (IF(X38&gt;=0,0,((X38/69000)*'Underlying Assumptions'!$E$7))))</f>
        <v>0</v>
      </c>
      <c r="Z38" s="274">
        <f t="shared" si="9"/>
        <v>0</v>
      </c>
      <c r="AA38" s="275">
        <f t="shared" si="10"/>
        <v>0</v>
      </c>
    </row>
    <row r="39" spans="1:27" x14ac:dyDescent="0.2">
      <c r="A39" s="273">
        <f t="shared" si="13"/>
        <v>2020</v>
      </c>
      <c r="B39" s="333"/>
      <c r="C39" s="334">
        <v>196762</v>
      </c>
      <c r="D39" s="509">
        <f>C39</f>
        <v>196762</v>
      </c>
      <c r="E39" s="504"/>
      <c r="F39" s="332">
        <f>(D39-D38)/D38</f>
        <v>3.4131484361193398E-2</v>
      </c>
      <c r="G39" s="328">
        <f>D39/'Underlying Assumptions'!$E$10</f>
        <v>66925.85034013605</v>
      </c>
      <c r="H39" s="331">
        <f t="shared" si="2"/>
        <v>2208.8860544217605</v>
      </c>
      <c r="I39" s="58"/>
      <c r="J39" s="58"/>
      <c r="K39" s="31"/>
      <c r="L39" s="338">
        <v>65498.400000000001</v>
      </c>
      <c r="M39" s="510">
        <f t="shared" si="17"/>
        <v>5000</v>
      </c>
      <c r="N39" s="509">
        <f>N38</f>
        <v>4000</v>
      </c>
      <c r="O39" s="31"/>
      <c r="P39" s="328">
        <f t="shared" si="8"/>
        <v>74498.399999999994</v>
      </c>
      <c r="Q39" s="60"/>
      <c r="R39" s="334">
        <f t="shared" si="15"/>
        <v>59564.006802721087</v>
      </c>
      <c r="S39" s="31"/>
      <c r="T39" s="508">
        <f t="shared" si="16"/>
        <v>0.89</v>
      </c>
      <c r="U39" s="58"/>
      <c r="V39" s="514">
        <f>((R39/'Underlying Assumptions'!$E$11)/D39)*'Underlying Assumptions'!$E$9</f>
        <v>270.25232637083775</v>
      </c>
      <c r="W39" s="339">
        <f>IF(P39-R39&gt;(-1*'Underlying Assumptions'!$E$8),P39-R39,-1*'Underlying Assumptions'!$E$8)</f>
        <v>14934.393197278907</v>
      </c>
      <c r="X39" s="339">
        <f t="shared" si="12"/>
        <v>0</v>
      </c>
      <c r="Y39" s="340">
        <f>IF(AND(X39=0, X40&lt;-1),-100000000, (IF(X39&gt;=0,0,((X39/69000)*'Underlying Assumptions'!$E$7))))</f>
        <v>0</v>
      </c>
      <c r="Z39" s="274">
        <f>Y39/(D40-D38)</f>
        <v>0</v>
      </c>
      <c r="AA39" s="275">
        <f t="shared" si="10"/>
        <v>0</v>
      </c>
    </row>
    <row r="40" spans="1:27" x14ac:dyDescent="0.2">
      <c r="A40" s="273">
        <f t="shared" si="13"/>
        <v>2021</v>
      </c>
      <c r="B40" s="333"/>
      <c r="C40" s="334"/>
      <c r="D40" s="334">
        <f>((C$49-C$39)/10)+D39</f>
        <v>205141.6</v>
      </c>
      <c r="E40" s="504"/>
      <c r="F40" s="332">
        <f t="shared" ref="F40:F41" si="18">(D40-D39)/D39</f>
        <v>4.2587491487177428E-2</v>
      </c>
      <c r="G40" s="328">
        <f>D40/'Underlying Assumptions'!$E$10</f>
        <v>69776.054421768713</v>
      </c>
      <c r="H40" s="331">
        <f t="shared" si="2"/>
        <v>2850.2040816326626</v>
      </c>
      <c r="I40" s="58"/>
      <c r="J40" s="58"/>
      <c r="K40" s="31"/>
      <c r="L40" s="338">
        <v>65498.400000000001</v>
      </c>
      <c r="M40" s="510">
        <f t="shared" si="17"/>
        <v>5000</v>
      </c>
      <c r="N40" s="509">
        <f t="shared" ref="N40:N103" si="19">N39</f>
        <v>4000</v>
      </c>
      <c r="O40" s="31"/>
      <c r="P40" s="328">
        <f t="shared" si="8"/>
        <v>74498.399999999994</v>
      </c>
      <c r="Q40" s="60"/>
      <c r="R40" s="334">
        <f t="shared" si="15"/>
        <v>62100.688435374155</v>
      </c>
      <c r="S40" s="31"/>
      <c r="T40" s="508">
        <f t="shared" si="16"/>
        <v>0.89</v>
      </c>
      <c r="U40" s="58"/>
      <c r="V40" s="514">
        <f>((R40/'Underlying Assumptions'!$E$11)/D40)*'Underlying Assumptions'!$E$9</f>
        <v>270.25232637083781</v>
      </c>
      <c r="W40" s="339">
        <f>IF(P40-R40&gt;(-1*'Underlying Assumptions'!$E$8),P40-R40,-1*'Underlying Assumptions'!$E$8)</f>
        <v>12397.711564625839</v>
      </c>
      <c r="X40" s="339">
        <f t="shared" si="12"/>
        <v>0</v>
      </c>
      <c r="Y40" s="340">
        <f>IF(AND(X40=0, X41&lt;-1),-100000000, (IF(X40&gt;=0,0,((X40/69000)*'Underlying Assumptions'!$E$7))))</f>
        <v>0</v>
      </c>
      <c r="Z40" s="274" t="e">
        <f>Y40/(#REF!-D40)</f>
        <v>#REF!</v>
      </c>
      <c r="AA40" s="275">
        <f t="shared" si="10"/>
        <v>0</v>
      </c>
    </row>
    <row r="41" spans="1:27" x14ac:dyDescent="0.2">
      <c r="A41" s="273">
        <f t="shared" si="13"/>
        <v>2022</v>
      </c>
      <c r="B41" s="333"/>
      <c r="C41" s="334"/>
      <c r="D41" s="334">
        <f t="shared" ref="D41:D48" si="20">((C$49-C$39)/10)+D40</f>
        <v>213521.2</v>
      </c>
      <c r="E41" s="504"/>
      <c r="F41" s="332">
        <f t="shared" si="18"/>
        <v>4.0847882633264075E-2</v>
      </c>
      <c r="G41" s="328">
        <f>D41/'Underlying Assumptions'!$E$10</f>
        <v>72626.258503401361</v>
      </c>
      <c r="H41" s="331">
        <f t="shared" si="2"/>
        <v>2850.204081632648</v>
      </c>
      <c r="I41" s="58"/>
      <c r="J41" s="58"/>
      <c r="K41" s="31"/>
      <c r="L41" s="338">
        <v>65498.400000000001</v>
      </c>
      <c r="M41" s="510">
        <f t="shared" si="17"/>
        <v>5000</v>
      </c>
      <c r="N41" s="509">
        <f t="shared" si="19"/>
        <v>4000</v>
      </c>
      <c r="O41" s="31"/>
      <c r="P41" s="328">
        <f t="shared" si="8"/>
        <v>74498.399999999994</v>
      </c>
      <c r="Q41" s="60"/>
      <c r="R41" s="334">
        <f t="shared" si="15"/>
        <v>64637.370068027209</v>
      </c>
      <c r="S41" s="31"/>
      <c r="T41" s="508">
        <f t="shared" si="16"/>
        <v>0.89</v>
      </c>
      <c r="U41" s="58"/>
      <c r="V41" s="514">
        <f>((R41/'Underlying Assumptions'!$E$11)/D41)*'Underlying Assumptions'!$E$9</f>
        <v>270.25232637083775</v>
      </c>
      <c r="W41" s="339">
        <f>IF(P41-R41&gt;(-1*'Underlying Assumptions'!$E$8),P41-R41,-1*'Underlying Assumptions'!$E$8)</f>
        <v>9861.0299319727856</v>
      </c>
      <c r="X41" s="339">
        <f t="shared" si="12"/>
        <v>0</v>
      </c>
      <c r="Y41" s="340">
        <f>IF(AND(X41=0, X42&lt;-1),-100000000, (IF(X41&gt;=0,0,((X41/69000)*'Underlying Assumptions'!$E$7))))</f>
        <v>0</v>
      </c>
      <c r="Z41" s="274" t="e">
        <f>Y41/(D41-#REF!)</f>
        <v>#REF!</v>
      </c>
      <c r="AA41" s="275">
        <f t="shared" si="10"/>
        <v>0</v>
      </c>
    </row>
    <row r="42" spans="1:27" ht="15" x14ac:dyDescent="0.2">
      <c r="A42" s="273">
        <f t="shared" si="13"/>
        <v>2023</v>
      </c>
      <c r="B42" s="333"/>
      <c r="C42" s="334"/>
      <c r="D42" s="334">
        <f t="shared" si="20"/>
        <v>221900.80000000002</v>
      </c>
      <c r="E42" s="504"/>
      <c r="F42" s="332">
        <f t="shared" si="6"/>
        <v>3.9244815034760037E-2</v>
      </c>
      <c r="G42" s="328">
        <f>D42/'Underlying Assumptions'!$E$10</f>
        <v>75476.462585034024</v>
      </c>
      <c r="H42" s="331">
        <f t="shared" si="2"/>
        <v>2850.2040816326626</v>
      </c>
      <c r="I42" s="58"/>
      <c r="J42" s="58"/>
      <c r="K42" s="323">
        <v>1700</v>
      </c>
      <c r="L42" s="338">
        <v>65498.400000000001</v>
      </c>
      <c r="M42" s="510">
        <f t="shared" si="17"/>
        <v>5000</v>
      </c>
      <c r="N42" s="509">
        <f t="shared" si="19"/>
        <v>4000</v>
      </c>
      <c r="O42" s="325"/>
      <c r="P42" s="328">
        <f t="shared" si="8"/>
        <v>74498.399999999994</v>
      </c>
      <c r="Q42" s="60"/>
      <c r="R42" s="334">
        <f t="shared" si="15"/>
        <v>67174.051700680284</v>
      </c>
      <c r="S42" s="31"/>
      <c r="T42" s="508">
        <f t="shared" si="16"/>
        <v>0.89</v>
      </c>
      <c r="U42" s="58"/>
      <c r="V42" s="514">
        <f>((R42/'Underlying Assumptions'!$E$11)/D42)*'Underlying Assumptions'!$E$9</f>
        <v>270.25232637083775</v>
      </c>
      <c r="W42" s="339">
        <f>IF(P42-R42&gt;(-1*'Underlying Assumptions'!$E$8),P42-R42,-1*'Underlying Assumptions'!$E$8)</f>
        <v>7324.3482993197103</v>
      </c>
      <c r="X42" s="339">
        <f t="shared" si="12"/>
        <v>0</v>
      </c>
      <c r="Y42" s="340">
        <f>IF(AND(X42=0, X43&lt;-1),-100000000, (IF(X42&gt;=0,0,((X42/69000)*'Underlying Assumptions'!$E$7))))</f>
        <v>0</v>
      </c>
      <c r="Z42" s="274">
        <f t="shared" si="9"/>
        <v>0</v>
      </c>
      <c r="AA42" s="275">
        <f t="shared" si="10"/>
        <v>0</v>
      </c>
    </row>
    <row r="43" spans="1:27" x14ac:dyDescent="0.2">
      <c r="A43" s="273">
        <f t="shared" si="13"/>
        <v>2024</v>
      </c>
      <c r="B43" s="333"/>
      <c r="C43" s="334"/>
      <c r="D43" s="334">
        <f t="shared" si="20"/>
        <v>230280.40000000002</v>
      </c>
      <c r="E43" s="504"/>
      <c r="F43" s="332">
        <f t="shared" si="6"/>
        <v>3.7762820143054938E-2</v>
      </c>
      <c r="G43" s="328">
        <f>D43/'Underlying Assumptions'!$E$10</f>
        <v>78326.666666666672</v>
      </c>
      <c r="H43" s="331">
        <f t="shared" si="2"/>
        <v>2850.204081632648</v>
      </c>
      <c r="I43" s="58"/>
      <c r="J43" s="58"/>
      <c r="K43" s="31"/>
      <c r="L43" s="338">
        <v>65498.400000000001</v>
      </c>
      <c r="M43" s="510">
        <f t="shared" si="17"/>
        <v>5000</v>
      </c>
      <c r="N43" s="509">
        <f t="shared" si="19"/>
        <v>4000</v>
      </c>
      <c r="O43" s="31"/>
      <c r="P43" s="328">
        <f t="shared" si="8"/>
        <v>74498.399999999994</v>
      </c>
      <c r="Q43" s="60"/>
      <c r="R43" s="334">
        <f t="shared" si="15"/>
        <v>69710.733333333337</v>
      </c>
      <c r="S43" s="31"/>
      <c r="T43" s="508">
        <f t="shared" si="16"/>
        <v>0.89</v>
      </c>
      <c r="U43" s="58"/>
      <c r="V43" s="514">
        <f>((R43/'Underlying Assumptions'!$E$11)/D43)*'Underlying Assumptions'!$E$9</f>
        <v>270.25232637083775</v>
      </c>
      <c r="W43" s="339">
        <f>IF(P43-R43&gt;(-1*'Underlying Assumptions'!$E$8),P43-R43,-1*'Underlying Assumptions'!$E$8)</f>
        <v>4787.666666666657</v>
      </c>
      <c r="X43" s="339">
        <f t="shared" si="12"/>
        <v>0</v>
      </c>
      <c r="Y43" s="340">
        <f>IF(AND(X43=0, X44&lt;-1),-100000000, (IF(X43&gt;=0,0,((X43/69000)*'Underlying Assumptions'!$E$7))))</f>
        <v>0</v>
      </c>
      <c r="Z43" s="274">
        <f t="shared" si="9"/>
        <v>0</v>
      </c>
      <c r="AA43" s="275">
        <f t="shared" si="10"/>
        <v>0</v>
      </c>
    </row>
    <row r="44" spans="1:27" x14ac:dyDescent="0.2">
      <c r="A44" s="273">
        <f t="shared" si="13"/>
        <v>2025</v>
      </c>
      <c r="B44" s="333"/>
      <c r="C44" s="334"/>
      <c r="D44" s="334">
        <f t="shared" si="20"/>
        <v>238660.00000000003</v>
      </c>
      <c r="E44" s="504"/>
      <c r="F44" s="332">
        <f t="shared" si="6"/>
        <v>3.6388680929857711E-2</v>
      </c>
      <c r="G44" s="328">
        <f>D44/'Underlying Assumptions'!$E$10</f>
        <v>81176.870748299334</v>
      </c>
      <c r="H44" s="331">
        <f t="shared" si="2"/>
        <v>2850.2040816326626</v>
      </c>
      <c r="I44" s="58"/>
      <c r="J44" s="58"/>
      <c r="K44" s="31"/>
      <c r="L44" s="338">
        <v>65498.400000000001</v>
      </c>
      <c r="M44" s="510">
        <f t="shared" si="17"/>
        <v>5000</v>
      </c>
      <c r="N44" s="509">
        <f t="shared" si="19"/>
        <v>4000</v>
      </c>
      <c r="O44" s="31"/>
      <c r="P44" s="328">
        <f t="shared" si="8"/>
        <v>74498.399999999994</v>
      </c>
      <c r="Q44" s="60"/>
      <c r="R44" s="334">
        <f t="shared" si="15"/>
        <v>72247.414965986405</v>
      </c>
      <c r="S44" s="31"/>
      <c r="T44" s="508">
        <f t="shared" si="16"/>
        <v>0.89</v>
      </c>
      <c r="U44" s="58"/>
      <c r="V44" s="514">
        <f>((R44/'Underlying Assumptions'!$E$11)/D44)*'Underlying Assumptions'!$E$9</f>
        <v>270.25232637083775</v>
      </c>
      <c r="W44" s="339">
        <f>IF(P44-R44&gt;(-1*'Underlying Assumptions'!$E$8),P44-R44,-1*'Underlying Assumptions'!$E$8)</f>
        <v>2250.985034013589</v>
      </c>
      <c r="X44" s="342">
        <v>0</v>
      </c>
      <c r="Y44" s="340">
        <f>IF(AND(X44=0, X45&lt;-1),-100000000, (IF(X44&gt;=0,0,((X44/69000)*'Underlying Assumptions'!$E$7))))</f>
        <v>-100000000</v>
      </c>
      <c r="Z44" s="274">
        <f t="shared" si="9"/>
        <v>-11933.743854121907</v>
      </c>
      <c r="AA44" s="275">
        <f t="shared" si="10"/>
        <v>-35085.206931118315</v>
      </c>
    </row>
    <row r="45" spans="1:27" x14ac:dyDescent="0.2">
      <c r="A45" s="273">
        <f t="shared" si="13"/>
        <v>2026</v>
      </c>
      <c r="B45" s="333"/>
      <c r="C45" s="334"/>
      <c r="D45" s="334">
        <f t="shared" si="20"/>
        <v>247039.60000000003</v>
      </c>
      <c r="E45" s="504"/>
      <c r="F45" s="332">
        <f t="shared" si="6"/>
        <v>3.5111036621134691E-2</v>
      </c>
      <c r="G45" s="328">
        <f>D45/'Underlying Assumptions'!$E$10</f>
        <v>84027.074829931982</v>
      </c>
      <c r="H45" s="331">
        <f t="shared" si="2"/>
        <v>2850.204081632648</v>
      </c>
      <c r="I45" s="58"/>
      <c r="J45" s="58"/>
      <c r="K45" s="31"/>
      <c r="L45" s="338">
        <v>65498.400000000001</v>
      </c>
      <c r="M45" s="510">
        <f t="shared" si="17"/>
        <v>5000</v>
      </c>
      <c r="N45" s="509">
        <f t="shared" si="19"/>
        <v>4000</v>
      </c>
      <c r="O45" s="31"/>
      <c r="P45" s="328">
        <f t="shared" si="8"/>
        <v>74498.399999999994</v>
      </c>
      <c r="Q45" s="60"/>
      <c r="R45" s="334">
        <f t="shared" si="15"/>
        <v>74784.096598639459</v>
      </c>
      <c r="S45" s="31"/>
      <c r="T45" s="508">
        <f t="shared" si="16"/>
        <v>0.8899999999999999</v>
      </c>
      <c r="U45" s="58"/>
      <c r="V45" s="514">
        <f>((R45/'Underlying Assumptions'!$E$11)/D45)*'Underlying Assumptions'!$E$9</f>
        <v>270.25232637083775</v>
      </c>
      <c r="W45" s="339">
        <f>IF(P45-R45&gt;(-1*'Underlying Assumptions'!$E$8),P45-R45,-1*'Underlying Assumptions'!$E$8)</f>
        <v>-285.69659863946436</v>
      </c>
      <c r="X45" s="342">
        <v>-2536.6816326530679</v>
      </c>
      <c r="Y45" s="340">
        <f>IF(AND(X45=0, X46&lt;-1),-100000000, (IF(X45&gt;=0,0,((X45/69000)*'Underlying Assumptions'!$E$7))))</f>
        <v>-40219271.103224009</v>
      </c>
      <c r="Z45" s="274">
        <f t="shared" si="9"/>
        <v>-4799.6647934536231</v>
      </c>
      <c r="AA45" s="275">
        <f t="shared" si="10"/>
        <v>-14111.014492753688</v>
      </c>
    </row>
    <row r="46" spans="1:27" x14ac:dyDescent="0.2">
      <c r="A46" s="273">
        <f t="shared" si="13"/>
        <v>2027</v>
      </c>
      <c r="B46" s="333"/>
      <c r="C46" s="334"/>
      <c r="D46" s="334">
        <f t="shared" si="20"/>
        <v>255419.20000000004</v>
      </c>
      <c r="E46" s="504"/>
      <c r="F46" s="332">
        <f t="shared" si="6"/>
        <v>3.392006787575759E-2</v>
      </c>
      <c r="G46" s="328">
        <f>D46/'Underlying Assumptions'!$E$10</f>
        <v>86877.278911564645</v>
      </c>
      <c r="H46" s="331">
        <f t="shared" si="2"/>
        <v>2850.2040816326626</v>
      </c>
      <c r="I46" s="58"/>
      <c r="J46" s="58"/>
      <c r="K46" s="31"/>
      <c r="L46" s="338">
        <v>65498.400000000001</v>
      </c>
      <c r="M46" s="510">
        <f t="shared" si="17"/>
        <v>5000</v>
      </c>
      <c r="N46" s="509">
        <f t="shared" si="19"/>
        <v>4000</v>
      </c>
      <c r="O46" s="31"/>
      <c r="P46" s="328">
        <f t="shared" si="8"/>
        <v>74498.399999999994</v>
      </c>
      <c r="Q46" s="60"/>
      <c r="R46" s="334">
        <f t="shared" si="15"/>
        <v>77320.778231292541</v>
      </c>
      <c r="S46" s="31"/>
      <c r="T46" s="508">
        <f t="shared" si="16"/>
        <v>0.89000000000000012</v>
      </c>
      <c r="U46" s="58"/>
      <c r="V46" s="514">
        <f>((R46/'Underlying Assumptions'!$E$11)/D46)*'Underlying Assumptions'!$E$9</f>
        <v>270.25232637083781</v>
      </c>
      <c r="W46" s="339">
        <f>IF(P46-R46&gt;(-1*'Underlying Assumptions'!$E$8),P46-R46,-1*'Underlying Assumptions'!$E$8)</f>
        <v>-2822.3782312925468</v>
      </c>
      <c r="X46" s="342">
        <v>-2536.6816326530679</v>
      </c>
      <c r="Y46" s="340">
        <f>IF(AND(X46=0, X47&lt;-1),-100000000, (IF(X46&gt;=0,0,((X46/69000)*'Underlying Assumptions'!$E$7))))</f>
        <v>-40219271.103224009</v>
      </c>
      <c r="Z46" s="274">
        <f t="shared" si="9"/>
        <v>-4799.6647934536231</v>
      </c>
      <c r="AA46" s="275">
        <f t="shared" si="10"/>
        <v>-14111.014492753615</v>
      </c>
    </row>
    <row r="47" spans="1:27" x14ac:dyDescent="0.2">
      <c r="A47" s="273">
        <f t="shared" si="13"/>
        <v>2028</v>
      </c>
      <c r="B47" s="333"/>
      <c r="C47" s="334"/>
      <c r="D47" s="334">
        <f t="shared" si="20"/>
        <v>263798.80000000005</v>
      </c>
      <c r="E47" s="504"/>
      <c r="F47" s="332">
        <f t="shared" si="6"/>
        <v>3.2807243934676815E-2</v>
      </c>
      <c r="G47" s="328">
        <f>D47/'Underlying Assumptions'!$E$10</f>
        <v>89727.482993197293</v>
      </c>
      <c r="H47" s="331">
        <f t="shared" si="2"/>
        <v>2850.204081632648</v>
      </c>
      <c r="I47" s="58"/>
      <c r="J47" s="58"/>
      <c r="K47" s="31"/>
      <c r="L47" s="338">
        <v>65498.400000000001</v>
      </c>
      <c r="M47" s="510">
        <f t="shared" si="17"/>
        <v>5000</v>
      </c>
      <c r="N47" s="509">
        <f t="shared" si="19"/>
        <v>4000</v>
      </c>
      <c r="O47" s="31"/>
      <c r="P47" s="328">
        <f t="shared" si="8"/>
        <v>74498.399999999994</v>
      </c>
      <c r="Q47" s="60"/>
      <c r="R47" s="334">
        <f t="shared" si="15"/>
        <v>79857.459863945594</v>
      </c>
      <c r="S47" s="31"/>
      <c r="T47" s="508">
        <f t="shared" si="16"/>
        <v>0.89</v>
      </c>
      <c r="U47" s="58"/>
      <c r="V47" s="514">
        <f>((R47/'Underlying Assumptions'!$E$11)/D47)*'Underlying Assumptions'!$E$9</f>
        <v>270.25232637083781</v>
      </c>
      <c r="W47" s="339">
        <f>IF(P47-R47&gt;(-1*'Underlying Assumptions'!$E$8),P47-R47,-1*'Underlying Assumptions'!$E$8)</f>
        <v>-5359.0598639456002</v>
      </c>
      <c r="X47" s="342">
        <v>-2536.6816326530388</v>
      </c>
      <c r="Y47" s="340">
        <f>IF(AND(X47=0, X48&lt;-1),-100000000, (IF(X47&gt;=0,0,((X47/69000)*'Underlying Assumptions'!$E$7))))</f>
        <v>-40219271.103223547</v>
      </c>
      <c r="Z47" s="274">
        <f t="shared" si="9"/>
        <v>-4799.6647934535686</v>
      </c>
      <c r="AA47" s="275">
        <f t="shared" si="10"/>
        <v>-14111.014492753526</v>
      </c>
    </row>
    <row r="48" spans="1:27" x14ac:dyDescent="0.2">
      <c r="A48" s="273">
        <f t="shared" si="13"/>
        <v>2029</v>
      </c>
      <c r="B48" s="333"/>
      <c r="C48" s="334"/>
      <c r="D48" s="334">
        <f t="shared" si="20"/>
        <v>272178.40000000002</v>
      </c>
      <c r="E48" s="504"/>
      <c r="F48" s="332">
        <f t="shared" si="6"/>
        <v>3.1765117961112692E-2</v>
      </c>
      <c r="G48" s="328">
        <f>D48/'Underlying Assumptions'!$E$10</f>
        <v>92577.687074829941</v>
      </c>
      <c r="H48" s="331">
        <f t="shared" si="2"/>
        <v>2850.204081632648</v>
      </c>
      <c r="I48" s="58"/>
      <c r="J48" s="58"/>
      <c r="K48" s="31"/>
      <c r="L48" s="338">
        <v>65498.400000000001</v>
      </c>
      <c r="M48" s="510">
        <f t="shared" si="17"/>
        <v>5000</v>
      </c>
      <c r="N48" s="509">
        <f t="shared" si="19"/>
        <v>4000</v>
      </c>
      <c r="O48" s="31"/>
      <c r="P48" s="328">
        <f t="shared" si="8"/>
        <v>74498.399999999994</v>
      </c>
      <c r="Q48" s="60"/>
      <c r="R48" s="334">
        <f t="shared" si="15"/>
        <v>82394.141496598648</v>
      </c>
      <c r="S48" s="31"/>
      <c r="T48" s="508">
        <f t="shared" si="16"/>
        <v>0.89</v>
      </c>
      <c r="U48" s="58"/>
      <c r="V48" s="514">
        <f>((R48/'Underlying Assumptions'!$E$11)/D48)*'Underlying Assumptions'!$E$9</f>
        <v>270.25232637083775</v>
      </c>
      <c r="W48" s="339">
        <f>IF(P48-R48&gt;(-1*'Underlying Assumptions'!$E$8),P48-R48,-1*'Underlying Assumptions'!$E$8)</f>
        <v>-7895.7414965986536</v>
      </c>
      <c r="X48" s="342">
        <v>-2536.6816326530679</v>
      </c>
      <c r="Y48" s="340">
        <f>IF(AND(X48=0, X49&lt;-1),-100000000, (IF(X48&gt;=0,0,((X48/69000)*'Underlying Assumptions'!$E$7))))</f>
        <v>-40219271.103224009</v>
      </c>
      <c r="Z48" s="274">
        <f t="shared" si="9"/>
        <v>-4799.6647934536395</v>
      </c>
      <c r="AA48" s="275">
        <f t="shared" si="10"/>
        <v>-14111.014492753688</v>
      </c>
    </row>
    <row r="49" spans="1:27" x14ac:dyDescent="0.2">
      <c r="A49" s="273">
        <f t="shared" si="13"/>
        <v>2030</v>
      </c>
      <c r="B49" s="333"/>
      <c r="C49" s="334">
        <v>280558</v>
      </c>
      <c r="D49" s="334">
        <f>C49</f>
        <v>280558</v>
      </c>
      <c r="E49" s="504"/>
      <c r="F49" s="332">
        <f t="shared" si="6"/>
        <v>3.0787160186113136E-2</v>
      </c>
      <c r="G49" s="328">
        <f>D49/'Underlying Assumptions'!$E$10</f>
        <v>95427.891156462589</v>
      </c>
      <c r="H49" s="331">
        <f t="shared" si="2"/>
        <v>2850.204081632648</v>
      </c>
      <c r="I49" s="277"/>
      <c r="J49" s="58"/>
      <c r="K49" s="31"/>
      <c r="L49" s="338">
        <v>65498.400000000001</v>
      </c>
      <c r="M49" s="510">
        <f t="shared" si="17"/>
        <v>5000</v>
      </c>
      <c r="N49" s="509">
        <f t="shared" si="19"/>
        <v>4000</v>
      </c>
      <c r="O49" s="31"/>
      <c r="P49" s="328">
        <f t="shared" si="8"/>
        <v>74498.399999999994</v>
      </c>
      <c r="Q49" s="60"/>
      <c r="R49" s="334">
        <f t="shared" si="15"/>
        <v>84930.823129251701</v>
      </c>
      <c r="S49" s="31"/>
      <c r="T49" s="508">
        <f t="shared" si="16"/>
        <v>0.89</v>
      </c>
      <c r="U49" s="58"/>
      <c r="V49" s="514">
        <f>((R49/'Underlying Assumptions'!$E$11)/D49)*'Underlying Assumptions'!$E$9</f>
        <v>270.25232637083775</v>
      </c>
      <c r="W49" s="339">
        <f>IF(P49-R49&gt;(-1*'Underlying Assumptions'!$E$8),P49-R49,-1*'Underlying Assumptions'!$E$8)</f>
        <v>-10432.423129251707</v>
      </c>
      <c r="X49" s="342">
        <v>-2536.6816326530534</v>
      </c>
      <c r="Y49" s="340">
        <f>IF(AND(X49=0, X50&lt;-1),-100000000, (IF(X49&gt;=0,0,((X49/69000)*'Underlying Assumptions'!$E$7))))</f>
        <v>-40219271.103223771</v>
      </c>
      <c r="Z49" s="274">
        <f t="shared" si="9"/>
        <v>-4799.6647934536113</v>
      </c>
      <c r="AA49" s="275">
        <f t="shared" si="10"/>
        <v>-14111.014492753604</v>
      </c>
    </row>
    <row r="50" spans="1:27" x14ac:dyDescent="0.2">
      <c r="A50" s="273">
        <f t="shared" si="13"/>
        <v>2031</v>
      </c>
      <c r="B50" s="333"/>
      <c r="C50" s="334"/>
      <c r="D50" s="334">
        <f>((C$59-C$49)/10)+D49</f>
        <v>289676.5</v>
      </c>
      <c r="E50" s="504"/>
      <c r="F50" s="332">
        <f t="shared" si="6"/>
        <v>3.2501300978763747E-2</v>
      </c>
      <c r="G50" s="328">
        <f>D50/'Underlying Assumptions'!$E$10</f>
        <v>98529.421768707485</v>
      </c>
      <c r="H50" s="331">
        <f t="shared" si="2"/>
        <v>3101.5306122448965</v>
      </c>
      <c r="I50" s="277"/>
      <c r="J50" s="58"/>
      <c r="K50" s="31"/>
      <c r="L50" s="338">
        <v>65498.400000000001</v>
      </c>
      <c r="M50" s="510">
        <f t="shared" si="17"/>
        <v>5000</v>
      </c>
      <c r="N50" s="509">
        <f t="shared" si="19"/>
        <v>4000</v>
      </c>
      <c r="O50" s="31"/>
      <c r="P50" s="328">
        <f t="shared" si="8"/>
        <v>74498.399999999994</v>
      </c>
      <c r="Q50" s="60"/>
      <c r="R50" s="334">
        <f t="shared" si="15"/>
        <v>87691.18537414966</v>
      </c>
      <c r="S50" s="31"/>
      <c r="T50" s="508">
        <f t="shared" si="16"/>
        <v>0.89</v>
      </c>
      <c r="U50" s="58"/>
      <c r="V50" s="514">
        <f>((R50/'Underlying Assumptions'!$E$11)/D50)*'Underlying Assumptions'!$E$9</f>
        <v>270.25232637083775</v>
      </c>
      <c r="W50" s="339">
        <f>IF(P50-R50&gt;(-1*'Underlying Assumptions'!$E$8),P50-R50,-1*'Underlying Assumptions'!$E$8)</f>
        <v>-13192.785374149666</v>
      </c>
      <c r="X50" s="342">
        <v>-2760.3622448979586</v>
      </c>
      <c r="Y50" s="340">
        <f>IF(AND(X50=0, X51&lt;-1),-100000000, (IF(X50&gt;=0,0,((X50/69000)*'Underlying Assumptions'!$E$7))))</f>
        <v>-43765743.419106759</v>
      </c>
      <c r="Z50" s="274">
        <f t="shared" si="9"/>
        <v>-4799.6647934536122</v>
      </c>
      <c r="AA50" s="275">
        <f t="shared" si="10"/>
        <v>-14111.014492753626</v>
      </c>
    </row>
    <row r="51" spans="1:27" x14ac:dyDescent="0.2">
      <c r="A51" s="273">
        <f t="shared" si="13"/>
        <v>2032</v>
      </c>
      <c r="B51" s="333"/>
      <c r="C51" s="334"/>
      <c r="D51" s="334">
        <f t="shared" ref="D51:D58" si="21">((C$59-C$49)/10)+D50</f>
        <v>298795</v>
      </c>
      <c r="E51" s="504"/>
      <c r="F51" s="332">
        <f t="shared" si="6"/>
        <v>3.1478217943119308E-2</v>
      </c>
      <c r="G51" s="328">
        <f>D51/'Underlying Assumptions'!$E$10</f>
        <v>101630.95238095238</v>
      </c>
      <c r="H51" s="331">
        <f t="shared" si="2"/>
        <v>3101.5306122448965</v>
      </c>
      <c r="I51" s="277"/>
      <c r="J51" s="58"/>
      <c r="K51" s="31"/>
      <c r="L51" s="338">
        <v>65498.400000000001</v>
      </c>
      <c r="M51" s="510">
        <f t="shared" si="17"/>
        <v>5000</v>
      </c>
      <c r="N51" s="509">
        <f t="shared" si="19"/>
        <v>4000</v>
      </c>
      <c r="O51" s="31"/>
      <c r="P51" s="328">
        <f t="shared" si="8"/>
        <v>74498.399999999994</v>
      </c>
      <c r="Q51" s="60"/>
      <c r="R51" s="334">
        <f t="shared" si="15"/>
        <v>90451.547619047618</v>
      </c>
      <c r="S51" s="31"/>
      <c r="T51" s="508">
        <f t="shared" si="16"/>
        <v>0.89</v>
      </c>
      <c r="U51" s="58"/>
      <c r="V51" s="514">
        <f>((R51/'Underlying Assumptions'!$E$11)/D51)*'Underlying Assumptions'!$E$9</f>
        <v>270.25232637083775</v>
      </c>
      <c r="W51" s="339">
        <f>IF(P51-R51&gt;(-1*'Underlying Assumptions'!$E$8),P51-R51,-1*'Underlying Assumptions'!$E$8)</f>
        <v>-15953.147619047624</v>
      </c>
      <c r="X51" s="342">
        <v>-2760.3622448979586</v>
      </c>
      <c r="Y51" s="340">
        <f>IF(AND(X51=0, X52&lt;-1),-100000000, (IF(X51&gt;=0,0,((X51/69000)*'Underlying Assumptions'!$E$7))))</f>
        <v>-43765743.419106759</v>
      </c>
      <c r="Z51" s="274">
        <f t="shared" si="9"/>
        <v>-4799.6647934536122</v>
      </c>
      <c r="AA51" s="275">
        <f t="shared" si="10"/>
        <v>-14111.014492753626</v>
      </c>
    </row>
    <row r="52" spans="1:27" x14ac:dyDescent="0.2">
      <c r="A52" s="273">
        <f t="shared" si="13"/>
        <v>2033</v>
      </c>
      <c r="B52" s="333"/>
      <c r="C52" s="334"/>
      <c r="D52" s="334">
        <f t="shared" si="21"/>
        <v>307913.5</v>
      </c>
      <c r="E52" s="504"/>
      <c r="F52" s="332">
        <f t="shared" si="6"/>
        <v>3.0517578942084036E-2</v>
      </c>
      <c r="G52" s="328">
        <f>D52/'Underlying Assumptions'!$E$10</f>
        <v>104732.48299319728</v>
      </c>
      <c r="H52" s="331">
        <f t="shared" si="2"/>
        <v>3101.5306122448965</v>
      </c>
      <c r="I52" s="277"/>
      <c r="J52" s="58"/>
      <c r="K52" s="31"/>
      <c r="L52" s="338">
        <v>65498.400000000001</v>
      </c>
      <c r="M52" s="510">
        <f t="shared" si="17"/>
        <v>5000</v>
      </c>
      <c r="N52" s="509">
        <f t="shared" si="19"/>
        <v>4000</v>
      </c>
      <c r="O52" s="31"/>
      <c r="P52" s="328">
        <f t="shared" si="8"/>
        <v>74498.399999999994</v>
      </c>
      <c r="Q52" s="60"/>
      <c r="R52" s="334">
        <f t="shared" si="15"/>
        <v>93211.909863945577</v>
      </c>
      <c r="S52" s="31"/>
      <c r="T52" s="508">
        <f t="shared" si="16"/>
        <v>0.89</v>
      </c>
      <c r="U52" s="58"/>
      <c r="V52" s="514">
        <f>((R52/'Underlying Assumptions'!$E$11)/D52)*'Underlying Assumptions'!$E$9</f>
        <v>270.25232637083775</v>
      </c>
      <c r="W52" s="339">
        <f>IF(P52-R52&gt;(-1*'Underlying Assumptions'!$E$8),P52-R52,-1*'Underlying Assumptions'!$E$8)</f>
        <v>-18713.509863945583</v>
      </c>
      <c r="X52" s="342">
        <v>-2760.3622448979731</v>
      </c>
      <c r="Y52" s="340">
        <f>IF(AND(X52=0, X53&lt;-1),-100000000, (IF(X52&gt;=0,0,((X52/69000)*'Underlying Assumptions'!$E$7))))</f>
        <v>-43765743.419106998</v>
      </c>
      <c r="Z52" s="274">
        <f t="shared" si="9"/>
        <v>-4799.6647934536377</v>
      </c>
      <c r="AA52" s="275">
        <f t="shared" si="10"/>
        <v>-14111.014492753702</v>
      </c>
    </row>
    <row r="53" spans="1:27" x14ac:dyDescent="0.2">
      <c r="A53" s="273">
        <f t="shared" si="13"/>
        <v>2034</v>
      </c>
      <c r="B53" s="333"/>
      <c r="C53" s="334"/>
      <c r="D53" s="334">
        <f t="shared" si="21"/>
        <v>317032</v>
      </c>
      <c r="E53" s="504"/>
      <c r="F53" s="332">
        <f t="shared" si="6"/>
        <v>2.9613836353391456E-2</v>
      </c>
      <c r="G53" s="328">
        <f>D53/'Underlying Assumptions'!$E$10</f>
        <v>107834.01360544217</v>
      </c>
      <c r="H53" s="331">
        <f t="shared" si="2"/>
        <v>3101.5306122448965</v>
      </c>
      <c r="I53" s="277"/>
      <c r="J53" s="58"/>
      <c r="K53" s="31"/>
      <c r="L53" s="338">
        <v>65498.400000000001</v>
      </c>
      <c r="M53" s="510">
        <f t="shared" si="17"/>
        <v>5000</v>
      </c>
      <c r="N53" s="509">
        <f t="shared" si="19"/>
        <v>4000</v>
      </c>
      <c r="O53" s="31"/>
      <c r="P53" s="328">
        <f t="shared" si="8"/>
        <v>74498.399999999994</v>
      </c>
      <c r="Q53" s="60"/>
      <c r="R53" s="334">
        <f t="shared" si="15"/>
        <v>95972.272108843536</v>
      </c>
      <c r="S53" s="31"/>
      <c r="T53" s="508">
        <f t="shared" si="16"/>
        <v>0.89</v>
      </c>
      <c r="U53" s="58"/>
      <c r="V53" s="514">
        <f>((R53/'Underlying Assumptions'!$E$11)/D53)*'Underlying Assumptions'!$E$9</f>
        <v>270.25232637083775</v>
      </c>
      <c r="W53" s="339">
        <f>IF(P53-R53&gt;(-1*'Underlying Assumptions'!$E$8),P53-R53,-1*'Underlying Assumptions'!$E$8)</f>
        <v>-21473.872108843541</v>
      </c>
      <c r="X53" s="342">
        <v>-2760.3622448979586</v>
      </c>
      <c r="Y53" s="340">
        <f>IF(AND(X53=0, X54&lt;-1),-100000000, (IF(X53&gt;=0,0,((X53/69000)*'Underlying Assumptions'!$E$7))))</f>
        <v>-43765743.419106759</v>
      </c>
      <c r="Z53" s="274">
        <f t="shared" si="9"/>
        <v>-4799.6647934536122</v>
      </c>
      <c r="AA53" s="275">
        <f t="shared" si="10"/>
        <v>-14111.014492753626</v>
      </c>
    </row>
    <row r="54" spans="1:27" x14ac:dyDescent="0.2">
      <c r="A54" s="273">
        <f t="shared" si="13"/>
        <v>2035</v>
      </c>
      <c r="B54" s="333"/>
      <c r="C54" s="334"/>
      <c r="D54" s="334">
        <f t="shared" si="21"/>
        <v>326150.5</v>
      </c>
      <c r="E54" s="504"/>
      <c r="F54" s="332">
        <f t="shared" si="6"/>
        <v>2.8762080799414572E-2</v>
      </c>
      <c r="G54" s="328">
        <f>D54/'Underlying Assumptions'!$E$10</f>
        <v>110935.54421768707</v>
      </c>
      <c r="H54" s="331">
        <f t="shared" si="2"/>
        <v>3101.5306122448965</v>
      </c>
      <c r="I54" s="277"/>
      <c r="J54" s="58"/>
      <c r="K54" s="31"/>
      <c r="L54" s="338">
        <v>65498.400000000001</v>
      </c>
      <c r="M54" s="510">
        <f t="shared" si="17"/>
        <v>5000</v>
      </c>
      <c r="N54" s="509">
        <f t="shared" si="19"/>
        <v>4000</v>
      </c>
      <c r="O54" s="31"/>
      <c r="P54" s="328">
        <f t="shared" si="8"/>
        <v>74498.399999999994</v>
      </c>
      <c r="Q54" s="60"/>
      <c r="R54" s="334">
        <f t="shared" si="15"/>
        <v>98732.634353741494</v>
      </c>
      <c r="S54" s="31"/>
      <c r="T54" s="508">
        <f t="shared" si="16"/>
        <v>0.89</v>
      </c>
      <c r="U54" s="58"/>
      <c r="V54" s="514">
        <f>((R54/'Underlying Assumptions'!$E$11)/D54)*'Underlying Assumptions'!$E$9</f>
        <v>270.25232637083775</v>
      </c>
      <c r="W54" s="339">
        <f>IF(P54-R54&gt;(-1*'Underlying Assumptions'!$E$8),P54-R54,-1*'Underlying Assumptions'!$E$8)</f>
        <v>-24234.2343537415</v>
      </c>
      <c r="X54" s="342">
        <v>-2760.3622448979586</v>
      </c>
      <c r="Y54" s="340">
        <f>IF(AND(X54=0, X55&lt;-1),-100000000, (IF(X54&gt;=0,0,((X54/69000)*'Underlying Assumptions'!$E$7))))</f>
        <v>-43765743.419106759</v>
      </c>
      <c r="Z54" s="274">
        <f t="shared" si="9"/>
        <v>-4799.6647934536122</v>
      </c>
      <c r="AA54" s="275">
        <f t="shared" si="10"/>
        <v>-14111.014492753626</v>
      </c>
    </row>
    <row r="55" spans="1:27" x14ac:dyDescent="0.2">
      <c r="A55" s="273">
        <f t="shared" si="13"/>
        <v>2036</v>
      </c>
      <c r="B55" s="333"/>
      <c r="C55" s="334"/>
      <c r="D55" s="334">
        <f t="shared" si="21"/>
        <v>335269</v>
      </c>
      <c r="E55" s="504"/>
      <c r="F55" s="332">
        <f t="shared" si="6"/>
        <v>2.7957951927101137E-2</v>
      </c>
      <c r="G55" s="328">
        <f>D55/'Underlying Assumptions'!$E$10</f>
        <v>114037.07482993198</v>
      </c>
      <c r="H55" s="331">
        <f t="shared" si="2"/>
        <v>3101.530612244911</v>
      </c>
      <c r="I55" s="277"/>
      <c r="J55" s="58"/>
      <c r="K55" s="31"/>
      <c r="L55" s="338">
        <v>65498.400000000001</v>
      </c>
      <c r="M55" s="510">
        <f t="shared" si="17"/>
        <v>5000</v>
      </c>
      <c r="N55" s="509">
        <f t="shared" si="19"/>
        <v>4000</v>
      </c>
      <c r="O55" s="31"/>
      <c r="P55" s="328">
        <f t="shared" si="8"/>
        <v>74498.399999999994</v>
      </c>
      <c r="Q55" s="60"/>
      <c r="R55" s="334">
        <f t="shared" si="15"/>
        <v>101492.99659863947</v>
      </c>
      <c r="S55" s="31"/>
      <c r="T55" s="508">
        <f t="shared" si="16"/>
        <v>0.89</v>
      </c>
      <c r="U55" s="58"/>
      <c r="V55" s="514">
        <f>((R55/'Underlying Assumptions'!$E$11)/D55)*'Underlying Assumptions'!$E$9</f>
        <v>270.25232637083781</v>
      </c>
      <c r="W55" s="339">
        <f>IF(P55-R55&gt;(-1*'Underlying Assumptions'!$E$8),P55-R55,-1*'Underlying Assumptions'!$E$8)</f>
        <v>-26994.596598639473</v>
      </c>
      <c r="X55" s="342">
        <v>-2760.362244897944</v>
      </c>
      <c r="Y55" s="340">
        <f>IF(AND(X55=0, X56&lt;-1),-100000000, (IF(X55&gt;=0,0,((X55/69000)*'Underlying Assumptions'!$E$7))))</f>
        <v>-43765743.419106536</v>
      </c>
      <c r="Z55" s="274">
        <f t="shared" si="9"/>
        <v>-4799.6647934535877</v>
      </c>
      <c r="AA55" s="275">
        <f t="shared" si="10"/>
        <v>-14111.014492753488</v>
      </c>
    </row>
    <row r="56" spans="1:27" x14ac:dyDescent="0.2">
      <c r="A56" s="273">
        <f t="shared" si="13"/>
        <v>2037</v>
      </c>
      <c r="B56" s="333"/>
      <c r="C56" s="334"/>
      <c r="D56" s="334">
        <f t="shared" si="21"/>
        <v>344387.5</v>
      </c>
      <c r="E56" s="504"/>
      <c r="F56" s="332">
        <f t="shared" ref="F56:F79" si="22">(D56-D55)/D55</f>
        <v>2.7197563747319315E-2</v>
      </c>
      <c r="G56" s="328">
        <f>D56/'Underlying Assumptions'!$E$10</f>
        <v>117138.60544217688</v>
      </c>
      <c r="H56" s="331">
        <f t="shared" si="2"/>
        <v>3101.5306122448965</v>
      </c>
      <c r="I56" s="277"/>
      <c r="J56" s="58"/>
      <c r="K56" s="31"/>
      <c r="L56" s="338">
        <v>65498.400000000001</v>
      </c>
      <c r="M56" s="510">
        <f t="shared" si="17"/>
        <v>5000</v>
      </c>
      <c r="N56" s="509">
        <f t="shared" si="19"/>
        <v>4000</v>
      </c>
      <c r="O56" s="31"/>
      <c r="P56" s="328">
        <f t="shared" si="8"/>
        <v>74498.399999999994</v>
      </c>
      <c r="Q56" s="60"/>
      <c r="R56" s="334">
        <f t="shared" si="15"/>
        <v>104253.35884353743</v>
      </c>
      <c r="S56" s="31"/>
      <c r="T56" s="508">
        <f t="shared" si="16"/>
        <v>0.89</v>
      </c>
      <c r="U56" s="58"/>
      <c r="V56" s="514">
        <f>((R56/'Underlying Assumptions'!$E$11)/D56)*'Underlying Assumptions'!$E$9</f>
        <v>270.25232637083775</v>
      </c>
      <c r="W56" s="339">
        <f>IF(P56-R56&gt;(-1*'Underlying Assumptions'!$E$8),P56-R56,-1*'Underlying Assumptions'!$E$8)</f>
        <v>-29754.958843537432</v>
      </c>
      <c r="X56" s="342">
        <v>-2760.3622448979731</v>
      </c>
      <c r="Y56" s="340">
        <f>IF(AND(X56=0, X57&lt;-1),-100000000, (IF(X56&gt;=0,0,((X56/69000)*'Underlying Assumptions'!$E$7))))</f>
        <v>-43765743.419106998</v>
      </c>
      <c r="Z56" s="274">
        <f t="shared" si="9"/>
        <v>-4799.6647934536377</v>
      </c>
      <c r="AA56" s="275">
        <f t="shared" si="10"/>
        <v>-14111.014492753702</v>
      </c>
    </row>
    <row r="57" spans="1:27" x14ac:dyDescent="0.2">
      <c r="A57" s="273">
        <f t="shared" si="13"/>
        <v>2038</v>
      </c>
      <c r="B57" s="333"/>
      <c r="C57" s="334"/>
      <c r="D57" s="334">
        <f t="shared" si="21"/>
        <v>353506</v>
      </c>
      <c r="E57" s="504"/>
      <c r="F57" s="332">
        <f t="shared" si="22"/>
        <v>2.6477441835142099E-2</v>
      </c>
      <c r="G57" s="328">
        <f>D57/'Underlying Assumptions'!$E$10</f>
        <v>120240.13605442178</v>
      </c>
      <c r="H57" s="331">
        <f t="shared" si="2"/>
        <v>3101.5306122448965</v>
      </c>
      <c r="I57" s="277"/>
      <c r="J57" s="58"/>
      <c r="K57" s="31"/>
      <c r="L57" s="338">
        <v>65498.400000000001</v>
      </c>
      <c r="M57" s="510">
        <f t="shared" si="17"/>
        <v>5000</v>
      </c>
      <c r="N57" s="509">
        <f t="shared" si="19"/>
        <v>4000</v>
      </c>
      <c r="O57" s="31"/>
      <c r="P57" s="328">
        <f t="shared" si="8"/>
        <v>74498.399999999994</v>
      </c>
      <c r="Q57" s="60"/>
      <c r="R57" s="334">
        <f t="shared" si="15"/>
        <v>107013.72108843538</v>
      </c>
      <c r="S57" s="31"/>
      <c r="T57" s="508">
        <f t="shared" si="16"/>
        <v>0.89</v>
      </c>
      <c r="U57" s="58"/>
      <c r="V57" s="514">
        <f>((R57/'Underlying Assumptions'!$E$11)/D57)*'Underlying Assumptions'!$E$9</f>
        <v>270.25232637083781</v>
      </c>
      <c r="W57" s="339">
        <f>IF(P57-R57&gt;(-1*'Underlying Assumptions'!$E$8),P57-R57,-1*'Underlying Assumptions'!$E$8)</f>
        <v>-32515.32108843539</v>
      </c>
      <c r="X57" s="342">
        <v>-2760.3622448979586</v>
      </c>
      <c r="Y57" s="340">
        <f>IF(AND(X57=0, X58&lt;-1),-100000000, (IF(X57&gt;=0,0,((X57/69000)*'Underlying Assumptions'!$E$7))))</f>
        <v>-43765743.419106759</v>
      </c>
      <c r="Z57" s="274">
        <f t="shared" ref="Z57:Z79" si="23">Y57/(D57-D56)</f>
        <v>-4799.6647934536122</v>
      </c>
      <c r="AA57" s="275">
        <f t="shared" ref="AA57:AA79" si="24">Y57/(G57-G56)</f>
        <v>-14111.014492753626</v>
      </c>
    </row>
    <row r="58" spans="1:27" x14ac:dyDescent="0.2">
      <c r="A58" s="273">
        <f t="shared" si="13"/>
        <v>2039</v>
      </c>
      <c r="B58" s="333"/>
      <c r="C58" s="334"/>
      <c r="D58" s="334">
        <f t="shared" si="21"/>
        <v>362624.5</v>
      </c>
      <c r="E58" s="504"/>
      <c r="F58" s="332">
        <f t="shared" si="22"/>
        <v>2.5794470249444139E-2</v>
      </c>
      <c r="G58" s="328">
        <f>D58/'Underlying Assumptions'!$E$10</f>
        <v>123341.66666666667</v>
      </c>
      <c r="H58" s="331">
        <f t="shared" si="2"/>
        <v>3101.5306122448965</v>
      </c>
      <c r="I58" s="277"/>
      <c r="J58" s="58"/>
      <c r="K58" s="31"/>
      <c r="L58" s="338">
        <v>65498.400000000001</v>
      </c>
      <c r="M58" s="510">
        <f t="shared" si="17"/>
        <v>5000</v>
      </c>
      <c r="N58" s="509">
        <f t="shared" si="19"/>
        <v>4000</v>
      </c>
      <c r="O58" s="31"/>
      <c r="P58" s="328">
        <f t="shared" si="8"/>
        <v>74498.399999999994</v>
      </c>
      <c r="Q58" s="60"/>
      <c r="R58" s="334">
        <f t="shared" si="15"/>
        <v>109774.08333333334</v>
      </c>
      <c r="S58" s="31"/>
      <c r="T58" s="508">
        <f t="shared" si="16"/>
        <v>0.89</v>
      </c>
      <c r="U58" s="58"/>
      <c r="V58" s="514">
        <f>((R58/'Underlying Assumptions'!$E$11)/D58)*'Underlying Assumptions'!$E$9</f>
        <v>270.25232637083781</v>
      </c>
      <c r="W58" s="339">
        <f>IF(P58-R58&gt;(-1*'Underlying Assumptions'!$E$8),P58-R58,-1*'Underlying Assumptions'!$E$8)</f>
        <v>-35275.683333333349</v>
      </c>
      <c r="X58" s="342">
        <v>-2760.362244897944</v>
      </c>
      <c r="Y58" s="340">
        <f>IF(AND(X58=0, X59&lt;-1),-100000000, (IF(X58&gt;=0,0,((X58/69000)*'Underlying Assumptions'!$E$7))))</f>
        <v>-43765743.419106536</v>
      </c>
      <c r="Z58" s="274">
        <f t="shared" si="23"/>
        <v>-4799.6647934535877</v>
      </c>
      <c r="AA58" s="275">
        <f t="shared" si="24"/>
        <v>-14111.014492753553</v>
      </c>
    </row>
    <row r="59" spans="1:27" x14ac:dyDescent="0.2">
      <c r="A59" s="273">
        <f t="shared" si="13"/>
        <v>2040</v>
      </c>
      <c r="B59" s="333"/>
      <c r="C59" s="334">
        <v>371743</v>
      </c>
      <c r="D59" s="334">
        <f>C59</f>
        <v>371743</v>
      </c>
      <c r="E59" s="504"/>
      <c r="F59" s="332">
        <f t="shared" si="22"/>
        <v>2.5145846461008564E-2</v>
      </c>
      <c r="G59" s="328">
        <f>D59/'Underlying Assumptions'!$E$10</f>
        <v>126443.19727891157</v>
      </c>
      <c r="H59" s="331">
        <f t="shared" si="2"/>
        <v>3101.5306122448965</v>
      </c>
      <c r="I59" s="58"/>
      <c r="J59" s="58"/>
      <c r="K59" s="31"/>
      <c r="L59" s="338">
        <v>65498.400000000001</v>
      </c>
      <c r="M59" s="510">
        <f t="shared" si="17"/>
        <v>5000</v>
      </c>
      <c r="N59" s="509">
        <f t="shared" si="19"/>
        <v>4000</v>
      </c>
      <c r="O59" s="31"/>
      <c r="P59" s="328">
        <f t="shared" si="8"/>
        <v>74498.399999999994</v>
      </c>
      <c r="Q59" s="60"/>
      <c r="R59" s="334">
        <f t="shared" si="15"/>
        <v>112534.4455782313</v>
      </c>
      <c r="S59" s="31"/>
      <c r="T59" s="508">
        <f t="shared" si="16"/>
        <v>0.89</v>
      </c>
      <c r="U59" s="58"/>
      <c r="V59" s="514">
        <f>((R59/'Underlying Assumptions'!$E$11)/D59)*'Underlying Assumptions'!$E$9</f>
        <v>270.25232637083775</v>
      </c>
      <c r="W59" s="339">
        <f>IF(P59-R59&gt;(-1*'Underlying Assumptions'!$E$8),P59-R59,-1*'Underlying Assumptions'!$E$8)</f>
        <v>-38036.045578231307</v>
      </c>
      <c r="X59" s="342">
        <v>-2760.3622448979731</v>
      </c>
      <c r="Y59" s="340">
        <f>IF(AND(X59=0, X60&lt;-1),-100000000, (IF(X59&gt;=0,0,((X59/69000)*'Underlying Assumptions'!$E$7))))</f>
        <v>-43765743.419106998</v>
      </c>
      <c r="Z59" s="274">
        <f t="shared" si="23"/>
        <v>-4799.6647934536377</v>
      </c>
      <c r="AA59" s="275">
        <f t="shared" si="24"/>
        <v>-14111.014492753702</v>
      </c>
    </row>
    <row r="60" spans="1:27" x14ac:dyDescent="0.2">
      <c r="A60" s="273">
        <f t="shared" si="13"/>
        <v>2041</v>
      </c>
      <c r="B60" s="333"/>
      <c r="C60" s="334"/>
      <c r="D60" s="334">
        <f>((($D$69-$D$59)/10))+$D59</f>
        <v>381825.4</v>
      </c>
      <c r="E60" s="504"/>
      <c r="F60" s="332">
        <f t="shared" si="22"/>
        <v>2.7121963291844159E-2</v>
      </c>
      <c r="G60" s="328">
        <f>D60/'Underlying Assumptions'!$E$10</f>
        <v>129872.58503401361</v>
      </c>
      <c r="H60" s="331">
        <f t="shared" si="2"/>
        <v>3429.3877551020414</v>
      </c>
      <c r="I60" s="58"/>
      <c r="J60" s="58"/>
      <c r="K60" s="31"/>
      <c r="L60" s="338">
        <v>65498.400000000001</v>
      </c>
      <c r="M60" s="510">
        <f t="shared" si="17"/>
        <v>5000</v>
      </c>
      <c r="N60" s="509">
        <f t="shared" si="19"/>
        <v>4000</v>
      </c>
      <c r="O60" s="31"/>
      <c r="P60" s="328">
        <f t="shared" si="8"/>
        <v>74498.399999999994</v>
      </c>
      <c r="Q60" s="60"/>
      <c r="R60" s="334">
        <f t="shared" si="15"/>
        <v>115586.60068027211</v>
      </c>
      <c r="S60" s="31"/>
      <c r="T60" s="508">
        <f t="shared" si="16"/>
        <v>0.89</v>
      </c>
      <c r="U60" s="58"/>
      <c r="V60" s="514">
        <f>((R60/'Underlying Assumptions'!$E$11)/D60)*'Underlying Assumptions'!$E$9</f>
        <v>270.25232637083775</v>
      </c>
      <c r="W60" s="339">
        <f>IF(P60-R60&gt;(-1*'Underlying Assumptions'!$E$8),P60-R60,-1*'Underlying Assumptions'!$E$8)</f>
        <v>-41088.200680272115</v>
      </c>
      <c r="X60" s="342">
        <v>-3052.1551020408078</v>
      </c>
      <c r="Y60" s="340">
        <f>IF(AND(X60=0, X61&lt;-1),-100000000, (IF(X60&gt;=0,0,((X60/69000)*'Underlying Assumptions'!$E$7))))</f>
        <v>-48392140.313516572</v>
      </c>
      <c r="Z60" s="274">
        <f t="shared" si="23"/>
        <v>-4799.6647934535886</v>
      </c>
      <c r="AA60" s="275">
        <f t="shared" si="24"/>
        <v>-14111.01449275358</v>
      </c>
    </row>
    <row r="61" spans="1:27" x14ac:dyDescent="0.2">
      <c r="A61" s="273">
        <f t="shared" si="13"/>
        <v>2042</v>
      </c>
      <c r="B61" s="333"/>
      <c r="C61" s="334"/>
      <c r="D61" s="334">
        <f t="shared" ref="D61:D68" si="25">((($D$69-$D$59)/10))+$D60</f>
        <v>391907.80000000005</v>
      </c>
      <c r="E61" s="504"/>
      <c r="F61" s="332">
        <f t="shared" si="22"/>
        <v>2.6405786519178721E-2</v>
      </c>
      <c r="G61" s="328">
        <f>D61/'Underlying Assumptions'!$E$10</f>
        <v>133301.97278911565</v>
      </c>
      <c r="H61" s="331">
        <f t="shared" si="2"/>
        <v>3429.3877551020414</v>
      </c>
      <c r="I61" s="58"/>
      <c r="J61" s="58"/>
      <c r="K61" s="31"/>
      <c r="L61" s="338">
        <v>65498.400000000001</v>
      </c>
      <c r="M61" s="510">
        <f t="shared" si="17"/>
        <v>5000</v>
      </c>
      <c r="N61" s="509">
        <f t="shared" si="19"/>
        <v>4000</v>
      </c>
      <c r="O61" s="31"/>
      <c r="P61" s="328">
        <f t="shared" si="8"/>
        <v>74498.399999999994</v>
      </c>
      <c r="Q61" s="60"/>
      <c r="R61" s="334">
        <f t="shared" si="15"/>
        <v>118638.75578231293</v>
      </c>
      <c r="S61" s="31"/>
      <c r="T61" s="508">
        <f t="shared" si="16"/>
        <v>0.89</v>
      </c>
      <c r="U61" s="58"/>
      <c r="V61" s="514">
        <f>((R61/'Underlying Assumptions'!$E$11)/D61)*'Underlying Assumptions'!$E$9</f>
        <v>270.25232637083775</v>
      </c>
      <c r="W61" s="339">
        <f>IF(P61-R61&gt;(-1*'Underlying Assumptions'!$E$8),P61-R61,-1*'Underlying Assumptions'!$E$8)</f>
        <v>-44140.355782312938</v>
      </c>
      <c r="X61" s="342">
        <v>-3052.1551020408224</v>
      </c>
      <c r="Y61" s="340">
        <f>IF(AND(X61=0, X62&lt;-1),-100000000, (IF(X61&gt;=0,0,((X61/69000)*'Underlying Assumptions'!$E$7))))</f>
        <v>-48392140.313516811</v>
      </c>
      <c r="Z61" s="274">
        <f t="shared" si="23"/>
        <v>-4799.6647934536122</v>
      </c>
      <c r="AA61" s="275">
        <f t="shared" si="24"/>
        <v>-14111.014492753649</v>
      </c>
    </row>
    <row r="62" spans="1:27" x14ac:dyDescent="0.2">
      <c r="A62" s="273">
        <f t="shared" si="13"/>
        <v>2043</v>
      </c>
      <c r="B62" s="333"/>
      <c r="C62" s="334"/>
      <c r="D62" s="334">
        <f t="shared" si="25"/>
        <v>401990.20000000007</v>
      </c>
      <c r="E62" s="504"/>
      <c r="F62" s="332">
        <f t="shared" si="22"/>
        <v>2.5726459131459038E-2</v>
      </c>
      <c r="G62" s="328">
        <f>D62/'Underlying Assumptions'!$E$10</f>
        <v>136731.36054421772</v>
      </c>
      <c r="H62" s="331">
        <f t="shared" si="2"/>
        <v>3429.3877551020705</v>
      </c>
      <c r="I62" s="58"/>
      <c r="J62" s="58"/>
      <c r="K62" s="31"/>
      <c r="L62" s="338">
        <v>65498.400000000001</v>
      </c>
      <c r="M62" s="510">
        <f t="shared" si="17"/>
        <v>5000</v>
      </c>
      <c r="N62" s="509">
        <f t="shared" si="19"/>
        <v>4000</v>
      </c>
      <c r="O62" s="31"/>
      <c r="P62" s="328">
        <f t="shared" si="8"/>
        <v>74498.399999999994</v>
      </c>
      <c r="Q62" s="60"/>
      <c r="R62" s="334">
        <f t="shared" si="15"/>
        <v>121690.91088435377</v>
      </c>
      <c r="S62" s="31"/>
      <c r="T62" s="508">
        <f t="shared" si="16"/>
        <v>0.89</v>
      </c>
      <c r="U62" s="58"/>
      <c r="V62" s="514">
        <f>((R62/'Underlying Assumptions'!$E$11)/D62)*'Underlying Assumptions'!$E$9</f>
        <v>270.25232637083775</v>
      </c>
      <c r="W62" s="339">
        <f>IF(P62-R62&gt;(-1*'Underlying Assumptions'!$E$8),P62-R62,-1*'Underlying Assumptions'!$E$8)</f>
        <v>-47192.510884353775</v>
      </c>
      <c r="X62" s="342">
        <v>-3052.1551020408224</v>
      </c>
      <c r="Y62" s="340">
        <f>IF(AND(X62=0, X63&lt;-1),-100000000, (IF(X62&gt;=0,0,((X62/69000)*'Underlying Assumptions'!$E$7))))</f>
        <v>-48392140.313516811</v>
      </c>
      <c r="Z62" s="274">
        <f t="shared" si="23"/>
        <v>-4799.6647934536122</v>
      </c>
      <c r="AA62" s="275">
        <f t="shared" si="24"/>
        <v>-14111.014492753529</v>
      </c>
    </row>
    <row r="63" spans="1:27" x14ac:dyDescent="0.2">
      <c r="A63" s="273">
        <f t="shared" si="13"/>
        <v>2044</v>
      </c>
      <c r="B63" s="333"/>
      <c r="C63" s="334"/>
      <c r="D63" s="334">
        <f t="shared" si="25"/>
        <v>412072.60000000009</v>
      </c>
      <c r="E63" s="504"/>
      <c r="F63" s="332">
        <f t="shared" si="22"/>
        <v>2.5081208447370162E-2</v>
      </c>
      <c r="G63" s="328">
        <f>D63/'Underlying Assumptions'!$E$10</f>
        <v>140160.74829931976</v>
      </c>
      <c r="H63" s="331">
        <f t="shared" si="2"/>
        <v>3429.3877551020414</v>
      </c>
      <c r="I63" s="58"/>
      <c r="J63" s="58"/>
      <c r="K63" s="31"/>
      <c r="L63" s="338">
        <v>65498.400000000001</v>
      </c>
      <c r="M63" s="510">
        <f t="shared" si="17"/>
        <v>5000</v>
      </c>
      <c r="N63" s="509">
        <f t="shared" si="19"/>
        <v>4000</v>
      </c>
      <c r="O63" s="31"/>
      <c r="P63" s="328">
        <f t="shared" si="8"/>
        <v>74498.399999999994</v>
      </c>
      <c r="Q63" s="60"/>
      <c r="R63" s="334">
        <f t="shared" si="15"/>
        <v>124743.06598639459</v>
      </c>
      <c r="S63" s="31"/>
      <c r="T63" s="508">
        <f t="shared" si="16"/>
        <v>0.89</v>
      </c>
      <c r="U63" s="58"/>
      <c r="V63" s="514">
        <f>((R63/'Underlying Assumptions'!$E$11)/D63)*'Underlying Assumptions'!$E$9</f>
        <v>270.25232637083781</v>
      </c>
      <c r="W63" s="339">
        <f>IF(P63-R63&gt;(-1*'Underlying Assumptions'!$E$8),P63-R63,-1*'Underlying Assumptions'!$E$8)</f>
        <v>-50244.665986394597</v>
      </c>
      <c r="X63" s="342">
        <v>-3052.1551020408369</v>
      </c>
      <c r="Y63" s="340">
        <f>IF(AND(X63=0, X64&lt;-1),-100000000, (IF(X63&gt;=0,0,((X63/69000)*'Underlying Assumptions'!$E$7))))</f>
        <v>-48392140.313517034</v>
      </c>
      <c r="Z63" s="274">
        <f t="shared" si="23"/>
        <v>-4799.664793453634</v>
      </c>
      <c r="AA63" s="275">
        <f t="shared" si="24"/>
        <v>-14111.014492753715</v>
      </c>
    </row>
    <row r="64" spans="1:27" x14ac:dyDescent="0.2">
      <c r="A64" s="273">
        <f t="shared" si="13"/>
        <v>2045</v>
      </c>
      <c r="B64" s="333"/>
      <c r="C64" s="334"/>
      <c r="D64" s="334">
        <f t="shared" si="25"/>
        <v>422155.00000000012</v>
      </c>
      <c r="E64" s="504"/>
      <c r="F64" s="332">
        <f t="shared" si="22"/>
        <v>2.4467533148285085E-2</v>
      </c>
      <c r="G64" s="328">
        <f>D64/'Underlying Assumptions'!$E$10</f>
        <v>143590.1360544218</v>
      </c>
      <c r="H64" s="331">
        <f t="shared" si="2"/>
        <v>3429.3877551020414</v>
      </c>
      <c r="I64" s="58"/>
      <c r="J64" s="58"/>
      <c r="K64" s="31"/>
      <c r="L64" s="338">
        <v>65498.400000000001</v>
      </c>
      <c r="M64" s="510">
        <f t="shared" si="17"/>
        <v>5000</v>
      </c>
      <c r="N64" s="509">
        <f t="shared" si="19"/>
        <v>4000</v>
      </c>
      <c r="O64" s="31"/>
      <c r="P64" s="328">
        <f t="shared" si="8"/>
        <v>74498.399999999994</v>
      </c>
      <c r="Q64" s="60"/>
      <c r="R64" s="334">
        <f t="shared" si="15"/>
        <v>127795.22108843541</v>
      </c>
      <c r="S64" s="31"/>
      <c r="T64" s="508">
        <f t="shared" si="16"/>
        <v>0.89</v>
      </c>
      <c r="U64" s="58"/>
      <c r="V64" s="514">
        <f>((R64/'Underlying Assumptions'!$E$11)/D64)*'Underlying Assumptions'!$E$9</f>
        <v>270.25232637083775</v>
      </c>
      <c r="W64" s="339">
        <f>IF(P64-R64&gt;(-1*'Underlying Assumptions'!$E$8),P64-R64,-1*'Underlying Assumptions'!$E$8)</f>
        <v>-53296.821088435419</v>
      </c>
      <c r="X64" s="342">
        <v>-3052.1551020407933</v>
      </c>
      <c r="Y64" s="340">
        <f>IF(AND(X64=0, X65&lt;-1),-100000000, (IF(X64&gt;=0,0,((X64/69000)*'Underlying Assumptions'!$E$7))))</f>
        <v>-48392140.313516349</v>
      </c>
      <c r="Z64" s="274">
        <f t="shared" si="23"/>
        <v>-4799.6647934535667</v>
      </c>
      <c r="AA64" s="275">
        <f t="shared" si="24"/>
        <v>-14111.014492753515</v>
      </c>
    </row>
    <row r="65" spans="1:27" x14ac:dyDescent="0.2">
      <c r="A65" s="273">
        <f t="shared" si="13"/>
        <v>2046</v>
      </c>
      <c r="B65" s="333"/>
      <c r="C65" s="334"/>
      <c r="D65" s="334">
        <f t="shared" si="25"/>
        <v>432237.40000000014</v>
      </c>
      <c r="E65" s="504"/>
      <c r="F65" s="332">
        <f t="shared" si="22"/>
        <v>2.38831708732575E-2</v>
      </c>
      <c r="G65" s="328">
        <f>D65/'Underlying Assumptions'!$E$10</f>
        <v>147019.52380952385</v>
      </c>
      <c r="H65" s="331">
        <f t="shared" si="2"/>
        <v>3429.3877551020414</v>
      </c>
      <c r="I65" s="58"/>
      <c r="J65" s="58"/>
      <c r="K65" s="31"/>
      <c r="L65" s="338">
        <v>65498.400000000001</v>
      </c>
      <c r="M65" s="510">
        <f t="shared" si="17"/>
        <v>5000</v>
      </c>
      <c r="N65" s="509">
        <f t="shared" si="19"/>
        <v>4000</v>
      </c>
      <c r="O65" s="31"/>
      <c r="P65" s="328">
        <f t="shared" si="8"/>
        <v>74498.399999999994</v>
      </c>
      <c r="Q65" s="60"/>
      <c r="R65" s="334">
        <f t="shared" si="15"/>
        <v>130847.37619047622</v>
      </c>
      <c r="S65" s="31"/>
      <c r="T65" s="508">
        <f t="shared" si="16"/>
        <v>0.89</v>
      </c>
      <c r="U65" s="58"/>
      <c r="V65" s="514">
        <f>((R65/'Underlying Assumptions'!$E$11)/D65)*'Underlying Assumptions'!$E$9</f>
        <v>270.25232637083775</v>
      </c>
      <c r="W65" s="339">
        <f>IF(P65-R65&gt;(-1*'Underlying Assumptions'!$E$8),P65-R65,-1*'Underlying Assumptions'!$E$8)</f>
        <v>-56348.976190476227</v>
      </c>
      <c r="X65" s="342">
        <v>-3052.1551020408369</v>
      </c>
      <c r="Y65" s="340">
        <f>IF(AND(X65=0, X66&lt;-1),-100000000, (IF(X65&gt;=0,0,((X65/69000)*'Underlying Assumptions'!$E$7))))</f>
        <v>-48392140.313517034</v>
      </c>
      <c r="Z65" s="274">
        <f t="shared" si="23"/>
        <v>-4799.664793453634</v>
      </c>
      <c r="AA65" s="275">
        <f t="shared" si="24"/>
        <v>-14111.014492753715</v>
      </c>
    </row>
    <row r="66" spans="1:27" x14ac:dyDescent="0.2">
      <c r="A66" s="273">
        <f t="shared" si="13"/>
        <v>2047</v>
      </c>
      <c r="B66" s="333"/>
      <c r="C66" s="334"/>
      <c r="D66" s="334">
        <f t="shared" si="25"/>
        <v>442319.80000000016</v>
      </c>
      <c r="E66" s="504"/>
      <c r="F66" s="332">
        <f t="shared" si="22"/>
        <v>2.3326070349303462E-2</v>
      </c>
      <c r="G66" s="328">
        <f>D66/'Underlying Assumptions'!$E$10</f>
        <v>150448.91156462592</v>
      </c>
      <c r="H66" s="331">
        <f t="shared" si="2"/>
        <v>3429.3877551020705</v>
      </c>
      <c r="I66" s="58"/>
      <c r="J66" s="58"/>
      <c r="K66" s="31"/>
      <c r="L66" s="338">
        <v>65498.400000000001</v>
      </c>
      <c r="M66" s="510">
        <f t="shared" si="17"/>
        <v>5000</v>
      </c>
      <c r="N66" s="509">
        <f t="shared" si="19"/>
        <v>4000</v>
      </c>
      <c r="O66" s="31"/>
      <c r="P66" s="328">
        <f t="shared" si="8"/>
        <v>74498.399999999994</v>
      </c>
      <c r="Q66" s="60"/>
      <c r="R66" s="334">
        <f t="shared" si="15"/>
        <v>133899.53129251706</v>
      </c>
      <c r="S66" s="31"/>
      <c r="T66" s="508">
        <f t="shared" si="16"/>
        <v>0.8899999999999999</v>
      </c>
      <c r="U66" s="58"/>
      <c r="V66" s="514">
        <f>((R66/'Underlying Assumptions'!$E$11)/D66)*'Underlying Assumptions'!$E$9</f>
        <v>270.25232637083775</v>
      </c>
      <c r="W66" s="339">
        <f>IF(P66-R66&gt;(-1*'Underlying Assumptions'!$E$8),P66-R66,-1*'Underlying Assumptions'!$E$8)</f>
        <v>-59401.131292517064</v>
      </c>
      <c r="X66" s="342">
        <v>-3052.1551020408369</v>
      </c>
      <c r="Y66" s="340">
        <f>IF(AND(X66=0, X67&lt;-1),-100000000, (IF(X66&gt;=0,0,((X66/69000)*'Underlying Assumptions'!$E$7))))</f>
        <v>-48392140.313517034</v>
      </c>
      <c r="Z66" s="274">
        <f t="shared" si="23"/>
        <v>-4799.664793453634</v>
      </c>
      <c r="AA66" s="275">
        <f t="shared" si="24"/>
        <v>-14111.014492753595</v>
      </c>
    </row>
    <row r="67" spans="1:27" x14ac:dyDescent="0.2">
      <c r="A67" s="273">
        <f t="shared" si="13"/>
        <v>2048</v>
      </c>
      <c r="B67" s="333"/>
      <c r="C67" s="334"/>
      <c r="D67" s="334">
        <f t="shared" si="25"/>
        <v>452402.20000000019</v>
      </c>
      <c r="E67" s="504"/>
      <c r="F67" s="332">
        <f t="shared" si="22"/>
        <v>2.2794367333318608E-2</v>
      </c>
      <c r="G67" s="328">
        <f>D67/'Underlying Assumptions'!$E$10</f>
        <v>153878.29931972796</v>
      </c>
      <c r="H67" s="331">
        <f t="shared" si="2"/>
        <v>3429.3877551020414</v>
      </c>
      <c r="I67" s="58"/>
      <c r="J67" s="58"/>
      <c r="K67" s="31"/>
      <c r="L67" s="338">
        <v>65498.400000000001</v>
      </c>
      <c r="M67" s="510">
        <f t="shared" si="17"/>
        <v>5000</v>
      </c>
      <c r="N67" s="509">
        <f t="shared" si="19"/>
        <v>4000</v>
      </c>
      <c r="O67" s="31"/>
      <c r="P67" s="328">
        <f t="shared" si="8"/>
        <v>74498.399999999994</v>
      </c>
      <c r="Q67" s="60"/>
      <c r="R67" s="334">
        <f t="shared" si="15"/>
        <v>136951.68639455788</v>
      </c>
      <c r="S67" s="31"/>
      <c r="T67" s="508">
        <f t="shared" si="16"/>
        <v>0.89</v>
      </c>
      <c r="U67" s="58"/>
      <c r="V67" s="514">
        <f>((R67/'Underlying Assumptions'!$E$11)/D67)*'Underlying Assumptions'!$E$9</f>
        <v>270.25232637083775</v>
      </c>
      <c r="W67" s="339">
        <f>IF(P67-R67&gt;(-1*'Underlying Assumptions'!$E$8),P67-R67,-1*'Underlying Assumptions'!$E$8)</f>
        <v>-62453.286394557887</v>
      </c>
      <c r="X67" s="342">
        <v>-3052.1551020408224</v>
      </c>
      <c r="Y67" s="340">
        <f>IF(AND(X67=0, X68&lt;-1),-100000000, (IF(X67&gt;=0,0,((X67/69000)*'Underlying Assumptions'!$E$7))))</f>
        <v>-48392140.313516811</v>
      </c>
      <c r="Z67" s="274">
        <f t="shared" si="23"/>
        <v>-4799.6647934536122</v>
      </c>
      <c r="AA67" s="275">
        <f t="shared" si="24"/>
        <v>-14111.014492753649</v>
      </c>
    </row>
    <row r="68" spans="1:27" x14ac:dyDescent="0.2">
      <c r="A68" s="273">
        <f t="shared" si="13"/>
        <v>2049</v>
      </c>
      <c r="B68" s="333"/>
      <c r="C68" s="334"/>
      <c r="D68" s="334">
        <f t="shared" si="25"/>
        <v>462484.60000000021</v>
      </c>
      <c r="E68" s="504"/>
      <c r="F68" s="332">
        <f t="shared" si="22"/>
        <v>2.2286363770998505E-2</v>
      </c>
      <c r="G68" s="328">
        <f>D68/'Underlying Assumptions'!$E$10</f>
        <v>157307.68707483</v>
      </c>
      <c r="H68" s="331">
        <f t="shared" si="2"/>
        <v>3429.3877551020414</v>
      </c>
      <c r="I68" s="58"/>
      <c r="J68" s="58"/>
      <c r="K68" s="31"/>
      <c r="L68" s="338">
        <v>65498.400000000001</v>
      </c>
      <c r="M68" s="510">
        <f t="shared" si="17"/>
        <v>5000</v>
      </c>
      <c r="N68" s="509">
        <f t="shared" si="19"/>
        <v>4000</v>
      </c>
      <c r="O68" s="31"/>
      <c r="P68" s="328">
        <f t="shared" si="8"/>
        <v>74498.399999999994</v>
      </c>
      <c r="Q68" s="60"/>
      <c r="R68" s="334">
        <f t="shared" si="15"/>
        <v>140003.8414965987</v>
      </c>
      <c r="S68" s="31"/>
      <c r="T68" s="508">
        <f t="shared" si="16"/>
        <v>0.89</v>
      </c>
      <c r="U68" s="58"/>
      <c r="V68" s="514">
        <f>((R68/'Underlying Assumptions'!$E$11)/D68)*'Underlying Assumptions'!$E$9</f>
        <v>270.25232637083775</v>
      </c>
      <c r="W68" s="339">
        <f>IF(P68-R68&gt;(-1*'Underlying Assumptions'!$E$8),P68-R68,-1*'Underlying Assumptions'!$E$8)</f>
        <v>-65505.441496598709</v>
      </c>
      <c r="X68" s="342">
        <v>-3052.1551020408515</v>
      </c>
      <c r="Y68" s="340">
        <f>IF(AND(X68=0, X69&lt;-1),-100000000, (IF(X68&gt;=0,0,((X68/69000)*'Underlying Assumptions'!$E$7))))</f>
        <v>-48392140.313517272</v>
      </c>
      <c r="Z68" s="274">
        <f t="shared" si="23"/>
        <v>-4799.6647934536577</v>
      </c>
      <c r="AA68" s="275">
        <f t="shared" si="24"/>
        <v>-14111.014492753784</v>
      </c>
    </row>
    <row r="69" spans="1:27" x14ac:dyDescent="0.2">
      <c r="A69" s="273">
        <f t="shared" si="13"/>
        <v>2050</v>
      </c>
      <c r="B69" s="333"/>
      <c r="C69" s="334">
        <v>472567</v>
      </c>
      <c r="D69" s="334">
        <f>C69</f>
        <v>472567</v>
      </c>
      <c r="E69" s="504"/>
      <c r="F69" s="332">
        <f t="shared" si="22"/>
        <v>2.1800509681835431E-2</v>
      </c>
      <c r="G69" s="328">
        <f>D69/'Underlying Assumptions'!$E$10</f>
        <v>160737.07482993198</v>
      </c>
      <c r="H69" s="331">
        <f t="shared" si="2"/>
        <v>3429.3877551019832</v>
      </c>
      <c r="I69" s="58"/>
      <c r="J69" s="58"/>
      <c r="K69" s="31"/>
      <c r="L69" s="338">
        <v>65498.400000000001</v>
      </c>
      <c r="M69" s="510">
        <f t="shared" si="17"/>
        <v>5000</v>
      </c>
      <c r="N69" s="509">
        <f t="shared" si="19"/>
        <v>4000</v>
      </c>
      <c r="O69" s="31"/>
      <c r="P69" s="328">
        <f t="shared" si="8"/>
        <v>74498.399999999994</v>
      </c>
      <c r="Q69" s="60"/>
      <c r="R69" s="334">
        <f t="shared" si="15"/>
        <v>143055.99659863947</v>
      </c>
      <c r="S69" s="31"/>
      <c r="T69" s="508">
        <f t="shared" si="16"/>
        <v>0.89</v>
      </c>
      <c r="U69" s="58"/>
      <c r="V69" s="514">
        <f>((R69/'Underlying Assumptions'!$E$11)/D69)*'Underlying Assumptions'!$E$9</f>
        <v>270.25232637083781</v>
      </c>
      <c r="W69" s="339">
        <f>IF(P69-R69&gt;(-1*'Underlying Assumptions'!$E$8),P69-R69,-1*'Underlying Assumptions'!$E$8)</f>
        <v>-68557.596598639473</v>
      </c>
      <c r="X69" s="342">
        <v>-3052.1551020407351</v>
      </c>
      <c r="Y69" s="340">
        <f>IF(AND(X69=0, X70&lt;-1),-100000000, (IF(X69&gt;=0,0,((X69/69000)*'Underlying Assumptions'!$E$7))))</f>
        <v>-48392140.313515425</v>
      </c>
      <c r="Z69" s="274">
        <f t="shared" si="23"/>
        <v>-4799.6647934535858</v>
      </c>
      <c r="AA69" s="275">
        <f t="shared" si="24"/>
        <v>-14111.014492753486</v>
      </c>
    </row>
    <row r="70" spans="1:27" x14ac:dyDescent="0.2">
      <c r="A70" s="273">
        <f t="shared" ref="A70:A78" si="26">+A69+1</f>
        <v>2051</v>
      </c>
      <c r="B70" s="333"/>
      <c r="C70" s="334"/>
      <c r="D70" s="334">
        <f>((($D$79-$D$69)/10))+$D69</f>
        <v>483483.4</v>
      </c>
      <c r="E70" s="504"/>
      <c r="F70" s="332">
        <f t="shared" si="22"/>
        <v>2.3100216477240313E-2</v>
      </c>
      <c r="G70" s="328">
        <f>D70/'Underlying Assumptions'!$E$10</f>
        <v>164450.13605442178</v>
      </c>
      <c r="H70" s="331">
        <f t="shared" si="2"/>
        <v>3713.0612244897929</v>
      </c>
      <c r="I70" s="58"/>
      <c r="J70" s="58"/>
      <c r="K70" s="31"/>
      <c r="L70" s="338">
        <v>65498.400000000001</v>
      </c>
      <c r="M70" s="510">
        <f t="shared" si="17"/>
        <v>5000</v>
      </c>
      <c r="N70" s="509">
        <f t="shared" si="19"/>
        <v>4000</v>
      </c>
      <c r="O70" s="31"/>
      <c r="P70" s="328">
        <f t="shared" si="8"/>
        <v>74498.399999999994</v>
      </c>
      <c r="Q70" s="60"/>
      <c r="R70" s="334">
        <f t="shared" si="15"/>
        <v>146360.62108843538</v>
      </c>
      <c r="S70" s="31"/>
      <c r="T70" s="508">
        <f t="shared" si="16"/>
        <v>0.89</v>
      </c>
      <c r="U70" s="58"/>
      <c r="V70" s="514">
        <f>((R70/'Underlying Assumptions'!$E$11)/D70)*'Underlying Assumptions'!$E$9</f>
        <v>270.25232637083775</v>
      </c>
      <c r="W70" s="339">
        <f>IF(P70-R70&gt;(-1*'Underlying Assumptions'!$E$8),P70-R70,-1*'Underlying Assumptions'!$E$8)</f>
        <v>-71862.221088435384</v>
      </c>
      <c r="X70" s="342">
        <v>-3304.6244897959114</v>
      </c>
      <c r="Y70" s="340">
        <f>IF(AND(X70=0, X71&lt;-1),-100000000, (IF(X70&gt;=0,0,((X70/69000)*'Underlying Assumptions'!$E$7))))</f>
        <v>-52395060.751256913</v>
      </c>
      <c r="Z70" s="274">
        <f t="shared" si="23"/>
        <v>-4799.6647934535931</v>
      </c>
      <c r="AA70" s="275">
        <f t="shared" si="24"/>
        <v>-14111.014492753604</v>
      </c>
    </row>
    <row r="71" spans="1:27" x14ac:dyDescent="0.2">
      <c r="A71" s="273">
        <f t="shared" si="26"/>
        <v>2052</v>
      </c>
      <c r="B71" s="333"/>
      <c r="C71" s="334"/>
      <c r="D71" s="334">
        <f t="shared" ref="D71:D78" si="27">((($D$79-$D$69)/10))+$D70</f>
        <v>494399.80000000005</v>
      </c>
      <c r="E71" s="504"/>
      <c r="F71" s="332">
        <f t="shared" si="22"/>
        <v>2.2578644892461711E-2</v>
      </c>
      <c r="G71" s="328">
        <f>D71/'Underlying Assumptions'!$E$10</f>
        <v>168163.1972789116</v>
      </c>
      <c r="H71" s="331">
        <f t="shared" si="2"/>
        <v>3713.0612244898221</v>
      </c>
      <c r="I71" s="58"/>
      <c r="J71" s="58"/>
      <c r="K71" s="31"/>
      <c r="L71" s="338">
        <v>65498.400000000001</v>
      </c>
      <c r="M71" s="510">
        <f t="shared" si="17"/>
        <v>5000</v>
      </c>
      <c r="N71" s="509">
        <f t="shared" si="19"/>
        <v>4000</v>
      </c>
      <c r="O71" s="31"/>
      <c r="P71" s="328">
        <f t="shared" si="8"/>
        <v>74498.399999999994</v>
      </c>
      <c r="Q71" s="60"/>
      <c r="R71" s="334">
        <f t="shared" si="15"/>
        <v>149665.24557823132</v>
      </c>
      <c r="S71" s="31"/>
      <c r="T71" s="508">
        <f t="shared" si="16"/>
        <v>0.89</v>
      </c>
      <c r="U71" s="58"/>
      <c r="V71" s="514">
        <f>((R71/'Underlying Assumptions'!$E$11)/D71)*'Underlying Assumptions'!$E$9</f>
        <v>270.25232637083781</v>
      </c>
      <c r="W71" s="339">
        <f>IF(P71-R71&gt;(-1*'Underlying Assumptions'!$E$8),P71-R71,-1*'Underlying Assumptions'!$E$8)</f>
        <v>-75166.845578231325</v>
      </c>
      <c r="X71" s="342">
        <v>-3304.6244897959405</v>
      </c>
      <c r="Y71" s="340">
        <f>IF(AND(X71=0, X72&lt;-1),-100000000, (IF(X71&gt;=0,0,((X71/69000)*'Underlying Assumptions'!$E$7))))</f>
        <v>-52395060.751257375</v>
      </c>
      <c r="Z71" s="274">
        <f t="shared" si="23"/>
        <v>-4799.664793453635</v>
      </c>
      <c r="AA71" s="275">
        <f t="shared" si="24"/>
        <v>-14111.014492753618</v>
      </c>
    </row>
    <row r="72" spans="1:27" x14ac:dyDescent="0.2">
      <c r="A72" s="273">
        <f t="shared" si="26"/>
        <v>2053</v>
      </c>
      <c r="B72" s="333"/>
      <c r="C72" s="334"/>
      <c r="D72" s="334">
        <f t="shared" si="27"/>
        <v>505316.20000000007</v>
      </c>
      <c r="E72" s="504"/>
      <c r="F72" s="332">
        <f t="shared" si="22"/>
        <v>2.2080106019460408E-2</v>
      </c>
      <c r="G72" s="328">
        <f>D72/'Underlying Assumptions'!$E$10</f>
        <v>171876.25850340139</v>
      </c>
      <c r="H72" s="331">
        <f t="shared" si="2"/>
        <v>3713.0612244897929</v>
      </c>
      <c r="I72" s="58"/>
      <c r="J72" s="58"/>
      <c r="K72" s="31"/>
      <c r="L72" s="338">
        <v>65498.400000000001</v>
      </c>
      <c r="M72" s="510">
        <f t="shared" si="17"/>
        <v>5000</v>
      </c>
      <c r="N72" s="509">
        <f t="shared" si="19"/>
        <v>4000</v>
      </c>
      <c r="O72" s="31"/>
      <c r="P72" s="328">
        <f t="shared" si="8"/>
        <v>74498.399999999994</v>
      </c>
      <c r="Q72" s="60"/>
      <c r="R72" s="334">
        <f t="shared" si="15"/>
        <v>152969.87006802723</v>
      </c>
      <c r="S72" s="31"/>
      <c r="T72" s="508">
        <f t="shared" si="16"/>
        <v>0.89</v>
      </c>
      <c r="U72" s="58"/>
      <c r="V72" s="514">
        <f>((R72/'Underlying Assumptions'!$E$11)/D72)*'Underlying Assumptions'!$E$9</f>
        <v>270.25232637083775</v>
      </c>
      <c r="W72" s="339">
        <f>IF(P72-R72&gt;(-1*'Underlying Assumptions'!$E$8),P72-R72,-1*'Underlying Assumptions'!$E$8)</f>
        <v>-78471.470068027236</v>
      </c>
      <c r="X72" s="342">
        <v>-3304.6244897959114</v>
      </c>
      <c r="Y72" s="340">
        <f>IF(AND(X72=0, X73&lt;-1),-100000000, (IF(X72&gt;=0,0,((X72/69000)*'Underlying Assumptions'!$E$7))))</f>
        <v>-52395060.751256913</v>
      </c>
      <c r="Z72" s="274">
        <f t="shared" si="23"/>
        <v>-4799.6647934535931</v>
      </c>
      <c r="AA72" s="275">
        <f t="shared" si="24"/>
        <v>-14111.014492753604</v>
      </c>
    </row>
    <row r="73" spans="1:27" x14ac:dyDescent="0.2">
      <c r="A73" s="273">
        <f t="shared" si="26"/>
        <v>2054</v>
      </c>
      <c r="B73" s="333"/>
      <c r="C73" s="334"/>
      <c r="D73" s="334">
        <f t="shared" si="27"/>
        <v>516232.60000000009</v>
      </c>
      <c r="E73" s="504"/>
      <c r="F73" s="332">
        <f t="shared" si="22"/>
        <v>2.1603107123816773E-2</v>
      </c>
      <c r="G73" s="328">
        <f>D73/'Underlying Assumptions'!$E$10</f>
        <v>175589.31972789118</v>
      </c>
      <c r="H73" s="331">
        <f t="shared" si="2"/>
        <v>3713.0612244897929</v>
      </c>
      <c r="I73" s="58"/>
      <c r="J73" s="58"/>
      <c r="K73" s="31"/>
      <c r="L73" s="338">
        <v>65498.400000000001</v>
      </c>
      <c r="M73" s="510">
        <f t="shared" si="17"/>
        <v>5000</v>
      </c>
      <c r="N73" s="509">
        <f t="shared" si="19"/>
        <v>4000</v>
      </c>
      <c r="O73" s="31"/>
      <c r="P73" s="328">
        <f t="shared" si="8"/>
        <v>74498.399999999994</v>
      </c>
      <c r="Q73" s="60"/>
      <c r="R73" s="334">
        <f t="shared" si="15"/>
        <v>156274.49455782314</v>
      </c>
      <c r="S73" s="31"/>
      <c r="T73" s="508">
        <f t="shared" si="16"/>
        <v>0.8899999999999999</v>
      </c>
      <c r="U73" s="58"/>
      <c r="V73" s="514">
        <f>((R73/'Underlying Assumptions'!$E$11)/D73)*'Underlying Assumptions'!$E$9</f>
        <v>270.25232637083775</v>
      </c>
      <c r="W73" s="339">
        <f>IF(P73-R73&gt;(-1*'Underlying Assumptions'!$E$8),P73-R73,-1*'Underlying Assumptions'!$E$8)</f>
        <v>-81776.094557823148</v>
      </c>
      <c r="X73" s="342">
        <v>-1526.5448979591747</v>
      </c>
      <c r="Y73" s="340">
        <f>IF(AND(X73=0, X74&lt;-1),-100000000, (IF(X73&gt;=0,0,((X73/69000)*'Underlying Assumptions'!$E$7))))</f>
        <v>-24203479.976338219</v>
      </c>
      <c r="Z73" s="274">
        <f t="shared" si="23"/>
        <v>-2217.1668293886414</v>
      </c>
      <c r="AA73" s="275">
        <f t="shared" si="24"/>
        <v>-6518.4704784026253</v>
      </c>
    </row>
    <row r="74" spans="1:27" x14ac:dyDescent="0.2">
      <c r="A74" s="273">
        <f t="shared" si="26"/>
        <v>2055</v>
      </c>
      <c r="B74" s="333"/>
      <c r="C74" s="334"/>
      <c r="D74" s="334">
        <f t="shared" si="27"/>
        <v>527149.00000000012</v>
      </c>
      <c r="E74" s="504"/>
      <c r="F74" s="332">
        <f t="shared" si="22"/>
        <v>2.1146281734241545E-2</v>
      </c>
      <c r="G74" s="328">
        <f>D74/'Underlying Assumptions'!$E$10</f>
        <v>179302.38095238101</v>
      </c>
      <c r="H74" s="331">
        <f t="shared" si="2"/>
        <v>3713.0612244898221</v>
      </c>
      <c r="I74" s="58"/>
      <c r="J74" s="58"/>
      <c r="K74" s="31"/>
      <c r="L74" s="338">
        <v>65498.400000000001</v>
      </c>
      <c r="M74" s="510">
        <f t="shared" si="17"/>
        <v>5000</v>
      </c>
      <c r="N74" s="509">
        <f t="shared" si="19"/>
        <v>4000</v>
      </c>
      <c r="O74" s="31"/>
      <c r="P74" s="328">
        <f t="shared" si="8"/>
        <v>74498.399999999994</v>
      </c>
      <c r="Q74" s="60"/>
      <c r="R74" s="334">
        <f t="shared" si="15"/>
        <v>159579.11904761911</v>
      </c>
      <c r="S74" s="31"/>
      <c r="T74" s="508">
        <f t="shared" si="16"/>
        <v>0.89000000000000012</v>
      </c>
      <c r="U74" s="58"/>
      <c r="V74" s="514">
        <f>((R74/'Underlying Assumptions'!$E$11)/D74)*'Underlying Assumptions'!$E$9</f>
        <v>270.25232637083781</v>
      </c>
      <c r="W74" s="339">
        <f>IF(P74-R74&gt;(-1*'Underlying Assumptions'!$E$8),P74-R74,-1*'Underlying Assumptions'!$E$8)</f>
        <v>-82249</v>
      </c>
      <c r="X74" s="342">
        <v>0</v>
      </c>
      <c r="Y74" s="340">
        <f>IF(AND(X74=0, X75&lt;-1),-100000000, (IF(X74&gt;=0,0,((X74/69000)*'Underlying Assumptions'!$E$7))))</f>
        <v>0</v>
      </c>
      <c r="Z74" s="274">
        <f t="shared" si="23"/>
        <v>0</v>
      </c>
      <c r="AA74" s="275">
        <f t="shared" si="24"/>
        <v>0</v>
      </c>
    </row>
    <row r="75" spans="1:27" x14ac:dyDescent="0.2">
      <c r="A75" s="273">
        <f t="shared" si="26"/>
        <v>2056</v>
      </c>
      <c r="B75" s="333"/>
      <c r="C75" s="334"/>
      <c r="D75" s="334">
        <f t="shared" si="27"/>
        <v>538065.40000000014</v>
      </c>
      <c r="E75" s="504"/>
      <c r="F75" s="332">
        <f t="shared" si="22"/>
        <v>2.0708376569053572E-2</v>
      </c>
      <c r="G75" s="328">
        <f>D75/'Underlying Assumptions'!$E$10</f>
        <v>183015.4421768708</v>
      </c>
      <c r="H75" s="331">
        <f t="shared" ref="H75:H79" si="28">G75-G74</f>
        <v>3713.0612244897929</v>
      </c>
      <c r="I75" s="58"/>
      <c r="J75" s="58"/>
      <c r="K75" s="31"/>
      <c r="L75" s="338">
        <v>65498.400000000001</v>
      </c>
      <c r="M75" s="510">
        <f t="shared" si="17"/>
        <v>5000</v>
      </c>
      <c r="N75" s="509">
        <f t="shared" si="19"/>
        <v>4000</v>
      </c>
      <c r="O75" s="31"/>
      <c r="P75" s="328">
        <f t="shared" si="8"/>
        <v>74498.399999999994</v>
      </c>
      <c r="Q75" s="60"/>
      <c r="R75" s="334">
        <f t="shared" si="15"/>
        <v>162883.74353741502</v>
      </c>
      <c r="S75" s="31"/>
      <c r="T75" s="508">
        <f t="shared" si="16"/>
        <v>0.89</v>
      </c>
      <c r="U75" s="58"/>
      <c r="V75" s="514">
        <f>((R75/'Underlying Assumptions'!$E$11)/D75)*'Underlying Assumptions'!$E$9</f>
        <v>270.25232637083781</v>
      </c>
      <c r="W75" s="339">
        <f>IF(P75-R75&gt;(-1*'Underlying Assumptions'!$E$8),P75-R75,-1*'Underlying Assumptions'!$E$8)</f>
        <v>-82249</v>
      </c>
      <c r="X75" s="342">
        <v>0</v>
      </c>
      <c r="Y75" s="340">
        <f>IF(AND(X75=0, X76&lt;-1),-100000000, (IF(X75&gt;=0,0,((X75/69000)*'Underlying Assumptions'!$E$7))))</f>
        <v>0</v>
      </c>
      <c r="Z75" s="274">
        <f t="shared" si="23"/>
        <v>0</v>
      </c>
      <c r="AA75" s="275">
        <f t="shared" si="24"/>
        <v>0</v>
      </c>
    </row>
    <row r="76" spans="1:27" x14ac:dyDescent="0.2">
      <c r="A76" s="273">
        <f t="shared" si="26"/>
        <v>2057</v>
      </c>
      <c r="B76" s="333"/>
      <c r="C76" s="334"/>
      <c r="D76" s="334">
        <f t="shared" si="27"/>
        <v>548981.80000000016</v>
      </c>
      <c r="E76" s="504"/>
      <c r="F76" s="332">
        <f t="shared" si="22"/>
        <v>2.0288240054090117E-2</v>
      </c>
      <c r="G76" s="328">
        <f>D76/'Underlying Assumptions'!$E$10</f>
        <v>186728.50340136059</v>
      </c>
      <c r="H76" s="331">
        <f t="shared" si="28"/>
        <v>3713.0612244897929</v>
      </c>
      <c r="I76" s="58"/>
      <c r="J76" s="58"/>
      <c r="K76" s="31"/>
      <c r="L76" s="338">
        <v>65498.400000000001</v>
      </c>
      <c r="M76" s="510">
        <f t="shared" si="17"/>
        <v>5000</v>
      </c>
      <c r="N76" s="509">
        <f t="shared" si="19"/>
        <v>4000</v>
      </c>
      <c r="O76" s="31"/>
      <c r="P76" s="328">
        <f t="shared" si="8"/>
        <v>74498.399999999994</v>
      </c>
      <c r="Q76" s="60"/>
      <c r="R76" s="334">
        <f t="shared" si="15"/>
        <v>166188.36802721093</v>
      </c>
      <c r="S76" s="31"/>
      <c r="T76" s="508">
        <f t="shared" si="16"/>
        <v>0.89</v>
      </c>
      <c r="U76" s="58"/>
      <c r="V76" s="514">
        <f>((R76/'Underlying Assumptions'!$E$11)/D76)*'Underlying Assumptions'!$E$9</f>
        <v>270.25232637083775</v>
      </c>
      <c r="W76" s="339">
        <f>IF(P76-R76&gt;(-1*'Underlying Assumptions'!$E$8),P76-R76,-1*'Underlying Assumptions'!$E$8)</f>
        <v>-82249</v>
      </c>
      <c r="X76" s="342">
        <v>0</v>
      </c>
      <c r="Y76" s="340">
        <f>IF(AND(X76=0, X77&lt;-1),-100000000, (IF(X76&gt;=0,0,((X76/69000)*'Underlying Assumptions'!$E$7))))</f>
        <v>0</v>
      </c>
      <c r="Z76" s="274">
        <f t="shared" si="23"/>
        <v>0</v>
      </c>
      <c r="AA76" s="275">
        <f t="shared" si="24"/>
        <v>0</v>
      </c>
    </row>
    <row r="77" spans="1:27" x14ac:dyDescent="0.2">
      <c r="A77" s="273">
        <f t="shared" si="26"/>
        <v>2058</v>
      </c>
      <c r="B77" s="333"/>
      <c r="C77" s="334"/>
      <c r="D77" s="334">
        <f t="shared" si="27"/>
        <v>559898.20000000019</v>
      </c>
      <c r="E77" s="504"/>
      <c r="F77" s="332">
        <f t="shared" si="22"/>
        <v>1.9884812210532336E-2</v>
      </c>
      <c r="G77" s="328">
        <f>D77/'Underlying Assumptions'!$E$10</f>
        <v>190441.56462585041</v>
      </c>
      <c r="H77" s="331">
        <f t="shared" si="28"/>
        <v>3713.0612244898221</v>
      </c>
      <c r="I77" s="58"/>
      <c r="J77" s="58"/>
      <c r="K77" s="31"/>
      <c r="L77" s="338">
        <v>65498.400000000001</v>
      </c>
      <c r="M77" s="510">
        <f t="shared" si="17"/>
        <v>5000</v>
      </c>
      <c r="N77" s="509">
        <f t="shared" si="19"/>
        <v>4000</v>
      </c>
      <c r="O77" s="31"/>
      <c r="P77" s="328">
        <f t="shared" si="8"/>
        <v>74498.399999999994</v>
      </c>
      <c r="Q77" s="60"/>
      <c r="R77" s="334">
        <f t="shared" si="15"/>
        <v>169492.99251700687</v>
      </c>
      <c r="S77" s="31"/>
      <c r="T77" s="508">
        <f t="shared" si="16"/>
        <v>0.89</v>
      </c>
      <c r="U77" s="58"/>
      <c r="V77" s="514">
        <f>((R77/'Underlying Assumptions'!$E$11)/D77)*'Underlying Assumptions'!$E$9</f>
        <v>270.25232637083781</v>
      </c>
      <c r="W77" s="339">
        <f>IF(P77-R77&gt;(-1*'Underlying Assumptions'!$E$8),P77-R77,-1*'Underlying Assumptions'!$E$8)</f>
        <v>-82249</v>
      </c>
      <c r="X77" s="342">
        <v>0</v>
      </c>
      <c r="Y77" s="340">
        <f>IF(AND(X77=0, X78&lt;-1),-100000000, (IF(X77&gt;=0,0,((X77/69000)*'Underlying Assumptions'!$E$7))))</f>
        <v>0</v>
      </c>
      <c r="Z77" s="274">
        <f t="shared" si="23"/>
        <v>0</v>
      </c>
      <c r="AA77" s="275">
        <f t="shared" si="24"/>
        <v>0</v>
      </c>
    </row>
    <row r="78" spans="1:27" x14ac:dyDescent="0.2">
      <c r="A78" s="273">
        <f t="shared" si="26"/>
        <v>2059</v>
      </c>
      <c r="B78" s="333"/>
      <c r="C78" s="334"/>
      <c r="D78" s="334">
        <f t="shared" si="27"/>
        <v>570814.60000000021</v>
      </c>
      <c r="E78" s="504"/>
      <c r="F78" s="332">
        <f t="shared" si="22"/>
        <v>1.9497115725680168E-2</v>
      </c>
      <c r="G78" s="328">
        <f>D78/'Underlying Assumptions'!$E$10</f>
        <v>194154.62585034021</v>
      </c>
      <c r="H78" s="331">
        <f t="shared" si="28"/>
        <v>3713.0612244897929</v>
      </c>
      <c r="I78" s="58"/>
      <c r="J78" s="58"/>
      <c r="K78" s="31"/>
      <c r="L78" s="338">
        <v>65498.400000000001</v>
      </c>
      <c r="M78" s="510">
        <f t="shared" si="17"/>
        <v>5000</v>
      </c>
      <c r="N78" s="509">
        <f t="shared" si="19"/>
        <v>4000</v>
      </c>
      <c r="O78" s="31"/>
      <c r="P78" s="328">
        <f t="shared" si="8"/>
        <v>74498.399999999994</v>
      </c>
      <c r="Q78" s="60"/>
      <c r="R78" s="334">
        <f t="shared" si="15"/>
        <v>172797.61700680279</v>
      </c>
      <c r="S78" s="31"/>
      <c r="T78" s="508">
        <f t="shared" si="16"/>
        <v>0.89</v>
      </c>
      <c r="U78" s="58"/>
      <c r="V78" s="514">
        <f>((R78/'Underlying Assumptions'!$E$11)/D78)*'Underlying Assumptions'!$E$9</f>
        <v>270.25232637083775</v>
      </c>
      <c r="W78" s="339">
        <f>IF(P78-R78&gt;(-1*'Underlying Assumptions'!$E$8),P78-R78,-1*'Underlying Assumptions'!$E$8)</f>
        <v>-82249</v>
      </c>
      <c r="X78" s="342">
        <v>0</v>
      </c>
      <c r="Y78" s="340">
        <f>IF(AND(X78=0, X79&lt;-1),-100000000, (IF(X78&gt;=0,0,((X78/69000)*'Underlying Assumptions'!$E$7))))</f>
        <v>0</v>
      </c>
      <c r="Z78" s="274">
        <f t="shared" si="23"/>
        <v>0</v>
      </c>
      <c r="AA78" s="275">
        <f t="shared" si="24"/>
        <v>0</v>
      </c>
    </row>
    <row r="79" spans="1:27" ht="13.5" thickBot="1" x14ac:dyDescent="0.25">
      <c r="A79" s="128">
        <v>2060</v>
      </c>
      <c r="B79" s="505"/>
      <c r="C79" s="505">
        <v>581731</v>
      </c>
      <c r="D79" s="334">
        <f>C79</f>
        <v>581731</v>
      </c>
      <c r="E79" s="506"/>
      <c r="F79" s="503">
        <f t="shared" si="22"/>
        <v>1.912424804831514E-2</v>
      </c>
      <c r="G79" s="328">
        <f>D79/'Underlying Assumptions'!$E$10</f>
        <v>197867.68707482994</v>
      </c>
      <c r="H79" s="331">
        <f t="shared" si="28"/>
        <v>3713.0612244897347</v>
      </c>
      <c r="I79" s="32"/>
      <c r="J79" s="32"/>
      <c r="K79" s="32"/>
      <c r="L79" s="338">
        <v>65498.400000000001</v>
      </c>
      <c r="M79" s="510">
        <f t="shared" si="17"/>
        <v>5000</v>
      </c>
      <c r="N79" s="509">
        <f t="shared" si="19"/>
        <v>4000</v>
      </c>
      <c r="O79" s="31"/>
      <c r="P79" s="328">
        <f t="shared" si="8"/>
        <v>74498.399999999994</v>
      </c>
      <c r="Q79" s="61"/>
      <c r="R79" s="334">
        <f t="shared" si="15"/>
        <v>176102.24149659864</v>
      </c>
      <c r="S79" s="32"/>
      <c r="T79" s="508">
        <f t="shared" si="16"/>
        <v>0.89</v>
      </c>
      <c r="U79" s="171"/>
      <c r="V79" s="514">
        <f>((R79/'Underlying Assumptions'!$E$11)/D79)*'Underlying Assumptions'!$E$9</f>
        <v>270.25232637083775</v>
      </c>
      <c r="W79" s="339">
        <f>IF(P79-R79&gt;(-1*'Underlying Assumptions'!$E$8),P79-R79,-1*'Underlying Assumptions'!$E$8)</f>
        <v>-82249</v>
      </c>
      <c r="X79" s="342">
        <v>0</v>
      </c>
      <c r="Y79" s="341">
        <f>IF(AND(X79=0, X125&lt;-1),-100000000, (IF(X79&gt;=0,0,((X79/69000)*'Underlying Assumptions'!$E$7))))</f>
        <v>0</v>
      </c>
      <c r="Z79" s="26">
        <f t="shared" si="23"/>
        <v>0</v>
      </c>
      <c r="AA79" s="278">
        <f t="shared" si="24"/>
        <v>0</v>
      </c>
    </row>
    <row r="80" spans="1:27" x14ac:dyDescent="0.2">
      <c r="A80" s="128">
        <v>2061</v>
      </c>
      <c r="B80" s="334"/>
      <c r="C80" s="334"/>
      <c r="D80" s="334">
        <f>D79*(1+F79)</f>
        <v>592856.16794139438</v>
      </c>
      <c r="E80" s="504"/>
      <c r="F80" s="332">
        <f>F79</f>
        <v>1.912424804831514E-2</v>
      </c>
      <c r="G80" s="328">
        <f>D80/'Underlying Assumptions'!$E$10</f>
        <v>201651.75780319536</v>
      </c>
      <c r="H80" s="331">
        <f t="shared" ref="H80:H110" si="29">G80-G79</f>
        <v>3784.0707283654192</v>
      </c>
      <c r="I80" s="31"/>
      <c r="J80" s="31"/>
      <c r="K80" s="31"/>
      <c r="L80" s="338">
        <v>65498.400000000001</v>
      </c>
      <c r="M80" s="510">
        <f t="shared" si="17"/>
        <v>5000</v>
      </c>
      <c r="N80" s="509">
        <f t="shared" si="19"/>
        <v>4000</v>
      </c>
      <c r="O80" s="31"/>
      <c r="P80" s="328">
        <f t="shared" si="8"/>
        <v>74498.399999999994</v>
      </c>
      <c r="Q80" s="31"/>
      <c r="R80" s="334">
        <f t="shared" si="15"/>
        <v>179470.06444484388</v>
      </c>
      <c r="S80" s="31"/>
      <c r="T80" s="508">
        <f t="shared" si="16"/>
        <v>0.89</v>
      </c>
      <c r="U80" s="58"/>
      <c r="V80" s="514">
        <f>((R80/'Underlying Assumptions'!$E$11)/D80)*'Underlying Assumptions'!$E$9</f>
        <v>270.25232637083775</v>
      </c>
      <c r="W80" s="339"/>
      <c r="X80" s="342">
        <v>0</v>
      </c>
      <c r="Y80" s="340"/>
      <c r="Z80" s="274"/>
      <c r="AA80" s="274"/>
    </row>
    <row r="81" spans="1:27" x14ac:dyDescent="0.2">
      <c r="A81" s="128">
        <v>2062</v>
      </c>
      <c r="B81" s="334"/>
      <c r="C81" s="334"/>
      <c r="D81" s="334">
        <f t="shared" ref="D81:D110" si="30">D80*(1+F80)</f>
        <v>604194.0963540792</v>
      </c>
      <c r="E81" s="504"/>
      <c r="F81" s="332">
        <f t="shared" ref="F81:F110" si="31">F80</f>
        <v>1.912424804831514E-2</v>
      </c>
      <c r="G81" s="328">
        <f>D81/'Underlying Assumptions'!$E$10</f>
        <v>205508.19603880245</v>
      </c>
      <c r="H81" s="331">
        <f t="shared" si="29"/>
        <v>3856.4382356070855</v>
      </c>
      <c r="I81" s="31"/>
      <c r="J81" s="31"/>
      <c r="K81" s="31"/>
      <c r="L81" s="338">
        <v>65498.400000000001</v>
      </c>
      <c r="M81" s="510">
        <f t="shared" si="17"/>
        <v>5000</v>
      </c>
      <c r="N81" s="509">
        <f t="shared" si="19"/>
        <v>4000</v>
      </c>
      <c r="O81" s="31"/>
      <c r="P81" s="328">
        <f t="shared" si="8"/>
        <v>74498.399999999994</v>
      </c>
      <c r="Q81" s="31"/>
      <c r="R81" s="334">
        <f t="shared" si="15"/>
        <v>182902.29447453417</v>
      </c>
      <c r="S81" s="31"/>
      <c r="T81" s="508">
        <f t="shared" si="16"/>
        <v>0.8899999999999999</v>
      </c>
      <c r="U81" s="58"/>
      <c r="V81" s="514">
        <f>((R81/'Underlying Assumptions'!$E$11)/D81)*'Underlying Assumptions'!$E$9</f>
        <v>270.25232637083775</v>
      </c>
      <c r="W81" s="339"/>
      <c r="X81" s="342">
        <v>0</v>
      </c>
      <c r="Y81" s="340"/>
      <c r="Z81" s="274"/>
      <c r="AA81" s="274"/>
    </row>
    <row r="82" spans="1:27" x14ac:dyDescent="0.2">
      <c r="A82" s="128">
        <v>2063</v>
      </c>
      <c r="B82" s="334"/>
      <c r="C82" s="334"/>
      <c r="D82" s="334">
        <f t="shared" si="30"/>
        <v>615748.85412208224</v>
      </c>
      <c r="E82" s="504"/>
      <c r="F82" s="332">
        <f t="shared" si="31"/>
        <v>1.912424804831514E-2</v>
      </c>
      <c r="G82" s="328">
        <f>D82/'Underlying Assumptions'!$E$10</f>
        <v>209438.38575581028</v>
      </c>
      <c r="H82" s="331">
        <f t="shared" si="29"/>
        <v>3930.18971700783</v>
      </c>
      <c r="I82" s="31"/>
      <c r="J82" s="31"/>
      <c r="K82" s="31"/>
      <c r="L82" s="338">
        <v>65498.400000000001</v>
      </c>
      <c r="M82" s="510">
        <f t="shared" si="17"/>
        <v>5000</v>
      </c>
      <c r="N82" s="509">
        <f t="shared" si="19"/>
        <v>4000</v>
      </c>
      <c r="O82" s="31"/>
      <c r="P82" s="328">
        <f t="shared" si="8"/>
        <v>74498.399999999994</v>
      </c>
      <c r="Q82" s="31"/>
      <c r="R82" s="334">
        <f t="shared" si="15"/>
        <v>186400.16332267114</v>
      </c>
      <c r="S82" s="31"/>
      <c r="T82" s="508">
        <f t="shared" si="16"/>
        <v>0.89</v>
      </c>
      <c r="U82" s="58"/>
      <c r="V82" s="514">
        <f>((R82/'Underlying Assumptions'!$E$11)/D82)*'Underlying Assumptions'!$E$9</f>
        <v>270.25232637083775</v>
      </c>
      <c r="W82" s="339"/>
      <c r="X82" s="342">
        <v>0</v>
      </c>
      <c r="Y82" s="340"/>
      <c r="Z82" s="274"/>
      <c r="AA82" s="274"/>
    </row>
    <row r="83" spans="1:27" x14ac:dyDescent="0.2">
      <c r="A83" s="128">
        <v>2064</v>
      </c>
      <c r="B83" s="334"/>
      <c r="C83" s="334"/>
      <c r="D83" s="334">
        <f t="shared" si="30"/>
        <v>627524.58794377872</v>
      </c>
      <c r="E83" s="504"/>
      <c r="F83" s="332">
        <f t="shared" si="31"/>
        <v>1.912424804831514E-2</v>
      </c>
      <c r="G83" s="328">
        <f>D83/'Underlying Assumptions'!$E$10</f>
        <v>213443.73739584311</v>
      </c>
      <c r="H83" s="331">
        <f t="shared" si="29"/>
        <v>4005.3516400328372</v>
      </c>
      <c r="I83" s="31"/>
      <c r="J83" s="31"/>
      <c r="K83" s="31"/>
      <c r="L83" s="338">
        <v>65498.400000000001</v>
      </c>
      <c r="M83" s="510">
        <f t="shared" si="17"/>
        <v>5000</v>
      </c>
      <c r="N83" s="509">
        <f t="shared" si="19"/>
        <v>4000</v>
      </c>
      <c r="O83" s="31"/>
      <c r="P83" s="328">
        <f t="shared" si="8"/>
        <v>74498.399999999994</v>
      </c>
      <c r="Q83" s="31"/>
      <c r="R83" s="334">
        <f t="shared" si="15"/>
        <v>189964.92628230038</v>
      </c>
      <c r="S83" s="31"/>
      <c r="T83" s="508">
        <f t="shared" si="16"/>
        <v>0.89</v>
      </c>
      <c r="U83" s="58"/>
      <c r="V83" s="514">
        <f>((R83/'Underlying Assumptions'!$E$11)/D83)*'Underlying Assumptions'!$E$9</f>
        <v>270.25232637083781</v>
      </c>
      <c r="W83" s="339"/>
      <c r="X83" s="342">
        <v>0</v>
      </c>
      <c r="Y83" s="340"/>
      <c r="Z83" s="274"/>
      <c r="AA83" s="274"/>
    </row>
    <row r="84" spans="1:27" x14ac:dyDescent="0.2">
      <c r="A84" s="128">
        <v>2065</v>
      </c>
      <c r="B84" s="334"/>
      <c r="C84" s="334"/>
      <c r="D84" s="334">
        <f t="shared" si="30"/>
        <v>639525.52382003225</v>
      </c>
      <c r="E84" s="504"/>
      <c r="F84" s="332">
        <f t="shared" si="31"/>
        <v>1.912424804831514E-2</v>
      </c>
      <c r="G84" s="328">
        <f>D84/'Underlying Assumptions'!$E$10</f>
        <v>217525.68837416064</v>
      </c>
      <c r="H84" s="331">
        <f t="shared" si="29"/>
        <v>4081.9509783175308</v>
      </c>
      <c r="I84" s="31"/>
      <c r="J84" s="31"/>
      <c r="K84" s="31"/>
      <c r="L84" s="338">
        <v>65498.400000000001</v>
      </c>
      <c r="M84" s="510">
        <f t="shared" si="17"/>
        <v>5000</v>
      </c>
      <c r="N84" s="509">
        <f t="shared" si="19"/>
        <v>4000</v>
      </c>
      <c r="O84" s="31"/>
      <c r="P84" s="328">
        <f t="shared" si="8"/>
        <v>74498.399999999994</v>
      </c>
      <c r="Q84" s="31"/>
      <c r="R84" s="334">
        <f t="shared" si="15"/>
        <v>193597.86265300299</v>
      </c>
      <c r="S84" s="31"/>
      <c r="T84" s="508">
        <f t="shared" si="16"/>
        <v>0.89</v>
      </c>
      <c r="U84" s="58"/>
      <c r="V84" s="514">
        <f>((R84/'Underlying Assumptions'!$E$11)/D84)*'Underlying Assumptions'!$E$9</f>
        <v>270.25232637083781</v>
      </c>
      <c r="W84" s="339"/>
      <c r="X84" s="342">
        <v>0</v>
      </c>
      <c r="Y84" s="340"/>
      <c r="Z84" s="274"/>
      <c r="AA84" s="274"/>
    </row>
    <row r="85" spans="1:27" x14ac:dyDescent="0.2">
      <c r="A85" s="128">
        <v>2066</v>
      </c>
      <c r="B85" s="334"/>
      <c r="C85" s="334"/>
      <c r="D85" s="334">
        <f t="shared" si="30"/>
        <v>651755.96857079526</v>
      </c>
      <c r="E85" s="504"/>
      <c r="F85" s="332">
        <f t="shared" si="31"/>
        <v>1.912424804831514E-2</v>
      </c>
      <c r="G85" s="328">
        <f>D85/'Underlying Assumptions'!$E$10</f>
        <v>221685.70359550859</v>
      </c>
      <c r="H85" s="331">
        <f t="shared" si="29"/>
        <v>4160.015221347945</v>
      </c>
      <c r="I85" s="31"/>
      <c r="J85" s="31"/>
      <c r="K85" s="31"/>
      <c r="L85" s="338">
        <v>65498.400000000001</v>
      </c>
      <c r="M85" s="510">
        <f t="shared" si="17"/>
        <v>5000</v>
      </c>
      <c r="N85" s="509">
        <f t="shared" si="19"/>
        <v>4000</v>
      </c>
      <c r="O85" s="31"/>
      <c r="P85" s="328">
        <f t="shared" si="8"/>
        <v>74498.399999999994</v>
      </c>
      <c r="Q85" s="31"/>
      <c r="R85" s="334">
        <f t="shared" si="15"/>
        <v>197300.27620000264</v>
      </c>
      <c r="S85" s="31"/>
      <c r="T85" s="508">
        <f t="shared" si="16"/>
        <v>0.89</v>
      </c>
      <c r="U85" s="58"/>
      <c r="V85" s="514">
        <f>((R85/'Underlying Assumptions'!$E$11)/D85)*'Underlying Assumptions'!$E$9</f>
        <v>270.25232637083775</v>
      </c>
      <c r="W85" s="339"/>
      <c r="X85" s="342">
        <v>0</v>
      </c>
      <c r="Y85" s="340"/>
      <c r="Z85" s="274"/>
      <c r="AA85" s="274"/>
    </row>
    <row r="86" spans="1:27" x14ac:dyDescent="0.2">
      <c r="A86" s="128">
        <v>2067</v>
      </c>
      <c r="B86" s="334"/>
      <c r="C86" s="334"/>
      <c r="D86" s="334">
        <f t="shared" si="30"/>
        <v>664220.31138071301</v>
      </c>
      <c r="E86" s="504"/>
      <c r="F86" s="332">
        <f t="shared" si="31"/>
        <v>1.912424804831514E-2</v>
      </c>
      <c r="G86" s="328">
        <f>D86/'Underlying Assumptions'!$E$10</f>
        <v>225925.27597983438</v>
      </c>
      <c r="H86" s="331">
        <f t="shared" si="29"/>
        <v>4239.5723843257874</v>
      </c>
      <c r="I86" s="31"/>
      <c r="J86" s="31"/>
      <c r="K86" s="31"/>
      <c r="L86" s="338">
        <v>65498.400000000001</v>
      </c>
      <c r="M86" s="510">
        <f t="shared" si="17"/>
        <v>5000</v>
      </c>
      <c r="N86" s="509">
        <f t="shared" si="19"/>
        <v>4000</v>
      </c>
      <c r="O86" s="31"/>
      <c r="P86" s="328">
        <f t="shared" si="8"/>
        <v>74498.399999999994</v>
      </c>
      <c r="Q86" s="31"/>
      <c r="R86" s="334">
        <f t="shared" si="15"/>
        <v>201073.49562205261</v>
      </c>
      <c r="S86" s="31"/>
      <c r="T86" s="508">
        <f t="shared" si="16"/>
        <v>0.89</v>
      </c>
      <c r="U86" s="58"/>
      <c r="V86" s="514">
        <f>((R86/'Underlying Assumptions'!$E$11)/D86)*'Underlying Assumptions'!$E$9</f>
        <v>270.25232637083781</v>
      </c>
      <c r="W86" s="339"/>
      <c r="X86" s="342">
        <v>0</v>
      </c>
      <c r="Y86" s="340"/>
      <c r="Z86" s="274"/>
      <c r="AA86" s="274"/>
    </row>
    <row r="87" spans="1:27" x14ac:dyDescent="0.2">
      <c r="A87" s="128">
        <v>2068</v>
      </c>
      <c r="B87" s="334"/>
      <c r="C87" s="334"/>
      <c r="D87" s="334">
        <f t="shared" si="30"/>
        <v>676923.02537428692</v>
      </c>
      <c r="E87" s="504"/>
      <c r="F87" s="332">
        <f t="shared" si="31"/>
        <v>1.912424804831514E-2</v>
      </c>
      <c r="G87" s="328">
        <f>D87/'Underlying Assumptions'!$E$10</f>
        <v>230245.92699805679</v>
      </c>
      <c r="H87" s="331">
        <f t="shared" si="29"/>
        <v>4320.6510182224156</v>
      </c>
      <c r="I87" s="31"/>
      <c r="J87" s="31"/>
      <c r="K87" s="31"/>
      <c r="L87" s="338">
        <v>65498.400000000001</v>
      </c>
      <c r="M87" s="510">
        <f t="shared" si="17"/>
        <v>5000</v>
      </c>
      <c r="N87" s="509">
        <f t="shared" si="19"/>
        <v>4000</v>
      </c>
      <c r="O87" s="31"/>
      <c r="P87" s="328">
        <f t="shared" si="8"/>
        <v>74498.399999999994</v>
      </c>
      <c r="Q87" s="31"/>
      <c r="R87" s="334">
        <f t="shared" si="15"/>
        <v>204918.87502827056</v>
      </c>
      <c r="S87" s="31"/>
      <c r="T87" s="508">
        <f t="shared" si="16"/>
        <v>0.89</v>
      </c>
      <c r="U87" s="58"/>
      <c r="V87" s="514">
        <f>((R87/'Underlying Assumptions'!$E$11)/D87)*'Underlying Assumptions'!$E$9</f>
        <v>270.25232637083781</v>
      </c>
      <c r="W87" s="339"/>
      <c r="X87" s="342">
        <v>0</v>
      </c>
      <c r="Y87" s="340"/>
      <c r="Z87" s="274"/>
      <c r="AA87" s="274"/>
    </row>
    <row r="88" spans="1:27" x14ac:dyDescent="0.2">
      <c r="A88" s="128">
        <v>2069</v>
      </c>
      <c r="B88" s="334"/>
      <c r="C88" s="334"/>
      <c r="D88" s="334">
        <f t="shared" si="30"/>
        <v>689868.6692211607</v>
      </c>
      <c r="E88" s="504"/>
      <c r="F88" s="332">
        <f t="shared" si="31"/>
        <v>1.912424804831514E-2</v>
      </c>
      <c r="G88" s="328">
        <f>D88/'Underlying Assumptions'!$E$10</f>
        <v>234649.20721808186</v>
      </c>
      <c r="H88" s="331">
        <f t="shared" si="29"/>
        <v>4403.2802200250735</v>
      </c>
      <c r="I88" s="31"/>
      <c r="J88" s="31"/>
      <c r="K88" s="31"/>
      <c r="L88" s="338">
        <v>65498.400000000001</v>
      </c>
      <c r="M88" s="510">
        <f t="shared" si="17"/>
        <v>5000</v>
      </c>
      <c r="N88" s="509">
        <f t="shared" si="19"/>
        <v>4000</v>
      </c>
      <c r="O88" s="31"/>
      <c r="P88" s="328">
        <f t="shared" si="8"/>
        <v>74498.399999999994</v>
      </c>
      <c r="Q88" s="31"/>
      <c r="R88" s="334">
        <f t="shared" si="15"/>
        <v>208837.79442409286</v>
      </c>
      <c r="S88" s="31"/>
      <c r="T88" s="508">
        <f t="shared" si="16"/>
        <v>0.89</v>
      </c>
      <c r="U88" s="58"/>
      <c r="V88" s="514">
        <f>((R88/'Underlying Assumptions'!$E$11)/D88)*'Underlying Assumptions'!$E$9</f>
        <v>270.25232637083775</v>
      </c>
      <c r="W88" s="339"/>
      <c r="X88" s="342">
        <v>0</v>
      </c>
      <c r="Y88" s="340"/>
      <c r="Z88" s="274"/>
      <c r="AA88" s="274"/>
    </row>
    <row r="89" spans="1:27" x14ac:dyDescent="0.2">
      <c r="A89" s="128">
        <v>2070</v>
      </c>
      <c r="B89" s="334"/>
      <c r="C89" s="334"/>
      <c r="D89" s="334">
        <f t="shared" si="30"/>
        <v>703061.8887721072</v>
      </c>
      <c r="E89" s="504"/>
      <c r="F89" s="332">
        <f t="shared" si="31"/>
        <v>1.912424804831514E-2</v>
      </c>
      <c r="G89" s="328">
        <f>D89/'Underlying Assumptions'!$E$10</f>
        <v>239136.69686126095</v>
      </c>
      <c r="H89" s="331">
        <f t="shared" si="29"/>
        <v>4487.4896431790839</v>
      </c>
      <c r="I89" s="31"/>
      <c r="J89" s="31"/>
      <c r="K89" s="31"/>
      <c r="L89" s="338">
        <v>65498.400000000001</v>
      </c>
      <c r="M89" s="510">
        <f t="shared" si="17"/>
        <v>5000</v>
      </c>
      <c r="N89" s="509">
        <f t="shared" si="19"/>
        <v>4000</v>
      </c>
      <c r="O89" s="31"/>
      <c r="P89" s="328">
        <f t="shared" ref="P89:P112" si="32">SUM(L89:N89)</f>
        <v>74498.399999999994</v>
      </c>
      <c r="Q89" s="31"/>
      <c r="R89" s="334">
        <f t="shared" si="15"/>
        <v>212831.66020652224</v>
      </c>
      <c r="S89" s="31"/>
      <c r="T89" s="508">
        <f t="shared" si="16"/>
        <v>0.89</v>
      </c>
      <c r="U89" s="58"/>
      <c r="V89" s="514">
        <f>((R89/'Underlying Assumptions'!$E$11)/D89)*'Underlying Assumptions'!$E$9</f>
        <v>270.25232637083775</v>
      </c>
      <c r="W89" s="339"/>
      <c r="X89" s="342">
        <v>0</v>
      </c>
      <c r="Y89" s="340"/>
      <c r="Z89" s="274"/>
      <c r="AA89" s="274"/>
    </row>
    <row r="90" spans="1:27" x14ac:dyDescent="0.2">
      <c r="A90" s="128">
        <v>2071</v>
      </c>
      <c r="B90" s="334"/>
      <c r="C90" s="334"/>
      <c r="D90" s="334">
        <f t="shared" si="30"/>
        <v>716507.41872630187</v>
      </c>
      <c r="E90" s="504"/>
      <c r="F90" s="332">
        <f t="shared" si="31"/>
        <v>1.912424804831514E-2</v>
      </c>
      <c r="G90" s="328">
        <f>D90/'Underlying Assumptions'!$E$10</f>
        <v>243710.00636949044</v>
      </c>
      <c r="H90" s="331">
        <f t="shared" si="29"/>
        <v>4573.3095082294894</v>
      </c>
      <c r="I90" s="31"/>
      <c r="J90" s="31"/>
      <c r="K90" s="31"/>
      <c r="L90" s="338">
        <v>65498.400000000001</v>
      </c>
      <c r="M90" s="510">
        <f t="shared" si="17"/>
        <v>5000</v>
      </c>
      <c r="N90" s="509">
        <f t="shared" si="19"/>
        <v>4000</v>
      </c>
      <c r="O90" s="31"/>
      <c r="P90" s="328">
        <f t="shared" si="32"/>
        <v>74498.399999999994</v>
      </c>
      <c r="Q90" s="31"/>
      <c r="R90" s="334">
        <f t="shared" si="15"/>
        <v>216901.90566884651</v>
      </c>
      <c r="S90" s="31"/>
      <c r="T90" s="508">
        <f t="shared" si="16"/>
        <v>0.89</v>
      </c>
      <c r="U90" s="58"/>
      <c r="V90" s="514">
        <f>((R90/'Underlying Assumptions'!$E$11)/D90)*'Underlying Assumptions'!$E$9</f>
        <v>270.25232637083781</v>
      </c>
      <c r="W90" s="339"/>
      <c r="X90" s="342">
        <v>0</v>
      </c>
      <c r="Y90" s="340"/>
      <c r="Z90" s="274"/>
      <c r="AA90" s="274"/>
    </row>
    <row r="91" spans="1:27" x14ac:dyDescent="0.2">
      <c r="A91" s="128">
        <v>2072</v>
      </c>
      <c r="B91" s="334"/>
      <c r="C91" s="334"/>
      <c r="D91" s="334">
        <f t="shared" si="30"/>
        <v>730210.08433048171</v>
      </c>
      <c r="E91" s="504"/>
      <c r="F91" s="332">
        <f t="shared" si="31"/>
        <v>1.912424804831514E-2</v>
      </c>
      <c r="G91" s="328">
        <f>D91/'Underlying Assumptions'!$E$10</f>
        <v>248370.77698315706</v>
      </c>
      <c r="H91" s="331">
        <f t="shared" si="29"/>
        <v>4660.7706136666238</v>
      </c>
      <c r="I91" s="31"/>
      <c r="J91" s="31"/>
      <c r="K91" s="31"/>
      <c r="L91" s="338">
        <v>65498.400000000001</v>
      </c>
      <c r="M91" s="510">
        <f t="shared" si="17"/>
        <v>5000</v>
      </c>
      <c r="N91" s="509">
        <f t="shared" si="19"/>
        <v>4000</v>
      </c>
      <c r="O91" s="31"/>
      <c r="P91" s="328">
        <f t="shared" si="32"/>
        <v>74498.399999999994</v>
      </c>
      <c r="Q91" s="31"/>
      <c r="R91" s="334">
        <f t="shared" si="15"/>
        <v>221049.99151500978</v>
      </c>
      <c r="S91" s="31"/>
      <c r="T91" s="508">
        <f t="shared" si="16"/>
        <v>0.89</v>
      </c>
      <c r="U91" s="58"/>
      <c r="V91" s="514">
        <f>((R91/'Underlying Assumptions'!$E$11)/D91)*'Underlying Assumptions'!$E$9</f>
        <v>270.25232637083775</v>
      </c>
      <c r="W91" s="339"/>
      <c r="X91" s="342">
        <v>0</v>
      </c>
      <c r="Y91" s="340"/>
      <c r="Z91" s="274"/>
      <c r="AA91" s="274"/>
    </row>
    <row r="92" spans="1:27" x14ac:dyDescent="0.2">
      <c r="A92" s="128">
        <v>2073</v>
      </c>
      <c r="B92" s="334"/>
      <c r="C92" s="334"/>
      <c r="D92" s="334">
        <f t="shared" si="30"/>
        <v>744174.80311059894</v>
      </c>
      <c r="E92" s="504"/>
      <c r="F92" s="332">
        <f t="shared" si="31"/>
        <v>1.912424804831514E-2</v>
      </c>
      <c r="G92" s="328">
        <f>D92/'Underlying Assumptions'!$E$10</f>
        <v>253120.6813301357</v>
      </c>
      <c r="H92" s="331">
        <f t="shared" si="29"/>
        <v>4749.9043469786411</v>
      </c>
      <c r="I92" s="31"/>
      <c r="J92" s="31"/>
      <c r="K92" s="31"/>
      <c r="L92" s="338">
        <v>65498.400000000001</v>
      </c>
      <c r="M92" s="510">
        <f t="shared" si="17"/>
        <v>5000</v>
      </c>
      <c r="N92" s="509">
        <f t="shared" si="19"/>
        <v>4000</v>
      </c>
      <c r="O92" s="31"/>
      <c r="P92" s="328">
        <f t="shared" si="32"/>
        <v>74498.399999999994</v>
      </c>
      <c r="Q92" s="31"/>
      <c r="R92" s="334">
        <f t="shared" si="15"/>
        <v>225277.40638382078</v>
      </c>
      <c r="S92" s="31"/>
      <c r="T92" s="508">
        <f t="shared" si="16"/>
        <v>0.89</v>
      </c>
      <c r="U92" s="58"/>
      <c r="V92" s="514">
        <f>((R92/'Underlying Assumptions'!$E$11)/D92)*'Underlying Assumptions'!$E$9</f>
        <v>270.25232637083775</v>
      </c>
      <c r="W92" s="339"/>
      <c r="X92" s="342">
        <v>0</v>
      </c>
      <c r="Y92" s="340"/>
      <c r="Z92" s="274"/>
      <c r="AA92" s="274"/>
    </row>
    <row r="93" spans="1:27" x14ac:dyDescent="0.2">
      <c r="A93" s="128">
        <v>2074</v>
      </c>
      <c r="B93" s="334"/>
      <c r="C93" s="334"/>
      <c r="D93" s="334">
        <f t="shared" si="30"/>
        <v>758406.58663659217</v>
      </c>
      <c r="E93" s="504"/>
      <c r="F93" s="332">
        <f t="shared" si="31"/>
        <v>1.912424804831514E-2</v>
      </c>
      <c r="G93" s="328">
        <f>D93/'Underlying Assumptions'!$E$10</f>
        <v>257961.42402605177</v>
      </c>
      <c r="H93" s="331">
        <f t="shared" si="29"/>
        <v>4840.7426959160657</v>
      </c>
      <c r="I93" s="31"/>
      <c r="J93" s="31"/>
      <c r="K93" s="31"/>
      <c r="L93" s="338">
        <v>65498.400000000001</v>
      </c>
      <c r="M93" s="510">
        <f t="shared" si="17"/>
        <v>5000</v>
      </c>
      <c r="N93" s="509">
        <f t="shared" si="19"/>
        <v>4000</v>
      </c>
      <c r="O93" s="31"/>
      <c r="P93" s="328">
        <f t="shared" si="32"/>
        <v>74498.399999999994</v>
      </c>
      <c r="Q93" s="31"/>
      <c r="R93" s="334">
        <f t="shared" si="15"/>
        <v>229585.66738318608</v>
      </c>
      <c r="S93" s="31"/>
      <c r="T93" s="508">
        <f t="shared" si="16"/>
        <v>0.89</v>
      </c>
      <c r="U93" s="58"/>
      <c r="V93" s="514">
        <f>((R93/'Underlying Assumptions'!$E$11)/D93)*'Underlying Assumptions'!$E$9</f>
        <v>270.25232637083775</v>
      </c>
      <c r="W93" s="339"/>
      <c r="X93" s="342">
        <v>0</v>
      </c>
      <c r="Y93" s="340"/>
      <c r="Z93" s="274"/>
      <c r="AA93" s="274"/>
    </row>
    <row r="94" spans="1:27" x14ac:dyDescent="0.2">
      <c r="A94" s="128">
        <v>2075</v>
      </c>
      <c r="B94" s="334"/>
      <c r="C94" s="334"/>
      <c r="D94" s="334">
        <f t="shared" si="30"/>
        <v>772910.54232090642</v>
      </c>
      <c r="E94" s="504"/>
      <c r="F94" s="332">
        <f t="shared" si="31"/>
        <v>1.912424804831514E-2</v>
      </c>
      <c r="G94" s="328">
        <f>D94/'Underlying Assumptions'!$E$10</f>
        <v>262894.74228602258</v>
      </c>
      <c r="H94" s="331">
        <f t="shared" si="29"/>
        <v>4933.3182599708089</v>
      </c>
      <c r="I94" s="31"/>
      <c r="J94" s="31"/>
      <c r="K94" s="31"/>
      <c r="L94" s="338">
        <v>65498.400000000001</v>
      </c>
      <c r="M94" s="510">
        <f t="shared" si="17"/>
        <v>5000</v>
      </c>
      <c r="N94" s="509">
        <f t="shared" si="19"/>
        <v>4000</v>
      </c>
      <c r="O94" s="31"/>
      <c r="P94" s="328">
        <f t="shared" si="32"/>
        <v>74498.399999999994</v>
      </c>
      <c r="Q94" s="31"/>
      <c r="R94" s="334">
        <f t="shared" si="15"/>
        <v>233976.32063456011</v>
      </c>
      <c r="S94" s="31"/>
      <c r="T94" s="508">
        <f t="shared" si="16"/>
        <v>0.89</v>
      </c>
      <c r="U94" s="58"/>
      <c r="V94" s="514">
        <f>((R94/'Underlying Assumptions'!$E$11)/D94)*'Underlying Assumptions'!$E$9</f>
        <v>270.25232637083775</v>
      </c>
      <c r="W94" s="339"/>
      <c r="X94" s="342">
        <v>0</v>
      </c>
      <c r="Y94" s="340"/>
      <c r="Z94" s="274"/>
      <c r="AA94" s="274"/>
    </row>
    <row r="95" spans="1:27" x14ac:dyDescent="0.2">
      <c r="A95" s="128">
        <v>2076</v>
      </c>
      <c r="B95" s="334"/>
      <c r="C95" s="334"/>
      <c r="D95" s="334">
        <f t="shared" si="30"/>
        <v>787691.87525140925</v>
      </c>
      <c r="E95" s="504"/>
      <c r="F95" s="332">
        <f t="shared" si="31"/>
        <v>1.912424804831514E-2</v>
      </c>
      <c r="G95" s="328">
        <f>D95/'Underlying Assumptions'!$E$10</f>
        <v>267922.40654809837</v>
      </c>
      <c r="H95" s="331">
        <f t="shared" si="29"/>
        <v>5027.6642620757921</v>
      </c>
      <c r="I95" s="31"/>
      <c r="J95" s="31"/>
      <c r="K95" s="31"/>
      <c r="L95" s="338">
        <v>65498.400000000001</v>
      </c>
      <c r="M95" s="510">
        <f t="shared" si="17"/>
        <v>5000</v>
      </c>
      <c r="N95" s="509">
        <f t="shared" si="19"/>
        <v>4000</v>
      </c>
      <c r="O95" s="31"/>
      <c r="P95" s="328">
        <f t="shared" si="32"/>
        <v>74498.399999999994</v>
      </c>
      <c r="Q95" s="31"/>
      <c r="R95" s="334">
        <f t="shared" si="15"/>
        <v>238450.94182780755</v>
      </c>
      <c r="S95" s="31"/>
      <c r="T95" s="508">
        <f t="shared" si="16"/>
        <v>0.89</v>
      </c>
      <c r="U95" s="58"/>
      <c r="V95" s="514">
        <f>((R95/'Underlying Assumptions'!$E$11)/D95)*'Underlying Assumptions'!$E$9</f>
        <v>270.25232637083775</v>
      </c>
      <c r="W95" s="339"/>
      <c r="X95" s="342">
        <v>0</v>
      </c>
      <c r="Y95" s="340"/>
      <c r="Z95" s="274"/>
      <c r="AA95" s="274"/>
    </row>
    <row r="96" spans="1:27" x14ac:dyDescent="0.2">
      <c r="A96" s="128">
        <v>2077</v>
      </c>
      <c r="B96" s="334"/>
      <c r="C96" s="334"/>
      <c r="D96" s="334">
        <f t="shared" si="30"/>
        <v>802755.89005935972</v>
      </c>
      <c r="E96" s="504"/>
      <c r="F96" s="332">
        <f t="shared" si="31"/>
        <v>1.912424804831514E-2</v>
      </c>
      <c r="G96" s="328">
        <f>D96/'Underlying Assumptions'!$E$10</f>
        <v>273046.22110862576</v>
      </c>
      <c r="H96" s="331">
        <f t="shared" si="29"/>
        <v>5123.8145605273894</v>
      </c>
      <c r="I96" s="31"/>
      <c r="J96" s="31"/>
      <c r="K96" s="31"/>
      <c r="L96" s="338">
        <v>65498.400000000001</v>
      </c>
      <c r="M96" s="510">
        <f t="shared" si="17"/>
        <v>5000</v>
      </c>
      <c r="N96" s="509">
        <f t="shared" si="19"/>
        <v>4000</v>
      </c>
      <c r="O96" s="31"/>
      <c r="P96" s="328">
        <f t="shared" si="32"/>
        <v>74498.399999999994</v>
      </c>
      <c r="Q96" s="31"/>
      <c r="R96" s="334">
        <f t="shared" si="15"/>
        <v>243011.13678667694</v>
      </c>
      <c r="S96" s="31"/>
      <c r="T96" s="508">
        <f t="shared" si="16"/>
        <v>0.89</v>
      </c>
      <c r="U96" s="58"/>
      <c r="V96" s="514">
        <f>((R96/'Underlying Assumptions'!$E$11)/D96)*'Underlying Assumptions'!$E$9</f>
        <v>270.25232637083775</v>
      </c>
      <c r="W96" s="339"/>
      <c r="X96" s="342">
        <v>0</v>
      </c>
      <c r="Y96" s="340"/>
      <c r="Z96" s="274"/>
      <c r="AA96" s="274"/>
    </row>
    <row r="97" spans="1:27" x14ac:dyDescent="0.2">
      <c r="A97" s="128">
        <v>2078</v>
      </c>
      <c r="B97" s="334"/>
      <c r="C97" s="334"/>
      <c r="D97" s="334">
        <f t="shared" si="30"/>
        <v>818107.99282310088</v>
      </c>
      <c r="E97" s="504"/>
      <c r="F97" s="332">
        <f t="shared" si="31"/>
        <v>1.912424804831514E-2</v>
      </c>
      <c r="G97" s="328">
        <f>D97/'Underlying Assumptions'!$E$10</f>
        <v>278268.02476976218</v>
      </c>
      <c r="H97" s="331">
        <f t="shared" si="29"/>
        <v>5221.8036611364223</v>
      </c>
      <c r="I97" s="31"/>
      <c r="J97" s="31"/>
      <c r="K97" s="31"/>
      <c r="L97" s="338">
        <v>65498.400000000001</v>
      </c>
      <c r="M97" s="510">
        <f t="shared" si="17"/>
        <v>5000</v>
      </c>
      <c r="N97" s="509">
        <f t="shared" si="19"/>
        <v>4000</v>
      </c>
      <c r="O97" s="31"/>
      <c r="P97" s="328">
        <f t="shared" si="32"/>
        <v>74498.399999999994</v>
      </c>
      <c r="Q97" s="31"/>
      <c r="R97" s="334">
        <f t="shared" si="15"/>
        <v>247658.54204508834</v>
      </c>
      <c r="S97" s="31"/>
      <c r="T97" s="508">
        <f t="shared" si="16"/>
        <v>0.89</v>
      </c>
      <c r="U97" s="58"/>
      <c r="V97" s="514">
        <f>((R97/'Underlying Assumptions'!$E$11)/D97)*'Underlying Assumptions'!$E$9</f>
        <v>270.25232637083775</v>
      </c>
      <c r="W97" s="339"/>
      <c r="X97" s="342">
        <v>0</v>
      </c>
      <c r="Y97" s="340"/>
      <c r="Z97" s="274"/>
      <c r="AA97" s="274"/>
    </row>
    <row r="98" spans="1:27" x14ac:dyDescent="0.2">
      <c r="A98" s="128">
        <v>2079</v>
      </c>
      <c r="B98" s="334"/>
      <c r="C98" s="334"/>
      <c r="D98" s="334">
        <f t="shared" si="30"/>
        <v>833753.69300815905</v>
      </c>
      <c r="E98" s="504"/>
      <c r="F98" s="332">
        <f t="shared" si="31"/>
        <v>1.912424804831514E-2</v>
      </c>
      <c r="G98" s="328">
        <f>D98/'Underlying Assumptions'!$E$10</f>
        <v>283589.69149937382</v>
      </c>
      <c r="H98" s="331">
        <f t="shared" si="29"/>
        <v>5321.6667296116357</v>
      </c>
      <c r="I98" s="31"/>
      <c r="J98" s="31"/>
      <c r="K98" s="31"/>
      <c r="L98" s="338">
        <v>65498.400000000001</v>
      </c>
      <c r="M98" s="510">
        <f t="shared" si="17"/>
        <v>5000</v>
      </c>
      <c r="N98" s="509">
        <f t="shared" si="19"/>
        <v>4000</v>
      </c>
      <c r="O98" s="31"/>
      <c r="P98" s="328">
        <f t="shared" si="32"/>
        <v>74498.399999999994</v>
      </c>
      <c r="Q98" s="31"/>
      <c r="R98" s="334">
        <f t="shared" ref="R98:R111" si="33">G98*0.89</f>
        <v>252394.8254344427</v>
      </c>
      <c r="S98" s="31"/>
      <c r="T98" s="508">
        <f t="shared" ref="T98:T124" si="34">R98/G98</f>
        <v>0.89</v>
      </c>
      <c r="U98" s="58"/>
      <c r="V98" s="514">
        <f>((R98/'Underlying Assumptions'!$E$11)/D98)*'Underlying Assumptions'!$E$9</f>
        <v>270.25232637083775</v>
      </c>
      <c r="W98" s="339"/>
      <c r="X98" s="342">
        <v>0</v>
      </c>
      <c r="Y98" s="340"/>
      <c r="Z98" s="274"/>
      <c r="AA98" s="274"/>
    </row>
    <row r="99" spans="1:27" x14ac:dyDescent="0.2">
      <c r="A99" s="128">
        <v>2080</v>
      </c>
      <c r="B99" s="334"/>
      <c r="C99" s="334"/>
      <c r="D99" s="334">
        <f t="shared" si="30"/>
        <v>849698.60544444586</v>
      </c>
      <c r="E99" s="504"/>
      <c r="F99" s="332">
        <f t="shared" si="31"/>
        <v>1.912424804831514E-2</v>
      </c>
      <c r="G99" s="328">
        <f>D99/'Underlying Assumptions'!$E$10</f>
        <v>289013.13110355299</v>
      </c>
      <c r="H99" s="331">
        <f t="shared" si="29"/>
        <v>5423.439604179177</v>
      </c>
      <c r="I99" s="31"/>
      <c r="J99" s="31"/>
      <c r="K99" s="31"/>
      <c r="L99" s="338">
        <v>65498.400000000001</v>
      </c>
      <c r="M99" s="510">
        <f t="shared" si="17"/>
        <v>5000</v>
      </c>
      <c r="N99" s="509">
        <f t="shared" si="19"/>
        <v>4000</v>
      </c>
      <c r="O99" s="31"/>
      <c r="P99" s="328">
        <f t="shared" si="32"/>
        <v>74498.399999999994</v>
      </c>
      <c r="Q99" s="31"/>
      <c r="R99" s="334">
        <f t="shared" si="33"/>
        <v>257221.68668216217</v>
      </c>
      <c r="S99" s="31"/>
      <c r="T99" s="508">
        <f t="shared" si="34"/>
        <v>0.89</v>
      </c>
      <c r="U99" s="58"/>
      <c r="V99" s="514">
        <f>((R99/'Underlying Assumptions'!$E$11)/D99)*'Underlying Assumptions'!$E$9</f>
        <v>270.25232637083775</v>
      </c>
      <c r="W99" s="339"/>
      <c r="X99" s="342">
        <v>0</v>
      </c>
      <c r="Y99" s="340"/>
      <c r="Z99" s="274"/>
      <c r="AA99" s="274"/>
    </row>
    <row r="100" spans="1:27" x14ac:dyDescent="0.2">
      <c r="A100" s="128">
        <v>2081</v>
      </c>
      <c r="B100" s="334"/>
      <c r="C100" s="334"/>
      <c r="D100" s="334">
        <f t="shared" si="30"/>
        <v>865948.45234127284</v>
      </c>
      <c r="E100" s="504"/>
      <c r="F100" s="332">
        <f t="shared" si="31"/>
        <v>1.912424804831514E-2</v>
      </c>
      <c r="G100" s="328">
        <f>D100/'Underlying Assumptions'!$E$10</f>
        <v>294540.28991199756</v>
      </c>
      <c r="H100" s="331">
        <f t="shared" si="29"/>
        <v>5527.1588084445684</v>
      </c>
      <c r="I100" s="31"/>
      <c r="J100" s="31"/>
      <c r="K100" s="31"/>
      <c r="L100" s="338">
        <v>65498.400000000001</v>
      </c>
      <c r="M100" s="510">
        <f t="shared" ref="M100:M124" si="35">M99</f>
        <v>5000</v>
      </c>
      <c r="N100" s="509">
        <f t="shared" si="19"/>
        <v>4000</v>
      </c>
      <c r="O100" s="31"/>
      <c r="P100" s="328">
        <f t="shared" si="32"/>
        <v>74498.399999999994</v>
      </c>
      <c r="Q100" s="31"/>
      <c r="R100" s="334">
        <f t="shared" si="33"/>
        <v>262140.85802167782</v>
      </c>
      <c r="S100" s="31"/>
      <c r="T100" s="508">
        <f t="shared" si="34"/>
        <v>0.89</v>
      </c>
      <c r="U100" s="58"/>
      <c r="V100" s="514">
        <f>((R100/'Underlying Assumptions'!$E$11)/D100)*'Underlying Assumptions'!$E$9</f>
        <v>270.25232637083775</v>
      </c>
      <c r="W100" s="339"/>
      <c r="X100" s="342">
        <v>0</v>
      </c>
      <c r="Y100" s="340"/>
      <c r="Z100" s="274"/>
      <c r="AA100" s="274"/>
    </row>
    <row r="101" spans="1:27" x14ac:dyDescent="0.2">
      <c r="A101" s="128">
        <v>2082</v>
      </c>
      <c r="B101" s="334"/>
      <c r="C101" s="334"/>
      <c r="D101" s="334">
        <f t="shared" si="30"/>
        <v>882509.06534090196</v>
      </c>
      <c r="E101" s="504"/>
      <c r="F101" s="332">
        <f t="shared" si="31"/>
        <v>1.912424804831514E-2</v>
      </c>
      <c r="G101" s="328">
        <f>D101/'Underlying Assumptions'!$E$10</f>
        <v>300173.1514764973</v>
      </c>
      <c r="H101" s="331">
        <f t="shared" si="29"/>
        <v>5632.8615644997335</v>
      </c>
      <c r="I101" s="31"/>
      <c r="J101" s="31"/>
      <c r="K101" s="31"/>
      <c r="L101" s="338">
        <v>65498.400000000001</v>
      </c>
      <c r="M101" s="510">
        <f t="shared" si="35"/>
        <v>5000</v>
      </c>
      <c r="N101" s="509">
        <f t="shared" si="19"/>
        <v>4000</v>
      </c>
      <c r="O101" s="31"/>
      <c r="P101" s="328">
        <f t="shared" si="32"/>
        <v>74498.399999999994</v>
      </c>
      <c r="Q101" s="31"/>
      <c r="R101" s="334">
        <f t="shared" si="33"/>
        <v>267154.10481408262</v>
      </c>
      <c r="S101" s="31"/>
      <c r="T101" s="508">
        <f t="shared" si="34"/>
        <v>0.89000000000000012</v>
      </c>
      <c r="U101" s="58"/>
      <c r="V101" s="514">
        <f>((R101/'Underlying Assumptions'!$E$11)/D101)*'Underlying Assumptions'!$E$9</f>
        <v>270.25232637083781</v>
      </c>
      <c r="W101" s="339"/>
      <c r="X101" s="342">
        <v>0</v>
      </c>
      <c r="Y101" s="340"/>
      <c r="Z101" s="274"/>
      <c r="AA101" s="274"/>
    </row>
    <row r="102" spans="1:27" x14ac:dyDescent="0.2">
      <c r="A102" s="128">
        <v>2083</v>
      </c>
      <c r="B102" s="334"/>
      <c r="C102" s="334"/>
      <c r="D102" s="334">
        <f t="shared" si="30"/>
        <v>899386.38761136809</v>
      </c>
      <c r="E102" s="504"/>
      <c r="F102" s="332">
        <f t="shared" si="31"/>
        <v>1.912424804831514E-2</v>
      </c>
      <c r="G102" s="328">
        <f>D102/'Underlying Assumptions'!$E$10</f>
        <v>305913.73728277825</v>
      </c>
      <c r="H102" s="331">
        <f t="shared" si="29"/>
        <v>5740.5858062809566</v>
      </c>
      <c r="I102" s="31"/>
      <c r="J102" s="31"/>
      <c r="K102" s="31"/>
      <c r="L102" s="338">
        <v>65498.400000000001</v>
      </c>
      <c r="M102" s="510">
        <f t="shared" si="35"/>
        <v>5000</v>
      </c>
      <c r="N102" s="509">
        <f t="shared" si="19"/>
        <v>4000</v>
      </c>
      <c r="O102" s="31"/>
      <c r="P102" s="328">
        <f t="shared" si="32"/>
        <v>74498.399999999994</v>
      </c>
      <c r="Q102" s="31"/>
      <c r="R102" s="334">
        <f t="shared" si="33"/>
        <v>272263.22618167265</v>
      </c>
      <c r="S102" s="31"/>
      <c r="T102" s="508">
        <f t="shared" si="34"/>
        <v>0.89</v>
      </c>
      <c r="U102" s="58"/>
      <c r="V102" s="514">
        <f>((R102/'Underlying Assumptions'!$E$11)/D102)*'Underlying Assumptions'!$E$9</f>
        <v>270.25232637083775</v>
      </c>
      <c r="W102" s="339"/>
      <c r="X102" s="342">
        <v>0</v>
      </c>
      <c r="Y102" s="340"/>
      <c r="Z102" s="274"/>
      <c r="AA102" s="274"/>
    </row>
    <row r="103" spans="1:27" x14ac:dyDescent="0.2">
      <c r="A103" s="128">
        <v>2084</v>
      </c>
      <c r="B103" s="334"/>
      <c r="C103" s="334"/>
      <c r="D103" s="334">
        <f t="shared" si="30"/>
        <v>916586.47597932594</v>
      </c>
      <c r="E103" s="504"/>
      <c r="F103" s="332">
        <f t="shared" si="31"/>
        <v>1.912424804831514E-2</v>
      </c>
      <c r="G103" s="328">
        <f>D103/'Underlying Assumptions'!$E$10</f>
        <v>311764.10747596121</v>
      </c>
      <c r="H103" s="331">
        <f t="shared" si="29"/>
        <v>5850.3701931829564</v>
      </c>
      <c r="I103" s="31"/>
      <c r="J103" s="31"/>
      <c r="K103" s="31"/>
      <c r="L103" s="338">
        <v>65498.400000000001</v>
      </c>
      <c r="M103" s="510">
        <f t="shared" si="35"/>
        <v>5000</v>
      </c>
      <c r="N103" s="509">
        <f t="shared" si="19"/>
        <v>4000</v>
      </c>
      <c r="O103" s="31"/>
      <c r="P103" s="328">
        <f t="shared" si="32"/>
        <v>74498.399999999994</v>
      </c>
      <c r="Q103" s="31"/>
      <c r="R103" s="334">
        <f t="shared" si="33"/>
        <v>277470.05565360549</v>
      </c>
      <c r="S103" s="31"/>
      <c r="T103" s="508">
        <f t="shared" si="34"/>
        <v>0.89</v>
      </c>
      <c r="U103" s="58"/>
      <c r="V103" s="514">
        <f>((R103/'Underlying Assumptions'!$E$11)/D103)*'Underlying Assumptions'!$E$9</f>
        <v>270.25232637083781</v>
      </c>
      <c r="W103" s="339"/>
      <c r="X103" s="342">
        <v>0</v>
      </c>
      <c r="Y103" s="340"/>
      <c r="Z103" s="274"/>
      <c r="AA103" s="274"/>
    </row>
    <row r="104" spans="1:27" x14ac:dyDescent="0.2">
      <c r="A104" s="128">
        <v>2085</v>
      </c>
      <c r="B104" s="334"/>
      <c r="C104" s="334"/>
      <c r="D104" s="334">
        <f t="shared" si="30"/>
        <v>934115.50310368557</v>
      </c>
      <c r="E104" s="504"/>
      <c r="F104" s="332">
        <f t="shared" si="31"/>
        <v>1.912424804831514E-2</v>
      </c>
      <c r="G104" s="328">
        <f>D104/'Underlying Assumptions'!$E$10</f>
        <v>317726.36159989308</v>
      </c>
      <c r="H104" s="331">
        <f t="shared" si="29"/>
        <v>5962.2541239318671</v>
      </c>
      <c r="I104" s="31"/>
      <c r="J104" s="31"/>
      <c r="K104" s="31"/>
      <c r="L104" s="338">
        <v>65498.400000000001</v>
      </c>
      <c r="M104" s="510">
        <f t="shared" si="35"/>
        <v>5000</v>
      </c>
      <c r="N104" s="509">
        <f t="shared" ref="N104:N124" si="36">N103</f>
        <v>4000</v>
      </c>
      <c r="O104" s="31"/>
      <c r="P104" s="328">
        <f t="shared" si="32"/>
        <v>74498.399999999994</v>
      </c>
      <c r="Q104" s="31"/>
      <c r="R104" s="334">
        <f t="shared" si="33"/>
        <v>282776.46182390483</v>
      </c>
      <c r="S104" s="31"/>
      <c r="T104" s="508">
        <f t="shared" si="34"/>
        <v>0.89</v>
      </c>
      <c r="U104" s="58"/>
      <c r="V104" s="514">
        <f>((R104/'Underlying Assumptions'!$E$11)/D104)*'Underlying Assumptions'!$E$9</f>
        <v>270.25232637083775</v>
      </c>
      <c r="W104" s="339"/>
      <c r="X104" s="342">
        <v>0</v>
      </c>
      <c r="Y104" s="340"/>
      <c r="Z104" s="274"/>
      <c r="AA104" s="274"/>
    </row>
    <row r="105" spans="1:27" x14ac:dyDescent="0.2">
      <c r="A105" s="128">
        <v>2086</v>
      </c>
      <c r="B105" s="334"/>
      <c r="C105" s="334"/>
      <c r="D105" s="334">
        <f t="shared" si="30"/>
        <v>951979.7596908171</v>
      </c>
      <c r="E105" s="504"/>
      <c r="F105" s="332">
        <f t="shared" si="31"/>
        <v>1.912424804831514E-2</v>
      </c>
      <c r="G105" s="328">
        <f>D105/'Underlying Assumptions'!$E$10</f>
        <v>323802.63935061806</v>
      </c>
      <c r="H105" s="331">
        <f t="shared" si="29"/>
        <v>6076.2777507249848</v>
      </c>
      <c r="I105" s="31"/>
      <c r="J105" s="31"/>
      <c r="K105" s="31"/>
      <c r="L105" s="338">
        <v>65498.400000000001</v>
      </c>
      <c r="M105" s="510">
        <f t="shared" si="35"/>
        <v>5000</v>
      </c>
      <c r="N105" s="509">
        <f t="shared" si="36"/>
        <v>4000</v>
      </c>
      <c r="O105" s="31"/>
      <c r="P105" s="328">
        <f t="shared" si="32"/>
        <v>74498.399999999994</v>
      </c>
      <c r="Q105" s="31"/>
      <c r="R105" s="334">
        <f t="shared" si="33"/>
        <v>288184.3490220501</v>
      </c>
      <c r="S105" s="31"/>
      <c r="T105" s="508">
        <f t="shared" si="34"/>
        <v>0.89000000000000012</v>
      </c>
      <c r="U105" s="58"/>
      <c r="V105" s="514">
        <f>((R105/'Underlying Assumptions'!$E$11)/D105)*'Underlying Assumptions'!$E$9</f>
        <v>270.25232637083781</v>
      </c>
      <c r="W105" s="339"/>
      <c r="X105" s="342">
        <v>0</v>
      </c>
      <c r="Y105" s="340"/>
      <c r="Z105" s="274"/>
      <c r="AA105" s="274"/>
    </row>
    <row r="106" spans="1:27" x14ac:dyDescent="0.2">
      <c r="A106" s="128">
        <v>2087</v>
      </c>
      <c r="B106" s="334"/>
      <c r="C106" s="334"/>
      <c r="D106" s="334">
        <f t="shared" si="30"/>
        <v>970185.65675211977</v>
      </c>
      <c r="E106" s="504"/>
      <c r="F106" s="332">
        <f t="shared" si="31"/>
        <v>1.912424804831514E-2</v>
      </c>
      <c r="G106" s="328">
        <f>D106/'Underlying Assumptions'!$E$10</f>
        <v>329995.12134425843</v>
      </c>
      <c r="H106" s="331">
        <f t="shared" si="29"/>
        <v>6192.4819936403655</v>
      </c>
      <c r="I106" s="31"/>
      <c r="J106" s="31"/>
      <c r="K106" s="31"/>
      <c r="L106" s="338">
        <v>65498.400000000001</v>
      </c>
      <c r="M106" s="510">
        <f t="shared" si="35"/>
        <v>5000</v>
      </c>
      <c r="N106" s="509">
        <f t="shared" si="36"/>
        <v>4000</v>
      </c>
      <c r="O106" s="31"/>
      <c r="P106" s="328">
        <f t="shared" si="32"/>
        <v>74498.399999999994</v>
      </c>
      <c r="Q106" s="31"/>
      <c r="R106" s="334">
        <f t="shared" si="33"/>
        <v>293695.65799639001</v>
      </c>
      <c r="S106" s="31"/>
      <c r="T106" s="508">
        <f t="shared" si="34"/>
        <v>0.89</v>
      </c>
      <c r="U106" s="58"/>
      <c r="V106" s="514">
        <f>((R106/'Underlying Assumptions'!$E$11)/D106)*'Underlying Assumptions'!$E$9</f>
        <v>270.25232637083781</v>
      </c>
      <c r="W106" s="339"/>
      <c r="X106" s="342">
        <v>0</v>
      </c>
      <c r="Y106" s="340"/>
      <c r="Z106" s="274"/>
      <c r="AA106" s="274"/>
    </row>
    <row r="107" spans="1:27" x14ac:dyDescent="0.2">
      <c r="A107" s="128">
        <v>2088</v>
      </c>
      <c r="B107" s="334"/>
      <c r="C107" s="334"/>
      <c r="D107" s="334">
        <f t="shared" si="30"/>
        <v>988739.72790476482</v>
      </c>
      <c r="E107" s="504"/>
      <c r="F107" s="332">
        <f t="shared" si="31"/>
        <v>1.912424804831514E-2</v>
      </c>
      <c r="G107" s="328">
        <f>D107/'Underlying Assumptions'!$E$10</f>
        <v>336306.02989957988</v>
      </c>
      <c r="H107" s="331">
        <f t="shared" si="29"/>
        <v>6310.9085553214536</v>
      </c>
      <c r="I107" s="31"/>
      <c r="J107" s="31"/>
      <c r="K107" s="31"/>
      <c r="L107" s="338">
        <v>65498.400000000001</v>
      </c>
      <c r="M107" s="510">
        <f t="shared" si="35"/>
        <v>5000</v>
      </c>
      <c r="N107" s="509">
        <f t="shared" si="36"/>
        <v>4000</v>
      </c>
      <c r="O107" s="31"/>
      <c r="P107" s="328">
        <f t="shared" si="32"/>
        <v>74498.399999999994</v>
      </c>
      <c r="Q107" s="31"/>
      <c r="R107" s="334">
        <f t="shared" si="33"/>
        <v>299312.36661062611</v>
      </c>
      <c r="S107" s="31"/>
      <c r="T107" s="508">
        <f t="shared" si="34"/>
        <v>0.89</v>
      </c>
      <c r="U107" s="58"/>
      <c r="V107" s="514">
        <f>((R107/'Underlying Assumptions'!$E$11)/D107)*'Underlying Assumptions'!$E$9</f>
        <v>270.25232637083781</v>
      </c>
      <c r="W107" s="339"/>
      <c r="X107" s="342">
        <v>0</v>
      </c>
      <c r="Y107" s="340"/>
      <c r="Z107" s="274"/>
      <c r="AA107" s="274"/>
    </row>
    <row r="108" spans="1:27" x14ac:dyDescent="0.2">
      <c r="A108" s="128">
        <v>2089</v>
      </c>
      <c r="B108" s="334"/>
      <c r="C108" s="334"/>
      <c r="D108" s="334">
        <f t="shared" si="30"/>
        <v>1007648.6317164392</v>
      </c>
      <c r="E108" s="504"/>
      <c r="F108" s="332">
        <f t="shared" si="31"/>
        <v>1.912424804831514E-2</v>
      </c>
      <c r="G108" s="328">
        <f>D108/'Underlying Assumptions'!$E$10</f>
        <v>342737.62983552355</v>
      </c>
      <c r="H108" s="331">
        <f t="shared" si="29"/>
        <v>6431.5999359436682</v>
      </c>
      <c r="I108" s="31"/>
      <c r="J108" s="31"/>
      <c r="K108" s="31"/>
      <c r="L108" s="338">
        <v>65498.400000000001</v>
      </c>
      <c r="M108" s="510">
        <f t="shared" si="35"/>
        <v>5000</v>
      </c>
      <c r="N108" s="509">
        <f t="shared" si="36"/>
        <v>4000</v>
      </c>
      <c r="O108" s="31"/>
      <c r="P108" s="328">
        <f t="shared" si="32"/>
        <v>74498.399999999994</v>
      </c>
      <c r="Q108" s="31"/>
      <c r="R108" s="334">
        <f t="shared" si="33"/>
        <v>305036.49055361596</v>
      </c>
      <c r="S108" s="31"/>
      <c r="T108" s="508">
        <f t="shared" si="34"/>
        <v>0.89</v>
      </c>
      <c r="U108" s="58"/>
      <c r="V108" s="514">
        <f>((R108/'Underlying Assumptions'!$E$11)/D108)*'Underlying Assumptions'!$E$9</f>
        <v>270.25232637083775</v>
      </c>
      <c r="W108" s="339"/>
      <c r="X108" s="342">
        <v>0</v>
      </c>
      <c r="Y108" s="340"/>
      <c r="Z108" s="274"/>
      <c r="AA108" s="274"/>
    </row>
    <row r="109" spans="1:27" x14ac:dyDescent="0.2">
      <c r="A109" s="128">
        <v>2090</v>
      </c>
      <c r="B109" s="334"/>
      <c r="C109" s="334"/>
      <c r="D109" s="334">
        <f t="shared" si="30"/>
        <v>1026919.1540949297</v>
      </c>
      <c r="E109" s="504"/>
      <c r="F109" s="332">
        <f t="shared" si="31"/>
        <v>1.912424804831514E-2</v>
      </c>
      <c r="G109" s="328">
        <f>D109/'Underlying Assumptions'!$E$10</f>
        <v>349292.2292839897</v>
      </c>
      <c r="H109" s="331">
        <f t="shared" si="29"/>
        <v>6554.5994484661496</v>
      </c>
      <c r="I109" s="31"/>
      <c r="J109" s="31"/>
      <c r="K109" s="31"/>
      <c r="L109" s="338">
        <v>65498.400000000001</v>
      </c>
      <c r="M109" s="510">
        <f t="shared" si="35"/>
        <v>5000</v>
      </c>
      <c r="N109" s="509">
        <f t="shared" si="36"/>
        <v>4000</v>
      </c>
      <c r="O109" s="31"/>
      <c r="P109" s="328">
        <f t="shared" si="32"/>
        <v>74498.399999999994</v>
      </c>
      <c r="Q109" s="31"/>
      <c r="R109" s="334">
        <f t="shared" si="33"/>
        <v>310870.08406275086</v>
      </c>
      <c r="S109" s="31"/>
      <c r="T109" s="508">
        <f t="shared" si="34"/>
        <v>0.89000000000000012</v>
      </c>
      <c r="U109" s="58"/>
      <c r="V109" s="514">
        <f>((R109/'Underlying Assumptions'!$E$11)/D109)*'Underlying Assumptions'!$E$9</f>
        <v>270.25232637083781</v>
      </c>
      <c r="W109" s="339"/>
      <c r="X109" s="342">
        <v>0</v>
      </c>
      <c r="Y109" s="340"/>
      <c r="Z109" s="274"/>
      <c r="AA109" s="274"/>
    </row>
    <row r="110" spans="1:27" x14ac:dyDescent="0.2">
      <c r="A110" s="128">
        <v>2091</v>
      </c>
      <c r="B110" s="334"/>
      <c r="C110" s="334"/>
      <c r="D110" s="334">
        <f t="shared" si="30"/>
        <v>1046558.2107234071</v>
      </c>
      <c r="E110" s="504"/>
      <c r="F110" s="332">
        <f t="shared" si="31"/>
        <v>1.912424804831514E-2</v>
      </c>
      <c r="G110" s="328">
        <f>D110/'Underlying Assumptions'!$E$10</f>
        <v>355972.1805181657</v>
      </c>
      <c r="H110" s="331">
        <f t="shared" si="29"/>
        <v>6679.9512341759983</v>
      </c>
      <c r="I110" s="31"/>
      <c r="J110" s="31"/>
      <c r="K110" s="31"/>
      <c r="L110" s="338">
        <v>65498.400000000001</v>
      </c>
      <c r="M110" s="510">
        <f t="shared" si="35"/>
        <v>5000</v>
      </c>
      <c r="N110" s="509">
        <f t="shared" si="36"/>
        <v>4000</v>
      </c>
      <c r="O110" s="31"/>
      <c r="P110" s="328">
        <f t="shared" si="32"/>
        <v>74498.399999999994</v>
      </c>
      <c r="Q110" s="31"/>
      <c r="R110" s="334">
        <f t="shared" si="33"/>
        <v>316815.24066116748</v>
      </c>
      <c r="S110" s="31"/>
      <c r="T110" s="508">
        <f t="shared" si="34"/>
        <v>0.89</v>
      </c>
      <c r="U110" s="58"/>
      <c r="V110" s="514">
        <f>((R110/'Underlying Assumptions'!$E$11)/D110)*'Underlying Assumptions'!$E$9</f>
        <v>270.25232637083781</v>
      </c>
      <c r="W110" s="339"/>
      <c r="X110" s="342">
        <v>0</v>
      </c>
      <c r="Y110" s="340"/>
      <c r="Z110" s="274"/>
      <c r="AA110" s="274"/>
    </row>
    <row r="111" spans="1:27" x14ac:dyDescent="0.2">
      <c r="A111" s="128"/>
      <c r="B111" s="334"/>
      <c r="C111" s="334"/>
      <c r="D111" s="334"/>
      <c r="E111" s="504"/>
      <c r="F111" s="332"/>
      <c r="G111" s="328"/>
      <c r="H111" s="328"/>
      <c r="I111" s="31"/>
      <c r="J111" s="31"/>
      <c r="K111" s="31"/>
      <c r="L111" s="338">
        <v>65498.400000000001</v>
      </c>
      <c r="M111" s="510">
        <f t="shared" si="35"/>
        <v>5000</v>
      </c>
      <c r="N111" s="509">
        <f t="shared" si="36"/>
        <v>4000</v>
      </c>
      <c r="O111" s="31"/>
      <c r="P111" s="328">
        <f t="shared" si="32"/>
        <v>74498.399999999994</v>
      </c>
      <c r="Q111" s="31"/>
      <c r="R111" s="334">
        <f t="shared" si="33"/>
        <v>0</v>
      </c>
      <c r="S111" s="31"/>
      <c r="T111" s="336" t="e">
        <f t="shared" si="34"/>
        <v>#DIV/0!</v>
      </c>
      <c r="U111" s="58"/>
      <c r="V111" s="514" t="e">
        <f>((R111/'Underlying Assumptions'!$E$11)/D111)*'Underlying Assumptions'!$E$9</f>
        <v>#DIV/0!</v>
      </c>
      <c r="W111" s="339"/>
      <c r="X111" s="342"/>
      <c r="Y111" s="340"/>
      <c r="Z111" s="274"/>
      <c r="AA111" s="274"/>
    </row>
    <row r="112" spans="1:27" x14ac:dyDescent="0.2">
      <c r="A112" s="128"/>
      <c r="B112" s="334"/>
      <c r="C112" s="334"/>
      <c r="D112" s="507">
        <f>RATE(47,,-D32,D79)</f>
        <v>2.906814383212241E-2</v>
      </c>
      <c r="E112" s="504"/>
      <c r="F112" s="332"/>
      <c r="G112" s="328"/>
      <c r="H112" s="328"/>
      <c r="I112" s="31"/>
      <c r="J112" s="31"/>
      <c r="K112" s="31"/>
      <c r="L112" s="338">
        <f>L111</f>
        <v>65498.400000000001</v>
      </c>
      <c r="M112" s="510">
        <f t="shared" si="35"/>
        <v>5000</v>
      </c>
      <c r="N112" s="509">
        <f t="shared" si="36"/>
        <v>4000</v>
      </c>
      <c r="O112" s="31"/>
      <c r="P112" s="328">
        <f t="shared" si="32"/>
        <v>74498.399999999994</v>
      </c>
      <c r="Q112" s="31"/>
      <c r="R112" s="326"/>
      <c r="S112" s="31"/>
      <c r="T112" s="336" t="e">
        <f t="shared" si="34"/>
        <v>#DIV/0!</v>
      </c>
      <c r="U112" s="58"/>
      <c r="V112" s="389"/>
      <c r="W112" s="339"/>
      <c r="X112" s="342"/>
      <c r="Y112" s="340"/>
      <c r="Z112" s="274"/>
      <c r="AA112" s="274"/>
    </row>
    <row r="113" spans="1:27" x14ac:dyDescent="0.2">
      <c r="A113" s="128"/>
      <c r="B113" s="334"/>
      <c r="C113" s="334"/>
      <c r="D113" s="507">
        <f>RATE(23,,-D9,D23)</f>
        <v>3.5701317958192355E-2</v>
      </c>
      <c r="E113" s="504"/>
      <c r="F113" s="332"/>
      <c r="G113" s="328"/>
      <c r="H113" s="328"/>
      <c r="I113" s="31"/>
      <c r="J113" s="31"/>
      <c r="K113" s="31"/>
      <c r="L113" s="338">
        <v>0</v>
      </c>
      <c r="M113" s="510">
        <f t="shared" si="35"/>
        <v>5000</v>
      </c>
      <c r="N113" s="509">
        <f t="shared" si="36"/>
        <v>4000</v>
      </c>
      <c r="O113" s="31"/>
      <c r="P113" s="338"/>
      <c r="Q113" s="31"/>
      <c r="R113" s="326"/>
      <c r="S113" s="31"/>
      <c r="T113" s="336" t="e">
        <f t="shared" si="34"/>
        <v>#DIV/0!</v>
      </c>
      <c r="U113" s="58"/>
      <c r="V113" s="389"/>
      <c r="W113" s="339"/>
      <c r="X113" s="342"/>
      <c r="Y113" s="340"/>
      <c r="Z113" s="274"/>
      <c r="AA113" s="274"/>
    </row>
    <row r="114" spans="1:27" x14ac:dyDescent="0.2">
      <c r="A114" s="128"/>
      <c r="B114" s="334"/>
      <c r="C114" s="334"/>
      <c r="D114" s="334"/>
      <c r="E114" s="504"/>
      <c r="F114" s="332"/>
      <c r="G114" s="328"/>
      <c r="H114" s="328"/>
      <c r="I114" s="31"/>
      <c r="J114" s="31"/>
      <c r="K114" s="31"/>
      <c r="L114" s="338">
        <v>0</v>
      </c>
      <c r="M114" s="510">
        <f t="shared" si="35"/>
        <v>5000</v>
      </c>
      <c r="N114" s="509">
        <f t="shared" si="36"/>
        <v>4000</v>
      </c>
      <c r="O114" s="31"/>
      <c r="P114" s="338"/>
      <c r="Q114" s="31"/>
      <c r="R114" s="326"/>
      <c r="S114" s="31"/>
      <c r="T114" s="336" t="e">
        <f t="shared" si="34"/>
        <v>#DIV/0!</v>
      </c>
      <c r="U114" s="58"/>
      <c r="V114" s="389">
        <f>V32</f>
        <v>0</v>
      </c>
      <c r="W114" s="339"/>
      <c r="X114" s="342"/>
      <c r="Y114" s="340"/>
      <c r="Z114" s="274"/>
      <c r="AA114" s="274"/>
    </row>
    <row r="115" spans="1:27" x14ac:dyDescent="0.2">
      <c r="A115" s="128"/>
      <c r="B115" s="334"/>
      <c r="C115" s="334"/>
      <c r="D115" s="334"/>
      <c r="E115" s="504"/>
      <c r="F115" s="332"/>
      <c r="G115" s="328"/>
      <c r="H115" s="328"/>
      <c r="I115" s="31"/>
      <c r="J115" s="31"/>
      <c r="K115" s="31"/>
      <c r="L115" s="338">
        <v>0</v>
      </c>
      <c r="M115" s="510">
        <f t="shared" si="35"/>
        <v>5000</v>
      </c>
      <c r="N115" s="509">
        <f t="shared" si="36"/>
        <v>4000</v>
      </c>
      <c r="O115" s="31"/>
      <c r="P115" s="338"/>
      <c r="Q115" s="31"/>
      <c r="R115" s="326"/>
      <c r="S115" s="31"/>
      <c r="T115" s="336" t="e">
        <f t="shared" si="34"/>
        <v>#DIV/0!</v>
      </c>
      <c r="U115" s="58"/>
      <c r="V115" s="389">
        <f>V110</f>
        <v>270.25232637083781</v>
      </c>
      <c r="W115" s="339"/>
      <c r="X115" s="342"/>
      <c r="Y115" s="340"/>
      <c r="Z115" s="274"/>
      <c r="AA115" s="274"/>
    </row>
    <row r="116" spans="1:27" x14ac:dyDescent="0.2">
      <c r="A116" s="128"/>
      <c r="B116" s="334"/>
      <c r="C116" s="334"/>
      <c r="D116" s="334"/>
      <c r="E116" s="504"/>
      <c r="F116" s="332"/>
      <c r="G116" s="328"/>
      <c r="H116" s="328"/>
      <c r="I116" s="31"/>
      <c r="J116" s="31"/>
      <c r="K116" s="31"/>
      <c r="L116" s="338">
        <v>0</v>
      </c>
      <c r="M116" s="510">
        <f t="shared" si="35"/>
        <v>5000</v>
      </c>
      <c r="N116" s="509">
        <f t="shared" si="36"/>
        <v>4000</v>
      </c>
      <c r="O116" s="31"/>
      <c r="P116" s="338"/>
      <c r="Q116" s="31"/>
      <c r="R116" s="326"/>
      <c r="S116" s="31"/>
      <c r="T116" s="336" t="e">
        <f t="shared" si="34"/>
        <v>#DIV/0!</v>
      </c>
      <c r="U116" s="58"/>
      <c r="V116" s="471" t="e">
        <f>V115/V114</f>
        <v>#DIV/0!</v>
      </c>
      <c r="W116" s="339"/>
      <c r="X116" s="342"/>
      <c r="Y116" s="340"/>
      <c r="Z116" s="274"/>
      <c r="AA116" s="274"/>
    </row>
    <row r="117" spans="1:27" x14ac:dyDescent="0.2">
      <c r="A117" s="128"/>
      <c r="B117" s="334"/>
      <c r="C117" s="334"/>
      <c r="D117" s="334"/>
      <c r="E117" s="504"/>
      <c r="F117" s="332"/>
      <c r="G117" s="328"/>
      <c r="H117" s="328"/>
      <c r="I117" s="31"/>
      <c r="J117" s="31"/>
      <c r="K117" s="31"/>
      <c r="L117" s="338">
        <v>0</v>
      </c>
      <c r="M117" s="510">
        <f t="shared" si="35"/>
        <v>5000</v>
      </c>
      <c r="N117" s="509">
        <f t="shared" si="36"/>
        <v>4000</v>
      </c>
      <c r="O117" s="31"/>
      <c r="P117" s="338"/>
      <c r="Q117" s="31"/>
      <c r="R117" s="326"/>
      <c r="S117" s="31"/>
      <c r="T117" s="336" t="e">
        <f t="shared" si="34"/>
        <v>#DIV/0!</v>
      </c>
      <c r="U117" s="58"/>
      <c r="V117" s="389"/>
      <c r="W117" s="339"/>
      <c r="X117" s="342"/>
      <c r="Y117" s="340"/>
      <c r="Z117" s="274"/>
      <c r="AA117" s="274"/>
    </row>
    <row r="118" spans="1:27" x14ac:dyDescent="0.2">
      <c r="A118" s="128"/>
      <c r="B118" s="334"/>
      <c r="C118" s="334"/>
      <c r="D118" s="334"/>
      <c r="E118" s="504"/>
      <c r="F118" s="332"/>
      <c r="G118" s="328"/>
      <c r="H118" s="328"/>
      <c r="I118" s="31"/>
      <c r="J118" s="31"/>
      <c r="K118" s="31"/>
      <c r="L118" s="338">
        <v>0</v>
      </c>
      <c r="M118" s="510">
        <f t="shared" si="35"/>
        <v>5000</v>
      </c>
      <c r="N118" s="509">
        <f t="shared" si="36"/>
        <v>4000</v>
      </c>
      <c r="O118" s="31"/>
      <c r="P118" s="338"/>
      <c r="Q118" s="31"/>
      <c r="R118" s="326"/>
      <c r="S118" s="31"/>
      <c r="T118" s="336" t="e">
        <f t="shared" si="34"/>
        <v>#DIV/0!</v>
      </c>
      <c r="U118" s="58"/>
      <c r="V118" s="389"/>
      <c r="W118" s="339"/>
      <c r="X118" s="342"/>
      <c r="Y118" s="340"/>
      <c r="Z118" s="274"/>
      <c r="AA118" s="274"/>
    </row>
    <row r="119" spans="1:27" x14ac:dyDescent="0.2">
      <c r="A119" s="128"/>
      <c r="B119" s="334"/>
      <c r="C119" s="334"/>
      <c r="D119" s="334"/>
      <c r="E119" s="504"/>
      <c r="F119" s="332"/>
      <c r="G119" s="328"/>
      <c r="H119" s="328"/>
      <c r="I119" s="31"/>
      <c r="J119" s="31"/>
      <c r="K119" s="31"/>
      <c r="L119" s="338">
        <v>0</v>
      </c>
      <c r="M119" s="510">
        <f t="shared" si="35"/>
        <v>5000</v>
      </c>
      <c r="N119" s="509">
        <f t="shared" si="36"/>
        <v>4000</v>
      </c>
      <c r="O119" s="31"/>
      <c r="P119" s="338"/>
      <c r="Q119" s="31"/>
      <c r="R119" s="326"/>
      <c r="S119" s="31"/>
      <c r="T119" s="336" t="e">
        <f t="shared" si="34"/>
        <v>#DIV/0!</v>
      </c>
      <c r="U119" s="58"/>
      <c r="V119" s="389"/>
      <c r="W119" s="339"/>
      <c r="X119" s="342"/>
      <c r="Y119" s="340"/>
      <c r="Z119" s="274"/>
      <c r="AA119" s="274"/>
    </row>
    <row r="120" spans="1:27" x14ac:dyDescent="0.2">
      <c r="A120" s="128"/>
      <c r="B120" s="334"/>
      <c r="C120" s="334"/>
      <c r="D120" s="334"/>
      <c r="E120" s="504"/>
      <c r="F120" s="332"/>
      <c r="G120" s="328"/>
      <c r="H120" s="328"/>
      <c r="I120" s="31"/>
      <c r="J120" s="31"/>
      <c r="K120" s="31"/>
      <c r="L120" s="338">
        <v>0</v>
      </c>
      <c r="M120" s="510">
        <f t="shared" si="35"/>
        <v>5000</v>
      </c>
      <c r="N120" s="509">
        <f t="shared" si="36"/>
        <v>4000</v>
      </c>
      <c r="O120" s="31"/>
      <c r="P120" s="338"/>
      <c r="Q120" s="31"/>
      <c r="R120" s="326"/>
      <c r="S120" s="31"/>
      <c r="T120" s="336" t="e">
        <f t="shared" si="34"/>
        <v>#DIV/0!</v>
      </c>
      <c r="U120" s="58"/>
      <c r="V120" s="389"/>
      <c r="W120" s="339"/>
      <c r="X120" s="342"/>
      <c r="Y120" s="340"/>
      <c r="Z120" s="274"/>
      <c r="AA120" s="274"/>
    </row>
    <row r="121" spans="1:27" x14ac:dyDescent="0.2">
      <c r="A121" s="128"/>
      <c r="B121" s="334"/>
      <c r="C121" s="334"/>
      <c r="D121" s="334"/>
      <c r="E121" s="504"/>
      <c r="F121" s="332"/>
      <c r="G121" s="328"/>
      <c r="H121" s="328"/>
      <c r="I121" s="31"/>
      <c r="J121" s="31"/>
      <c r="K121" s="31"/>
      <c r="L121" s="338">
        <v>0</v>
      </c>
      <c r="M121" s="510">
        <f t="shared" si="35"/>
        <v>5000</v>
      </c>
      <c r="N121" s="509">
        <f t="shared" si="36"/>
        <v>4000</v>
      </c>
      <c r="O121" s="31"/>
      <c r="P121" s="338"/>
      <c r="Q121" s="31"/>
      <c r="R121" s="326"/>
      <c r="S121" s="31"/>
      <c r="T121" s="336" t="e">
        <f t="shared" si="34"/>
        <v>#DIV/0!</v>
      </c>
      <c r="U121" s="58"/>
      <c r="V121" s="389"/>
      <c r="W121" s="339"/>
      <c r="X121" s="342"/>
      <c r="Y121" s="340"/>
      <c r="Z121" s="274"/>
      <c r="AA121" s="274"/>
    </row>
    <row r="122" spans="1:27" x14ac:dyDescent="0.2">
      <c r="A122" s="128"/>
      <c r="B122" s="334"/>
      <c r="C122" s="334"/>
      <c r="D122" s="334"/>
      <c r="E122" s="504"/>
      <c r="F122" s="332"/>
      <c r="G122" s="328"/>
      <c r="H122" s="328"/>
      <c r="I122" s="31"/>
      <c r="J122" s="31"/>
      <c r="K122" s="31"/>
      <c r="L122" s="338">
        <v>0</v>
      </c>
      <c r="M122" s="510">
        <f t="shared" si="35"/>
        <v>5000</v>
      </c>
      <c r="N122" s="509">
        <f t="shared" si="36"/>
        <v>4000</v>
      </c>
      <c r="O122" s="31"/>
      <c r="P122" s="338"/>
      <c r="Q122" s="31"/>
      <c r="R122" s="326"/>
      <c r="S122" s="31"/>
      <c r="T122" s="336" t="e">
        <f t="shared" si="34"/>
        <v>#DIV/0!</v>
      </c>
      <c r="U122" s="58"/>
      <c r="V122" s="389"/>
      <c r="W122" s="339"/>
      <c r="X122" s="342"/>
      <c r="Y122" s="340"/>
      <c r="Z122" s="274"/>
      <c r="AA122" s="274"/>
    </row>
    <row r="123" spans="1:27" x14ac:dyDescent="0.2">
      <c r="A123" s="128"/>
      <c r="B123" s="334"/>
      <c r="C123" s="334"/>
      <c r="D123" s="334"/>
      <c r="E123" s="504"/>
      <c r="F123" s="332"/>
      <c r="G123" s="328"/>
      <c r="H123" s="328"/>
      <c r="I123" s="31"/>
      <c r="J123" s="31"/>
      <c r="K123" s="31"/>
      <c r="L123" s="338">
        <v>0</v>
      </c>
      <c r="M123" s="510">
        <f t="shared" si="35"/>
        <v>5000</v>
      </c>
      <c r="N123" s="509">
        <f t="shared" si="36"/>
        <v>4000</v>
      </c>
      <c r="O123" s="31"/>
      <c r="P123" s="338"/>
      <c r="Q123" s="31"/>
      <c r="R123" s="326"/>
      <c r="S123" s="31"/>
      <c r="T123" s="336" t="e">
        <f t="shared" si="34"/>
        <v>#DIV/0!</v>
      </c>
      <c r="U123" s="58"/>
      <c r="V123" s="389"/>
      <c r="W123" s="339"/>
      <c r="X123" s="342"/>
      <c r="Y123" s="340"/>
      <c r="Z123" s="274"/>
      <c r="AA123" s="274"/>
    </row>
    <row r="124" spans="1:27" x14ac:dyDescent="0.2">
      <c r="A124" s="128"/>
      <c r="B124" s="334"/>
      <c r="C124" s="334"/>
      <c r="D124" s="334"/>
      <c r="E124" s="504"/>
      <c r="F124" s="332"/>
      <c r="G124" s="328"/>
      <c r="H124" s="328"/>
      <c r="I124" s="31"/>
      <c r="J124" s="31"/>
      <c r="K124" s="31"/>
      <c r="L124" s="338">
        <v>0</v>
      </c>
      <c r="M124" s="510">
        <f t="shared" si="35"/>
        <v>5000</v>
      </c>
      <c r="N124" s="509">
        <f t="shared" si="36"/>
        <v>4000</v>
      </c>
      <c r="O124" s="31"/>
      <c r="P124" s="338"/>
      <c r="Q124" s="31"/>
      <c r="R124" s="326"/>
      <c r="S124" s="31"/>
      <c r="T124" s="336" t="e">
        <f t="shared" si="34"/>
        <v>#DIV/0!</v>
      </c>
      <c r="U124" s="58"/>
      <c r="V124" s="389"/>
      <c r="W124" s="339"/>
      <c r="X124" s="342"/>
      <c r="Y124" s="340"/>
      <c r="Z124" s="274"/>
      <c r="AA124" s="274"/>
    </row>
    <row r="125" spans="1:27" x14ac:dyDescent="0.2">
      <c r="A125" s="27"/>
      <c r="V125" s="64"/>
    </row>
    <row r="126" spans="1:27" ht="15" x14ac:dyDescent="0.2">
      <c r="A126" s="2" t="s">
        <v>85</v>
      </c>
      <c r="V126" s="64"/>
    </row>
    <row r="127" spans="1:27" ht="15" x14ac:dyDescent="0.2">
      <c r="A127" s="2" t="s">
        <v>86</v>
      </c>
      <c r="V127" s="64"/>
    </row>
    <row r="128" spans="1:27" ht="15" x14ac:dyDescent="0.2">
      <c r="A128" s="2" t="s">
        <v>87</v>
      </c>
    </row>
    <row r="129" spans="1:22" x14ac:dyDescent="0.2">
      <c r="A129" s="543" t="s">
        <v>359</v>
      </c>
    </row>
    <row r="134" spans="1:22" x14ac:dyDescent="0.2">
      <c r="A134" s="27"/>
      <c r="V134" s="64"/>
    </row>
    <row r="135" spans="1:22" x14ac:dyDescent="0.2">
      <c r="A135" s="2"/>
      <c r="V135" s="64"/>
    </row>
    <row r="136" spans="1:22" x14ac:dyDescent="0.2">
      <c r="A136" s="2"/>
      <c r="V136" s="64"/>
    </row>
    <row r="137" spans="1:22" x14ac:dyDescent="0.2">
      <c r="A137" s="2"/>
    </row>
    <row r="138" spans="1:22" x14ac:dyDescent="0.2">
      <c r="A138" s="2"/>
    </row>
  </sheetData>
  <mergeCells count="13">
    <mergeCell ref="B3:G3"/>
    <mergeCell ref="B4:G4"/>
    <mergeCell ref="I4:AA4"/>
    <mergeCell ref="I3:AA3"/>
    <mergeCell ref="B5:H6"/>
    <mergeCell ref="B7:H7"/>
    <mergeCell ref="T30:T32"/>
    <mergeCell ref="W7:AA7"/>
    <mergeCell ref="W5:AA6"/>
    <mergeCell ref="I5:P6"/>
    <mergeCell ref="I7:P7"/>
    <mergeCell ref="Q5:V6"/>
    <mergeCell ref="Q7:V7"/>
  </mergeCells>
  <hyperlinks>
    <hyperlink ref="U9" r:id="rId1"/>
  </hyperlinks>
  <pageMargins left="0.7" right="0.7" top="0.75" bottom="0.75" header="0.3" footer="0.3"/>
  <pageSetup paperSize="17" scale="69" fitToHeight="0" orientation="landscape" r:id="rId2"/>
  <headerFooter>
    <oddFooter xml:space="preserve">&amp;L&amp;"-,Bold"&amp;9This is a preliminary draft document. It is intended for discussion purposes only.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Q121"/>
  <sheetViews>
    <sheetView view="pageBreakPreview" zoomScaleNormal="100" zoomScaleSheetLayoutView="100" workbookViewId="0">
      <selection activeCell="A60" sqref="A60:A62"/>
    </sheetView>
  </sheetViews>
  <sheetFormatPr defaultRowHeight="12.75" x14ac:dyDescent="0.2"/>
  <cols>
    <col min="1" max="1" width="6.28515625" style="21" bestFit="1" customWidth="1"/>
    <col min="2" max="2" width="6.28515625" style="27" hidden="1" customWidth="1"/>
    <col min="3" max="3" width="15.140625" style="66" bestFit="1" customWidth="1"/>
    <col min="4" max="8" width="15" style="66" customWidth="1"/>
    <col min="9" max="9" width="15.140625" style="66" bestFit="1" customWidth="1"/>
    <col min="10" max="14" width="15" style="66" customWidth="1"/>
    <col min="15" max="15" width="15" style="66" bestFit="1" customWidth="1"/>
    <col min="16" max="20" width="15" style="66" customWidth="1"/>
    <col min="21" max="21" width="15" style="66" bestFit="1" customWidth="1"/>
    <col min="22" max="26" width="15" style="66" customWidth="1"/>
    <col min="27" max="39" width="9.140625" style="78"/>
    <col min="40" max="40" width="16.140625" style="79" customWidth="1"/>
    <col min="41" max="41" width="16.140625" style="80" customWidth="1"/>
    <col min="42" max="42" width="18" style="80" customWidth="1"/>
    <col min="43" max="43" width="18.28515625" style="80" customWidth="1"/>
    <col min="44" max="44" width="13.140625" style="56" customWidth="1"/>
    <col min="45" max="16384" width="9.140625" style="56"/>
  </cols>
  <sheetData>
    <row r="1" spans="1:303" x14ac:dyDescent="0.2">
      <c r="A1" s="131"/>
      <c r="B1" s="132"/>
      <c r="C1" s="308" t="s">
        <v>50</v>
      </c>
      <c r="D1" s="298"/>
      <c r="E1" s="298"/>
      <c r="F1" s="298"/>
      <c r="G1" s="298"/>
      <c r="H1" s="298"/>
      <c r="I1" s="298"/>
      <c r="J1" s="298"/>
      <c r="K1" s="298"/>
      <c r="L1" s="298"/>
      <c r="M1" s="298"/>
      <c r="N1" s="298"/>
      <c r="O1" s="280" t="s">
        <v>50</v>
      </c>
      <c r="P1" s="298"/>
      <c r="Q1" s="298"/>
      <c r="R1" s="298"/>
      <c r="S1" s="298"/>
      <c r="T1" s="298"/>
      <c r="U1" s="298"/>
      <c r="V1" s="298"/>
      <c r="W1" s="298"/>
      <c r="X1" s="298"/>
      <c r="Y1" s="298"/>
      <c r="Z1" s="298"/>
      <c r="AA1" s="66"/>
    </row>
    <row r="2" spans="1:303" x14ac:dyDescent="0.2">
      <c r="A2" s="299"/>
      <c r="B2" s="289"/>
      <c r="C2" s="306" t="s">
        <v>51</v>
      </c>
      <c r="D2" s="65"/>
      <c r="E2" s="65"/>
      <c r="F2" s="65"/>
      <c r="G2" s="65"/>
      <c r="H2" s="65"/>
      <c r="I2" s="65"/>
      <c r="J2" s="65"/>
      <c r="K2" s="65"/>
      <c r="L2" s="65"/>
      <c r="M2" s="65"/>
      <c r="N2" s="65"/>
      <c r="O2" s="127" t="s">
        <v>51</v>
      </c>
      <c r="P2" s="65"/>
      <c r="Q2" s="65"/>
      <c r="R2" s="65"/>
      <c r="S2" s="65"/>
      <c r="T2" s="65"/>
      <c r="U2" s="65"/>
      <c r="V2" s="65"/>
      <c r="W2" s="65"/>
      <c r="X2" s="65"/>
      <c r="Y2" s="65"/>
      <c r="Z2" s="65"/>
      <c r="AA2" s="66"/>
    </row>
    <row r="3" spans="1:303" s="57" customFormat="1" ht="15" customHeight="1" x14ac:dyDescent="0.2">
      <c r="A3" s="283"/>
      <c r="B3" s="128"/>
      <c r="C3" s="1017" t="s">
        <v>84</v>
      </c>
      <c r="D3" s="1018"/>
      <c r="E3" s="1018"/>
      <c r="F3" s="1018"/>
      <c r="G3" s="1018"/>
      <c r="H3" s="1018"/>
      <c r="I3" s="1018"/>
      <c r="J3" s="1018"/>
      <c r="K3" s="1018"/>
      <c r="L3" s="1018"/>
      <c r="M3" s="1018"/>
      <c r="N3" s="1018"/>
      <c r="O3" s="1017" t="s">
        <v>84</v>
      </c>
      <c r="P3" s="1018"/>
      <c r="Q3" s="1018"/>
      <c r="R3" s="1018"/>
      <c r="S3" s="1018"/>
      <c r="T3" s="1018"/>
      <c r="U3" s="1018"/>
      <c r="V3" s="1018"/>
      <c r="W3" s="1018"/>
      <c r="X3" s="1018"/>
      <c r="Y3" s="1018"/>
      <c r="Z3" s="1018"/>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row>
    <row r="4" spans="1:303" s="65" customFormat="1" ht="27.75" customHeight="1" x14ac:dyDescent="0.2">
      <c r="A4" s="220"/>
      <c r="B4" s="128"/>
      <c r="C4" s="1019" t="s">
        <v>37</v>
      </c>
      <c r="D4" s="1020"/>
      <c r="E4" s="1020"/>
      <c r="F4" s="1020"/>
      <c r="G4" s="1020"/>
      <c r="H4" s="1020"/>
      <c r="I4" s="1020"/>
      <c r="J4" s="1020"/>
      <c r="K4" s="1020"/>
      <c r="L4" s="1020"/>
      <c r="M4" s="1020"/>
      <c r="N4" s="1020"/>
      <c r="O4" s="1019" t="s">
        <v>37</v>
      </c>
      <c r="P4" s="1020"/>
      <c r="Q4" s="1020"/>
      <c r="R4" s="1020"/>
      <c r="S4" s="1020"/>
      <c r="T4" s="1020"/>
      <c r="U4" s="1020"/>
      <c r="V4" s="1020"/>
      <c r="W4" s="1020"/>
      <c r="X4" s="1020"/>
      <c r="Y4" s="1020"/>
      <c r="Z4" s="1020"/>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row>
    <row r="5" spans="1:303" s="81" customFormat="1" x14ac:dyDescent="0.2">
      <c r="A5" s="222"/>
      <c r="B5" s="128"/>
      <c r="C5" s="1014">
        <v>0.03</v>
      </c>
      <c r="D5" s="1015"/>
      <c r="E5" s="1015"/>
      <c r="F5" s="1015"/>
      <c r="G5" s="1015"/>
      <c r="H5" s="1016"/>
      <c r="I5" s="1006">
        <v>0.04</v>
      </c>
      <c r="J5" s="1007"/>
      <c r="K5" s="1007"/>
      <c r="L5" s="1007"/>
      <c r="M5" s="1007"/>
      <c r="N5" s="1008"/>
      <c r="O5" s="1011">
        <v>0.05</v>
      </c>
      <c r="P5" s="1012"/>
      <c r="Q5" s="1012"/>
      <c r="R5" s="1012"/>
      <c r="S5" s="1012"/>
      <c r="T5" s="1013"/>
      <c r="U5" s="1009">
        <v>7.0000000000000007E-2</v>
      </c>
      <c r="V5" s="1010"/>
      <c r="W5" s="1010"/>
      <c r="X5" s="1010"/>
      <c r="Y5" s="1010"/>
      <c r="Z5" s="1010"/>
    </row>
    <row r="6" spans="1:303" s="82" customFormat="1" ht="71.25" customHeight="1" thickBot="1" x14ac:dyDescent="0.25">
      <c r="A6" s="300" t="s">
        <v>10</v>
      </c>
      <c r="B6" s="296">
        <v>1</v>
      </c>
      <c r="C6" s="307" t="s">
        <v>7</v>
      </c>
      <c r="D6" s="142" t="s">
        <v>38</v>
      </c>
      <c r="E6" s="142" t="s">
        <v>39</v>
      </c>
      <c r="F6" s="143" t="s">
        <v>120</v>
      </c>
      <c r="G6" s="143" t="s">
        <v>40</v>
      </c>
      <c r="H6" s="144" t="s">
        <v>2</v>
      </c>
      <c r="I6" s="145" t="s">
        <v>7</v>
      </c>
      <c r="J6" s="146" t="s">
        <v>38</v>
      </c>
      <c r="K6" s="146" t="s">
        <v>39</v>
      </c>
      <c r="L6" s="147" t="s">
        <v>120</v>
      </c>
      <c r="M6" s="147" t="s">
        <v>40</v>
      </c>
      <c r="N6" s="148" t="s">
        <v>2</v>
      </c>
      <c r="O6" s="149" t="s">
        <v>7</v>
      </c>
      <c r="P6" s="139" t="s">
        <v>38</v>
      </c>
      <c r="Q6" s="139" t="s">
        <v>39</v>
      </c>
      <c r="R6" s="140" t="s">
        <v>120</v>
      </c>
      <c r="S6" s="140" t="s">
        <v>40</v>
      </c>
      <c r="T6" s="141" t="s">
        <v>2</v>
      </c>
      <c r="U6" s="150" t="s">
        <v>7</v>
      </c>
      <c r="V6" s="151" t="s">
        <v>38</v>
      </c>
      <c r="W6" s="151" t="s">
        <v>39</v>
      </c>
      <c r="X6" s="152" t="s">
        <v>120</v>
      </c>
      <c r="Y6" s="152" t="s">
        <v>40</v>
      </c>
      <c r="Z6" s="151" t="s">
        <v>2</v>
      </c>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c r="IW6" s="99"/>
      <c r="IX6" s="99"/>
      <c r="IY6" s="99"/>
      <c r="IZ6" s="99"/>
      <c r="JA6" s="99"/>
      <c r="JB6" s="99"/>
      <c r="JC6" s="99"/>
      <c r="JD6" s="99"/>
      <c r="JE6" s="99"/>
      <c r="JF6" s="99"/>
      <c r="JG6" s="99"/>
      <c r="JH6" s="99"/>
      <c r="JI6" s="99"/>
      <c r="JJ6" s="99"/>
      <c r="JK6" s="99"/>
      <c r="JL6" s="99"/>
      <c r="JM6" s="99"/>
      <c r="JN6" s="99"/>
      <c r="JO6" s="99"/>
      <c r="JP6" s="99"/>
      <c r="JQ6" s="99"/>
      <c r="JR6" s="99"/>
      <c r="JS6" s="99"/>
      <c r="JT6" s="99"/>
      <c r="JU6" s="99"/>
      <c r="JV6" s="99"/>
      <c r="JW6" s="99"/>
      <c r="JX6" s="99"/>
      <c r="JY6" s="99"/>
      <c r="JZ6" s="99"/>
      <c r="KA6" s="99"/>
      <c r="KB6" s="99"/>
      <c r="KC6" s="99"/>
      <c r="KD6" s="99"/>
      <c r="KE6" s="99"/>
      <c r="KF6" s="99"/>
      <c r="KG6" s="99"/>
      <c r="KH6" s="99"/>
      <c r="KI6" s="99"/>
      <c r="KJ6" s="99"/>
      <c r="KK6" s="99"/>
      <c r="KL6" s="99"/>
      <c r="KM6" s="99"/>
      <c r="KN6" s="99"/>
      <c r="KO6" s="99"/>
      <c r="KP6" s="99"/>
      <c r="KQ6" s="99"/>
    </row>
    <row r="7" spans="1:303" x14ac:dyDescent="0.2">
      <c r="A7" s="224">
        <v>1990</v>
      </c>
      <c r="B7" s="221">
        <v>2</v>
      </c>
      <c r="H7" s="68"/>
      <c r="I7" s="67"/>
      <c r="N7" s="68"/>
      <c r="O7" s="67"/>
      <c r="T7" s="68"/>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row>
    <row r="8" spans="1:303" x14ac:dyDescent="0.2">
      <c r="A8" s="224">
        <v>1991</v>
      </c>
      <c r="B8" s="223">
        <v>3</v>
      </c>
      <c r="H8" s="68"/>
      <c r="I8" s="67"/>
      <c r="N8" s="68"/>
      <c r="O8" s="67"/>
      <c r="T8" s="68"/>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row>
    <row r="9" spans="1:303" x14ac:dyDescent="0.2">
      <c r="A9" s="224">
        <v>1992</v>
      </c>
      <c r="B9" s="221">
        <v>4</v>
      </c>
      <c r="H9" s="68"/>
      <c r="I9" s="67"/>
      <c r="N9" s="68"/>
      <c r="O9" s="67"/>
      <c r="T9" s="6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row>
    <row r="10" spans="1:303" x14ac:dyDescent="0.2">
      <c r="A10" s="224">
        <v>1993</v>
      </c>
      <c r="B10" s="223">
        <v>5</v>
      </c>
      <c r="H10" s="68"/>
      <c r="I10" s="67"/>
      <c r="N10" s="68"/>
      <c r="O10" s="67"/>
      <c r="T10" s="68"/>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row>
    <row r="11" spans="1:303" x14ac:dyDescent="0.2">
      <c r="A11" s="224">
        <v>1994</v>
      </c>
      <c r="B11" s="221">
        <v>6</v>
      </c>
      <c r="H11" s="68"/>
      <c r="I11" s="67"/>
      <c r="N11" s="68"/>
      <c r="O11" s="67"/>
      <c r="T11" s="68"/>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row>
    <row r="12" spans="1:303" x14ac:dyDescent="0.2">
      <c r="A12" s="224">
        <v>1995</v>
      </c>
      <c r="B12" s="223">
        <v>7</v>
      </c>
      <c r="H12" s="68"/>
      <c r="I12" s="67"/>
      <c r="N12" s="68"/>
      <c r="O12" s="67"/>
      <c r="T12" s="68"/>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row>
    <row r="13" spans="1:303" x14ac:dyDescent="0.2">
      <c r="A13" s="224">
        <v>1996</v>
      </c>
      <c r="B13" s="221">
        <v>8</v>
      </c>
      <c r="H13" s="68"/>
      <c r="I13" s="67"/>
      <c r="N13" s="68"/>
      <c r="O13" s="67"/>
      <c r="T13" s="68"/>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row>
    <row r="14" spans="1:303" x14ac:dyDescent="0.2">
      <c r="A14" s="224">
        <v>1997</v>
      </c>
      <c r="B14" s="223">
        <v>9</v>
      </c>
      <c r="H14" s="68"/>
      <c r="I14" s="67"/>
      <c r="N14" s="68"/>
      <c r="O14" s="67"/>
      <c r="T14" s="68"/>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row>
    <row r="15" spans="1:303" x14ac:dyDescent="0.2">
      <c r="A15" s="224">
        <v>1998</v>
      </c>
      <c r="B15" s="221">
        <v>10</v>
      </c>
      <c r="H15" s="68"/>
      <c r="I15" s="67"/>
      <c r="N15" s="68"/>
      <c r="O15" s="67"/>
      <c r="T15" s="68"/>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row>
    <row r="16" spans="1:303" x14ac:dyDescent="0.2">
      <c r="A16" s="224">
        <v>1999</v>
      </c>
      <c r="B16" s="223">
        <v>11</v>
      </c>
      <c r="H16" s="68"/>
      <c r="I16" s="67"/>
      <c r="N16" s="68"/>
      <c r="O16" s="67"/>
      <c r="T16" s="68"/>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row>
    <row r="17" spans="1:303" x14ac:dyDescent="0.2">
      <c r="A17" s="224">
        <v>2000</v>
      </c>
      <c r="B17" s="221">
        <v>12</v>
      </c>
      <c r="H17" s="68"/>
      <c r="I17" s="67"/>
      <c r="N17" s="68"/>
      <c r="O17" s="67"/>
      <c r="T17" s="68"/>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row>
    <row r="18" spans="1:303" x14ac:dyDescent="0.2">
      <c r="A18" s="224">
        <v>2001</v>
      </c>
      <c r="B18" s="223">
        <v>13</v>
      </c>
      <c r="H18" s="68"/>
      <c r="I18" s="67"/>
      <c r="N18" s="68"/>
      <c r="O18" s="67"/>
      <c r="T18" s="68"/>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row>
    <row r="19" spans="1:303" x14ac:dyDescent="0.2">
      <c r="A19" s="224">
        <v>2002</v>
      </c>
      <c r="B19" s="221">
        <v>14</v>
      </c>
      <c r="H19" s="68"/>
      <c r="I19" s="67"/>
      <c r="N19" s="68"/>
      <c r="O19" s="67"/>
      <c r="T19" s="68"/>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row>
    <row r="20" spans="1:303" x14ac:dyDescent="0.2">
      <c r="A20" s="224">
        <v>2003</v>
      </c>
      <c r="B20" s="223">
        <v>15</v>
      </c>
      <c r="H20" s="68"/>
      <c r="I20" s="67"/>
      <c r="N20" s="68"/>
      <c r="O20" s="67"/>
      <c r="T20" s="68"/>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row>
    <row r="21" spans="1:303" x14ac:dyDescent="0.2">
      <c r="A21" s="224">
        <v>2004</v>
      </c>
      <c r="B21" s="221">
        <v>16</v>
      </c>
      <c r="H21" s="68"/>
      <c r="I21" s="67"/>
      <c r="N21" s="68"/>
      <c r="O21" s="67"/>
      <c r="T21" s="68"/>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row>
    <row r="22" spans="1:303" x14ac:dyDescent="0.2">
      <c r="A22" s="224">
        <v>2005</v>
      </c>
      <c r="B22" s="223">
        <v>17</v>
      </c>
      <c r="H22" s="68"/>
      <c r="I22" s="67"/>
      <c r="N22" s="68"/>
      <c r="O22" s="67"/>
      <c r="T22" s="68"/>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row>
    <row r="23" spans="1:303" x14ac:dyDescent="0.2">
      <c r="A23" s="224">
        <v>2006</v>
      </c>
      <c r="B23" s="221">
        <v>18</v>
      </c>
      <c r="H23" s="68"/>
      <c r="I23" s="67"/>
      <c r="N23" s="68"/>
      <c r="O23" s="67"/>
      <c r="T23" s="68"/>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row>
    <row r="24" spans="1:303" x14ac:dyDescent="0.2">
      <c r="A24" s="224">
        <v>2007</v>
      </c>
      <c r="B24" s="223">
        <v>19</v>
      </c>
      <c r="H24" s="68"/>
      <c r="I24" s="67"/>
      <c r="N24" s="68"/>
      <c r="O24" s="67"/>
      <c r="T24" s="68"/>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row>
    <row r="25" spans="1:303" x14ac:dyDescent="0.2">
      <c r="A25" s="224">
        <v>2008</v>
      </c>
      <c r="B25" s="221">
        <v>20</v>
      </c>
      <c r="H25" s="68"/>
      <c r="I25" s="67"/>
      <c r="N25" s="68"/>
      <c r="O25" s="67"/>
      <c r="T25" s="68"/>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row>
    <row r="26" spans="1:303" x14ac:dyDescent="0.2">
      <c r="A26" s="224">
        <v>2009</v>
      </c>
      <c r="B26" s="223">
        <v>21</v>
      </c>
      <c r="H26" s="68"/>
      <c r="I26" s="67"/>
      <c r="N26" s="68"/>
      <c r="O26" s="67"/>
      <c r="T26" s="68"/>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row>
    <row r="27" spans="1:303" x14ac:dyDescent="0.2">
      <c r="A27" s="224">
        <v>2010</v>
      </c>
      <c r="B27" s="221">
        <v>22</v>
      </c>
      <c r="H27" s="68"/>
      <c r="I27" s="67"/>
      <c r="N27" s="68"/>
      <c r="O27" s="67"/>
      <c r="T27" s="68"/>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row>
    <row r="28" spans="1:303" x14ac:dyDescent="0.2">
      <c r="A28" s="224">
        <v>2011</v>
      </c>
      <c r="B28" s="223">
        <v>23</v>
      </c>
      <c r="H28" s="68"/>
      <c r="I28" s="67"/>
      <c r="N28" s="68"/>
      <c r="O28" s="67"/>
      <c r="T28" s="68"/>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row>
    <row r="29" spans="1:303" x14ac:dyDescent="0.2">
      <c r="A29" s="224">
        <v>2012</v>
      </c>
      <c r="B29" s="221">
        <v>24</v>
      </c>
      <c r="H29" s="68"/>
      <c r="I29" s="67"/>
      <c r="N29" s="68"/>
      <c r="O29" s="67"/>
      <c r="T29" s="68"/>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row>
    <row r="30" spans="1:303" x14ac:dyDescent="0.2">
      <c r="A30" s="224">
        <v>2013</v>
      </c>
      <c r="B30" s="223">
        <v>25</v>
      </c>
      <c r="C30" s="297"/>
      <c r="D30" s="163"/>
      <c r="E30" s="163"/>
      <c r="F30" s="163"/>
      <c r="G30" s="163"/>
      <c r="H30" s="162">
        <f>'Underlying Assumptions'!E5</f>
        <v>969000000</v>
      </c>
      <c r="I30" s="67"/>
      <c r="N30" s="73">
        <f>'Underlying Assumptions'!E5</f>
        <v>969000000</v>
      </c>
      <c r="O30" s="67"/>
      <c r="T30" s="70">
        <f>'Underlying Assumptions'!E5</f>
        <v>969000000</v>
      </c>
      <c r="Z30" s="73">
        <f>'Underlying Assumptions'!E5</f>
        <v>969000000</v>
      </c>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row>
    <row r="31" spans="1:303" x14ac:dyDescent="0.2">
      <c r="A31" s="224">
        <v>2014</v>
      </c>
      <c r="B31" s="221">
        <v>26</v>
      </c>
      <c r="C31" s="72">
        <f>PMT($C$5,50,'Underlying Assumptions'!$E$5)</f>
        <v>-37660664.113983564</v>
      </c>
      <c r="D31" s="73">
        <f>C31/'Summary Baseline Data'!D39</f>
        <v>-191.40212090740877</v>
      </c>
      <c r="E31" s="73">
        <f>C32/'Summary Baseline Data'!G$39</f>
        <v>-562.72223546778184</v>
      </c>
      <c r="F31" s="73">
        <f>C31/('Summary Baseline Data'!D39-'Summary Baseline Data'!D38)</f>
        <v>-5799.1899007154261</v>
      </c>
      <c r="G31" s="73">
        <f>C31/('Summary Baseline Data'!G$39-'Summary Baseline Data'!G$38)</f>
        <v>-17049.618308103414</v>
      </c>
      <c r="H31" s="70">
        <f>H30*(1+'Economist Financing Model 1'!$C$5)+'Economist Financing Model 1'!C31</f>
        <v>960409335.88601649</v>
      </c>
      <c r="I31" s="72">
        <f>PMT($I$5,50,'Underlying Assumptions'!$E$5)</f>
        <v>-45107144.235605747</v>
      </c>
      <c r="J31" s="73">
        <f>I31/'Summary Baseline Data'!D39</f>
        <v>-229.2472338947853</v>
      </c>
      <c r="K31" s="73">
        <f>I32/'Summary Baseline Data'!G39</f>
        <v>-673.98686765066884</v>
      </c>
      <c r="L31" s="73">
        <f>I31/('Summary Baseline Data'!D39-'Summary Baseline Data'!D38)</f>
        <v>-6945.8386211546203</v>
      </c>
      <c r="M31" s="73">
        <f>I31/('Summary Baseline Data'!G39-'Summary Baseline Data'!G38)</f>
        <v>-20420.76554619466</v>
      </c>
      <c r="N31" s="73">
        <f>N30*(1+'Economist Financing Model 1'!$I$5)+'Economist Financing Model 1'!I31</f>
        <v>962652855.76439428</v>
      </c>
      <c r="O31" s="72">
        <f>PMT($O$5,50,'Underlying Assumptions'!$E$5)</f>
        <v>-53078656.685678646</v>
      </c>
      <c r="P31" s="73">
        <f>O31/'Summary Baseline Data'!D40</f>
        <v>-258.74155551910798</v>
      </c>
      <c r="Q31" s="73">
        <f>O32/'Summary Baseline Data'!G39</f>
        <v>-793.09648537774183</v>
      </c>
      <c r="R31" s="73">
        <f>O31/('Summary Baseline Data'!D40-'Summary Baseline Data'!D38)</f>
        <v>-3568.6189361224997</v>
      </c>
      <c r="S31" s="73">
        <f>O31/('Summary Baseline Data'!G39-'Summary Baseline Data'!G38)</f>
        <v>-24029.603781247788</v>
      </c>
      <c r="T31" s="70">
        <f>T30*(1+'Economist Financing Model 1'!$O$5)+'Economist Financing Model 1'!O31</f>
        <v>964371343.3143214</v>
      </c>
      <c r="U31" s="73">
        <f>PMT($U$5,50,'Underlying Assumptions'!$E$5)</f>
        <v>-70213594.203879833</v>
      </c>
      <c r="V31" s="85">
        <f>U31/'Summary Baseline Data'!D40</f>
        <v>-342.26892158333476</v>
      </c>
      <c r="W31" s="85">
        <f>U32/'Summary Baseline Data'!G39</f>
        <v>-1049.1251713207159</v>
      </c>
      <c r="X31" s="85">
        <f>U31/('Summary Baseline Data'!D40-'Summary Baseline Data'!D38)</f>
        <v>-4720.6462539733529</v>
      </c>
      <c r="Y31" s="73">
        <f>U31/('Summary Baseline Data'!G39-'Summary Baseline Data'!G38)</f>
        <v>-31786.879211503856</v>
      </c>
      <c r="Z31" s="73">
        <f>Z30*(1+'Economist Financing Model 1'!U$5)+'Economist Financing Model 1'!U31</f>
        <v>966616405.79612029</v>
      </c>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row>
    <row r="32" spans="1:303" x14ac:dyDescent="0.2">
      <c r="A32" s="224">
        <v>2015</v>
      </c>
      <c r="B32" s="223">
        <v>27</v>
      </c>
      <c r="C32" s="72">
        <f>PMT($C$5,50,'Underlying Assumptions'!$E$5)</f>
        <v>-37660664.113983564</v>
      </c>
      <c r="D32" s="73">
        <f>C32/'Summary Baseline Data'!D40</f>
        <v>-183.58374953682511</v>
      </c>
      <c r="E32" s="73">
        <f>C33/'Summary Baseline Data'!G40</f>
        <v>-539.73622363826576</v>
      </c>
      <c r="F32" s="73">
        <f>C32/('Summary Baseline Data'!D40-'Summary Baseline Data'!D39)</f>
        <v>-4494.3271891240083</v>
      </c>
      <c r="G32" s="73">
        <f>C32/('Summary Baseline Data'!G40-'Summary Baseline Data'!G39)</f>
        <v>-13213.321936024549</v>
      </c>
      <c r="H32" s="70">
        <f>H31*(1+'Economist Financing Model 1'!$C$5)+'Economist Financing Model 1'!C32</f>
        <v>951560951.8486135</v>
      </c>
      <c r="I32" s="72">
        <f>PMT($I$5,50,'Underlying Assumptions'!$E$5)</f>
        <v>-45107144.235605747</v>
      </c>
      <c r="J32" s="73">
        <f>I32/'Summary Baseline Data'!D40</f>
        <v>-219.88296979065069</v>
      </c>
      <c r="K32" s="73">
        <f>I33/'Summary Baseline Data'!G40</f>
        <v>-646.45593118451291</v>
      </c>
      <c r="L32" s="73">
        <f>I32/('Summary Baseline Data'!D40-'Summary Baseline Data'!D39)</f>
        <v>-5382.9710529865051</v>
      </c>
      <c r="M32" s="73">
        <f>I32/('Summary Baseline Data'!G40-'Summary Baseline Data'!G39)</f>
        <v>-15825.934895780281</v>
      </c>
      <c r="N32" s="73">
        <f>N31*(1+'Economist Financing Model 1'!$I$5)+'Economist Financing Model 1'!I32</f>
        <v>956051825.75936437</v>
      </c>
      <c r="O32" s="72">
        <f>PMT($O$5,50,'Underlying Assumptions'!$E$5)</f>
        <v>-53078656.685678646</v>
      </c>
      <c r="P32" s="73" t="e">
        <f>O32/'Summary Baseline Data'!#REF!</f>
        <v>#REF!</v>
      </c>
      <c r="Q32" s="73">
        <f>O33/'Summary Baseline Data'!G40</f>
        <v>-760.70017322617741</v>
      </c>
      <c r="R32" s="73" t="e">
        <f>O32/('Summary Baseline Data'!#REF!-'Summary Baseline Data'!D40)</f>
        <v>#REF!</v>
      </c>
      <c r="S32" s="73">
        <f>O32/('Summary Baseline Data'!G40-'Summary Baseline Data'!G39)</f>
        <v>-18622.756534428219</v>
      </c>
      <c r="T32" s="70">
        <f>T31*(1+'Economist Financing Model 1'!$O$5)+'Economist Financing Model 1'!O32</f>
        <v>959511253.79435897</v>
      </c>
      <c r="U32" s="73">
        <f>PMT($U$5,50,'Underlying Assumptions'!$E$5)</f>
        <v>-70213594.203879833</v>
      </c>
      <c r="V32" s="85" t="e">
        <f>U32/'Summary Baseline Data'!#REF!</f>
        <v>#REF!</v>
      </c>
      <c r="W32" s="85">
        <f>U33/'Summary Baseline Data'!G40</f>
        <v>-1006.2706294550043</v>
      </c>
      <c r="X32" s="85" t="e">
        <f>U32/('Summary Baseline Data'!#REF!-'Summary Baseline Data'!D40)</f>
        <v>#REF!</v>
      </c>
      <c r="Y32" s="73">
        <f>U32/('Summary Baseline Data'!G40-'Summary Baseline Data'!G39)</f>
        <v>-24634.584820206932</v>
      </c>
      <c r="Z32" s="73">
        <f>Z31*(1+'Economist Financing Model 1'!U$5)+'Economist Financing Model 1'!U32</f>
        <v>964065959.99796891</v>
      </c>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row>
    <row r="33" spans="1:303" x14ac:dyDescent="0.2">
      <c r="A33" s="224">
        <v>2016</v>
      </c>
      <c r="B33" s="221">
        <v>28</v>
      </c>
      <c r="C33" s="72">
        <f>PMT($C$5,50,'Underlying Assumptions'!$E$5)</f>
        <v>-37660664.113983564</v>
      </c>
      <c r="D33" s="73">
        <f>C33/'Summary Baseline Data'!D41</f>
        <v>-176.37903924286471</v>
      </c>
      <c r="E33" s="73">
        <f>C34/'Summary Baseline Data'!G41</f>
        <v>-518.55437537402224</v>
      </c>
      <c r="F33" s="73">
        <f>C33/('Summary Baseline Data'!D41-'Summary Baseline Data'!D40)</f>
        <v>-4494.3271891240083</v>
      </c>
      <c r="G33" s="73">
        <f>C33/('Summary Baseline Data'!G41-'Summary Baseline Data'!G40)</f>
        <v>-13213.321936024617</v>
      </c>
      <c r="H33" s="70">
        <f>H32*(1+'Economist Financing Model 1'!$C$5)+'Economist Financing Model 1'!C33</f>
        <v>942447116.29008842</v>
      </c>
      <c r="I33" s="72">
        <f>PMT($I$5,50,'Underlying Assumptions'!$E$5)</f>
        <v>-45107144.235605747</v>
      </c>
      <c r="J33" s="73">
        <f>I33/'Summary Baseline Data'!D41</f>
        <v>-211.25370331192286</v>
      </c>
      <c r="K33" s="73">
        <f>I34/'Summary Baseline Data'!G41</f>
        <v>-621.08588773705321</v>
      </c>
      <c r="L33" s="73">
        <f>I33/('Summary Baseline Data'!D41-'Summary Baseline Data'!D40)</f>
        <v>-5382.9710529865051</v>
      </c>
      <c r="M33" s="73">
        <f>I33/('Summary Baseline Data'!G41-'Summary Baseline Data'!G40)</f>
        <v>-15825.934895780363</v>
      </c>
      <c r="N33" s="73">
        <f>N32*(1+'Economist Financing Model 1'!$I$5)+'Economist Financing Model 1'!I33</f>
        <v>949186754.5541333</v>
      </c>
      <c r="O33" s="72">
        <f>PMT($O$5,50,'Underlying Assumptions'!$E$5)</f>
        <v>-53078656.685678646</v>
      </c>
      <c r="P33" s="73">
        <f>O33/'Summary Baseline Data'!D41</f>
        <v>-248.5872910309545</v>
      </c>
      <c r="Q33" s="73">
        <f>O34/'Summary Baseline Data'!G41</f>
        <v>-730.84663563100628</v>
      </c>
      <c r="R33" s="73" t="e">
        <f>O33/('Summary Baseline Data'!D41-'Summary Baseline Data'!#REF!)</f>
        <v>#REF!</v>
      </c>
      <c r="S33" s="73">
        <f>O33/('Summary Baseline Data'!G41-'Summary Baseline Data'!G40)</f>
        <v>-18622.756534428314</v>
      </c>
      <c r="T33" s="70">
        <f>T32*(1+'Economist Financing Model 1'!$O$5)+'Economist Financing Model 1'!O33</f>
        <v>954408159.79839838</v>
      </c>
      <c r="U33" s="73">
        <f>PMT($U$5,50,'Underlying Assumptions'!$E$5)</f>
        <v>-70213594.203879833</v>
      </c>
      <c r="V33" s="85">
        <f>U33/'Summary Baseline Data'!D41</f>
        <v>-328.83664106365001</v>
      </c>
      <c r="W33" s="85">
        <f>U34/'Summary Baseline Data'!G41</f>
        <v>-966.77972472713111</v>
      </c>
      <c r="X33" s="85" t="e">
        <f>U33/('Summary Baseline Data'!D41-'Summary Baseline Data'!#REF!)</f>
        <v>#REF!</v>
      </c>
      <c r="Y33" s="73">
        <f>U33/('Summary Baseline Data'!G41-'Summary Baseline Data'!G40)</f>
        <v>-24634.584820207059</v>
      </c>
      <c r="Z33" s="73">
        <f>Z32*(1+'Economist Financing Model 1'!U$5)+'Economist Financing Model 1'!U33</f>
        <v>961336982.99394691</v>
      </c>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row>
    <row r="34" spans="1:303" x14ac:dyDescent="0.2">
      <c r="A34" s="224">
        <v>2017</v>
      </c>
      <c r="B34" s="223">
        <v>29</v>
      </c>
      <c r="C34" s="72">
        <f>PMT($C$5,50,'Underlying Assumptions'!$E$5)</f>
        <v>-37660664.113983564</v>
      </c>
      <c r="D34" s="73">
        <f>C34/'Summary Baseline Data'!D42</f>
        <v>-169.71846930693158</v>
      </c>
      <c r="E34" s="73">
        <f>C35/'Summary Baseline Data'!G42</f>
        <v>-498.97229976237878</v>
      </c>
      <c r="F34" s="73">
        <f>C34/('Summary Baseline Data'!D42-'Summary Baseline Data'!D41)</f>
        <v>-4494.3271891240083</v>
      </c>
      <c r="G34" s="73">
        <f>C34/('Summary Baseline Data'!G42-'Summary Baseline Data'!G41)</f>
        <v>-13213.321936024549</v>
      </c>
      <c r="H34" s="70">
        <f>H33*(1+'Economist Financing Model 1'!$C$5)+'Economist Financing Model 1'!C34</f>
        <v>933059865.66480756</v>
      </c>
      <c r="I34" s="72">
        <f>PMT($I$5,50,'Underlying Assumptions'!$E$5)</f>
        <v>-45107144.235605747</v>
      </c>
      <c r="J34" s="73">
        <f>I34/'Summary Baseline Data'!D42</f>
        <v>-203.27616770920042</v>
      </c>
      <c r="K34" s="73">
        <f>I35/'Summary Baseline Data'!G42</f>
        <v>-597.63193306504922</v>
      </c>
      <c r="L34" s="73">
        <f>I34/('Summary Baseline Data'!D42-'Summary Baseline Data'!D41)</f>
        <v>-5382.9710529865051</v>
      </c>
      <c r="M34" s="73">
        <f>I34/('Summary Baseline Data'!G42-'Summary Baseline Data'!G41)</f>
        <v>-15825.934895780281</v>
      </c>
      <c r="N34" s="73">
        <f>N33*(1+'Economist Financing Model 1'!$I$5)+'Economist Financing Model 1'!I34</f>
        <v>942047080.50069296</v>
      </c>
      <c r="O34" s="72">
        <f>PMT($O$5,50,'Underlying Assumptions'!$E$5)</f>
        <v>-53078656.685678646</v>
      </c>
      <c r="P34" s="73">
        <f>O34/'Summary Baseline Data'!D42</f>
        <v>-239.1999338699033</v>
      </c>
      <c r="Q34" s="73">
        <f>O35/'Summary Baseline Data'!G42</f>
        <v>-703.24780557751569</v>
      </c>
      <c r="R34" s="73">
        <f>O34/('Summary Baseline Data'!D42-'Summary Baseline Data'!D41)</f>
        <v>-6334.2709300776423</v>
      </c>
      <c r="S34" s="73">
        <f>O34/('Summary Baseline Data'!G42-'Summary Baseline Data'!G41)</f>
        <v>-18622.756534428219</v>
      </c>
      <c r="T34" s="70">
        <f>T33*(1+'Economist Financing Model 1'!$O$5)+'Economist Financing Model 1'!O34</f>
        <v>949049911.10263979</v>
      </c>
      <c r="U34" s="73">
        <f>PMT($U$5,50,'Underlying Assumptions'!$E$5)</f>
        <v>-70213594.203879833</v>
      </c>
      <c r="V34" s="85">
        <f>U34/'Summary Baseline Data'!D42</f>
        <v>-316.41884213071711</v>
      </c>
      <c r="W34" s="85">
        <f>U35/'Summary Baseline Data'!G42</f>
        <v>-930.27139586430826</v>
      </c>
      <c r="X34" s="85">
        <f>U34/('Summary Baseline Data'!D42-'Summary Baseline Data'!D41)</f>
        <v>-8379.110483063605</v>
      </c>
      <c r="Y34" s="73">
        <f>U34/('Summary Baseline Data'!G42-'Summary Baseline Data'!G41)</f>
        <v>-24634.584820206932</v>
      </c>
      <c r="Z34" s="73">
        <f>Z33*(1+'Economist Financing Model 1'!U$5)+'Economist Financing Model 1'!U34</f>
        <v>958416977.59964347</v>
      </c>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row>
    <row r="35" spans="1:303" s="65" customFormat="1" x14ac:dyDescent="0.2">
      <c r="A35" s="224">
        <v>2018</v>
      </c>
      <c r="B35" s="221">
        <v>30</v>
      </c>
      <c r="C35" s="72">
        <f>PMT($C$5,50,'Underlying Assumptions'!$E$5)</f>
        <v>-37660664.113983564</v>
      </c>
      <c r="D35" s="73">
        <f>C35/'Summary Baseline Data'!D43</f>
        <v>-163.5426380794178</v>
      </c>
      <c r="E35" s="73">
        <f>C36/'Summary Baseline Data'!G43</f>
        <v>-480.81535595348834</v>
      </c>
      <c r="F35" s="73">
        <f>C35/('Summary Baseline Data'!D43-'Summary Baseline Data'!D42)</f>
        <v>-4494.3271891240083</v>
      </c>
      <c r="G35" s="73">
        <f>C35/('Summary Baseline Data'!G43-'Summary Baseline Data'!G42)</f>
        <v>-13213.321936024617</v>
      </c>
      <c r="H35" s="70">
        <f>H34*(1+'Economist Financing Model 1'!$C$5)+'Economist Financing Model 1'!C35</f>
        <v>923390997.52076828</v>
      </c>
      <c r="I35" s="72">
        <f>PMT($I$5,50,'Underlying Assumptions'!$E$5)</f>
        <v>-45107144.235605747</v>
      </c>
      <c r="J35" s="73">
        <f>I35/'Summary Baseline Data'!D43</f>
        <v>-195.87921610178608</v>
      </c>
      <c r="K35" s="73">
        <f>I36/'Summary Baseline Data'!G43</f>
        <v>-575.8848953392511</v>
      </c>
      <c r="L35" s="73">
        <f>I35/('Summary Baseline Data'!D43-'Summary Baseline Data'!D42)</f>
        <v>-5382.9710529865051</v>
      </c>
      <c r="M35" s="73">
        <f>I35/('Summary Baseline Data'!G43-'Summary Baseline Data'!G42)</f>
        <v>-15825.934895780363</v>
      </c>
      <c r="N35" s="73">
        <f>N34*(1+'Economist Financing Model 1'!$I$5)+'Economist Financing Model 1'!I35</f>
        <v>934621819.48511505</v>
      </c>
      <c r="O35" s="72">
        <f>PMT($O$5,50,'Underlying Assumptions'!$E$5)</f>
        <v>-53078656.685678646</v>
      </c>
      <c r="P35" s="73">
        <f>O35/'Summary Baseline Data'!D43</f>
        <v>-230.49576379786834</v>
      </c>
      <c r="Q35" s="73">
        <f>O36/'Summary Baseline Data'!G43</f>
        <v>-677.6575455657329</v>
      </c>
      <c r="R35" s="73">
        <f>O35/('Summary Baseline Data'!D43-'Summary Baseline Data'!D42)</f>
        <v>-6334.2709300776423</v>
      </c>
      <c r="S35" s="73">
        <f>O35/('Summary Baseline Data'!G43-'Summary Baseline Data'!G42)</f>
        <v>-18622.756534428314</v>
      </c>
      <c r="T35" s="70">
        <f>T34*(1+'Economist Financing Model 1'!$O$5)+'Economist Financing Model 1'!O35</f>
        <v>943423749.97209322</v>
      </c>
      <c r="U35" s="73">
        <f>PMT($U$5,50,'Underlying Assumptions'!$E$5)</f>
        <v>-70213594.203879833</v>
      </c>
      <c r="V35" s="85">
        <f>U35/'Summary Baseline Data'!D43</f>
        <v>-304.9047778442274</v>
      </c>
      <c r="W35" s="85">
        <f>U36/'Summary Baseline Data'!G43</f>
        <v>-896.42004686202858</v>
      </c>
      <c r="X35" s="85">
        <f>U35/('Summary Baseline Data'!D43-'Summary Baseline Data'!D42)</f>
        <v>-8379.110483063605</v>
      </c>
      <c r="Y35" s="73">
        <f>U35/('Summary Baseline Data'!G43-'Summary Baseline Data'!G42)</f>
        <v>-24634.584820207059</v>
      </c>
      <c r="Z35" s="73">
        <f>Z34*(1+'Economist Financing Model 1'!U$5)+'Economist Financing Model 1'!U35</f>
        <v>955292571.82773876</v>
      </c>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row>
    <row r="36" spans="1:303" x14ac:dyDescent="0.2">
      <c r="A36" s="224">
        <v>2019</v>
      </c>
      <c r="B36" s="296">
        <v>31</v>
      </c>
      <c r="C36" s="72">
        <f>PMT($C$5,50,'Underlying Assumptions'!$E$5)</f>
        <v>-37660664.113983564</v>
      </c>
      <c r="D36" s="73">
        <f>C36/'Summary Baseline Data'!D44</f>
        <v>-157.80048652469438</v>
      </c>
      <c r="E36" s="73">
        <f>C37/'Summary Baseline Data'!G44</f>
        <v>-463.93343038260144</v>
      </c>
      <c r="F36" s="73">
        <f>C36/('Summary Baseline Data'!D44-'Summary Baseline Data'!D43)</f>
        <v>-4494.3271891240083</v>
      </c>
      <c r="G36" s="73">
        <f>C36/('Summary Baseline Data'!G44-'Summary Baseline Data'!G43)</f>
        <v>-13213.321936024549</v>
      </c>
      <c r="H36" s="70">
        <f>H35*(1+'Economist Financing Model 1'!$C$5)+'Economist Financing Model 1'!C36</f>
        <v>913432063.33240783</v>
      </c>
      <c r="I36" s="72">
        <f>PMT($I$5,50,'Underlying Assumptions'!$E$5)</f>
        <v>-45107144.235605747</v>
      </c>
      <c r="J36" s="73">
        <f>I36/'Summary Baseline Data'!D44</f>
        <v>-189.00169377191713</v>
      </c>
      <c r="K36" s="73">
        <f>I37/'Summary Baseline Data'!G44</f>
        <v>-555.66497968943634</v>
      </c>
      <c r="L36" s="73">
        <f>I36/('Summary Baseline Data'!D44-'Summary Baseline Data'!D43)</f>
        <v>-5382.9710529865051</v>
      </c>
      <c r="M36" s="73">
        <f>I36/('Summary Baseline Data'!G44-'Summary Baseline Data'!G43)</f>
        <v>-15825.934895780281</v>
      </c>
      <c r="N36" s="73">
        <f>N35*(1+'Economist Financing Model 1'!$I$5)+'Economist Financing Model 1'!I36</f>
        <v>926899548.02891397</v>
      </c>
      <c r="O36" s="72">
        <f>PMT($O$5,50,'Underlying Assumptions'!$E$5)</f>
        <v>-53078656.685678646</v>
      </c>
      <c r="P36" s="73">
        <f>O36/'Summary Baseline Data'!D44</f>
        <v>-222.40281859414497</v>
      </c>
      <c r="Q36" s="73">
        <f>O37/'Summary Baseline Data'!G44</f>
        <v>-653.86428666678614</v>
      </c>
      <c r="R36" s="73">
        <f>O36/('Summary Baseline Data'!D44-'Summary Baseline Data'!D43)</f>
        <v>-6334.2709300776423</v>
      </c>
      <c r="S36" s="73">
        <f>O36/('Summary Baseline Data'!G44-'Summary Baseline Data'!G43)</f>
        <v>-18622.756534428219</v>
      </c>
      <c r="T36" s="70">
        <f>T35*(1+'Economist Financing Model 1'!$O$5)+'Economist Financing Model 1'!O36</f>
        <v>937516280.78501928</v>
      </c>
      <c r="U36" s="73">
        <f>PMT($U$5,50,'Underlying Assumptions'!$E$5)</f>
        <v>-70213594.203879833</v>
      </c>
      <c r="V36" s="85">
        <f>U36/'Summary Baseline Data'!D44</f>
        <v>-294.19925502337981</v>
      </c>
      <c r="W36" s="85">
        <f>U37/'Summary Baseline Data'!G44</f>
        <v>-864.94580976873658</v>
      </c>
      <c r="X36" s="85">
        <f>U36/('Summary Baseline Data'!D44-'Summary Baseline Data'!D43)</f>
        <v>-8379.110483063605</v>
      </c>
      <c r="Y36" s="73">
        <f>U36/('Summary Baseline Data'!G44-'Summary Baseline Data'!G43)</f>
        <v>-24634.584820206932</v>
      </c>
      <c r="Z36" s="73">
        <f>Z35*(1+'Economist Financing Model 1'!U$5)+'Economist Financing Model 1'!U36</f>
        <v>951949457.65180075</v>
      </c>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row>
    <row r="37" spans="1:303" x14ac:dyDescent="0.2">
      <c r="A37" s="224">
        <v>2020</v>
      </c>
      <c r="B37" s="128">
        <v>32</v>
      </c>
      <c r="C37" s="72">
        <f>PMT($C$5,50,'Underlying Assumptions'!$E$5)</f>
        <v>-37660664.113983564</v>
      </c>
      <c r="D37" s="73">
        <f>C37/'Summary Baseline Data'!D45</f>
        <v>-152.44788331094918</v>
      </c>
      <c r="E37" s="73">
        <f>C38/'Summary Baseline Data'!G45</f>
        <v>-448.19677693419055</v>
      </c>
      <c r="F37" s="73">
        <f>C37/('Summary Baseline Data'!D45-'Summary Baseline Data'!D44)</f>
        <v>-4494.3271891240083</v>
      </c>
      <c r="G37" s="73">
        <f>C37/('Summary Baseline Data'!G45-'Summary Baseline Data'!G44)</f>
        <v>-13213.321936024617</v>
      </c>
      <c r="H37" s="70">
        <f>H36*(1+'Economist Financing Model 1'!$C$5)+'Economist Financing Model 1'!C37</f>
        <v>903174361.11839652</v>
      </c>
      <c r="I37" s="72">
        <f>PMT($I$5,50,'Underlying Assumptions'!$E$5)</f>
        <v>-45107144.235605747</v>
      </c>
      <c r="J37" s="73">
        <f>I37/'Summary Baseline Data'!D45</f>
        <v>-182.59074349054055</v>
      </c>
      <c r="K37" s="73">
        <f>I38/'Summary Baseline Data'!G45</f>
        <v>-536.81678586218925</v>
      </c>
      <c r="L37" s="73">
        <f>I37/('Summary Baseline Data'!D45-'Summary Baseline Data'!D44)</f>
        <v>-5382.9710529865051</v>
      </c>
      <c r="M37" s="73">
        <f>I37/('Summary Baseline Data'!G45-'Summary Baseline Data'!G44)</f>
        <v>-15825.934895780363</v>
      </c>
      <c r="N37" s="73">
        <f>N36*(1+'Economist Financing Model 1'!$I$5)+'Economist Financing Model 1'!I37</f>
        <v>918868385.7144649</v>
      </c>
      <c r="O37" s="72">
        <f>PMT($O$5,50,'Underlying Assumptions'!$E$5)</f>
        <v>-53078656.685678646</v>
      </c>
      <c r="P37" s="73">
        <f>O37/'Summary Baseline Data'!D45</f>
        <v>-214.85889989167177</v>
      </c>
      <c r="Q37" s="73">
        <f>O38/'Summary Baseline Data'!G45</f>
        <v>-631.68516568151506</v>
      </c>
      <c r="R37" s="73">
        <f>O37/('Summary Baseline Data'!D45-'Summary Baseline Data'!D44)</f>
        <v>-6334.2709300776423</v>
      </c>
      <c r="S37" s="73">
        <f>O37/('Summary Baseline Data'!G45-'Summary Baseline Data'!G44)</f>
        <v>-18622.756534428314</v>
      </c>
      <c r="T37" s="70">
        <f>T36*(1+'Economist Financing Model 1'!$O$5)+'Economist Financing Model 1'!O37</f>
        <v>931313438.13859165</v>
      </c>
      <c r="U37" s="73">
        <f>PMT($U$5,50,'Underlying Assumptions'!$E$5)</f>
        <v>-70213594.203879833</v>
      </c>
      <c r="V37" s="85">
        <f>U37/'Summary Baseline Data'!D45</f>
        <v>-284.21999632398945</v>
      </c>
      <c r="W37" s="85">
        <f>U38/'Summary Baseline Data'!G45</f>
        <v>-835.60678919252905</v>
      </c>
      <c r="X37" s="85">
        <f>U37/('Summary Baseline Data'!D45-'Summary Baseline Data'!D44)</f>
        <v>-8379.110483063605</v>
      </c>
      <c r="Y37" s="73">
        <f>U37/('Summary Baseline Data'!G45-'Summary Baseline Data'!G44)</f>
        <v>-24634.584820207059</v>
      </c>
      <c r="Z37" s="73">
        <f>Z36*(1+'Economist Financing Model 1'!U$5)+'Economist Financing Model 1'!U37</f>
        <v>948372325.48354697</v>
      </c>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row>
    <row r="38" spans="1:303" x14ac:dyDescent="0.2">
      <c r="A38" s="224">
        <v>2021</v>
      </c>
      <c r="B38" s="296">
        <v>33</v>
      </c>
      <c r="C38" s="72">
        <f>PMT($C$5,50,'Underlying Assumptions'!$E$5)</f>
        <v>-37660664.113983564</v>
      </c>
      <c r="D38" s="73">
        <f>C38/'Summary Baseline Data'!D46</f>
        <v>-147.44648841584171</v>
      </c>
      <c r="E38" s="73">
        <f>C39/'Summary Baseline Data'!G46</f>
        <v>-433.49267594257464</v>
      </c>
      <c r="F38" s="73">
        <f>C38/('Summary Baseline Data'!D46-'Summary Baseline Data'!D45)</f>
        <v>-4494.3271891240083</v>
      </c>
      <c r="G38" s="73">
        <f>C38/('Summary Baseline Data'!G46-'Summary Baseline Data'!G45)</f>
        <v>-13213.321936024549</v>
      </c>
      <c r="H38" s="70">
        <f>H37*(1+'Economist Financing Model 1'!$C$5)+'Economist Financing Model 1'!C38</f>
        <v>892608927.83796489</v>
      </c>
      <c r="I38" s="72">
        <f>PMT($I$5,50,'Underlying Assumptions'!$E$5)</f>
        <v>-45107144.235605747</v>
      </c>
      <c r="J38" s="73">
        <f>I38/'Summary Baseline Data'!D46</f>
        <v>-176.60044442863239</v>
      </c>
      <c r="K38" s="73">
        <f>I39/'Summary Baseline Data'!G46</f>
        <v>-519.20530662017916</v>
      </c>
      <c r="L38" s="73">
        <f>I38/('Summary Baseline Data'!D46-'Summary Baseline Data'!D45)</f>
        <v>-5382.9710529865051</v>
      </c>
      <c r="M38" s="73">
        <f>I38/('Summary Baseline Data'!G46-'Summary Baseline Data'!G45)</f>
        <v>-15825.934895780281</v>
      </c>
      <c r="N38" s="73">
        <f>N37*(1+'Economist Financing Model 1'!$I$5)+'Economist Financing Model 1'!I38</f>
        <v>910515976.9074378</v>
      </c>
      <c r="O38" s="72">
        <f>PMT($O$5,50,'Underlying Assumptions'!$E$5)</f>
        <v>-53078656.685678646</v>
      </c>
      <c r="P38" s="73">
        <f>O38/'Summary Baseline Data'!D46</f>
        <v>-207.8099715513894</v>
      </c>
      <c r="Q38" s="73">
        <f>O39/'Summary Baseline Data'!G46</f>
        <v>-610.96131636108476</v>
      </c>
      <c r="R38" s="73">
        <f>O38/('Summary Baseline Data'!D46-'Summary Baseline Data'!D45)</f>
        <v>-6334.2709300776423</v>
      </c>
      <c r="S38" s="73">
        <f>O38/('Summary Baseline Data'!G46-'Summary Baseline Data'!G45)</f>
        <v>-18622.756534428219</v>
      </c>
      <c r="T38" s="70">
        <f>T37*(1+'Economist Financing Model 1'!$O$5)+'Economist Financing Model 1'!O38</f>
        <v>924800453.35984266</v>
      </c>
      <c r="U38" s="73">
        <f>PMT($U$5,50,'Underlying Assumptions'!$E$5)</f>
        <v>-70213594.203879833</v>
      </c>
      <c r="V38" s="85">
        <f>U38/'Summary Baseline Data'!D46</f>
        <v>-274.89552157347538</v>
      </c>
      <c r="W38" s="85">
        <f>U39/'Summary Baseline Data'!G46</f>
        <v>-808.19283342601761</v>
      </c>
      <c r="X38" s="85">
        <f>U38/('Summary Baseline Data'!D46-'Summary Baseline Data'!D45)</f>
        <v>-8379.110483063605</v>
      </c>
      <c r="Y38" s="73">
        <f>U38/('Summary Baseline Data'!G46-'Summary Baseline Data'!G45)</f>
        <v>-24634.584820206932</v>
      </c>
      <c r="Z38" s="73">
        <f>Z37*(1+'Economist Financing Model 1'!U$5)+'Economist Financing Model 1'!U38</f>
        <v>944544794.06351554</v>
      </c>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row>
    <row r="39" spans="1:303" x14ac:dyDescent="0.2">
      <c r="A39" s="224">
        <v>2022</v>
      </c>
      <c r="B39" s="128">
        <v>34</v>
      </c>
      <c r="C39" s="72">
        <f>PMT($C$5,50,'Underlying Assumptions'!$E$5)</f>
        <v>-37660664.113983564</v>
      </c>
      <c r="D39" s="73">
        <f>C39/'Summary Baseline Data'!D47</f>
        <v>-142.76283331836066</v>
      </c>
      <c r="E39" s="73">
        <f>C40/'Summary Baseline Data'!G47</f>
        <v>-419.7227299559803</v>
      </c>
      <c r="F39" s="73">
        <f>C39/('Summary Baseline Data'!D47-'Summary Baseline Data'!D46)</f>
        <v>-4494.3271891240083</v>
      </c>
      <c r="G39" s="73">
        <f>C39/('Summary Baseline Data'!G47-'Summary Baseline Data'!G46)</f>
        <v>-13213.321936024617</v>
      </c>
      <c r="H39" s="70">
        <f>H38*(1+'Economist Financing Model 1'!$C$5)+'Economist Financing Model 1'!C39</f>
        <v>881726531.5591203</v>
      </c>
      <c r="I39" s="72">
        <f>PMT($I$5,50,'Underlying Assumptions'!$E$5)</f>
        <v>-45107144.235605747</v>
      </c>
      <c r="J39" s="73">
        <f>I39/'Summary Baseline Data'!D47</f>
        <v>-170.99071047937193</v>
      </c>
      <c r="K39" s="73">
        <f>I40/'Summary Baseline Data'!G47</f>
        <v>-502.71268880935349</v>
      </c>
      <c r="L39" s="73">
        <f>I39/('Summary Baseline Data'!D47-'Summary Baseline Data'!D46)</f>
        <v>-5382.9710529865051</v>
      </c>
      <c r="M39" s="73">
        <f>I39/('Summary Baseline Data'!G47-'Summary Baseline Data'!G46)</f>
        <v>-15825.934895780363</v>
      </c>
      <c r="N39" s="73">
        <f>N38*(1+'Economist Financing Model 1'!$I$5)+'Economist Financing Model 1'!I39</f>
        <v>901829471.74812961</v>
      </c>
      <c r="O39" s="72">
        <f>PMT($O$5,50,'Underlying Assumptions'!$E$5)</f>
        <v>-53078656.685678646</v>
      </c>
      <c r="P39" s="73">
        <f>O39/'Summary Baseline Data'!D47</f>
        <v>-201.208863291564</v>
      </c>
      <c r="Q39" s="73">
        <f>O40/'Summary Baseline Data'!G47</f>
        <v>-591.55405807719819</v>
      </c>
      <c r="R39" s="73">
        <f>O39/('Summary Baseline Data'!D47-'Summary Baseline Data'!D46)</f>
        <v>-6334.2709300776423</v>
      </c>
      <c r="S39" s="73">
        <f>O39/('Summary Baseline Data'!G47-'Summary Baseline Data'!G46)</f>
        <v>-18622.756534428314</v>
      </c>
      <c r="T39" s="70">
        <f>T38*(1+'Economist Financing Model 1'!$O$5)+'Economist Financing Model 1'!O39</f>
        <v>917961819.34215617</v>
      </c>
      <c r="U39" s="73">
        <f>PMT($U$5,50,'Underlying Assumptions'!$E$5)</f>
        <v>-70213594.203879833</v>
      </c>
      <c r="V39" s="85">
        <f>U39/'Summary Baseline Data'!D47</f>
        <v>-266.16343290371231</v>
      </c>
      <c r="W39" s="85">
        <f>U40/'Summary Baseline Data'!G47</f>
        <v>-782.52049273691421</v>
      </c>
      <c r="X39" s="85">
        <f>U39/('Summary Baseline Data'!D47-'Summary Baseline Data'!D46)</f>
        <v>-8379.110483063605</v>
      </c>
      <c r="Y39" s="73">
        <f>U39/('Summary Baseline Data'!G47-'Summary Baseline Data'!G46)</f>
        <v>-24634.584820207059</v>
      </c>
      <c r="Z39" s="73">
        <f>Z38*(1+'Economist Financing Model 1'!U$5)+'Economist Financing Model 1'!U39</f>
        <v>940449335.4440819</v>
      </c>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row>
    <row r="40" spans="1:303" x14ac:dyDescent="0.2">
      <c r="A40" s="224">
        <v>2023</v>
      </c>
      <c r="B40" s="296">
        <v>35</v>
      </c>
      <c r="C40" s="72">
        <f>PMT($C$5,50,'Underlying Assumptions'!$E$5)</f>
        <v>-37660664.113983564</v>
      </c>
      <c r="D40" s="73">
        <f>C40/'Summary Baseline Data'!D48</f>
        <v>-138.3675711003649</v>
      </c>
      <c r="E40" s="73">
        <f>C41/'Summary Baseline Data'!G48</f>
        <v>-406.80065903507284</v>
      </c>
      <c r="F40" s="73">
        <f>C40/('Summary Baseline Data'!D48-'Summary Baseline Data'!D47)</f>
        <v>-4494.3271891240238</v>
      </c>
      <c r="G40" s="73">
        <f>C40/('Summary Baseline Data'!G48-'Summary Baseline Data'!G47)</f>
        <v>-13213.321936024617</v>
      </c>
      <c r="H40" s="70">
        <f>H39*(1+'Economist Financing Model 1'!$C$5)+'Economist Financing Model 1'!C40</f>
        <v>870517663.39191043</v>
      </c>
      <c r="I40" s="72">
        <f>PMT($I$5,50,'Underlying Assumptions'!$E$5)</f>
        <v>-45107144.235605747</v>
      </c>
      <c r="J40" s="73">
        <f>I40/'Summary Baseline Data'!D48</f>
        <v>-165.72639208550621</v>
      </c>
      <c r="K40" s="73">
        <f>I41/'Summary Baseline Data'!G48</f>
        <v>-487.23559273138824</v>
      </c>
      <c r="L40" s="73">
        <f>I40/('Summary Baseline Data'!D48-'Summary Baseline Data'!D47)</f>
        <v>-5382.9710529865233</v>
      </c>
      <c r="M40" s="73">
        <f>I40/('Summary Baseline Data'!G48-'Summary Baseline Data'!G47)</f>
        <v>-15825.934895780363</v>
      </c>
      <c r="N40" s="73">
        <f>N39*(1+'Economist Financing Model 1'!$I$5)+'Economist Financing Model 1'!I40</f>
        <v>892795506.38244915</v>
      </c>
      <c r="O40" s="72">
        <f>PMT($O$5,50,'Underlying Assumptions'!$E$5)</f>
        <v>-53078656.685678646</v>
      </c>
      <c r="P40" s="73">
        <f>O40/'Summary Baseline Data'!D48</f>
        <v>-195.01421378654089</v>
      </c>
      <c r="Q40" s="73">
        <f>O41/'Summary Baseline Data'!G48</f>
        <v>-573.3417885324302</v>
      </c>
      <c r="R40" s="73">
        <f>O40/('Summary Baseline Data'!D48-'Summary Baseline Data'!D47)</f>
        <v>-6334.2709300776642</v>
      </c>
      <c r="S40" s="73">
        <f>O40/('Summary Baseline Data'!G48-'Summary Baseline Data'!G47)</f>
        <v>-18622.756534428314</v>
      </c>
      <c r="T40" s="70">
        <f>T39*(1+'Economist Financing Model 1'!$O$5)+'Economist Financing Model 1'!O40</f>
        <v>910781253.62358546</v>
      </c>
      <c r="U40" s="73">
        <f>PMT($U$5,50,'Underlying Assumptions'!$E$5)</f>
        <v>-70213594.203879833</v>
      </c>
      <c r="V40" s="85">
        <f>U40/'Summary Baseline Data'!D48</f>
        <v>-257.96901665921996</v>
      </c>
      <c r="W40" s="85">
        <f>U41/'Summary Baseline Data'!G48</f>
        <v>-758.42890897810662</v>
      </c>
      <c r="X40" s="85">
        <f>U40/('Summary Baseline Data'!D48-'Summary Baseline Data'!D47)</f>
        <v>-8379.1104830636341</v>
      </c>
      <c r="Y40" s="73">
        <f>U40/('Summary Baseline Data'!G48-'Summary Baseline Data'!G47)</f>
        <v>-24634.584820207059</v>
      </c>
      <c r="Z40" s="73">
        <f>Z39*(1+'Economist Financing Model 1'!U$5)+'Economist Financing Model 1'!U40</f>
        <v>936067194.72128785</v>
      </c>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c r="JF40" s="66"/>
      <c r="JG40" s="66"/>
      <c r="JH40" s="66"/>
      <c r="JI40" s="66"/>
      <c r="JJ40" s="66"/>
      <c r="JK40" s="66"/>
      <c r="JL40" s="66"/>
      <c r="JM40" s="66"/>
      <c r="JN40" s="66"/>
      <c r="JO40" s="66"/>
      <c r="JP40" s="66"/>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row>
    <row r="41" spans="1:303" x14ac:dyDescent="0.2">
      <c r="A41" s="224">
        <v>2024</v>
      </c>
      <c r="B41" s="128">
        <v>36</v>
      </c>
      <c r="C41" s="72">
        <f>PMT($C$5,50,'Underlying Assumptions'!$E$5)</f>
        <v>-37660664.113983564</v>
      </c>
      <c r="D41" s="73">
        <f>C41/'Summary Baseline Data'!D49</f>
        <v>-134.23486093422238</v>
      </c>
      <c r="E41" s="73">
        <f>C42/'Summary Baseline Data'!G49</f>
        <v>-394.65049114661377</v>
      </c>
      <c r="F41" s="73">
        <f>C41/('Summary Baseline Data'!D49-'Summary Baseline Data'!D48)</f>
        <v>-4494.3271891240238</v>
      </c>
      <c r="G41" s="73">
        <f>C41/('Summary Baseline Data'!G49-'Summary Baseline Data'!G48)</f>
        <v>-13213.321936024617</v>
      </c>
      <c r="H41" s="70">
        <f>H40*(1+'Economist Financing Model 1'!$C$5)+'Economist Financing Model 1'!C41</f>
        <v>858972529.17968428</v>
      </c>
      <c r="I41" s="72">
        <f>PMT($I$5,50,'Underlying Assumptions'!$E$5)</f>
        <v>-45107144.235605747</v>
      </c>
      <c r="J41" s="73">
        <f>I41/'Summary Baseline Data'!D49</f>
        <v>-160.77653902439334</v>
      </c>
      <c r="K41" s="73">
        <f>I42/'Summary Baseline Data'!G49</f>
        <v>-472.68302473171639</v>
      </c>
      <c r="L41" s="73">
        <f>I41/('Summary Baseline Data'!D49-'Summary Baseline Data'!D48)</f>
        <v>-5382.9710529865233</v>
      </c>
      <c r="M41" s="73">
        <f>I41/('Summary Baseline Data'!G49-'Summary Baseline Data'!G48)</f>
        <v>-15825.934895780363</v>
      </c>
      <c r="N41" s="73">
        <f>N40*(1+'Economist Financing Model 1'!$I$5)+'Economist Financing Model 1'!I41</f>
        <v>883400182.40214145</v>
      </c>
      <c r="O41" s="72">
        <f>PMT($O$5,50,'Underlying Assumptions'!$E$5)</f>
        <v>-53078656.685678646</v>
      </c>
      <c r="P41" s="73">
        <f>O41/'Summary Baseline Data'!D49</f>
        <v>-189.18960316825272</v>
      </c>
      <c r="Q41" s="73">
        <f>O42/'Summary Baseline Data'!G49</f>
        <v>-556.21743331466291</v>
      </c>
      <c r="R41" s="73">
        <f>O41/('Summary Baseline Data'!D49-'Summary Baseline Data'!D48)</f>
        <v>-6334.2709300776642</v>
      </c>
      <c r="S41" s="73">
        <f>O41/('Summary Baseline Data'!G49-'Summary Baseline Data'!G48)</f>
        <v>-18622.756534428314</v>
      </c>
      <c r="T41" s="70">
        <f>T40*(1+'Economist Financing Model 1'!$O$5)+'Economist Financing Model 1'!O41</f>
        <v>903241659.61908615</v>
      </c>
      <c r="U41" s="73">
        <f>PMT($U$5,50,'Underlying Assumptions'!$E$5)</f>
        <v>-70213594.203879833</v>
      </c>
      <c r="V41" s="85">
        <f>U41/'Summary Baseline Data'!D49</f>
        <v>-250.26409585140982</v>
      </c>
      <c r="W41" s="85">
        <f>U42/'Summary Baseline Data'!G49</f>
        <v>-735.77644180314485</v>
      </c>
      <c r="X41" s="85">
        <f>U41/('Summary Baseline Data'!D49-'Summary Baseline Data'!D48)</f>
        <v>-8379.1104830636341</v>
      </c>
      <c r="Y41" s="73">
        <f>U41/('Summary Baseline Data'!G49-'Summary Baseline Data'!G48)</f>
        <v>-24634.584820207059</v>
      </c>
      <c r="Z41" s="73">
        <f>Z40*(1+'Economist Financing Model 1'!U$5)+'Economist Financing Model 1'!U41</f>
        <v>931378304.1478982</v>
      </c>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row>
    <row r="42" spans="1:303" x14ac:dyDescent="0.2">
      <c r="A42" s="224">
        <v>2025</v>
      </c>
      <c r="B42" s="296">
        <v>37</v>
      </c>
      <c r="C42" s="72">
        <f>PMT($C$5,50,'Underlying Assumptions'!$E$5)</f>
        <v>-37660664.113983564</v>
      </c>
      <c r="D42" s="73">
        <f>C42/'Summary Baseline Data'!D50</f>
        <v>-130.00938672617062</v>
      </c>
      <c r="E42" s="73">
        <f>C43/'Summary Baseline Data'!G50</f>
        <v>-382.2275969749416</v>
      </c>
      <c r="F42" s="73">
        <f>C42/('Summary Baseline Data'!D50-'Summary Baseline Data'!D49)</f>
        <v>-4130.1380834549063</v>
      </c>
      <c r="G42" s="73">
        <f>C42/('Summary Baseline Data'!G50-'Summary Baseline Data'!G49)</f>
        <v>-12142.60596535743</v>
      </c>
      <c r="H42" s="70">
        <f>H41*(1+'Economist Financing Model 1'!$C$5)+'Economist Financing Model 1'!C42</f>
        <v>847081040.9410913</v>
      </c>
      <c r="I42" s="72">
        <f>PMT($I$5,50,'Underlying Assumptions'!$E$5)</f>
        <v>-45107144.235605747</v>
      </c>
      <c r="J42" s="73">
        <f>I42/'Summary Baseline Data'!D50</f>
        <v>-155.71558008884307</v>
      </c>
      <c r="K42" s="73">
        <f>I43/'Summary Baseline Data'!G50</f>
        <v>-457.80380546119858</v>
      </c>
      <c r="L42" s="73">
        <f>I42/('Summary Baseline Data'!D50-'Summary Baseline Data'!D49)</f>
        <v>-4946.7724116472828</v>
      </c>
      <c r="M42" s="73">
        <f>I42/('Summary Baseline Data'!G50-'Summary Baseline Data'!G49)</f>
        <v>-14543.510890243018</v>
      </c>
      <c r="N42" s="73">
        <f>N41*(1+'Economist Financing Model 1'!$I$5)+'Economist Financing Model 1'!I42</f>
        <v>873629045.46262145</v>
      </c>
      <c r="O42" s="72">
        <f>PMT($O$5,50,'Underlying Assumptions'!$E$5)</f>
        <v>-53078656.685678646</v>
      </c>
      <c r="P42" s="73">
        <f>O42/'Summary Baseline Data'!D50</f>
        <v>-183.23425160715021</v>
      </c>
      <c r="Q42" s="73">
        <f>O43/'Summary Baseline Data'!G50</f>
        <v>-538.70869972502157</v>
      </c>
      <c r="R42" s="73">
        <f>O42/('Summary Baseline Data'!D50-'Summary Baseline Data'!D49)</f>
        <v>-5820.9855442977077</v>
      </c>
      <c r="S42" s="73">
        <f>O42/('Summary Baseline Data'!G50-'Summary Baseline Data'!G49)</f>
        <v>-17113.697500235266</v>
      </c>
      <c r="T42" s="70">
        <f>T41*(1+'Economist Financing Model 1'!$O$5)+'Economist Financing Model 1'!O42</f>
        <v>895325085.91436183</v>
      </c>
      <c r="U42" s="73">
        <f>PMT($U$5,50,'Underlying Assumptions'!$E$5)</f>
        <v>-70213594.203879833</v>
      </c>
      <c r="V42" s="85">
        <f>U42/'Summary Baseline Data'!D50</f>
        <v>-242.38622809886144</v>
      </c>
      <c r="W42" s="85">
        <f>U43/'Summary Baseline Data'!G50</f>
        <v>-712.61551061065256</v>
      </c>
      <c r="X42" s="85">
        <f>U42/('Summary Baseline Data'!D50-'Summary Baseline Data'!D49)</f>
        <v>-7700.1254815901557</v>
      </c>
      <c r="Y42" s="73">
        <f>U42/('Summary Baseline Data'!G50-'Summary Baseline Data'!G49)</f>
        <v>-22638.368915875068</v>
      </c>
      <c r="Z42" s="73">
        <f>Z41*(1+'Economist Financing Model 1'!U$5)+'Economist Financing Model 1'!U42</f>
        <v>926361191.2343713</v>
      </c>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c r="IW42" s="66"/>
      <c r="IX42" s="66"/>
      <c r="IY42" s="66"/>
      <c r="IZ42" s="66"/>
      <c r="JA42" s="66"/>
      <c r="JB42" s="66"/>
      <c r="JC42" s="66"/>
      <c r="JD42" s="66"/>
      <c r="JE42" s="66"/>
      <c r="JF42" s="66"/>
      <c r="JG42" s="66"/>
      <c r="JH42" s="66"/>
      <c r="JI42" s="66"/>
      <c r="JJ42" s="66"/>
      <c r="JK42" s="66"/>
      <c r="JL42" s="66"/>
      <c r="JM42" s="66"/>
      <c r="JN42" s="66"/>
      <c r="JO42" s="66"/>
      <c r="JP42" s="66"/>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row>
    <row r="43" spans="1:303" x14ac:dyDescent="0.2">
      <c r="A43" s="224">
        <v>2026</v>
      </c>
      <c r="B43" s="128">
        <v>38</v>
      </c>
      <c r="C43" s="72">
        <f>PMT($C$5,50,'Underlying Assumptions'!$E$5)</f>
        <v>-37660664.113983564</v>
      </c>
      <c r="D43" s="73">
        <f>C43/'Summary Baseline Data'!D51</f>
        <v>-126.04181500354278</v>
      </c>
      <c r="E43" s="73">
        <f>C44/'Summary Baseline Data'!G51</f>
        <v>-370.56293611041576</v>
      </c>
      <c r="F43" s="73">
        <f>C43/('Summary Baseline Data'!D51-'Summary Baseline Data'!D50)</f>
        <v>-4130.1380834549063</v>
      </c>
      <c r="G43" s="73">
        <f>C43/('Summary Baseline Data'!G51-'Summary Baseline Data'!G50)</f>
        <v>-12142.60596535743</v>
      </c>
      <c r="H43" s="70">
        <f>H42*(1+'Economist Financing Model 1'!$C$5)+'Economist Financing Model 1'!C43</f>
        <v>834832808.05534053</v>
      </c>
      <c r="I43" s="72">
        <f>PMT($I$5,50,'Underlying Assumptions'!$E$5)</f>
        <v>-45107144.235605747</v>
      </c>
      <c r="J43" s="73">
        <f>I43/'Summary Baseline Data'!D51</f>
        <v>-150.96351758096938</v>
      </c>
      <c r="K43" s="73">
        <f>I44/'Summary Baseline Data'!G51</f>
        <v>-443.83274168804996</v>
      </c>
      <c r="L43" s="73">
        <f>I43/('Summary Baseline Data'!D51-'Summary Baseline Data'!D50)</f>
        <v>-4946.7724116472828</v>
      </c>
      <c r="M43" s="73">
        <f>I43/('Summary Baseline Data'!G51-'Summary Baseline Data'!G50)</f>
        <v>-14543.510890243018</v>
      </c>
      <c r="N43" s="73">
        <f>N42*(1+'Economist Financing Model 1'!$I$5)+'Economist Financing Model 1'!I43</f>
        <v>863467063.04552066</v>
      </c>
      <c r="O43" s="72">
        <f>PMT($O$5,50,'Underlying Assumptions'!$E$5)</f>
        <v>-53078656.685678646</v>
      </c>
      <c r="P43" s="73">
        <f>O43/'Summary Baseline Data'!D51</f>
        <v>-177.64238586883531</v>
      </c>
      <c r="Q43" s="73">
        <f>O44/'Summary Baseline Data'!G51</f>
        <v>-522.26861445437578</v>
      </c>
      <c r="R43" s="73">
        <f>O43/('Summary Baseline Data'!D51-'Summary Baseline Data'!D50)</f>
        <v>-5820.9855442977077</v>
      </c>
      <c r="S43" s="73">
        <f>O43/('Summary Baseline Data'!G51-'Summary Baseline Data'!G50)</f>
        <v>-17113.697500235266</v>
      </c>
      <c r="T43" s="70">
        <f>T42*(1+'Economist Financing Model 1'!$O$5)+'Economist Financing Model 1'!O43</f>
        <v>887012683.52440131</v>
      </c>
      <c r="U43" s="73">
        <f>PMT($U$5,50,'Underlying Assumptions'!$E$5)</f>
        <v>-70213594.203879833</v>
      </c>
      <c r="V43" s="85">
        <f>U43/'Summary Baseline Data'!D51</f>
        <v>-234.98918724838043</v>
      </c>
      <c r="W43" s="85">
        <f>U44/'Summary Baseline Data'!G51</f>
        <v>-690.86821051023844</v>
      </c>
      <c r="X43" s="85">
        <f>U43/('Summary Baseline Data'!D51-'Summary Baseline Data'!D50)</f>
        <v>-7700.1254815901557</v>
      </c>
      <c r="Y43" s="73">
        <f>U43/('Summary Baseline Data'!G51-'Summary Baseline Data'!G50)</f>
        <v>-22638.368915875068</v>
      </c>
      <c r="Z43" s="73">
        <f>Z42*(1+'Economist Financing Model 1'!U$5)+'Economist Financing Model 1'!U43</f>
        <v>920992880.41689754</v>
      </c>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c r="IW43" s="66"/>
      <c r="IX43" s="66"/>
      <c r="IY43" s="66"/>
      <c r="IZ43" s="66"/>
      <c r="JA43" s="66"/>
      <c r="JB43" s="66"/>
      <c r="JC43" s="66"/>
      <c r="JD43" s="66"/>
      <c r="JE43" s="66"/>
      <c r="JF43" s="66"/>
      <c r="JG43" s="66"/>
      <c r="JH43" s="66"/>
      <c r="JI43" s="66"/>
      <c r="JJ43" s="66"/>
      <c r="JK43" s="66"/>
      <c r="JL43" s="66"/>
      <c r="JM43" s="66"/>
      <c r="JN43" s="66"/>
      <c r="JO43" s="66"/>
      <c r="JP43" s="66"/>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row>
    <row r="44" spans="1:303" x14ac:dyDescent="0.2">
      <c r="A44" s="224">
        <v>2027</v>
      </c>
      <c r="B44" s="296">
        <v>39</v>
      </c>
      <c r="C44" s="72">
        <f>PMT($C$5,50,'Underlying Assumptions'!$E$5)</f>
        <v>-37660664.113983564</v>
      </c>
      <c r="D44" s="73">
        <f>C44/'Summary Baseline Data'!D52</f>
        <v>-122.30923332034342</v>
      </c>
      <c r="E44" s="73">
        <f>C45/'Summary Baseline Data'!G52</f>
        <v>-359.58914596180966</v>
      </c>
      <c r="F44" s="73">
        <f>C44/('Summary Baseline Data'!D52-'Summary Baseline Data'!D51)</f>
        <v>-4130.1380834549063</v>
      </c>
      <c r="G44" s="73">
        <f>C44/('Summary Baseline Data'!G52-'Summary Baseline Data'!G51)</f>
        <v>-12142.60596535743</v>
      </c>
      <c r="H44" s="70">
        <f>H43*(1+'Economist Financing Model 1'!$C$5)+'Economist Financing Model 1'!C44</f>
        <v>822217128.18301725</v>
      </c>
      <c r="I44" s="72">
        <f>PMT($I$5,50,'Underlying Assumptions'!$E$5)</f>
        <v>-45107144.235605747</v>
      </c>
      <c r="J44" s="73">
        <f>I44/'Summary Baseline Data'!D52</f>
        <v>-146.49290867599422</v>
      </c>
      <c r="K44" s="73">
        <f>I45/'Summary Baseline Data'!G52</f>
        <v>-430.68915150742299</v>
      </c>
      <c r="L44" s="73">
        <f>I44/('Summary Baseline Data'!D52-'Summary Baseline Data'!D51)</f>
        <v>-4946.7724116472828</v>
      </c>
      <c r="M44" s="73">
        <f>I44/('Summary Baseline Data'!G52-'Summary Baseline Data'!G51)</f>
        <v>-14543.510890243018</v>
      </c>
      <c r="N44" s="73">
        <f>N43*(1+'Economist Financing Model 1'!$I$5)+'Economist Financing Model 1'!I44</f>
        <v>852898601.33173585</v>
      </c>
      <c r="O44" s="72">
        <f>PMT($O$5,50,'Underlying Assumptions'!$E$5)</f>
        <v>-53078656.685678646</v>
      </c>
      <c r="P44" s="73">
        <f>O44/'Summary Baseline Data'!D52</f>
        <v>-172.38171332428959</v>
      </c>
      <c r="Q44" s="73">
        <f>O45/'Summary Baseline Data'!G52</f>
        <v>-506.80223717341141</v>
      </c>
      <c r="R44" s="73">
        <f>O44/('Summary Baseline Data'!D52-'Summary Baseline Data'!D51)</f>
        <v>-5820.9855442977077</v>
      </c>
      <c r="S44" s="73">
        <f>O44/('Summary Baseline Data'!G52-'Summary Baseline Data'!G51)</f>
        <v>-17113.697500235266</v>
      </c>
      <c r="T44" s="70">
        <f>T43*(1+'Economist Financing Model 1'!$O$5)+'Economist Financing Model 1'!O44</f>
        <v>878284661.01494277</v>
      </c>
      <c r="U44" s="73">
        <f>PMT($U$5,50,'Underlying Assumptions'!$E$5)</f>
        <v>-70213594.203879833</v>
      </c>
      <c r="V44" s="85">
        <f>U44/'Summary Baseline Data'!D52</f>
        <v>-228.03025591239043</v>
      </c>
      <c r="W44" s="85">
        <f>U45/'Summary Baseline Data'!G52</f>
        <v>-670.40895238242786</v>
      </c>
      <c r="X44" s="85">
        <f>U44/('Summary Baseline Data'!D52-'Summary Baseline Data'!D51)</f>
        <v>-7700.1254815901557</v>
      </c>
      <c r="Y44" s="73">
        <f>U44/('Summary Baseline Data'!G52-'Summary Baseline Data'!G51)</f>
        <v>-22638.368915875068</v>
      </c>
      <c r="Z44" s="73">
        <f>Z43*(1+'Economist Financing Model 1'!U$5)+'Economist Financing Model 1'!U44</f>
        <v>915248787.84220064</v>
      </c>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c r="IW44" s="66"/>
      <c r="IX44" s="66"/>
      <c r="IY44" s="66"/>
      <c r="IZ44" s="66"/>
      <c r="JA44" s="66"/>
      <c r="JB44" s="66"/>
      <c r="JC44" s="66"/>
      <c r="JD44" s="66"/>
      <c r="JE44" s="66"/>
      <c r="JF44" s="66"/>
      <c r="JG44" s="66"/>
      <c r="JH44" s="66"/>
      <c r="JI44" s="66"/>
      <c r="JJ44" s="66"/>
      <c r="JK44" s="66"/>
      <c r="JL44" s="66"/>
      <c r="JM44" s="66"/>
      <c r="JN44" s="66"/>
      <c r="JO44" s="66"/>
      <c r="JP44" s="66"/>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row>
    <row r="45" spans="1:303" x14ac:dyDescent="0.2">
      <c r="A45" s="224">
        <v>2028</v>
      </c>
      <c r="B45" s="128">
        <v>40</v>
      </c>
      <c r="C45" s="72">
        <f>PMT($C$5,50,'Underlying Assumptions'!$E$5)</f>
        <v>-37660664.113983564</v>
      </c>
      <c r="D45" s="73">
        <f>C45/'Summary Baseline Data'!D53</f>
        <v>-118.79136526906926</v>
      </c>
      <c r="E45" s="73">
        <f>C46/'Summary Baseline Data'!G53</f>
        <v>-349.24661389106359</v>
      </c>
      <c r="F45" s="73">
        <f>C45/('Summary Baseline Data'!D53-'Summary Baseline Data'!D52)</f>
        <v>-4130.1380834549063</v>
      </c>
      <c r="G45" s="73">
        <f>C45/('Summary Baseline Data'!G53-'Summary Baseline Data'!G52)</f>
        <v>-12142.60596535743</v>
      </c>
      <c r="H45" s="70">
        <f>H44*(1+'Economist Financing Model 1'!$C$5)+'Economist Financing Model 1'!C45</f>
        <v>809222977.91452432</v>
      </c>
      <c r="I45" s="72">
        <f>PMT($I$5,50,'Underlying Assumptions'!$E$5)</f>
        <v>-45107144.235605747</v>
      </c>
      <c r="J45" s="73">
        <f>I45/'Summary Baseline Data'!D53</f>
        <v>-142.27946780011402</v>
      </c>
      <c r="K45" s="73">
        <f>I46/'Summary Baseline Data'!G53</f>
        <v>-418.3016353323352</v>
      </c>
      <c r="L45" s="73">
        <f>I45/('Summary Baseline Data'!D53-'Summary Baseline Data'!D52)</f>
        <v>-4946.7724116472828</v>
      </c>
      <c r="M45" s="73">
        <f>I45/('Summary Baseline Data'!G53-'Summary Baseline Data'!G52)</f>
        <v>-14543.510890243018</v>
      </c>
      <c r="N45" s="73">
        <f>N44*(1+'Economist Financing Model 1'!$I$5)+'Economist Financing Model 1'!I45</f>
        <v>841907401.14939964</v>
      </c>
      <c r="O45" s="72">
        <f>PMT($O$5,50,'Underlying Assumptions'!$E$5)</f>
        <v>-53078656.685678646</v>
      </c>
      <c r="P45" s="73">
        <f>O45/'Summary Baseline Data'!D53</f>
        <v>-167.42365655731487</v>
      </c>
      <c r="Q45" s="73">
        <f>O46/'Summary Baseline Data'!G53</f>
        <v>-492.22555027850569</v>
      </c>
      <c r="R45" s="73">
        <f>O45/('Summary Baseline Data'!D53-'Summary Baseline Data'!D52)</f>
        <v>-5820.9855442977077</v>
      </c>
      <c r="S45" s="73">
        <f>O45/('Summary Baseline Data'!G53-'Summary Baseline Data'!G52)</f>
        <v>-17113.697500235266</v>
      </c>
      <c r="T45" s="70">
        <f>T44*(1+'Economist Financing Model 1'!$O$5)+'Economist Financing Model 1'!O45</f>
        <v>869120237.38001132</v>
      </c>
      <c r="U45" s="73">
        <f>PMT($U$5,50,'Underlying Assumptions'!$E$5)</f>
        <v>-70213594.203879833</v>
      </c>
      <c r="V45" s="85">
        <f>U45/'Summary Baseline Data'!D53</f>
        <v>-221.47163126712709</v>
      </c>
      <c r="W45" s="85">
        <f>U46/'Summary Baseline Data'!G53</f>
        <v>-651.12659592535363</v>
      </c>
      <c r="X45" s="85">
        <f>U45/('Summary Baseline Data'!D53-'Summary Baseline Data'!D52)</f>
        <v>-7700.1254815901557</v>
      </c>
      <c r="Y45" s="73">
        <f>U45/('Summary Baseline Data'!G53-'Summary Baseline Data'!G52)</f>
        <v>-22638.368915875068</v>
      </c>
      <c r="Z45" s="73">
        <f>Z44*(1+'Economist Financing Model 1'!U$5)+'Economist Financing Model 1'!U45</f>
        <v>909102608.78727496</v>
      </c>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c r="IW45" s="66"/>
      <c r="IX45" s="66"/>
      <c r="IY45" s="66"/>
      <c r="IZ45" s="66"/>
      <c r="JA45" s="66"/>
      <c r="JB45" s="66"/>
      <c r="JC45" s="66"/>
      <c r="JD45" s="66"/>
      <c r="JE45" s="66"/>
      <c r="JF45" s="66"/>
      <c r="JG45" s="66"/>
      <c r="JH45" s="66"/>
      <c r="JI45" s="66"/>
      <c r="JJ45" s="66"/>
      <c r="JK45" s="66"/>
      <c r="JL45" s="66"/>
      <c r="JM45" s="66"/>
      <c r="JN45" s="66"/>
      <c r="JO45" s="66"/>
      <c r="JP45" s="66"/>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row>
    <row r="46" spans="1:303" x14ac:dyDescent="0.2">
      <c r="A46" s="224">
        <v>2029</v>
      </c>
      <c r="B46" s="296">
        <v>41</v>
      </c>
      <c r="C46" s="72">
        <f>PMT($C$5,50,'Underlying Assumptions'!$E$5)</f>
        <v>-37660664.113983564</v>
      </c>
      <c r="D46" s="73">
        <f>C46/'Summary Baseline Data'!D54</f>
        <v>-115.47020198952191</v>
      </c>
      <c r="E46" s="73">
        <f>C47/'Summary Baseline Data'!G54</f>
        <v>-339.48239384919441</v>
      </c>
      <c r="F46" s="73">
        <f>C46/('Summary Baseline Data'!D54-'Summary Baseline Data'!D53)</f>
        <v>-4130.1380834549063</v>
      </c>
      <c r="G46" s="73">
        <f>C46/('Summary Baseline Data'!G54-'Summary Baseline Data'!G53)</f>
        <v>-12142.60596535743</v>
      </c>
      <c r="H46" s="70">
        <f>H45*(1+'Economist Financing Model 1'!$C$5)+'Economist Financing Model 1'!C46</f>
        <v>795839003.13797653</v>
      </c>
      <c r="I46" s="72">
        <f>PMT($I$5,50,'Underlying Assumptions'!$E$5)</f>
        <v>-45107144.235605747</v>
      </c>
      <c r="J46" s="73">
        <f>I46/'Summary Baseline Data'!D54</f>
        <v>-138.3016252791449</v>
      </c>
      <c r="K46" s="73">
        <f>I47/'Summary Baseline Data'!G54</f>
        <v>-406.60677832068598</v>
      </c>
      <c r="L46" s="73">
        <f>I46/('Summary Baseline Data'!D54-'Summary Baseline Data'!D53)</f>
        <v>-4946.7724116472828</v>
      </c>
      <c r="M46" s="73">
        <f>I46/('Summary Baseline Data'!G54-'Summary Baseline Data'!G53)</f>
        <v>-14543.510890243018</v>
      </c>
      <c r="N46" s="73">
        <f>N45*(1+'Economist Financing Model 1'!$I$5)+'Economist Financing Model 1'!I46</f>
        <v>830476552.95976996</v>
      </c>
      <c r="O46" s="72">
        <f>PMT($O$5,50,'Underlying Assumptions'!$E$5)</f>
        <v>-53078656.685678646</v>
      </c>
      <c r="P46" s="73">
        <f>O46/'Summary Baseline Data'!D54</f>
        <v>-162.74283401582596</v>
      </c>
      <c r="Q46" s="73">
        <f>O47/'Summary Baseline Data'!G54</f>
        <v>-478.46393200652835</v>
      </c>
      <c r="R46" s="73">
        <f>O46/('Summary Baseline Data'!D54-'Summary Baseline Data'!D53)</f>
        <v>-5820.9855442977077</v>
      </c>
      <c r="S46" s="73">
        <f>O46/('Summary Baseline Data'!G54-'Summary Baseline Data'!G53)</f>
        <v>-17113.697500235266</v>
      </c>
      <c r="T46" s="70">
        <f>T45*(1+'Economist Financing Model 1'!$O$5)+'Economist Financing Model 1'!O46</f>
        <v>859497592.56333327</v>
      </c>
      <c r="U46" s="73">
        <f>PMT($U$5,50,'Underlying Assumptions'!$E$5)</f>
        <v>-70213594.203879833</v>
      </c>
      <c r="V46" s="85">
        <f>U46/'Summary Baseline Data'!D54</f>
        <v>-215.27973804694406</v>
      </c>
      <c r="W46" s="85">
        <f>U47/'Summary Baseline Data'!G54</f>
        <v>-632.92242985801556</v>
      </c>
      <c r="X46" s="85">
        <f>U46/('Summary Baseline Data'!D54-'Summary Baseline Data'!D53)</f>
        <v>-7700.1254815901557</v>
      </c>
      <c r="Y46" s="73">
        <f>U46/('Summary Baseline Data'!G54-'Summary Baseline Data'!G53)</f>
        <v>-22638.368915875068</v>
      </c>
      <c r="Z46" s="73">
        <f>Z45*(1+'Economist Financing Model 1'!U$5)+'Economist Financing Model 1'!U46</f>
        <v>902526197.19850445</v>
      </c>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6"/>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row>
    <row r="47" spans="1:303" x14ac:dyDescent="0.2">
      <c r="A47" s="224">
        <v>2030</v>
      </c>
      <c r="B47" s="128">
        <v>42</v>
      </c>
      <c r="C47" s="72">
        <f>PMT($C$5,50,'Underlying Assumptions'!$E$5)</f>
        <v>-37660664.113983564</v>
      </c>
      <c r="D47" s="73">
        <f>C47/'Summary Baseline Data'!D55</f>
        <v>-112.32969380999604</v>
      </c>
      <c r="E47" s="73">
        <f>C48/'Summary Baseline Data'!G55</f>
        <v>-330.24929980138836</v>
      </c>
      <c r="F47" s="73">
        <f>C47/('Summary Baseline Data'!D55-'Summary Baseline Data'!D54)</f>
        <v>-4130.1380834549063</v>
      </c>
      <c r="G47" s="73">
        <f>C47/('Summary Baseline Data'!G55-'Summary Baseline Data'!G54)</f>
        <v>-12142.605965357374</v>
      </c>
      <c r="H47" s="70">
        <f>H46*(1+'Economist Financing Model 1'!$C$5)+'Economist Financing Model 1'!C47</f>
        <v>782053509.11813235</v>
      </c>
      <c r="I47" s="72">
        <f>PMT($I$5,50,'Underlying Assumptions'!$E$5)</f>
        <v>-45107144.235605747</v>
      </c>
      <c r="J47" s="73">
        <f>I47/'Summary Baseline Data'!D55</f>
        <v>-134.54015800925748</v>
      </c>
      <c r="K47" s="73">
        <f>I48/'Summary Baseline Data'!G55</f>
        <v>-395.54806454721694</v>
      </c>
      <c r="L47" s="73">
        <f>I47/('Summary Baseline Data'!D55-'Summary Baseline Data'!D54)</f>
        <v>-4946.7724116472828</v>
      </c>
      <c r="M47" s="73">
        <f>I47/('Summary Baseline Data'!G55-'Summary Baseline Data'!G54)</f>
        <v>-14543.510890242949</v>
      </c>
      <c r="N47" s="73">
        <f>N46*(1+'Economist Financing Model 1'!$I$5)+'Economist Financing Model 1'!I47</f>
        <v>818588470.84255505</v>
      </c>
      <c r="O47" s="72">
        <f>PMT($O$5,50,'Underlying Assumptions'!$E$5)</f>
        <v>-53078656.685678646</v>
      </c>
      <c r="P47" s="73">
        <f>O47/'Summary Baseline Data'!D55</f>
        <v>-158.31662541326114</v>
      </c>
      <c r="Q47" s="73">
        <f>O48/'Summary Baseline Data'!G55</f>
        <v>-465.45087871498771</v>
      </c>
      <c r="R47" s="73">
        <f>O47/('Summary Baseline Data'!D55-'Summary Baseline Data'!D54)</f>
        <v>-5820.9855442977077</v>
      </c>
      <c r="S47" s="73">
        <f>O47/('Summary Baseline Data'!G55-'Summary Baseline Data'!G54)</f>
        <v>-17113.697500235186</v>
      </c>
      <c r="T47" s="70">
        <f>T46*(1+'Economist Financing Model 1'!$O$5)+'Economist Financing Model 1'!O47</f>
        <v>849393815.50582135</v>
      </c>
      <c r="U47" s="73">
        <f>PMT($U$5,50,'Underlying Assumptions'!$E$5)</f>
        <v>-70213594.203879833</v>
      </c>
      <c r="V47" s="85">
        <f>U47/'Summary Baseline Data'!D55</f>
        <v>-209.4246536479061</v>
      </c>
      <c r="W47" s="85">
        <f>U48/'Summary Baseline Data'!G55</f>
        <v>-615.70848172484386</v>
      </c>
      <c r="X47" s="85">
        <f>U47/('Summary Baseline Data'!D55-'Summary Baseline Data'!D54)</f>
        <v>-7700.1254815901557</v>
      </c>
      <c r="Y47" s="73">
        <f>U47/('Summary Baseline Data'!G55-'Summary Baseline Data'!G54)</f>
        <v>-22638.368915874962</v>
      </c>
      <c r="Z47" s="73">
        <f>Z46*(1+'Economist Financing Model 1'!U$5)+'Economist Financing Model 1'!U47</f>
        <v>895489436.79851997</v>
      </c>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c r="IW47" s="66"/>
      <c r="IX47" s="66"/>
      <c r="IY47" s="66"/>
      <c r="IZ47" s="66"/>
      <c r="JA47" s="66"/>
      <c r="JB47" s="66"/>
      <c r="JC47" s="66"/>
      <c r="JD47" s="66"/>
      <c r="JE47" s="66"/>
      <c r="JF47" s="66"/>
      <c r="JG47" s="66"/>
      <c r="JH47" s="66"/>
      <c r="JI47" s="66"/>
      <c r="JJ47" s="66"/>
      <c r="JK47" s="66"/>
      <c r="JL47" s="66"/>
      <c r="JM47" s="66"/>
      <c r="JN47" s="66"/>
      <c r="JO47" s="66"/>
      <c r="JP47" s="66"/>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row>
    <row r="48" spans="1:303" x14ac:dyDescent="0.2">
      <c r="A48" s="224">
        <v>2031</v>
      </c>
      <c r="B48" s="296">
        <v>43</v>
      </c>
      <c r="C48" s="72">
        <f>PMT($C$5,50,'Underlying Assumptions'!$E$5)</f>
        <v>-37660664.113983564</v>
      </c>
      <c r="D48" s="73">
        <f>C48/'Summary Baseline Data'!D56</f>
        <v>-109.35549087578255</v>
      </c>
      <c r="E48" s="73">
        <f>C49/'Summary Baseline Data'!G56</f>
        <v>-321.50514317480071</v>
      </c>
      <c r="F48" s="73">
        <f>C48/('Summary Baseline Data'!D56-'Summary Baseline Data'!D55)</f>
        <v>-4130.1380834549063</v>
      </c>
      <c r="G48" s="73">
        <f>C48/('Summary Baseline Data'!G56-'Summary Baseline Data'!G55)</f>
        <v>-12142.60596535743</v>
      </c>
      <c r="H48" s="70">
        <f>H47*(1+'Economist Financing Model 1'!$C$5)+'Economist Financing Model 1'!C48</f>
        <v>767854450.27769279</v>
      </c>
      <c r="I48" s="72">
        <f>PMT($I$5,50,'Underlying Assumptions'!$E$5)</f>
        <v>-45107144.235605747</v>
      </c>
      <c r="J48" s="73">
        <f>I48/'Summary Baseline Data'!D56</f>
        <v>-130.97787880107654</v>
      </c>
      <c r="K48" s="73">
        <f>I49/'Summary Baseline Data'!G56</f>
        <v>-385.07496367516501</v>
      </c>
      <c r="L48" s="73">
        <f>I48/('Summary Baseline Data'!D56-'Summary Baseline Data'!D55)</f>
        <v>-4946.7724116472828</v>
      </c>
      <c r="M48" s="73">
        <f>I48/('Summary Baseline Data'!G56-'Summary Baseline Data'!G55)</f>
        <v>-14543.510890243018</v>
      </c>
      <c r="N48" s="73">
        <f>N47*(1+'Economist Financing Model 1'!$I$5)+'Economist Financing Model 1'!I48</f>
        <v>806224865.44065154</v>
      </c>
      <c r="O48" s="72">
        <f>PMT($O$5,50,'Underlying Assumptions'!$E$5)</f>
        <v>-53078656.685678646</v>
      </c>
      <c r="P48" s="73">
        <f>O48/'Summary Baseline Data'!D56</f>
        <v>-154.12480617234553</v>
      </c>
      <c r="Q48" s="73">
        <f>O49/'Summary Baseline Data'!G56</f>
        <v>-453.12693014669583</v>
      </c>
      <c r="R48" s="73">
        <f>O48/('Summary Baseline Data'!D56-'Summary Baseline Data'!D55)</f>
        <v>-5820.9855442977077</v>
      </c>
      <c r="S48" s="73">
        <f>O48/('Summary Baseline Data'!G56-'Summary Baseline Data'!G55)</f>
        <v>-17113.697500235266</v>
      </c>
      <c r="T48" s="70">
        <f>T47*(1+'Economist Financing Model 1'!$O$5)+'Economist Financing Model 1'!O48</f>
        <v>838784849.59543383</v>
      </c>
      <c r="U48" s="73">
        <f>PMT($U$5,50,'Underlying Assumptions'!$E$5)</f>
        <v>-70213594.203879833</v>
      </c>
      <c r="V48" s="85">
        <f>U48/'Summary Baseline Data'!D56</f>
        <v>-203.87962456209888</v>
      </c>
      <c r="W48" s="85">
        <f>U49/'Summary Baseline Data'!G56</f>
        <v>-599.40609621257067</v>
      </c>
      <c r="X48" s="85">
        <f>U48/('Summary Baseline Data'!D56-'Summary Baseline Data'!D55)</f>
        <v>-7700.1254815901557</v>
      </c>
      <c r="Y48" s="73">
        <f>U48/('Summary Baseline Data'!G56-'Summary Baseline Data'!G55)</f>
        <v>-22638.368915875068</v>
      </c>
      <c r="Z48" s="73">
        <f>Z47*(1+'Economist Financing Model 1'!U$5)+'Economist Financing Model 1'!U48</f>
        <v>887960103.17053664</v>
      </c>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c r="IW48" s="66"/>
      <c r="IX48" s="66"/>
      <c r="IY48" s="66"/>
      <c r="IZ48" s="66"/>
      <c r="JA48" s="66"/>
      <c r="JB48" s="66"/>
      <c r="JC48" s="66"/>
      <c r="JD48" s="66"/>
      <c r="JE48" s="66"/>
      <c r="JF48" s="66"/>
      <c r="JG48" s="66"/>
      <c r="JH48" s="66"/>
      <c r="JI48" s="66"/>
      <c r="JJ48" s="66"/>
      <c r="JK48" s="66"/>
      <c r="JL48" s="66"/>
      <c r="JM48" s="66"/>
      <c r="JN48" s="66"/>
      <c r="JO48" s="66"/>
      <c r="JP48" s="66"/>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row>
    <row r="49" spans="1:303" x14ac:dyDescent="0.2">
      <c r="A49" s="224">
        <v>2032</v>
      </c>
      <c r="B49" s="128">
        <v>44</v>
      </c>
      <c r="C49" s="72">
        <f>PMT($C$5,50,'Underlying Assumptions'!$E$5)</f>
        <v>-37660664.113983564</v>
      </c>
      <c r="D49" s="73">
        <f>C49/'Summary Baseline Data'!D57</f>
        <v>-106.53472391977382</v>
      </c>
      <c r="E49" s="73">
        <f>C50/'Summary Baseline Data'!G57</f>
        <v>-313.21208832413504</v>
      </c>
      <c r="F49" s="73">
        <f>C49/('Summary Baseline Data'!D57-'Summary Baseline Data'!D56)</f>
        <v>-4130.1380834549063</v>
      </c>
      <c r="G49" s="73">
        <f>C49/('Summary Baseline Data'!G57-'Summary Baseline Data'!G56)</f>
        <v>-12142.60596535743</v>
      </c>
      <c r="H49" s="70">
        <f>H48*(1+'Economist Financing Model 1'!$C$5)+'Economist Financing Model 1'!C49</f>
        <v>753229419.6720401</v>
      </c>
      <c r="I49" s="72">
        <f>PMT($I$5,50,'Underlying Assumptions'!$E$5)</f>
        <v>-45107144.235605747</v>
      </c>
      <c r="J49" s="73">
        <f>I49/'Summary Baseline Data'!D57</f>
        <v>-127.59937380300687</v>
      </c>
      <c r="K49" s="73">
        <f>I50/'Summary Baseline Data'!G57</f>
        <v>-375.14215898084018</v>
      </c>
      <c r="L49" s="73">
        <f>I49/('Summary Baseline Data'!D57-'Summary Baseline Data'!D56)</f>
        <v>-4946.7724116472828</v>
      </c>
      <c r="M49" s="73">
        <f>I49/('Summary Baseline Data'!G57-'Summary Baseline Data'!G56)</f>
        <v>-14543.510890243018</v>
      </c>
      <c r="N49" s="73">
        <f>N48*(1+'Economist Financing Model 1'!$I$5)+'Economist Financing Model 1'!I49</f>
        <v>793366715.82267189</v>
      </c>
      <c r="O49" s="72">
        <f>PMT($O$5,50,'Underlying Assumptions'!$E$5)</f>
        <v>-53078656.685678646</v>
      </c>
      <c r="P49" s="73">
        <f>O49/'Summary Baseline Data'!D57</f>
        <v>-150.14923844483161</v>
      </c>
      <c r="Q49" s="73">
        <f>O50/'Summary Baseline Data'!G57</f>
        <v>-441.43876102780496</v>
      </c>
      <c r="R49" s="73">
        <f>O49/('Summary Baseline Data'!D57-'Summary Baseline Data'!D56)</f>
        <v>-5820.9855442977077</v>
      </c>
      <c r="S49" s="73">
        <f>O49/('Summary Baseline Data'!G57-'Summary Baseline Data'!G56)</f>
        <v>-17113.697500235266</v>
      </c>
      <c r="T49" s="70">
        <f>T48*(1+'Economist Financing Model 1'!$O$5)+'Economist Financing Model 1'!O49</f>
        <v>827645435.38952696</v>
      </c>
      <c r="U49" s="73">
        <f>PMT($U$5,50,'Underlying Assumptions'!$E$5)</f>
        <v>-70213594.203879833</v>
      </c>
      <c r="V49" s="85">
        <f>U49/'Summary Baseline Data'!D57</f>
        <v>-198.62065765186401</v>
      </c>
      <c r="W49" s="85">
        <f>U50/'Summary Baseline Data'!G57</f>
        <v>-583.94473349648013</v>
      </c>
      <c r="X49" s="85">
        <f>U49/('Summary Baseline Data'!D57-'Summary Baseline Data'!D56)</f>
        <v>-7700.1254815901557</v>
      </c>
      <c r="Y49" s="73">
        <f>U49/('Summary Baseline Data'!G57-'Summary Baseline Data'!G56)</f>
        <v>-22638.368915875068</v>
      </c>
      <c r="Z49" s="73">
        <f>Z48*(1+'Economist Financing Model 1'!U$5)+'Economist Financing Model 1'!U49</f>
        <v>879903716.18859446</v>
      </c>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row>
    <row r="50" spans="1:303" x14ac:dyDescent="0.2">
      <c r="A50" s="224">
        <v>2033</v>
      </c>
      <c r="B50" s="296">
        <v>45</v>
      </c>
      <c r="C50" s="72">
        <f>PMT($C$5,50,'Underlying Assumptions'!$E$5)</f>
        <v>-37660664.113983564</v>
      </c>
      <c r="D50" s="73">
        <f>C50/'Summary Baseline Data'!D58</f>
        <v>-103.85581810932125</v>
      </c>
      <c r="E50" s="73">
        <f>C51/'Summary Baseline Data'!G58</f>
        <v>-305.33610524140448</v>
      </c>
      <c r="F50" s="73">
        <f>C50/('Summary Baseline Data'!D58-'Summary Baseline Data'!D57)</f>
        <v>-4130.1380834549063</v>
      </c>
      <c r="G50" s="73">
        <f>C50/('Summary Baseline Data'!G58-'Summary Baseline Data'!G57)</f>
        <v>-12142.60596535743</v>
      </c>
      <c r="H50" s="70">
        <f>H49*(1+'Economist Financing Model 1'!$C$5)+'Economist Financing Model 1'!C50</f>
        <v>738165638.1482178</v>
      </c>
      <c r="I50" s="72">
        <f>PMT($I$5,50,'Underlying Assumptions'!$E$5)</f>
        <v>-45107144.235605747</v>
      </c>
      <c r="J50" s="73">
        <f>I50/'Summary Baseline Data'!D58</f>
        <v>-124.39077954083562</v>
      </c>
      <c r="K50" s="73">
        <f>I51/'Summary Baseline Data'!G58</f>
        <v>-365.70889185005672</v>
      </c>
      <c r="L50" s="73">
        <f>I50/('Summary Baseline Data'!D58-'Summary Baseline Data'!D57)</f>
        <v>-4946.7724116472828</v>
      </c>
      <c r="M50" s="73">
        <f>I50/('Summary Baseline Data'!G58-'Summary Baseline Data'!G57)</f>
        <v>-14543.510890243018</v>
      </c>
      <c r="N50" s="73">
        <f>N49*(1+'Economist Financing Model 1'!$I$5)+'Economist Financing Model 1'!I50</f>
        <v>779994240.21997309</v>
      </c>
      <c r="O50" s="72">
        <f>PMT($O$5,50,'Underlying Assumptions'!$E$5)</f>
        <v>-53078656.685678646</v>
      </c>
      <c r="P50" s="73">
        <f>O50/'Summary Baseline Data'!D58</f>
        <v>-146.37360874866053</v>
      </c>
      <c r="Q50" s="73">
        <f>O51/'Summary Baseline Data'!G58</f>
        <v>-430.33840972106191</v>
      </c>
      <c r="R50" s="73">
        <f>O50/('Summary Baseline Data'!D58-'Summary Baseline Data'!D57)</f>
        <v>-5820.9855442977077</v>
      </c>
      <c r="S50" s="73">
        <f>O50/('Summary Baseline Data'!G58-'Summary Baseline Data'!G57)</f>
        <v>-17113.697500235266</v>
      </c>
      <c r="T50" s="70">
        <f>T49*(1+'Economist Financing Model 1'!$O$5)+'Economist Financing Model 1'!O50</f>
        <v>815949050.47332478</v>
      </c>
      <c r="U50" s="73">
        <f>PMT($U$5,50,'Underlying Assumptions'!$E$5)</f>
        <v>-70213594.203879833</v>
      </c>
      <c r="V50" s="85">
        <f>U50/'Summary Baseline Data'!D58</f>
        <v>-193.62617309056569</v>
      </c>
      <c r="W50" s="85">
        <f>U51/'Summary Baseline Data'!G58</f>
        <v>-569.26094888626312</v>
      </c>
      <c r="X50" s="85">
        <f>U50/('Summary Baseline Data'!D58-'Summary Baseline Data'!D57)</f>
        <v>-7700.1254815901557</v>
      </c>
      <c r="Y50" s="73">
        <f>U50/('Summary Baseline Data'!G58-'Summary Baseline Data'!G57)</f>
        <v>-22638.368915875068</v>
      </c>
      <c r="Z50" s="73">
        <f>Z49*(1+'Economist Financing Model 1'!U$5)+'Economist Financing Model 1'!U50</f>
        <v>871283382.11791635</v>
      </c>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row>
    <row r="51" spans="1:303" x14ac:dyDescent="0.2">
      <c r="A51" s="224">
        <v>2034</v>
      </c>
      <c r="B51" s="128">
        <v>46</v>
      </c>
      <c r="C51" s="72">
        <f>PMT($C$5,50,'Underlying Assumptions'!$E$5)</f>
        <v>-37660664.113983564</v>
      </c>
      <c r="D51" s="73">
        <f>C51/'Summary Baseline Data'!D59</f>
        <v>-101.30833429004329</v>
      </c>
      <c r="E51" s="73">
        <f>C52/'Summary Baseline Data'!G59</f>
        <v>-297.84650281272729</v>
      </c>
      <c r="F51" s="73">
        <f>C51/('Summary Baseline Data'!D59-'Summary Baseline Data'!D58)</f>
        <v>-4130.1380834549063</v>
      </c>
      <c r="G51" s="73">
        <f>C51/('Summary Baseline Data'!G59-'Summary Baseline Data'!G58)</f>
        <v>-12142.60596535743</v>
      </c>
      <c r="H51" s="70">
        <f>H50*(1+'Economist Financing Model 1'!$C$5)+'Economist Financing Model 1'!C51</f>
        <v>722649943.1786809</v>
      </c>
      <c r="I51" s="72">
        <f>PMT($I$5,50,'Underlying Assumptions'!$E$5)</f>
        <v>-45107144.235605747</v>
      </c>
      <c r="J51" s="73">
        <f>I51/'Summary Baseline Data'!D59</f>
        <v>-121.33959277136556</v>
      </c>
      <c r="K51" s="73">
        <f>I52/'Summary Baseline Data'!G59</f>
        <v>-356.73840274781475</v>
      </c>
      <c r="L51" s="73">
        <f>I51/('Summary Baseline Data'!D59-'Summary Baseline Data'!D58)</f>
        <v>-4946.7724116472828</v>
      </c>
      <c r="M51" s="73">
        <f>I51/('Summary Baseline Data'!G59-'Summary Baseline Data'!G58)</f>
        <v>-14543.510890243018</v>
      </c>
      <c r="N51" s="73">
        <f>N50*(1+'Economist Financing Model 1'!$I$5)+'Economist Financing Model 1'!I51</f>
        <v>766086865.59316635</v>
      </c>
      <c r="O51" s="72">
        <f>PMT($O$5,50,'Underlying Assumptions'!$E$5)</f>
        <v>-53078656.685678646</v>
      </c>
      <c r="P51" s="73">
        <f>O51/'Summary Baseline Data'!D59</f>
        <v>-142.78320421817935</v>
      </c>
      <c r="Q51" s="73">
        <f>O52/'Summary Baseline Data'!G59</f>
        <v>-419.78262040144728</v>
      </c>
      <c r="R51" s="73">
        <f>O51/('Summary Baseline Data'!D59-'Summary Baseline Data'!D58)</f>
        <v>-5820.9855442977077</v>
      </c>
      <c r="S51" s="73">
        <f>O51/('Summary Baseline Data'!G59-'Summary Baseline Data'!G58)</f>
        <v>-17113.697500235266</v>
      </c>
      <c r="T51" s="70">
        <f>T50*(1+'Economist Financing Model 1'!$O$5)+'Economist Financing Model 1'!O51</f>
        <v>803667846.31131244</v>
      </c>
      <c r="U51" s="73">
        <f>PMT($U$5,50,'Underlying Assumptions'!$E$5)</f>
        <v>-70213594.203879833</v>
      </c>
      <c r="V51" s="85">
        <f>U51/'Summary Baseline Data'!D59</f>
        <v>-188.87670838154273</v>
      </c>
      <c r="W51" s="85">
        <f>U52/'Summary Baseline Data'!G59</f>
        <v>-555.29752264173555</v>
      </c>
      <c r="X51" s="85">
        <f>U51/('Summary Baseline Data'!D59-'Summary Baseline Data'!D58)</f>
        <v>-7700.1254815901557</v>
      </c>
      <c r="Y51" s="73">
        <f>U51/('Summary Baseline Data'!G59-'Summary Baseline Data'!G58)</f>
        <v>-22638.368915875068</v>
      </c>
      <c r="Z51" s="73">
        <f>Z50*(1+'Economist Financing Model 1'!U$5)+'Economist Financing Model 1'!U51</f>
        <v>862059624.66229069</v>
      </c>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row>
    <row r="52" spans="1:303" x14ac:dyDescent="0.2">
      <c r="A52" s="224">
        <v>2035</v>
      </c>
      <c r="B52" s="296">
        <v>47</v>
      </c>
      <c r="C52" s="72">
        <f>PMT($C$5,50,'Underlying Assumptions'!$E$5)</f>
        <v>-37660664.113983564</v>
      </c>
      <c r="D52" s="73">
        <f>C52/'Summary Baseline Data'!D60</f>
        <v>-98.633208042166814</v>
      </c>
      <c r="E52" s="73">
        <f>C53/'Summary Baseline Data'!G60</f>
        <v>-289.98163164397045</v>
      </c>
      <c r="F52" s="73">
        <f>C52/('Summary Baseline Data'!D60-'Summary Baseline Data'!D59)</f>
        <v>-3735.2876412345749</v>
      </c>
      <c r="G52" s="73">
        <f>C52/('Summary Baseline Data'!G60-'Summary Baseline Data'!G59)</f>
        <v>-10981.745665229673</v>
      </c>
      <c r="H52" s="70">
        <f>H51*(1+'Economist Financing Model 1'!$C$5)+'Economist Financing Model 1'!C52</f>
        <v>706668777.36005783</v>
      </c>
      <c r="I52" s="72">
        <f>PMT($I$5,50,'Underlying Assumptions'!$E$5)</f>
        <v>-45107144.235605747</v>
      </c>
      <c r="J52" s="73">
        <f>I52/'Summary Baseline Data'!D60</f>
        <v>-118.1355253883208</v>
      </c>
      <c r="K52" s="73">
        <f>I53/'Summary Baseline Data'!G60</f>
        <v>-347.31844464166318</v>
      </c>
      <c r="L52" s="73">
        <f>I52/('Summary Baseline Data'!D60-'Summary Baseline Data'!D59)</f>
        <v>-4473.8499003814213</v>
      </c>
      <c r="M52" s="73">
        <f>I52/('Summary Baseline Data'!G60-'Summary Baseline Data'!G59)</f>
        <v>-13153.118707121406</v>
      </c>
      <c r="N52" s="73">
        <f>N51*(1+'Economist Financing Model 1'!$I$5)+'Economist Financing Model 1'!I52</f>
        <v>751623195.98128736</v>
      </c>
      <c r="O52" s="72">
        <f>PMT($O$5,50,'Underlying Assumptions'!$E$5)</f>
        <v>-53078656.685678646</v>
      </c>
      <c r="P52" s="73">
        <f>O52/'Summary Baseline Data'!D60</f>
        <v>-139.0129014090698</v>
      </c>
      <c r="Q52" s="73">
        <f>O53/'Summary Baseline Data'!G60</f>
        <v>-408.69793014266526</v>
      </c>
      <c r="R52" s="73">
        <f>O52/('Summary Baseline Data'!D60-'Summary Baseline Data'!D59)</f>
        <v>-5264.4863014439543</v>
      </c>
      <c r="S52" s="73">
        <f>O52/('Summary Baseline Data'!G60-'Summary Baseline Data'!G59)</f>
        <v>-15477.589726245258</v>
      </c>
      <c r="T52" s="70">
        <f>T51*(1+'Economist Financing Model 1'!$O$5)+'Economist Financing Model 1'!O52</f>
        <v>790772581.94119954</v>
      </c>
      <c r="U52" s="73">
        <f>PMT($U$5,50,'Underlying Assumptions'!$E$5)</f>
        <v>-70213594.203879833</v>
      </c>
      <c r="V52" s="85">
        <f>U52/'Summary Baseline Data'!D60</f>
        <v>-183.88927034157453</v>
      </c>
      <c r="W52" s="85">
        <f>U53/'Summary Baseline Data'!G60</f>
        <v>-540.63445480422911</v>
      </c>
      <c r="X52" s="85">
        <f>U52/('Summary Baseline Data'!D60-'Summary Baseline Data'!D59)</f>
        <v>-6963.9762560382123</v>
      </c>
      <c r="Y52" s="73">
        <f>U52/('Summary Baseline Data'!G60-'Summary Baseline Data'!G59)</f>
        <v>-20474.090192752388</v>
      </c>
      <c r="Z52" s="73">
        <f>Z51*(1+'Economist Financing Model 1'!U$5)+'Economist Financing Model 1'!U52</f>
        <v>852190204.1847713</v>
      </c>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row>
    <row r="53" spans="1:303" x14ac:dyDescent="0.2">
      <c r="A53" s="224">
        <v>2036</v>
      </c>
      <c r="B53" s="128">
        <v>48</v>
      </c>
      <c r="C53" s="72">
        <f>PMT($C$5,50,'Underlying Assumptions'!$E$5)</f>
        <v>-37660664.113983564</v>
      </c>
      <c r="D53" s="73">
        <f>C53/'Summary Baseline Data'!D61</f>
        <v>-96.095724846465316</v>
      </c>
      <c r="E53" s="73">
        <f>C54/'Summary Baseline Data'!G61</f>
        <v>-282.52143104860806</v>
      </c>
      <c r="F53" s="73">
        <f>C53/('Summary Baseline Data'!D61-'Summary Baseline Data'!D60)</f>
        <v>-3735.2876412345749</v>
      </c>
      <c r="G53" s="73">
        <f>C53/('Summary Baseline Data'!G61-'Summary Baseline Data'!G60)</f>
        <v>-10981.745665229673</v>
      </c>
      <c r="H53" s="70">
        <f>H52*(1+'Economist Financing Model 1'!$C$5)+'Economist Financing Model 1'!C53</f>
        <v>690208176.56687605</v>
      </c>
      <c r="I53" s="72">
        <f>PMT($I$5,50,'Underlying Assumptions'!$E$5)</f>
        <v>-45107144.235605747</v>
      </c>
      <c r="J53" s="73">
        <f>I53/'Summary Baseline Data'!D61</f>
        <v>-115.09631662244472</v>
      </c>
      <c r="K53" s="73">
        <f>I54/'Summary Baseline Data'!G61</f>
        <v>-338.38317086998751</v>
      </c>
      <c r="L53" s="73">
        <f>I53/('Summary Baseline Data'!D61-'Summary Baseline Data'!D60)</f>
        <v>-4473.8499003814213</v>
      </c>
      <c r="M53" s="73">
        <f>I53/('Summary Baseline Data'!G61-'Summary Baseline Data'!G60)</f>
        <v>-13153.118707121406</v>
      </c>
      <c r="N53" s="73">
        <f>N52*(1+'Economist Financing Model 1'!$I$5)+'Economist Financing Model 1'!I53</f>
        <v>736580979.58493316</v>
      </c>
      <c r="O53" s="72">
        <f>PMT($O$5,50,'Underlying Assumptions'!$E$5)</f>
        <v>-53078656.685678646</v>
      </c>
      <c r="P53" s="73">
        <f>O53/'Summary Baseline Data'!D61</f>
        <v>-135.43659168222382</v>
      </c>
      <c r="Q53" s="73">
        <f>O54/'Summary Baseline Data'!G61</f>
        <v>-398.1835795457381</v>
      </c>
      <c r="R53" s="73">
        <f>O53/('Summary Baseline Data'!D61-'Summary Baseline Data'!D60)</f>
        <v>-5264.4863014439543</v>
      </c>
      <c r="S53" s="73">
        <f>O53/('Summary Baseline Data'!G61-'Summary Baseline Data'!G60)</f>
        <v>-15477.589726245258</v>
      </c>
      <c r="T53" s="70">
        <f>T52*(1+'Economist Financing Model 1'!$O$5)+'Economist Financing Model 1'!O53</f>
        <v>777232554.3525809</v>
      </c>
      <c r="U53" s="73">
        <f>PMT($U$5,50,'Underlying Assumptions'!$E$5)</f>
        <v>-70213594.203879833</v>
      </c>
      <c r="V53" s="85">
        <f>U53/'Summary Baseline Data'!D61</f>
        <v>-179.15845054341818</v>
      </c>
      <c r="W53" s="85">
        <f>U54/'Summary Baseline Data'!G61</f>
        <v>-526.72584459764948</v>
      </c>
      <c r="X53" s="85">
        <f>U53/('Summary Baseline Data'!D61-'Summary Baseline Data'!D60)</f>
        <v>-6963.9762560382123</v>
      </c>
      <c r="Y53" s="73">
        <f>U53/('Summary Baseline Data'!G61-'Summary Baseline Data'!G60)</f>
        <v>-20474.090192752388</v>
      </c>
      <c r="Z53" s="73">
        <f>Z52*(1+'Economist Financing Model 1'!U$5)+'Economist Financing Model 1'!U53</f>
        <v>841629924.27382553</v>
      </c>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row>
    <row r="54" spans="1:303" x14ac:dyDescent="0.2">
      <c r="A54" s="224">
        <v>2037</v>
      </c>
      <c r="B54" s="296">
        <v>49</v>
      </c>
      <c r="C54" s="72">
        <f>PMT($C$5,50,'Underlying Assumptions'!$E$5)</f>
        <v>-37660664.113983564</v>
      </c>
      <c r="D54" s="73">
        <f>C54/'Summary Baseline Data'!D62</f>
        <v>-93.685527940689994</v>
      </c>
      <c r="E54" s="73">
        <f>C55/'Summary Baseline Data'!G62</f>
        <v>-275.43545214562857</v>
      </c>
      <c r="F54" s="73">
        <f>C54/('Summary Baseline Data'!D62-'Summary Baseline Data'!D61)</f>
        <v>-3735.2876412345749</v>
      </c>
      <c r="G54" s="73">
        <f>C54/('Summary Baseline Data'!G62-'Summary Baseline Data'!G61)</f>
        <v>-10981.74566522958</v>
      </c>
      <c r="H54" s="70">
        <f>H53*(1+'Economist Financing Model 1'!$C$5)+'Economist Financing Model 1'!C54</f>
        <v>673253757.74989879</v>
      </c>
      <c r="I54" s="72">
        <f>PMT($I$5,50,'Underlying Assumptions'!$E$5)</f>
        <v>-45107144.235605747</v>
      </c>
      <c r="J54" s="73">
        <f>I54/'Summary Baseline Data'!D62</f>
        <v>-112.20956191371268</v>
      </c>
      <c r="K54" s="73">
        <f>I55/'Summary Baseline Data'!G62</f>
        <v>-329.89611202631522</v>
      </c>
      <c r="L54" s="73">
        <f>I54/('Summary Baseline Data'!D62-'Summary Baseline Data'!D61)</f>
        <v>-4473.8499003814213</v>
      </c>
      <c r="M54" s="73">
        <f>I54/('Summary Baseline Data'!G62-'Summary Baseline Data'!G61)</f>
        <v>-13153.118707121295</v>
      </c>
      <c r="N54" s="73">
        <f>N53*(1+'Economist Financing Model 1'!$I$5)+'Economist Financing Model 1'!I54</f>
        <v>720937074.53272474</v>
      </c>
      <c r="O54" s="72">
        <f>PMT($O$5,50,'Underlying Assumptions'!$E$5)</f>
        <v>-53078656.685678646</v>
      </c>
      <c r="P54" s="73">
        <f>O54/'Summary Baseline Data'!D62</f>
        <v>-132.0396782948406</v>
      </c>
      <c r="Q54" s="73">
        <f>O55/'Summary Baseline Data'!G62</f>
        <v>-388.19665418683138</v>
      </c>
      <c r="R54" s="73">
        <f>O54/('Summary Baseline Data'!D62-'Summary Baseline Data'!D61)</f>
        <v>-5264.4863014439543</v>
      </c>
      <c r="S54" s="73">
        <f>O54/('Summary Baseline Data'!G62-'Summary Baseline Data'!G61)</f>
        <v>-15477.589726245127</v>
      </c>
      <c r="T54" s="70">
        <f>T53*(1+'Economist Financing Model 1'!$O$5)+'Economist Financing Model 1'!O54</f>
        <v>763015525.38453138</v>
      </c>
      <c r="U54" s="73">
        <f>PMT($U$5,50,'Underlying Assumptions'!$E$5)</f>
        <v>-70213594.203879833</v>
      </c>
      <c r="V54" s="85">
        <f>U54/'Summary Baseline Data'!D62</f>
        <v>-174.66494010023087</v>
      </c>
      <c r="W54" s="85">
        <f>U55/'Summary Baseline Data'!G62</f>
        <v>-513.51492389467865</v>
      </c>
      <c r="X54" s="85">
        <f>U54/('Summary Baseline Data'!D62-'Summary Baseline Data'!D61)</f>
        <v>-6963.9762560382123</v>
      </c>
      <c r="Y54" s="73">
        <f>U54/('Summary Baseline Data'!G62-'Summary Baseline Data'!G61)</f>
        <v>-20474.090192752214</v>
      </c>
      <c r="Z54" s="73">
        <f>Z53*(1+'Economist Financing Model 1'!U$5)+'Economist Financing Model 1'!U54</f>
        <v>830330424.76911354</v>
      </c>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row>
    <row r="55" spans="1:303" x14ac:dyDescent="0.2">
      <c r="A55" s="224">
        <v>2038</v>
      </c>
      <c r="B55" s="128">
        <v>50</v>
      </c>
      <c r="C55" s="72">
        <f>PMT($C$5,50,'Underlying Assumptions'!$E$5)</f>
        <v>-37660664.113983564</v>
      </c>
      <c r="D55" s="73">
        <f>C55/'Summary Baseline Data'!D63</f>
        <v>-91.393274180286568</v>
      </c>
      <c r="E55" s="73">
        <f>C56/'Summary Baseline Data'!G63</f>
        <v>-268.6962260900425</v>
      </c>
      <c r="F55" s="73">
        <f>C55/('Summary Baseline Data'!D63-'Summary Baseline Data'!D62)</f>
        <v>-3735.2876412345749</v>
      </c>
      <c r="G55" s="73">
        <f>C55/('Summary Baseline Data'!G63-'Summary Baseline Data'!G62)</f>
        <v>-10981.745665229673</v>
      </c>
      <c r="H55" s="70">
        <f>H54*(1+'Economist Financing Model 1'!$C$5)+'Economist Financing Model 1'!C55</f>
        <v>655790706.36841226</v>
      </c>
      <c r="I55" s="72">
        <f>PMT($I$5,50,'Underlying Assumptions'!$E$5)</f>
        <v>-45107144.235605747</v>
      </c>
      <c r="J55" s="73">
        <f>I55/'Summary Baseline Data'!D63</f>
        <v>-109.46407073803435</v>
      </c>
      <c r="K55" s="73">
        <f>I56/'Summary Baseline Data'!G63</f>
        <v>-321.82436796982103</v>
      </c>
      <c r="L55" s="73">
        <f>I55/('Summary Baseline Data'!D63-'Summary Baseline Data'!D62)</f>
        <v>-4473.8499003814213</v>
      </c>
      <c r="M55" s="73">
        <f>I55/('Summary Baseline Data'!G63-'Summary Baseline Data'!G62)</f>
        <v>-13153.118707121406</v>
      </c>
      <c r="N55" s="73">
        <f>N54*(1+'Economist Financing Model 1'!$I$5)+'Economist Financing Model 1'!I55</f>
        <v>704667413.27842808</v>
      </c>
      <c r="O55" s="72">
        <f>PMT($O$5,50,'Underlying Assumptions'!$E$5)</f>
        <v>-53078656.685678646</v>
      </c>
      <c r="P55" s="73">
        <f>O55/'Summary Baseline Data'!D63</f>
        <v>-128.80899308927269</v>
      </c>
      <c r="Q55" s="73">
        <f>O56/'Summary Baseline Data'!G63</f>
        <v>-378.69843968246175</v>
      </c>
      <c r="R55" s="73">
        <f>O55/('Summary Baseline Data'!D63-'Summary Baseline Data'!D62)</f>
        <v>-5264.4863014439543</v>
      </c>
      <c r="S55" s="73">
        <f>O55/('Summary Baseline Data'!G63-'Summary Baseline Data'!G62)</f>
        <v>-15477.589726245258</v>
      </c>
      <c r="T55" s="70">
        <f>T54*(1+'Economist Financing Model 1'!$O$5)+'Economist Financing Model 1'!O55</f>
        <v>748087644.96807933</v>
      </c>
      <c r="U55" s="73">
        <f>PMT($U$5,50,'Underlying Assumptions'!$E$5)</f>
        <v>-70213594.203879833</v>
      </c>
      <c r="V55" s="85">
        <f>U55/'Summary Baseline Data'!D63</f>
        <v>-170.39131988848521</v>
      </c>
      <c r="W55" s="85">
        <f>U56/'Summary Baseline Data'!G63</f>
        <v>-500.95048047214658</v>
      </c>
      <c r="X55" s="85">
        <f>U55/('Summary Baseline Data'!D63-'Summary Baseline Data'!D62)</f>
        <v>-6963.9762560382123</v>
      </c>
      <c r="Y55" s="73">
        <f>U55/('Summary Baseline Data'!G63-'Summary Baseline Data'!G62)</f>
        <v>-20474.090192752388</v>
      </c>
      <c r="Z55" s="73">
        <f>Z54*(1+'Economist Financing Model 1'!U$5)+'Economist Financing Model 1'!U55</f>
        <v>818239960.29907167</v>
      </c>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row>
    <row r="56" spans="1:303" x14ac:dyDescent="0.2">
      <c r="A56" s="224">
        <v>2039</v>
      </c>
      <c r="B56" s="296">
        <v>51</v>
      </c>
      <c r="C56" s="72">
        <f>PMT($C$5,50,'Underlying Assumptions'!$E$5)</f>
        <v>-37660664.113983564</v>
      </c>
      <c r="D56" s="73">
        <f>C56/'Summary Baseline Data'!D64</f>
        <v>-89.210512996372316</v>
      </c>
      <c r="E56" s="73">
        <f>C57/'Summary Baseline Data'!G64</f>
        <v>-262.27890820933459</v>
      </c>
      <c r="F56" s="73">
        <f>C56/('Summary Baseline Data'!D64-'Summary Baseline Data'!D63)</f>
        <v>-3735.2876412345749</v>
      </c>
      <c r="G56" s="73">
        <f>C56/('Summary Baseline Data'!G64-'Summary Baseline Data'!G63)</f>
        <v>-10981.745665229673</v>
      </c>
      <c r="H56" s="70">
        <f>H55*(1+'Economist Financing Model 1'!$C$5)+'Economist Financing Model 1'!C56</f>
        <v>637803763.44548118</v>
      </c>
      <c r="I56" s="72">
        <f>PMT($I$5,50,'Underlying Assumptions'!$E$5)</f>
        <v>-45107144.235605747</v>
      </c>
      <c r="J56" s="73">
        <f>I56/'Summary Baseline Data'!D64</f>
        <v>-106.84972163211553</v>
      </c>
      <c r="K56" s="73">
        <f>I57/'Summary Baseline Data'!G64</f>
        <v>-314.13818159841969</v>
      </c>
      <c r="L56" s="73">
        <f>I56/('Summary Baseline Data'!D64-'Summary Baseline Data'!D63)</f>
        <v>-4473.8499003814213</v>
      </c>
      <c r="M56" s="73">
        <f>I56/('Summary Baseline Data'!G64-'Summary Baseline Data'!G63)</f>
        <v>-13153.118707121406</v>
      </c>
      <c r="N56" s="73">
        <f>N55*(1+'Economist Financing Model 1'!$I$5)+'Economist Financing Model 1'!I56</f>
        <v>687746965.57395947</v>
      </c>
      <c r="O56" s="72">
        <f>PMT($O$5,50,'Underlying Assumptions'!$E$5)</f>
        <v>-53078656.685678646</v>
      </c>
      <c r="P56" s="73">
        <f>O56/'Summary Baseline Data'!D64</f>
        <v>-125.73262589730936</v>
      </c>
      <c r="Q56" s="73">
        <f>O57/'Summary Baseline Data'!G64</f>
        <v>-369.65392013808952</v>
      </c>
      <c r="R56" s="73">
        <f>O56/('Summary Baseline Data'!D64-'Summary Baseline Data'!D63)</f>
        <v>-5264.4863014439543</v>
      </c>
      <c r="S56" s="73">
        <f>O56/('Summary Baseline Data'!G64-'Summary Baseline Data'!G63)</f>
        <v>-15477.589726245258</v>
      </c>
      <c r="T56" s="70">
        <f>T55*(1+'Economist Financing Model 1'!$O$5)+'Economist Financing Model 1'!O56</f>
        <v>732413370.53080475</v>
      </c>
      <c r="U56" s="73">
        <f>PMT($U$5,50,'Underlying Assumptions'!$E$5)</f>
        <v>-70213594.203879833</v>
      </c>
      <c r="V56" s="85">
        <f>U56/'Summary Baseline Data'!D64</f>
        <v>-166.32183488026865</v>
      </c>
      <c r="W56" s="85">
        <f>U57/'Summary Baseline Data'!G64</f>
        <v>-488.98619454798984</v>
      </c>
      <c r="X56" s="85">
        <f>U56/('Summary Baseline Data'!D64-'Summary Baseline Data'!D63)</f>
        <v>-6963.9762560382123</v>
      </c>
      <c r="Y56" s="73">
        <f>U56/('Summary Baseline Data'!G64-'Summary Baseline Data'!G63)</f>
        <v>-20474.090192752388</v>
      </c>
      <c r="Z56" s="73">
        <f>Z55*(1+'Economist Financing Model 1'!U$5)+'Economist Financing Model 1'!U56</f>
        <v>805303163.31612694</v>
      </c>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row>
    <row r="57" spans="1:303" x14ac:dyDescent="0.2">
      <c r="A57" s="224">
        <v>2040</v>
      </c>
      <c r="B57" s="128">
        <v>52</v>
      </c>
      <c r="C57" s="72">
        <f>PMT($C$5,50,'Underlying Assumptions'!$E$5)</f>
        <v>-37660664.113983564</v>
      </c>
      <c r="D57" s="73">
        <f>C57/'Summary Baseline Data'!D65</f>
        <v>-87.12958229432148</v>
      </c>
      <c r="E57" s="73">
        <f>C58/'Summary Baseline Data'!G65</f>
        <v>-256.16097194530516</v>
      </c>
      <c r="F57" s="73">
        <f>C57/('Summary Baseline Data'!D65-'Summary Baseline Data'!D64)</f>
        <v>-3735.2876412345749</v>
      </c>
      <c r="G57" s="73">
        <f>C57/('Summary Baseline Data'!G65-'Summary Baseline Data'!G64)</f>
        <v>-10981.745665229673</v>
      </c>
      <c r="H57" s="70">
        <f>H56*(1+'Economist Financing Model 1'!$C$5)+'Economist Financing Model 1'!C57</f>
        <v>619277212.23486209</v>
      </c>
      <c r="I57" s="72">
        <f>PMT($I$5,50,'Underlying Assumptions'!$E$5)</f>
        <v>-45107144.235605747</v>
      </c>
      <c r="J57" s="73">
        <f>I57/'Summary Baseline Data'!D65</f>
        <v>-104.35733750852131</v>
      </c>
      <c r="K57" s="73">
        <f>I58/'Summary Baseline Data'!G65</f>
        <v>-306.81057227505272</v>
      </c>
      <c r="L57" s="73">
        <f>I57/('Summary Baseline Data'!D65-'Summary Baseline Data'!D64)</f>
        <v>-4473.8499003814213</v>
      </c>
      <c r="M57" s="73">
        <f>I57/('Summary Baseline Data'!G65-'Summary Baseline Data'!G64)</f>
        <v>-13153.118707121406</v>
      </c>
      <c r="N57" s="73">
        <f>N56*(1+'Economist Financing Model 1'!$I$5)+'Economist Financing Model 1'!I57</f>
        <v>670149699.96131217</v>
      </c>
      <c r="O57" s="72">
        <f>PMT($O$5,50,'Underlying Assumptions'!$E$5)</f>
        <v>-53078656.685678646</v>
      </c>
      <c r="P57" s="73">
        <f>O57/'Summary Baseline Data'!D65</f>
        <v>-122.79977782042606</v>
      </c>
      <c r="Q57" s="73">
        <f>O58/'Summary Baseline Data'!G65</f>
        <v>-361.03134679205266</v>
      </c>
      <c r="R57" s="73">
        <f>O57/('Summary Baseline Data'!D65-'Summary Baseline Data'!D64)</f>
        <v>-5264.4863014439543</v>
      </c>
      <c r="S57" s="73">
        <f>O57/('Summary Baseline Data'!G65-'Summary Baseline Data'!G64)</f>
        <v>-15477.589726245258</v>
      </c>
      <c r="T57" s="70">
        <f>T56*(1+'Economist Financing Model 1'!$O$5)+'Economist Financing Model 1'!O57</f>
        <v>715955382.37166643</v>
      </c>
      <c r="U57" s="73">
        <f>PMT($U$5,50,'Underlying Assumptions'!$E$5)</f>
        <v>-70213594.203879833</v>
      </c>
      <c r="V57" s="85">
        <f>U57/'Summary Baseline Data'!D65</f>
        <v>-162.44220005922628</v>
      </c>
      <c r="W57" s="85">
        <f>U58/'Summary Baseline Data'!G65</f>
        <v>-477.5800681741253</v>
      </c>
      <c r="X57" s="85">
        <f>U57/('Summary Baseline Data'!D65-'Summary Baseline Data'!D64)</f>
        <v>-6963.9762560382123</v>
      </c>
      <c r="Y57" s="73">
        <f>U57/('Summary Baseline Data'!G65-'Summary Baseline Data'!G64)</f>
        <v>-20474.090192752388</v>
      </c>
      <c r="Z57" s="73">
        <f>Z56*(1+'Economist Financing Model 1'!U$5)+'Economist Financing Model 1'!U57</f>
        <v>791460790.54437602</v>
      </c>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row>
    <row r="58" spans="1:303" x14ac:dyDescent="0.2">
      <c r="A58" s="224">
        <v>2041</v>
      </c>
      <c r="B58" s="296">
        <v>53</v>
      </c>
      <c r="C58" s="72">
        <f>PMT($C$5,50,'Underlying Assumptions'!$E$5)</f>
        <v>-37660664.113983564</v>
      </c>
      <c r="D58" s="73">
        <f>C58/'Summary Baseline Data'!D66</f>
        <v>-85.143518589906108</v>
      </c>
      <c r="E58" s="73">
        <f>C59/'Summary Baseline Data'!G66</f>
        <v>-250.32194465432394</v>
      </c>
      <c r="F58" s="73">
        <f>C58/('Summary Baseline Data'!D66-'Summary Baseline Data'!D65)</f>
        <v>-3735.2876412345749</v>
      </c>
      <c r="G58" s="73">
        <f>C58/('Summary Baseline Data'!G66-'Summary Baseline Data'!G65)</f>
        <v>-10981.74566522958</v>
      </c>
      <c r="H58" s="70">
        <f>H57*(1+'Economist Financing Model 1'!$C$5)+'Economist Financing Model 1'!C58</f>
        <v>600194864.48792446</v>
      </c>
      <c r="I58" s="72">
        <f>PMT($I$5,50,'Underlying Assumptions'!$E$5)</f>
        <v>-45107144.235605747</v>
      </c>
      <c r="J58" s="73">
        <f>I58/'Summary Baseline Data'!D66</f>
        <v>-101.97857802342497</v>
      </c>
      <c r="K58" s="73">
        <f>I59/'Summary Baseline Data'!G66</f>
        <v>-299.81701938886943</v>
      </c>
      <c r="L58" s="73">
        <f>I58/('Summary Baseline Data'!D66-'Summary Baseline Data'!D65)</f>
        <v>-4473.8499003814213</v>
      </c>
      <c r="M58" s="73">
        <f>I58/('Summary Baseline Data'!G66-'Summary Baseline Data'!G65)</f>
        <v>-13153.118707121295</v>
      </c>
      <c r="N58" s="73">
        <f>N57*(1+'Economist Financing Model 1'!$I$5)+'Economist Financing Model 1'!I58</f>
        <v>651848543.724159</v>
      </c>
      <c r="O58" s="72">
        <f>PMT($O$5,50,'Underlying Assumptions'!$E$5)</f>
        <v>-53078656.685678646</v>
      </c>
      <c r="P58" s="73">
        <f>O58/'Summary Baseline Data'!D66</f>
        <v>-120.00063457633736</v>
      </c>
      <c r="Q58" s="73">
        <f>O59/'Summary Baseline Data'!G66</f>
        <v>-352.80186565443182</v>
      </c>
      <c r="R58" s="73">
        <f>O58/('Summary Baseline Data'!D66-'Summary Baseline Data'!D65)</f>
        <v>-5264.4863014439543</v>
      </c>
      <c r="S58" s="73">
        <f>O58/('Summary Baseline Data'!G66-'Summary Baseline Data'!G65)</f>
        <v>-15477.589726245127</v>
      </c>
      <c r="T58" s="70">
        <f>T57*(1+'Economist Financing Model 1'!$O$5)+'Economist Financing Model 1'!O58</f>
        <v>698674494.80457115</v>
      </c>
      <c r="U58" s="73">
        <f>PMT($U$5,50,'Underlying Assumptions'!$E$5)</f>
        <v>-70213594.203879833</v>
      </c>
      <c r="V58" s="85">
        <f>U58/'Summary Baseline Data'!D66</f>
        <v>-158.73943288064385</v>
      </c>
      <c r="W58" s="85">
        <f>U59/'Summary Baseline Data'!G66</f>
        <v>-466.69393266909287</v>
      </c>
      <c r="X58" s="85">
        <f>U58/('Summary Baseline Data'!D66-'Summary Baseline Data'!D65)</f>
        <v>-6963.9762560382123</v>
      </c>
      <c r="Y58" s="73">
        <f>U58/('Summary Baseline Data'!G66-'Summary Baseline Data'!G65)</f>
        <v>-20474.090192752214</v>
      </c>
      <c r="Z58" s="73">
        <f>Z57*(1+'Economist Financing Model 1'!U$5)+'Economist Financing Model 1'!U58</f>
        <v>776649451.67860258</v>
      </c>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row>
    <row r="59" spans="1:303" x14ac:dyDescent="0.2">
      <c r="A59" s="224">
        <v>2042</v>
      </c>
      <c r="B59" s="128">
        <v>54</v>
      </c>
      <c r="C59" s="72">
        <f>PMT($C$5,50,'Underlying Assumptions'!$E$5)</f>
        <v>-37660664.113983564</v>
      </c>
      <c r="D59" s="73">
        <f>C59/'Summary Baseline Data'!D67</f>
        <v>-83.245979161868689</v>
      </c>
      <c r="E59" s="73">
        <f>C60/'Summary Baseline Data'!G67</f>
        <v>-244.74317873589393</v>
      </c>
      <c r="F59" s="73">
        <f>C59/('Summary Baseline Data'!D67-'Summary Baseline Data'!D66)</f>
        <v>-3735.2876412345749</v>
      </c>
      <c r="G59" s="73">
        <f>C59/('Summary Baseline Data'!G67-'Summary Baseline Data'!G66)</f>
        <v>-10981.745665229673</v>
      </c>
      <c r="H59" s="70">
        <f>H58*(1+'Economist Financing Model 1'!$C$5)+'Economist Financing Model 1'!C59</f>
        <v>580540046.30857873</v>
      </c>
      <c r="I59" s="72">
        <f>PMT($I$5,50,'Underlying Assumptions'!$E$5)</f>
        <v>-45107144.235605747</v>
      </c>
      <c r="J59" s="73">
        <f>I59/'Summary Baseline Data'!D67</f>
        <v>-99.705846336745765</v>
      </c>
      <c r="K59" s="73">
        <f>I60/'Summary Baseline Data'!G67</f>
        <v>-293.13518823003255</v>
      </c>
      <c r="L59" s="73">
        <f>I59/('Summary Baseline Data'!D67-'Summary Baseline Data'!D66)</f>
        <v>-4473.8499003814213</v>
      </c>
      <c r="M59" s="73">
        <f>I59/('Summary Baseline Data'!G67-'Summary Baseline Data'!G66)</f>
        <v>-13153.118707121406</v>
      </c>
      <c r="N59" s="73">
        <f>N58*(1+'Economist Financing Model 1'!$I$5)+'Economist Financing Model 1'!I59</f>
        <v>632815341.23751962</v>
      </c>
      <c r="O59" s="72">
        <f>PMT($O$5,50,'Underlying Assumptions'!$E$5)</f>
        <v>-53078656.685678646</v>
      </c>
      <c r="P59" s="73">
        <f>O59/'Summary Baseline Data'!D67</f>
        <v>-117.32625678141845</v>
      </c>
      <c r="Q59" s="73">
        <f>O60/'Summary Baseline Data'!G67</f>
        <v>-344.93919493737025</v>
      </c>
      <c r="R59" s="73">
        <f>O59/('Summary Baseline Data'!D67-'Summary Baseline Data'!D66)</f>
        <v>-5264.4863014439543</v>
      </c>
      <c r="S59" s="73">
        <f>O59/('Summary Baseline Data'!G67-'Summary Baseline Data'!G66)</f>
        <v>-15477.589726245258</v>
      </c>
      <c r="T59" s="70">
        <f>T58*(1+'Economist Financing Model 1'!$O$5)+'Economist Financing Model 1'!O59</f>
        <v>680529562.85912108</v>
      </c>
      <c r="U59" s="73">
        <f>PMT($U$5,50,'Underlying Assumptions'!$E$5)</f>
        <v>-70213594.203879833</v>
      </c>
      <c r="V59" s="85">
        <f>U59/'Summary Baseline Data'!D67</f>
        <v>-155.20170813466382</v>
      </c>
      <c r="W59" s="85">
        <f>U60/'Summary Baseline Data'!G67</f>
        <v>-456.29302191591159</v>
      </c>
      <c r="X59" s="85">
        <f>U59/('Summary Baseline Data'!D67-'Summary Baseline Data'!D66)</f>
        <v>-6963.9762560382123</v>
      </c>
      <c r="Y59" s="73">
        <f>U59/('Summary Baseline Data'!G67-'Summary Baseline Data'!G66)</f>
        <v>-20474.090192752388</v>
      </c>
      <c r="Z59" s="73">
        <f>Z58*(1+'Economist Financing Model 1'!U$5)+'Economist Financing Model 1'!U59</f>
        <v>760801319.09222496</v>
      </c>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row>
    <row r="60" spans="1:303" x14ac:dyDescent="0.2">
      <c r="A60" s="224">
        <v>2043</v>
      </c>
      <c r="B60" s="296">
        <v>55</v>
      </c>
      <c r="C60" s="72">
        <f>PMT($C$5,50,'Underlying Assumptions'!$E$5)</f>
        <v>-37660664.113983564</v>
      </c>
      <c r="D60" s="73">
        <f>C60/'Summary Baseline Data'!D68</f>
        <v>-81.431174387176455</v>
      </c>
      <c r="E60" s="73">
        <f>C61/'Summary Baseline Data'!G68</f>
        <v>-239.40765269829879</v>
      </c>
      <c r="F60" s="73">
        <f>C60/('Summary Baseline Data'!D68-'Summary Baseline Data'!D67)</f>
        <v>-3735.2876412345749</v>
      </c>
      <c r="G60" s="73">
        <f>C60/('Summary Baseline Data'!G68-'Summary Baseline Data'!G67)</f>
        <v>-10981.745665229673</v>
      </c>
      <c r="H60" s="70">
        <f>H59*(1+'Economist Financing Model 1'!$C$5)+'Economist Financing Model 1'!C60</f>
        <v>560295583.58385265</v>
      </c>
      <c r="I60" s="72">
        <f>PMT($I$5,50,'Underlying Assumptions'!$E$5)</f>
        <v>-45107144.235605747</v>
      </c>
      <c r="J60" s="73">
        <f>I60/'Summary Baseline Data'!D68</f>
        <v>-97.532208068345895</v>
      </c>
      <c r="K60" s="73">
        <f>I61/'Summary Baseline Data'!G68</f>
        <v>-286.74469172093694</v>
      </c>
      <c r="L60" s="73">
        <f>I60/('Summary Baseline Data'!D68-'Summary Baseline Data'!D67)</f>
        <v>-4473.8499003814213</v>
      </c>
      <c r="M60" s="73">
        <f>I60/('Summary Baseline Data'!G68-'Summary Baseline Data'!G67)</f>
        <v>-13153.118707121406</v>
      </c>
      <c r="N60" s="73">
        <f>N59*(1+'Economist Financing Model 1'!$I$5)+'Economist Financing Model 1'!I60</f>
        <v>613020810.65141475</v>
      </c>
      <c r="O60" s="72">
        <f>PMT($O$5,50,'Underlying Assumptions'!$E$5)</f>
        <v>-53078656.685678646</v>
      </c>
      <c r="P60" s="73">
        <f>O60/'Summary Baseline Data'!D68</f>
        <v>-114.76848458452156</v>
      </c>
      <c r="Q60" s="73">
        <f>O61/'Summary Baseline Data'!G68</f>
        <v>-337.41934467849342</v>
      </c>
      <c r="R60" s="73">
        <f>O60/('Summary Baseline Data'!D68-'Summary Baseline Data'!D67)</f>
        <v>-5264.4863014439543</v>
      </c>
      <c r="S60" s="73">
        <f>O60/('Summary Baseline Data'!G68-'Summary Baseline Data'!G67)</f>
        <v>-15477.589726245258</v>
      </c>
      <c r="T60" s="70">
        <f>T59*(1+'Economist Financing Model 1'!$O$5)+'Economist Financing Model 1'!O60</f>
        <v>661477384.31639862</v>
      </c>
      <c r="U60" s="73">
        <f>PMT($U$5,50,'Underlying Assumptions'!$E$5)</f>
        <v>-70213594.203879833</v>
      </c>
      <c r="V60" s="85">
        <f>U60/'Summary Baseline Data'!D68</f>
        <v>-151.81823179383659</v>
      </c>
      <c r="W60" s="85">
        <f>U61/'Summary Baseline Data'!G68</f>
        <v>-446.34560147387958</v>
      </c>
      <c r="X60" s="85">
        <f>U60/('Summary Baseline Data'!D68-'Summary Baseline Data'!D67)</f>
        <v>-6963.9762560382123</v>
      </c>
      <c r="Y60" s="73">
        <f>U60/('Summary Baseline Data'!G68-'Summary Baseline Data'!G67)</f>
        <v>-20474.090192752388</v>
      </c>
      <c r="Z60" s="73">
        <f>Z59*(1+'Economist Financing Model 1'!U$5)+'Economist Financing Model 1'!U60</f>
        <v>743843817.22480094</v>
      </c>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row>
    <row r="61" spans="1:303" x14ac:dyDescent="0.2">
      <c r="A61" s="224">
        <v>2044</v>
      </c>
      <c r="B61" s="128">
        <v>56</v>
      </c>
      <c r="C61" s="72">
        <f>PMT($C$5,50,'Underlying Assumptions'!$E$5)</f>
        <v>-37660664.113983564</v>
      </c>
      <c r="D61" s="73">
        <f>C61/'Summary Baseline Data'!D69</f>
        <v>-79.693808738197049</v>
      </c>
      <c r="E61" s="73">
        <f>C62/'Summary Baseline Data'!G69</f>
        <v>-234.2997976902993</v>
      </c>
      <c r="F61" s="73">
        <f>C61/('Summary Baseline Data'!D69-'Summary Baseline Data'!D68)</f>
        <v>-3735.2876412346609</v>
      </c>
      <c r="G61" s="73">
        <f>C61/('Summary Baseline Data'!G69-'Summary Baseline Data'!G68)</f>
        <v>-10981.745665229861</v>
      </c>
      <c r="H61" s="70">
        <f>H60*(1+'Economist Financing Model 1'!$C$5)+'Economist Financing Model 1'!C61</f>
        <v>539443786.97738469</v>
      </c>
      <c r="I61" s="72">
        <f>PMT($I$5,50,'Underlying Assumptions'!$E$5)</f>
        <v>-45107144.235605747</v>
      </c>
      <c r="J61" s="73">
        <f>I61/'Summary Baseline Data'!D69</f>
        <v>-95.451320628833045</v>
      </c>
      <c r="K61" s="73">
        <f>I62/'Summary Baseline Data'!G69</f>
        <v>-280.62688264876914</v>
      </c>
      <c r="L61" s="73">
        <f>I61/('Summary Baseline Data'!D69-'Summary Baseline Data'!D68)</f>
        <v>-4473.849900381525</v>
      </c>
      <c r="M61" s="73">
        <f>I61/('Summary Baseline Data'!G69-'Summary Baseline Data'!G68)</f>
        <v>-13153.11870712163</v>
      </c>
      <c r="N61" s="73">
        <f>N60*(1+'Economist Financing Model 1'!$I$5)+'Economist Financing Model 1'!I61</f>
        <v>592434498.84186566</v>
      </c>
      <c r="O61" s="72">
        <f>PMT($O$5,50,'Underlying Assumptions'!$E$5)</f>
        <v>-53078656.685678646</v>
      </c>
      <c r="P61" s="73">
        <f>O61/'Summary Baseline Data'!D69</f>
        <v>-112.31985450883927</v>
      </c>
      <c r="Q61" s="73">
        <f>O62/'Summary Baseline Data'!G69</f>
        <v>-330.2203722559874</v>
      </c>
      <c r="R61" s="73">
        <f>O61/('Summary Baseline Data'!D69-'Summary Baseline Data'!D68)</f>
        <v>-5264.4863014440762</v>
      </c>
      <c r="S61" s="73">
        <f>O61/('Summary Baseline Data'!G69-'Summary Baseline Data'!G68)</f>
        <v>-15477.589726245522</v>
      </c>
      <c r="T61" s="70">
        <f>T60*(1+'Economist Financing Model 1'!$O$5)+'Economist Financing Model 1'!O61</f>
        <v>641472596.84653997</v>
      </c>
      <c r="U61" s="73">
        <f>PMT($U$5,50,'Underlying Assumptions'!$E$5)</f>
        <v>-70213594.203879833</v>
      </c>
      <c r="V61" s="85">
        <f>U61/'Summary Baseline Data'!D69</f>
        <v>-148.57913100974005</v>
      </c>
      <c r="W61" s="85">
        <f>U62/'Summary Baseline Data'!G69</f>
        <v>-436.82264516863574</v>
      </c>
      <c r="X61" s="85">
        <f>U61/('Summary Baseline Data'!D69-'Summary Baseline Data'!D68)</f>
        <v>-6963.9762560383733</v>
      </c>
      <c r="Y61" s="73">
        <f>U61/('Summary Baseline Data'!G69-'Summary Baseline Data'!G68)</f>
        <v>-20474.090192752734</v>
      </c>
      <c r="Z61" s="73">
        <f>Z60*(1+'Economist Financing Model 1'!U$5)+'Economist Financing Model 1'!U61</f>
        <v>725699290.22665727</v>
      </c>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row>
    <row r="62" spans="1:303" x14ac:dyDescent="0.2">
      <c r="A62" s="224">
        <v>2045</v>
      </c>
      <c r="B62" s="296">
        <v>57</v>
      </c>
      <c r="C62" s="72">
        <f>PMT($C$5,50,'Underlying Assumptions'!$E$5)</f>
        <v>-37660664.113983564</v>
      </c>
      <c r="D62" s="73">
        <f>C62/'Summary Baseline Data'!D70</f>
        <v>-77.894430530569537</v>
      </c>
      <c r="E62" s="73">
        <f>C63/'Summary Baseline Data'!G70</f>
        <v>-229.00962575987444</v>
      </c>
      <c r="F62" s="73">
        <f>C62/('Summary Baseline Data'!D70-'Summary Baseline Data'!D69)</f>
        <v>-3449.9160999948226</v>
      </c>
      <c r="G62" s="73">
        <f>C62/('Summary Baseline Data'!G70-'Summary Baseline Data'!G69)</f>
        <v>-10142.753333984809</v>
      </c>
      <c r="H62" s="70">
        <f>H61*(1+'Economist Financing Model 1'!$C$5)+'Economist Financing Model 1'!C62</f>
        <v>517966436.47272271</v>
      </c>
      <c r="I62" s="72">
        <f>PMT($I$5,50,'Underlying Assumptions'!$E$5)</f>
        <v>-45107144.235605747</v>
      </c>
      <c r="J62" s="73">
        <f>I62/'Summary Baseline Data'!D70</f>
        <v>-93.296159155838126</v>
      </c>
      <c r="K62" s="73">
        <f>I63/'Summary Baseline Data'!G70</f>
        <v>-274.29070791816406</v>
      </c>
      <c r="L62" s="73">
        <f>I62/('Summary Baseline Data'!D70-'Summary Baseline Data'!D69)</f>
        <v>-4132.0530793673415</v>
      </c>
      <c r="M62" s="73">
        <f>I62/('Summary Baseline Data'!G70-'Summary Baseline Data'!G69)</f>
        <v>-12148.236053340021</v>
      </c>
      <c r="N62" s="73">
        <f>N61*(1+'Economist Financing Model 1'!$I$5)+'Economist Financing Model 1'!I62</f>
        <v>571024734.55993462</v>
      </c>
      <c r="O62" s="72">
        <f>PMT($O$5,50,'Underlying Assumptions'!$E$5)</f>
        <v>-53078656.685678646</v>
      </c>
      <c r="P62" s="73">
        <f>O62/'Summary Baseline Data'!D70</f>
        <v>-109.78382439951122</v>
      </c>
      <c r="Q62" s="73">
        <f>O63/'Summary Baseline Data'!G70</f>
        <v>-322.76444373456297</v>
      </c>
      <c r="R62" s="73">
        <f>O62/('Summary Baseline Data'!D70-'Summary Baseline Data'!D69)</f>
        <v>-4862.2857980358485</v>
      </c>
      <c r="S62" s="73">
        <f>O62/('Summary Baseline Data'!G70-'Summary Baseline Data'!G69)</f>
        <v>-14295.120246225435</v>
      </c>
      <c r="T62" s="70">
        <f>T61*(1+'Economist Financing Model 1'!$O$5)+'Economist Financing Model 1'!O62</f>
        <v>620467570.00318837</v>
      </c>
      <c r="U62" s="73">
        <f>PMT($U$5,50,'Underlying Assumptions'!$E$5)</f>
        <v>-70213594.203879833</v>
      </c>
      <c r="V62" s="85">
        <f>U62/'Summary Baseline Data'!D70</f>
        <v>-145.22441557224059</v>
      </c>
      <c r="W62" s="85">
        <f>U63/'Summary Baseline Data'!G70</f>
        <v>-426.95978178238738</v>
      </c>
      <c r="X62" s="85">
        <f>U62/('Summary Baseline Data'!D70-'Summary Baseline Data'!D69)</f>
        <v>-6431.936737741351</v>
      </c>
      <c r="Y62" s="73">
        <f>U62/('Summary Baseline Data'!G70-'Summary Baseline Data'!G69)</f>
        <v>-18909.894008959629</v>
      </c>
      <c r="Z62" s="73">
        <f>Z61*(1+'Economist Financing Model 1'!U$5)+'Economist Financing Model 1'!U62</f>
        <v>706284646.33864355</v>
      </c>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row>
    <row r="63" spans="1:303" x14ac:dyDescent="0.2">
      <c r="A63" s="224">
        <v>2046</v>
      </c>
      <c r="B63" s="128">
        <v>58</v>
      </c>
      <c r="C63" s="72">
        <f>PMT($C$5,50,'Underlying Assumptions'!$E$5)</f>
        <v>-37660664.113983564</v>
      </c>
      <c r="D63" s="73">
        <f>C63/'Summary Baseline Data'!D71</f>
        <v>-76.174513246129067</v>
      </c>
      <c r="E63" s="73">
        <f>C64/'Summary Baseline Data'!G71</f>
        <v>-223.95306894361943</v>
      </c>
      <c r="F63" s="73">
        <f>C63/('Summary Baseline Data'!D71-'Summary Baseline Data'!D70)</f>
        <v>-3449.9160999948226</v>
      </c>
      <c r="G63" s="73">
        <f>C63/('Summary Baseline Data'!G71-'Summary Baseline Data'!G70)</f>
        <v>-10142.753333984729</v>
      </c>
      <c r="H63" s="70">
        <f>H62*(1+'Economist Financing Model 1'!$C$5)+'Economist Financing Model 1'!C63</f>
        <v>495844765.45292085</v>
      </c>
      <c r="I63" s="72">
        <f>PMT($I$5,50,'Underlying Assumptions'!$E$5)</f>
        <v>-45107144.235605747</v>
      </c>
      <c r="J63" s="73">
        <f>I63/'Summary Baseline Data'!D71</f>
        <v>-91.236170070468759</v>
      </c>
      <c r="K63" s="73">
        <f>I64/'Summary Baseline Data'!G71</f>
        <v>-268.23434000717816</v>
      </c>
      <c r="L63" s="73">
        <f>I63/('Summary Baseline Data'!D71-'Summary Baseline Data'!D70)</f>
        <v>-4132.0530793673415</v>
      </c>
      <c r="M63" s="73">
        <f>I63/('Summary Baseline Data'!G71-'Summary Baseline Data'!G70)</f>
        <v>-12148.236053339926</v>
      </c>
      <c r="N63" s="73">
        <f>N62*(1+'Economist Financing Model 1'!$I$5)+'Economist Financing Model 1'!I63</f>
        <v>548758579.70672631</v>
      </c>
      <c r="O63" s="72">
        <f>PMT($O$5,50,'Underlying Assumptions'!$E$5)</f>
        <v>-53078656.685678646</v>
      </c>
      <c r="P63" s="73">
        <f>O63/'Summary Baseline Data'!D71</f>
        <v>-107.35978591754819</v>
      </c>
      <c r="Q63" s="73">
        <f>O64/'Summary Baseline Data'!G71</f>
        <v>-315.63777059759167</v>
      </c>
      <c r="R63" s="73">
        <f>O63/('Summary Baseline Data'!D71-'Summary Baseline Data'!D70)</f>
        <v>-4862.2857980358485</v>
      </c>
      <c r="S63" s="73">
        <f>O63/('Summary Baseline Data'!G71-'Summary Baseline Data'!G70)</f>
        <v>-14295.120246225324</v>
      </c>
      <c r="T63" s="70">
        <f>T62*(1+'Economist Financing Model 1'!$O$5)+'Economist Financing Model 1'!O63</f>
        <v>598412291.81766927</v>
      </c>
      <c r="U63" s="73">
        <f>PMT($U$5,50,'Underlying Assumptions'!$E$5)</f>
        <v>-70213594.203879833</v>
      </c>
      <c r="V63" s="85">
        <f>U63/'Summary Baseline Data'!D71</f>
        <v>-142.01784507979136</v>
      </c>
      <c r="W63" s="85">
        <f>U64/'Summary Baseline Data'!G71</f>
        <v>-417.5324645345865</v>
      </c>
      <c r="X63" s="85">
        <f>U63/('Summary Baseline Data'!D71-'Summary Baseline Data'!D70)</f>
        <v>-6431.936737741351</v>
      </c>
      <c r="Y63" s="73">
        <f>U63/('Summary Baseline Data'!G71-'Summary Baseline Data'!G70)</f>
        <v>-18909.89400895948</v>
      </c>
      <c r="Z63" s="73">
        <f>Z62*(1+'Economist Financing Model 1'!U$5)+'Economist Financing Model 1'!U63</f>
        <v>685510977.37846875</v>
      </c>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row>
    <row r="64" spans="1:303" x14ac:dyDescent="0.2">
      <c r="A64" s="224">
        <v>2047</v>
      </c>
      <c r="B64" s="296">
        <v>59</v>
      </c>
      <c r="C64" s="72">
        <f>PMT($C$5,50,'Underlying Assumptions'!$E$5)</f>
        <v>-37660664.113983564</v>
      </c>
      <c r="D64" s="73">
        <f>C64/'Summary Baseline Data'!D72</f>
        <v>-74.528907076368341</v>
      </c>
      <c r="E64" s="73">
        <f>C65/'Summary Baseline Data'!G72</f>
        <v>-219.11498680452291</v>
      </c>
      <c r="F64" s="73">
        <f>C64/('Summary Baseline Data'!D72-'Summary Baseline Data'!D71)</f>
        <v>-3449.9160999948226</v>
      </c>
      <c r="G64" s="73">
        <f>C64/('Summary Baseline Data'!G72-'Summary Baseline Data'!G71)</f>
        <v>-10142.753333984809</v>
      </c>
      <c r="H64" s="70">
        <f>H63*(1+'Economist Financing Model 1'!$C$5)+'Economist Financing Model 1'!C64</f>
        <v>473059444.30252492</v>
      </c>
      <c r="I64" s="72">
        <f>PMT($I$5,50,'Underlying Assumptions'!$E$5)</f>
        <v>-45107144.235605747</v>
      </c>
      <c r="J64" s="73">
        <f>I64/'Summary Baseline Data'!D72</f>
        <v>-89.265185314869655</v>
      </c>
      <c r="K64" s="73">
        <f>I65/'Summary Baseline Data'!G72</f>
        <v>-262.43964482571681</v>
      </c>
      <c r="L64" s="73">
        <f>I64/('Summary Baseline Data'!D72-'Summary Baseline Data'!D71)</f>
        <v>-4132.0530793673415</v>
      </c>
      <c r="M64" s="73">
        <f>I64/('Summary Baseline Data'!G72-'Summary Baseline Data'!G71)</f>
        <v>-12148.236053340021</v>
      </c>
      <c r="N64" s="73">
        <f>N63*(1+'Economist Financing Model 1'!$I$5)+'Economist Financing Model 1'!I64</f>
        <v>525601778.65938962</v>
      </c>
      <c r="O64" s="72">
        <f>PMT($O$5,50,'Underlying Assumptions'!$E$5)</f>
        <v>-53078656.685678646</v>
      </c>
      <c r="P64" s="73">
        <f>O64/'Summary Baseline Data'!D72</f>
        <v>-105.04048096158137</v>
      </c>
      <c r="Q64" s="73">
        <f>O65/'Summary Baseline Data'!G72</f>
        <v>-308.81901402704921</v>
      </c>
      <c r="R64" s="73">
        <f>O64/('Summary Baseline Data'!D72-'Summary Baseline Data'!D71)</f>
        <v>-4862.2857980358485</v>
      </c>
      <c r="S64" s="73">
        <f>O64/('Summary Baseline Data'!G72-'Summary Baseline Data'!G71)</f>
        <v>-14295.120246225435</v>
      </c>
      <c r="T64" s="70">
        <f>T63*(1+'Economist Financing Model 1'!$O$5)+'Economist Financing Model 1'!O64</f>
        <v>575254249.72287416</v>
      </c>
      <c r="U64" s="73">
        <f>PMT($U$5,50,'Underlying Assumptions'!$E$5)</f>
        <v>-70213594.203879833</v>
      </c>
      <c r="V64" s="85">
        <f>U64/'Summary Baseline Data'!D72</f>
        <v>-138.949818359039</v>
      </c>
      <c r="W64" s="85">
        <f>U65/'Summary Baseline Data'!G72</f>
        <v>-408.51246597557463</v>
      </c>
      <c r="X64" s="85">
        <f>U64/('Summary Baseline Data'!D72-'Summary Baseline Data'!D71)</f>
        <v>-6431.936737741351</v>
      </c>
      <c r="Y64" s="73">
        <f>U64/('Summary Baseline Data'!G72-'Summary Baseline Data'!G71)</f>
        <v>-18909.894008959629</v>
      </c>
      <c r="Z64" s="73">
        <f>Z63*(1+'Economist Financing Model 1'!U$5)+'Economist Financing Model 1'!U64</f>
        <v>663283151.59108174</v>
      </c>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row>
    <row r="65" spans="1:303" x14ac:dyDescent="0.2">
      <c r="A65" s="224">
        <v>2048</v>
      </c>
      <c r="B65" s="128">
        <v>60</v>
      </c>
      <c r="C65" s="72">
        <f>PMT($C$5,50,'Underlying Assumptions'!$E$5)</f>
        <v>-37660664.113983564</v>
      </c>
      <c r="D65" s="73">
        <f>C65/'Summary Baseline Data'!D73</f>
        <v>-72.952897809986339</v>
      </c>
      <c r="E65" s="73">
        <f>C66/'Summary Baseline Data'!G73</f>
        <v>-214.48151956135987</v>
      </c>
      <c r="F65" s="73">
        <f>C65/('Summary Baseline Data'!D73-'Summary Baseline Data'!D72)</f>
        <v>-3449.9160999948226</v>
      </c>
      <c r="G65" s="73">
        <f>C65/('Summary Baseline Data'!G73-'Summary Baseline Data'!G72)</f>
        <v>-10142.753333984809</v>
      </c>
      <c r="H65" s="70">
        <f>H64*(1+'Economist Financing Model 1'!$C$5)+'Economist Financing Model 1'!C65</f>
        <v>449590563.51761711</v>
      </c>
      <c r="I65" s="72">
        <f>PMT($I$5,50,'Underlying Assumptions'!$E$5)</f>
        <v>-45107144.235605747</v>
      </c>
      <c r="J65" s="73">
        <f>I65/'Summary Baseline Data'!D73</f>
        <v>-87.377558557142152</v>
      </c>
      <c r="K65" s="73">
        <f>I66/'Summary Baseline Data'!G73</f>
        <v>-256.89002215799792</v>
      </c>
      <c r="L65" s="73">
        <f>I65/('Summary Baseline Data'!D73-'Summary Baseline Data'!D72)</f>
        <v>-4132.0530793673415</v>
      </c>
      <c r="M65" s="73">
        <f>I65/('Summary Baseline Data'!G73-'Summary Baseline Data'!G72)</f>
        <v>-12148.236053340021</v>
      </c>
      <c r="N65" s="73">
        <f>N64*(1+'Economist Financing Model 1'!$I$5)+'Economist Financing Model 1'!I65</f>
        <v>501518705.57015955</v>
      </c>
      <c r="O65" s="72">
        <f>PMT($O$5,50,'Underlying Assumptions'!$E$5)</f>
        <v>-53078656.685678646</v>
      </c>
      <c r="P65" s="73">
        <f>O65/'Summary Baseline Data'!D73</f>
        <v>-102.81926535766752</v>
      </c>
      <c r="Q65" s="73">
        <f>O66/'Summary Baseline Data'!G73</f>
        <v>-302.28864015154255</v>
      </c>
      <c r="R65" s="73">
        <f>O65/('Summary Baseline Data'!D73-'Summary Baseline Data'!D72)</f>
        <v>-4862.2857980358485</v>
      </c>
      <c r="S65" s="73">
        <f>O65/('Summary Baseline Data'!G73-'Summary Baseline Data'!G72)</f>
        <v>-14295.120246225435</v>
      </c>
      <c r="T65" s="70">
        <f>T64*(1+'Economist Financing Model 1'!$O$5)+'Economist Financing Model 1'!O65</f>
        <v>550938305.52333927</v>
      </c>
      <c r="U65" s="73">
        <f>PMT($U$5,50,'Underlying Assumptions'!$E$5)</f>
        <v>-70213594.203879833</v>
      </c>
      <c r="V65" s="85">
        <f>U65/'Summary Baseline Data'!D73</f>
        <v>-136.01154635309706</v>
      </c>
      <c r="W65" s="85">
        <f>U66/'Summary Baseline Data'!G73</f>
        <v>-399.87394627810539</v>
      </c>
      <c r="X65" s="85">
        <f>U65/('Summary Baseline Data'!D73-'Summary Baseline Data'!D72)</f>
        <v>-6431.936737741351</v>
      </c>
      <c r="Y65" s="73">
        <f>U65/('Summary Baseline Data'!G73-'Summary Baseline Data'!G72)</f>
        <v>-18909.894008959629</v>
      </c>
      <c r="Z65" s="73">
        <f>Z64*(1+'Economist Financing Model 1'!U$5)+'Economist Financing Model 1'!U65</f>
        <v>639499377.99857771</v>
      </c>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row>
    <row r="66" spans="1:303" x14ac:dyDescent="0.2">
      <c r="A66" s="224">
        <v>2049</v>
      </c>
      <c r="B66" s="296">
        <v>61</v>
      </c>
      <c r="C66" s="72">
        <f>PMT($C$5,50,'Underlying Assumptions'!$E$5)</f>
        <v>-37660664.113983564</v>
      </c>
      <c r="D66" s="73">
        <f>C66/'Summary Baseline Data'!D74</f>
        <v>-71.442161730333467</v>
      </c>
      <c r="E66" s="73">
        <f>C67/'Summary Baseline Data'!G74</f>
        <v>-210.03995548718038</v>
      </c>
      <c r="F66" s="73">
        <f>C66/('Summary Baseline Data'!D74-'Summary Baseline Data'!D73)</f>
        <v>-3449.9160999948226</v>
      </c>
      <c r="G66" s="73">
        <f>C66/('Summary Baseline Data'!G74-'Summary Baseline Data'!G73)</f>
        <v>-10142.753333984729</v>
      </c>
      <c r="H66" s="70">
        <f>H65*(1+'Economist Financing Model 1'!$C$5)+'Economist Financing Model 1'!C66</f>
        <v>425417616.30916208</v>
      </c>
      <c r="I66" s="72">
        <f>PMT($I$5,50,'Underlying Assumptions'!$E$5)</f>
        <v>-45107144.235605747</v>
      </c>
      <c r="J66" s="73">
        <f>I66/'Summary Baseline Data'!D74</f>
        <v>-85.568111170856312</v>
      </c>
      <c r="K66" s="73">
        <f>I67/'Summary Baseline Data'!G74</f>
        <v>-251.57024684231754</v>
      </c>
      <c r="L66" s="73">
        <f>I66/('Summary Baseline Data'!D74-'Summary Baseline Data'!D73)</f>
        <v>-4132.0530793673415</v>
      </c>
      <c r="M66" s="73">
        <f>I66/('Summary Baseline Data'!G74-'Summary Baseline Data'!G73)</f>
        <v>-12148.236053339926</v>
      </c>
      <c r="N66" s="73">
        <f>N65*(1+'Economist Financing Model 1'!$I$5)+'Economist Financing Model 1'!I66</f>
        <v>476472309.55736017</v>
      </c>
      <c r="O66" s="72">
        <f>PMT($O$5,50,'Underlying Assumptions'!$E$5)</f>
        <v>-53078656.685678646</v>
      </c>
      <c r="P66" s="73">
        <f>O66/'Summary Baseline Data'!D74</f>
        <v>-100.6900452920875</v>
      </c>
      <c r="Q66" s="73">
        <f>O67/'Summary Baseline Data'!G74</f>
        <v>-296.02873315873723</v>
      </c>
      <c r="R66" s="73">
        <f>O66/('Summary Baseline Data'!D74-'Summary Baseline Data'!D73)</f>
        <v>-4862.2857980358485</v>
      </c>
      <c r="S66" s="73">
        <f>O66/('Summary Baseline Data'!G74-'Summary Baseline Data'!G73)</f>
        <v>-14295.120246225324</v>
      </c>
      <c r="T66" s="70">
        <f>T65*(1+'Economist Financing Model 1'!$O$5)+'Economist Financing Model 1'!O66</f>
        <v>525406564.11382765</v>
      </c>
      <c r="U66" s="73">
        <f>PMT($U$5,50,'Underlying Assumptions'!$E$5)</f>
        <v>-70213594.203879833</v>
      </c>
      <c r="V66" s="85">
        <f>U66/'Summary Baseline Data'!D74</f>
        <v>-133.19496803347786</v>
      </c>
      <c r="W66" s="85">
        <f>U67/'Summary Baseline Data'!G74</f>
        <v>-391.59320601842484</v>
      </c>
      <c r="X66" s="85">
        <f>U66/('Summary Baseline Data'!D74-'Summary Baseline Data'!D73)</f>
        <v>-6431.936737741351</v>
      </c>
      <c r="Y66" s="73">
        <f>U66/('Summary Baseline Data'!G74-'Summary Baseline Data'!G73)</f>
        <v>-18909.89400895948</v>
      </c>
      <c r="Z66" s="73">
        <f>Z65*(1+'Economist Financing Model 1'!U$5)+'Economist Financing Model 1'!U66</f>
        <v>614050740.25459838</v>
      </c>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row>
    <row r="67" spans="1:303" x14ac:dyDescent="0.2">
      <c r="A67" s="224">
        <v>2050</v>
      </c>
      <c r="B67" s="128">
        <v>62</v>
      </c>
      <c r="C67" s="72">
        <f>PMT($C$5,50,'Underlying Assumptions'!$E$5)</f>
        <v>-37660664.113983564</v>
      </c>
      <c r="D67" s="73">
        <f>C67/'Summary Baseline Data'!D75</f>
        <v>-69.99272600316533</v>
      </c>
      <c r="E67" s="73">
        <f>C68/'Summary Baseline Data'!G75</f>
        <v>-205.77861444930608</v>
      </c>
      <c r="F67" s="73">
        <f>C67/('Summary Baseline Data'!D75-'Summary Baseline Data'!D74)</f>
        <v>-3449.9160999948226</v>
      </c>
      <c r="G67" s="73">
        <f>C67/('Summary Baseline Data'!G75-'Summary Baseline Data'!G74)</f>
        <v>-10142.753333984809</v>
      </c>
      <c r="H67" s="70">
        <f>H66*(1+'Economist Financing Model 1'!$C$5)+'Economist Financing Model 1'!C67</f>
        <v>400519480.68445337</v>
      </c>
      <c r="I67" s="72">
        <f>PMT($I$5,50,'Underlying Assumptions'!$E$5)</f>
        <v>-45107144.235605747</v>
      </c>
      <c r="J67" s="73">
        <f>I67/'Summary Baseline Data'!D75</f>
        <v>-83.832084790446913</v>
      </c>
      <c r="K67" s="73">
        <f>I68/'Summary Baseline Data'!G75</f>
        <v>-246.46632928391392</v>
      </c>
      <c r="L67" s="73">
        <f>I67/('Summary Baseline Data'!D75-'Summary Baseline Data'!D74)</f>
        <v>-4132.0530793673415</v>
      </c>
      <c r="M67" s="73">
        <f>I67/('Summary Baseline Data'!G75-'Summary Baseline Data'!G74)</f>
        <v>-12148.236053340021</v>
      </c>
      <c r="N67" s="73">
        <f>N66*(1+'Economist Financing Model 1'!$I$5)+'Economist Financing Model 1'!I67</f>
        <v>450424057.70404887</v>
      </c>
      <c r="O67" s="72">
        <f>PMT($O$5,50,'Underlying Assumptions'!$E$5)</f>
        <v>-53078656.685678646</v>
      </c>
      <c r="P67" s="73">
        <f>O67/'Summary Baseline Data'!D75</f>
        <v>-98.647221482144417</v>
      </c>
      <c r="Q67" s="73">
        <f>O68/'Summary Baseline Data'!G75</f>
        <v>-290.02283115750458</v>
      </c>
      <c r="R67" s="73">
        <f>O67/('Summary Baseline Data'!D75-'Summary Baseline Data'!D74)</f>
        <v>-4862.2857980358485</v>
      </c>
      <c r="S67" s="73">
        <f>O67/('Summary Baseline Data'!G75-'Summary Baseline Data'!G74)</f>
        <v>-14295.120246225435</v>
      </c>
      <c r="T67" s="70">
        <f>T66*(1+'Economist Financing Model 1'!$O$5)+'Economist Financing Model 1'!O67</f>
        <v>498598235.63384038</v>
      </c>
      <c r="U67" s="73">
        <f>PMT($U$5,50,'Underlying Assumptions'!$E$5)</f>
        <v>-70213594.203879833</v>
      </c>
      <c r="V67" s="85">
        <f>U67/'Summary Baseline Data'!D75</f>
        <v>-130.49267654801778</v>
      </c>
      <c r="W67" s="85">
        <f>U68/'Summary Baseline Data'!G75</f>
        <v>-383.6484690511723</v>
      </c>
      <c r="X67" s="85">
        <f>U67/('Summary Baseline Data'!D75-'Summary Baseline Data'!D74)</f>
        <v>-6431.936737741351</v>
      </c>
      <c r="Y67" s="73">
        <f>U67/('Summary Baseline Data'!G75-'Summary Baseline Data'!G74)</f>
        <v>-18909.894008959629</v>
      </c>
      <c r="Z67" s="73">
        <f>Z66*(1+'Economist Financing Model 1'!U$5)+'Economist Financing Model 1'!U67</f>
        <v>586820697.86854053</v>
      </c>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row>
    <row r="68" spans="1:303" x14ac:dyDescent="0.2">
      <c r="A68" s="224">
        <v>2051</v>
      </c>
      <c r="B68" s="296">
        <v>63</v>
      </c>
      <c r="C68" s="72">
        <f>PMT($C$5,50,'Underlying Assumptions'!$E$5)</f>
        <v>-37660664.113983564</v>
      </c>
      <c r="D68" s="73">
        <f>C68/'Summary Baseline Data'!D76</f>
        <v>-68.600933790489137</v>
      </c>
      <c r="E68" s="73">
        <f>C69/'Summary Baseline Data'!G76</f>
        <v>-201.68674534403809</v>
      </c>
      <c r="F68" s="73">
        <f>C68/('Summary Baseline Data'!D76-'Summary Baseline Data'!D75)</f>
        <v>-3449.9160999948226</v>
      </c>
      <c r="G68" s="73">
        <f>C68/('Summary Baseline Data'!G76-'Summary Baseline Data'!G75)</f>
        <v>-10142.753333984809</v>
      </c>
      <c r="H68" s="70">
        <f>H67*(1+'Economist Financing Model 1'!$C$5)+'Economist Financing Model 1'!C68</f>
        <v>374874400.99100339</v>
      </c>
      <c r="I68" s="72">
        <f>PMT($I$5,50,'Underlying Assumptions'!$E$5)</f>
        <v>-45107144.235605747</v>
      </c>
      <c r="J68" s="73">
        <f>I68/'Summary Baseline Data'!D76</f>
        <v>-82.165099527171449</v>
      </c>
      <c r="K68" s="73">
        <f>I69/'Summary Baseline Data'!G76</f>
        <v>-241.56539260988407</v>
      </c>
      <c r="L68" s="73">
        <f>I68/('Summary Baseline Data'!D76-'Summary Baseline Data'!D75)</f>
        <v>-4132.0530793673415</v>
      </c>
      <c r="M68" s="73">
        <f>I68/('Summary Baseline Data'!G76-'Summary Baseline Data'!G75)</f>
        <v>-12148.236053340021</v>
      </c>
      <c r="N68" s="73">
        <f>N67*(1+'Economist Financing Model 1'!$I$5)+'Economist Financing Model 1'!I68</f>
        <v>423333875.77660513</v>
      </c>
      <c r="O68" s="72">
        <f>PMT($O$5,50,'Underlying Assumptions'!$E$5)</f>
        <v>-53078656.685678646</v>
      </c>
      <c r="P68" s="73">
        <f>O68/'Summary Baseline Data'!D76</f>
        <v>-96.68564000788119</v>
      </c>
      <c r="Q68" s="73">
        <f>O69/'Summary Baseline Data'!G76</f>
        <v>-284.25578162317072</v>
      </c>
      <c r="R68" s="73">
        <f>O68/('Summary Baseline Data'!D76-'Summary Baseline Data'!D75)</f>
        <v>-4862.2857980358485</v>
      </c>
      <c r="S68" s="73">
        <f>O68/('Summary Baseline Data'!G76-'Summary Baseline Data'!G75)</f>
        <v>-14295.120246225435</v>
      </c>
      <c r="T68" s="70">
        <f>T67*(1+'Economist Financing Model 1'!$O$5)+'Economist Financing Model 1'!O68</f>
        <v>470449490.72985375</v>
      </c>
      <c r="U68" s="73">
        <f>PMT($U$5,50,'Underlying Assumptions'!$E$5)</f>
        <v>-70213594.203879833</v>
      </c>
      <c r="V68" s="85">
        <f>U68/'Summary Baseline Data'!D76</f>
        <v>-127.89785418001073</v>
      </c>
      <c r="W68" s="85">
        <f>U69/'Summary Baseline Data'!G76</f>
        <v>-376.01969128923156</v>
      </c>
      <c r="X68" s="85">
        <f>U68/('Summary Baseline Data'!D76-'Summary Baseline Data'!D75)</f>
        <v>-6431.936737741351</v>
      </c>
      <c r="Y68" s="73">
        <f>U68/('Summary Baseline Data'!G76-'Summary Baseline Data'!G75)</f>
        <v>-18909.894008959629</v>
      </c>
      <c r="Z68" s="73">
        <f>Z67*(1+'Economist Financing Model 1'!U$5)+'Economist Financing Model 1'!U68</f>
        <v>557684552.51545858</v>
      </c>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row>
    <row r="69" spans="1:303" x14ac:dyDescent="0.2">
      <c r="A69" s="224">
        <v>2052</v>
      </c>
      <c r="B69" s="128">
        <v>64</v>
      </c>
      <c r="C69" s="72">
        <f>PMT($C$5,50,'Underlying Assumptions'!$E$5)</f>
        <v>-37660664.113983564</v>
      </c>
      <c r="D69" s="73">
        <f>C69/'Summary Baseline Data'!D77</f>
        <v>-67.26341344548625</v>
      </c>
      <c r="E69" s="73">
        <f>C70/'Summary Baseline Data'!G77</f>
        <v>-197.75443552972956</v>
      </c>
      <c r="F69" s="73">
        <f>C69/('Summary Baseline Data'!D77-'Summary Baseline Data'!D76)</f>
        <v>-3449.9160999948226</v>
      </c>
      <c r="G69" s="73">
        <f>C69/('Summary Baseline Data'!G77-'Summary Baseline Data'!G76)</f>
        <v>-10142.753333984729</v>
      </c>
      <c r="H69" s="70">
        <f>H68*(1+'Economist Financing Model 1'!$C$5)+'Economist Financing Model 1'!C69</f>
        <v>348459968.90674996</v>
      </c>
      <c r="I69" s="72">
        <f>PMT($I$5,50,'Underlying Assumptions'!$E$5)</f>
        <v>-45107144.235605747</v>
      </c>
      <c r="J69" s="73">
        <f>I69/'Summary Baseline Data'!D77</f>
        <v>-80.563117073078161</v>
      </c>
      <c r="K69" s="73">
        <f>I70/'Summary Baseline Data'!G77</f>
        <v>-236.85556419484979</v>
      </c>
      <c r="L69" s="73">
        <f>I69/('Summary Baseline Data'!D77-'Summary Baseline Data'!D76)</f>
        <v>-4132.0530793673415</v>
      </c>
      <c r="M69" s="73">
        <f>I69/('Summary Baseline Data'!G77-'Summary Baseline Data'!G76)</f>
        <v>-12148.236053339926</v>
      </c>
      <c r="N69" s="73">
        <f>N68*(1+'Economist Financing Model 1'!$I$5)+'Economist Financing Model 1'!I69</f>
        <v>395160086.57206357</v>
      </c>
      <c r="O69" s="72">
        <f>PMT($O$5,50,'Underlying Assumptions'!$E$5)</f>
        <v>-53078656.685678646</v>
      </c>
      <c r="P69" s="73">
        <f>O69/'Summary Baseline Data'!D77</f>
        <v>-94.800548895636084</v>
      </c>
      <c r="Q69" s="73">
        <f>O70/'Summary Baseline Data'!G77</f>
        <v>-278.71361375317008</v>
      </c>
      <c r="R69" s="73">
        <f>O69/('Summary Baseline Data'!D77-'Summary Baseline Data'!D76)</f>
        <v>-4862.2857980358485</v>
      </c>
      <c r="S69" s="73">
        <f>O69/('Summary Baseline Data'!G77-'Summary Baseline Data'!G76)</f>
        <v>-14295.120246225324</v>
      </c>
      <c r="T69" s="70">
        <f>T68*(1+'Economist Financing Model 1'!$O$5)+'Economist Financing Model 1'!O69</f>
        <v>440893308.58066779</v>
      </c>
      <c r="U69" s="73">
        <f>PMT($U$5,50,'Underlying Assumptions'!$E$5)</f>
        <v>-70213594.203879833</v>
      </c>
      <c r="V69" s="85">
        <f>U69/'Summary Baseline Data'!D77</f>
        <v>-125.40421491599689</v>
      </c>
      <c r="W69" s="85">
        <f>U70/'Summary Baseline Data'!G77</f>
        <v>-368.68839185303085</v>
      </c>
      <c r="X69" s="85">
        <f>U69/('Summary Baseline Data'!D77-'Summary Baseline Data'!D76)</f>
        <v>-6431.936737741351</v>
      </c>
      <c r="Y69" s="73">
        <f>U69/('Summary Baseline Data'!G77-'Summary Baseline Data'!G76)</f>
        <v>-18909.89400895948</v>
      </c>
      <c r="Z69" s="73">
        <f>Z68*(1+'Economist Financing Model 1'!U$5)+'Economist Financing Model 1'!U69</f>
        <v>526508876.98766088</v>
      </c>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row>
    <row r="70" spans="1:303" x14ac:dyDescent="0.2">
      <c r="A70" s="224">
        <v>2053</v>
      </c>
      <c r="B70" s="296">
        <v>65</v>
      </c>
      <c r="C70" s="72">
        <f>PMT($C$5,50,'Underlying Assumptions'!$E$5)</f>
        <v>-37660664.113983564</v>
      </c>
      <c r="D70" s="73">
        <f>C70/'Summary Baseline Data'!D78</f>
        <v>-65.977051242178376</v>
      </c>
      <c r="E70" s="73">
        <f>C71/'Summary Baseline Data'!G78</f>
        <v>-193.97253065200442</v>
      </c>
      <c r="F70" s="73">
        <f>C70/('Summary Baseline Data'!D78-'Summary Baseline Data'!D77)</f>
        <v>-3449.9160999948226</v>
      </c>
      <c r="G70" s="73">
        <f>C70/('Summary Baseline Data'!G78-'Summary Baseline Data'!G77)</f>
        <v>-10142.753333984809</v>
      </c>
      <c r="H70" s="70">
        <f>H69*(1+'Economist Financing Model 1'!$C$5)+'Economist Financing Model 1'!C70</f>
        <v>321253103.8599689</v>
      </c>
      <c r="I70" s="72">
        <f>PMT($I$5,50,'Underlying Assumptions'!$E$5)</f>
        <v>-45107144.235605747</v>
      </c>
      <c r="J70" s="73">
        <f>I70/'Summary Baseline Data'!D78</f>
        <v>-79.022408038627134</v>
      </c>
      <c r="K70" s="73">
        <f>I71/'Summary Baseline Data'!G78</f>
        <v>-232.32587963356377</v>
      </c>
      <c r="L70" s="73">
        <f>I70/('Summary Baseline Data'!D78-'Summary Baseline Data'!D77)</f>
        <v>-4132.0530793673415</v>
      </c>
      <c r="M70" s="73">
        <f>I70/('Summary Baseline Data'!G78-'Summary Baseline Data'!G77)</f>
        <v>-12148.236053340021</v>
      </c>
      <c r="N70" s="73">
        <f>N69*(1+'Economist Financing Model 1'!$I$5)+'Economist Financing Model 1'!I70</f>
        <v>365859345.79934037</v>
      </c>
      <c r="O70" s="72">
        <f>PMT($O$5,50,'Underlying Assumptions'!$E$5)</f>
        <v>-53078656.685678646</v>
      </c>
      <c r="P70" s="73">
        <f>O70/'Summary Baseline Data'!D78</f>
        <v>-92.987559683439471</v>
      </c>
      <c r="Q70" s="73">
        <f>O71/'Summary Baseline Data'!G78</f>
        <v>-273.38342546931204</v>
      </c>
      <c r="R70" s="73">
        <f>O70/('Summary Baseline Data'!D78-'Summary Baseline Data'!D77)</f>
        <v>-4862.2857980358485</v>
      </c>
      <c r="S70" s="73">
        <f>O70/('Summary Baseline Data'!G78-'Summary Baseline Data'!G77)</f>
        <v>-14295.120246225435</v>
      </c>
      <c r="T70" s="70">
        <f>T69*(1+'Economist Financing Model 1'!$O$5)+'Economist Financing Model 1'!O70</f>
        <v>409859317.32402253</v>
      </c>
      <c r="U70" s="73">
        <f>PMT($U$5,50,'Underlying Assumptions'!$E$5)</f>
        <v>-70213594.203879833</v>
      </c>
      <c r="V70" s="85">
        <f>U70/'Summary Baseline Data'!D78</f>
        <v>-123.0059536036391</v>
      </c>
      <c r="W70" s="85">
        <f>U71/'Summary Baseline Data'!G78</f>
        <v>-361.63750359469896</v>
      </c>
      <c r="X70" s="85">
        <f>U70/('Summary Baseline Data'!D78-'Summary Baseline Data'!D77)</f>
        <v>-6431.936737741351</v>
      </c>
      <c r="Y70" s="73">
        <f>U70/('Summary Baseline Data'!G78-'Summary Baseline Data'!G77)</f>
        <v>-18909.894008959629</v>
      </c>
      <c r="Z70" s="73">
        <f>Z69*(1+'Economist Financing Model 1'!U$5)+'Economist Financing Model 1'!U70</f>
        <v>493150904.17291737</v>
      </c>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row>
    <row r="71" spans="1:303" ht="13.5" thickBot="1" x14ac:dyDescent="0.25">
      <c r="A71" s="224">
        <v>2054</v>
      </c>
      <c r="B71" s="128">
        <v>66</v>
      </c>
      <c r="C71" s="74">
        <f>PMT($C$5,50,'Underlying Assumptions'!$E$5)</f>
        <v>-37660664.113983564</v>
      </c>
      <c r="D71" s="76">
        <f>C71/'Summary Baseline Data'!D79</f>
        <v>-64.738967175521964</v>
      </c>
      <c r="E71" s="76">
        <f>C72/'Summary Baseline Data'!G79</f>
        <v>-190.33256349603454</v>
      </c>
      <c r="F71" s="76">
        <f>C71/('Summary Baseline Data'!D79-'Summary Baseline Data'!D78)</f>
        <v>-3449.9160999948963</v>
      </c>
      <c r="G71" s="76">
        <f>C71/('Summary Baseline Data'!G79-'Summary Baseline Data'!G78)</f>
        <v>-10142.753333984967</v>
      </c>
      <c r="H71" s="75">
        <f>H70*(1+'Economist Financing Model 1'!$C$5)+'Economist Financing Model 1'!C71</f>
        <v>293230032.8617844</v>
      </c>
      <c r="I71" s="74">
        <f>PMT($I$5,50,'Underlying Assumptions'!$E$5)</f>
        <v>-45107144.235605747</v>
      </c>
      <c r="J71" s="76">
        <f>I71/'Summary Baseline Data'!D79</f>
        <v>-77.539522967842089</v>
      </c>
      <c r="K71" s="76">
        <f>I72/'Summary Baseline Data'!G79</f>
        <v>-227.96619752545573</v>
      </c>
      <c r="L71" s="76">
        <f>I71/('Summary Baseline Data'!D79-'Summary Baseline Data'!D78)</f>
        <v>-4132.0530793674297</v>
      </c>
      <c r="M71" s="76">
        <f>I71/('Summary Baseline Data'!G79-'Summary Baseline Data'!G78)</f>
        <v>-12148.236053340212</v>
      </c>
      <c r="N71" s="76">
        <f>N70*(1+'Economist Financing Model 1'!$I$5)+'Economist Financing Model 1'!I71</f>
        <v>335386575.3957082</v>
      </c>
      <c r="O71" s="74">
        <f>PMT($O$5,50,'Underlying Assumptions'!$E$5)</f>
        <v>-53078656.685678646</v>
      </c>
      <c r="P71" s="76">
        <f>O71/'Summary Baseline Data'!D79</f>
        <v>-91.242613313848921</v>
      </c>
      <c r="Q71" s="76">
        <f>O72/'Summary Baseline Data'!G79</f>
        <v>-268.25328314271582</v>
      </c>
      <c r="R71" s="76">
        <f>O71/('Summary Baseline Data'!D79-'Summary Baseline Data'!D78)</f>
        <v>-4862.2857980359522</v>
      </c>
      <c r="S71" s="76">
        <f>O71/('Summary Baseline Data'!G79-'Summary Baseline Data'!G78)</f>
        <v>-14295.120246225659</v>
      </c>
      <c r="T71" s="75">
        <f>T70*(1+'Economist Financing Model 1'!$O$5)+'Economist Financing Model 1'!O71</f>
        <v>377273626.50454503</v>
      </c>
      <c r="U71" s="76">
        <f>PMT($U$5,50,'Underlying Assumptions'!$E$5)</f>
        <v>-70213594.203879833</v>
      </c>
      <c r="V71" s="305">
        <f>U71/'Summary Baseline Data'!D79</f>
        <v>-120.69770083402781</v>
      </c>
      <c r="W71" s="305">
        <f>U72/'Summary Baseline Data'!G79</f>
        <v>-354.85124045204174</v>
      </c>
      <c r="X71" s="305">
        <f>U71/('Summary Baseline Data'!D79-'Summary Baseline Data'!D78)</f>
        <v>-6431.9367377414883</v>
      </c>
      <c r="Y71" s="76">
        <f>U71/('Summary Baseline Data'!G79-'Summary Baseline Data'!G78)</f>
        <v>-18909.894008959924</v>
      </c>
      <c r="Z71" s="76">
        <f>Z70*(1+'Economist Financing Model 1'!U$5)+'Economist Financing Model 1'!U71</f>
        <v>457457873.26114178</v>
      </c>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row>
    <row r="72" spans="1:303" x14ac:dyDescent="0.2">
      <c r="A72" s="224">
        <v>2055</v>
      </c>
      <c r="B72" s="296">
        <v>67</v>
      </c>
      <c r="C72" s="72">
        <f>PMT($C$5,50,'Underlying Assumptions'!$E$5)</f>
        <v>-37660664.113983564</v>
      </c>
      <c r="D72" s="83"/>
      <c r="E72" s="83"/>
      <c r="F72" s="83"/>
      <c r="G72" s="83"/>
      <c r="H72" s="70">
        <f>H71*(1+'Economist Financing Model 1'!$C$5)+'Economist Financing Model 1'!C72</f>
        <v>264366269.73365438</v>
      </c>
      <c r="I72" s="72">
        <f>PMT($I$5,50,'Underlying Assumptions'!$E$5)</f>
        <v>-45107144.235605747</v>
      </c>
      <c r="J72" s="83"/>
      <c r="K72" s="83"/>
      <c r="L72" s="83"/>
      <c r="M72" s="83"/>
      <c r="N72" s="73">
        <f>N71*(1+'Economist Financing Model 1'!$I$5)+'Economist Financing Model 1'!I72</f>
        <v>303694894.17593074</v>
      </c>
      <c r="O72" s="73">
        <f>PMT($O$5,50,'Underlying Assumptions'!$E$5)</f>
        <v>-53078656.685678646</v>
      </c>
      <c r="P72" s="83"/>
      <c r="Q72" s="83"/>
      <c r="R72" s="83"/>
      <c r="S72" s="83"/>
      <c r="T72" s="70">
        <f>T71*(1+'Economist Financing Model 1'!$O$5)+'Economist Financing Model 1'!O72</f>
        <v>343058651.14409363</v>
      </c>
      <c r="U72" s="73">
        <f>PMT($U$5,50,'Underlying Assumptions'!$E$5)</f>
        <v>-70213594.203879833</v>
      </c>
      <c r="V72" s="86"/>
      <c r="W72" s="86"/>
      <c r="X72" s="86"/>
      <c r="Y72" s="83"/>
      <c r="Z72" s="73">
        <f>Z71*(1+'Economist Financing Model 1'!U$5)+'Economist Financing Model 1'!U72</f>
        <v>419266330.18554187</v>
      </c>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row>
    <row r="73" spans="1:303" x14ac:dyDescent="0.2">
      <c r="A73" s="224">
        <v>2056</v>
      </c>
      <c r="B73" s="128">
        <v>68</v>
      </c>
      <c r="C73" s="72">
        <f>PMT($C$5,50,'Underlying Assumptions'!$E$5)</f>
        <v>-37660664.113983564</v>
      </c>
      <c r="D73" s="83"/>
      <c r="E73" s="83"/>
      <c r="F73" s="83"/>
      <c r="G73" s="83"/>
      <c r="H73" s="70">
        <f>H72*(1+'Economist Financing Model 1'!$C$5)+'Economist Financing Model 1'!C73</f>
        <v>234636593.71168047</v>
      </c>
      <c r="I73" s="72">
        <f>PMT($I$5,50,'Underlying Assumptions'!$E$5)</f>
        <v>-45107144.235605747</v>
      </c>
      <c r="J73" s="83"/>
      <c r="K73" s="83"/>
      <c r="L73" s="83"/>
      <c r="M73" s="83"/>
      <c r="N73" s="73">
        <f>N72*(1+'Economist Financing Model 1'!$I$5)+'Economist Financing Model 1'!I73</f>
        <v>270735545.70736217</v>
      </c>
      <c r="O73" s="73">
        <f>PMT($O$5,50,'Underlying Assumptions'!$E$5)</f>
        <v>-53078656.685678646</v>
      </c>
      <c r="P73" s="83"/>
      <c r="Q73" s="83"/>
      <c r="R73" s="83"/>
      <c r="S73" s="83"/>
      <c r="T73" s="70">
        <f>T72*(1+'Economist Financing Model 1'!$O$5)+'Economist Financing Model 1'!O73</f>
        <v>307132927.0156197</v>
      </c>
      <c r="U73" s="73">
        <f>PMT($U$5,50,'Underlying Assumptions'!$E$5)</f>
        <v>-70213594.203879833</v>
      </c>
      <c r="V73" s="83"/>
      <c r="W73" s="83"/>
      <c r="X73" s="83"/>
      <c r="Y73" s="83"/>
      <c r="Z73" s="73">
        <f>Z72*(1+'Economist Financing Model 1'!U$5)+'Economist Financing Model 1'!U73</f>
        <v>378401379.09464997</v>
      </c>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row>
    <row r="74" spans="1:303" x14ac:dyDescent="0.2">
      <c r="A74" s="224">
        <v>2057</v>
      </c>
      <c r="B74" s="296">
        <v>69</v>
      </c>
      <c r="C74" s="72">
        <f>PMT($C$5,50,'Underlying Assumptions'!$E$5)</f>
        <v>-37660664.113983564</v>
      </c>
      <c r="D74" s="83"/>
      <c r="E74" s="83"/>
      <c r="F74" s="83"/>
      <c r="G74" s="83"/>
      <c r="H74" s="70">
        <f>H73*(1+'Economist Financing Model 1'!$C$5)+'Economist Financing Model 1'!C74</f>
        <v>204015027.40904734</v>
      </c>
      <c r="I74" s="72">
        <f>PMT($I$5,50,'Underlying Assumptions'!$E$5)</f>
        <v>-45107144.235605747</v>
      </c>
      <c r="J74" s="83"/>
      <c r="K74" s="83"/>
      <c r="L74" s="83"/>
      <c r="M74" s="83"/>
      <c r="N74" s="73">
        <f>N73*(1+'Economist Financing Model 1'!$I$5)+'Economist Financing Model 1'!I74</f>
        <v>236457823.30005094</v>
      </c>
      <c r="O74" s="73">
        <f>PMT($O$5,50,'Underlying Assumptions'!$E$5)</f>
        <v>-53078656.685678646</v>
      </c>
      <c r="P74" s="83"/>
      <c r="Q74" s="83"/>
      <c r="R74" s="83"/>
      <c r="S74" s="83"/>
      <c r="T74" s="70">
        <f>T73*(1+'Economist Financing Model 1'!$O$5)+'Economist Financing Model 1'!O74</f>
        <v>269410916.68072206</v>
      </c>
      <c r="U74" s="73">
        <f>PMT($U$5,50,'Underlying Assumptions'!$E$5)</f>
        <v>-70213594.203879833</v>
      </c>
      <c r="V74" s="83"/>
      <c r="W74" s="83"/>
      <c r="X74" s="83"/>
      <c r="Y74" s="83"/>
      <c r="Z74" s="73">
        <f>Z73*(1+'Economist Financing Model 1'!U$5)+'Economist Financing Model 1'!U74</f>
        <v>334675881.42739564</v>
      </c>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row>
    <row r="75" spans="1:303" x14ac:dyDescent="0.2">
      <c r="A75" s="224">
        <v>2058</v>
      </c>
      <c r="B75" s="128">
        <v>70</v>
      </c>
      <c r="C75" s="72">
        <f>PMT($C$5,50,'Underlying Assumptions'!$E$5)</f>
        <v>-37660664.113983564</v>
      </c>
      <c r="D75" s="83"/>
      <c r="E75" s="83"/>
      <c r="F75" s="83"/>
      <c r="G75" s="83"/>
      <c r="H75" s="70">
        <f>H74*(1+'Economist Financing Model 1'!$C$5)+'Economist Financing Model 1'!C75</f>
        <v>172474814.1173352</v>
      </c>
      <c r="I75" s="72">
        <f>PMT($I$5,50,'Underlying Assumptions'!$E$5)</f>
        <v>-45107144.235605747</v>
      </c>
      <c r="J75" s="83"/>
      <c r="K75" s="83"/>
      <c r="L75" s="83"/>
      <c r="M75" s="83"/>
      <c r="N75" s="73">
        <f>N74*(1+'Economist Financing Model 1'!$I$5)+'Economist Financing Model 1'!I75</f>
        <v>200808991.99644724</v>
      </c>
      <c r="O75" s="73">
        <f>PMT($O$5,50,'Underlying Assumptions'!$E$5)</f>
        <v>-53078656.685678646</v>
      </c>
      <c r="P75" s="83"/>
      <c r="Q75" s="83"/>
      <c r="R75" s="83"/>
      <c r="S75" s="83"/>
      <c r="T75" s="70">
        <f>T74*(1+'Economist Financing Model 1'!$O$5)+'Economist Financing Model 1'!O75</f>
        <v>229802805.82907951</v>
      </c>
      <c r="U75" s="73">
        <f>PMT($U$5,50,'Underlying Assumptions'!$E$5)</f>
        <v>-70213594.203879833</v>
      </c>
      <c r="V75" s="83"/>
      <c r="W75" s="83"/>
      <c r="X75" s="83"/>
      <c r="Y75" s="83"/>
      <c r="Z75" s="73">
        <f>Z74*(1+'Economist Financing Model 1'!U$5)+'Economist Financing Model 1'!U75</f>
        <v>287889598.92343354</v>
      </c>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row>
    <row r="76" spans="1:303" x14ac:dyDescent="0.2">
      <c r="A76" s="224">
        <v>2059</v>
      </c>
      <c r="B76" s="296">
        <v>71</v>
      </c>
      <c r="C76" s="72">
        <f>PMT($C$5,50,'Underlying Assumptions'!$E$5)</f>
        <v>-37660664.113983564</v>
      </c>
      <c r="D76" s="83"/>
      <c r="E76" s="83"/>
      <c r="F76" s="83"/>
      <c r="G76" s="83"/>
      <c r="H76" s="70">
        <f>H75*(1+'Economist Financing Model 1'!$C$5)+'Economist Financing Model 1'!C76</f>
        <v>139988394.42687169</v>
      </c>
      <c r="I76" s="72">
        <f>PMT($I$5,50,'Underlying Assumptions'!$E$5)</f>
        <v>-45107144.235605747</v>
      </c>
      <c r="J76" s="83"/>
      <c r="K76" s="83"/>
      <c r="L76" s="83"/>
      <c r="M76" s="83"/>
      <c r="N76" s="73">
        <f>N75*(1+'Economist Financing Model 1'!$I$5)+'Economist Financing Model 1'!I76</f>
        <v>163734207.4406994</v>
      </c>
      <c r="O76" s="73">
        <f>PMT($O$5,50,'Underlying Assumptions'!$E$5)</f>
        <v>-53078656.685678646</v>
      </c>
      <c r="P76" s="83"/>
      <c r="Q76" s="83"/>
      <c r="R76" s="83"/>
      <c r="S76" s="83"/>
      <c r="T76" s="70">
        <f>T75*(1+'Economist Financing Model 1'!$O$5)+'Economist Financing Model 1'!O76</f>
        <v>188214289.43485487</v>
      </c>
      <c r="U76" s="73">
        <f>PMT($U$5,50,'Underlying Assumptions'!$E$5)</f>
        <v>-70213594.203879833</v>
      </c>
      <c r="V76" s="83"/>
      <c r="W76" s="83"/>
      <c r="X76" s="83"/>
      <c r="Y76" s="83"/>
      <c r="Z76" s="73">
        <f>Z75*(1+'Economist Financing Model 1'!U$5)+'Economist Financing Model 1'!U76</f>
        <v>237828276.64419407</v>
      </c>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row>
    <row r="77" spans="1:303" s="92" customFormat="1" ht="13.5" thickBot="1" x14ac:dyDescent="0.25">
      <c r="A77" s="225">
        <v>2060</v>
      </c>
      <c r="B77" s="28">
        <v>72</v>
      </c>
      <c r="C77" s="72">
        <f>PMT($C$5,50,'Underlying Assumptions'!$E$5)</f>
        <v>-37660664.113983564</v>
      </c>
      <c r="D77" s="83"/>
      <c r="E77" s="83"/>
      <c r="F77" s="83"/>
      <c r="G77" s="83"/>
      <c r="H77" s="70">
        <f>H76*(1+'Economist Financing Model 1'!$C$5)+'Economist Financing Model 1'!C77</f>
        <v>106527382.14569426</v>
      </c>
      <c r="I77" s="72">
        <f>PMT($I$5,50,'Underlying Assumptions'!$E$5)</f>
        <v>-45107144.235605747</v>
      </c>
      <c r="J77" s="83"/>
      <c r="K77" s="83"/>
      <c r="L77" s="83"/>
      <c r="M77" s="83"/>
      <c r="N77" s="73">
        <f>N76*(1+'Economist Financing Model 1'!$I$5)+'Economist Financing Model 1'!I77</f>
        <v>125176431.50272164</v>
      </c>
      <c r="O77" s="73">
        <f>PMT($O$5,50,'Underlying Assumptions'!$E$5)</f>
        <v>-53078656.685678646</v>
      </c>
      <c r="P77" s="83"/>
      <c r="Q77" s="83"/>
      <c r="R77" s="83"/>
      <c r="S77" s="83"/>
      <c r="T77" s="70">
        <f>T76*(1+'Economist Financing Model 1'!$O$5)+'Economist Financing Model 1'!O77</f>
        <v>144546347.22091895</v>
      </c>
      <c r="U77" s="73">
        <f>PMT($U$5,50,'Underlying Assumptions'!$E$5)</f>
        <v>-70213594.203879833</v>
      </c>
      <c r="V77" s="83"/>
      <c r="W77" s="83"/>
      <c r="X77" s="83"/>
      <c r="Y77" s="83"/>
      <c r="Z77" s="73">
        <f>Z76*(1+'Economist Financing Model 1'!U$5)+'Economist Financing Model 1'!U77</f>
        <v>184262661.80540782</v>
      </c>
      <c r="AA77" s="66"/>
    </row>
    <row r="78" spans="1:303" ht="13.5" thickBot="1" x14ac:dyDescent="0.25">
      <c r="A78" s="225">
        <v>2061</v>
      </c>
      <c r="B78" s="296">
        <v>73</v>
      </c>
      <c r="C78" s="72">
        <f>PMT($C$5,50,'Underlying Assumptions'!$E$5)</f>
        <v>-37660664.113983564</v>
      </c>
      <c r="D78" s="83"/>
      <c r="E78" s="83"/>
      <c r="F78" s="83"/>
      <c r="G78" s="83"/>
      <c r="H78" s="70">
        <f>H77*(1+'Economist Financing Model 1'!$C$5)+'Economist Financing Model 1'!C78</f>
        <v>72062539.496081531</v>
      </c>
      <c r="I78" s="72">
        <f>PMT($I$5,50,'Underlying Assumptions'!$E$5)</f>
        <v>-45107144.235605747</v>
      </c>
      <c r="J78" s="83"/>
      <c r="K78" s="83"/>
      <c r="L78" s="83"/>
      <c r="M78" s="83"/>
      <c r="N78" s="73">
        <f>N77*(1+'Economist Financing Model 1'!$I$5)+'Economist Financing Model 1'!I78</f>
        <v>85076344.527224764</v>
      </c>
      <c r="O78" s="73">
        <f>PMT($O$5,50,'Underlying Assumptions'!$E$5)</f>
        <v>-53078656.685678646</v>
      </c>
      <c r="P78" s="83"/>
      <c r="Q78" s="83"/>
      <c r="R78" s="83"/>
      <c r="S78" s="83"/>
      <c r="T78" s="70">
        <f>T77*(1+'Economist Financing Model 1'!$O$5)+'Economist Financing Model 1'!O78</f>
        <v>98695007.896286264</v>
      </c>
      <c r="U78" s="73">
        <f>PMT($U$5,50,'Underlying Assumptions'!$E$5)</f>
        <v>-70213594.203879833</v>
      </c>
      <c r="V78" s="83"/>
      <c r="W78" s="83"/>
      <c r="X78" s="83"/>
      <c r="Y78" s="83"/>
      <c r="Z78" s="73">
        <f>Z77*(1+'Economist Financing Model 1'!U$5)+'Economist Financing Model 1'!U78</f>
        <v>126947453.92790654</v>
      </c>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row>
    <row r="79" spans="1:303" ht="13.5" thickBot="1" x14ac:dyDescent="0.25">
      <c r="A79" s="224">
        <v>2062</v>
      </c>
      <c r="B79" s="128">
        <v>74</v>
      </c>
      <c r="C79" s="72">
        <f>PMT($C$5,50,'Underlying Assumptions'!$E$5)</f>
        <v>-37660664.113983564</v>
      </c>
      <c r="D79" s="83"/>
      <c r="E79" s="83"/>
      <c r="F79" s="83"/>
      <c r="G79" s="83"/>
      <c r="H79" s="70">
        <f>H78*(1+'Economist Financing Model 1'!$C$5)+'Economist Financing Model 1'!C79</f>
        <v>36563751.566980414</v>
      </c>
      <c r="I79" s="72">
        <f>PMT($I$5,50,'Underlying Assumptions'!$E$5)</f>
        <v>-45107144.235605747</v>
      </c>
      <c r="J79" s="83"/>
      <c r="K79" s="83"/>
      <c r="L79" s="83"/>
      <c r="M79" s="83"/>
      <c r="N79" s="73">
        <f>N78*(1+'Economist Financing Model 1'!$I$5)+'Economist Financing Model 1'!I79</f>
        <v>43372254.072708011</v>
      </c>
      <c r="O79" s="73">
        <f>PMT($O$5,50,'Underlying Assumptions'!$E$5)</f>
        <v>-53078656.685678646</v>
      </c>
      <c r="P79" s="83"/>
      <c r="Q79" s="83"/>
      <c r="R79" s="83"/>
      <c r="S79" s="83"/>
      <c r="T79" s="70">
        <f>T78*(1+'Economist Financing Model 1'!$O$5)+'Economist Financing Model 1'!O79</f>
        <v>50551101.605421931</v>
      </c>
      <c r="U79" s="73">
        <f>PMT($U$5,50,'Underlying Assumptions'!$E$5)</f>
        <v>-70213594.203879833</v>
      </c>
      <c r="V79" s="83"/>
      <c r="W79" s="83"/>
      <c r="X79" s="83"/>
      <c r="Y79" s="83"/>
      <c r="Z79" s="73">
        <f>Z78*(1+'Economist Financing Model 1'!U$5)+'Economist Financing Model 1'!U79</f>
        <v>65620181.498980165</v>
      </c>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row>
    <row r="80" spans="1:303" ht="13.5" thickBot="1" x14ac:dyDescent="0.25">
      <c r="A80" s="224">
        <v>2063</v>
      </c>
      <c r="B80" s="296">
        <v>75</v>
      </c>
      <c r="C80" s="303">
        <f>PMT($C$5,50,'Underlying Assumptions'!$E$5)</f>
        <v>-37660664.113983564</v>
      </c>
      <c r="D80" s="304"/>
      <c r="E80" s="304"/>
      <c r="F80" s="304"/>
      <c r="G80" s="304"/>
      <c r="H80" s="292">
        <f>H79*(1+'Economist Financing Model 1'!$C$5)+'Economist Financing Model 1'!C80</f>
        <v>6.2659382820129395E-6</v>
      </c>
      <c r="I80" s="303">
        <f>PMT($I$5,50,'Underlying Assumptions'!$E$5)</f>
        <v>-45107144.235605747</v>
      </c>
      <c r="J80" s="304"/>
      <c r="K80" s="304"/>
      <c r="L80" s="304"/>
      <c r="M80" s="304"/>
      <c r="N80" s="291">
        <f>N79*(1+'Economist Financing Model 1'!$I$5)+'Economist Financing Model 1'!I80</f>
        <v>1.058727502822876E-5</v>
      </c>
      <c r="O80" s="291">
        <f>PMT($O$5,50,'Underlying Assumptions'!$E$5)</f>
        <v>-53078656.685678646</v>
      </c>
      <c r="P80" s="304"/>
      <c r="Q80" s="304"/>
      <c r="R80" s="304"/>
      <c r="S80" s="304"/>
      <c r="T80" s="292">
        <f>T79*(1+'Economist Financing Model 1'!$O$5)+'Economist Financing Model 1'!O80</f>
        <v>1.4387071132659912E-5</v>
      </c>
      <c r="U80" s="291">
        <f>PMT($U$5,50,'Underlying Assumptions'!$E$5)</f>
        <v>-70213594.203879833</v>
      </c>
      <c r="V80" s="304"/>
      <c r="W80" s="304"/>
      <c r="X80" s="304"/>
      <c r="Y80" s="304"/>
      <c r="Z80" s="291">
        <f>Z79*(1+'Economist Financing Model 1'!U$5)+'Economist Financing Model 1'!U80</f>
        <v>2.8952956199645996E-5</v>
      </c>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row>
    <row r="81" spans="1:303" x14ac:dyDescent="0.2">
      <c r="A81" s="224">
        <v>2064</v>
      </c>
      <c r="B81" s="128">
        <v>76</v>
      </c>
      <c r="C81" s="73"/>
      <c r="D81" s="73"/>
      <c r="E81" s="73"/>
      <c r="F81" s="73"/>
      <c r="G81" s="73"/>
      <c r="H81" s="73"/>
      <c r="I81" s="73"/>
      <c r="J81" s="73"/>
      <c r="K81" s="73"/>
      <c r="L81" s="73"/>
      <c r="M81" s="73"/>
      <c r="N81" s="73"/>
      <c r="O81" s="73"/>
      <c r="P81" s="73"/>
      <c r="Q81" s="73"/>
      <c r="R81" s="73"/>
      <c r="S81" s="73"/>
      <c r="T81" s="73"/>
      <c r="U81" s="73"/>
      <c r="V81" s="73"/>
      <c r="W81" s="73"/>
      <c r="X81" s="73"/>
      <c r="Y81" s="73"/>
      <c r="Z81" s="73"/>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row>
    <row r="82" spans="1:303" x14ac:dyDescent="0.2">
      <c r="A82" s="224">
        <v>2065</v>
      </c>
      <c r="B82" s="296">
        <v>77</v>
      </c>
      <c r="C82" s="73"/>
      <c r="D82" s="73"/>
      <c r="E82" s="73"/>
      <c r="F82" s="73"/>
      <c r="G82" s="73"/>
      <c r="H82" s="73"/>
      <c r="I82" s="73"/>
      <c r="J82" s="73"/>
      <c r="K82" s="73"/>
      <c r="L82" s="73"/>
      <c r="M82" s="73"/>
      <c r="N82" s="73"/>
      <c r="O82" s="73"/>
      <c r="P82" s="73"/>
      <c r="Q82" s="73"/>
      <c r="R82" s="73"/>
      <c r="S82" s="73"/>
      <c r="T82" s="73"/>
      <c r="U82" s="73"/>
      <c r="V82" s="73"/>
      <c r="W82" s="73"/>
      <c r="X82" s="73"/>
      <c r="Y82" s="73"/>
      <c r="Z82" s="73"/>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row>
    <row r="83" spans="1:303" x14ac:dyDescent="0.2">
      <c r="A83" s="224">
        <v>2066</v>
      </c>
      <c r="B83" s="128">
        <v>78</v>
      </c>
      <c r="C83" s="73"/>
      <c r="D83" s="73"/>
      <c r="E83" s="73"/>
      <c r="F83" s="73"/>
      <c r="G83" s="73"/>
      <c r="H83" s="73"/>
      <c r="I83" s="73"/>
      <c r="J83" s="73"/>
      <c r="K83" s="73"/>
      <c r="L83" s="73"/>
      <c r="M83" s="73"/>
      <c r="N83" s="73"/>
      <c r="O83" s="73"/>
      <c r="P83" s="73"/>
      <c r="Q83" s="73"/>
      <c r="R83" s="73"/>
      <c r="S83" s="73"/>
      <c r="T83" s="73"/>
      <c r="U83" s="73"/>
      <c r="V83" s="73"/>
      <c r="W83" s="73"/>
      <c r="X83" s="73"/>
      <c r="Y83" s="73"/>
      <c r="Z83" s="73"/>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row>
    <row r="84" spans="1:303" x14ac:dyDescent="0.2">
      <c r="A84" s="224">
        <v>2067</v>
      </c>
      <c r="B84" s="296">
        <v>79</v>
      </c>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row>
    <row r="85" spans="1:303" ht="13.5" thickBot="1" x14ac:dyDescent="0.25">
      <c r="A85" s="224">
        <v>2068</v>
      </c>
      <c r="B85" s="128">
        <v>80</v>
      </c>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row>
    <row r="86" spans="1:303" ht="13.5" thickBot="1" x14ac:dyDescent="0.25">
      <c r="A86" s="301">
        <v>2069</v>
      </c>
      <c r="B86" s="302">
        <v>81</v>
      </c>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row>
    <row r="87" spans="1:303" x14ac:dyDescent="0.2">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row>
    <row r="88" spans="1:303" x14ac:dyDescent="0.2">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row>
    <row r="89" spans="1:303" x14ac:dyDescent="0.2">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row>
    <row r="90" spans="1:303" x14ac:dyDescent="0.2">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row>
    <row r="91" spans="1:303" x14ac:dyDescent="0.2">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row>
    <row r="92" spans="1:303" x14ac:dyDescent="0.2">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row>
    <row r="93" spans="1:303" x14ac:dyDescent="0.2">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row>
    <row r="94" spans="1:303" x14ac:dyDescent="0.2">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row>
    <row r="95" spans="1:303" x14ac:dyDescent="0.2">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row>
    <row r="96" spans="1:303" x14ac:dyDescent="0.2">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row>
    <row r="97" spans="27:303" x14ac:dyDescent="0.2">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row>
    <row r="98" spans="27:303" x14ac:dyDescent="0.2">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row>
    <row r="99" spans="27:303" x14ac:dyDescent="0.2">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row>
    <row r="100" spans="27:303" x14ac:dyDescent="0.2">
      <c r="AA100" s="97"/>
      <c r="AB100" s="97"/>
      <c r="AC100" s="97"/>
      <c r="AD100" s="97"/>
      <c r="AE100" s="97"/>
      <c r="AF100" s="97"/>
      <c r="AG100" s="97"/>
      <c r="AH100" s="97"/>
      <c r="AI100" s="97"/>
      <c r="AJ100" s="97"/>
      <c r="AK100" s="97"/>
      <c r="AL100" s="97"/>
      <c r="AM100" s="97"/>
      <c r="AN100" s="138"/>
      <c r="AO100" s="101"/>
      <c r="AP100" s="101"/>
      <c r="AQ100" s="101"/>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row>
    <row r="101" spans="27:303" x14ac:dyDescent="0.2">
      <c r="AA101" s="97"/>
      <c r="AB101" s="97"/>
      <c r="AC101" s="97"/>
      <c r="AD101" s="97"/>
      <c r="AE101" s="97"/>
      <c r="AF101" s="97"/>
      <c r="AG101" s="97"/>
      <c r="AH101" s="97"/>
      <c r="AI101" s="97"/>
      <c r="AJ101" s="97"/>
      <c r="AK101" s="97"/>
      <c r="AL101" s="97"/>
      <c r="AM101" s="97"/>
      <c r="AN101" s="138"/>
      <c r="AO101" s="101"/>
      <c r="AP101" s="101"/>
      <c r="AQ101" s="101"/>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row>
    <row r="102" spans="27:303" x14ac:dyDescent="0.2">
      <c r="AA102" s="97"/>
      <c r="AB102" s="97"/>
      <c r="AC102" s="97"/>
      <c r="AD102" s="97"/>
      <c r="AE102" s="97"/>
      <c r="AF102" s="97"/>
      <c r="AG102" s="97"/>
      <c r="AH102" s="97"/>
      <c r="AI102" s="97"/>
      <c r="AJ102" s="97"/>
      <c r="AK102" s="97"/>
      <c r="AL102" s="97"/>
      <c r="AM102" s="97"/>
      <c r="AN102" s="138"/>
      <c r="AO102" s="101"/>
      <c r="AP102" s="101"/>
      <c r="AQ102" s="101"/>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row>
    <row r="103" spans="27:303" x14ac:dyDescent="0.2">
      <c r="AA103" s="97"/>
      <c r="AB103" s="97"/>
      <c r="AC103" s="97"/>
      <c r="AD103" s="97"/>
      <c r="AE103" s="97"/>
      <c r="AF103" s="97"/>
      <c r="AG103" s="97"/>
      <c r="AH103" s="97"/>
      <c r="AI103" s="97"/>
      <c r="AJ103" s="97"/>
      <c r="AK103" s="97"/>
      <c r="AL103" s="97"/>
      <c r="AM103" s="97"/>
      <c r="AN103" s="138"/>
      <c r="AO103" s="101"/>
      <c r="AP103" s="101"/>
      <c r="AQ103" s="101"/>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row>
    <row r="104" spans="27:303" x14ac:dyDescent="0.2">
      <c r="AA104" s="97"/>
      <c r="AB104" s="97"/>
      <c r="AC104" s="97"/>
      <c r="AD104" s="97"/>
      <c r="AE104" s="97"/>
      <c r="AF104" s="97"/>
      <c r="AG104" s="97"/>
      <c r="AH104" s="97"/>
      <c r="AI104" s="97"/>
      <c r="AJ104" s="97"/>
      <c r="AK104" s="97"/>
      <c r="AL104" s="97"/>
      <c r="AM104" s="97"/>
      <c r="AN104" s="138"/>
      <c r="AO104" s="101"/>
      <c r="AP104" s="101"/>
      <c r="AQ104" s="101"/>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row>
    <row r="105" spans="27:303" x14ac:dyDescent="0.2">
      <c r="AA105" s="97"/>
      <c r="AB105" s="97"/>
      <c r="AC105" s="97"/>
      <c r="AD105" s="97"/>
      <c r="AE105" s="97"/>
      <c r="AF105" s="97"/>
      <c r="AG105" s="97"/>
      <c r="AH105" s="97"/>
      <c r="AI105" s="97"/>
      <c r="AJ105" s="97"/>
      <c r="AK105" s="97"/>
      <c r="AL105" s="97"/>
      <c r="AM105" s="97"/>
      <c r="AN105" s="138"/>
      <c r="AO105" s="101"/>
      <c r="AP105" s="101"/>
      <c r="AQ105" s="101"/>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row>
    <row r="106" spans="27:303" x14ac:dyDescent="0.2">
      <c r="AA106" s="97"/>
      <c r="AB106" s="97"/>
      <c r="AC106" s="97"/>
      <c r="AD106" s="97"/>
      <c r="AE106" s="97"/>
      <c r="AF106" s="97"/>
      <c r="AG106" s="97"/>
      <c r="AH106" s="97"/>
      <c r="AI106" s="97"/>
      <c r="AJ106" s="97"/>
      <c r="AK106" s="97"/>
      <c r="AL106" s="97"/>
      <c r="AM106" s="97"/>
      <c r="AN106" s="138"/>
      <c r="AO106" s="101"/>
      <c r="AP106" s="101"/>
      <c r="AQ106" s="101"/>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row>
    <row r="107" spans="27:303" x14ac:dyDescent="0.2">
      <c r="AA107" s="97"/>
      <c r="AB107" s="97"/>
      <c r="AC107" s="97"/>
      <c r="AD107" s="97"/>
      <c r="AE107" s="97"/>
      <c r="AF107" s="97"/>
      <c r="AG107" s="97"/>
      <c r="AH107" s="97"/>
      <c r="AI107" s="97"/>
      <c r="AJ107" s="97"/>
      <c r="AK107" s="97"/>
      <c r="AL107" s="97"/>
      <c r="AM107" s="97"/>
      <c r="AN107" s="138"/>
      <c r="AO107" s="101"/>
      <c r="AP107" s="101"/>
      <c r="AQ107" s="101"/>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row>
    <row r="108" spans="27:303" x14ac:dyDescent="0.2">
      <c r="AA108" s="97"/>
      <c r="AB108" s="97"/>
      <c r="AC108" s="97"/>
      <c r="AD108" s="97"/>
      <c r="AE108" s="97"/>
      <c r="AF108" s="97"/>
      <c r="AG108" s="97"/>
      <c r="AH108" s="97"/>
      <c r="AI108" s="97"/>
      <c r="AJ108" s="97"/>
      <c r="AK108" s="97"/>
      <c r="AL108" s="97"/>
      <c r="AM108" s="97"/>
      <c r="AN108" s="138"/>
      <c r="AO108" s="101"/>
      <c r="AP108" s="101"/>
      <c r="AQ108" s="101"/>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row>
    <row r="109" spans="27:303" x14ac:dyDescent="0.2">
      <c r="AA109" s="97"/>
      <c r="AB109" s="97"/>
      <c r="AC109" s="97"/>
      <c r="AD109" s="97"/>
      <c r="AE109" s="97"/>
      <c r="AF109" s="97"/>
      <c r="AG109" s="97"/>
      <c r="AH109" s="97"/>
      <c r="AI109" s="97"/>
      <c r="AJ109" s="97"/>
      <c r="AK109" s="97"/>
      <c r="AL109" s="97"/>
      <c r="AM109" s="97"/>
      <c r="AN109" s="138"/>
      <c r="AO109" s="101"/>
      <c r="AP109" s="101"/>
      <c r="AQ109" s="101"/>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row>
    <row r="110" spans="27:303" x14ac:dyDescent="0.2">
      <c r="AA110" s="97"/>
      <c r="AB110" s="97"/>
      <c r="AC110" s="97"/>
      <c r="AD110" s="97"/>
      <c r="AE110" s="97"/>
      <c r="AF110" s="97"/>
      <c r="AG110" s="97"/>
      <c r="AH110" s="97"/>
      <c r="AI110" s="97"/>
      <c r="AJ110" s="97"/>
      <c r="AK110" s="97"/>
      <c r="AL110" s="97"/>
      <c r="AM110" s="97"/>
      <c r="AN110" s="138"/>
      <c r="AO110" s="101"/>
      <c r="AP110" s="101"/>
      <c r="AQ110" s="101"/>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row>
    <row r="111" spans="27:303" x14ac:dyDescent="0.2">
      <c r="AA111" s="97"/>
      <c r="AB111" s="97"/>
      <c r="AC111" s="97"/>
      <c r="AD111" s="97"/>
      <c r="AE111" s="97"/>
      <c r="AF111" s="97"/>
      <c r="AG111" s="97"/>
      <c r="AH111" s="97"/>
      <c r="AI111" s="97"/>
      <c r="AJ111" s="97"/>
      <c r="AK111" s="97"/>
      <c r="AL111" s="97"/>
      <c r="AM111" s="97"/>
      <c r="AN111" s="138"/>
      <c r="AO111" s="101"/>
      <c r="AP111" s="101"/>
      <c r="AQ111" s="101"/>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row>
    <row r="112" spans="27:303" x14ac:dyDescent="0.2">
      <c r="AA112" s="97"/>
      <c r="AB112" s="97"/>
      <c r="AC112" s="97"/>
      <c r="AD112" s="97"/>
      <c r="AE112" s="97"/>
      <c r="AF112" s="97"/>
      <c r="AG112" s="97"/>
      <c r="AH112" s="97"/>
      <c r="AI112" s="97"/>
      <c r="AJ112" s="97"/>
      <c r="AK112" s="97"/>
      <c r="AL112" s="97"/>
      <c r="AM112" s="97"/>
      <c r="AN112" s="138"/>
      <c r="AO112" s="101"/>
      <c r="AP112" s="101"/>
      <c r="AQ112" s="101"/>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row>
    <row r="113" spans="27:303" x14ac:dyDescent="0.2">
      <c r="AA113" s="97"/>
      <c r="AB113" s="97"/>
      <c r="AC113" s="97"/>
      <c r="AD113" s="97"/>
      <c r="AE113" s="97"/>
      <c r="AF113" s="97"/>
      <c r="AG113" s="97"/>
      <c r="AH113" s="97"/>
      <c r="AI113" s="97"/>
      <c r="AJ113" s="97"/>
      <c r="AK113" s="97"/>
      <c r="AL113" s="97"/>
      <c r="AM113" s="97"/>
      <c r="AN113" s="138"/>
      <c r="AO113" s="101"/>
      <c r="AP113" s="101"/>
      <c r="AQ113" s="101"/>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row>
    <row r="114" spans="27:303" x14ac:dyDescent="0.2">
      <c r="AA114" s="97"/>
      <c r="AB114" s="97"/>
      <c r="AC114" s="97"/>
      <c r="AD114" s="97"/>
      <c r="AE114" s="97"/>
      <c r="AF114" s="97"/>
      <c r="AG114" s="97"/>
      <c r="AH114" s="97"/>
      <c r="AI114" s="97"/>
      <c r="AJ114" s="97"/>
      <c r="AK114" s="97"/>
      <c r="AL114" s="97"/>
      <c r="AM114" s="97"/>
      <c r="AN114" s="138"/>
      <c r="AO114" s="101"/>
      <c r="AP114" s="101"/>
      <c r="AQ114" s="101"/>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row>
    <row r="115" spans="27:303" x14ac:dyDescent="0.2">
      <c r="AA115" s="97"/>
      <c r="AB115" s="97"/>
      <c r="AC115" s="97"/>
      <c r="AD115" s="97"/>
      <c r="AE115" s="97"/>
      <c r="AF115" s="97"/>
      <c r="AG115" s="97"/>
      <c r="AH115" s="97"/>
      <c r="AI115" s="97"/>
      <c r="AJ115" s="97"/>
      <c r="AK115" s="97"/>
      <c r="AL115" s="97"/>
      <c r="AM115" s="97"/>
      <c r="AN115" s="138"/>
      <c r="AO115" s="101"/>
      <c r="AP115" s="101"/>
      <c r="AQ115" s="101"/>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row>
    <row r="116" spans="27:303" x14ac:dyDescent="0.2">
      <c r="AA116" s="97"/>
      <c r="AB116" s="97"/>
      <c r="AC116" s="97"/>
      <c r="AD116" s="97"/>
      <c r="AE116" s="97"/>
      <c r="AF116" s="97"/>
      <c r="AG116" s="97"/>
      <c r="AH116" s="97"/>
      <c r="AI116" s="97"/>
      <c r="AJ116" s="97"/>
      <c r="AK116" s="97"/>
      <c r="AL116" s="97"/>
      <c r="AM116" s="97"/>
      <c r="AN116" s="138"/>
      <c r="AO116" s="101"/>
      <c r="AP116" s="101"/>
      <c r="AQ116" s="101"/>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row>
    <row r="117" spans="27:303" x14ac:dyDescent="0.2">
      <c r="AA117" s="97"/>
      <c r="AB117" s="97"/>
      <c r="AC117" s="97"/>
      <c r="AD117" s="97"/>
      <c r="AE117" s="97"/>
      <c r="AF117" s="97"/>
      <c r="AG117" s="97"/>
      <c r="AH117" s="97"/>
      <c r="AI117" s="97"/>
      <c r="AJ117" s="97"/>
      <c r="AK117" s="97"/>
      <c r="AL117" s="97"/>
      <c r="AM117" s="97"/>
      <c r="AN117" s="138"/>
      <c r="AO117" s="101"/>
      <c r="AP117" s="101"/>
      <c r="AQ117" s="101"/>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row>
    <row r="118" spans="27:303" x14ac:dyDescent="0.2">
      <c r="AA118" s="97"/>
      <c r="AB118" s="97"/>
      <c r="AC118" s="97"/>
      <c r="AD118" s="97"/>
      <c r="AE118" s="97"/>
      <c r="AF118" s="97"/>
      <c r="AG118" s="97"/>
      <c r="AH118" s="97"/>
      <c r="AI118" s="97"/>
      <c r="AJ118" s="97"/>
      <c r="AK118" s="97"/>
      <c r="AL118" s="97"/>
      <c r="AM118" s="97"/>
      <c r="AN118" s="138"/>
      <c r="AO118" s="101"/>
      <c r="AP118" s="101"/>
      <c r="AQ118" s="101"/>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row>
    <row r="119" spans="27:303" x14ac:dyDescent="0.2">
      <c r="AA119" s="97"/>
      <c r="AB119" s="97"/>
      <c r="AC119" s="97"/>
      <c r="AD119" s="97"/>
      <c r="AE119" s="97"/>
      <c r="AF119" s="97"/>
      <c r="AG119" s="97"/>
      <c r="AH119" s="97"/>
      <c r="AI119" s="97"/>
      <c r="AJ119" s="97"/>
      <c r="AK119" s="97"/>
      <c r="AL119" s="97"/>
      <c r="AM119" s="97"/>
      <c r="AN119" s="138"/>
      <c r="AO119" s="101"/>
      <c r="AP119" s="101"/>
      <c r="AQ119" s="101"/>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row>
    <row r="120" spans="27:303" x14ac:dyDescent="0.2">
      <c r="AA120" s="97"/>
      <c r="AB120" s="97"/>
      <c r="AC120" s="97"/>
      <c r="AD120" s="97"/>
      <c r="AE120" s="97"/>
      <c r="AF120" s="97"/>
      <c r="AG120" s="97"/>
      <c r="AH120" s="97"/>
      <c r="AI120" s="97"/>
      <c r="AJ120" s="97"/>
      <c r="AK120" s="97"/>
      <c r="AL120" s="97"/>
      <c r="AM120" s="97"/>
      <c r="AN120" s="138"/>
      <c r="AO120" s="101"/>
      <c r="AP120" s="101"/>
      <c r="AQ120" s="101"/>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row>
    <row r="121" spans="27:303" x14ac:dyDescent="0.2">
      <c r="AA121" s="97"/>
      <c r="AB121" s="97"/>
      <c r="AC121" s="97"/>
      <c r="AD121" s="97"/>
      <c r="AE121" s="97"/>
      <c r="AF121" s="97"/>
      <c r="AG121" s="97"/>
      <c r="AH121" s="97"/>
      <c r="AI121" s="97"/>
      <c r="AJ121" s="97"/>
      <c r="AK121" s="97"/>
      <c r="AL121" s="97"/>
      <c r="AM121" s="97"/>
      <c r="AN121" s="138"/>
      <c r="AO121" s="101"/>
      <c r="AP121" s="101"/>
      <c r="AQ121" s="101"/>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row>
  </sheetData>
  <mergeCells count="8">
    <mergeCell ref="I5:N5"/>
    <mergeCell ref="U5:Z5"/>
    <mergeCell ref="O5:T5"/>
    <mergeCell ref="C5:H5"/>
    <mergeCell ref="C3:N3"/>
    <mergeCell ref="O3:Z3"/>
    <mergeCell ref="C4:N4"/>
    <mergeCell ref="O4:Z4"/>
  </mergeCells>
  <pageMargins left="0.7" right="0.7" top="0.75" bottom="0.75" header="0.3" footer="0.3"/>
  <pageSetup paperSize="17" scale="32" fitToHeight="0" orientation="landscape" r:id="rId1"/>
  <headerFooter>
    <oddFooter xml:space="preserve">&amp;L&amp;"-,Bold"&amp;9This is a preliminary draft document. It is intended for discussion purposes only. </oddFooter>
  </headerFooter>
  <colBreaks count="1" manualBreakCount="1">
    <brk id="14" max="7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3"/>
  <sheetViews>
    <sheetView view="pageBreakPreview" zoomScaleNormal="100" zoomScaleSheetLayoutView="100" workbookViewId="0">
      <selection activeCell="A5" sqref="A5:A68"/>
    </sheetView>
  </sheetViews>
  <sheetFormatPr defaultRowHeight="12.75" x14ac:dyDescent="0.2"/>
  <cols>
    <col min="1" max="1" width="4.42578125" style="21" bestFit="1" customWidth="1"/>
    <col min="2" max="2" width="4.42578125" style="21" hidden="1" customWidth="1"/>
    <col min="3" max="3" width="15" style="73" bestFit="1" customWidth="1"/>
    <col min="4" max="8" width="13.85546875" style="73" customWidth="1"/>
    <col min="9" max="9" width="16.42578125" style="93" bestFit="1" customWidth="1"/>
    <col min="10" max="10" width="15" style="93" bestFit="1" customWidth="1"/>
    <col min="11" max="11" width="16.42578125" style="93" bestFit="1" customWidth="1"/>
    <col min="12" max="15" width="16.42578125" style="93" customWidth="1"/>
    <col min="16" max="16" width="15" style="93" bestFit="1" customWidth="1"/>
    <col min="17" max="17" width="16.42578125" style="93" bestFit="1" customWidth="1"/>
    <col min="18" max="22" width="14.140625" style="93" customWidth="1"/>
    <col min="23" max="23" width="14.85546875" style="56" customWidth="1"/>
    <col min="24" max="24" width="15.140625" style="56" customWidth="1"/>
    <col min="25" max="31" width="15.42578125" style="79" customWidth="1"/>
    <col min="32" max="16384" width="9.140625" style="78"/>
  </cols>
  <sheetData>
    <row r="1" spans="1:32" x14ac:dyDescent="0.2">
      <c r="A1" s="219"/>
      <c r="B1" s="132"/>
      <c r="C1" s="280" t="s">
        <v>52</v>
      </c>
      <c r="D1" s="206"/>
      <c r="E1" s="206"/>
      <c r="F1" s="206"/>
      <c r="G1" s="206"/>
      <c r="H1" s="206"/>
      <c r="I1" s="206"/>
      <c r="J1" s="206"/>
      <c r="K1" s="206"/>
      <c r="L1" s="206"/>
      <c r="M1" s="281"/>
      <c r="N1" s="206"/>
      <c r="O1" s="206"/>
      <c r="P1" s="282"/>
      <c r="Q1" s="131" t="s">
        <v>52</v>
      </c>
      <c r="R1" s="206"/>
      <c r="S1" s="206"/>
      <c r="T1" s="206"/>
      <c r="U1" s="206"/>
      <c r="V1" s="206"/>
      <c r="W1" s="206"/>
      <c r="X1" s="206"/>
      <c r="Y1" s="206"/>
      <c r="Z1" s="206"/>
      <c r="AA1" s="206"/>
      <c r="AB1" s="293"/>
      <c r="AC1" s="206"/>
      <c r="AD1" s="282"/>
      <c r="AE1" s="93"/>
    </row>
    <row r="2" spans="1:32" ht="13.5" thickBot="1" x14ac:dyDescent="0.25">
      <c r="A2" s="283"/>
      <c r="B2" s="28"/>
      <c r="C2" s="204" t="s">
        <v>53</v>
      </c>
      <c r="D2" s="76"/>
      <c r="E2" s="76"/>
      <c r="F2" s="76"/>
      <c r="G2" s="76"/>
      <c r="H2" s="76"/>
      <c r="I2" s="76"/>
      <c r="J2" s="76"/>
      <c r="K2" s="76"/>
      <c r="L2" s="76"/>
      <c r="M2" s="75"/>
      <c r="N2" s="76"/>
      <c r="O2" s="76"/>
      <c r="P2" s="77"/>
      <c r="Q2" s="136" t="s">
        <v>53</v>
      </c>
      <c r="R2" s="76"/>
      <c r="S2" s="76"/>
      <c r="T2" s="76"/>
      <c r="U2" s="76"/>
      <c r="V2" s="76"/>
      <c r="W2" s="76"/>
      <c r="X2" s="76"/>
      <c r="Y2" s="76"/>
      <c r="Z2" s="76"/>
      <c r="AA2" s="76"/>
      <c r="AB2" s="74"/>
      <c r="AC2" s="76"/>
      <c r="AD2" s="77"/>
      <c r="AE2" s="93"/>
    </row>
    <row r="3" spans="1:32" ht="15" customHeight="1" thickBot="1" x14ac:dyDescent="0.25">
      <c r="A3" s="283"/>
      <c r="B3" s="54"/>
      <c r="C3" s="1021" t="s">
        <v>83</v>
      </c>
      <c r="D3" s="1022"/>
      <c r="E3" s="1022"/>
      <c r="F3" s="1022"/>
      <c r="G3" s="1022"/>
      <c r="H3" s="1022"/>
      <c r="I3" s="1022"/>
      <c r="J3" s="1022"/>
      <c r="K3" s="1022"/>
      <c r="L3" s="1022"/>
      <c r="M3" s="1022"/>
      <c r="N3" s="1023"/>
      <c r="O3" s="1023"/>
      <c r="P3" s="1024"/>
      <c r="Q3" s="1028" t="s">
        <v>83</v>
      </c>
      <c r="R3" s="1029"/>
      <c r="S3" s="1029"/>
      <c r="T3" s="1029"/>
      <c r="U3" s="1029"/>
      <c r="V3" s="1029"/>
      <c r="W3" s="1029"/>
      <c r="X3" s="1029"/>
      <c r="Y3" s="1029"/>
      <c r="Z3" s="1029"/>
      <c r="AA3" s="1029"/>
      <c r="AB3" s="1029"/>
      <c r="AC3" s="1029"/>
      <c r="AD3" s="1030"/>
      <c r="AE3" s="212"/>
    </row>
    <row r="4" spans="1:32" ht="33.75" customHeight="1" thickBot="1" x14ac:dyDescent="0.25">
      <c r="A4" s="290"/>
      <c r="B4" s="279"/>
      <c r="C4" s="1025" t="s">
        <v>29</v>
      </c>
      <c r="D4" s="1026"/>
      <c r="E4" s="1026"/>
      <c r="F4" s="1026"/>
      <c r="G4" s="1026"/>
      <c r="H4" s="1026"/>
      <c r="I4" s="1026"/>
      <c r="J4" s="1026"/>
      <c r="K4" s="1026"/>
      <c r="L4" s="1026"/>
      <c r="M4" s="1026"/>
      <c r="N4" s="1026"/>
      <c r="O4" s="1026"/>
      <c r="P4" s="1027"/>
      <c r="Q4" s="1025" t="s">
        <v>29</v>
      </c>
      <c r="R4" s="1026"/>
      <c r="S4" s="1026"/>
      <c r="T4" s="1026"/>
      <c r="U4" s="1026"/>
      <c r="V4" s="1026"/>
      <c r="W4" s="1026"/>
      <c r="X4" s="1026"/>
      <c r="Y4" s="1026"/>
      <c r="Z4" s="1026"/>
      <c r="AA4" s="1026"/>
      <c r="AB4" s="1026"/>
      <c r="AC4" s="1026"/>
      <c r="AD4" s="1027"/>
      <c r="AE4" s="100"/>
      <c r="AF4" s="97"/>
    </row>
    <row r="5" spans="1:32" s="87" customFormat="1" x14ac:dyDescent="0.2">
      <c r="A5" s="1031" t="s">
        <v>10</v>
      </c>
      <c r="B5" s="207"/>
      <c r="C5" s="1039">
        <v>0.03</v>
      </c>
      <c r="D5" s="1015"/>
      <c r="E5" s="1015"/>
      <c r="F5" s="1015"/>
      <c r="G5" s="1015"/>
      <c r="H5" s="1015"/>
      <c r="I5" s="1015"/>
      <c r="J5" s="1033">
        <v>0.04</v>
      </c>
      <c r="K5" s="1007"/>
      <c r="L5" s="1007"/>
      <c r="M5" s="1007"/>
      <c r="N5" s="1007"/>
      <c r="O5" s="1007"/>
      <c r="P5" s="1034"/>
      <c r="Q5" s="1035">
        <v>0.05</v>
      </c>
      <c r="R5" s="1012"/>
      <c r="S5" s="1012"/>
      <c r="T5" s="1012"/>
      <c r="U5" s="1012"/>
      <c r="V5" s="1012"/>
      <c r="W5" s="1012"/>
      <c r="X5" s="1036">
        <v>7.0000000000000007E-2</v>
      </c>
      <c r="Y5" s="1037"/>
      <c r="Z5" s="1037"/>
      <c r="AA5" s="1037"/>
      <c r="AB5" s="1037"/>
      <c r="AC5" s="1037"/>
      <c r="AD5" s="1038"/>
      <c r="AE5" s="81"/>
      <c r="AF5" s="98"/>
    </row>
    <row r="6" spans="1:32" s="87" customFormat="1" hidden="1" x14ac:dyDescent="0.2">
      <c r="A6" s="1031"/>
      <c r="B6" s="207"/>
      <c r="C6" s="253"/>
      <c r="D6" s="252"/>
      <c r="E6" s="252"/>
      <c r="F6" s="252"/>
      <c r="G6" s="252"/>
      <c r="H6" s="252"/>
      <c r="I6" s="252"/>
      <c r="J6" s="216"/>
      <c r="K6" s="249"/>
      <c r="L6" s="249"/>
      <c r="M6" s="249"/>
      <c r="N6" s="249"/>
      <c r="O6" s="249"/>
      <c r="P6" s="209"/>
      <c r="Q6" s="294"/>
      <c r="R6" s="251"/>
      <c r="S6" s="251"/>
      <c r="T6" s="251"/>
      <c r="U6" s="251"/>
      <c r="V6" s="251"/>
      <c r="W6" s="251"/>
      <c r="X6" s="213"/>
      <c r="Y6" s="250"/>
      <c r="Z6" s="250"/>
      <c r="AA6" s="250"/>
      <c r="AB6" s="250"/>
      <c r="AC6" s="250"/>
      <c r="AD6" s="214"/>
      <c r="AE6" s="81"/>
      <c r="AF6" s="98"/>
    </row>
    <row r="7" spans="1:32" s="87" customFormat="1" hidden="1" x14ac:dyDescent="0.2">
      <c r="A7" s="1031"/>
      <c r="B7" s="207"/>
      <c r="C7" s="253"/>
      <c r="D7" s="252"/>
      <c r="E7" s="252"/>
      <c r="F7" s="252"/>
      <c r="G7" s="252"/>
      <c r="H7" s="252"/>
      <c r="I7" s="252"/>
      <c r="J7" s="216"/>
      <c r="K7" s="249"/>
      <c r="L7" s="249"/>
      <c r="M7" s="249"/>
      <c r="N7" s="249"/>
      <c r="O7" s="249"/>
      <c r="P7" s="209"/>
      <c r="Q7" s="294"/>
      <c r="R7" s="251"/>
      <c r="S7" s="251"/>
      <c r="T7" s="251"/>
      <c r="U7" s="251"/>
      <c r="V7" s="251"/>
      <c r="W7" s="251"/>
      <c r="X7" s="213"/>
      <c r="Y7" s="250"/>
      <c r="Z7" s="250"/>
      <c r="AA7" s="250"/>
      <c r="AB7" s="250"/>
      <c r="AC7" s="250"/>
      <c r="AD7" s="214"/>
      <c r="AE7" s="81"/>
      <c r="AF7" s="98"/>
    </row>
    <row r="8" spans="1:32" s="87" customFormat="1" hidden="1" x14ac:dyDescent="0.2">
      <c r="A8" s="1031"/>
      <c r="B8" s="207"/>
      <c r="C8" s="253"/>
      <c r="D8" s="252"/>
      <c r="E8" s="252"/>
      <c r="F8" s="252"/>
      <c r="G8" s="252"/>
      <c r="H8" s="252"/>
      <c r="I8" s="252"/>
      <c r="J8" s="216"/>
      <c r="K8" s="249"/>
      <c r="L8" s="249"/>
      <c r="M8" s="249"/>
      <c r="N8" s="249"/>
      <c r="O8" s="249"/>
      <c r="P8" s="209"/>
      <c r="Q8" s="294"/>
      <c r="R8" s="251"/>
      <c r="S8" s="251"/>
      <c r="T8" s="251"/>
      <c r="U8" s="251"/>
      <c r="V8" s="251"/>
      <c r="W8" s="251"/>
      <c r="X8" s="213"/>
      <c r="Y8" s="250"/>
      <c r="Z8" s="250"/>
      <c r="AA8" s="250"/>
      <c r="AB8" s="250"/>
      <c r="AC8" s="250"/>
      <c r="AD8" s="214"/>
      <c r="AE8" s="81"/>
      <c r="AF8" s="98"/>
    </row>
    <row r="9" spans="1:32" s="87" customFormat="1" hidden="1" x14ac:dyDescent="0.2">
      <c r="A9" s="1031"/>
      <c r="B9" s="207"/>
      <c r="C9" s="253"/>
      <c r="D9" s="252"/>
      <c r="E9" s="252"/>
      <c r="F9" s="252"/>
      <c r="G9" s="252"/>
      <c r="H9" s="252"/>
      <c r="I9" s="252"/>
      <c r="J9" s="216"/>
      <c r="K9" s="249"/>
      <c r="L9" s="249"/>
      <c r="M9" s="249"/>
      <c r="N9" s="249"/>
      <c r="O9" s="249"/>
      <c r="P9" s="209"/>
      <c r="Q9" s="294"/>
      <c r="R9" s="251"/>
      <c r="S9" s="251"/>
      <c r="T9" s="251"/>
      <c r="U9" s="251"/>
      <c r="V9" s="251"/>
      <c r="W9" s="251"/>
      <c r="X9" s="213"/>
      <c r="Y9" s="250"/>
      <c r="Z9" s="250"/>
      <c r="AA9" s="250"/>
      <c r="AB9" s="250"/>
      <c r="AC9" s="250"/>
      <c r="AD9" s="214"/>
      <c r="AE9" s="81"/>
      <c r="AF9" s="98"/>
    </row>
    <row r="10" spans="1:32" s="87" customFormat="1" hidden="1" x14ac:dyDescent="0.2">
      <c r="A10" s="1031"/>
      <c r="B10" s="207"/>
      <c r="C10" s="253"/>
      <c r="D10" s="252"/>
      <c r="E10" s="252"/>
      <c r="F10" s="252"/>
      <c r="G10" s="252"/>
      <c r="H10" s="252"/>
      <c r="I10" s="252"/>
      <c r="J10" s="216"/>
      <c r="K10" s="249"/>
      <c r="L10" s="249"/>
      <c r="M10" s="249"/>
      <c r="N10" s="249"/>
      <c r="O10" s="249"/>
      <c r="P10" s="209"/>
      <c r="Q10" s="294"/>
      <c r="R10" s="251"/>
      <c r="S10" s="251"/>
      <c r="T10" s="251"/>
      <c r="U10" s="251"/>
      <c r="V10" s="251"/>
      <c r="W10" s="251"/>
      <c r="X10" s="213"/>
      <c r="Y10" s="250"/>
      <c r="Z10" s="250"/>
      <c r="AA10" s="250"/>
      <c r="AB10" s="250"/>
      <c r="AC10" s="250"/>
      <c r="AD10" s="214"/>
      <c r="AE10" s="81"/>
      <c r="AF10" s="98"/>
    </row>
    <row r="11" spans="1:32" s="87" customFormat="1" hidden="1" x14ac:dyDescent="0.2">
      <c r="A11" s="1031"/>
      <c r="B11" s="207"/>
      <c r="C11" s="253"/>
      <c r="D11" s="252"/>
      <c r="E11" s="252"/>
      <c r="F11" s="252"/>
      <c r="G11" s="252"/>
      <c r="H11" s="252"/>
      <c r="I11" s="252"/>
      <c r="J11" s="216"/>
      <c r="K11" s="249"/>
      <c r="L11" s="249"/>
      <c r="M11" s="249"/>
      <c r="N11" s="249"/>
      <c r="O11" s="249"/>
      <c r="P11" s="209"/>
      <c r="Q11" s="294"/>
      <c r="R11" s="251"/>
      <c r="S11" s="251"/>
      <c r="T11" s="251"/>
      <c r="U11" s="251"/>
      <c r="V11" s="251"/>
      <c r="W11" s="251"/>
      <c r="X11" s="213"/>
      <c r="Y11" s="250"/>
      <c r="Z11" s="250"/>
      <c r="AA11" s="250"/>
      <c r="AB11" s="250"/>
      <c r="AC11" s="250"/>
      <c r="AD11" s="214"/>
      <c r="AE11" s="81"/>
      <c r="AF11" s="98"/>
    </row>
    <row r="12" spans="1:32" s="87" customFormat="1" hidden="1" x14ac:dyDescent="0.2">
      <c r="A12" s="1031"/>
      <c r="B12" s="207"/>
      <c r="C12" s="253"/>
      <c r="D12" s="252"/>
      <c r="E12" s="252"/>
      <c r="F12" s="252"/>
      <c r="G12" s="252"/>
      <c r="H12" s="252"/>
      <c r="I12" s="252"/>
      <c r="J12" s="216"/>
      <c r="K12" s="249"/>
      <c r="L12" s="249"/>
      <c r="M12" s="249"/>
      <c r="N12" s="249"/>
      <c r="O12" s="249"/>
      <c r="P12" s="209"/>
      <c r="Q12" s="294"/>
      <c r="R12" s="251"/>
      <c r="S12" s="251"/>
      <c r="T12" s="251"/>
      <c r="U12" s="251"/>
      <c r="V12" s="251"/>
      <c r="W12" s="251"/>
      <c r="X12" s="213"/>
      <c r="Y12" s="250"/>
      <c r="Z12" s="250"/>
      <c r="AA12" s="250"/>
      <c r="AB12" s="250"/>
      <c r="AC12" s="250"/>
      <c r="AD12" s="214"/>
      <c r="AE12" s="81"/>
      <c r="AF12" s="98"/>
    </row>
    <row r="13" spans="1:32" s="87" customFormat="1" hidden="1" x14ac:dyDescent="0.2">
      <c r="A13" s="1031"/>
      <c r="B13" s="207"/>
      <c r="C13" s="253"/>
      <c r="D13" s="252"/>
      <c r="E13" s="252"/>
      <c r="F13" s="252"/>
      <c r="G13" s="252"/>
      <c r="H13" s="252"/>
      <c r="I13" s="252"/>
      <c r="J13" s="216"/>
      <c r="K13" s="249"/>
      <c r="L13" s="249"/>
      <c r="M13" s="249"/>
      <c r="N13" s="249"/>
      <c r="O13" s="249"/>
      <c r="P13" s="209"/>
      <c r="Q13" s="294"/>
      <c r="R13" s="251"/>
      <c r="S13" s="251"/>
      <c r="T13" s="251"/>
      <c r="U13" s="251"/>
      <c r="V13" s="251"/>
      <c r="W13" s="251"/>
      <c r="X13" s="213"/>
      <c r="Y13" s="250"/>
      <c r="Z13" s="250"/>
      <c r="AA13" s="250"/>
      <c r="AB13" s="250"/>
      <c r="AC13" s="250"/>
      <c r="AD13" s="214"/>
      <c r="AE13" s="81"/>
      <c r="AF13" s="98"/>
    </row>
    <row r="14" spans="1:32" s="87" customFormat="1" hidden="1" x14ac:dyDescent="0.2">
      <c r="A14" s="1031"/>
      <c r="B14" s="207"/>
      <c r="C14" s="253"/>
      <c r="D14" s="252"/>
      <c r="E14" s="252"/>
      <c r="F14" s="252"/>
      <c r="G14" s="252"/>
      <c r="H14" s="252"/>
      <c r="I14" s="252"/>
      <c r="J14" s="216"/>
      <c r="K14" s="249"/>
      <c r="L14" s="249"/>
      <c r="M14" s="249"/>
      <c r="N14" s="249"/>
      <c r="O14" s="249"/>
      <c r="P14" s="209"/>
      <c r="Q14" s="294"/>
      <c r="R14" s="251"/>
      <c r="S14" s="251"/>
      <c r="T14" s="251"/>
      <c r="U14" s="251"/>
      <c r="V14" s="251"/>
      <c r="W14" s="251"/>
      <c r="X14" s="213"/>
      <c r="Y14" s="250"/>
      <c r="Z14" s="250"/>
      <c r="AA14" s="250"/>
      <c r="AB14" s="250"/>
      <c r="AC14" s="250"/>
      <c r="AD14" s="214"/>
      <c r="AE14" s="81"/>
      <c r="AF14" s="98"/>
    </row>
    <row r="15" spans="1:32" s="87" customFormat="1" hidden="1" x14ac:dyDescent="0.2">
      <c r="A15" s="1031"/>
      <c r="B15" s="207"/>
      <c r="C15" s="253"/>
      <c r="D15" s="252"/>
      <c r="E15" s="252"/>
      <c r="F15" s="252"/>
      <c r="G15" s="252"/>
      <c r="H15" s="252"/>
      <c r="I15" s="252"/>
      <c r="J15" s="216"/>
      <c r="K15" s="249"/>
      <c r="L15" s="249"/>
      <c r="M15" s="249"/>
      <c r="N15" s="249"/>
      <c r="O15" s="249"/>
      <c r="P15" s="209"/>
      <c r="Q15" s="294"/>
      <c r="R15" s="251"/>
      <c r="S15" s="251"/>
      <c r="T15" s="251"/>
      <c r="U15" s="251"/>
      <c r="V15" s="251"/>
      <c r="W15" s="251"/>
      <c r="X15" s="213"/>
      <c r="Y15" s="250"/>
      <c r="Z15" s="250"/>
      <c r="AA15" s="250"/>
      <c r="AB15" s="250"/>
      <c r="AC15" s="250"/>
      <c r="AD15" s="214"/>
      <c r="AE15" s="81"/>
      <c r="AF15" s="98"/>
    </row>
    <row r="16" spans="1:32" s="87" customFormat="1" hidden="1" x14ac:dyDescent="0.2">
      <c r="A16" s="1031"/>
      <c r="B16" s="207"/>
      <c r="C16" s="253"/>
      <c r="D16" s="252"/>
      <c r="E16" s="252"/>
      <c r="F16" s="252"/>
      <c r="G16" s="252"/>
      <c r="H16" s="252"/>
      <c r="I16" s="252"/>
      <c r="J16" s="216"/>
      <c r="K16" s="249"/>
      <c r="L16" s="249"/>
      <c r="M16" s="249"/>
      <c r="N16" s="249"/>
      <c r="O16" s="249"/>
      <c r="P16" s="209"/>
      <c r="Q16" s="294"/>
      <c r="R16" s="251"/>
      <c r="S16" s="251"/>
      <c r="T16" s="251"/>
      <c r="U16" s="251"/>
      <c r="V16" s="251"/>
      <c r="W16" s="251"/>
      <c r="X16" s="213"/>
      <c r="Y16" s="250"/>
      <c r="Z16" s="250"/>
      <c r="AA16" s="250"/>
      <c r="AB16" s="250"/>
      <c r="AC16" s="250"/>
      <c r="AD16" s="214"/>
      <c r="AE16" s="81"/>
      <c r="AF16" s="98"/>
    </row>
    <row r="17" spans="1:32" s="87" customFormat="1" hidden="1" x14ac:dyDescent="0.2">
      <c r="A17" s="1031"/>
      <c r="B17" s="207"/>
      <c r="C17" s="253"/>
      <c r="D17" s="252"/>
      <c r="E17" s="252"/>
      <c r="F17" s="252"/>
      <c r="G17" s="252"/>
      <c r="H17" s="252"/>
      <c r="I17" s="252"/>
      <c r="J17" s="216"/>
      <c r="K17" s="249"/>
      <c r="L17" s="249"/>
      <c r="M17" s="249"/>
      <c r="N17" s="249"/>
      <c r="O17" s="249"/>
      <c r="P17" s="209"/>
      <c r="Q17" s="294"/>
      <c r="R17" s="251"/>
      <c r="S17" s="251"/>
      <c r="T17" s="251"/>
      <c r="U17" s="251"/>
      <c r="V17" s="251"/>
      <c r="W17" s="251"/>
      <c r="X17" s="213"/>
      <c r="Y17" s="250"/>
      <c r="Z17" s="250"/>
      <c r="AA17" s="250"/>
      <c r="AB17" s="250"/>
      <c r="AC17" s="250"/>
      <c r="AD17" s="214"/>
      <c r="AE17" s="81"/>
      <c r="AF17" s="98"/>
    </row>
    <row r="18" spans="1:32" s="87" customFormat="1" hidden="1" x14ac:dyDescent="0.2">
      <c r="A18" s="1031"/>
      <c r="B18" s="207"/>
      <c r="C18" s="253"/>
      <c r="D18" s="252"/>
      <c r="E18" s="252"/>
      <c r="F18" s="252"/>
      <c r="G18" s="252"/>
      <c r="H18" s="252"/>
      <c r="I18" s="252"/>
      <c r="J18" s="216"/>
      <c r="K18" s="249"/>
      <c r="L18" s="249"/>
      <c r="M18" s="249"/>
      <c r="N18" s="249"/>
      <c r="O18" s="249"/>
      <c r="P18" s="209"/>
      <c r="Q18" s="294"/>
      <c r="R18" s="251"/>
      <c r="S18" s="251"/>
      <c r="T18" s="251"/>
      <c r="U18" s="251"/>
      <c r="V18" s="251"/>
      <c r="W18" s="251"/>
      <c r="X18" s="213"/>
      <c r="Y18" s="250"/>
      <c r="Z18" s="250"/>
      <c r="AA18" s="250"/>
      <c r="AB18" s="250"/>
      <c r="AC18" s="250"/>
      <c r="AD18" s="214"/>
      <c r="AE18" s="81"/>
      <c r="AF18" s="98"/>
    </row>
    <row r="19" spans="1:32" s="87" customFormat="1" hidden="1" x14ac:dyDescent="0.2">
      <c r="A19" s="1031"/>
      <c r="B19" s="207"/>
      <c r="C19" s="253"/>
      <c r="D19" s="252"/>
      <c r="E19" s="252"/>
      <c r="F19" s="252"/>
      <c r="G19" s="252"/>
      <c r="H19" s="252"/>
      <c r="I19" s="252"/>
      <c r="J19" s="216"/>
      <c r="K19" s="249"/>
      <c r="L19" s="249"/>
      <c r="M19" s="249"/>
      <c r="N19" s="249"/>
      <c r="O19" s="249"/>
      <c r="P19" s="209"/>
      <c r="Q19" s="294"/>
      <c r="R19" s="251"/>
      <c r="S19" s="251"/>
      <c r="T19" s="251"/>
      <c r="U19" s="251"/>
      <c r="V19" s="251"/>
      <c r="W19" s="251"/>
      <c r="X19" s="213"/>
      <c r="Y19" s="250"/>
      <c r="Z19" s="250"/>
      <c r="AA19" s="250"/>
      <c r="AB19" s="250"/>
      <c r="AC19" s="250"/>
      <c r="AD19" s="214"/>
      <c r="AE19" s="81"/>
      <c r="AF19" s="98"/>
    </row>
    <row r="20" spans="1:32" s="87" customFormat="1" hidden="1" x14ac:dyDescent="0.2">
      <c r="A20" s="1031"/>
      <c r="B20" s="207"/>
      <c r="C20" s="253"/>
      <c r="D20" s="252"/>
      <c r="E20" s="252"/>
      <c r="F20" s="252"/>
      <c r="G20" s="252"/>
      <c r="H20" s="252"/>
      <c r="I20" s="252"/>
      <c r="J20" s="216"/>
      <c r="K20" s="249"/>
      <c r="L20" s="249"/>
      <c r="M20" s="249"/>
      <c r="N20" s="249"/>
      <c r="O20" s="249"/>
      <c r="P20" s="209"/>
      <c r="Q20" s="294"/>
      <c r="R20" s="251"/>
      <c r="S20" s="251"/>
      <c r="T20" s="251"/>
      <c r="U20" s="251"/>
      <c r="V20" s="251"/>
      <c r="W20" s="251"/>
      <c r="X20" s="213"/>
      <c r="Y20" s="250"/>
      <c r="Z20" s="250"/>
      <c r="AA20" s="250"/>
      <c r="AB20" s="250"/>
      <c r="AC20" s="250"/>
      <c r="AD20" s="214"/>
      <c r="AE20" s="81"/>
      <c r="AF20" s="98"/>
    </row>
    <row r="21" spans="1:32" s="87" customFormat="1" hidden="1" x14ac:dyDescent="0.2">
      <c r="A21" s="1031"/>
      <c r="B21" s="207"/>
      <c r="C21" s="253"/>
      <c r="D21" s="252"/>
      <c r="E21" s="252"/>
      <c r="F21" s="252"/>
      <c r="G21" s="252"/>
      <c r="H21" s="252"/>
      <c r="I21" s="252"/>
      <c r="J21" s="216"/>
      <c r="K21" s="249"/>
      <c r="L21" s="249"/>
      <c r="M21" s="249"/>
      <c r="N21" s="249"/>
      <c r="O21" s="249"/>
      <c r="P21" s="209"/>
      <c r="Q21" s="294"/>
      <c r="R21" s="251"/>
      <c r="S21" s="251"/>
      <c r="T21" s="251"/>
      <c r="U21" s="251"/>
      <c r="V21" s="251"/>
      <c r="W21" s="251"/>
      <c r="X21" s="213"/>
      <c r="Y21" s="250"/>
      <c r="Z21" s="250"/>
      <c r="AA21" s="250"/>
      <c r="AB21" s="250"/>
      <c r="AC21" s="250"/>
      <c r="AD21" s="214"/>
      <c r="AE21" s="81"/>
      <c r="AF21" s="98"/>
    </row>
    <row r="22" spans="1:32" s="87" customFormat="1" hidden="1" x14ac:dyDescent="0.2">
      <c r="A22" s="1031"/>
      <c r="B22" s="207"/>
      <c r="C22" s="253"/>
      <c r="D22" s="252"/>
      <c r="E22" s="252"/>
      <c r="F22" s="252"/>
      <c r="G22" s="252"/>
      <c r="H22" s="252"/>
      <c r="I22" s="252"/>
      <c r="J22" s="216"/>
      <c r="K22" s="249"/>
      <c r="L22" s="249"/>
      <c r="M22" s="249"/>
      <c r="N22" s="249"/>
      <c r="O22" s="249"/>
      <c r="P22" s="209"/>
      <c r="Q22" s="294"/>
      <c r="R22" s="251"/>
      <c r="S22" s="251"/>
      <c r="T22" s="251"/>
      <c r="U22" s="251"/>
      <c r="V22" s="251"/>
      <c r="W22" s="251"/>
      <c r="X22" s="213"/>
      <c r="Y22" s="250"/>
      <c r="Z22" s="250"/>
      <c r="AA22" s="250"/>
      <c r="AB22" s="250"/>
      <c r="AC22" s="250"/>
      <c r="AD22" s="214"/>
      <c r="AE22" s="81"/>
      <c r="AF22" s="98"/>
    </row>
    <row r="23" spans="1:32" s="87" customFormat="1" hidden="1" x14ac:dyDescent="0.2">
      <c r="A23" s="1031"/>
      <c r="B23" s="207"/>
      <c r="C23" s="253"/>
      <c r="D23" s="252"/>
      <c r="E23" s="252"/>
      <c r="F23" s="252"/>
      <c r="G23" s="252"/>
      <c r="H23" s="252"/>
      <c r="I23" s="252"/>
      <c r="J23" s="216"/>
      <c r="K23" s="249"/>
      <c r="L23" s="249"/>
      <c r="M23" s="249"/>
      <c r="N23" s="249"/>
      <c r="O23" s="249"/>
      <c r="P23" s="209"/>
      <c r="Q23" s="294"/>
      <c r="R23" s="251"/>
      <c r="S23" s="251"/>
      <c r="T23" s="251"/>
      <c r="U23" s="251"/>
      <c r="V23" s="251"/>
      <c r="W23" s="251"/>
      <c r="X23" s="213"/>
      <c r="Y23" s="250"/>
      <c r="Z23" s="250"/>
      <c r="AA23" s="250"/>
      <c r="AB23" s="250"/>
      <c r="AC23" s="250"/>
      <c r="AD23" s="214"/>
      <c r="AE23" s="81"/>
      <c r="AF23" s="98"/>
    </row>
    <row r="24" spans="1:32" s="87" customFormat="1" hidden="1" x14ac:dyDescent="0.2">
      <c r="A24" s="1031"/>
      <c r="B24" s="207"/>
      <c r="C24" s="253"/>
      <c r="D24" s="252"/>
      <c r="E24" s="252"/>
      <c r="F24" s="252"/>
      <c r="G24" s="252"/>
      <c r="H24" s="252"/>
      <c r="I24" s="252"/>
      <c r="J24" s="216"/>
      <c r="K24" s="249"/>
      <c r="L24" s="249"/>
      <c r="M24" s="249"/>
      <c r="N24" s="249"/>
      <c r="O24" s="249"/>
      <c r="P24" s="209"/>
      <c r="Q24" s="294"/>
      <c r="R24" s="251"/>
      <c r="S24" s="251"/>
      <c r="T24" s="251"/>
      <c r="U24" s="251"/>
      <c r="V24" s="251"/>
      <c r="W24" s="251"/>
      <c r="X24" s="213"/>
      <c r="Y24" s="250"/>
      <c r="Z24" s="250"/>
      <c r="AA24" s="250"/>
      <c r="AB24" s="250"/>
      <c r="AC24" s="250"/>
      <c r="AD24" s="214"/>
      <c r="AE24" s="81"/>
      <c r="AF24" s="98"/>
    </row>
    <row r="25" spans="1:32" s="87" customFormat="1" hidden="1" x14ac:dyDescent="0.2">
      <c r="A25" s="1031"/>
      <c r="B25" s="207"/>
      <c r="C25" s="253"/>
      <c r="D25" s="252"/>
      <c r="E25" s="252"/>
      <c r="F25" s="252"/>
      <c r="G25" s="252"/>
      <c r="H25" s="252"/>
      <c r="I25" s="252"/>
      <c r="J25" s="216"/>
      <c r="K25" s="249"/>
      <c r="L25" s="249"/>
      <c r="M25" s="249"/>
      <c r="N25" s="249"/>
      <c r="O25" s="249"/>
      <c r="P25" s="209"/>
      <c r="Q25" s="294"/>
      <c r="R25" s="251"/>
      <c r="S25" s="251"/>
      <c r="T25" s="251"/>
      <c r="U25" s="251"/>
      <c r="V25" s="251"/>
      <c r="W25" s="251"/>
      <c r="X25" s="213"/>
      <c r="Y25" s="250"/>
      <c r="Z25" s="250"/>
      <c r="AA25" s="250"/>
      <c r="AB25" s="250"/>
      <c r="AC25" s="250"/>
      <c r="AD25" s="214"/>
      <c r="AE25" s="81"/>
      <c r="AF25" s="98"/>
    </row>
    <row r="26" spans="1:32" s="87" customFormat="1" hidden="1" x14ac:dyDescent="0.2">
      <c r="A26" s="1031"/>
      <c r="B26" s="207"/>
      <c r="C26" s="253"/>
      <c r="D26" s="252"/>
      <c r="E26" s="252"/>
      <c r="F26" s="252"/>
      <c r="G26" s="252"/>
      <c r="H26" s="252"/>
      <c r="I26" s="252"/>
      <c r="J26" s="216"/>
      <c r="K26" s="249"/>
      <c r="L26" s="249"/>
      <c r="M26" s="249"/>
      <c r="N26" s="249"/>
      <c r="O26" s="249"/>
      <c r="P26" s="209"/>
      <c r="Q26" s="294"/>
      <c r="R26" s="251"/>
      <c r="S26" s="251"/>
      <c r="T26" s="251"/>
      <c r="U26" s="251"/>
      <c r="V26" s="251"/>
      <c r="W26" s="251"/>
      <c r="X26" s="213"/>
      <c r="Y26" s="250"/>
      <c r="Z26" s="250"/>
      <c r="AA26" s="250"/>
      <c r="AB26" s="250"/>
      <c r="AC26" s="250"/>
      <c r="AD26" s="214"/>
      <c r="AE26" s="81"/>
      <c r="AF26" s="98"/>
    </row>
    <row r="27" spans="1:32" s="87" customFormat="1" hidden="1" x14ac:dyDescent="0.2">
      <c r="A27" s="1031"/>
      <c r="B27" s="207"/>
      <c r="C27" s="253"/>
      <c r="D27" s="252"/>
      <c r="E27" s="252"/>
      <c r="F27" s="252"/>
      <c r="G27" s="252"/>
      <c r="H27" s="252"/>
      <c r="I27" s="252"/>
      <c r="J27" s="216"/>
      <c r="K27" s="249"/>
      <c r="L27" s="249"/>
      <c r="M27" s="249"/>
      <c r="N27" s="249"/>
      <c r="O27" s="249"/>
      <c r="P27" s="209"/>
      <c r="Q27" s="294"/>
      <c r="R27" s="251"/>
      <c r="S27" s="251"/>
      <c r="T27" s="251"/>
      <c r="U27" s="251"/>
      <c r="V27" s="251"/>
      <c r="W27" s="251"/>
      <c r="X27" s="213"/>
      <c r="Y27" s="250"/>
      <c r="Z27" s="250"/>
      <c r="AA27" s="250"/>
      <c r="AB27" s="250"/>
      <c r="AC27" s="250"/>
      <c r="AD27" s="214"/>
      <c r="AE27" s="81"/>
      <c r="AF27" s="98"/>
    </row>
    <row r="28" spans="1:32" s="87" customFormat="1" hidden="1" x14ac:dyDescent="0.2">
      <c r="A28" s="1031"/>
      <c r="B28" s="207"/>
      <c r="C28" s="253"/>
      <c r="D28" s="252"/>
      <c r="E28" s="252"/>
      <c r="F28" s="252"/>
      <c r="G28" s="252"/>
      <c r="H28" s="252"/>
      <c r="I28" s="252"/>
      <c r="J28" s="216"/>
      <c r="K28" s="249"/>
      <c r="L28" s="249"/>
      <c r="M28" s="249"/>
      <c r="N28" s="249"/>
      <c r="O28" s="249"/>
      <c r="P28" s="209"/>
      <c r="Q28" s="294"/>
      <c r="R28" s="251"/>
      <c r="S28" s="251"/>
      <c r="T28" s="251"/>
      <c r="U28" s="251"/>
      <c r="V28" s="251"/>
      <c r="W28" s="251"/>
      <c r="X28" s="213"/>
      <c r="Y28" s="250"/>
      <c r="Z28" s="250"/>
      <c r="AA28" s="250"/>
      <c r="AB28" s="250"/>
      <c r="AC28" s="250"/>
      <c r="AD28" s="214"/>
      <c r="AE28" s="81"/>
      <c r="AF28" s="98"/>
    </row>
    <row r="29" spans="1:32" s="87" customFormat="1" hidden="1" x14ac:dyDescent="0.2">
      <c r="A29" s="1031"/>
      <c r="B29" s="207"/>
      <c r="C29" s="253"/>
      <c r="D29" s="252"/>
      <c r="E29" s="252"/>
      <c r="F29" s="252"/>
      <c r="G29" s="252"/>
      <c r="H29" s="252"/>
      <c r="I29" s="252"/>
      <c r="J29" s="216"/>
      <c r="K29" s="249"/>
      <c r="L29" s="249"/>
      <c r="M29" s="249"/>
      <c r="N29" s="249"/>
      <c r="O29" s="249"/>
      <c r="P29" s="209"/>
      <c r="Q29" s="294"/>
      <c r="R29" s="251"/>
      <c r="S29" s="251"/>
      <c r="T29" s="251"/>
      <c r="U29" s="251"/>
      <c r="V29" s="251"/>
      <c r="W29" s="251"/>
      <c r="X29" s="213"/>
      <c r="Y29" s="250"/>
      <c r="Z29" s="250"/>
      <c r="AA29" s="250"/>
      <c r="AB29" s="250"/>
      <c r="AC29" s="250"/>
      <c r="AD29" s="214"/>
      <c r="AE29" s="81"/>
      <c r="AF29" s="98"/>
    </row>
    <row r="30" spans="1:32" s="87" customFormat="1" hidden="1" x14ac:dyDescent="0.2">
      <c r="A30" s="1031"/>
      <c r="B30" s="207"/>
      <c r="C30" s="253"/>
      <c r="D30" s="252"/>
      <c r="E30" s="252"/>
      <c r="F30" s="252"/>
      <c r="G30" s="252"/>
      <c r="H30" s="252"/>
      <c r="I30" s="252"/>
      <c r="J30" s="216"/>
      <c r="K30" s="249"/>
      <c r="L30" s="249"/>
      <c r="M30" s="249"/>
      <c r="N30" s="249"/>
      <c r="O30" s="249"/>
      <c r="P30" s="209"/>
      <c r="Q30" s="294"/>
      <c r="R30" s="251"/>
      <c r="S30" s="251"/>
      <c r="T30" s="251"/>
      <c r="U30" s="251"/>
      <c r="V30" s="251"/>
      <c r="W30" s="251"/>
      <c r="X30" s="213"/>
      <c r="Y30" s="250"/>
      <c r="Z30" s="250"/>
      <c r="AA30" s="250"/>
      <c r="AB30" s="250"/>
      <c r="AC30" s="250"/>
      <c r="AD30" s="214"/>
      <c r="AE30" s="81"/>
      <c r="AF30" s="98"/>
    </row>
    <row r="31" spans="1:32" s="87" customFormat="1" hidden="1" x14ac:dyDescent="0.2">
      <c r="A31" s="1031"/>
      <c r="B31" s="207"/>
      <c r="C31" s="253"/>
      <c r="D31" s="252"/>
      <c r="E31" s="252"/>
      <c r="F31" s="252"/>
      <c r="G31" s="252"/>
      <c r="H31" s="252"/>
      <c r="I31" s="252"/>
      <c r="J31" s="216"/>
      <c r="K31" s="249"/>
      <c r="L31" s="249"/>
      <c r="M31" s="249"/>
      <c r="N31" s="249"/>
      <c r="O31" s="249"/>
      <c r="P31" s="209"/>
      <c r="Q31" s="294"/>
      <c r="R31" s="251"/>
      <c r="S31" s="251"/>
      <c r="T31" s="251"/>
      <c r="U31" s="251"/>
      <c r="V31" s="251"/>
      <c r="W31" s="251"/>
      <c r="X31" s="213"/>
      <c r="Y31" s="250"/>
      <c r="Z31" s="250"/>
      <c r="AA31" s="250"/>
      <c r="AB31" s="250"/>
      <c r="AC31" s="250"/>
      <c r="AD31" s="214"/>
      <c r="AE31" s="81"/>
      <c r="AF31" s="98"/>
    </row>
    <row r="32" spans="1:32" s="87" customFormat="1" hidden="1" x14ac:dyDescent="0.2">
      <c r="A32" s="1031"/>
      <c r="B32" s="207"/>
      <c r="C32" s="253"/>
      <c r="D32" s="252"/>
      <c r="E32" s="252"/>
      <c r="F32" s="252"/>
      <c r="G32" s="252"/>
      <c r="H32" s="252"/>
      <c r="I32" s="252"/>
      <c r="J32" s="216"/>
      <c r="K32" s="249"/>
      <c r="L32" s="249"/>
      <c r="M32" s="249"/>
      <c r="N32" s="249"/>
      <c r="O32" s="249"/>
      <c r="P32" s="209"/>
      <c r="Q32" s="294"/>
      <c r="R32" s="251"/>
      <c r="S32" s="251"/>
      <c r="T32" s="251"/>
      <c r="U32" s="251"/>
      <c r="V32" s="251"/>
      <c r="W32" s="251"/>
      <c r="X32" s="213"/>
      <c r="Y32" s="250"/>
      <c r="Z32" s="250"/>
      <c r="AA32" s="250"/>
      <c r="AB32" s="250"/>
      <c r="AC32" s="250"/>
      <c r="AD32" s="214"/>
      <c r="AE32" s="81"/>
      <c r="AF32" s="98"/>
    </row>
    <row r="33" spans="1:32" s="87" customFormat="1" hidden="1" x14ac:dyDescent="0.2">
      <c r="A33" s="1031"/>
      <c r="B33" s="207"/>
      <c r="C33" s="253"/>
      <c r="D33" s="252"/>
      <c r="E33" s="252"/>
      <c r="F33" s="252"/>
      <c r="G33" s="252"/>
      <c r="H33" s="252"/>
      <c r="I33" s="252"/>
      <c r="J33" s="216"/>
      <c r="K33" s="249"/>
      <c r="L33" s="249"/>
      <c r="M33" s="249"/>
      <c r="N33" s="249"/>
      <c r="O33" s="249"/>
      <c r="P33" s="209"/>
      <c r="Q33" s="294"/>
      <c r="R33" s="251"/>
      <c r="S33" s="251"/>
      <c r="T33" s="251"/>
      <c r="U33" s="251"/>
      <c r="V33" s="251"/>
      <c r="W33" s="251"/>
      <c r="X33" s="213"/>
      <c r="Y33" s="250"/>
      <c r="Z33" s="250"/>
      <c r="AA33" s="250"/>
      <c r="AB33" s="250"/>
      <c r="AC33" s="250"/>
      <c r="AD33" s="214"/>
      <c r="AE33" s="81"/>
      <c r="AF33" s="98"/>
    </row>
    <row r="34" spans="1:32" s="87" customFormat="1" hidden="1" x14ac:dyDescent="0.2">
      <c r="A34" s="1031"/>
      <c r="B34" s="207"/>
      <c r="C34" s="253"/>
      <c r="D34" s="252"/>
      <c r="E34" s="252"/>
      <c r="F34" s="252"/>
      <c r="G34" s="252"/>
      <c r="H34" s="252"/>
      <c r="I34" s="252"/>
      <c r="J34" s="216"/>
      <c r="K34" s="249"/>
      <c r="L34" s="249"/>
      <c r="M34" s="249"/>
      <c r="N34" s="249"/>
      <c r="O34" s="249"/>
      <c r="P34" s="209"/>
      <c r="Q34" s="294"/>
      <c r="R34" s="251"/>
      <c r="S34" s="251"/>
      <c r="T34" s="251"/>
      <c r="U34" s="251"/>
      <c r="V34" s="251"/>
      <c r="W34" s="251"/>
      <c r="X34" s="213"/>
      <c r="Y34" s="250"/>
      <c r="Z34" s="250"/>
      <c r="AA34" s="250"/>
      <c r="AB34" s="250"/>
      <c r="AC34" s="250"/>
      <c r="AD34" s="214"/>
      <c r="AE34" s="81"/>
      <c r="AF34" s="98"/>
    </row>
    <row r="35" spans="1:32" s="87" customFormat="1" hidden="1" x14ac:dyDescent="0.2">
      <c r="A35" s="1031"/>
      <c r="B35" s="207"/>
      <c r="C35" s="253"/>
      <c r="D35" s="252"/>
      <c r="E35" s="252"/>
      <c r="F35" s="252"/>
      <c r="G35" s="252"/>
      <c r="H35" s="252"/>
      <c r="I35" s="252"/>
      <c r="J35" s="216"/>
      <c r="K35" s="249"/>
      <c r="L35" s="249"/>
      <c r="M35" s="249"/>
      <c r="N35" s="249"/>
      <c r="O35" s="249"/>
      <c r="P35" s="209"/>
      <c r="Q35" s="294"/>
      <c r="R35" s="251"/>
      <c r="S35" s="251"/>
      <c r="T35" s="251"/>
      <c r="U35" s="251"/>
      <c r="V35" s="251"/>
      <c r="W35" s="251"/>
      <c r="X35" s="213"/>
      <c r="Y35" s="250"/>
      <c r="Z35" s="250"/>
      <c r="AA35" s="250"/>
      <c r="AB35" s="250"/>
      <c r="AC35" s="250"/>
      <c r="AD35" s="214"/>
      <c r="AE35" s="81"/>
      <c r="AF35" s="98"/>
    </row>
    <row r="36" spans="1:32" s="87" customFormat="1" hidden="1" x14ac:dyDescent="0.2">
      <c r="A36" s="1031"/>
      <c r="B36" s="207"/>
      <c r="C36" s="253"/>
      <c r="D36" s="252"/>
      <c r="E36" s="252"/>
      <c r="F36" s="252"/>
      <c r="G36" s="252"/>
      <c r="H36" s="252"/>
      <c r="I36" s="252"/>
      <c r="J36" s="216"/>
      <c r="K36" s="249"/>
      <c r="L36" s="249"/>
      <c r="M36" s="249"/>
      <c r="N36" s="249"/>
      <c r="O36" s="249"/>
      <c r="P36" s="209"/>
      <c r="Q36" s="294"/>
      <c r="R36" s="251"/>
      <c r="S36" s="251"/>
      <c r="T36" s="251"/>
      <c r="U36" s="251"/>
      <c r="V36" s="251"/>
      <c r="W36" s="251"/>
      <c r="X36" s="213"/>
      <c r="Y36" s="250"/>
      <c r="Z36" s="250"/>
      <c r="AA36" s="250"/>
      <c r="AB36" s="250"/>
      <c r="AC36" s="250"/>
      <c r="AD36" s="214"/>
      <c r="AE36" s="81"/>
      <c r="AF36" s="98"/>
    </row>
    <row r="37" spans="1:32" s="87" customFormat="1" hidden="1" x14ac:dyDescent="0.2">
      <c r="A37" s="1031"/>
      <c r="B37" s="207"/>
      <c r="C37" s="253"/>
      <c r="D37" s="252"/>
      <c r="E37" s="252"/>
      <c r="F37" s="252"/>
      <c r="G37" s="252"/>
      <c r="H37" s="252"/>
      <c r="I37" s="252"/>
      <c r="J37" s="216"/>
      <c r="K37" s="249"/>
      <c r="L37" s="249"/>
      <c r="M37" s="249"/>
      <c r="N37" s="249"/>
      <c r="O37" s="249"/>
      <c r="P37" s="209"/>
      <c r="Q37" s="294"/>
      <c r="R37" s="251"/>
      <c r="S37" s="251"/>
      <c r="T37" s="251"/>
      <c r="U37" s="251"/>
      <c r="V37" s="251"/>
      <c r="W37" s="251"/>
      <c r="X37" s="213"/>
      <c r="Y37" s="250"/>
      <c r="Z37" s="250"/>
      <c r="AA37" s="250"/>
      <c r="AB37" s="250"/>
      <c r="AC37" s="250"/>
      <c r="AD37" s="214"/>
      <c r="AE37" s="81"/>
      <c r="AF37" s="98"/>
    </row>
    <row r="38" spans="1:32" s="87" customFormat="1" hidden="1" x14ac:dyDescent="0.2">
      <c r="A38" s="1031"/>
      <c r="B38" s="207"/>
      <c r="C38" s="253"/>
      <c r="D38" s="252"/>
      <c r="E38" s="252"/>
      <c r="F38" s="252"/>
      <c r="G38" s="252"/>
      <c r="H38" s="252"/>
      <c r="I38" s="252"/>
      <c r="J38" s="216"/>
      <c r="K38" s="249"/>
      <c r="L38" s="249"/>
      <c r="M38" s="249"/>
      <c r="N38" s="249"/>
      <c r="O38" s="249"/>
      <c r="P38" s="209"/>
      <c r="Q38" s="294"/>
      <c r="R38" s="251"/>
      <c r="S38" s="251"/>
      <c r="T38" s="251"/>
      <c r="U38" s="251"/>
      <c r="V38" s="251"/>
      <c r="W38" s="251"/>
      <c r="X38" s="213"/>
      <c r="Y38" s="250"/>
      <c r="Z38" s="250"/>
      <c r="AA38" s="250"/>
      <c r="AB38" s="250"/>
      <c r="AC38" s="250"/>
      <c r="AD38" s="214"/>
      <c r="AE38" s="81"/>
      <c r="AF38" s="98"/>
    </row>
    <row r="39" spans="1:32" s="87" customFormat="1" hidden="1" x14ac:dyDescent="0.2">
      <c r="A39" s="1031"/>
      <c r="B39" s="207"/>
      <c r="C39" s="253"/>
      <c r="D39" s="252"/>
      <c r="E39" s="252"/>
      <c r="F39" s="252"/>
      <c r="G39" s="252"/>
      <c r="H39" s="252"/>
      <c r="I39" s="252"/>
      <c r="J39" s="216"/>
      <c r="K39" s="249"/>
      <c r="L39" s="249"/>
      <c r="M39" s="249"/>
      <c r="N39" s="249"/>
      <c r="O39" s="249"/>
      <c r="P39" s="209"/>
      <c r="Q39" s="294"/>
      <c r="R39" s="251"/>
      <c r="S39" s="251"/>
      <c r="T39" s="251"/>
      <c r="U39" s="251"/>
      <c r="V39" s="251"/>
      <c r="W39" s="251"/>
      <c r="X39" s="213"/>
      <c r="Y39" s="250"/>
      <c r="Z39" s="250"/>
      <c r="AA39" s="250"/>
      <c r="AB39" s="250"/>
      <c r="AC39" s="250"/>
      <c r="AD39" s="214"/>
      <c r="AE39" s="81"/>
      <c r="AF39" s="98"/>
    </row>
    <row r="40" spans="1:32" s="87" customFormat="1" hidden="1" x14ac:dyDescent="0.2">
      <c r="A40" s="1031"/>
      <c r="B40" s="207"/>
      <c r="C40" s="253"/>
      <c r="D40" s="252"/>
      <c r="E40" s="252"/>
      <c r="F40" s="252"/>
      <c r="G40" s="252"/>
      <c r="H40" s="252"/>
      <c r="I40" s="252"/>
      <c r="J40" s="216"/>
      <c r="K40" s="249"/>
      <c r="L40" s="249"/>
      <c r="M40" s="249"/>
      <c r="N40" s="249"/>
      <c r="O40" s="249"/>
      <c r="P40" s="209"/>
      <c r="Q40" s="294"/>
      <c r="R40" s="251"/>
      <c r="S40" s="251"/>
      <c r="T40" s="251"/>
      <c r="U40" s="251"/>
      <c r="V40" s="251"/>
      <c r="W40" s="251"/>
      <c r="X40" s="213"/>
      <c r="Y40" s="250"/>
      <c r="Z40" s="250"/>
      <c r="AA40" s="250"/>
      <c r="AB40" s="250"/>
      <c r="AC40" s="250"/>
      <c r="AD40" s="214"/>
      <c r="AE40" s="81"/>
      <c r="AF40" s="98"/>
    </row>
    <row r="41" spans="1:32" s="87" customFormat="1" hidden="1" x14ac:dyDescent="0.2">
      <c r="A41" s="1031"/>
      <c r="B41" s="207"/>
      <c r="C41" s="253"/>
      <c r="D41" s="252"/>
      <c r="E41" s="252"/>
      <c r="F41" s="252"/>
      <c r="G41" s="252"/>
      <c r="H41" s="252"/>
      <c r="I41" s="252"/>
      <c r="J41" s="216"/>
      <c r="K41" s="249"/>
      <c r="L41" s="249"/>
      <c r="M41" s="249"/>
      <c r="N41" s="249"/>
      <c r="O41" s="249"/>
      <c r="P41" s="209"/>
      <c r="Q41" s="294"/>
      <c r="R41" s="251"/>
      <c r="S41" s="251"/>
      <c r="T41" s="251"/>
      <c r="U41" s="251"/>
      <c r="V41" s="251"/>
      <c r="W41" s="251"/>
      <c r="X41" s="213"/>
      <c r="Y41" s="250"/>
      <c r="Z41" s="250"/>
      <c r="AA41" s="250"/>
      <c r="AB41" s="250"/>
      <c r="AC41" s="250"/>
      <c r="AD41" s="214"/>
      <c r="AE41" s="81"/>
      <c r="AF41" s="98"/>
    </row>
    <row r="42" spans="1:32" s="87" customFormat="1" hidden="1" x14ac:dyDescent="0.2">
      <c r="A42" s="1031"/>
      <c r="B42" s="207"/>
      <c r="C42" s="253"/>
      <c r="D42" s="252"/>
      <c r="E42" s="252"/>
      <c r="F42" s="252"/>
      <c r="G42" s="252"/>
      <c r="H42" s="252"/>
      <c r="I42" s="252"/>
      <c r="J42" s="216"/>
      <c r="K42" s="249"/>
      <c r="L42" s="249"/>
      <c r="M42" s="249"/>
      <c r="N42" s="249"/>
      <c r="O42" s="249"/>
      <c r="P42" s="209"/>
      <c r="Q42" s="294"/>
      <c r="R42" s="251"/>
      <c r="S42" s="251"/>
      <c r="T42" s="251"/>
      <c r="U42" s="251"/>
      <c r="V42" s="251"/>
      <c r="W42" s="251"/>
      <c r="X42" s="213"/>
      <c r="Y42" s="250"/>
      <c r="Z42" s="250"/>
      <c r="AA42" s="250"/>
      <c r="AB42" s="250"/>
      <c r="AC42" s="250"/>
      <c r="AD42" s="214"/>
      <c r="AE42" s="81"/>
      <c r="AF42" s="98"/>
    </row>
    <row r="43" spans="1:32" s="87" customFormat="1" hidden="1" x14ac:dyDescent="0.2">
      <c r="A43" s="1031"/>
      <c r="B43" s="207"/>
      <c r="C43" s="253"/>
      <c r="D43" s="252"/>
      <c r="E43" s="252"/>
      <c r="F43" s="252"/>
      <c r="G43" s="252"/>
      <c r="H43" s="252"/>
      <c r="I43" s="252"/>
      <c r="J43" s="216"/>
      <c r="K43" s="249"/>
      <c r="L43" s="249"/>
      <c r="M43" s="249"/>
      <c r="N43" s="249"/>
      <c r="O43" s="249"/>
      <c r="P43" s="209"/>
      <c r="Q43" s="294"/>
      <c r="R43" s="251"/>
      <c r="S43" s="251"/>
      <c r="T43" s="251"/>
      <c r="U43" s="251"/>
      <c r="V43" s="251"/>
      <c r="W43" s="251"/>
      <c r="X43" s="213"/>
      <c r="Y43" s="250"/>
      <c r="Z43" s="250"/>
      <c r="AA43" s="250"/>
      <c r="AB43" s="250"/>
      <c r="AC43" s="250"/>
      <c r="AD43" s="214"/>
      <c r="AE43" s="81"/>
      <c r="AF43" s="98"/>
    </row>
    <row r="44" spans="1:32" s="87" customFormat="1" hidden="1" x14ac:dyDescent="0.2">
      <c r="A44" s="1031"/>
      <c r="B44" s="207"/>
      <c r="C44" s="253"/>
      <c r="D44" s="252"/>
      <c r="E44" s="252"/>
      <c r="F44" s="252"/>
      <c r="G44" s="252"/>
      <c r="H44" s="252"/>
      <c r="I44" s="252"/>
      <c r="J44" s="216"/>
      <c r="K44" s="249"/>
      <c r="L44" s="249"/>
      <c r="M44" s="249"/>
      <c r="N44" s="249"/>
      <c r="O44" s="249"/>
      <c r="P44" s="209"/>
      <c r="Q44" s="294"/>
      <c r="R44" s="251"/>
      <c r="S44" s="251"/>
      <c r="T44" s="251"/>
      <c r="U44" s="251"/>
      <c r="V44" s="251"/>
      <c r="W44" s="251"/>
      <c r="X44" s="213"/>
      <c r="Y44" s="250"/>
      <c r="Z44" s="250"/>
      <c r="AA44" s="250"/>
      <c r="AB44" s="250"/>
      <c r="AC44" s="250"/>
      <c r="AD44" s="214"/>
      <c r="AE44" s="81"/>
      <c r="AF44" s="98"/>
    </row>
    <row r="45" spans="1:32" s="87" customFormat="1" hidden="1" x14ac:dyDescent="0.2">
      <c r="A45" s="1031"/>
      <c r="B45" s="207"/>
      <c r="C45" s="253"/>
      <c r="D45" s="252"/>
      <c r="E45" s="252"/>
      <c r="F45" s="252"/>
      <c r="G45" s="252"/>
      <c r="H45" s="252"/>
      <c r="I45" s="252"/>
      <c r="J45" s="216"/>
      <c r="K45" s="249"/>
      <c r="L45" s="249"/>
      <c r="M45" s="249"/>
      <c r="N45" s="249"/>
      <c r="O45" s="249"/>
      <c r="P45" s="209"/>
      <c r="Q45" s="294"/>
      <c r="R45" s="251"/>
      <c r="S45" s="251"/>
      <c r="T45" s="251"/>
      <c r="U45" s="251"/>
      <c r="V45" s="251"/>
      <c r="W45" s="251"/>
      <c r="X45" s="213"/>
      <c r="Y45" s="250"/>
      <c r="Z45" s="250"/>
      <c r="AA45" s="250"/>
      <c r="AB45" s="250"/>
      <c r="AC45" s="250"/>
      <c r="AD45" s="214"/>
      <c r="AE45" s="81"/>
      <c r="AF45" s="98"/>
    </row>
    <row r="46" spans="1:32" s="87" customFormat="1" hidden="1" x14ac:dyDescent="0.2">
      <c r="A46" s="1031"/>
      <c r="B46" s="207"/>
      <c r="C46" s="253"/>
      <c r="D46" s="252"/>
      <c r="E46" s="252"/>
      <c r="F46" s="252"/>
      <c r="G46" s="252"/>
      <c r="H46" s="252"/>
      <c r="I46" s="252"/>
      <c r="J46" s="216"/>
      <c r="K46" s="249"/>
      <c r="L46" s="249"/>
      <c r="M46" s="249"/>
      <c r="N46" s="249"/>
      <c r="O46" s="249"/>
      <c r="P46" s="209"/>
      <c r="Q46" s="294"/>
      <c r="R46" s="251"/>
      <c r="S46" s="251"/>
      <c r="T46" s="251"/>
      <c r="U46" s="251"/>
      <c r="V46" s="251"/>
      <c r="W46" s="251"/>
      <c r="X46" s="213"/>
      <c r="Y46" s="250"/>
      <c r="Z46" s="250"/>
      <c r="AA46" s="250"/>
      <c r="AB46" s="250"/>
      <c r="AC46" s="250"/>
      <c r="AD46" s="214"/>
      <c r="AE46" s="81"/>
      <c r="AF46" s="98"/>
    </row>
    <row r="47" spans="1:32" s="87" customFormat="1" hidden="1" x14ac:dyDescent="0.2">
      <c r="A47" s="1031"/>
      <c r="B47" s="207"/>
      <c r="C47" s="253"/>
      <c r="D47" s="252"/>
      <c r="E47" s="252"/>
      <c r="F47" s="252"/>
      <c r="G47" s="252"/>
      <c r="H47" s="252"/>
      <c r="I47" s="252"/>
      <c r="J47" s="216"/>
      <c r="K47" s="249"/>
      <c r="L47" s="249"/>
      <c r="M47" s="249"/>
      <c r="N47" s="249"/>
      <c r="O47" s="249"/>
      <c r="P47" s="209"/>
      <c r="Q47" s="294"/>
      <c r="R47" s="251"/>
      <c r="S47" s="251"/>
      <c r="T47" s="251"/>
      <c r="U47" s="251"/>
      <c r="V47" s="251"/>
      <c r="W47" s="251"/>
      <c r="X47" s="213"/>
      <c r="Y47" s="250"/>
      <c r="Z47" s="250"/>
      <c r="AA47" s="250"/>
      <c r="AB47" s="250"/>
      <c r="AC47" s="250"/>
      <c r="AD47" s="214"/>
      <c r="AE47" s="81"/>
      <c r="AF47" s="98"/>
    </row>
    <row r="48" spans="1:32" s="87" customFormat="1" hidden="1" x14ac:dyDescent="0.2">
      <c r="A48" s="1031"/>
      <c r="B48" s="207"/>
      <c r="C48" s="253"/>
      <c r="D48" s="252"/>
      <c r="E48" s="252"/>
      <c r="F48" s="252"/>
      <c r="G48" s="252"/>
      <c r="H48" s="252"/>
      <c r="I48" s="252"/>
      <c r="J48" s="216"/>
      <c r="K48" s="249"/>
      <c r="L48" s="249"/>
      <c r="M48" s="249"/>
      <c r="N48" s="249"/>
      <c r="O48" s="249"/>
      <c r="P48" s="209"/>
      <c r="Q48" s="294"/>
      <c r="R48" s="251"/>
      <c r="S48" s="251"/>
      <c r="T48" s="251"/>
      <c r="U48" s="251"/>
      <c r="V48" s="251"/>
      <c r="W48" s="251"/>
      <c r="X48" s="213"/>
      <c r="Y48" s="250"/>
      <c r="Z48" s="250"/>
      <c r="AA48" s="250"/>
      <c r="AB48" s="250"/>
      <c r="AC48" s="250"/>
      <c r="AD48" s="214"/>
      <c r="AE48" s="81"/>
      <c r="AF48" s="98"/>
    </row>
    <row r="49" spans="1:32" s="87" customFormat="1" hidden="1" x14ac:dyDescent="0.2">
      <c r="A49" s="1031"/>
      <c r="B49" s="207"/>
      <c r="C49" s="253"/>
      <c r="D49" s="252"/>
      <c r="E49" s="252"/>
      <c r="F49" s="252"/>
      <c r="G49" s="252"/>
      <c r="H49" s="252"/>
      <c r="I49" s="252"/>
      <c r="J49" s="216"/>
      <c r="K49" s="249"/>
      <c r="L49" s="249"/>
      <c r="M49" s="249"/>
      <c r="N49" s="249"/>
      <c r="O49" s="249"/>
      <c r="P49" s="209"/>
      <c r="Q49" s="294"/>
      <c r="R49" s="251"/>
      <c r="S49" s="251"/>
      <c r="T49" s="251"/>
      <c r="U49" s="251"/>
      <c r="V49" s="251"/>
      <c r="W49" s="251"/>
      <c r="X49" s="213"/>
      <c r="Y49" s="250"/>
      <c r="Z49" s="250"/>
      <c r="AA49" s="250"/>
      <c r="AB49" s="250"/>
      <c r="AC49" s="250"/>
      <c r="AD49" s="214"/>
      <c r="AE49" s="81"/>
      <c r="AF49" s="98"/>
    </row>
    <row r="50" spans="1:32" s="87" customFormat="1" hidden="1" x14ac:dyDescent="0.2">
      <c r="A50" s="1031"/>
      <c r="B50" s="207"/>
      <c r="C50" s="253"/>
      <c r="D50" s="252"/>
      <c r="E50" s="252"/>
      <c r="F50" s="252"/>
      <c r="G50" s="252"/>
      <c r="H50" s="252"/>
      <c r="I50" s="252"/>
      <c r="J50" s="216"/>
      <c r="K50" s="249"/>
      <c r="L50" s="249"/>
      <c r="M50" s="249"/>
      <c r="N50" s="249"/>
      <c r="O50" s="249"/>
      <c r="P50" s="209"/>
      <c r="Q50" s="294"/>
      <c r="R50" s="251"/>
      <c r="S50" s="251"/>
      <c r="T50" s="251"/>
      <c r="U50" s="251"/>
      <c r="V50" s="251"/>
      <c r="W50" s="251"/>
      <c r="X50" s="213"/>
      <c r="Y50" s="250"/>
      <c r="Z50" s="250"/>
      <c r="AA50" s="250"/>
      <c r="AB50" s="250"/>
      <c r="AC50" s="250"/>
      <c r="AD50" s="214"/>
      <c r="AE50" s="81"/>
      <c r="AF50" s="98"/>
    </row>
    <row r="51" spans="1:32" s="87" customFormat="1" hidden="1" x14ac:dyDescent="0.2">
      <c r="A51" s="1031"/>
      <c r="B51" s="207"/>
      <c r="C51" s="253"/>
      <c r="D51" s="252"/>
      <c r="E51" s="252"/>
      <c r="F51" s="252"/>
      <c r="G51" s="252"/>
      <c r="H51" s="252"/>
      <c r="I51" s="252"/>
      <c r="J51" s="216"/>
      <c r="K51" s="249"/>
      <c r="L51" s="249"/>
      <c r="M51" s="249"/>
      <c r="N51" s="249"/>
      <c r="O51" s="249"/>
      <c r="P51" s="209"/>
      <c r="Q51" s="294"/>
      <c r="R51" s="251"/>
      <c r="S51" s="251"/>
      <c r="T51" s="251"/>
      <c r="U51" s="251"/>
      <c r="V51" s="251"/>
      <c r="W51" s="251"/>
      <c r="X51" s="213"/>
      <c r="Y51" s="250"/>
      <c r="Z51" s="250"/>
      <c r="AA51" s="250"/>
      <c r="AB51" s="250"/>
      <c r="AC51" s="250"/>
      <c r="AD51" s="214"/>
      <c r="AE51" s="81"/>
      <c r="AF51" s="98"/>
    </row>
    <row r="52" spans="1:32" s="87" customFormat="1" hidden="1" x14ac:dyDescent="0.2">
      <c r="A52" s="1031"/>
      <c r="B52" s="207"/>
      <c r="C52" s="253"/>
      <c r="D52" s="252"/>
      <c r="E52" s="252"/>
      <c r="F52" s="252"/>
      <c r="G52" s="252"/>
      <c r="H52" s="252"/>
      <c r="I52" s="252"/>
      <c r="J52" s="216"/>
      <c r="K52" s="249"/>
      <c r="L52" s="249"/>
      <c r="M52" s="249"/>
      <c r="N52" s="249"/>
      <c r="O52" s="249"/>
      <c r="P52" s="209"/>
      <c r="Q52" s="294"/>
      <c r="R52" s="251"/>
      <c r="S52" s="251"/>
      <c r="T52" s="251"/>
      <c r="U52" s="251"/>
      <c r="V52" s="251"/>
      <c r="W52" s="251"/>
      <c r="X52" s="213"/>
      <c r="Y52" s="250"/>
      <c r="Z52" s="250"/>
      <c r="AA52" s="250"/>
      <c r="AB52" s="250"/>
      <c r="AC52" s="250"/>
      <c r="AD52" s="214"/>
      <c r="AE52" s="81"/>
      <c r="AF52" s="98"/>
    </row>
    <row r="53" spans="1:32" s="87" customFormat="1" hidden="1" x14ac:dyDescent="0.2">
      <c r="A53" s="1031"/>
      <c r="B53" s="207"/>
      <c r="C53" s="253"/>
      <c r="D53" s="252"/>
      <c r="E53" s="252"/>
      <c r="F53" s="252"/>
      <c r="G53" s="252"/>
      <c r="H53" s="252"/>
      <c r="I53" s="252"/>
      <c r="J53" s="216"/>
      <c r="K53" s="249"/>
      <c r="L53" s="249"/>
      <c r="M53" s="249"/>
      <c r="N53" s="249"/>
      <c r="O53" s="249"/>
      <c r="P53" s="209"/>
      <c r="Q53" s="294"/>
      <c r="R53" s="251"/>
      <c r="S53" s="251"/>
      <c r="T53" s="251"/>
      <c r="U53" s="251"/>
      <c r="V53" s="251"/>
      <c r="W53" s="251"/>
      <c r="X53" s="213"/>
      <c r="Y53" s="250"/>
      <c r="Z53" s="250"/>
      <c r="AA53" s="250"/>
      <c r="AB53" s="250"/>
      <c r="AC53" s="250"/>
      <c r="AD53" s="214"/>
      <c r="AE53" s="81"/>
      <c r="AF53" s="98"/>
    </row>
    <row r="54" spans="1:32" s="87" customFormat="1" hidden="1" x14ac:dyDescent="0.2">
      <c r="A54" s="1031"/>
      <c r="B54" s="207"/>
      <c r="C54" s="253"/>
      <c r="D54" s="252"/>
      <c r="E54" s="252"/>
      <c r="F54" s="252"/>
      <c r="G54" s="252"/>
      <c r="H54" s="252"/>
      <c r="I54" s="252"/>
      <c r="J54" s="216"/>
      <c r="K54" s="249"/>
      <c r="L54" s="249"/>
      <c r="M54" s="249"/>
      <c r="N54" s="249"/>
      <c r="O54" s="249"/>
      <c r="P54" s="209"/>
      <c r="Q54" s="294"/>
      <c r="R54" s="251"/>
      <c r="S54" s="251"/>
      <c r="T54" s="251"/>
      <c r="U54" s="251"/>
      <c r="V54" s="251"/>
      <c r="W54" s="251"/>
      <c r="X54" s="213"/>
      <c r="Y54" s="250"/>
      <c r="Z54" s="250"/>
      <c r="AA54" s="250"/>
      <c r="AB54" s="250"/>
      <c r="AC54" s="250"/>
      <c r="AD54" s="214"/>
      <c r="AE54" s="81"/>
      <c r="AF54" s="98"/>
    </row>
    <row r="55" spans="1:32" s="87" customFormat="1" hidden="1" x14ac:dyDescent="0.2">
      <c r="A55" s="1031"/>
      <c r="B55" s="207"/>
      <c r="C55" s="253"/>
      <c r="D55" s="252"/>
      <c r="E55" s="252"/>
      <c r="F55" s="252"/>
      <c r="G55" s="252"/>
      <c r="H55" s="252"/>
      <c r="I55" s="252"/>
      <c r="J55" s="216"/>
      <c r="K55" s="249"/>
      <c r="L55" s="249"/>
      <c r="M55" s="249"/>
      <c r="N55" s="249"/>
      <c r="O55" s="249"/>
      <c r="P55" s="209"/>
      <c r="Q55" s="294"/>
      <c r="R55" s="251"/>
      <c r="S55" s="251"/>
      <c r="T55" s="251"/>
      <c r="U55" s="251"/>
      <c r="V55" s="251"/>
      <c r="W55" s="251"/>
      <c r="X55" s="213"/>
      <c r="Y55" s="250"/>
      <c r="Z55" s="250"/>
      <c r="AA55" s="250"/>
      <c r="AB55" s="250"/>
      <c r="AC55" s="250"/>
      <c r="AD55" s="214"/>
      <c r="AE55" s="81"/>
      <c r="AF55" s="98"/>
    </row>
    <row r="56" spans="1:32" s="87" customFormat="1" hidden="1" x14ac:dyDescent="0.2">
      <c r="A56" s="1031"/>
      <c r="B56" s="207"/>
      <c r="C56" s="253"/>
      <c r="D56" s="252"/>
      <c r="E56" s="252"/>
      <c r="F56" s="252"/>
      <c r="G56" s="252"/>
      <c r="H56" s="252"/>
      <c r="I56" s="252"/>
      <c r="J56" s="216"/>
      <c r="K56" s="249"/>
      <c r="L56" s="249"/>
      <c r="M56" s="249"/>
      <c r="N56" s="249"/>
      <c r="O56" s="249"/>
      <c r="P56" s="209"/>
      <c r="Q56" s="294"/>
      <c r="R56" s="251"/>
      <c r="S56" s="251"/>
      <c r="T56" s="251"/>
      <c r="U56" s="251"/>
      <c r="V56" s="251"/>
      <c r="W56" s="251"/>
      <c r="X56" s="213"/>
      <c r="Y56" s="250"/>
      <c r="Z56" s="250"/>
      <c r="AA56" s="250"/>
      <c r="AB56" s="250"/>
      <c r="AC56" s="250"/>
      <c r="AD56" s="214"/>
      <c r="AE56" s="81"/>
      <c r="AF56" s="98"/>
    </row>
    <row r="57" spans="1:32" s="87" customFormat="1" hidden="1" x14ac:dyDescent="0.2">
      <c r="A57" s="1031"/>
      <c r="B57" s="207"/>
      <c r="C57" s="253"/>
      <c r="D57" s="252"/>
      <c r="E57" s="252"/>
      <c r="F57" s="252"/>
      <c r="G57" s="252"/>
      <c r="H57" s="252"/>
      <c r="I57" s="252"/>
      <c r="J57" s="216"/>
      <c r="K57" s="249"/>
      <c r="L57" s="249"/>
      <c r="M57" s="249"/>
      <c r="N57" s="249"/>
      <c r="O57" s="249"/>
      <c r="P57" s="209"/>
      <c r="Q57" s="294"/>
      <c r="R57" s="251"/>
      <c r="S57" s="251"/>
      <c r="T57" s="251"/>
      <c r="U57" s="251"/>
      <c r="V57" s="251"/>
      <c r="W57" s="251"/>
      <c r="X57" s="213"/>
      <c r="Y57" s="250"/>
      <c r="Z57" s="250"/>
      <c r="AA57" s="250"/>
      <c r="AB57" s="250"/>
      <c r="AC57" s="250"/>
      <c r="AD57" s="214"/>
      <c r="AE57" s="81"/>
      <c r="AF57" s="98"/>
    </row>
    <row r="58" spans="1:32" s="87" customFormat="1" hidden="1" x14ac:dyDescent="0.2">
      <c r="A58" s="1031"/>
      <c r="B58" s="207"/>
      <c r="C58" s="253"/>
      <c r="D58" s="252"/>
      <c r="E58" s="252"/>
      <c r="F58" s="252"/>
      <c r="G58" s="252"/>
      <c r="H58" s="252"/>
      <c r="I58" s="252"/>
      <c r="J58" s="216"/>
      <c r="K58" s="249"/>
      <c r="L58" s="249"/>
      <c r="M58" s="249"/>
      <c r="N58" s="249"/>
      <c r="O58" s="249"/>
      <c r="P58" s="209"/>
      <c r="Q58" s="294"/>
      <c r="R58" s="251"/>
      <c r="S58" s="251"/>
      <c r="T58" s="251"/>
      <c r="U58" s="251"/>
      <c r="V58" s="251"/>
      <c r="W58" s="251"/>
      <c r="X58" s="213"/>
      <c r="Y58" s="250"/>
      <c r="Z58" s="250"/>
      <c r="AA58" s="250"/>
      <c r="AB58" s="250"/>
      <c r="AC58" s="250"/>
      <c r="AD58" s="214"/>
      <c r="AE58" s="81"/>
      <c r="AF58" s="98"/>
    </row>
    <row r="59" spans="1:32" s="87" customFormat="1" hidden="1" x14ac:dyDescent="0.2">
      <c r="A59" s="1031"/>
      <c r="B59" s="207"/>
      <c r="C59" s="253"/>
      <c r="D59" s="252"/>
      <c r="E59" s="252"/>
      <c r="F59" s="252"/>
      <c r="G59" s="252"/>
      <c r="H59" s="252"/>
      <c r="I59" s="252"/>
      <c r="J59" s="216"/>
      <c r="K59" s="249"/>
      <c r="L59" s="249"/>
      <c r="M59" s="249"/>
      <c r="N59" s="249"/>
      <c r="O59" s="249"/>
      <c r="P59" s="209"/>
      <c r="Q59" s="294"/>
      <c r="R59" s="251"/>
      <c r="S59" s="251"/>
      <c r="T59" s="251"/>
      <c r="U59" s="251"/>
      <c r="V59" s="251"/>
      <c r="W59" s="251"/>
      <c r="X59" s="213"/>
      <c r="Y59" s="250"/>
      <c r="Z59" s="250"/>
      <c r="AA59" s="250"/>
      <c r="AB59" s="250"/>
      <c r="AC59" s="250"/>
      <c r="AD59" s="214"/>
      <c r="AE59" s="81"/>
      <c r="AF59" s="98"/>
    </row>
    <row r="60" spans="1:32" s="87" customFormat="1" hidden="1" x14ac:dyDescent="0.2">
      <c r="A60" s="1031"/>
      <c r="B60" s="207"/>
      <c r="C60" s="253"/>
      <c r="D60" s="252"/>
      <c r="E60" s="252"/>
      <c r="F60" s="252"/>
      <c r="G60" s="252"/>
      <c r="H60" s="252"/>
      <c r="I60" s="252"/>
      <c r="J60" s="216"/>
      <c r="K60" s="249"/>
      <c r="L60" s="249"/>
      <c r="M60" s="249"/>
      <c r="N60" s="249"/>
      <c r="O60" s="249"/>
      <c r="P60" s="209"/>
      <c r="Q60" s="294"/>
      <c r="R60" s="251"/>
      <c r="S60" s="251"/>
      <c r="T60" s="251"/>
      <c r="U60" s="251"/>
      <c r="V60" s="251"/>
      <c r="W60" s="251"/>
      <c r="X60" s="213"/>
      <c r="Y60" s="250"/>
      <c r="Z60" s="250"/>
      <c r="AA60" s="250"/>
      <c r="AB60" s="250"/>
      <c r="AC60" s="250"/>
      <c r="AD60" s="214"/>
      <c r="AE60" s="81"/>
      <c r="AF60" s="98"/>
    </row>
    <row r="61" spans="1:32" s="87" customFormat="1" hidden="1" x14ac:dyDescent="0.2">
      <c r="A61" s="1031"/>
      <c r="B61" s="207"/>
      <c r="C61" s="253"/>
      <c r="D61" s="252"/>
      <c r="E61" s="252"/>
      <c r="F61" s="252"/>
      <c r="G61" s="252"/>
      <c r="H61" s="252"/>
      <c r="I61" s="252"/>
      <c r="J61" s="216"/>
      <c r="K61" s="249"/>
      <c r="L61" s="249"/>
      <c r="M61" s="249"/>
      <c r="N61" s="249"/>
      <c r="O61" s="249"/>
      <c r="P61" s="209"/>
      <c r="Q61" s="294"/>
      <c r="R61" s="251"/>
      <c r="S61" s="251"/>
      <c r="T61" s="251"/>
      <c r="U61" s="251"/>
      <c r="V61" s="251"/>
      <c r="W61" s="251"/>
      <c r="X61" s="213"/>
      <c r="Y61" s="250"/>
      <c r="Z61" s="250"/>
      <c r="AA61" s="250"/>
      <c r="AB61" s="250"/>
      <c r="AC61" s="250"/>
      <c r="AD61" s="214"/>
      <c r="AE61" s="81"/>
      <c r="AF61" s="98"/>
    </row>
    <row r="62" spans="1:32" s="87" customFormat="1" hidden="1" x14ac:dyDescent="0.2">
      <c r="A62" s="1031"/>
      <c r="B62" s="207"/>
      <c r="C62" s="253"/>
      <c r="D62" s="252"/>
      <c r="E62" s="252"/>
      <c r="F62" s="252"/>
      <c r="G62" s="252"/>
      <c r="H62" s="252"/>
      <c r="I62" s="252"/>
      <c r="J62" s="216"/>
      <c r="K62" s="249"/>
      <c r="L62" s="249"/>
      <c r="M62" s="249"/>
      <c r="N62" s="249"/>
      <c r="O62" s="249"/>
      <c r="P62" s="209"/>
      <c r="Q62" s="294"/>
      <c r="R62" s="251"/>
      <c r="S62" s="251"/>
      <c r="T62" s="251"/>
      <c r="U62" s="251"/>
      <c r="V62" s="251"/>
      <c r="W62" s="251"/>
      <c r="X62" s="213"/>
      <c r="Y62" s="250"/>
      <c r="Z62" s="250"/>
      <c r="AA62" s="250"/>
      <c r="AB62" s="250"/>
      <c r="AC62" s="250"/>
      <c r="AD62" s="214"/>
      <c r="AE62" s="81"/>
      <c r="AF62" s="98"/>
    </row>
    <row r="63" spans="1:32" s="87" customFormat="1" hidden="1" x14ac:dyDescent="0.2">
      <c r="A63" s="1031"/>
      <c r="B63" s="207"/>
      <c r="C63" s="253"/>
      <c r="D63" s="252"/>
      <c r="E63" s="252"/>
      <c r="F63" s="252"/>
      <c r="G63" s="252"/>
      <c r="H63" s="252"/>
      <c r="I63" s="252"/>
      <c r="J63" s="216"/>
      <c r="K63" s="249"/>
      <c r="L63" s="249"/>
      <c r="M63" s="249"/>
      <c r="N63" s="249"/>
      <c r="O63" s="249"/>
      <c r="P63" s="209"/>
      <c r="Q63" s="294"/>
      <c r="R63" s="251"/>
      <c r="S63" s="251"/>
      <c r="T63" s="251"/>
      <c r="U63" s="251"/>
      <c r="V63" s="251"/>
      <c r="W63" s="251"/>
      <c r="X63" s="213"/>
      <c r="Y63" s="250"/>
      <c r="Z63" s="250"/>
      <c r="AA63" s="250"/>
      <c r="AB63" s="250"/>
      <c r="AC63" s="250"/>
      <c r="AD63" s="214"/>
      <c r="AE63" s="81"/>
      <c r="AF63" s="98"/>
    </row>
    <row r="64" spans="1:32" s="87" customFormat="1" hidden="1" x14ac:dyDescent="0.2">
      <c r="A64" s="1031"/>
      <c r="B64" s="207"/>
      <c r="C64" s="253"/>
      <c r="D64" s="252"/>
      <c r="E64" s="252"/>
      <c r="F64" s="252"/>
      <c r="G64" s="252"/>
      <c r="H64" s="252"/>
      <c r="I64" s="252"/>
      <c r="J64" s="216"/>
      <c r="K64" s="249"/>
      <c r="L64" s="249"/>
      <c r="M64" s="249"/>
      <c r="N64" s="249"/>
      <c r="O64" s="249"/>
      <c r="P64" s="209"/>
      <c r="Q64" s="294"/>
      <c r="R64" s="251"/>
      <c r="S64" s="251"/>
      <c r="T64" s="251"/>
      <c r="U64" s="251"/>
      <c r="V64" s="251"/>
      <c r="W64" s="251"/>
      <c r="X64" s="213"/>
      <c r="Y64" s="250"/>
      <c r="Z64" s="250"/>
      <c r="AA64" s="250"/>
      <c r="AB64" s="250"/>
      <c r="AC64" s="250"/>
      <c r="AD64" s="214"/>
      <c r="AE64" s="81"/>
      <c r="AF64" s="98"/>
    </row>
    <row r="65" spans="1:32" s="87" customFormat="1" hidden="1" x14ac:dyDescent="0.2">
      <c r="A65" s="1031"/>
      <c r="B65" s="207"/>
      <c r="C65" s="253"/>
      <c r="D65" s="252"/>
      <c r="E65" s="252"/>
      <c r="F65" s="252"/>
      <c r="G65" s="252"/>
      <c r="H65" s="252"/>
      <c r="I65" s="252"/>
      <c r="J65" s="216"/>
      <c r="K65" s="249"/>
      <c r="L65" s="249"/>
      <c r="M65" s="249"/>
      <c r="N65" s="249"/>
      <c r="O65" s="249"/>
      <c r="P65" s="209"/>
      <c r="Q65" s="294"/>
      <c r="R65" s="251"/>
      <c r="S65" s="251"/>
      <c r="T65" s="251"/>
      <c r="U65" s="251"/>
      <c r="V65" s="251"/>
      <c r="W65" s="251"/>
      <c r="X65" s="213"/>
      <c r="Y65" s="250"/>
      <c r="Z65" s="250"/>
      <c r="AA65" s="250"/>
      <c r="AB65" s="250"/>
      <c r="AC65" s="250"/>
      <c r="AD65" s="214"/>
      <c r="AE65" s="81"/>
      <c r="AF65" s="98"/>
    </row>
    <row r="66" spans="1:32" s="87" customFormat="1" hidden="1" x14ac:dyDescent="0.2">
      <c r="A66" s="1031"/>
      <c r="B66" s="207"/>
      <c r="C66" s="253"/>
      <c r="D66" s="252"/>
      <c r="E66" s="252"/>
      <c r="F66" s="252"/>
      <c r="G66" s="252"/>
      <c r="H66" s="252"/>
      <c r="I66" s="252"/>
      <c r="J66" s="216"/>
      <c r="K66" s="249"/>
      <c r="L66" s="249"/>
      <c r="M66" s="249"/>
      <c r="N66" s="249"/>
      <c r="O66" s="249"/>
      <c r="P66" s="209"/>
      <c r="Q66" s="294"/>
      <c r="R66" s="251"/>
      <c r="S66" s="251"/>
      <c r="T66" s="251"/>
      <c r="U66" s="251"/>
      <c r="V66" s="251"/>
      <c r="W66" s="251"/>
      <c r="X66" s="213"/>
      <c r="Y66" s="250"/>
      <c r="Z66" s="250"/>
      <c r="AA66" s="250"/>
      <c r="AB66" s="250"/>
      <c r="AC66" s="250"/>
      <c r="AD66" s="214"/>
      <c r="AE66" s="81"/>
      <c r="AF66" s="98"/>
    </row>
    <row r="67" spans="1:32" s="87" customFormat="1" hidden="1" x14ac:dyDescent="0.2">
      <c r="A67" s="1031"/>
      <c r="B67" s="207"/>
      <c r="C67" s="253"/>
      <c r="D67" s="252"/>
      <c r="E67" s="252"/>
      <c r="F67" s="252"/>
      <c r="G67" s="252"/>
      <c r="H67" s="252"/>
      <c r="I67" s="252"/>
      <c r="J67" s="216"/>
      <c r="K67" s="249"/>
      <c r="L67" s="249"/>
      <c r="M67" s="249"/>
      <c r="N67" s="249"/>
      <c r="O67" s="249"/>
      <c r="P67" s="209"/>
      <c r="Q67" s="294"/>
      <c r="R67" s="251"/>
      <c r="S67" s="251"/>
      <c r="T67" s="251"/>
      <c r="U67" s="251"/>
      <c r="V67" s="251"/>
      <c r="W67" s="251"/>
      <c r="X67" s="213"/>
      <c r="Y67" s="250"/>
      <c r="Z67" s="250"/>
      <c r="AA67" s="250"/>
      <c r="AB67" s="250"/>
      <c r="AC67" s="250"/>
      <c r="AD67" s="214"/>
      <c r="AE67" s="81"/>
      <c r="AF67" s="98"/>
    </row>
    <row r="68" spans="1:32" s="87" customFormat="1" ht="51.75" thickBot="1" x14ac:dyDescent="0.25">
      <c r="A68" s="1032"/>
      <c r="B68" s="208">
        <v>1</v>
      </c>
      <c r="C68" s="153" t="s">
        <v>30</v>
      </c>
      <c r="D68" s="143" t="s">
        <v>7</v>
      </c>
      <c r="E68" s="142" t="s">
        <v>38</v>
      </c>
      <c r="F68" s="142" t="s">
        <v>39</v>
      </c>
      <c r="G68" s="143" t="s">
        <v>120</v>
      </c>
      <c r="H68" s="143" t="s">
        <v>40</v>
      </c>
      <c r="I68" s="142" t="s">
        <v>2</v>
      </c>
      <c r="J68" s="217" t="s">
        <v>30</v>
      </c>
      <c r="K68" s="147" t="s">
        <v>7</v>
      </c>
      <c r="L68" s="146" t="s">
        <v>38</v>
      </c>
      <c r="M68" s="146" t="s">
        <v>39</v>
      </c>
      <c r="N68" s="147" t="s">
        <v>120</v>
      </c>
      <c r="O68" s="147" t="s">
        <v>40</v>
      </c>
      <c r="P68" s="210" t="s">
        <v>2</v>
      </c>
      <c r="Q68" s="295" t="s">
        <v>30</v>
      </c>
      <c r="R68" s="140" t="s">
        <v>7</v>
      </c>
      <c r="S68" s="139" t="s">
        <v>38</v>
      </c>
      <c r="T68" s="139" t="s">
        <v>39</v>
      </c>
      <c r="U68" s="140" t="s">
        <v>120</v>
      </c>
      <c r="V68" s="140" t="s">
        <v>40</v>
      </c>
      <c r="W68" s="139" t="s">
        <v>2</v>
      </c>
      <c r="X68" s="215" t="s">
        <v>30</v>
      </c>
      <c r="Y68" s="152" t="s">
        <v>7</v>
      </c>
      <c r="Z68" s="151" t="s">
        <v>38</v>
      </c>
      <c r="AA68" s="151" t="s">
        <v>39</v>
      </c>
      <c r="AB68" s="152" t="s">
        <v>120</v>
      </c>
      <c r="AC68" s="152" t="s">
        <v>40</v>
      </c>
      <c r="AD68" s="154" t="s">
        <v>2</v>
      </c>
      <c r="AE68" s="99"/>
      <c r="AF68" s="98"/>
    </row>
    <row r="69" spans="1:32" x14ac:dyDescent="0.2">
      <c r="A69" s="224">
        <v>1990</v>
      </c>
      <c r="B69" s="20">
        <v>2</v>
      </c>
      <c r="C69" s="88"/>
      <c r="I69" s="73"/>
      <c r="J69" s="88"/>
      <c r="K69" s="73"/>
      <c r="L69" s="73"/>
      <c r="M69" s="73"/>
      <c r="N69" s="73"/>
      <c r="O69" s="73"/>
      <c r="P69" s="71"/>
      <c r="Q69" s="88"/>
      <c r="R69" s="73"/>
      <c r="S69" s="73"/>
      <c r="T69" s="73"/>
      <c r="U69" s="73"/>
      <c r="V69" s="73"/>
      <c r="W69" s="73"/>
      <c r="X69" s="88"/>
      <c r="Y69" s="73"/>
      <c r="Z69" s="73"/>
      <c r="AA69" s="73"/>
      <c r="AB69" s="73"/>
      <c r="AC69" s="73"/>
      <c r="AD69" s="69"/>
      <c r="AE69" s="66"/>
      <c r="AF69" s="97"/>
    </row>
    <row r="70" spans="1:32" ht="13.5" thickBot="1" x14ac:dyDescent="0.25">
      <c r="A70" s="224">
        <v>1991</v>
      </c>
      <c r="B70" s="208">
        <v>3</v>
      </c>
      <c r="C70" s="88"/>
      <c r="I70" s="73"/>
      <c r="J70" s="88"/>
      <c r="K70" s="73"/>
      <c r="L70" s="73"/>
      <c r="M70" s="73"/>
      <c r="N70" s="73"/>
      <c r="O70" s="73"/>
      <c r="P70" s="71"/>
      <c r="Q70" s="88"/>
      <c r="R70" s="73"/>
      <c r="S70" s="73"/>
      <c r="T70" s="73"/>
      <c r="U70" s="73"/>
      <c r="V70" s="73"/>
      <c r="W70" s="73"/>
      <c r="X70" s="88"/>
      <c r="Y70" s="73"/>
      <c r="Z70" s="73"/>
      <c r="AA70" s="73"/>
      <c r="AB70" s="73"/>
      <c r="AC70" s="73"/>
      <c r="AD70" s="69"/>
      <c r="AE70" s="66"/>
      <c r="AF70" s="97"/>
    </row>
    <row r="71" spans="1:32" x14ac:dyDescent="0.2">
      <c r="A71" s="224">
        <v>1992</v>
      </c>
      <c r="B71" s="20">
        <v>4</v>
      </c>
      <c r="C71" s="88"/>
      <c r="I71" s="73"/>
      <c r="J71" s="88"/>
      <c r="K71" s="73"/>
      <c r="L71" s="73"/>
      <c r="M71" s="73"/>
      <c r="N71" s="73"/>
      <c r="O71" s="73"/>
      <c r="P71" s="71"/>
      <c r="Q71" s="88"/>
      <c r="R71" s="73"/>
      <c r="S71" s="73"/>
      <c r="T71" s="73"/>
      <c r="U71" s="73"/>
      <c r="V71" s="73"/>
      <c r="W71" s="73"/>
      <c r="X71" s="88"/>
      <c r="Y71" s="73"/>
      <c r="Z71" s="73"/>
      <c r="AA71" s="73"/>
      <c r="AB71" s="73"/>
      <c r="AC71" s="73"/>
      <c r="AD71" s="69"/>
      <c r="AE71" s="66"/>
      <c r="AF71" s="97"/>
    </row>
    <row r="72" spans="1:32" ht="13.5" thickBot="1" x14ac:dyDescent="0.25">
      <c r="A72" s="224">
        <v>1993</v>
      </c>
      <c r="B72" s="208">
        <v>5</v>
      </c>
      <c r="C72" s="88"/>
      <c r="I72" s="73"/>
      <c r="J72" s="88"/>
      <c r="K72" s="73"/>
      <c r="L72" s="73"/>
      <c r="M72" s="73"/>
      <c r="N72" s="73"/>
      <c r="O72" s="73"/>
      <c r="P72" s="71"/>
      <c r="Q72" s="88"/>
      <c r="R72" s="73"/>
      <c r="S72" s="73"/>
      <c r="T72" s="73"/>
      <c r="U72" s="73"/>
      <c r="V72" s="73"/>
      <c r="W72" s="73"/>
      <c r="X72" s="88"/>
      <c r="Y72" s="73"/>
      <c r="Z72" s="73"/>
      <c r="AA72" s="73"/>
      <c r="AB72" s="73"/>
      <c r="AC72" s="73"/>
      <c r="AD72" s="69"/>
      <c r="AE72" s="66"/>
      <c r="AF72" s="97"/>
    </row>
    <row r="73" spans="1:32" x14ac:dyDescent="0.2">
      <c r="A73" s="224">
        <v>1994</v>
      </c>
      <c r="B73" s="20">
        <v>6</v>
      </c>
      <c r="C73" s="88"/>
      <c r="I73" s="73"/>
      <c r="J73" s="88"/>
      <c r="K73" s="73"/>
      <c r="L73" s="73"/>
      <c r="M73" s="73"/>
      <c r="N73" s="73"/>
      <c r="O73" s="73"/>
      <c r="P73" s="71"/>
      <c r="Q73" s="88"/>
      <c r="R73" s="73"/>
      <c r="S73" s="73"/>
      <c r="T73" s="73"/>
      <c r="U73" s="73"/>
      <c r="V73" s="73"/>
      <c r="W73" s="73"/>
      <c r="X73" s="88"/>
      <c r="Y73" s="73"/>
      <c r="Z73" s="73"/>
      <c r="AA73" s="73"/>
      <c r="AB73" s="73"/>
      <c r="AC73" s="73"/>
      <c r="AD73" s="69"/>
      <c r="AE73" s="66"/>
      <c r="AF73" s="97"/>
    </row>
    <row r="74" spans="1:32" ht="13.5" thickBot="1" x14ac:dyDescent="0.25">
      <c r="A74" s="224">
        <v>1995</v>
      </c>
      <c r="B74" s="208">
        <v>7</v>
      </c>
      <c r="C74" s="88"/>
      <c r="I74" s="73"/>
      <c r="J74" s="88"/>
      <c r="K74" s="73"/>
      <c r="L74" s="73"/>
      <c r="M74" s="73"/>
      <c r="N74" s="73"/>
      <c r="O74" s="73"/>
      <c r="P74" s="71"/>
      <c r="Q74" s="88"/>
      <c r="R74" s="73"/>
      <c r="S74" s="73"/>
      <c r="T74" s="73"/>
      <c r="U74" s="73"/>
      <c r="V74" s="73"/>
      <c r="W74" s="73"/>
      <c r="X74" s="88"/>
      <c r="Y74" s="73"/>
      <c r="Z74" s="73"/>
      <c r="AA74" s="73"/>
      <c r="AB74" s="73"/>
      <c r="AC74" s="73"/>
      <c r="AD74" s="69"/>
      <c r="AE74" s="66"/>
      <c r="AF74" s="97"/>
    </row>
    <row r="75" spans="1:32" x14ac:dyDescent="0.2">
      <c r="A75" s="224">
        <v>1996</v>
      </c>
      <c r="B75" s="20">
        <v>8</v>
      </c>
      <c r="C75" s="88"/>
      <c r="I75" s="73"/>
      <c r="J75" s="88"/>
      <c r="K75" s="73"/>
      <c r="L75" s="73"/>
      <c r="M75" s="73"/>
      <c r="N75" s="73"/>
      <c r="O75" s="73"/>
      <c r="P75" s="71"/>
      <c r="Q75" s="88"/>
      <c r="R75" s="73"/>
      <c r="S75" s="73"/>
      <c r="T75" s="73"/>
      <c r="U75" s="73"/>
      <c r="V75" s="73"/>
      <c r="W75" s="73"/>
      <c r="X75" s="88"/>
      <c r="Y75" s="73"/>
      <c r="Z75" s="73"/>
      <c r="AA75" s="73"/>
      <c r="AB75" s="73"/>
      <c r="AC75" s="73"/>
      <c r="AD75" s="69"/>
      <c r="AE75" s="66"/>
      <c r="AF75" s="97"/>
    </row>
    <row r="76" spans="1:32" ht="13.5" thickBot="1" x14ac:dyDescent="0.25">
      <c r="A76" s="224">
        <v>1997</v>
      </c>
      <c r="B76" s="208">
        <v>9</v>
      </c>
      <c r="C76" s="88"/>
      <c r="I76" s="73"/>
      <c r="J76" s="88"/>
      <c r="K76" s="73"/>
      <c r="L76" s="73"/>
      <c r="M76" s="73"/>
      <c r="N76" s="73"/>
      <c r="O76" s="73"/>
      <c r="P76" s="71"/>
      <c r="Q76" s="88"/>
      <c r="R76" s="73"/>
      <c r="S76" s="73"/>
      <c r="T76" s="73"/>
      <c r="U76" s="73"/>
      <c r="V76" s="73"/>
      <c r="W76" s="73"/>
      <c r="X76" s="88"/>
      <c r="Y76" s="73"/>
      <c r="Z76" s="73"/>
      <c r="AA76" s="73"/>
      <c r="AB76" s="73"/>
      <c r="AC76" s="73"/>
      <c r="AD76" s="69"/>
      <c r="AE76" s="66"/>
      <c r="AF76" s="97"/>
    </row>
    <row r="77" spans="1:32" x14ac:dyDescent="0.2">
      <c r="A77" s="224">
        <v>1998</v>
      </c>
      <c r="B77" s="20">
        <v>10</v>
      </c>
      <c r="C77" s="88"/>
      <c r="I77" s="73"/>
      <c r="J77" s="88"/>
      <c r="K77" s="73"/>
      <c r="L77" s="73"/>
      <c r="M77" s="73"/>
      <c r="N77" s="73"/>
      <c r="O77" s="73"/>
      <c r="P77" s="71"/>
      <c r="Q77" s="88"/>
      <c r="R77" s="73"/>
      <c r="S77" s="73"/>
      <c r="T77" s="73"/>
      <c r="U77" s="73"/>
      <c r="V77" s="73"/>
      <c r="W77" s="73"/>
      <c r="X77" s="88"/>
      <c r="Y77" s="73"/>
      <c r="Z77" s="73"/>
      <c r="AA77" s="73"/>
      <c r="AB77" s="73"/>
      <c r="AC77" s="73"/>
      <c r="AD77" s="69"/>
      <c r="AE77" s="66"/>
      <c r="AF77" s="97"/>
    </row>
    <row r="78" spans="1:32" ht="13.5" thickBot="1" x14ac:dyDescent="0.25">
      <c r="A78" s="224">
        <v>1999</v>
      </c>
      <c r="B78" s="208">
        <v>11</v>
      </c>
      <c r="C78" s="88"/>
      <c r="I78" s="73"/>
      <c r="J78" s="88"/>
      <c r="K78" s="73"/>
      <c r="L78" s="73"/>
      <c r="M78" s="73"/>
      <c r="N78" s="73"/>
      <c r="O78" s="73"/>
      <c r="P78" s="71"/>
      <c r="Q78" s="88"/>
      <c r="R78" s="73"/>
      <c r="S78" s="73"/>
      <c r="T78" s="73"/>
      <c r="U78" s="73"/>
      <c r="V78" s="73"/>
      <c r="W78" s="73"/>
      <c r="X78" s="88"/>
      <c r="Y78" s="73"/>
      <c r="Z78" s="73"/>
      <c r="AA78" s="73"/>
      <c r="AB78" s="73"/>
      <c r="AC78" s="73"/>
      <c r="AD78" s="69"/>
      <c r="AE78" s="66"/>
      <c r="AF78" s="97"/>
    </row>
    <row r="79" spans="1:32" x14ac:dyDescent="0.2">
      <c r="A79" s="224">
        <v>2000</v>
      </c>
      <c r="B79" s="20">
        <v>12</v>
      </c>
      <c r="C79" s="88"/>
      <c r="I79" s="73"/>
      <c r="J79" s="88"/>
      <c r="K79" s="73"/>
      <c r="L79" s="73"/>
      <c r="M79" s="73"/>
      <c r="N79" s="73"/>
      <c r="O79" s="73"/>
      <c r="P79" s="71"/>
      <c r="Q79" s="88"/>
      <c r="R79" s="73"/>
      <c r="S79" s="73"/>
      <c r="T79" s="73"/>
      <c r="U79" s="73"/>
      <c r="V79" s="73"/>
      <c r="W79" s="73"/>
      <c r="X79" s="88"/>
      <c r="Y79" s="73"/>
      <c r="Z79" s="73"/>
      <c r="AA79" s="73"/>
      <c r="AB79" s="73"/>
      <c r="AC79" s="73"/>
      <c r="AD79" s="69"/>
      <c r="AE79" s="66"/>
      <c r="AF79" s="97"/>
    </row>
    <row r="80" spans="1:32" ht="13.5" thickBot="1" x14ac:dyDescent="0.25">
      <c r="A80" s="224">
        <v>2001</v>
      </c>
      <c r="B80" s="208">
        <v>13</v>
      </c>
      <c r="C80" s="88"/>
      <c r="I80" s="73"/>
      <c r="J80" s="88"/>
      <c r="K80" s="73"/>
      <c r="L80" s="73"/>
      <c r="M80" s="73"/>
      <c r="N80" s="73"/>
      <c r="O80" s="73"/>
      <c r="P80" s="71"/>
      <c r="Q80" s="88"/>
      <c r="R80" s="73"/>
      <c r="S80" s="73"/>
      <c r="T80" s="73"/>
      <c r="U80" s="73"/>
      <c r="V80" s="73"/>
      <c r="W80" s="73"/>
      <c r="X80" s="88"/>
      <c r="Y80" s="73"/>
      <c r="Z80" s="73"/>
      <c r="AA80" s="73"/>
      <c r="AB80" s="73"/>
      <c r="AC80" s="73"/>
      <c r="AD80" s="69"/>
      <c r="AE80" s="66"/>
      <c r="AF80" s="97"/>
    </row>
    <row r="81" spans="1:32" x14ac:dyDescent="0.2">
      <c r="A81" s="224">
        <v>2002</v>
      </c>
      <c r="B81" s="20">
        <v>14</v>
      </c>
      <c r="C81" s="88"/>
      <c r="I81" s="73"/>
      <c r="J81" s="88"/>
      <c r="K81" s="73"/>
      <c r="L81" s="73"/>
      <c r="M81" s="73"/>
      <c r="N81" s="73"/>
      <c r="O81" s="73"/>
      <c r="P81" s="71"/>
      <c r="Q81" s="88"/>
      <c r="R81" s="73"/>
      <c r="S81" s="73"/>
      <c r="T81" s="73"/>
      <c r="U81" s="73"/>
      <c r="V81" s="73"/>
      <c r="W81" s="73"/>
      <c r="X81" s="88"/>
      <c r="Y81" s="73"/>
      <c r="Z81" s="73"/>
      <c r="AA81" s="73"/>
      <c r="AB81" s="73"/>
      <c r="AC81" s="73"/>
      <c r="AD81" s="69"/>
      <c r="AE81" s="66"/>
      <c r="AF81" s="97"/>
    </row>
    <row r="82" spans="1:32" ht="13.5" thickBot="1" x14ac:dyDescent="0.25">
      <c r="A82" s="224">
        <v>2003</v>
      </c>
      <c r="B82" s="208">
        <v>15</v>
      </c>
      <c r="C82" s="88"/>
      <c r="I82" s="73"/>
      <c r="J82" s="88"/>
      <c r="K82" s="73"/>
      <c r="L82" s="73"/>
      <c r="M82" s="73"/>
      <c r="N82" s="73"/>
      <c r="O82" s="73"/>
      <c r="P82" s="71"/>
      <c r="Q82" s="88"/>
      <c r="R82" s="73"/>
      <c r="S82" s="73"/>
      <c r="T82" s="73"/>
      <c r="U82" s="73"/>
      <c r="V82" s="73"/>
      <c r="W82" s="73"/>
      <c r="X82" s="88"/>
      <c r="Y82" s="73"/>
      <c r="Z82" s="73"/>
      <c r="AA82" s="73"/>
      <c r="AB82" s="73"/>
      <c r="AC82" s="73"/>
      <c r="AD82" s="69"/>
      <c r="AE82" s="66"/>
      <c r="AF82" s="97"/>
    </row>
    <row r="83" spans="1:32" x14ac:dyDescent="0.2">
      <c r="A83" s="224">
        <v>2004</v>
      </c>
      <c r="B83" s="20">
        <v>16</v>
      </c>
      <c r="C83" s="88"/>
      <c r="I83" s="73"/>
      <c r="J83" s="88"/>
      <c r="K83" s="73"/>
      <c r="L83" s="73"/>
      <c r="M83" s="73"/>
      <c r="N83" s="73"/>
      <c r="O83" s="73"/>
      <c r="P83" s="71"/>
      <c r="Q83" s="88"/>
      <c r="R83" s="73"/>
      <c r="S83" s="73"/>
      <c r="T83" s="73"/>
      <c r="U83" s="73"/>
      <c r="V83" s="73"/>
      <c r="W83" s="73"/>
      <c r="X83" s="88"/>
      <c r="Y83" s="73"/>
      <c r="Z83" s="73"/>
      <c r="AA83" s="73"/>
      <c r="AB83" s="73"/>
      <c r="AC83" s="73"/>
      <c r="AD83" s="69"/>
      <c r="AE83" s="66"/>
      <c r="AF83" s="97"/>
    </row>
    <row r="84" spans="1:32" ht="13.5" thickBot="1" x14ac:dyDescent="0.25">
      <c r="A84" s="224">
        <v>2005</v>
      </c>
      <c r="B84" s="208">
        <v>17</v>
      </c>
      <c r="C84" s="88"/>
      <c r="I84" s="73"/>
      <c r="J84" s="88"/>
      <c r="K84" s="73"/>
      <c r="L84" s="73"/>
      <c r="M84" s="73"/>
      <c r="N84" s="73"/>
      <c r="O84" s="73"/>
      <c r="P84" s="71"/>
      <c r="Q84" s="88"/>
      <c r="R84" s="73"/>
      <c r="S84" s="73"/>
      <c r="T84" s="73"/>
      <c r="U84" s="73"/>
      <c r="V84" s="73"/>
      <c r="W84" s="73"/>
      <c r="X84" s="88"/>
      <c r="Y84" s="73"/>
      <c r="Z84" s="73"/>
      <c r="AA84" s="73"/>
      <c r="AB84" s="73"/>
      <c r="AC84" s="73"/>
      <c r="AD84" s="69"/>
      <c r="AE84" s="66"/>
      <c r="AF84" s="97"/>
    </row>
    <row r="85" spans="1:32" x14ac:dyDescent="0.2">
      <c r="A85" s="224">
        <v>2006</v>
      </c>
      <c r="B85" s="20">
        <v>18</v>
      </c>
      <c r="C85" s="88"/>
      <c r="I85" s="73"/>
      <c r="J85" s="88"/>
      <c r="K85" s="73"/>
      <c r="L85" s="73"/>
      <c r="M85" s="73"/>
      <c r="N85" s="73"/>
      <c r="O85" s="73"/>
      <c r="P85" s="71"/>
      <c r="Q85" s="88"/>
      <c r="R85" s="73"/>
      <c r="S85" s="73"/>
      <c r="T85" s="73"/>
      <c r="U85" s="73"/>
      <c r="V85" s="73"/>
      <c r="W85" s="73"/>
      <c r="X85" s="88"/>
      <c r="Y85" s="73"/>
      <c r="Z85" s="73"/>
      <c r="AA85" s="73"/>
      <c r="AB85" s="73"/>
      <c r="AC85" s="73"/>
      <c r="AD85" s="69"/>
      <c r="AE85" s="66"/>
      <c r="AF85" s="97"/>
    </row>
    <row r="86" spans="1:32" ht="13.5" thickBot="1" x14ac:dyDescent="0.25">
      <c r="A86" s="224">
        <v>2007</v>
      </c>
      <c r="B86" s="208">
        <v>19</v>
      </c>
      <c r="C86" s="88"/>
      <c r="I86" s="73"/>
      <c r="J86" s="88"/>
      <c r="K86" s="73"/>
      <c r="L86" s="73"/>
      <c r="M86" s="73"/>
      <c r="N86" s="73"/>
      <c r="O86" s="73"/>
      <c r="P86" s="71"/>
      <c r="Q86" s="88"/>
      <c r="R86" s="73"/>
      <c r="S86" s="73"/>
      <c r="T86" s="73"/>
      <c r="U86" s="73"/>
      <c r="V86" s="73"/>
      <c r="W86" s="73"/>
      <c r="X86" s="88"/>
      <c r="Y86" s="73"/>
      <c r="Z86" s="73"/>
      <c r="AA86" s="73"/>
      <c r="AB86" s="73"/>
      <c r="AC86" s="73"/>
      <c r="AD86" s="69"/>
      <c r="AE86" s="66"/>
      <c r="AF86" s="97"/>
    </row>
    <row r="87" spans="1:32" x14ac:dyDescent="0.2">
      <c r="A87" s="224">
        <v>2008</v>
      </c>
      <c r="B87" s="20">
        <v>20</v>
      </c>
      <c r="C87" s="88"/>
      <c r="I87" s="73"/>
      <c r="J87" s="88"/>
      <c r="K87" s="73"/>
      <c r="L87" s="73"/>
      <c r="M87" s="73"/>
      <c r="N87" s="73"/>
      <c r="O87" s="73"/>
      <c r="P87" s="71"/>
      <c r="Q87" s="88"/>
      <c r="R87" s="73"/>
      <c r="S87" s="73"/>
      <c r="T87" s="73"/>
      <c r="U87" s="73"/>
      <c r="V87" s="73"/>
      <c r="W87" s="73"/>
      <c r="X87" s="88"/>
      <c r="Y87" s="73"/>
      <c r="Z87" s="73"/>
      <c r="AA87" s="73"/>
      <c r="AB87" s="73"/>
      <c r="AC87" s="73"/>
      <c r="AD87" s="69"/>
      <c r="AE87" s="66"/>
      <c r="AF87" s="97"/>
    </row>
    <row r="88" spans="1:32" ht="13.5" thickBot="1" x14ac:dyDescent="0.25">
      <c r="A88" s="224">
        <v>2009</v>
      </c>
      <c r="B88" s="208">
        <v>21</v>
      </c>
      <c r="C88" s="88"/>
      <c r="I88" s="73"/>
      <c r="J88" s="88"/>
      <c r="K88" s="73"/>
      <c r="L88" s="73"/>
      <c r="M88" s="73"/>
      <c r="N88" s="73"/>
      <c r="O88" s="73"/>
      <c r="P88" s="71"/>
      <c r="Q88" s="88"/>
      <c r="R88" s="73"/>
      <c r="S88" s="73"/>
      <c r="T88" s="73"/>
      <c r="U88" s="73"/>
      <c r="V88" s="73"/>
      <c r="W88" s="73"/>
      <c r="X88" s="88"/>
      <c r="Y88" s="73"/>
      <c r="Z88" s="73"/>
      <c r="AA88" s="73"/>
      <c r="AB88" s="73"/>
      <c r="AC88" s="73"/>
      <c r="AD88" s="69"/>
      <c r="AE88" s="66"/>
      <c r="AF88" s="97"/>
    </row>
    <row r="89" spans="1:32" x14ac:dyDescent="0.2">
      <c r="A89" s="224">
        <v>2010</v>
      </c>
      <c r="B89" s="20">
        <v>22</v>
      </c>
      <c r="C89" s="88"/>
      <c r="I89" s="73"/>
      <c r="J89" s="88"/>
      <c r="K89" s="73"/>
      <c r="L89" s="73"/>
      <c r="M89" s="73"/>
      <c r="N89" s="73"/>
      <c r="O89" s="73"/>
      <c r="P89" s="71"/>
      <c r="Q89" s="88"/>
      <c r="R89" s="73"/>
      <c r="S89" s="73"/>
      <c r="T89" s="73"/>
      <c r="U89" s="73"/>
      <c r="V89" s="73"/>
      <c r="W89" s="73"/>
      <c r="X89" s="88"/>
      <c r="Y89" s="73"/>
      <c r="Z89" s="73"/>
      <c r="AA89" s="73"/>
      <c r="AB89" s="73"/>
      <c r="AC89" s="73"/>
      <c r="AD89" s="69"/>
      <c r="AE89" s="66"/>
      <c r="AF89" s="97"/>
    </row>
    <row r="90" spans="1:32" ht="13.5" thickBot="1" x14ac:dyDescent="0.25">
      <c r="A90" s="224">
        <v>2011</v>
      </c>
      <c r="B90" s="208">
        <v>23</v>
      </c>
      <c r="C90" s="88"/>
      <c r="I90" s="73"/>
      <c r="J90" s="88"/>
      <c r="K90" s="73"/>
      <c r="L90" s="73"/>
      <c r="M90" s="73"/>
      <c r="N90" s="73"/>
      <c r="O90" s="73"/>
      <c r="P90" s="71"/>
      <c r="Q90" s="88"/>
      <c r="R90" s="73"/>
      <c r="S90" s="73"/>
      <c r="T90" s="73"/>
      <c r="U90" s="73"/>
      <c r="V90" s="73"/>
      <c r="W90" s="73"/>
      <c r="X90" s="88"/>
      <c r="Y90" s="73"/>
      <c r="Z90" s="73"/>
      <c r="AA90" s="73"/>
      <c r="AB90" s="73"/>
      <c r="AC90" s="73"/>
      <c r="AD90" s="69"/>
      <c r="AE90" s="66"/>
      <c r="AF90" s="97"/>
    </row>
    <row r="91" spans="1:32" ht="13.5" thickBot="1" x14ac:dyDescent="0.25">
      <c r="A91" s="224">
        <v>2012</v>
      </c>
      <c r="B91" s="20">
        <v>24</v>
      </c>
      <c r="C91" s="88"/>
      <c r="I91" s="73"/>
      <c r="J91" s="88"/>
      <c r="K91" s="73"/>
      <c r="L91" s="73"/>
      <c r="M91" s="73"/>
      <c r="N91" s="73"/>
      <c r="O91" s="73"/>
      <c r="P91" s="71"/>
      <c r="Q91" s="88"/>
      <c r="R91" s="73"/>
      <c r="S91" s="73"/>
      <c r="T91" s="73"/>
      <c r="U91" s="73"/>
      <c r="V91" s="73"/>
      <c r="W91" s="73"/>
      <c r="X91" s="88"/>
      <c r="Y91" s="73"/>
      <c r="Z91" s="73"/>
      <c r="AA91" s="73"/>
      <c r="AB91" s="73"/>
      <c r="AC91" s="73"/>
      <c r="AD91" s="69"/>
      <c r="AE91" s="66"/>
      <c r="AF91" s="97"/>
    </row>
    <row r="92" spans="1:32" ht="13.5" thickBot="1" x14ac:dyDescent="0.25">
      <c r="A92" s="224">
        <v>2013</v>
      </c>
      <c r="B92" s="208">
        <v>25</v>
      </c>
      <c r="C92" s="88"/>
      <c r="I92" s="73">
        <v>969000000</v>
      </c>
      <c r="J92" s="88"/>
      <c r="K92" s="73"/>
      <c r="L92" s="73"/>
      <c r="M92" s="73"/>
      <c r="N92" s="73"/>
      <c r="O92" s="73"/>
      <c r="P92" s="71">
        <v>969000000</v>
      </c>
      <c r="Q92" s="205"/>
      <c r="R92" s="206"/>
      <c r="S92" s="206"/>
      <c r="T92" s="206"/>
      <c r="U92" s="206"/>
      <c r="V92" s="206"/>
      <c r="W92" s="206">
        <v>969000000</v>
      </c>
      <c r="X92" s="88"/>
      <c r="Y92" s="73"/>
      <c r="Z92" s="73"/>
      <c r="AA92" s="73"/>
      <c r="AB92" s="73"/>
      <c r="AC92" s="73"/>
      <c r="AD92" s="71">
        <v>969000000</v>
      </c>
      <c r="AE92" s="66"/>
      <c r="AF92" s="97"/>
    </row>
    <row r="93" spans="1:32" x14ac:dyDescent="0.2">
      <c r="A93" s="224">
        <v>2014</v>
      </c>
      <c r="B93" s="20">
        <v>26</v>
      </c>
      <c r="C93" s="88">
        <f>'Underlying Assumptions'!E6</f>
        <v>-125000000</v>
      </c>
      <c r="E93" s="73">
        <f>$C$93/'Summary Baseline Data'!D38</f>
        <v>-656.96849770356664</v>
      </c>
      <c r="F93" s="95">
        <f>$C$93/'Summary Baseline Data'!G38</f>
        <v>-1931.4873832484857</v>
      </c>
      <c r="G93" s="73">
        <f>$C$93/('Summary Baseline Data'!D38-'Summary Baseline Data'!D37)</f>
        <v>-19248.166612130193</v>
      </c>
      <c r="H93" s="73">
        <f>$C$93/('Summary Baseline Data'!G38-'Summary Baseline Data'!G37)</f>
        <v>-56589.609839662611</v>
      </c>
      <c r="I93" s="73">
        <f>I92+C93</f>
        <v>844000000</v>
      </c>
      <c r="J93" s="88">
        <f>'Underlying Assumptions'!E6</f>
        <v>-125000000</v>
      </c>
      <c r="K93" s="73"/>
      <c r="L93" s="73">
        <f>$C$93/'Summary Baseline Data'!$D38</f>
        <v>-656.96849770356664</v>
      </c>
      <c r="M93" s="95">
        <f>$C$93/'Summary Baseline Data'!$G38</f>
        <v>-1931.4873832484857</v>
      </c>
      <c r="N93" s="73">
        <f>$C$93/('Summary Baseline Data'!$D38-'Summary Baseline Data'!$D37)</f>
        <v>-19248.166612130193</v>
      </c>
      <c r="O93" s="73">
        <f>$C$93/('Summary Baseline Data'!$G38-'Summary Baseline Data'!$G37)</f>
        <v>-56589.609839662611</v>
      </c>
      <c r="P93" s="71">
        <f>P92+J93</f>
        <v>844000000</v>
      </c>
      <c r="Q93" s="88">
        <f>'Underlying Assumptions'!E6</f>
        <v>-125000000</v>
      </c>
      <c r="R93" s="73"/>
      <c r="S93" s="73">
        <f>$C$93/'Summary Baseline Data'!$D38</f>
        <v>-656.96849770356664</v>
      </c>
      <c r="T93" s="95">
        <f>$C$93/'Summary Baseline Data'!$G38</f>
        <v>-1931.4873832484857</v>
      </c>
      <c r="U93" s="73">
        <f>$C$93/('Summary Baseline Data'!$D38-'Summary Baseline Data'!$D37)</f>
        <v>-19248.166612130193</v>
      </c>
      <c r="V93" s="73">
        <f>$C$93/('Summary Baseline Data'!$G38-'Summary Baseline Data'!$G37)</f>
        <v>-56589.609839662611</v>
      </c>
      <c r="W93" s="73">
        <f>W92+Q93</f>
        <v>844000000</v>
      </c>
      <c r="X93" s="88">
        <f>'Underlying Assumptions'!E6</f>
        <v>-125000000</v>
      </c>
      <c r="Y93" s="66"/>
      <c r="Z93" s="73">
        <f>$C$93/'Summary Baseline Data'!$D38</f>
        <v>-656.96849770356664</v>
      </c>
      <c r="AA93" s="95">
        <f>$C$93/'Summary Baseline Data'!$G38</f>
        <v>-1931.4873832484857</v>
      </c>
      <c r="AB93" s="73">
        <f>$C$93/('Summary Baseline Data'!$D38-'Summary Baseline Data'!$D37)</f>
        <v>-19248.166612130193</v>
      </c>
      <c r="AC93" s="73">
        <f>$C$93/('Summary Baseline Data'!$G38-'Summary Baseline Data'!$G37)</f>
        <v>-56589.609839662611</v>
      </c>
      <c r="AD93" s="71">
        <f>AD92+X93</f>
        <v>844000000</v>
      </c>
      <c r="AE93" s="66"/>
      <c r="AF93" s="97"/>
    </row>
    <row r="94" spans="1:32" ht="13.5" thickBot="1" x14ac:dyDescent="0.25">
      <c r="A94" s="224">
        <v>2015</v>
      </c>
      <c r="B94" s="208">
        <v>27</v>
      </c>
      <c r="C94" s="89"/>
      <c r="D94" s="73">
        <v>-20000000</v>
      </c>
      <c r="E94" s="85">
        <f>D94/'Summary Baseline Data'!$D39</f>
        <v>-101.64564295951455</v>
      </c>
      <c r="F94" s="95">
        <f>D94/'Summary Baseline Data'!$G39</f>
        <v>-298.83819030097277</v>
      </c>
      <c r="G94" s="73">
        <f>D94/('Summary Baseline Data'!$D39-'Summary Baseline Data'!$D38)</f>
        <v>-3079.7066579408311</v>
      </c>
      <c r="H94" s="73">
        <f>D94/('Summary Baseline Data'!$G39-'Summary Baseline Data'!$G38)</f>
        <v>-9054.3375743460765</v>
      </c>
      <c r="I94" s="73">
        <f t="shared" ref="I94:I105" si="0">((I93)*(1+$C$5))+D94</f>
        <v>849320000</v>
      </c>
      <c r="J94" s="89"/>
      <c r="K94" s="73">
        <v>-20000000</v>
      </c>
      <c r="L94" s="73">
        <f>K94/'Summary Baseline Data'!$D39</f>
        <v>-101.64564295951455</v>
      </c>
      <c r="M94" s="95">
        <f>K94/'Summary Baseline Data'!$G39</f>
        <v>-298.83819030097277</v>
      </c>
      <c r="N94" s="73">
        <f>K94/('Summary Baseline Data'!$D39-'Summary Baseline Data'!$D38)</f>
        <v>-3079.7066579408311</v>
      </c>
      <c r="O94" s="73">
        <f>K94/('Summary Baseline Data'!$G39-'Summary Baseline Data'!$G38)</f>
        <v>-9054.3375743460765</v>
      </c>
      <c r="P94" s="71">
        <f>((P93)*(1+$J$5))+K94</f>
        <v>857760000</v>
      </c>
      <c r="Q94" s="89"/>
      <c r="R94" s="73">
        <v>-20000000</v>
      </c>
      <c r="S94" s="73">
        <f>R94/'Summary Baseline Data'!$D39</f>
        <v>-101.64564295951455</v>
      </c>
      <c r="T94" s="95">
        <f>R94/'Summary Baseline Data'!$G39</f>
        <v>-298.83819030097277</v>
      </c>
      <c r="U94" s="73">
        <f>R94/('Summary Baseline Data'!$D39-'Summary Baseline Data'!$D38)</f>
        <v>-3079.7066579408311</v>
      </c>
      <c r="V94" s="73">
        <f>R94/('Summary Baseline Data'!$G39-'Summary Baseline Data'!$G38)</f>
        <v>-9054.3375743460765</v>
      </c>
      <c r="W94" s="73">
        <f t="shared" ref="W94:W125" si="1">W93*(1+$Q$5)+R94</f>
        <v>866200000</v>
      </c>
      <c r="X94" s="88"/>
      <c r="Y94" s="73">
        <v>-20000000</v>
      </c>
      <c r="Z94" s="73">
        <f>Y94/'Summary Baseline Data'!$D39</f>
        <v>-101.64564295951455</v>
      </c>
      <c r="AA94" s="95">
        <f>Y94/'Summary Baseline Data'!$G39</f>
        <v>-298.83819030097277</v>
      </c>
      <c r="AB94" s="73">
        <f>Y94/('Summary Baseline Data'!$D39-'Summary Baseline Data'!$D38)</f>
        <v>-3079.7066579408311</v>
      </c>
      <c r="AC94" s="73">
        <f>Y94/('Summary Baseline Data'!$G39-'Summary Baseline Data'!$G38)</f>
        <v>-9054.3375743460765</v>
      </c>
      <c r="AD94" s="71">
        <f t="shared" ref="AD94:AD105" si="2">AD93*(1+$X$5)+Y94</f>
        <v>883080000</v>
      </c>
      <c r="AE94" s="66"/>
      <c r="AF94" s="97"/>
    </row>
    <row r="95" spans="1:32" x14ac:dyDescent="0.2">
      <c r="A95" s="224">
        <v>2016</v>
      </c>
      <c r="B95" s="20">
        <v>28</v>
      </c>
      <c r="C95" s="89"/>
      <c r="D95" s="73">
        <v>-20000000</v>
      </c>
      <c r="E95" s="85">
        <f>D95/'Summary Baseline Data'!$D40</f>
        <v>-97.493633665721632</v>
      </c>
      <c r="F95" s="95">
        <f>D95/'Summary Baseline Data'!G40</f>
        <v>-286.63128297722159</v>
      </c>
      <c r="G95" s="73">
        <f>D95/('Summary Baseline Data'!$D40-'Summary Baseline Data'!$D39)</f>
        <v>-2386.7487708243812</v>
      </c>
      <c r="H95" s="73">
        <f>D95/('Summary Baseline Data'!G40-'Summary Baseline Data'!G39)</f>
        <v>-7017.0413862236628</v>
      </c>
      <c r="I95" s="73">
        <f t="shared" si="0"/>
        <v>854799600</v>
      </c>
      <c r="J95" s="89"/>
      <c r="K95" s="73">
        <v>-20000000</v>
      </c>
      <c r="L95" s="73">
        <f>K95/'Summary Baseline Data'!$D40</f>
        <v>-97.493633665721632</v>
      </c>
      <c r="M95" s="95">
        <f>K95/'Summary Baseline Data'!$G40</f>
        <v>-286.63128297722159</v>
      </c>
      <c r="N95" s="73">
        <f>K95/('Summary Baseline Data'!$D40-'Summary Baseline Data'!$D39)</f>
        <v>-2386.7487708243812</v>
      </c>
      <c r="O95" s="73">
        <f>K95/('Summary Baseline Data'!$G40-'Summary Baseline Data'!$G39)</f>
        <v>-7017.0413862236628</v>
      </c>
      <c r="P95" s="71">
        <f t="shared" ref="P95:P105" si="3">(P94*(1+$J$5))+K95</f>
        <v>872070400</v>
      </c>
      <c r="Q95" s="89"/>
      <c r="R95" s="73">
        <v>-20000000</v>
      </c>
      <c r="S95" s="73">
        <f>R95/'Summary Baseline Data'!$D40</f>
        <v>-97.493633665721632</v>
      </c>
      <c r="T95" s="95">
        <f>R95/'Summary Baseline Data'!$G40</f>
        <v>-286.63128297722159</v>
      </c>
      <c r="U95" s="73">
        <f>R95/('Summary Baseline Data'!$D40-'Summary Baseline Data'!$D39)</f>
        <v>-2386.7487708243812</v>
      </c>
      <c r="V95" s="73">
        <f>R95/('Summary Baseline Data'!$G40-'Summary Baseline Data'!$G39)</f>
        <v>-7017.0413862236628</v>
      </c>
      <c r="W95" s="73">
        <f t="shared" si="1"/>
        <v>889510000</v>
      </c>
      <c r="X95" s="88"/>
      <c r="Y95" s="73">
        <v>-20000000</v>
      </c>
      <c r="Z95" s="73">
        <f>Y95/'Summary Baseline Data'!$D40</f>
        <v>-97.493633665721632</v>
      </c>
      <c r="AA95" s="95">
        <f>Y95/'Summary Baseline Data'!$G40</f>
        <v>-286.63128297722159</v>
      </c>
      <c r="AB95" s="73">
        <f>Y95/('Summary Baseline Data'!$D40-'Summary Baseline Data'!$D39)</f>
        <v>-2386.7487708243812</v>
      </c>
      <c r="AC95" s="73">
        <f>Y95/('Summary Baseline Data'!$G40-'Summary Baseline Data'!$G39)</f>
        <v>-7017.0413862236628</v>
      </c>
      <c r="AD95" s="71">
        <f t="shared" si="2"/>
        <v>924895600</v>
      </c>
      <c r="AE95" s="66"/>
      <c r="AF95" s="97"/>
    </row>
    <row r="96" spans="1:32" ht="13.5" thickBot="1" x14ac:dyDescent="0.25">
      <c r="A96" s="224">
        <v>2017</v>
      </c>
      <c r="B96" s="208">
        <v>29</v>
      </c>
      <c r="C96" s="89"/>
      <c r="D96" s="73">
        <v>-20000000</v>
      </c>
      <c r="E96" s="73">
        <f>D96/'Summary Baseline Data'!D41</f>
        <v>-93.667514045443724</v>
      </c>
      <c r="F96" s="95">
        <f>D96/'Summary Baseline Data'!G41</f>
        <v>-275.38249129360457</v>
      </c>
      <c r="G96" s="73">
        <f>D96/('Summary Baseline Data'!$D41-'Summary Baseline Data'!$D40)</f>
        <v>-2386.7487708243812</v>
      </c>
      <c r="H96" s="73">
        <f>D96/('Summary Baseline Data'!G41-'Summary Baseline Data'!G40)</f>
        <v>-7017.0413862236983</v>
      </c>
      <c r="I96" s="73">
        <f t="shared" si="0"/>
        <v>860443588</v>
      </c>
      <c r="J96" s="89"/>
      <c r="K96" s="73">
        <v>-20000000</v>
      </c>
      <c r="L96" s="73">
        <f>K96/'Summary Baseline Data'!$D41</f>
        <v>-93.667514045443724</v>
      </c>
      <c r="M96" s="95">
        <f>K96/'Summary Baseline Data'!$G41</f>
        <v>-275.38249129360457</v>
      </c>
      <c r="N96" s="73">
        <f>K96/('Summary Baseline Data'!$D41-'Summary Baseline Data'!$D40)</f>
        <v>-2386.7487708243812</v>
      </c>
      <c r="O96" s="73">
        <f>K96/('Summary Baseline Data'!$G41-'Summary Baseline Data'!$G40)</f>
        <v>-7017.0413862236983</v>
      </c>
      <c r="P96" s="71">
        <f t="shared" si="3"/>
        <v>886953216</v>
      </c>
      <c r="Q96" s="89"/>
      <c r="R96" s="73">
        <v>-20000000</v>
      </c>
      <c r="S96" s="73">
        <f>R96/'Summary Baseline Data'!$D41</f>
        <v>-93.667514045443724</v>
      </c>
      <c r="T96" s="95">
        <f>R96/'Summary Baseline Data'!$G41</f>
        <v>-275.38249129360457</v>
      </c>
      <c r="U96" s="73">
        <f>R96/('Summary Baseline Data'!$D41-'Summary Baseline Data'!$D40)</f>
        <v>-2386.7487708243812</v>
      </c>
      <c r="V96" s="73">
        <f>R96/('Summary Baseline Data'!$G41-'Summary Baseline Data'!$G40)</f>
        <v>-7017.0413862236983</v>
      </c>
      <c r="W96" s="73">
        <f t="shared" si="1"/>
        <v>913985500</v>
      </c>
      <c r="X96" s="88"/>
      <c r="Y96" s="73">
        <v>-20000000</v>
      </c>
      <c r="Z96" s="73">
        <f>Y96/'Summary Baseline Data'!$D41</f>
        <v>-93.667514045443724</v>
      </c>
      <c r="AA96" s="95">
        <f>Y96/'Summary Baseline Data'!$G41</f>
        <v>-275.38249129360457</v>
      </c>
      <c r="AB96" s="73">
        <f>Y96/('Summary Baseline Data'!$D41-'Summary Baseline Data'!$D40)</f>
        <v>-2386.7487708243812</v>
      </c>
      <c r="AC96" s="73">
        <f>Y96/('Summary Baseline Data'!$G41-'Summary Baseline Data'!$G40)</f>
        <v>-7017.0413862236983</v>
      </c>
      <c r="AD96" s="71">
        <f t="shared" si="2"/>
        <v>969638292</v>
      </c>
      <c r="AE96" s="66"/>
      <c r="AF96" s="97"/>
    </row>
    <row r="97" spans="1:32" x14ac:dyDescent="0.2">
      <c r="A97" s="224">
        <v>2018</v>
      </c>
      <c r="B97" s="20">
        <v>30</v>
      </c>
      <c r="C97" s="89"/>
      <c r="D97" s="73">
        <v>-20000000</v>
      </c>
      <c r="E97" s="73">
        <f>D97/'Summary Baseline Data'!D42</f>
        <v>-90.130364559298556</v>
      </c>
      <c r="F97" s="95">
        <f>D97/'Summary Baseline Data'!G42</f>
        <v>-264.98327180433773</v>
      </c>
      <c r="G97" s="73">
        <f>D97/('Summary Baseline Data'!D42-'Summary Baseline Data'!D41)</f>
        <v>-2386.7487708243812</v>
      </c>
      <c r="H97" s="73">
        <f>D97/('Summary Baseline Data'!G42-'Summary Baseline Data'!G41)</f>
        <v>-7017.0413862236628</v>
      </c>
      <c r="I97" s="73">
        <f t="shared" si="0"/>
        <v>866256895.63999999</v>
      </c>
      <c r="J97" s="89"/>
      <c r="K97" s="73">
        <v>-20000000</v>
      </c>
      <c r="L97" s="73">
        <f>K97/'Summary Baseline Data'!$D42</f>
        <v>-90.130364559298556</v>
      </c>
      <c r="M97" s="95">
        <f>K97/'Summary Baseline Data'!$G42</f>
        <v>-264.98327180433773</v>
      </c>
      <c r="N97" s="73">
        <f>K97/('Summary Baseline Data'!$D42-'Summary Baseline Data'!$D41)</f>
        <v>-2386.7487708243812</v>
      </c>
      <c r="O97" s="73">
        <f>K97/('Summary Baseline Data'!$G42-'Summary Baseline Data'!$G41)</f>
        <v>-7017.0413862236628</v>
      </c>
      <c r="P97" s="71">
        <f t="shared" si="3"/>
        <v>902431344.63999999</v>
      </c>
      <c r="Q97" s="89"/>
      <c r="R97" s="73">
        <v>-20000000</v>
      </c>
      <c r="S97" s="73">
        <f>R97/'Summary Baseline Data'!$D42</f>
        <v>-90.130364559298556</v>
      </c>
      <c r="T97" s="95">
        <f>R97/'Summary Baseline Data'!$G42</f>
        <v>-264.98327180433773</v>
      </c>
      <c r="U97" s="73">
        <f>R97/('Summary Baseline Data'!$D42-'Summary Baseline Data'!$D41)</f>
        <v>-2386.7487708243812</v>
      </c>
      <c r="V97" s="73">
        <f>R97/('Summary Baseline Data'!$G42-'Summary Baseline Data'!$G41)</f>
        <v>-7017.0413862236628</v>
      </c>
      <c r="W97" s="73">
        <f t="shared" si="1"/>
        <v>939684775</v>
      </c>
      <c r="X97" s="88"/>
      <c r="Y97" s="73">
        <v>-20000000</v>
      </c>
      <c r="Z97" s="73">
        <f>Y97/'Summary Baseline Data'!$D42</f>
        <v>-90.130364559298556</v>
      </c>
      <c r="AA97" s="95">
        <f>Y97/'Summary Baseline Data'!$G42</f>
        <v>-264.98327180433773</v>
      </c>
      <c r="AB97" s="73">
        <f>Y97/('Summary Baseline Data'!$D42-'Summary Baseline Data'!$D41)</f>
        <v>-2386.7487708243812</v>
      </c>
      <c r="AC97" s="73">
        <f>Y97/('Summary Baseline Data'!$G42-'Summary Baseline Data'!$G41)</f>
        <v>-7017.0413862236628</v>
      </c>
      <c r="AD97" s="71">
        <f t="shared" si="2"/>
        <v>1017512972.4400001</v>
      </c>
      <c r="AE97" s="66"/>
      <c r="AF97" s="97"/>
    </row>
    <row r="98" spans="1:32" ht="13.5" thickBot="1" x14ac:dyDescent="0.25">
      <c r="A98" s="224">
        <v>2019</v>
      </c>
      <c r="B98" s="208">
        <v>31</v>
      </c>
      <c r="C98" s="89"/>
      <c r="D98" s="73">
        <v>-20000000</v>
      </c>
      <c r="E98" s="73">
        <f>D98/'Summary Baseline Data'!D43</f>
        <v>-86.850639481258497</v>
      </c>
      <c r="F98" s="95">
        <f>D98/'Summary Baseline Data'!G43</f>
        <v>-255.34088007489999</v>
      </c>
      <c r="G98" s="73">
        <f>D98/('Summary Baseline Data'!D43-'Summary Baseline Data'!D42)</f>
        <v>-2386.7487708243812</v>
      </c>
      <c r="H98" s="73">
        <f>D98/('Summary Baseline Data'!G43-'Summary Baseline Data'!G42)</f>
        <v>-7017.0413862236983</v>
      </c>
      <c r="I98" s="73">
        <f t="shared" si="0"/>
        <v>872244602.50919998</v>
      </c>
      <c r="J98" s="89"/>
      <c r="K98" s="73">
        <v>-20000000</v>
      </c>
      <c r="L98" s="73">
        <f>K98/'Summary Baseline Data'!$D43</f>
        <v>-86.850639481258497</v>
      </c>
      <c r="M98" s="95">
        <f>K98/'Summary Baseline Data'!$G43</f>
        <v>-255.34088007489999</v>
      </c>
      <c r="N98" s="73">
        <f>K98/('Summary Baseline Data'!$D43-'Summary Baseline Data'!$D42)</f>
        <v>-2386.7487708243812</v>
      </c>
      <c r="O98" s="73">
        <f>K98/('Summary Baseline Data'!$G43-'Summary Baseline Data'!$G42)</f>
        <v>-7017.0413862236983</v>
      </c>
      <c r="P98" s="71">
        <f t="shared" si="3"/>
        <v>918528598.42560005</v>
      </c>
      <c r="Q98" s="89"/>
      <c r="R98" s="73">
        <v>-20000000</v>
      </c>
      <c r="S98" s="73">
        <f>R98/'Summary Baseline Data'!$D43</f>
        <v>-86.850639481258497</v>
      </c>
      <c r="T98" s="95">
        <f>R98/'Summary Baseline Data'!$G43</f>
        <v>-255.34088007489999</v>
      </c>
      <c r="U98" s="73">
        <f>R98/('Summary Baseline Data'!$D43-'Summary Baseline Data'!$D42)</f>
        <v>-2386.7487708243812</v>
      </c>
      <c r="V98" s="73">
        <f>R98/('Summary Baseline Data'!$G43-'Summary Baseline Data'!$G42)</f>
        <v>-7017.0413862236983</v>
      </c>
      <c r="W98" s="73">
        <f t="shared" si="1"/>
        <v>966669013.75</v>
      </c>
      <c r="X98" s="88"/>
      <c r="Y98" s="73">
        <v>-20000000</v>
      </c>
      <c r="Z98" s="73">
        <f>Y98/'Summary Baseline Data'!$D43</f>
        <v>-86.850639481258497</v>
      </c>
      <c r="AA98" s="95">
        <f>Y98/'Summary Baseline Data'!$G43</f>
        <v>-255.34088007489999</v>
      </c>
      <c r="AB98" s="73">
        <f>Y98/('Summary Baseline Data'!$D43-'Summary Baseline Data'!$D42)</f>
        <v>-2386.7487708243812</v>
      </c>
      <c r="AC98" s="73">
        <f>Y98/('Summary Baseline Data'!$G43-'Summary Baseline Data'!$G42)</f>
        <v>-7017.0413862236983</v>
      </c>
      <c r="AD98" s="71">
        <f t="shared" si="2"/>
        <v>1068738880.5108001</v>
      </c>
      <c r="AE98" s="66"/>
      <c r="AF98" s="97"/>
    </row>
    <row r="99" spans="1:32" x14ac:dyDescent="0.2">
      <c r="A99" s="224">
        <v>2020</v>
      </c>
      <c r="B99" s="20">
        <v>32</v>
      </c>
      <c r="C99" s="89"/>
      <c r="D99" s="73">
        <v>-20000000</v>
      </c>
      <c r="E99" s="73">
        <f>D99/'Summary Baseline Data'!D44</f>
        <v>-83.801223497863063</v>
      </c>
      <c r="F99" s="95">
        <f>D99/'Summary Baseline Data'!G44</f>
        <v>-246.37559708371737</v>
      </c>
      <c r="G99" s="73">
        <f>D99/('Summary Baseline Data'!D44-'Summary Baseline Data'!D43)</f>
        <v>-2386.7487708243812</v>
      </c>
      <c r="H99" s="73">
        <f>D99/('Summary Baseline Data'!G44-'Summary Baseline Data'!G43)</f>
        <v>-7017.0413862236628</v>
      </c>
      <c r="I99" s="73">
        <f t="shared" si="0"/>
        <v>878411940.58447599</v>
      </c>
      <c r="J99" s="89"/>
      <c r="K99" s="73">
        <v>-20000000</v>
      </c>
      <c r="L99" s="73">
        <f>K99/'Summary Baseline Data'!$D44</f>
        <v>-83.801223497863063</v>
      </c>
      <c r="M99" s="95">
        <f>K99/'Summary Baseline Data'!$G44</f>
        <v>-246.37559708371737</v>
      </c>
      <c r="N99" s="73">
        <f>K99/('Summary Baseline Data'!$D44-'Summary Baseline Data'!$D43)</f>
        <v>-2386.7487708243812</v>
      </c>
      <c r="O99" s="73">
        <f>K99/('Summary Baseline Data'!$G44-'Summary Baseline Data'!$G43)</f>
        <v>-7017.0413862236628</v>
      </c>
      <c r="P99" s="71">
        <f t="shared" si="3"/>
        <v>935269742.36262405</v>
      </c>
      <c r="Q99" s="89"/>
      <c r="R99" s="73">
        <v>-20000000</v>
      </c>
      <c r="S99" s="73">
        <f>R99/'Summary Baseline Data'!$D44</f>
        <v>-83.801223497863063</v>
      </c>
      <c r="T99" s="95">
        <f>R99/'Summary Baseline Data'!$G44</f>
        <v>-246.37559708371737</v>
      </c>
      <c r="U99" s="73">
        <f>R99/('Summary Baseline Data'!$D44-'Summary Baseline Data'!$D43)</f>
        <v>-2386.7487708243812</v>
      </c>
      <c r="V99" s="73">
        <f>R99/('Summary Baseline Data'!$G44-'Summary Baseline Data'!$G43)</f>
        <v>-7017.0413862236628</v>
      </c>
      <c r="W99" s="73">
        <f t="shared" si="1"/>
        <v>995002464.4375</v>
      </c>
      <c r="X99" s="88"/>
      <c r="Y99" s="73">
        <v>-20000000</v>
      </c>
      <c r="Z99" s="73">
        <f>Y99/'Summary Baseline Data'!$D44</f>
        <v>-83.801223497863063</v>
      </c>
      <c r="AA99" s="95">
        <f>Y99/'Summary Baseline Data'!$G44</f>
        <v>-246.37559708371737</v>
      </c>
      <c r="AB99" s="73">
        <f>Y99/('Summary Baseline Data'!$D44-'Summary Baseline Data'!$D43)</f>
        <v>-2386.7487708243812</v>
      </c>
      <c r="AC99" s="73">
        <f>Y99/('Summary Baseline Data'!$G44-'Summary Baseline Data'!$G43)</f>
        <v>-7017.0413862236628</v>
      </c>
      <c r="AD99" s="71">
        <f t="shared" si="2"/>
        <v>1123550602.1465561</v>
      </c>
      <c r="AE99" s="66"/>
    </row>
    <row r="100" spans="1:32" ht="13.5" thickBot="1" x14ac:dyDescent="0.25">
      <c r="A100" s="224">
        <v>2021</v>
      </c>
      <c r="B100" s="208">
        <v>33</v>
      </c>
      <c r="C100" s="89"/>
      <c r="D100" s="73">
        <v>-20000000</v>
      </c>
      <c r="E100" s="73">
        <f>D100/'Summary Baseline Data'!D45</f>
        <v>-80.958680308744007</v>
      </c>
      <c r="F100" s="95">
        <f>D100/'Summary Baseline Data'!G45</f>
        <v>-238.01852010770739</v>
      </c>
      <c r="G100" s="73">
        <f>D100/('Summary Baseline Data'!D45-'Summary Baseline Data'!D44)</f>
        <v>-2386.7487708243812</v>
      </c>
      <c r="H100" s="73">
        <f>D100/('Summary Baseline Data'!G45-'Summary Baseline Data'!G44)</f>
        <v>-7017.0413862236983</v>
      </c>
      <c r="I100" s="73">
        <f t="shared" si="0"/>
        <v>884764298.8020103</v>
      </c>
      <c r="J100" s="89"/>
      <c r="K100" s="73">
        <v>-20000000</v>
      </c>
      <c r="L100" s="73">
        <f>K100/'Summary Baseline Data'!$D45</f>
        <v>-80.958680308744007</v>
      </c>
      <c r="M100" s="95">
        <f>K100/'Summary Baseline Data'!$G45</f>
        <v>-238.01852010770739</v>
      </c>
      <c r="N100" s="73">
        <f>K100/('Summary Baseline Data'!$D45-'Summary Baseline Data'!$D44)</f>
        <v>-2386.7487708243812</v>
      </c>
      <c r="O100" s="73">
        <f>K100/('Summary Baseline Data'!$G45-'Summary Baseline Data'!$G44)</f>
        <v>-7017.0413862236983</v>
      </c>
      <c r="P100" s="71">
        <f t="shared" si="3"/>
        <v>952680532.05712903</v>
      </c>
      <c r="Q100" s="89"/>
      <c r="R100" s="73">
        <v>-20000000</v>
      </c>
      <c r="S100" s="73">
        <f>R100/'Summary Baseline Data'!$D45</f>
        <v>-80.958680308744007</v>
      </c>
      <c r="T100" s="95">
        <f>R100/'Summary Baseline Data'!$G45</f>
        <v>-238.01852010770739</v>
      </c>
      <c r="U100" s="73">
        <f>R100/('Summary Baseline Data'!$D45-'Summary Baseline Data'!$D44)</f>
        <v>-2386.7487708243812</v>
      </c>
      <c r="V100" s="73">
        <f>R100/('Summary Baseline Data'!$G45-'Summary Baseline Data'!$G44)</f>
        <v>-7017.0413862236983</v>
      </c>
      <c r="W100" s="73">
        <f t="shared" si="1"/>
        <v>1024752587.6593751</v>
      </c>
      <c r="X100" s="88"/>
      <c r="Y100" s="73">
        <v>-20000000</v>
      </c>
      <c r="Z100" s="73">
        <f>Y100/'Summary Baseline Data'!$D45</f>
        <v>-80.958680308744007</v>
      </c>
      <c r="AA100" s="95">
        <f>Y100/'Summary Baseline Data'!$G45</f>
        <v>-238.01852010770739</v>
      </c>
      <c r="AB100" s="73">
        <f>Y100/('Summary Baseline Data'!$D45-'Summary Baseline Data'!$D44)</f>
        <v>-2386.7487708243812</v>
      </c>
      <c r="AC100" s="73">
        <f>Y100/('Summary Baseline Data'!$G45-'Summary Baseline Data'!$G44)</f>
        <v>-7017.0413862236983</v>
      </c>
      <c r="AD100" s="71">
        <f t="shared" si="2"/>
        <v>1182199144.2968152</v>
      </c>
      <c r="AE100" s="66"/>
    </row>
    <row r="101" spans="1:32" x14ac:dyDescent="0.2">
      <c r="A101" s="224">
        <v>2022</v>
      </c>
      <c r="B101" s="20">
        <v>34</v>
      </c>
      <c r="C101" s="89"/>
      <c r="D101" s="73">
        <v>-20000000</v>
      </c>
      <c r="E101" s="73">
        <f>D101/'Summary Baseline Data'!D46</f>
        <v>-78.302649135225536</v>
      </c>
      <c r="F101" s="95">
        <f>D101/'Summary Baseline Data'!G46</f>
        <v>-230.20978845756304</v>
      </c>
      <c r="G101" s="73">
        <f>D101/('Summary Baseline Data'!D46-'Summary Baseline Data'!D45)</f>
        <v>-2386.7487708243812</v>
      </c>
      <c r="H101" s="73">
        <f>D101/('Summary Baseline Data'!G46-'Summary Baseline Data'!G45)</f>
        <v>-7017.0413862236628</v>
      </c>
      <c r="I101" s="73">
        <f t="shared" si="0"/>
        <v>891307227.7660706</v>
      </c>
      <c r="J101" s="89"/>
      <c r="K101" s="73">
        <v>-20000000</v>
      </c>
      <c r="L101" s="73">
        <f>K101/'Summary Baseline Data'!$D46</f>
        <v>-78.302649135225536</v>
      </c>
      <c r="M101" s="95">
        <f>K101/'Summary Baseline Data'!$G46</f>
        <v>-230.20978845756304</v>
      </c>
      <c r="N101" s="73">
        <f>K101/('Summary Baseline Data'!$D46-'Summary Baseline Data'!$D45)</f>
        <v>-2386.7487708243812</v>
      </c>
      <c r="O101" s="73">
        <f>K101/('Summary Baseline Data'!$G46-'Summary Baseline Data'!$G45)</f>
        <v>-7017.0413862236628</v>
      </c>
      <c r="P101" s="71">
        <f t="shared" si="3"/>
        <v>970787753.33941424</v>
      </c>
      <c r="Q101" s="89"/>
      <c r="R101" s="73">
        <v>-20000000</v>
      </c>
      <c r="S101" s="73">
        <f>R101/'Summary Baseline Data'!$D46</f>
        <v>-78.302649135225536</v>
      </c>
      <c r="T101" s="95">
        <f>R101/'Summary Baseline Data'!$G46</f>
        <v>-230.20978845756304</v>
      </c>
      <c r="U101" s="73">
        <f>R101/('Summary Baseline Data'!$D46-'Summary Baseline Data'!$D45)</f>
        <v>-2386.7487708243812</v>
      </c>
      <c r="V101" s="73">
        <f>R101/('Summary Baseline Data'!$G46-'Summary Baseline Data'!$G45)</f>
        <v>-7017.0413862236628</v>
      </c>
      <c r="W101" s="73">
        <f t="shared" si="1"/>
        <v>1055990217.0423439</v>
      </c>
      <c r="X101" s="88"/>
      <c r="Y101" s="73">
        <v>-20000000</v>
      </c>
      <c r="Z101" s="73">
        <f>Y101/'Summary Baseline Data'!$D46</f>
        <v>-78.302649135225536</v>
      </c>
      <c r="AA101" s="95">
        <f>Y101/'Summary Baseline Data'!$G46</f>
        <v>-230.20978845756304</v>
      </c>
      <c r="AB101" s="73">
        <f>Y101/('Summary Baseline Data'!$D46-'Summary Baseline Data'!$D45)</f>
        <v>-2386.7487708243812</v>
      </c>
      <c r="AC101" s="73">
        <f>Y101/('Summary Baseline Data'!$G46-'Summary Baseline Data'!$G45)</f>
        <v>-7017.0413862236628</v>
      </c>
      <c r="AD101" s="71">
        <f t="shared" si="2"/>
        <v>1244953084.3975923</v>
      </c>
      <c r="AE101" s="66"/>
    </row>
    <row r="102" spans="1:32" ht="13.5" thickBot="1" x14ac:dyDescent="0.25">
      <c r="A102" s="224">
        <v>2023</v>
      </c>
      <c r="B102" s="208">
        <v>35</v>
      </c>
      <c r="C102" s="89"/>
      <c r="D102" s="73">
        <v>-20000000</v>
      </c>
      <c r="E102" s="73">
        <f>D102/'Summary Baseline Data'!D47</f>
        <v>-75.815356248777462</v>
      </c>
      <c r="F102" s="95">
        <f>D102/'Summary Baseline Data'!G47</f>
        <v>-222.89714737140574</v>
      </c>
      <c r="G102" s="73">
        <f>D102/('Summary Baseline Data'!D47-'Summary Baseline Data'!D46)</f>
        <v>-2386.7487708243812</v>
      </c>
      <c r="H102" s="73">
        <f>D102/('Summary Baseline Data'!G47-'Summary Baseline Data'!G46)</f>
        <v>-7017.0413862236983</v>
      </c>
      <c r="I102" s="73">
        <f t="shared" si="0"/>
        <v>898046444.59905279</v>
      </c>
      <c r="J102" s="89"/>
      <c r="K102" s="73">
        <v>-20000000</v>
      </c>
      <c r="L102" s="73">
        <f>K102/'Summary Baseline Data'!$D47</f>
        <v>-75.815356248777462</v>
      </c>
      <c r="M102" s="95">
        <f>K102/'Summary Baseline Data'!$G47</f>
        <v>-222.89714737140574</v>
      </c>
      <c r="N102" s="73">
        <f>K102/('Summary Baseline Data'!$D47-'Summary Baseline Data'!$D46)</f>
        <v>-2386.7487708243812</v>
      </c>
      <c r="O102" s="73">
        <f>K102/('Summary Baseline Data'!$G47-'Summary Baseline Data'!$G46)</f>
        <v>-7017.0413862236983</v>
      </c>
      <c r="P102" s="71">
        <f t="shared" si="3"/>
        <v>989619263.47299087</v>
      </c>
      <c r="Q102" s="89"/>
      <c r="R102" s="73">
        <v>-20000000</v>
      </c>
      <c r="S102" s="73">
        <f>R102/'Summary Baseline Data'!$D47</f>
        <v>-75.815356248777462</v>
      </c>
      <c r="T102" s="95">
        <f>R102/'Summary Baseline Data'!$G47</f>
        <v>-222.89714737140574</v>
      </c>
      <c r="U102" s="73">
        <f>R102/('Summary Baseline Data'!$D47-'Summary Baseline Data'!$D46)</f>
        <v>-2386.7487708243812</v>
      </c>
      <c r="V102" s="73">
        <f>R102/('Summary Baseline Data'!$G47-'Summary Baseline Data'!$G46)</f>
        <v>-7017.0413862236983</v>
      </c>
      <c r="W102" s="73">
        <f t="shared" si="1"/>
        <v>1088789727.8944612</v>
      </c>
      <c r="X102" s="88"/>
      <c r="Y102" s="73">
        <v>-20000000</v>
      </c>
      <c r="Z102" s="73">
        <f>Y102/'Summary Baseline Data'!$D47</f>
        <v>-75.815356248777462</v>
      </c>
      <c r="AA102" s="95">
        <f>Y102/'Summary Baseline Data'!$G47</f>
        <v>-222.89714737140574</v>
      </c>
      <c r="AB102" s="73">
        <f>Y102/('Summary Baseline Data'!$D47-'Summary Baseline Data'!$D46)</f>
        <v>-2386.7487708243812</v>
      </c>
      <c r="AC102" s="73">
        <f>Y102/('Summary Baseline Data'!$G47-'Summary Baseline Data'!$G46)</f>
        <v>-7017.0413862236983</v>
      </c>
      <c r="AD102" s="71">
        <f t="shared" si="2"/>
        <v>1312099800.3054237</v>
      </c>
      <c r="AE102" s="66"/>
    </row>
    <row r="103" spans="1:32" x14ac:dyDescent="0.2">
      <c r="A103" s="224">
        <v>2024</v>
      </c>
      <c r="B103" s="20">
        <v>36</v>
      </c>
      <c r="C103" s="89"/>
      <c r="D103" s="73">
        <v>-20000000</v>
      </c>
      <c r="E103" s="73">
        <f>D103/'Summary Baseline Data'!D48</f>
        <v>-73.481216731379121</v>
      </c>
      <c r="F103" s="95">
        <f>D103/'Summary Baseline Data'!G48</f>
        <v>-216.0347771902546</v>
      </c>
      <c r="G103" s="73">
        <f>D103/('Summary Baseline Data'!D48-'Summary Baseline Data'!D47)</f>
        <v>-2386.7487708243898</v>
      </c>
      <c r="H103" s="73">
        <f>D103/('Summary Baseline Data'!G48-'Summary Baseline Data'!G47)</f>
        <v>-7017.0413862236983</v>
      </c>
      <c r="I103" s="73">
        <f t="shared" si="0"/>
        <v>904987837.93702435</v>
      </c>
      <c r="J103" s="89"/>
      <c r="K103" s="73">
        <v>-20000000</v>
      </c>
      <c r="L103" s="73">
        <f>K103/'Summary Baseline Data'!$D48</f>
        <v>-73.481216731379121</v>
      </c>
      <c r="M103" s="95">
        <f>K103/'Summary Baseline Data'!$G48</f>
        <v>-216.0347771902546</v>
      </c>
      <c r="N103" s="73">
        <f>K103/('Summary Baseline Data'!$D48-'Summary Baseline Data'!$D47)</f>
        <v>-2386.7487708243898</v>
      </c>
      <c r="O103" s="73">
        <f>K103/('Summary Baseline Data'!$G48-'Summary Baseline Data'!$G47)</f>
        <v>-7017.0413862236983</v>
      </c>
      <c r="P103" s="71">
        <f t="shared" si="3"/>
        <v>1009204034.0119106</v>
      </c>
      <c r="Q103" s="89"/>
      <c r="R103" s="73">
        <v>-20000000</v>
      </c>
      <c r="S103" s="73">
        <f>R103/'Summary Baseline Data'!$D48</f>
        <v>-73.481216731379121</v>
      </c>
      <c r="T103" s="95">
        <f>R103/'Summary Baseline Data'!$G48</f>
        <v>-216.0347771902546</v>
      </c>
      <c r="U103" s="73">
        <f>R103/('Summary Baseline Data'!$D48-'Summary Baseline Data'!$D47)</f>
        <v>-2386.7487708243898</v>
      </c>
      <c r="V103" s="73">
        <f>R103/('Summary Baseline Data'!$G48-'Summary Baseline Data'!$G47)</f>
        <v>-7017.0413862236983</v>
      </c>
      <c r="W103" s="73">
        <f t="shared" si="1"/>
        <v>1123229214.2891843</v>
      </c>
      <c r="X103" s="88"/>
      <c r="Y103" s="73">
        <v>-20000000</v>
      </c>
      <c r="Z103" s="73">
        <f>Y103/'Summary Baseline Data'!$D48</f>
        <v>-73.481216731379121</v>
      </c>
      <c r="AA103" s="95">
        <f>Y103/'Summary Baseline Data'!$G48</f>
        <v>-216.0347771902546</v>
      </c>
      <c r="AB103" s="73">
        <f>Y103/('Summary Baseline Data'!$D48-'Summary Baseline Data'!$D47)</f>
        <v>-2386.7487708243898</v>
      </c>
      <c r="AC103" s="73">
        <f>Y103/('Summary Baseline Data'!$G48-'Summary Baseline Data'!$G47)</f>
        <v>-7017.0413862236983</v>
      </c>
      <c r="AD103" s="71">
        <f t="shared" si="2"/>
        <v>1383946786.3268034</v>
      </c>
      <c r="AE103" s="66"/>
    </row>
    <row r="104" spans="1:32" ht="13.5" thickBot="1" x14ac:dyDescent="0.25">
      <c r="A104" s="224">
        <v>2025</v>
      </c>
      <c r="B104" s="208">
        <v>37</v>
      </c>
      <c r="C104" s="89"/>
      <c r="D104" s="73">
        <v>-20000000</v>
      </c>
      <c r="E104" s="73">
        <f>D104/'Summary Baseline Data'!D49</f>
        <v>-71.286507602706038</v>
      </c>
      <c r="F104" s="95">
        <f>D104/'Summary Baseline Data'!G49</f>
        <v>-209.58233235195573</v>
      </c>
      <c r="G104" s="73">
        <f>D104/('Summary Baseline Data'!D49-'Summary Baseline Data'!D48)</f>
        <v>-2386.7487708243898</v>
      </c>
      <c r="H104" s="73">
        <f>D104/('Summary Baseline Data'!G49-'Summary Baseline Data'!G48)</f>
        <v>-7017.0413862236983</v>
      </c>
      <c r="I104" s="73">
        <f t="shared" si="0"/>
        <v>912137473.07513511</v>
      </c>
      <c r="J104" s="89"/>
      <c r="K104" s="73">
        <v>-20000000</v>
      </c>
      <c r="L104" s="73">
        <f>K104/'Summary Baseline Data'!$D49</f>
        <v>-71.286507602706038</v>
      </c>
      <c r="M104" s="95">
        <f>K104/'Summary Baseline Data'!$G49</f>
        <v>-209.58233235195573</v>
      </c>
      <c r="N104" s="73">
        <f>K104/('Summary Baseline Data'!$D49-'Summary Baseline Data'!$D48)</f>
        <v>-2386.7487708243898</v>
      </c>
      <c r="O104" s="73">
        <f>K104/('Summary Baseline Data'!$G49-'Summary Baseline Data'!$G48)</f>
        <v>-7017.0413862236983</v>
      </c>
      <c r="P104" s="71">
        <f t="shared" si="3"/>
        <v>1029572195.3723871</v>
      </c>
      <c r="Q104" s="89"/>
      <c r="R104" s="73">
        <v>-20000000</v>
      </c>
      <c r="S104" s="73">
        <f>R104/'Summary Baseline Data'!$D49</f>
        <v>-71.286507602706038</v>
      </c>
      <c r="T104" s="95">
        <f>R104/'Summary Baseline Data'!$G49</f>
        <v>-209.58233235195573</v>
      </c>
      <c r="U104" s="73">
        <f>R104/('Summary Baseline Data'!$D49-'Summary Baseline Data'!$D48)</f>
        <v>-2386.7487708243898</v>
      </c>
      <c r="V104" s="73">
        <f>R104/('Summary Baseline Data'!$G49-'Summary Baseline Data'!$G48)</f>
        <v>-7017.0413862236983</v>
      </c>
      <c r="W104" s="73">
        <f t="shared" si="1"/>
        <v>1159390675.0036435</v>
      </c>
      <c r="X104" s="88"/>
      <c r="Y104" s="73">
        <v>-20000000</v>
      </c>
      <c r="Z104" s="73">
        <f>Y104/'Summary Baseline Data'!$D49</f>
        <v>-71.286507602706038</v>
      </c>
      <c r="AA104" s="95">
        <f>Y104/'Summary Baseline Data'!$G49</f>
        <v>-209.58233235195573</v>
      </c>
      <c r="AB104" s="73">
        <f>Y104/('Summary Baseline Data'!$D49-'Summary Baseline Data'!$D48)</f>
        <v>-2386.7487708243898</v>
      </c>
      <c r="AC104" s="73">
        <f>Y104/('Summary Baseline Data'!$G49-'Summary Baseline Data'!$G48)</f>
        <v>-7017.0413862236983</v>
      </c>
      <c r="AD104" s="71">
        <f t="shared" si="2"/>
        <v>1460823061.3696797</v>
      </c>
      <c r="AE104" s="66"/>
    </row>
    <row r="105" spans="1:32" x14ac:dyDescent="0.2">
      <c r="A105" s="224">
        <v>2026</v>
      </c>
      <c r="B105" s="20">
        <v>38</v>
      </c>
      <c r="C105" s="89"/>
      <c r="D105" s="73">
        <v>-20000000</v>
      </c>
      <c r="E105" s="73">
        <f>D105/'Summary Baseline Data'!D50</f>
        <v>-69.04253537998423</v>
      </c>
      <c r="F105" s="95">
        <f>D105/'Summary Baseline Data'!G50</f>
        <v>-202.9850540171536</v>
      </c>
      <c r="G105" s="73">
        <f>D105/('Summary Baseline Data'!D50-'Summary Baseline Data'!D49)</f>
        <v>-2193.3432033777485</v>
      </c>
      <c r="H105" s="73">
        <f>D105/('Summary Baseline Data'!G50-'Summary Baseline Data'!G49)</f>
        <v>-6448.4290179305835</v>
      </c>
      <c r="I105" s="73">
        <f t="shared" si="0"/>
        <v>919501597.26738918</v>
      </c>
      <c r="J105" s="89"/>
      <c r="K105" s="73">
        <v>-20000000</v>
      </c>
      <c r="L105" s="73">
        <f>K105/'Summary Baseline Data'!$D50</f>
        <v>-69.04253537998423</v>
      </c>
      <c r="M105" s="95">
        <f>K105/'Summary Baseline Data'!$G50</f>
        <v>-202.9850540171536</v>
      </c>
      <c r="N105" s="73">
        <f>K105/('Summary Baseline Data'!$D50-'Summary Baseline Data'!$D49)</f>
        <v>-2193.3432033777485</v>
      </c>
      <c r="O105" s="73">
        <f>K105/('Summary Baseline Data'!$G50-'Summary Baseline Data'!$G49)</f>
        <v>-6448.4290179305835</v>
      </c>
      <c r="P105" s="71">
        <f t="shared" si="3"/>
        <v>1050755083.1872826</v>
      </c>
      <c r="Q105" s="89"/>
      <c r="R105" s="73">
        <v>-20000000</v>
      </c>
      <c r="S105" s="73">
        <f>R105/'Summary Baseline Data'!$D50</f>
        <v>-69.04253537998423</v>
      </c>
      <c r="T105" s="95">
        <f>R105/'Summary Baseline Data'!$G50</f>
        <v>-202.9850540171536</v>
      </c>
      <c r="U105" s="73">
        <f>R105/('Summary Baseline Data'!$D50-'Summary Baseline Data'!$D49)</f>
        <v>-2193.3432033777485</v>
      </c>
      <c r="V105" s="73">
        <f>R105/('Summary Baseline Data'!$G50-'Summary Baseline Data'!$G49)</f>
        <v>-6448.4290179305835</v>
      </c>
      <c r="W105" s="73">
        <f t="shared" si="1"/>
        <v>1197360208.7538257</v>
      </c>
      <c r="X105" s="88"/>
      <c r="Y105" s="73">
        <v>-20000000</v>
      </c>
      <c r="Z105" s="73">
        <f>Y105/'Summary Baseline Data'!$D50</f>
        <v>-69.04253537998423</v>
      </c>
      <c r="AA105" s="95">
        <f>Y105/'Summary Baseline Data'!$G50</f>
        <v>-202.9850540171536</v>
      </c>
      <c r="AB105" s="73">
        <f>Y105/('Summary Baseline Data'!$D50-'Summary Baseline Data'!$D49)</f>
        <v>-2193.3432033777485</v>
      </c>
      <c r="AC105" s="73">
        <f>Y105/('Summary Baseline Data'!$G50-'Summary Baseline Data'!$G49)</f>
        <v>-6448.4290179305835</v>
      </c>
      <c r="AD105" s="71">
        <f t="shared" si="2"/>
        <v>1543080675.6655574</v>
      </c>
      <c r="AE105" s="66"/>
    </row>
    <row r="106" spans="1:32" ht="13.5" thickBot="1" x14ac:dyDescent="0.25">
      <c r="A106" s="224">
        <v>2027</v>
      </c>
      <c r="B106" s="208">
        <v>39</v>
      </c>
      <c r="C106" s="89"/>
      <c r="D106" s="73">
        <f t="shared" ref="D106:D143" si="4">PMT($C$5,38,$I$105)</f>
        <v>-40880434.259851158</v>
      </c>
      <c r="E106" s="73">
        <f>D106/'Summary Baseline Data'!D51</f>
        <v>-136.81766515454126</v>
      </c>
      <c r="F106" s="95">
        <f>D106/'Summary Baseline Data'!G51</f>
        <v>-402.24393555435131</v>
      </c>
      <c r="G106" s="73">
        <f>D106/('Summary Baseline Data'!D51-'Summary Baseline Data'!D50)</f>
        <v>-4483.2411317487695</v>
      </c>
      <c r="H106" s="73">
        <f>D106/('Summary Baseline Data'!G51-'Summary Baseline Data'!G50)</f>
        <v>-13180.72892734139</v>
      </c>
      <c r="I106" s="73">
        <f t="shared" ref="I106:I143" si="5">(I105*(1+$C$5))+D106</f>
        <v>906206210.92555976</v>
      </c>
      <c r="J106" s="89"/>
      <c r="K106" s="73">
        <f t="shared" ref="K106:K143" si="6">PMT($J$5,38,$P$105)</f>
        <v>-54252501.493384279</v>
      </c>
      <c r="L106" s="73">
        <f>K106/'Summary Baseline Data'!$D51</f>
        <v>-181.57098175466217</v>
      </c>
      <c r="M106" s="95">
        <f>K106/'Summary Baseline Data'!$G51</f>
        <v>-533.81868635870671</v>
      </c>
      <c r="N106" s="73">
        <f>K106/('Summary Baseline Data'!$D51-'Summary Baseline Data'!$D50)</f>
        <v>-5949.7177708377785</v>
      </c>
      <c r="O106" s="73">
        <f>K106/('Summary Baseline Data'!$G51-'Summary Baseline Data'!$G50)</f>
        <v>-17492.170246263075</v>
      </c>
      <c r="P106" s="71">
        <f t="shared" ref="P106:P143" si="7">(P105*(1+J$5))+K106</f>
        <v>1038532785.0213896</v>
      </c>
      <c r="Q106" s="89"/>
      <c r="R106" s="73">
        <f t="shared" ref="R106:R143" si="8">PMT(Q$5,38,$W$105)</f>
        <v>-70984575.825473875</v>
      </c>
      <c r="S106" s="73">
        <f>R106/'Summary Baseline Data'!$D51</f>
        <v>-237.56949020389857</v>
      </c>
      <c r="T106" s="95">
        <f>R106/'Summary Baseline Data'!$G51</f>
        <v>-698.45430119946184</v>
      </c>
      <c r="U106" s="73">
        <f>R106/('Summary Baseline Data'!$D51-'Summary Baseline Data'!$D50)</f>
        <v>-7784.6768465727782</v>
      </c>
      <c r="V106" s="73">
        <f>R106/('Summary Baseline Data'!$G51-'Summary Baseline Data'!$G50)</f>
        <v>-22886.949928923979</v>
      </c>
      <c r="W106" s="73">
        <f t="shared" si="1"/>
        <v>1186243643.3660433</v>
      </c>
      <c r="X106" s="88"/>
      <c r="Y106" s="73">
        <f t="shared" ref="Y106:Y143" si="9">PMT($X$5,38,AD$105)</f>
        <v>-116957879.29183526</v>
      </c>
      <c r="Z106" s="73">
        <f>Y106/'Summary Baseline Data'!D51</f>
        <v>-391.43184889919598</v>
      </c>
      <c r="AA106" s="95">
        <f>Y106/'Summary Baseline Data'!$G51</f>
        <v>-1150.8096357636362</v>
      </c>
      <c r="AB106" s="73">
        <f>Y106/('Summary Baseline Data'!$D51-'Summary Baseline Data'!$D50)</f>
        <v>-12826.438481311099</v>
      </c>
      <c r="AC106" s="73">
        <f>Y106/('Summary Baseline Data'!$G51-'Summary Baseline Data'!$G50)</f>
        <v>-37709.729135054651</v>
      </c>
      <c r="AD106" s="71">
        <f>(AD105*(1+$X$5))+Y106</f>
        <v>1534138443.6703112</v>
      </c>
      <c r="AE106" s="66"/>
    </row>
    <row r="107" spans="1:32" x14ac:dyDescent="0.2">
      <c r="A107" s="224">
        <v>2028</v>
      </c>
      <c r="B107" s="20">
        <v>40</v>
      </c>
      <c r="C107" s="89"/>
      <c r="D107" s="73">
        <f t="shared" si="4"/>
        <v>-40880434.259851158</v>
      </c>
      <c r="E107" s="73">
        <f>D107/'Summary Baseline Data'!D52</f>
        <v>-132.76596920840157</v>
      </c>
      <c r="F107" s="95">
        <f>D107/'Summary Baseline Data'!G52</f>
        <v>-390.33194947270061</v>
      </c>
      <c r="G107" s="73">
        <f>D107/('Summary Baseline Data'!D52-'Summary Baseline Data'!D51)</f>
        <v>-4483.2411317487695</v>
      </c>
      <c r="H107" s="73">
        <f>D107/('Summary Baseline Data'!G52-'Summary Baseline Data'!G51)</f>
        <v>-13180.72892734139</v>
      </c>
      <c r="I107" s="73">
        <f t="shared" si="5"/>
        <v>892511962.99347544</v>
      </c>
      <c r="J107" s="89"/>
      <c r="K107" s="73">
        <f t="shared" si="6"/>
        <v>-54252501.493384279</v>
      </c>
      <c r="L107" s="73">
        <f>K107/'Summary Baseline Data'!$D52</f>
        <v>-176.19396841445496</v>
      </c>
      <c r="M107" s="95">
        <f>K107/'Summary Baseline Data'!$G52</f>
        <v>-518.01026713849762</v>
      </c>
      <c r="N107" s="73">
        <f>K107/('Summary Baseline Data'!$D52-'Summary Baseline Data'!$D51)</f>
        <v>-5949.7177708377785</v>
      </c>
      <c r="O107" s="73">
        <f>K107/('Summary Baseline Data'!$G52-'Summary Baseline Data'!$G51)</f>
        <v>-17492.170246263075</v>
      </c>
      <c r="P107" s="71">
        <f t="shared" si="7"/>
        <v>1025821594.928861</v>
      </c>
      <c r="Q107" s="89"/>
      <c r="R107" s="73">
        <f t="shared" si="8"/>
        <v>-70984575.825473875</v>
      </c>
      <c r="S107" s="73">
        <f>R107/'Summary Baseline Data'!$D52</f>
        <v>-230.53414619844168</v>
      </c>
      <c r="T107" s="95">
        <f>R107/'Summary Baseline Data'!$G52</f>
        <v>-677.77038982341855</v>
      </c>
      <c r="U107" s="73">
        <f>R107/('Summary Baseline Data'!$D52-'Summary Baseline Data'!$D51)</f>
        <v>-7784.6768465727782</v>
      </c>
      <c r="V107" s="73">
        <f>R107/('Summary Baseline Data'!$G52-'Summary Baseline Data'!$G51)</f>
        <v>-22886.949928923979</v>
      </c>
      <c r="W107" s="73">
        <f t="shared" si="1"/>
        <v>1174571249.7088718</v>
      </c>
      <c r="X107" s="88"/>
      <c r="Y107" s="73">
        <f t="shared" si="9"/>
        <v>-116957879.29183526</v>
      </c>
      <c r="Z107" s="73">
        <f>Y107/'Summary Baseline Data'!$D52</f>
        <v>-379.84005018238975</v>
      </c>
      <c r="AA107" s="95">
        <f>Y107/'Summary Baseline Data'!$G52</f>
        <v>-1116.7297475362259</v>
      </c>
      <c r="AB107" s="73">
        <f>Y107/('Summary Baseline Data'!$D52-'Summary Baseline Data'!$D51)</f>
        <v>-12826.438481311099</v>
      </c>
      <c r="AC107" s="73">
        <f>Y107/('Summary Baseline Data'!$G52-'Summary Baseline Data'!$G51)</f>
        <v>-37709.729135054651</v>
      </c>
      <c r="AD107" s="71">
        <f t="shared" ref="AD107:AD143" si="10">(AD106*(1+$X$5))+Y107</f>
        <v>1524570255.4353979</v>
      </c>
      <c r="AE107" s="66"/>
    </row>
    <row r="108" spans="1:32" ht="13.5" thickBot="1" x14ac:dyDescent="0.25">
      <c r="A108" s="224">
        <v>2029</v>
      </c>
      <c r="B108" s="208">
        <v>41</v>
      </c>
      <c r="C108" s="89"/>
      <c r="D108" s="73">
        <f t="shared" si="4"/>
        <v>-40880434.259851158</v>
      </c>
      <c r="E108" s="73">
        <f>D108/'Summary Baseline Data'!D53</f>
        <v>-128.94734367461695</v>
      </c>
      <c r="F108" s="95">
        <f>D108/'Summary Baseline Data'!G53</f>
        <v>-379.1051904033738</v>
      </c>
      <c r="G108" s="73">
        <f>D108/('Summary Baseline Data'!D53-'Summary Baseline Data'!D52)</f>
        <v>-4483.2411317487695</v>
      </c>
      <c r="H108" s="73">
        <f>D108/('Summary Baseline Data'!G53-'Summary Baseline Data'!G52)</f>
        <v>-13180.72892734139</v>
      </c>
      <c r="I108" s="73">
        <f t="shared" si="5"/>
        <v>878406887.62342858</v>
      </c>
      <c r="J108" s="89"/>
      <c r="K108" s="73">
        <f t="shared" si="6"/>
        <v>-54252501.493384279</v>
      </c>
      <c r="L108" s="73">
        <f>K108/'Summary Baseline Data'!$D53</f>
        <v>-171.1262632585489</v>
      </c>
      <c r="M108" s="95">
        <f>K108/'Summary Baseline Data'!$G53</f>
        <v>-503.11121398013381</v>
      </c>
      <c r="N108" s="73">
        <f>K108/('Summary Baseline Data'!$D53-'Summary Baseline Data'!$D52)</f>
        <v>-5949.7177708377785</v>
      </c>
      <c r="O108" s="73">
        <f>K108/('Summary Baseline Data'!$G53-'Summary Baseline Data'!$G52)</f>
        <v>-17492.170246263075</v>
      </c>
      <c r="P108" s="71">
        <f t="shared" si="7"/>
        <v>1012601957.2326312</v>
      </c>
      <c r="Q108" s="89"/>
      <c r="R108" s="73">
        <f t="shared" si="8"/>
        <v>-70984575.825473875</v>
      </c>
      <c r="S108" s="73">
        <f>R108/'Summary Baseline Data'!$D53</f>
        <v>-223.90350445845806</v>
      </c>
      <c r="T108" s="95">
        <f>R108/'Summary Baseline Data'!$G53</f>
        <v>-658.27630310786674</v>
      </c>
      <c r="U108" s="73">
        <f>R108/('Summary Baseline Data'!$D53-'Summary Baseline Data'!$D52)</f>
        <v>-7784.6768465727782</v>
      </c>
      <c r="V108" s="73">
        <f>R108/('Summary Baseline Data'!$G53-'Summary Baseline Data'!$G52)</f>
        <v>-22886.949928923979</v>
      </c>
      <c r="W108" s="73">
        <f t="shared" si="1"/>
        <v>1162315236.3688416</v>
      </c>
      <c r="X108" s="88"/>
      <c r="Y108" s="73">
        <f t="shared" si="9"/>
        <v>-116957879.29183526</v>
      </c>
      <c r="Z108" s="73">
        <f>Y108/'Summary Baseline Data'!$D53</f>
        <v>-368.91505996819018</v>
      </c>
      <c r="AA108" s="95">
        <f>Y108/'Summary Baseline Data'!$G53</f>
        <v>-1084.6102763064791</v>
      </c>
      <c r="AB108" s="73">
        <f>Y108/('Summary Baseline Data'!$D53-'Summary Baseline Data'!$D52)</f>
        <v>-12826.438481311099</v>
      </c>
      <c r="AC108" s="73">
        <f>Y108/('Summary Baseline Data'!$G53-'Summary Baseline Data'!$G52)</f>
        <v>-37709.729135054651</v>
      </c>
      <c r="AD108" s="71">
        <f t="shared" si="10"/>
        <v>1514332294.0240405</v>
      </c>
      <c r="AE108" s="66"/>
    </row>
    <row r="109" spans="1:32" x14ac:dyDescent="0.2">
      <c r="A109" s="224">
        <v>2030</v>
      </c>
      <c r="B109" s="20">
        <v>42</v>
      </c>
      <c r="C109" s="89"/>
      <c r="D109" s="73">
        <f t="shared" si="4"/>
        <v>-40880434.259851158</v>
      </c>
      <c r="E109" s="73">
        <f>D109/'Summary Baseline Data'!D54</f>
        <v>-125.34224003903461</v>
      </c>
      <c r="F109" s="95">
        <f>D109/'Summary Baseline Data'!G54</f>
        <v>-368.50618571476178</v>
      </c>
      <c r="G109" s="73">
        <f>D109/('Summary Baseline Data'!D54-'Summary Baseline Data'!D53)</f>
        <v>-4483.2411317487695</v>
      </c>
      <c r="H109" s="73">
        <f>D109/('Summary Baseline Data'!G54-'Summary Baseline Data'!G53)</f>
        <v>-13180.72892734139</v>
      </c>
      <c r="I109" s="73">
        <f t="shared" si="5"/>
        <v>863878659.99228024</v>
      </c>
      <c r="J109" s="89"/>
      <c r="K109" s="73">
        <f t="shared" si="6"/>
        <v>-54252501.493384279</v>
      </c>
      <c r="L109" s="73">
        <f>K109/'Summary Baseline Data'!$D54</f>
        <v>-166.34192341690195</v>
      </c>
      <c r="M109" s="95">
        <f>K109/'Summary Baseline Data'!$G54</f>
        <v>-489.04525484569177</v>
      </c>
      <c r="N109" s="73">
        <f>K109/('Summary Baseline Data'!$D54-'Summary Baseline Data'!$D53)</f>
        <v>-5949.7177708377785</v>
      </c>
      <c r="O109" s="73">
        <f>K109/('Summary Baseline Data'!$G54-'Summary Baseline Data'!$G53)</f>
        <v>-17492.170246263075</v>
      </c>
      <c r="P109" s="71">
        <f t="shared" si="7"/>
        <v>998853534.02855229</v>
      </c>
      <c r="Q109" s="89"/>
      <c r="R109" s="73">
        <f t="shared" si="8"/>
        <v>-70984575.825473875</v>
      </c>
      <c r="S109" s="73">
        <f>R109/'Summary Baseline Data'!$D54</f>
        <v>-217.64362104449901</v>
      </c>
      <c r="T109" s="95">
        <f>R109/'Summary Baseline Data'!$G54</f>
        <v>-639.8722458708271</v>
      </c>
      <c r="U109" s="73">
        <f>R109/('Summary Baseline Data'!$D54-'Summary Baseline Data'!$D53)</f>
        <v>-7784.6768465727782</v>
      </c>
      <c r="V109" s="73">
        <f>R109/('Summary Baseline Data'!$G54-'Summary Baseline Data'!$G53)</f>
        <v>-22886.949928923979</v>
      </c>
      <c r="W109" s="73">
        <f t="shared" si="1"/>
        <v>1149446422.36181</v>
      </c>
      <c r="X109" s="88"/>
      <c r="Y109" s="73">
        <f t="shared" si="9"/>
        <v>-116957879.29183526</v>
      </c>
      <c r="Z109" s="73">
        <f>Y109/'Summary Baseline Data'!$D54</f>
        <v>-358.60095045641589</v>
      </c>
      <c r="AA109" s="95">
        <f>Y109/'Summary Baseline Data'!$G54</f>
        <v>-1054.2867943418628</v>
      </c>
      <c r="AB109" s="73">
        <f>Y109/('Summary Baseline Data'!$D54-'Summary Baseline Data'!$D53)</f>
        <v>-12826.438481311099</v>
      </c>
      <c r="AC109" s="73">
        <f>Y109/('Summary Baseline Data'!$G54-'Summary Baseline Data'!$G53)</f>
        <v>-37709.729135054651</v>
      </c>
      <c r="AD109" s="71">
        <f t="shared" si="10"/>
        <v>1503377675.3138881</v>
      </c>
      <c r="AE109" s="66"/>
    </row>
    <row r="110" spans="1:32" ht="13.5" thickBot="1" x14ac:dyDescent="0.25">
      <c r="A110" s="224">
        <v>2031</v>
      </c>
      <c r="B110" s="208">
        <v>43</v>
      </c>
      <c r="C110" s="89"/>
      <c r="D110" s="73">
        <f t="shared" si="4"/>
        <v>-40880434.259851158</v>
      </c>
      <c r="E110" s="73">
        <f>D110/'Summary Baseline Data'!D55</f>
        <v>-121.93323647534116</v>
      </c>
      <c r="F110" s="95">
        <f>D110/'Summary Baseline Data'!G55</f>
        <v>-358.48371523750302</v>
      </c>
      <c r="G110" s="73">
        <f>D110/('Summary Baseline Data'!D55-'Summary Baseline Data'!D54)</f>
        <v>-4483.2411317487695</v>
      </c>
      <c r="H110" s="73">
        <f>D110/('Summary Baseline Data'!G55-'Summary Baseline Data'!G54)</f>
        <v>-13180.728927341328</v>
      </c>
      <c r="I110" s="73">
        <f t="shared" si="5"/>
        <v>848914585.53219748</v>
      </c>
      <c r="J110" s="89"/>
      <c r="K110" s="73">
        <f t="shared" si="6"/>
        <v>-54252501.493384279</v>
      </c>
      <c r="L110" s="73">
        <f>K110/'Summary Baseline Data'!$D55</f>
        <v>-161.81782835091906</v>
      </c>
      <c r="M110" s="95">
        <f>K110/'Summary Baseline Data'!$G55</f>
        <v>-475.74441535170195</v>
      </c>
      <c r="N110" s="73">
        <f>K110/('Summary Baseline Data'!$D55-'Summary Baseline Data'!$D54)</f>
        <v>-5949.7177708377785</v>
      </c>
      <c r="O110" s="73">
        <f>K110/('Summary Baseline Data'!$G55-'Summary Baseline Data'!$G54)</f>
        <v>-17492.170246262995</v>
      </c>
      <c r="P110" s="71">
        <f t="shared" si="7"/>
        <v>984555173.89631021</v>
      </c>
      <c r="Q110" s="89"/>
      <c r="R110" s="73">
        <f t="shared" si="8"/>
        <v>-70984575.825473875</v>
      </c>
      <c r="S110" s="73">
        <f>R110/'Summary Baseline Data'!$D55</f>
        <v>-211.72424478694384</v>
      </c>
      <c r="T110" s="95">
        <f>R110/'Summary Baseline Data'!$G55</f>
        <v>-622.46927967361489</v>
      </c>
      <c r="U110" s="73">
        <f>R110/('Summary Baseline Data'!$D55-'Summary Baseline Data'!$D54)</f>
        <v>-7784.6768465727782</v>
      </c>
      <c r="V110" s="73">
        <f>R110/('Summary Baseline Data'!$G55-'Summary Baseline Data'!$G54)</f>
        <v>-22886.94992892387</v>
      </c>
      <c r="W110" s="73">
        <f t="shared" si="1"/>
        <v>1135934167.6544268</v>
      </c>
      <c r="X110" s="88"/>
      <c r="Y110" s="73">
        <f t="shared" si="9"/>
        <v>-116957879.29183526</v>
      </c>
      <c r="Z110" s="73">
        <f>Y110/'Summary Baseline Data'!$D55</f>
        <v>-348.84787824652818</v>
      </c>
      <c r="AA110" s="95">
        <f>Y110/'Summary Baseline Data'!$G55</f>
        <v>-1025.6127620447928</v>
      </c>
      <c r="AB110" s="73">
        <f>Y110/('Summary Baseline Data'!$D55-'Summary Baseline Data'!$D54)</f>
        <v>-12826.438481311099</v>
      </c>
      <c r="AC110" s="73">
        <f>Y110/('Summary Baseline Data'!$G55-'Summary Baseline Data'!$G54)</f>
        <v>-37709.729135054477</v>
      </c>
      <c r="AD110" s="71">
        <f t="shared" si="10"/>
        <v>1491656233.2940249</v>
      </c>
      <c r="AE110" s="66"/>
    </row>
    <row r="111" spans="1:32" x14ac:dyDescent="0.2">
      <c r="A111" s="224">
        <v>2032</v>
      </c>
      <c r="B111" s="20">
        <v>44</v>
      </c>
      <c r="C111" s="89"/>
      <c r="D111" s="73">
        <f t="shared" si="4"/>
        <v>-40880434.259851158</v>
      </c>
      <c r="E111" s="73">
        <f>D111/'Summary Baseline Data'!D56</f>
        <v>-118.70475629879469</v>
      </c>
      <c r="F111" s="95">
        <f>D111/'Summary Baseline Data'!G56</f>
        <v>-348.99198351845638</v>
      </c>
      <c r="G111" s="73">
        <f>D111/('Summary Baseline Data'!D56-'Summary Baseline Data'!D55)</f>
        <v>-4483.2411317487695</v>
      </c>
      <c r="H111" s="73">
        <f>D111/('Summary Baseline Data'!G56-'Summary Baseline Data'!G55)</f>
        <v>-13180.72892734139</v>
      </c>
      <c r="I111" s="73">
        <f t="shared" si="5"/>
        <v>833501588.83831215</v>
      </c>
      <c r="J111" s="89"/>
      <c r="K111" s="73">
        <f t="shared" si="6"/>
        <v>-54252501.493384279</v>
      </c>
      <c r="L111" s="73">
        <f>K111/'Summary Baseline Data'!$D56</f>
        <v>-157.53330621286858</v>
      </c>
      <c r="M111" s="95">
        <f>K111/'Summary Baseline Data'!$G56</f>
        <v>-463.14792026583359</v>
      </c>
      <c r="N111" s="73">
        <f>K111/('Summary Baseline Data'!$D56-'Summary Baseline Data'!$D55)</f>
        <v>-5949.7177708377785</v>
      </c>
      <c r="O111" s="73">
        <f>K111/('Summary Baseline Data'!$G56-'Summary Baseline Data'!$G55)</f>
        <v>-17492.170246263075</v>
      </c>
      <c r="P111" s="71">
        <f t="shared" si="7"/>
        <v>969684879.35877836</v>
      </c>
      <c r="Q111" s="89"/>
      <c r="R111" s="73">
        <f t="shared" si="8"/>
        <v>-70984575.825473875</v>
      </c>
      <c r="S111" s="73">
        <f>R111/'Summary Baseline Data'!$D56</f>
        <v>-206.11832841050816</v>
      </c>
      <c r="T111" s="95">
        <f>R111/'Summary Baseline Data'!$G56</f>
        <v>-605.98788552689393</v>
      </c>
      <c r="U111" s="73">
        <f>R111/('Summary Baseline Data'!$D56-'Summary Baseline Data'!$D55)</f>
        <v>-7784.6768465727782</v>
      </c>
      <c r="V111" s="73">
        <f>R111/('Summary Baseline Data'!$G56-'Summary Baseline Data'!$G55)</f>
        <v>-22886.949928923979</v>
      </c>
      <c r="W111" s="73">
        <f t="shared" si="1"/>
        <v>1121746300.2116745</v>
      </c>
      <c r="X111" s="88"/>
      <c r="Y111" s="73">
        <f t="shared" si="9"/>
        <v>-116957879.29183526</v>
      </c>
      <c r="Z111" s="73">
        <f>Y111/'Summary Baseline Data'!$D56</f>
        <v>-339.61127884094304</v>
      </c>
      <c r="AA111" s="95">
        <f>Y111/'Summary Baseline Data'!$G56</f>
        <v>-998.45715979237241</v>
      </c>
      <c r="AB111" s="73">
        <f>Y111/('Summary Baseline Data'!$D56-'Summary Baseline Data'!$D55)</f>
        <v>-12826.438481311099</v>
      </c>
      <c r="AC111" s="73">
        <f>Y111/('Summary Baseline Data'!$G56-'Summary Baseline Data'!$G55)</f>
        <v>-37709.729135054651</v>
      </c>
      <c r="AD111" s="71">
        <f t="shared" si="10"/>
        <v>1479114290.3327715</v>
      </c>
      <c r="AE111" s="66"/>
    </row>
    <row r="112" spans="1:32" ht="13.5" thickBot="1" x14ac:dyDescent="0.25">
      <c r="A112" s="224">
        <v>2033</v>
      </c>
      <c r="B112" s="208">
        <v>45</v>
      </c>
      <c r="C112" s="89"/>
      <c r="D112" s="73">
        <f t="shared" si="4"/>
        <v>-40880434.259851158</v>
      </c>
      <c r="E112" s="73">
        <f>D112/'Summary Baseline Data'!D57</f>
        <v>-115.64282999397791</v>
      </c>
      <c r="F112" s="95">
        <f>D112/'Summary Baseline Data'!G57</f>
        <v>-339.98992018229507</v>
      </c>
      <c r="G112" s="73">
        <f>D112/('Summary Baseline Data'!D57-'Summary Baseline Data'!D56)</f>
        <v>-4483.2411317487695</v>
      </c>
      <c r="H112" s="73">
        <f>D112/('Summary Baseline Data'!G57-'Summary Baseline Data'!G56)</f>
        <v>-13180.72892734139</v>
      </c>
      <c r="I112" s="73">
        <f t="shared" si="5"/>
        <v>817626202.24361038</v>
      </c>
      <c r="J112" s="89"/>
      <c r="K112" s="73">
        <f t="shared" si="6"/>
        <v>-54252501.493384279</v>
      </c>
      <c r="L112" s="73">
        <f>K112/'Summary Baseline Data'!$D57</f>
        <v>-153.46981803246416</v>
      </c>
      <c r="M112" s="95">
        <f>K112/'Summary Baseline Data'!$G57</f>
        <v>-451.20126501544462</v>
      </c>
      <c r="N112" s="73">
        <f>K112/('Summary Baseline Data'!$D57-'Summary Baseline Data'!$D56)</f>
        <v>-5949.7177708377785</v>
      </c>
      <c r="O112" s="73">
        <f>K112/('Summary Baseline Data'!$G57-'Summary Baseline Data'!$G56)</f>
        <v>-17492.170246263075</v>
      </c>
      <c r="P112" s="71">
        <f t="shared" si="7"/>
        <v>954219773.03974533</v>
      </c>
      <c r="Q112" s="89"/>
      <c r="R112" s="73">
        <f t="shared" si="8"/>
        <v>-70984575.825473875</v>
      </c>
      <c r="S112" s="73">
        <f>R112/'Summary Baseline Data'!$D57</f>
        <v>-200.80161532045813</v>
      </c>
      <c r="T112" s="95">
        <f>R112/'Summary Baseline Data'!$G57</f>
        <v>-590.35674904214693</v>
      </c>
      <c r="U112" s="73">
        <f>R112/('Summary Baseline Data'!$D57-'Summary Baseline Data'!$D56)</f>
        <v>-7784.6768465727782</v>
      </c>
      <c r="V112" s="73">
        <f>R112/('Summary Baseline Data'!$G57-'Summary Baseline Data'!$G56)</f>
        <v>-22886.949928923979</v>
      </c>
      <c r="W112" s="73">
        <f t="shared" si="1"/>
        <v>1106849039.3967845</v>
      </c>
      <c r="X112" s="88"/>
      <c r="Y112" s="73">
        <f t="shared" si="9"/>
        <v>-116957879.29183526</v>
      </c>
      <c r="Z112" s="73">
        <f>Y112/'Summary Baseline Data'!$D57</f>
        <v>-330.85118581250464</v>
      </c>
      <c r="AA112" s="95">
        <f>Y112/'Summary Baseline Data'!$G57</f>
        <v>-972.70248628876357</v>
      </c>
      <c r="AB112" s="73">
        <f>Y112/('Summary Baseline Data'!$D57-'Summary Baseline Data'!$D56)</f>
        <v>-12826.438481311099</v>
      </c>
      <c r="AC112" s="73">
        <f>Y112/('Summary Baseline Data'!$G57-'Summary Baseline Data'!$G56)</f>
        <v>-37709.729135054651</v>
      </c>
      <c r="AD112" s="71">
        <f t="shared" si="10"/>
        <v>1465694411.3642304</v>
      </c>
      <c r="AE112" s="66"/>
    </row>
    <row r="113" spans="1:31" x14ac:dyDescent="0.2">
      <c r="A113" s="224">
        <v>2034</v>
      </c>
      <c r="B113" s="20">
        <v>46</v>
      </c>
      <c r="C113" s="89"/>
      <c r="D113" s="73">
        <f t="shared" si="4"/>
        <v>-40880434.259851158</v>
      </c>
      <c r="E113" s="73">
        <f>D113/'Summary Baseline Data'!D58</f>
        <v>-112.73489314663283</v>
      </c>
      <c r="F113" s="95">
        <f>D113/'Summary Baseline Data'!G58</f>
        <v>-331.44058585110054</v>
      </c>
      <c r="G113" s="73">
        <f>D113/('Summary Baseline Data'!D58-'Summary Baseline Data'!D57)</f>
        <v>-4483.2411317487695</v>
      </c>
      <c r="H113" s="73">
        <f>D113/('Summary Baseline Data'!G58-'Summary Baseline Data'!G57)</f>
        <v>-13180.72892734139</v>
      </c>
      <c r="I113" s="73">
        <f t="shared" si="5"/>
        <v>801274554.05106759</v>
      </c>
      <c r="J113" s="89"/>
      <c r="K113" s="73">
        <f t="shared" si="6"/>
        <v>-54252501.493384279</v>
      </c>
      <c r="L113" s="73">
        <f>K113/'Summary Baseline Data'!$D58</f>
        <v>-149.61068955182091</v>
      </c>
      <c r="M113" s="95">
        <f>K113/'Summary Baseline Data'!$G58</f>
        <v>-439.85542728235345</v>
      </c>
      <c r="N113" s="73">
        <f>K113/('Summary Baseline Data'!$D58-'Summary Baseline Data'!$D57)</f>
        <v>-5949.7177708377785</v>
      </c>
      <c r="O113" s="73">
        <f>K113/('Summary Baseline Data'!$G58-'Summary Baseline Data'!$G57)</f>
        <v>-17492.170246263075</v>
      </c>
      <c r="P113" s="71">
        <f t="shared" si="7"/>
        <v>938136062.46795094</v>
      </c>
      <c r="Q113" s="89"/>
      <c r="R113" s="73">
        <f t="shared" si="8"/>
        <v>-70984575.825473875</v>
      </c>
      <c r="S113" s="73">
        <f>R113/'Summary Baseline Data'!$D58</f>
        <v>-195.75228873248739</v>
      </c>
      <c r="T113" s="95">
        <f>R113/'Summary Baseline Data'!$G58</f>
        <v>-575.51172887351288</v>
      </c>
      <c r="U113" s="73">
        <f>R113/('Summary Baseline Data'!$D58-'Summary Baseline Data'!$D57)</f>
        <v>-7784.6768465727782</v>
      </c>
      <c r="V113" s="73">
        <f>R113/('Summary Baseline Data'!$G58-'Summary Baseline Data'!$G57)</f>
        <v>-22886.949928923979</v>
      </c>
      <c r="W113" s="73">
        <f t="shared" si="1"/>
        <v>1091206915.5411501</v>
      </c>
      <c r="X113" s="88"/>
      <c r="Y113" s="73">
        <f t="shared" si="9"/>
        <v>-116957879.29183526</v>
      </c>
      <c r="Z113" s="73">
        <f>Y113/'Summary Baseline Data'!$D58</f>
        <v>-322.53165269262075</v>
      </c>
      <c r="AA113" s="95">
        <f>Y113/'Summary Baseline Data'!$G58</f>
        <v>-948.24305891630502</v>
      </c>
      <c r="AB113" s="73">
        <f>Y113/('Summary Baseline Data'!$D58-'Summary Baseline Data'!$D57)</f>
        <v>-12826.438481311099</v>
      </c>
      <c r="AC113" s="73">
        <f>Y113/('Summary Baseline Data'!$G58-'Summary Baseline Data'!$G57)</f>
        <v>-37709.729135054651</v>
      </c>
      <c r="AD113" s="71">
        <f t="shared" si="10"/>
        <v>1451335140.8678913</v>
      </c>
      <c r="AE113" s="66"/>
    </row>
    <row r="114" spans="1:31" ht="13.5" thickBot="1" x14ac:dyDescent="0.25">
      <c r="A114" s="224">
        <v>2035</v>
      </c>
      <c r="B114" s="208">
        <v>47</v>
      </c>
      <c r="C114" s="89"/>
      <c r="D114" s="73">
        <f t="shared" si="4"/>
        <v>-40880434.259851158</v>
      </c>
      <c r="E114" s="73">
        <f>D114/'Summary Baseline Data'!D59</f>
        <v>-109.96961411472753</v>
      </c>
      <c r="F114" s="95">
        <f>D114/'Summary Baseline Data'!G59</f>
        <v>-323.31066549729894</v>
      </c>
      <c r="G114" s="73">
        <f>D114/('Summary Baseline Data'!D59-'Summary Baseline Data'!D58)</f>
        <v>-4483.2411317487695</v>
      </c>
      <c r="H114" s="73">
        <f>D114/('Summary Baseline Data'!G59-'Summary Baseline Data'!G58)</f>
        <v>-13180.72892734139</v>
      </c>
      <c r="I114" s="73">
        <f t="shared" si="5"/>
        <v>784432356.41274858</v>
      </c>
      <c r="J114" s="89"/>
      <c r="K114" s="73">
        <f t="shared" si="6"/>
        <v>-54252501.493384279</v>
      </c>
      <c r="L114" s="73">
        <f>K114/'Summary Baseline Data'!$D59</f>
        <v>-145.94088252740275</v>
      </c>
      <c r="M114" s="95">
        <f>K114/'Summary Baseline Data'!$G59</f>
        <v>-429.06619463056404</v>
      </c>
      <c r="N114" s="73">
        <f>K114/('Summary Baseline Data'!$D59-'Summary Baseline Data'!$D58)</f>
        <v>-5949.7177708377785</v>
      </c>
      <c r="O114" s="73">
        <f>K114/('Summary Baseline Data'!$G59-'Summary Baseline Data'!$G58)</f>
        <v>-17492.170246263075</v>
      </c>
      <c r="P114" s="71">
        <f t="shared" si="7"/>
        <v>921409003.47328472</v>
      </c>
      <c r="Q114" s="89"/>
      <c r="R114" s="73">
        <f t="shared" si="8"/>
        <v>-70984575.825473875</v>
      </c>
      <c r="S114" s="73">
        <f>R114/'Summary Baseline Data'!$D59</f>
        <v>-190.95067244164349</v>
      </c>
      <c r="T114" s="95">
        <f>R114/'Summary Baseline Data'!$G59</f>
        <v>-561.39497697843183</v>
      </c>
      <c r="U114" s="73">
        <f>R114/('Summary Baseline Data'!$D59-'Summary Baseline Data'!$D58)</f>
        <v>-7784.6768465727782</v>
      </c>
      <c r="V114" s="73">
        <f>R114/('Summary Baseline Data'!$G59-'Summary Baseline Data'!$G58)</f>
        <v>-22886.949928923979</v>
      </c>
      <c r="W114" s="73">
        <f t="shared" si="1"/>
        <v>1074782685.492734</v>
      </c>
      <c r="X114" s="88"/>
      <c r="Y114" s="73">
        <f t="shared" si="9"/>
        <v>-116957879.29183526</v>
      </c>
      <c r="Z114" s="73">
        <f>Y114/'Summary Baseline Data'!$D59</f>
        <v>-314.62025994258198</v>
      </c>
      <c r="AA114" s="95">
        <f>Y114/'Summary Baseline Data'!$G59</f>
        <v>-924.98356423119105</v>
      </c>
      <c r="AB114" s="73">
        <f>Y114/('Summary Baseline Data'!$D59-'Summary Baseline Data'!$D58)</f>
        <v>-12826.438481311099</v>
      </c>
      <c r="AC114" s="73">
        <f>Y114/('Summary Baseline Data'!$G59-'Summary Baseline Data'!$G58)</f>
        <v>-37709.729135054651</v>
      </c>
      <c r="AD114" s="71">
        <f t="shared" si="10"/>
        <v>1435970721.4368086</v>
      </c>
      <c r="AE114" s="66"/>
    </row>
    <row r="115" spans="1:31" x14ac:dyDescent="0.2">
      <c r="A115" s="224">
        <v>2036</v>
      </c>
      <c r="B115" s="20">
        <v>48</v>
      </c>
      <c r="C115" s="89"/>
      <c r="D115" s="73">
        <f t="shared" si="4"/>
        <v>-40880434.259851158</v>
      </c>
      <c r="E115" s="73">
        <f>D115/'Summary Baseline Data'!D60</f>
        <v>-107.06577996081758</v>
      </c>
      <c r="F115" s="95">
        <f>D115/'Summary Baseline Data'!G60</f>
        <v>-314.77339308480367</v>
      </c>
      <c r="G115" s="73">
        <f>D115/('Summary Baseline Data'!D60-'Summary Baseline Data'!D59)</f>
        <v>-4054.6332480214101</v>
      </c>
      <c r="H115" s="73">
        <f>D115/('Summary Baseline Data'!G60-'Summary Baseline Data'!G59)</f>
        <v>-11920.62174918297</v>
      </c>
      <c r="I115" s="73">
        <f t="shared" si="5"/>
        <v>767084892.84527993</v>
      </c>
      <c r="J115" s="89"/>
      <c r="K115" s="73">
        <f t="shared" si="6"/>
        <v>-54252501.493384279</v>
      </c>
      <c r="L115" s="73">
        <f>K115/'Summary Baseline Data'!$D60</f>
        <v>-142.08719873896362</v>
      </c>
      <c r="M115" s="95">
        <f>K115/'Summary Baseline Data'!$G60</f>
        <v>-417.73636429255305</v>
      </c>
      <c r="N115" s="73">
        <f>K115/('Summary Baseline Data'!$D60-'Summary Baseline Data'!$D59)</f>
        <v>-5380.9114390803934</v>
      </c>
      <c r="O115" s="73">
        <f>K115/('Summary Baseline Data'!$G60-'Summary Baseline Data'!$G59)</f>
        <v>-15819.879630896388</v>
      </c>
      <c r="P115" s="71">
        <f t="shared" si="7"/>
        <v>904012862.11883187</v>
      </c>
      <c r="Q115" s="89"/>
      <c r="R115" s="73">
        <f t="shared" si="8"/>
        <v>-70984575.825473875</v>
      </c>
      <c r="S115" s="73">
        <f>R115/'Summary Baseline Data'!$D60</f>
        <v>-185.90846974945583</v>
      </c>
      <c r="T115" s="95">
        <f>R115/'Summary Baseline Data'!$G60</f>
        <v>-546.57090106340013</v>
      </c>
      <c r="U115" s="73">
        <f>R115/('Summary Baseline Data'!$D60-'Summary Baseline Data'!$D59)</f>
        <v>-7040.4443213395334</v>
      </c>
      <c r="V115" s="73">
        <f>R115/('Summary Baseline Data'!$G60-'Summary Baseline Data'!$G59)</f>
        <v>-20698.906304738273</v>
      </c>
      <c r="W115" s="73">
        <f t="shared" si="1"/>
        <v>1057537243.9418968</v>
      </c>
      <c r="X115" s="88"/>
      <c r="Y115" s="73">
        <f t="shared" si="9"/>
        <v>-116957879.29183526</v>
      </c>
      <c r="Z115" s="73">
        <f>Y115/'Summary Baseline Data'!$D60</f>
        <v>-306.31246452392969</v>
      </c>
      <c r="AA115" s="95">
        <f>Y115/'Summary Baseline Data'!$G60</f>
        <v>-900.55864570035328</v>
      </c>
      <c r="AB115" s="73">
        <f>Y115/('Summary Baseline Data'!$D60-'Summary Baseline Data'!$D59)</f>
        <v>-11600.202262540168</v>
      </c>
      <c r="AC115" s="73">
        <f>Y115/('Summary Baseline Data'!$G60-'Summary Baseline Data'!$G59)</f>
        <v>-34104.594651868167</v>
      </c>
      <c r="AD115" s="71">
        <f t="shared" si="10"/>
        <v>1419530792.64555</v>
      </c>
      <c r="AE115" s="66"/>
    </row>
    <row r="116" spans="1:31" ht="13.5" thickBot="1" x14ac:dyDescent="0.25">
      <c r="A116" s="224">
        <v>2037</v>
      </c>
      <c r="B116" s="208">
        <v>49</v>
      </c>
      <c r="C116" s="89"/>
      <c r="D116" s="73">
        <f t="shared" si="4"/>
        <v>-40880434.259851158</v>
      </c>
      <c r="E116" s="73">
        <f>D116/'Summary Baseline Data'!D61</f>
        <v>-104.31135654827781</v>
      </c>
      <c r="F116" s="95">
        <f>D116/'Summary Baseline Data'!G61</f>
        <v>-306.67538825193679</v>
      </c>
      <c r="G116" s="73">
        <f>D116/('Summary Baseline Data'!D61-'Summary Baseline Data'!D60)</f>
        <v>-4054.6332480214101</v>
      </c>
      <c r="H116" s="73">
        <f>D116/('Summary Baseline Data'!G61-'Summary Baseline Data'!G60)</f>
        <v>-11920.62174918297</v>
      </c>
      <c r="I116" s="73">
        <f t="shared" si="5"/>
        <v>749217005.37078714</v>
      </c>
      <c r="J116" s="89"/>
      <c r="K116" s="73">
        <f t="shared" si="6"/>
        <v>-54252501.493384279</v>
      </c>
      <c r="L116" s="73">
        <f>K116/'Summary Baseline Data'!$D61</f>
        <v>-138.43179822750216</v>
      </c>
      <c r="M116" s="95">
        <f>K116/'Summary Baseline Data'!$G61</f>
        <v>-406.98948678885642</v>
      </c>
      <c r="N116" s="73">
        <f>K116/('Summary Baseline Data'!$D61-'Summary Baseline Data'!$D60)</f>
        <v>-5380.9114390803934</v>
      </c>
      <c r="O116" s="73">
        <f>K116/('Summary Baseline Data'!$G61-'Summary Baseline Data'!$G60)</f>
        <v>-15819.879630896388</v>
      </c>
      <c r="P116" s="71">
        <f t="shared" si="7"/>
        <v>885920875.11020088</v>
      </c>
      <c r="Q116" s="89"/>
      <c r="R116" s="73">
        <f t="shared" si="8"/>
        <v>-70984575.825473875</v>
      </c>
      <c r="S116" s="73">
        <f>R116/'Summary Baseline Data'!$D61</f>
        <v>-181.12570310025436</v>
      </c>
      <c r="T116" s="95">
        <f>R116/'Summary Baseline Data'!$G61</f>
        <v>-532.50956711474782</v>
      </c>
      <c r="U116" s="73">
        <f>R116/('Summary Baseline Data'!$D61-'Summary Baseline Data'!$D60)</f>
        <v>-7040.4443213395334</v>
      </c>
      <c r="V116" s="73">
        <f>R116/('Summary Baseline Data'!$G61-'Summary Baseline Data'!$G60)</f>
        <v>-20698.906304738273</v>
      </c>
      <c r="W116" s="73">
        <f t="shared" si="1"/>
        <v>1039429530.3135177</v>
      </c>
      <c r="X116" s="88"/>
      <c r="Y116" s="73">
        <f t="shared" si="9"/>
        <v>-116957879.29183526</v>
      </c>
      <c r="Z116" s="73">
        <f>Y116/'Summary Baseline Data'!$D61</f>
        <v>-298.43212942389829</v>
      </c>
      <c r="AA116" s="95">
        <f>Y116/'Summary Baseline Data'!$G61</f>
        <v>-877.39046050626109</v>
      </c>
      <c r="AB116" s="73">
        <f>Y116/('Summary Baseline Data'!$D61-'Summary Baseline Data'!$D60)</f>
        <v>-11600.202262540168</v>
      </c>
      <c r="AC116" s="73">
        <f>Y116/('Summary Baseline Data'!$G61-'Summary Baseline Data'!$G60)</f>
        <v>-34104.594651868167</v>
      </c>
      <c r="AD116" s="71">
        <f t="shared" si="10"/>
        <v>1401940068.8389032</v>
      </c>
      <c r="AE116" s="66"/>
    </row>
    <row r="117" spans="1:31" x14ac:dyDescent="0.2">
      <c r="A117" s="224">
        <v>2038</v>
      </c>
      <c r="B117" s="20">
        <v>50</v>
      </c>
      <c r="C117" s="89"/>
      <c r="D117" s="73">
        <f t="shared" si="4"/>
        <v>-40880434.259851158</v>
      </c>
      <c r="E117" s="73">
        <f>D117/'Summary Baseline Data'!D62</f>
        <v>-101.69510167126251</v>
      </c>
      <c r="F117" s="95">
        <f>D117/'Summary Baseline Data'!G62</f>
        <v>-298.98359891351174</v>
      </c>
      <c r="G117" s="73">
        <f>D117/('Summary Baseline Data'!D62-'Summary Baseline Data'!D61)</f>
        <v>-4054.6332480214101</v>
      </c>
      <c r="H117" s="73">
        <f>D117/('Summary Baseline Data'!G62-'Summary Baseline Data'!G61)</f>
        <v>-11920.62174918287</v>
      </c>
      <c r="I117" s="73">
        <f t="shared" si="5"/>
        <v>730813081.27205968</v>
      </c>
      <c r="J117" s="89"/>
      <c r="K117" s="73">
        <f t="shared" si="6"/>
        <v>-54252501.493384279</v>
      </c>
      <c r="L117" s="73">
        <f>K117/'Summary Baseline Data'!$D62</f>
        <v>-134.9597614404139</v>
      </c>
      <c r="M117" s="95">
        <f>K117/'Summary Baseline Data'!$G62</f>
        <v>-396.78169863481685</v>
      </c>
      <c r="N117" s="73">
        <f>K117/('Summary Baseline Data'!$D62-'Summary Baseline Data'!$D61)</f>
        <v>-5380.9114390803934</v>
      </c>
      <c r="O117" s="73">
        <f>K117/('Summary Baseline Data'!$G62-'Summary Baseline Data'!$G61)</f>
        <v>-15819.879630896256</v>
      </c>
      <c r="P117" s="71">
        <f t="shared" si="7"/>
        <v>867105208.62122476</v>
      </c>
      <c r="Q117" s="89"/>
      <c r="R117" s="73">
        <f t="shared" si="8"/>
        <v>-70984575.825473875</v>
      </c>
      <c r="S117" s="73">
        <f>R117/'Summary Baseline Data'!$D62</f>
        <v>-176.5828515856204</v>
      </c>
      <c r="T117" s="95">
        <f>R117/'Summary Baseline Data'!$G62</f>
        <v>-519.15358366172393</v>
      </c>
      <c r="U117" s="73">
        <f>R117/('Summary Baseline Data'!$D62-'Summary Baseline Data'!$D61)</f>
        <v>-7040.4443213395334</v>
      </c>
      <c r="V117" s="73">
        <f>R117/('Summary Baseline Data'!$G62-'Summary Baseline Data'!$G61)</f>
        <v>-20698.906304738095</v>
      </c>
      <c r="W117" s="73">
        <f t="shared" si="1"/>
        <v>1020416431.0037197</v>
      </c>
      <c r="X117" s="88"/>
      <c r="Y117" s="73">
        <f t="shared" si="9"/>
        <v>-116957879.29183526</v>
      </c>
      <c r="Z117" s="73">
        <f>Y117/'Summary Baseline Data'!$D62</f>
        <v>-290.94709097842497</v>
      </c>
      <c r="AA117" s="95">
        <f>Y117/'Summary Baseline Data'!$G62</f>
        <v>-855.38444747656933</v>
      </c>
      <c r="AB117" s="73">
        <f>Y117/('Summary Baseline Data'!$D62-'Summary Baseline Data'!$D61)</f>
        <v>-11600.202262540168</v>
      </c>
      <c r="AC117" s="73">
        <f>Y117/('Summary Baseline Data'!$G62-'Summary Baseline Data'!$G61)</f>
        <v>-34104.594651867876</v>
      </c>
      <c r="AD117" s="71">
        <f t="shared" si="10"/>
        <v>1383117994.3657911</v>
      </c>
      <c r="AE117" s="66"/>
    </row>
    <row r="118" spans="1:31" ht="13.5" thickBot="1" x14ac:dyDescent="0.25">
      <c r="A118" s="224">
        <v>2039</v>
      </c>
      <c r="B118" s="208">
        <v>51</v>
      </c>
      <c r="C118" s="89"/>
      <c r="D118" s="73">
        <f t="shared" si="4"/>
        <v>-40880434.259851158</v>
      </c>
      <c r="E118" s="73">
        <f>D118/'Summary Baseline Data'!D63</f>
        <v>-99.206873400102666</v>
      </c>
      <c r="F118" s="95">
        <f>D118/'Summary Baseline Data'!G63</f>
        <v>-291.66820779630183</v>
      </c>
      <c r="G118" s="73">
        <f>D118/('Summary Baseline Data'!D63-'Summary Baseline Data'!D62)</f>
        <v>-4054.6332480214101</v>
      </c>
      <c r="H118" s="73">
        <f>D118/('Summary Baseline Data'!G63-'Summary Baseline Data'!G62)</f>
        <v>-11920.62174918297</v>
      </c>
      <c r="I118" s="73">
        <f t="shared" si="5"/>
        <v>711857039.45037031</v>
      </c>
      <c r="J118" s="89"/>
      <c r="K118" s="73">
        <f t="shared" si="6"/>
        <v>-54252501.493384279</v>
      </c>
      <c r="L118" s="73">
        <f>K118/'Summary Baseline Data'!$D63</f>
        <v>-131.65762900368591</v>
      </c>
      <c r="M118" s="95">
        <f>K118/'Summary Baseline Data'!$G63</f>
        <v>-387.07342927083658</v>
      </c>
      <c r="N118" s="73">
        <f>K118/('Summary Baseline Data'!$D63-'Summary Baseline Data'!$D62)</f>
        <v>-5380.9114390803934</v>
      </c>
      <c r="O118" s="73">
        <f>K118/('Summary Baseline Data'!$G63-'Summary Baseline Data'!$G62)</f>
        <v>-15819.879630896388</v>
      </c>
      <c r="P118" s="71">
        <f t="shared" si="7"/>
        <v>847536915.47268951</v>
      </c>
      <c r="Q118" s="89"/>
      <c r="R118" s="73">
        <f t="shared" si="8"/>
        <v>-70984575.825473875</v>
      </c>
      <c r="S118" s="73">
        <f>R118/'Summary Baseline Data'!$D63</f>
        <v>-172.26230481103053</v>
      </c>
      <c r="T118" s="95">
        <f>R118/'Summary Baseline Data'!$G63</f>
        <v>-506.45117614442972</v>
      </c>
      <c r="U118" s="73">
        <f>R118/('Summary Baseline Data'!$D63-'Summary Baseline Data'!$D62)</f>
        <v>-7040.4443213395334</v>
      </c>
      <c r="V118" s="73">
        <f>R118/('Summary Baseline Data'!$G63-'Summary Baseline Data'!$G62)</f>
        <v>-20698.906304738273</v>
      </c>
      <c r="W118" s="73">
        <f t="shared" si="1"/>
        <v>1000452676.7284318</v>
      </c>
      <c r="X118" s="88"/>
      <c r="Y118" s="73">
        <f t="shared" si="9"/>
        <v>-116957879.29183526</v>
      </c>
      <c r="Z118" s="73">
        <f>Y118/'Summary Baseline Data'!$D63</f>
        <v>-283.82833338551325</v>
      </c>
      <c r="AA118" s="95">
        <f>Y118/'Summary Baseline Data'!$G63</f>
        <v>-834.45530015340887</v>
      </c>
      <c r="AB118" s="73">
        <f>Y118/('Summary Baseline Data'!$D63-'Summary Baseline Data'!$D62)</f>
        <v>-11600.202262540168</v>
      </c>
      <c r="AC118" s="73">
        <f>Y118/('Summary Baseline Data'!$G63-'Summary Baseline Data'!$G62)</f>
        <v>-34104.594651868167</v>
      </c>
      <c r="AD118" s="71">
        <f t="shared" si="10"/>
        <v>1362978374.6795611</v>
      </c>
      <c r="AE118" s="66"/>
    </row>
    <row r="119" spans="1:31" x14ac:dyDescent="0.2">
      <c r="A119" s="224">
        <v>2040</v>
      </c>
      <c r="B119" s="20">
        <v>52</v>
      </c>
      <c r="C119" s="89"/>
      <c r="D119" s="73">
        <f t="shared" si="4"/>
        <v>-40880434.259851158</v>
      </c>
      <c r="E119" s="73">
        <f>D119/'Summary Baseline Data'!D64</f>
        <v>-96.837498690886392</v>
      </c>
      <c r="F119" s="95">
        <f>D119/'Summary Baseline Data'!G64</f>
        <v>-284.702246151206</v>
      </c>
      <c r="G119" s="73">
        <f>D119/('Summary Baseline Data'!D64-'Summary Baseline Data'!D63)</f>
        <v>-4054.6332480214101</v>
      </c>
      <c r="H119" s="73">
        <f>D119/('Summary Baseline Data'!G64-'Summary Baseline Data'!G63)</f>
        <v>-11920.62174918297</v>
      </c>
      <c r="I119" s="73">
        <f t="shared" si="5"/>
        <v>692332316.37403035</v>
      </c>
      <c r="J119" s="89"/>
      <c r="K119" s="73">
        <f t="shared" si="6"/>
        <v>-54252501.493384279</v>
      </c>
      <c r="L119" s="73">
        <f>K119/'Summary Baseline Data'!$D64</f>
        <v>-128.51322735342293</v>
      </c>
      <c r="M119" s="95">
        <f>K119/'Summary Baseline Data'!$G64</f>
        <v>-377.8288884190635</v>
      </c>
      <c r="N119" s="73">
        <f>K119/('Summary Baseline Data'!$D64-'Summary Baseline Data'!$D63)</f>
        <v>-5380.9114390803934</v>
      </c>
      <c r="O119" s="73">
        <f>K119/('Summary Baseline Data'!$G64-'Summary Baseline Data'!$G63)</f>
        <v>-15819.879630896388</v>
      </c>
      <c r="P119" s="71">
        <f t="shared" si="7"/>
        <v>827185890.59821284</v>
      </c>
      <c r="Q119" s="89"/>
      <c r="R119" s="73">
        <f t="shared" si="8"/>
        <v>-70984575.825473875</v>
      </c>
      <c r="S119" s="73">
        <f>R119/'Summary Baseline Data'!$D64</f>
        <v>-168.14813475020753</v>
      </c>
      <c r="T119" s="95">
        <f>R119/'Summary Baseline Data'!$G64</f>
        <v>-494.35551616561014</v>
      </c>
      <c r="U119" s="73">
        <f>R119/('Summary Baseline Data'!$D64-'Summary Baseline Data'!$D63)</f>
        <v>-7040.4443213395334</v>
      </c>
      <c r="V119" s="73">
        <f>R119/('Summary Baseline Data'!$G64-'Summary Baseline Data'!$G63)</f>
        <v>-20698.906304738273</v>
      </c>
      <c r="W119" s="73">
        <f t="shared" si="1"/>
        <v>979490734.73937953</v>
      </c>
      <c r="X119" s="88"/>
      <c r="Y119" s="73">
        <f t="shared" si="9"/>
        <v>-116957879.29183526</v>
      </c>
      <c r="Z119" s="73">
        <f>Y119/'Summary Baseline Data'!$D64</f>
        <v>-277.04961280059513</v>
      </c>
      <c r="AA119" s="95">
        <f>Y119/'Summary Baseline Data'!$G64</f>
        <v>-814.52586163374963</v>
      </c>
      <c r="AB119" s="73">
        <f>Y119/('Summary Baseline Data'!$D64-'Summary Baseline Data'!$D63)</f>
        <v>-11600.202262540168</v>
      </c>
      <c r="AC119" s="73">
        <f>Y119/('Summary Baseline Data'!$G64-'Summary Baseline Data'!$G63)</f>
        <v>-34104.594651868167</v>
      </c>
      <c r="AD119" s="71">
        <f t="shared" si="10"/>
        <v>1341428981.6152952</v>
      </c>
      <c r="AE119" s="66"/>
    </row>
    <row r="120" spans="1:31" ht="13.5" thickBot="1" x14ac:dyDescent="0.25">
      <c r="A120" s="224">
        <v>2041</v>
      </c>
      <c r="B120" s="208">
        <v>53</v>
      </c>
      <c r="C120" s="89"/>
      <c r="D120" s="73">
        <f t="shared" si="4"/>
        <v>-40880434.259851158</v>
      </c>
      <c r="E120" s="73">
        <f>D120/'Summary Baseline Data'!D65</f>
        <v>-94.578660383972192</v>
      </c>
      <c r="F120" s="95">
        <f>D120/'Summary Baseline Data'!G65</f>
        <v>-278.06126152887828</v>
      </c>
      <c r="G120" s="73">
        <f>D120/('Summary Baseline Data'!D65-'Summary Baseline Data'!D64)</f>
        <v>-4054.6332480214101</v>
      </c>
      <c r="H120" s="73">
        <f>D120/('Summary Baseline Data'!G65-'Summary Baseline Data'!G64)</f>
        <v>-11920.62174918297</v>
      </c>
      <c r="I120" s="73">
        <f t="shared" si="5"/>
        <v>672221851.60540009</v>
      </c>
      <c r="J120" s="89"/>
      <c r="K120" s="73">
        <f t="shared" si="6"/>
        <v>-54252501.493384279</v>
      </c>
      <c r="L120" s="73">
        <f>K120/'Summary Baseline Data'!$D65</f>
        <v>-125.51551877136097</v>
      </c>
      <c r="M120" s="95">
        <f>K120/'Summary Baseline Data'!$G65</f>
        <v>-369.01562518780128</v>
      </c>
      <c r="N120" s="73">
        <f>K120/('Summary Baseline Data'!$D65-'Summary Baseline Data'!$D64)</f>
        <v>-5380.9114390803934</v>
      </c>
      <c r="O120" s="73">
        <f>K120/('Summary Baseline Data'!$G65-'Summary Baseline Data'!$G64)</f>
        <v>-15819.879630896388</v>
      </c>
      <c r="P120" s="71">
        <f t="shared" si="7"/>
        <v>806020824.72875714</v>
      </c>
      <c r="Q120" s="89"/>
      <c r="R120" s="73">
        <f t="shared" si="8"/>
        <v>-70984575.825473875</v>
      </c>
      <c r="S120" s="73">
        <f>R120/'Summary Baseline Data'!$D65</f>
        <v>-164.22589952992001</v>
      </c>
      <c r="T120" s="95">
        <f>R120/'Summary Baseline Data'!$G65</f>
        <v>-482.82414461796492</v>
      </c>
      <c r="U120" s="73">
        <f>R120/('Summary Baseline Data'!$D65-'Summary Baseline Data'!$D64)</f>
        <v>-7040.4443213395334</v>
      </c>
      <c r="V120" s="73">
        <f>R120/('Summary Baseline Data'!$G65-'Summary Baseline Data'!$G64)</f>
        <v>-20698.906304738273</v>
      </c>
      <c r="W120" s="73">
        <f t="shared" si="1"/>
        <v>957480695.65087461</v>
      </c>
      <c r="X120" s="88"/>
      <c r="Y120" s="73">
        <f t="shared" si="9"/>
        <v>-116957879.29183526</v>
      </c>
      <c r="Z120" s="73">
        <f>Y120/'Summary Baseline Data'!$D65</f>
        <v>-270.58713404216115</v>
      </c>
      <c r="AA120" s="95">
        <f>Y120/'Summary Baseline Data'!$G65</f>
        <v>-795.52617408395383</v>
      </c>
      <c r="AB120" s="73">
        <f>Y120/('Summary Baseline Data'!$D65-'Summary Baseline Data'!$D64)</f>
        <v>-11600.202262540168</v>
      </c>
      <c r="AC120" s="73">
        <f>Y120/('Summary Baseline Data'!$G65-'Summary Baseline Data'!$G64)</f>
        <v>-34104.594651868167</v>
      </c>
      <c r="AD120" s="71">
        <f t="shared" si="10"/>
        <v>1318371131.0365305</v>
      </c>
      <c r="AE120" s="66"/>
    </row>
    <row r="121" spans="1:31" x14ac:dyDescent="0.2">
      <c r="A121" s="224">
        <v>2042</v>
      </c>
      <c r="B121" s="20">
        <v>54</v>
      </c>
      <c r="C121" s="89"/>
      <c r="D121" s="73">
        <f t="shared" si="4"/>
        <v>-40880434.259851158</v>
      </c>
      <c r="E121" s="73">
        <f>D121/'Summary Baseline Data'!D66</f>
        <v>-92.422799657286745</v>
      </c>
      <c r="F121" s="95">
        <f>D121/'Summary Baseline Data'!G66</f>
        <v>-271.72303099242299</v>
      </c>
      <c r="G121" s="73">
        <f>D121/('Summary Baseline Data'!D66-'Summary Baseline Data'!D65)</f>
        <v>-4054.6332480214101</v>
      </c>
      <c r="H121" s="73">
        <f>D121/('Summary Baseline Data'!G66-'Summary Baseline Data'!G65)</f>
        <v>-11920.62174918287</v>
      </c>
      <c r="I121" s="73">
        <f t="shared" si="5"/>
        <v>651508072.89371085</v>
      </c>
      <c r="J121" s="89"/>
      <c r="K121" s="73">
        <f t="shared" si="6"/>
        <v>-54252501.493384279</v>
      </c>
      <c r="L121" s="73">
        <f>K121/'Summary Baseline Data'!$D66</f>
        <v>-122.65447193045452</v>
      </c>
      <c r="M121" s="95">
        <f>K121/'Summary Baseline Data'!$G66</f>
        <v>-360.60414747553625</v>
      </c>
      <c r="N121" s="73">
        <f>K121/('Summary Baseline Data'!$D66-'Summary Baseline Data'!$D65)</f>
        <v>-5380.9114390803934</v>
      </c>
      <c r="O121" s="73">
        <f>K121/('Summary Baseline Data'!$G66-'Summary Baseline Data'!$G65)</f>
        <v>-15819.879630896256</v>
      </c>
      <c r="P121" s="71">
        <f t="shared" si="7"/>
        <v>784009156.22452319</v>
      </c>
      <c r="Q121" s="89"/>
      <c r="R121" s="73">
        <f t="shared" si="8"/>
        <v>-70984575.825473875</v>
      </c>
      <c r="S121" s="73">
        <f>R121/'Summary Baseline Data'!$D66</f>
        <v>-160.48247405039035</v>
      </c>
      <c r="T121" s="95">
        <f>R121/'Summary Baseline Data'!$G66</f>
        <v>-471.81847370814756</v>
      </c>
      <c r="U121" s="73">
        <f>R121/('Summary Baseline Data'!$D66-'Summary Baseline Data'!$D65)</f>
        <v>-7040.4443213395334</v>
      </c>
      <c r="V121" s="73">
        <f>R121/('Summary Baseline Data'!$G66-'Summary Baseline Data'!$G65)</f>
        <v>-20698.906304738095</v>
      </c>
      <c r="W121" s="73">
        <f t="shared" si="1"/>
        <v>934370154.60794449</v>
      </c>
      <c r="X121" s="88"/>
      <c r="Y121" s="73">
        <f t="shared" si="9"/>
        <v>-116957879.29183526</v>
      </c>
      <c r="Z121" s="73">
        <f>Y121/'Summary Baseline Data'!$D66</f>
        <v>-264.41927151313422</v>
      </c>
      <c r="AA121" s="95">
        <f>Y121/'Summary Baseline Data'!$G66</f>
        <v>-777.39265824861457</v>
      </c>
      <c r="AB121" s="73">
        <f>Y121/('Summary Baseline Data'!$D66-'Summary Baseline Data'!$D65)</f>
        <v>-11600.202262540168</v>
      </c>
      <c r="AC121" s="73">
        <f>Y121/('Summary Baseline Data'!$G66-'Summary Baseline Data'!$G65)</f>
        <v>-34104.594651867876</v>
      </c>
      <c r="AD121" s="71">
        <f t="shared" si="10"/>
        <v>1293699230.9172523</v>
      </c>
      <c r="AE121" s="66"/>
    </row>
    <row r="122" spans="1:31" ht="13.5" thickBot="1" x14ac:dyDescent="0.25">
      <c r="A122" s="224">
        <v>2043</v>
      </c>
      <c r="B122" s="208">
        <v>55</v>
      </c>
      <c r="C122" s="89"/>
      <c r="D122" s="73">
        <f t="shared" si="4"/>
        <v>-40880434.259851158</v>
      </c>
      <c r="E122" s="73">
        <f>D122/'Summary Baseline Data'!D67</f>
        <v>-90.363031523390333</v>
      </c>
      <c r="F122" s="95">
        <f>D122/'Summary Baseline Data'!G67</f>
        <v>-265.66731267876759</v>
      </c>
      <c r="G122" s="73">
        <f>D122/('Summary Baseline Data'!D67-'Summary Baseline Data'!D66)</f>
        <v>-4054.6332480214101</v>
      </c>
      <c r="H122" s="73">
        <f>D122/('Summary Baseline Data'!G67-'Summary Baseline Data'!G66)</f>
        <v>-11920.62174918297</v>
      </c>
      <c r="I122" s="73">
        <f t="shared" si="5"/>
        <v>630172880.82067108</v>
      </c>
      <c r="J122" s="89"/>
      <c r="K122" s="73">
        <f t="shared" si="6"/>
        <v>-54252501.493384279</v>
      </c>
      <c r="L122" s="73">
        <f>K122/'Summary Baseline Data'!$D67</f>
        <v>-119.92094975087269</v>
      </c>
      <c r="M122" s="95">
        <f>K122/'Summary Baseline Data'!$G67</f>
        <v>-352.56759226756571</v>
      </c>
      <c r="N122" s="73">
        <f>K122/('Summary Baseline Data'!$D67-'Summary Baseline Data'!$D66)</f>
        <v>-5380.9114390803934</v>
      </c>
      <c r="O122" s="73">
        <f>K122/('Summary Baseline Data'!$G67-'Summary Baseline Data'!$G66)</f>
        <v>-15819.879630896388</v>
      </c>
      <c r="P122" s="71">
        <f t="shared" si="7"/>
        <v>761117020.98011994</v>
      </c>
      <c r="Q122" s="89"/>
      <c r="R122" s="73">
        <f t="shared" si="8"/>
        <v>-70984575.825473875</v>
      </c>
      <c r="S122" s="73">
        <f>R122/'Summary Baseline Data'!$D67</f>
        <v>-156.90590325483353</v>
      </c>
      <c r="T122" s="95">
        <f>R122/'Summary Baseline Data'!$G67</f>
        <v>-461.30335556921057</v>
      </c>
      <c r="U122" s="73">
        <f>R122/('Summary Baseline Data'!$D67-'Summary Baseline Data'!$D66)</f>
        <v>-7040.4443213395334</v>
      </c>
      <c r="V122" s="73">
        <f>R122/('Summary Baseline Data'!$G67-'Summary Baseline Data'!$G66)</f>
        <v>-20698.906304738273</v>
      </c>
      <c r="W122" s="73">
        <f t="shared" si="1"/>
        <v>910104086.51286781</v>
      </c>
      <c r="X122" s="88"/>
      <c r="Y122" s="73">
        <f t="shared" si="9"/>
        <v>-116957879.29183526</v>
      </c>
      <c r="Z122" s="73">
        <f>Y122/'Summary Baseline Data'!$D67</f>
        <v>-258.5263274401301</v>
      </c>
      <c r="AA122" s="95">
        <f>Y122/'Summary Baseline Data'!$G67</f>
        <v>-760.06740267398243</v>
      </c>
      <c r="AB122" s="73">
        <f>Y122/('Summary Baseline Data'!$D67-'Summary Baseline Data'!$D66)</f>
        <v>-11600.202262540168</v>
      </c>
      <c r="AC122" s="73">
        <f>Y122/('Summary Baseline Data'!$G67-'Summary Baseline Data'!$G66)</f>
        <v>-34104.594651868167</v>
      </c>
      <c r="AD122" s="71">
        <f t="shared" si="10"/>
        <v>1267300297.7896247</v>
      </c>
      <c r="AE122" s="66"/>
    </row>
    <row r="123" spans="1:31" x14ac:dyDescent="0.2">
      <c r="A123" s="224">
        <v>2044</v>
      </c>
      <c r="B123" s="20">
        <v>56</v>
      </c>
      <c r="C123" s="89"/>
      <c r="D123" s="73">
        <f t="shared" si="4"/>
        <v>-40880434.259851158</v>
      </c>
      <c r="E123" s="73">
        <f>D123/'Summary Baseline Data'!D68</f>
        <v>-88.393071379784615</v>
      </c>
      <c r="F123" s="95">
        <f>D123/'Summary Baseline Data'!G68</f>
        <v>-259.87562985656677</v>
      </c>
      <c r="G123" s="73">
        <f>D123/('Summary Baseline Data'!D68-'Summary Baseline Data'!D67)</f>
        <v>-4054.6332480214101</v>
      </c>
      <c r="H123" s="73">
        <f>D123/('Summary Baseline Data'!G68-'Summary Baseline Data'!G67)</f>
        <v>-11920.62174918297</v>
      </c>
      <c r="I123" s="73">
        <f t="shared" si="5"/>
        <v>608197632.98544002</v>
      </c>
      <c r="J123" s="89"/>
      <c r="K123" s="73">
        <f t="shared" si="6"/>
        <v>-54252501.493384279</v>
      </c>
      <c r="L123" s="73">
        <f>K123/'Summary Baseline Data'!$D68</f>
        <v>-117.30661192477383</v>
      </c>
      <c r="M123" s="95">
        <f>K123/'Summary Baseline Data'!$G68</f>
        <v>-344.88143905883504</v>
      </c>
      <c r="N123" s="73">
        <f>K123/('Summary Baseline Data'!$D68-'Summary Baseline Data'!$D67)</f>
        <v>-5380.9114390803934</v>
      </c>
      <c r="O123" s="73">
        <f>K123/('Summary Baseline Data'!$G68-'Summary Baseline Data'!$G67)</f>
        <v>-15819.879630896388</v>
      </c>
      <c r="P123" s="71">
        <f t="shared" si="7"/>
        <v>737309200.32594049</v>
      </c>
      <c r="Q123" s="89"/>
      <c r="R123" s="73">
        <f t="shared" si="8"/>
        <v>-70984575.825473875</v>
      </c>
      <c r="S123" s="73">
        <f>R123/'Summary Baseline Data'!$D68</f>
        <v>-153.48527459178931</v>
      </c>
      <c r="T123" s="95">
        <f>R123/'Summary Baseline Data'!$G68</f>
        <v>-451.24670729986059</v>
      </c>
      <c r="U123" s="73">
        <f>R123/('Summary Baseline Data'!$D68-'Summary Baseline Data'!$D67)</f>
        <v>-7040.4443213395334</v>
      </c>
      <c r="V123" s="73">
        <f>R123/('Summary Baseline Data'!$G68-'Summary Baseline Data'!$G67)</f>
        <v>-20698.906304738273</v>
      </c>
      <c r="W123" s="73">
        <f t="shared" si="1"/>
        <v>884624715.01303732</v>
      </c>
      <c r="X123" s="88"/>
      <c r="Y123" s="73">
        <f t="shared" si="9"/>
        <v>-116957879.29183526</v>
      </c>
      <c r="Z123" s="73">
        <f>Y123/'Summary Baseline Data'!$D68</f>
        <v>-252.89032173576203</v>
      </c>
      <c r="AA123" s="95">
        <f>Y123/'Summary Baseline Data'!$G68</f>
        <v>-743.49754590314035</v>
      </c>
      <c r="AB123" s="73">
        <f>Y123/('Summary Baseline Data'!$D68-'Summary Baseline Data'!$D67)</f>
        <v>-11600.202262540168</v>
      </c>
      <c r="AC123" s="73">
        <f>Y123/('Summary Baseline Data'!$G68-'Summary Baseline Data'!$G67)</f>
        <v>-34104.594651868167</v>
      </c>
      <c r="AD123" s="71">
        <f t="shared" si="10"/>
        <v>1239053439.3430631</v>
      </c>
      <c r="AE123" s="66"/>
    </row>
    <row r="124" spans="1:31" ht="13.5" thickBot="1" x14ac:dyDescent="0.25">
      <c r="A124" s="224">
        <v>2045</v>
      </c>
      <c r="B124" s="208">
        <v>57</v>
      </c>
      <c r="C124" s="89"/>
      <c r="D124" s="73">
        <f t="shared" si="4"/>
        <v>-40880434.259851158</v>
      </c>
      <c r="E124" s="73">
        <f>D124/'Summary Baseline Data'!D69</f>
        <v>-86.507170961686185</v>
      </c>
      <c r="F124" s="95">
        <f>D124/'Summary Baseline Data'!G69</f>
        <v>-254.33108262735738</v>
      </c>
      <c r="G124" s="73">
        <f>D124/('Summary Baseline Data'!D69-'Summary Baseline Data'!D68)</f>
        <v>-4054.6332480215037</v>
      </c>
      <c r="H124" s="73">
        <f>D124/('Summary Baseline Data'!G69-'Summary Baseline Data'!G68)</f>
        <v>-11920.621749183172</v>
      </c>
      <c r="I124" s="73">
        <f t="shared" si="5"/>
        <v>585563127.71515203</v>
      </c>
      <c r="J124" s="89"/>
      <c r="K124" s="73">
        <f t="shared" si="6"/>
        <v>-54252501.493384279</v>
      </c>
      <c r="L124" s="73">
        <f>K124/'Summary Baseline Data'!$D69</f>
        <v>-114.80382991911047</v>
      </c>
      <c r="M124" s="95">
        <f>K124/'Summary Baseline Data'!$G69</f>
        <v>-337.5232599621848</v>
      </c>
      <c r="N124" s="73">
        <f>K124/('Summary Baseline Data'!$D69-'Summary Baseline Data'!$D68)</f>
        <v>-5380.9114390805171</v>
      </c>
      <c r="O124" s="73">
        <f>K124/('Summary Baseline Data'!$G69-'Summary Baseline Data'!$G68)</f>
        <v>-15819.879630896658</v>
      </c>
      <c r="P124" s="71">
        <f t="shared" si="7"/>
        <v>712549066.84559393</v>
      </c>
      <c r="Q124" s="89"/>
      <c r="R124" s="73">
        <f t="shared" si="8"/>
        <v>-70984575.825473875</v>
      </c>
      <c r="S124" s="73">
        <f>R124/'Summary Baseline Data'!$D69</f>
        <v>-150.21060680384767</v>
      </c>
      <c r="T124" s="95">
        <f>R124/'Summary Baseline Data'!$G69</f>
        <v>-441.61918400331206</v>
      </c>
      <c r="U124" s="73">
        <f>R124/('Summary Baseline Data'!$D69-'Summary Baseline Data'!$D68)</f>
        <v>-7040.4443213396962</v>
      </c>
      <c r="V124" s="73">
        <f>R124/('Summary Baseline Data'!$G69-'Summary Baseline Data'!$G68)</f>
        <v>-20698.906304738623</v>
      </c>
      <c r="W124" s="73">
        <f t="shared" si="1"/>
        <v>857871374.93821537</v>
      </c>
      <c r="X124" s="88"/>
      <c r="Y124" s="73">
        <f t="shared" si="9"/>
        <v>-116957879.29183526</v>
      </c>
      <c r="Z124" s="73">
        <f>Y124/'Summary Baseline Data'!$D69</f>
        <v>-247.49480876116036</v>
      </c>
      <c r="AA124" s="95">
        <f>Y124/'Summary Baseline Data'!$G69</f>
        <v>-727.63473775781142</v>
      </c>
      <c r="AB124" s="73">
        <f>Y124/('Summary Baseline Data'!$D69-'Summary Baseline Data'!$D68)</f>
        <v>-11600.202262540437</v>
      </c>
      <c r="AC124" s="73">
        <f>Y124/('Summary Baseline Data'!$G69-'Summary Baseline Data'!$G68)</f>
        <v>-34104.594651868749</v>
      </c>
      <c r="AD124" s="71">
        <f t="shared" si="10"/>
        <v>1208829300.8052423</v>
      </c>
      <c r="AE124" s="66"/>
    </row>
    <row r="125" spans="1:31" x14ac:dyDescent="0.2">
      <c r="A125" s="224">
        <v>2046</v>
      </c>
      <c r="B125" s="20">
        <v>58</v>
      </c>
      <c r="C125" s="89"/>
      <c r="D125" s="73">
        <f t="shared" si="4"/>
        <v>-40880434.259851158</v>
      </c>
      <c r="E125" s="73">
        <f>D125/'Summary Baseline Data'!D70</f>
        <v>-84.553956267890797</v>
      </c>
      <c r="F125" s="95">
        <f>D125/'Summary Baseline Data'!G70</f>
        <v>-248.58863142759895</v>
      </c>
      <c r="G125" s="73">
        <f>D125/('Summary Baseline Data'!D70-'Summary Baseline Data'!D69)</f>
        <v>-3744.8640815517083</v>
      </c>
      <c r="H125" s="73">
        <f>D125/('Summary Baseline Data'!G70-'Summary Baseline Data'!G69)</f>
        <v>-11009.900399762055</v>
      </c>
      <c r="I125" s="73">
        <f t="shared" si="5"/>
        <v>562249587.28675556</v>
      </c>
      <c r="J125" s="89"/>
      <c r="K125" s="73">
        <f t="shared" si="6"/>
        <v>-54252501.493384279</v>
      </c>
      <c r="L125" s="73">
        <f>K125/'Summary Baseline Data'!$D70</f>
        <v>-112.2117150110723</v>
      </c>
      <c r="M125" s="95">
        <f>K125/'Summary Baseline Data'!$G70</f>
        <v>-329.90244213255261</v>
      </c>
      <c r="N125" s="73">
        <f>K125/('Summary Baseline Data'!$D70-'Summary Baseline Data'!$D69)</f>
        <v>-4969.816193377319</v>
      </c>
      <c r="O125" s="73">
        <f>K125/('Summary Baseline Data'!$G70-'Summary Baseline Data'!$G69)</f>
        <v>-14611.259608529361</v>
      </c>
      <c r="P125" s="71">
        <f t="shared" si="7"/>
        <v>686798528.02603352</v>
      </c>
      <c r="Q125" s="89"/>
      <c r="R125" s="73">
        <f t="shared" si="8"/>
        <v>-70984575.825473875</v>
      </c>
      <c r="S125" s="73">
        <f>R125/'Summary Baseline Data'!$D70</f>
        <v>-146.81905485374239</v>
      </c>
      <c r="T125" s="95">
        <f>R125/'Summary Baseline Data'!$G70</f>
        <v>-431.64802127000263</v>
      </c>
      <c r="U125" s="73">
        <f>R125/('Summary Baseline Data'!$D70-'Summary Baseline Data'!$D69)</f>
        <v>-6502.562733636888</v>
      </c>
      <c r="V125" s="73">
        <f>R125/('Summary Baseline Data'!$G70-'Summary Baseline Data'!$G69)</f>
        <v>-19117.534436892507</v>
      </c>
      <c r="W125" s="73">
        <f t="shared" si="1"/>
        <v>829780367.85965228</v>
      </c>
      <c r="X125" s="88"/>
      <c r="Y125" s="73">
        <f t="shared" si="9"/>
        <v>-116957879.29183526</v>
      </c>
      <c r="Z125" s="73">
        <f>Y125/'Summary Baseline Data'!$D70</f>
        <v>-241.90671136141438</v>
      </c>
      <c r="AA125" s="95">
        <f>Y125/'Summary Baseline Data'!$G70</f>
        <v>-711.20573140255829</v>
      </c>
      <c r="AB125" s="73">
        <f>Y125/('Summary Baseline Data'!$D70-'Summary Baseline Data'!$D69)</f>
        <v>-10713.960581495274</v>
      </c>
      <c r="AC125" s="73">
        <f>Y125/('Summary Baseline Data'!$G70-'Summary Baseline Data'!$G69)</f>
        <v>-31499.044109596198</v>
      </c>
      <c r="AD125" s="71">
        <f t="shared" si="10"/>
        <v>1176489472.5697739</v>
      </c>
      <c r="AE125" s="66"/>
    </row>
    <row r="126" spans="1:31" ht="13.5" thickBot="1" x14ac:dyDescent="0.25">
      <c r="A126" s="224">
        <v>2047</v>
      </c>
      <c r="B126" s="208">
        <v>59</v>
      </c>
      <c r="C126" s="89"/>
      <c r="D126" s="73">
        <f t="shared" si="4"/>
        <v>-40880434.259851158</v>
      </c>
      <c r="E126" s="73">
        <f>D126/'Summary Baseline Data'!D71</f>
        <v>-82.68699594913096</v>
      </c>
      <c r="F126" s="95">
        <f>D126/'Summary Baseline Data'!G71</f>
        <v>-243.09976809044497</v>
      </c>
      <c r="G126" s="73">
        <f>D126/('Summary Baseline Data'!D71-'Summary Baseline Data'!D70)</f>
        <v>-3744.8640815517083</v>
      </c>
      <c r="H126" s="73">
        <f>D126/('Summary Baseline Data'!G71-'Summary Baseline Data'!G70)</f>
        <v>-11009.900399761969</v>
      </c>
      <c r="I126" s="73">
        <f t="shared" si="5"/>
        <v>538236640.6455071</v>
      </c>
      <c r="J126" s="89"/>
      <c r="K126" s="73">
        <f t="shared" si="6"/>
        <v>-54252501.493384279</v>
      </c>
      <c r="L126" s="73">
        <f>K126/'Summary Baseline Data'!$D71</f>
        <v>-109.73406844700236</v>
      </c>
      <c r="M126" s="95">
        <f>K126/'Summary Baseline Data'!$G71</f>
        <v>-322.61816123418691</v>
      </c>
      <c r="N126" s="73">
        <f>K126/('Summary Baseline Data'!$D71-'Summary Baseline Data'!$D70)</f>
        <v>-4969.816193377319</v>
      </c>
      <c r="O126" s="73">
        <f>K126/('Summary Baseline Data'!$G71-'Summary Baseline Data'!$G70)</f>
        <v>-14611.259608529246</v>
      </c>
      <c r="P126" s="71">
        <f t="shared" si="7"/>
        <v>660017967.6536907</v>
      </c>
      <c r="Q126" s="89"/>
      <c r="R126" s="73">
        <f t="shared" si="8"/>
        <v>-70984575.825473875</v>
      </c>
      <c r="S126" s="73">
        <f>R126/'Summary Baseline Data'!$D71</f>
        <v>-143.57727455689479</v>
      </c>
      <c r="T126" s="95">
        <f>R126/'Summary Baseline Data'!$G71</f>
        <v>-422.1171871972706</v>
      </c>
      <c r="U126" s="73">
        <f>R126/('Summary Baseline Data'!$D71-'Summary Baseline Data'!$D70)</f>
        <v>-6502.562733636888</v>
      </c>
      <c r="V126" s="73">
        <f>R126/('Summary Baseline Data'!$G71-'Summary Baseline Data'!$G70)</f>
        <v>-19117.534436892358</v>
      </c>
      <c r="W126" s="73">
        <f t="shared" ref="W126:W143" si="11">W125*(1+$Q$5)+R126</f>
        <v>800284810.42716098</v>
      </c>
      <c r="X126" s="88"/>
      <c r="Y126" s="73">
        <f t="shared" si="9"/>
        <v>-116957879.29183526</v>
      </c>
      <c r="Z126" s="73">
        <f>Y126/'Summary Baseline Data'!$D71</f>
        <v>-236.56538552773534</v>
      </c>
      <c r="AA126" s="95">
        <f>Y126/'Summary Baseline Data'!$G71</f>
        <v>-695.50223345154188</v>
      </c>
      <c r="AB126" s="73">
        <f>Y126/('Summary Baseline Data'!$D71-'Summary Baseline Data'!$D70)</f>
        <v>-10713.960581495274</v>
      </c>
      <c r="AC126" s="73">
        <f>Y126/('Summary Baseline Data'!$G71-'Summary Baseline Data'!$G70)</f>
        <v>-31499.044109595954</v>
      </c>
      <c r="AD126" s="71">
        <f t="shared" si="10"/>
        <v>1141885856.3578229</v>
      </c>
      <c r="AE126" s="66"/>
    </row>
    <row r="127" spans="1:31" x14ac:dyDescent="0.2">
      <c r="A127" s="224">
        <v>2048</v>
      </c>
      <c r="B127" s="20">
        <v>60</v>
      </c>
      <c r="C127" s="89"/>
      <c r="D127" s="73">
        <f t="shared" si="4"/>
        <v>-40880434.259851158</v>
      </c>
      <c r="E127" s="73">
        <f>D127/'Summary Baseline Data'!D72</f>
        <v>-80.900699917895281</v>
      </c>
      <c r="F127" s="95">
        <f>D127/'Summary Baseline Data'!G72</f>
        <v>-237.8480577586121</v>
      </c>
      <c r="G127" s="73">
        <f>D127/('Summary Baseline Data'!D72-'Summary Baseline Data'!D71)</f>
        <v>-3744.8640815517083</v>
      </c>
      <c r="H127" s="73">
        <f>D127/('Summary Baseline Data'!G72-'Summary Baseline Data'!G71)</f>
        <v>-11009.900399762055</v>
      </c>
      <c r="I127" s="73">
        <f t="shared" si="5"/>
        <v>513503305.60502118</v>
      </c>
      <c r="J127" s="89"/>
      <c r="K127" s="73">
        <f t="shared" si="6"/>
        <v>-54252501.493384279</v>
      </c>
      <c r="L127" s="73">
        <f>K127/'Summary Baseline Data'!$D72</f>
        <v>-107.36347161120952</v>
      </c>
      <c r="M127" s="95">
        <f>K127/'Summary Baseline Data'!$G72</f>
        <v>-315.64860653695598</v>
      </c>
      <c r="N127" s="73">
        <f>K127/('Summary Baseline Data'!$D72-'Summary Baseline Data'!$D71)</f>
        <v>-4969.816193377319</v>
      </c>
      <c r="O127" s="73">
        <f>K127/('Summary Baseline Data'!$G72-'Summary Baseline Data'!$G71)</f>
        <v>-14611.259608529361</v>
      </c>
      <c r="P127" s="71">
        <f t="shared" si="7"/>
        <v>632166184.86645412</v>
      </c>
      <c r="Q127" s="89"/>
      <c r="R127" s="73">
        <f t="shared" si="8"/>
        <v>-70984575.825473875</v>
      </c>
      <c r="S127" s="73">
        <f>R127/'Summary Baseline Data'!$D72</f>
        <v>-140.47555931409653</v>
      </c>
      <c r="T127" s="95">
        <f>R127/'Summary Baseline Data'!$G72</f>
        <v>-412.99814438344379</v>
      </c>
      <c r="U127" s="73">
        <f>R127/('Summary Baseline Data'!$D72-'Summary Baseline Data'!$D71)</f>
        <v>-6502.562733636888</v>
      </c>
      <c r="V127" s="73">
        <f>R127/('Summary Baseline Data'!$G72-'Summary Baseline Data'!$G71)</f>
        <v>-19117.534436892507</v>
      </c>
      <c r="W127" s="73">
        <f t="shared" si="11"/>
        <v>769314475.12304521</v>
      </c>
      <c r="X127" s="88"/>
      <c r="Y127" s="73">
        <f t="shared" si="9"/>
        <v>-116957879.29183526</v>
      </c>
      <c r="Z127" s="73">
        <f>Y127/'Summary Baseline Data'!$D72</f>
        <v>-231.45483816239266</v>
      </c>
      <c r="AA127" s="95">
        <f>Y127/'Summary Baseline Data'!$G72</f>
        <v>-680.47722419743445</v>
      </c>
      <c r="AB127" s="73">
        <f>Y127/('Summary Baseline Data'!$D72-'Summary Baseline Data'!$D71)</f>
        <v>-10713.960581495274</v>
      </c>
      <c r="AC127" s="73">
        <f>Y127/('Summary Baseline Data'!$G72-'Summary Baseline Data'!$G71)</f>
        <v>-31499.044109596198</v>
      </c>
      <c r="AD127" s="71">
        <f t="shared" si="10"/>
        <v>1104859987.0110352</v>
      </c>
      <c r="AE127" s="66"/>
    </row>
    <row r="128" spans="1:31" ht="13.5" thickBot="1" x14ac:dyDescent="0.25">
      <c r="A128" s="224">
        <v>2049</v>
      </c>
      <c r="B128" s="208">
        <v>61</v>
      </c>
      <c r="C128" s="89"/>
      <c r="D128" s="73">
        <f t="shared" si="4"/>
        <v>-40880434.259851158</v>
      </c>
      <c r="E128" s="73">
        <f>D128/'Summary Baseline Data'!D73</f>
        <v>-79.189950924934124</v>
      </c>
      <c r="F128" s="95">
        <f>D128/'Summary Baseline Data'!G73</f>
        <v>-232.81845571930634</v>
      </c>
      <c r="G128" s="73">
        <f>D128/('Summary Baseline Data'!D73-'Summary Baseline Data'!D72)</f>
        <v>-3744.8640815517083</v>
      </c>
      <c r="H128" s="73">
        <f>D128/('Summary Baseline Data'!G73-'Summary Baseline Data'!G72)</f>
        <v>-11009.900399762055</v>
      </c>
      <c r="I128" s="73">
        <f t="shared" si="5"/>
        <v>488027970.51332068</v>
      </c>
      <c r="J128" s="89"/>
      <c r="K128" s="73">
        <f t="shared" si="6"/>
        <v>-54252501.493384279</v>
      </c>
      <c r="L128" s="73">
        <f>K128/'Summary Baseline Data'!$D73</f>
        <v>-105.09313339255264</v>
      </c>
      <c r="M128" s="95">
        <f>K128/'Summary Baseline Data'!$G73</f>
        <v>-308.97381217410475</v>
      </c>
      <c r="N128" s="73">
        <f>K128/('Summary Baseline Data'!$D73-'Summary Baseline Data'!$D72)</f>
        <v>-4969.816193377319</v>
      </c>
      <c r="O128" s="73">
        <f>K128/('Summary Baseline Data'!$G73-'Summary Baseline Data'!$G72)</f>
        <v>-14611.259608529361</v>
      </c>
      <c r="P128" s="71">
        <f t="shared" si="7"/>
        <v>603200330.76772809</v>
      </c>
      <c r="Q128" s="89"/>
      <c r="R128" s="73">
        <f t="shared" si="8"/>
        <v>-70984575.825473875</v>
      </c>
      <c r="S128" s="73">
        <f>R128/'Summary Baseline Data'!$D73</f>
        <v>-137.5050235600655</v>
      </c>
      <c r="T128" s="95">
        <f>R128/'Summary Baseline Data'!$G73</f>
        <v>-404.26476926659257</v>
      </c>
      <c r="U128" s="73">
        <f>R128/('Summary Baseline Data'!$D73-'Summary Baseline Data'!$D72)</f>
        <v>-6502.562733636888</v>
      </c>
      <c r="V128" s="73">
        <f>R128/('Summary Baseline Data'!$G73-'Summary Baseline Data'!$G72)</f>
        <v>-19117.534436892507</v>
      </c>
      <c r="W128" s="73">
        <f t="shared" si="11"/>
        <v>736795623.05372357</v>
      </c>
      <c r="X128" s="88"/>
      <c r="Y128" s="73">
        <f t="shared" si="9"/>
        <v>-116957879.29183526</v>
      </c>
      <c r="Z128" s="73">
        <f>Y128/'Summary Baseline Data'!$D73</f>
        <v>-226.56042894585744</v>
      </c>
      <c r="AA128" s="95">
        <f>Y128/'Summary Baseline Data'!$G73</f>
        <v>-666.08766110082092</v>
      </c>
      <c r="AB128" s="73">
        <f>Y128/('Summary Baseline Data'!$D73-'Summary Baseline Data'!$D72)</f>
        <v>-10713.960581495274</v>
      </c>
      <c r="AC128" s="73">
        <f>Y128/('Summary Baseline Data'!$G73-'Summary Baseline Data'!$G72)</f>
        <v>-31499.044109596198</v>
      </c>
      <c r="AD128" s="71">
        <f t="shared" si="10"/>
        <v>1065242306.8099725</v>
      </c>
      <c r="AE128" s="66"/>
    </row>
    <row r="129" spans="1:31" x14ac:dyDescent="0.2">
      <c r="A129" s="224">
        <v>2050</v>
      </c>
      <c r="B129" s="20">
        <v>62</v>
      </c>
      <c r="C129" s="89"/>
      <c r="D129" s="73">
        <f t="shared" si="4"/>
        <v>-40880434.259851158</v>
      </c>
      <c r="E129" s="73">
        <f>D129/'Summary Baseline Data'!D74</f>
        <v>-77.550055600695714</v>
      </c>
      <c r="F129" s="95">
        <f>D129/'Summary Baseline Data'!G74</f>
        <v>-227.99716346604541</v>
      </c>
      <c r="G129" s="73">
        <f>D129/('Summary Baseline Data'!D74-'Summary Baseline Data'!D73)</f>
        <v>-3744.8640815517083</v>
      </c>
      <c r="H129" s="73">
        <f>D129/('Summary Baseline Data'!G74-'Summary Baseline Data'!G73)</f>
        <v>-11009.900399761969</v>
      </c>
      <c r="I129" s="73">
        <f t="shared" si="5"/>
        <v>461788375.36886919</v>
      </c>
      <c r="J129" s="89"/>
      <c r="K129" s="73">
        <f t="shared" si="6"/>
        <v>-54252501.493384279</v>
      </c>
      <c r="L129" s="73">
        <f>K129/'Summary Baseline Data'!$D74</f>
        <v>-102.91682521143788</v>
      </c>
      <c r="M129" s="95">
        <f>K129/'Summary Baseline Data'!$G74</f>
        <v>-302.57546612162736</v>
      </c>
      <c r="N129" s="73">
        <f>K129/('Summary Baseline Data'!$D74-'Summary Baseline Data'!$D73)</f>
        <v>-4969.816193377319</v>
      </c>
      <c r="O129" s="73">
        <f>K129/('Summary Baseline Data'!$G74-'Summary Baseline Data'!$G73)</f>
        <v>-14611.259608529246</v>
      </c>
      <c r="P129" s="71">
        <f t="shared" si="7"/>
        <v>573075842.50505304</v>
      </c>
      <c r="Q129" s="89"/>
      <c r="R129" s="73">
        <f t="shared" si="8"/>
        <v>-70984575.825473875</v>
      </c>
      <c r="S129" s="73">
        <f>R129/'Summary Baseline Data'!$D74</f>
        <v>-134.65751775204706</v>
      </c>
      <c r="T129" s="95">
        <f>R129/'Summary Baseline Data'!$G74</f>
        <v>-395.89310219101833</v>
      </c>
      <c r="U129" s="73">
        <f>R129/('Summary Baseline Data'!$D74-'Summary Baseline Data'!$D73)</f>
        <v>-6502.562733636888</v>
      </c>
      <c r="V129" s="73">
        <f>R129/('Summary Baseline Data'!$G74-'Summary Baseline Data'!$G73)</f>
        <v>-19117.534436892358</v>
      </c>
      <c r="W129" s="73">
        <f t="shared" si="11"/>
        <v>702650828.38093591</v>
      </c>
      <c r="X129" s="88"/>
      <c r="Y129" s="73">
        <f t="shared" si="9"/>
        <v>-116957879.29183526</v>
      </c>
      <c r="Z129" s="73">
        <f>Y129/'Summary Baseline Data'!$D74</f>
        <v>-221.86873026760031</v>
      </c>
      <c r="AA129" s="95">
        <f>Y129/'Summary Baseline Data'!$G74</f>
        <v>-652.29406698674484</v>
      </c>
      <c r="AB129" s="73">
        <f>Y129/('Summary Baseline Data'!$D74-'Summary Baseline Data'!$D73)</f>
        <v>-10713.960581495274</v>
      </c>
      <c r="AC129" s="73">
        <f>Y129/('Summary Baseline Data'!$G74-'Summary Baseline Data'!$G73)</f>
        <v>-31499.044109595954</v>
      </c>
      <c r="AD129" s="71">
        <f t="shared" si="10"/>
        <v>1022851388.9948354</v>
      </c>
      <c r="AE129" s="66"/>
    </row>
    <row r="130" spans="1:31" ht="13.5" thickBot="1" x14ac:dyDescent="0.25">
      <c r="A130" s="224">
        <v>2051</v>
      </c>
      <c r="B130" s="208">
        <v>63</v>
      </c>
      <c r="C130" s="89"/>
      <c r="D130" s="73">
        <f t="shared" si="4"/>
        <v>-40880434.259851158</v>
      </c>
      <c r="E130" s="73">
        <f>D130/'Summary Baseline Data'!D75</f>
        <v>-75.976701456460773</v>
      </c>
      <c r="F130" s="95">
        <f>D130/'Summary Baseline Data'!G75</f>
        <v>-223.37150228199465</v>
      </c>
      <c r="G130" s="73">
        <f>D130/('Summary Baseline Data'!D75-'Summary Baseline Data'!D74)</f>
        <v>-3744.8640815517083</v>
      </c>
      <c r="H130" s="73">
        <f>D130/('Summary Baseline Data'!G75-'Summary Baseline Data'!G74)</f>
        <v>-11009.900399762055</v>
      </c>
      <c r="I130" s="73">
        <f t="shared" si="5"/>
        <v>434761592.37008411</v>
      </c>
      <c r="J130" s="89"/>
      <c r="K130" s="73">
        <f t="shared" si="6"/>
        <v>-54252501.493384279</v>
      </c>
      <c r="L130" s="73">
        <f>K130/'Summary Baseline Data'!$D75</f>
        <v>-100.82882395594339</v>
      </c>
      <c r="M130" s="95">
        <f>K130/'Summary Baseline Data'!$G75</f>
        <v>-296.4367424304736</v>
      </c>
      <c r="N130" s="73">
        <f>K130/('Summary Baseline Data'!$D75-'Summary Baseline Data'!$D74)</f>
        <v>-4969.816193377319</v>
      </c>
      <c r="O130" s="73">
        <f>K130/('Summary Baseline Data'!$G75-'Summary Baseline Data'!$G74)</f>
        <v>-14611.259608529361</v>
      </c>
      <c r="P130" s="71">
        <f t="shared" si="7"/>
        <v>541746374.71187091</v>
      </c>
      <c r="Q130" s="89"/>
      <c r="R130" s="73">
        <f t="shared" si="8"/>
        <v>-70984575.825473875</v>
      </c>
      <c r="S130" s="73">
        <f>R130/'Summary Baseline Data'!$D75</f>
        <v>-131.92555370680563</v>
      </c>
      <c r="T130" s="95">
        <f>R130/'Summary Baseline Data'!$G75</f>
        <v>-387.86112789800853</v>
      </c>
      <c r="U130" s="73">
        <f>R130/('Summary Baseline Data'!$D75-'Summary Baseline Data'!$D74)</f>
        <v>-6502.562733636888</v>
      </c>
      <c r="V130" s="73">
        <f>R130/('Summary Baseline Data'!$G75-'Summary Baseline Data'!$G74)</f>
        <v>-19117.534436892507</v>
      </c>
      <c r="W130" s="73">
        <f t="shared" si="11"/>
        <v>666798793.97450888</v>
      </c>
      <c r="X130" s="88"/>
      <c r="Y130" s="73">
        <f t="shared" si="9"/>
        <v>-116957879.29183526</v>
      </c>
      <c r="Z130" s="73">
        <f>Y130/'Summary Baseline Data'!$D75</f>
        <v>-217.36740420743507</v>
      </c>
      <c r="AA130" s="95">
        <f>Y130/'Summary Baseline Data'!$G75</f>
        <v>-639.06016836985907</v>
      </c>
      <c r="AB130" s="73">
        <f>Y130/('Summary Baseline Data'!$D75-'Summary Baseline Data'!$D74)</f>
        <v>-10713.960581495274</v>
      </c>
      <c r="AC130" s="73">
        <f>Y130/('Summary Baseline Data'!$G75-'Summary Baseline Data'!$G74)</f>
        <v>-31499.044109596198</v>
      </c>
      <c r="AD130" s="71">
        <f t="shared" si="10"/>
        <v>977493106.93263865</v>
      </c>
      <c r="AE130" s="66"/>
    </row>
    <row r="131" spans="1:31" x14ac:dyDescent="0.2">
      <c r="A131" s="224">
        <v>2052</v>
      </c>
      <c r="B131" s="20">
        <v>64</v>
      </c>
      <c r="C131" s="89"/>
      <c r="D131" s="73">
        <f t="shared" si="4"/>
        <v>-40880434.259851158</v>
      </c>
      <c r="E131" s="73">
        <f>D131/'Summary Baseline Data'!D76</f>
        <v>-74.465919015623371</v>
      </c>
      <c r="F131" s="95">
        <f>D131/'Summary Baseline Data'!G76</f>
        <v>-218.92980190593272</v>
      </c>
      <c r="G131" s="73">
        <f>D131/('Summary Baseline Data'!D76-'Summary Baseline Data'!D75)</f>
        <v>-3744.8640815517083</v>
      </c>
      <c r="H131" s="73">
        <f>D131/('Summary Baseline Data'!G76-'Summary Baseline Data'!G75)</f>
        <v>-11009.900399762055</v>
      </c>
      <c r="I131" s="73">
        <f t="shared" si="5"/>
        <v>406924005.8813355</v>
      </c>
      <c r="J131" s="89"/>
      <c r="K131" s="73">
        <f t="shared" si="6"/>
        <v>-54252501.493384279</v>
      </c>
      <c r="L131" s="73">
        <f>K131/'Summary Baseline Data'!$D76</f>
        <v>-98.823861726170634</v>
      </c>
      <c r="M131" s="95">
        <f>K131/'Summary Baseline Data'!$G76</f>
        <v>-290.5421534749417</v>
      </c>
      <c r="N131" s="73">
        <f>K131/('Summary Baseline Data'!$D76-'Summary Baseline Data'!$D75)</f>
        <v>-4969.816193377319</v>
      </c>
      <c r="O131" s="73">
        <f>K131/('Summary Baseline Data'!$G76-'Summary Baseline Data'!$G75)</f>
        <v>-14611.259608529361</v>
      </c>
      <c r="P131" s="71">
        <f t="shared" si="7"/>
        <v>509163728.20696145</v>
      </c>
      <c r="Q131" s="89"/>
      <c r="R131" s="73">
        <f t="shared" si="8"/>
        <v>-70984575.825473875</v>
      </c>
      <c r="S131" s="73">
        <f>R131/'Summary Baseline Data'!$D76</f>
        <v>-129.30223884557532</v>
      </c>
      <c r="T131" s="95">
        <f>R131/'Summary Baseline Data'!$G76</f>
        <v>-380.14858220599143</v>
      </c>
      <c r="U131" s="73">
        <f>R131/('Summary Baseline Data'!$D76-'Summary Baseline Data'!$D75)</f>
        <v>-6502.562733636888</v>
      </c>
      <c r="V131" s="73">
        <f>R131/('Summary Baseline Data'!$G76-'Summary Baseline Data'!$G75)</f>
        <v>-19117.534436892507</v>
      </c>
      <c r="W131" s="73">
        <f t="shared" si="11"/>
        <v>629154157.84776044</v>
      </c>
      <c r="X131" s="88"/>
      <c r="Y131" s="73">
        <f t="shared" si="9"/>
        <v>-116957879.29183526</v>
      </c>
      <c r="Z131" s="73">
        <f>Y131/'Summary Baseline Data'!$D76</f>
        <v>-213.04509419407935</v>
      </c>
      <c r="AA131" s="95">
        <f>Y131/'Summary Baseline Data'!$G76</f>
        <v>-626.35257693059327</v>
      </c>
      <c r="AB131" s="73">
        <f>Y131/('Summary Baseline Data'!$D76-'Summary Baseline Data'!$D75)</f>
        <v>-10713.960581495274</v>
      </c>
      <c r="AC131" s="73">
        <f>Y131/('Summary Baseline Data'!$G76-'Summary Baseline Data'!$G75)</f>
        <v>-31499.044109596198</v>
      </c>
      <c r="AD131" s="71">
        <f t="shared" si="10"/>
        <v>928959745.12608814</v>
      </c>
      <c r="AE131" s="66"/>
    </row>
    <row r="132" spans="1:31" ht="13.5" thickBot="1" x14ac:dyDescent="0.25">
      <c r="A132" s="224">
        <v>2053</v>
      </c>
      <c r="B132" s="208">
        <v>65</v>
      </c>
      <c r="C132" s="89"/>
      <c r="D132" s="73">
        <f t="shared" si="4"/>
        <v>-40880434.259851158</v>
      </c>
      <c r="E132" s="73">
        <f>D132/'Summary Baseline Data'!D77</f>
        <v>-73.01404837495663</v>
      </c>
      <c r="F132" s="95">
        <f>D132/'Summary Baseline Data'!G77</f>
        <v>-214.66130222237248</v>
      </c>
      <c r="G132" s="73">
        <f>D132/('Summary Baseline Data'!D77-'Summary Baseline Data'!D76)</f>
        <v>-3744.8640815517083</v>
      </c>
      <c r="H132" s="73">
        <f>D132/('Summary Baseline Data'!G77-'Summary Baseline Data'!G76)</f>
        <v>-11009.900399761969</v>
      </c>
      <c r="I132" s="73">
        <f t="shared" si="5"/>
        <v>378251291.7979244</v>
      </c>
      <c r="J132" s="89"/>
      <c r="K132" s="73">
        <f t="shared" si="6"/>
        <v>-54252501.493384279</v>
      </c>
      <c r="L132" s="73">
        <f>K132/'Summary Baseline Data'!$D77</f>
        <v>-96.897081457636872</v>
      </c>
      <c r="M132" s="95">
        <f>K132/'Summary Baseline Data'!$G77</f>
        <v>-284.87741948545238</v>
      </c>
      <c r="N132" s="73">
        <f>K132/('Summary Baseline Data'!$D77-'Summary Baseline Data'!$D76)</f>
        <v>-4969.816193377319</v>
      </c>
      <c r="O132" s="73">
        <f>K132/('Summary Baseline Data'!$G77-'Summary Baseline Data'!$G76)</f>
        <v>-14611.259608529246</v>
      </c>
      <c r="P132" s="71">
        <f t="shared" si="7"/>
        <v>475277775.84185565</v>
      </c>
      <c r="Q132" s="89"/>
      <c r="R132" s="73">
        <f t="shared" si="8"/>
        <v>-70984575.825473875</v>
      </c>
      <c r="S132" s="73">
        <f>R132/'Summary Baseline Data'!$D77</f>
        <v>-126.78121813121359</v>
      </c>
      <c r="T132" s="95">
        <f>R132/'Summary Baseline Data'!$G77</f>
        <v>-372.73678130576792</v>
      </c>
      <c r="U132" s="73">
        <f>R132/('Summary Baseline Data'!$D77-'Summary Baseline Data'!$D76)</f>
        <v>-6502.562733636888</v>
      </c>
      <c r="V132" s="73">
        <f>R132/('Summary Baseline Data'!$G77-'Summary Baseline Data'!$G76)</f>
        <v>-19117.534436892358</v>
      </c>
      <c r="W132" s="73">
        <f t="shared" si="11"/>
        <v>589627289.91467464</v>
      </c>
      <c r="X132" s="88"/>
      <c r="Y132" s="73">
        <f t="shared" si="9"/>
        <v>-116957879.29183526</v>
      </c>
      <c r="Z132" s="73">
        <f>Y132/'Summary Baseline Data'!$D77</f>
        <v>-208.89132933778896</v>
      </c>
      <c r="AA132" s="95">
        <f>Y132/'Summary Baseline Data'!$G77</f>
        <v>-614.14050825309948</v>
      </c>
      <c r="AB132" s="73">
        <f>Y132/('Summary Baseline Data'!$D77-'Summary Baseline Data'!$D76)</f>
        <v>-10713.960581495274</v>
      </c>
      <c r="AC132" s="73">
        <f>Y132/('Summary Baseline Data'!$G77-'Summary Baseline Data'!$G76)</f>
        <v>-31499.044109595954</v>
      </c>
      <c r="AD132" s="71">
        <f t="shared" si="10"/>
        <v>877029047.99307907</v>
      </c>
      <c r="AE132" s="66"/>
    </row>
    <row r="133" spans="1:31" x14ac:dyDescent="0.2">
      <c r="A133" s="224">
        <v>2054</v>
      </c>
      <c r="B133" s="20">
        <v>66</v>
      </c>
      <c r="C133" s="89"/>
      <c r="D133" s="73">
        <f t="shared" si="4"/>
        <v>-40880434.259851158</v>
      </c>
      <c r="E133" s="73">
        <f>D133/'Summary Baseline Data'!D78</f>
        <v>-71.617709602822245</v>
      </c>
      <c r="F133" s="95">
        <f>D133/'Summary Baseline Data'!G78</f>
        <v>-210.55606623229741</v>
      </c>
      <c r="G133" s="73">
        <f>D133/('Summary Baseline Data'!D78-'Summary Baseline Data'!D77)</f>
        <v>-3744.8640815517083</v>
      </c>
      <c r="H133" s="73">
        <f>D133/('Summary Baseline Data'!G78-'Summary Baseline Data'!G77)</f>
        <v>-11009.900399762055</v>
      </c>
      <c r="I133" s="73">
        <f t="shared" si="5"/>
        <v>348718396.29201096</v>
      </c>
      <c r="J133" s="89"/>
      <c r="K133" s="73">
        <f t="shared" si="6"/>
        <v>-54252501.493384279</v>
      </c>
      <c r="L133" s="73">
        <f>K133/'Summary Baseline Data'!$D78</f>
        <v>-95.043997636683187</v>
      </c>
      <c r="M133" s="95">
        <f>K133/'Summary Baseline Data'!$G78</f>
        <v>-279.42935305184858</v>
      </c>
      <c r="N133" s="73">
        <f>K133/('Summary Baseline Data'!$D78-'Summary Baseline Data'!$D77)</f>
        <v>-4969.816193377319</v>
      </c>
      <c r="O133" s="73">
        <f>K133/('Summary Baseline Data'!$G78-'Summary Baseline Data'!$G77)</f>
        <v>-14611.259608529361</v>
      </c>
      <c r="P133" s="71">
        <f t="shared" si="7"/>
        <v>440036385.38214558</v>
      </c>
      <c r="Q133" s="89"/>
      <c r="R133" s="73">
        <f t="shared" si="8"/>
        <v>-70984575.825473875</v>
      </c>
      <c r="S133" s="73">
        <f>R133/'Summary Baseline Data'!$D78</f>
        <v>-124.35662266780466</v>
      </c>
      <c r="T133" s="95">
        <f>R133/'Summary Baseline Data'!$G78</f>
        <v>-365.6084706433457</v>
      </c>
      <c r="U133" s="73">
        <f>R133/('Summary Baseline Data'!$D78-'Summary Baseline Data'!$D77)</f>
        <v>-6502.562733636888</v>
      </c>
      <c r="V133" s="73">
        <f>R133/('Summary Baseline Data'!$G78-'Summary Baseline Data'!$G77)</f>
        <v>-19117.534436892507</v>
      </c>
      <c r="W133" s="73">
        <f t="shared" si="11"/>
        <v>548124078.58493447</v>
      </c>
      <c r="X133" s="88"/>
      <c r="Y133" s="73">
        <f t="shared" si="9"/>
        <v>-116957879.29183526</v>
      </c>
      <c r="Z133" s="73">
        <f>Y133/'Summary Baseline Data'!$D78</f>
        <v>-204.89643974039069</v>
      </c>
      <c r="AA133" s="95">
        <f>Y133/'Summary Baseline Data'!$G78</f>
        <v>-602.39553283674866</v>
      </c>
      <c r="AB133" s="73">
        <f>Y133/('Summary Baseline Data'!$D78-'Summary Baseline Data'!$D77)</f>
        <v>-10713.960581495274</v>
      </c>
      <c r="AC133" s="73">
        <f>Y133/('Summary Baseline Data'!$G78-'Summary Baseline Data'!$G77)</f>
        <v>-31499.044109596198</v>
      </c>
      <c r="AD133" s="71">
        <f t="shared" si="10"/>
        <v>821463202.06075931</v>
      </c>
      <c r="AE133" s="66"/>
    </row>
    <row r="134" spans="1:31" ht="13.5" thickBot="1" x14ac:dyDescent="0.25">
      <c r="A134" s="224">
        <v>2055</v>
      </c>
      <c r="B134" s="208">
        <v>67</v>
      </c>
      <c r="C134" s="89"/>
      <c r="D134" s="73">
        <f t="shared" si="4"/>
        <v>-40880434.259851158</v>
      </c>
      <c r="E134" s="73">
        <f>D134/'Summary Baseline Data'!D79</f>
        <v>-70.273776470312157</v>
      </c>
      <c r="F134" s="95">
        <f>D134/'Summary Baseline Data'!G79</f>
        <v>-206.60490282271772</v>
      </c>
      <c r="G134" s="73">
        <f>D134/('Summary Baseline Data'!D79-'Summary Baseline Data'!D78)</f>
        <v>-3744.8640815517883</v>
      </c>
      <c r="H134" s="73">
        <f>D134/('Summary Baseline Data'!G79-'Summary Baseline Data'!G78)</f>
        <v>-11009.900399762228</v>
      </c>
      <c r="I134" s="73">
        <f t="shared" si="5"/>
        <v>318299513.92092013</v>
      </c>
      <c r="J134" s="89"/>
      <c r="K134" s="73">
        <f t="shared" si="6"/>
        <v>-54252501.493384279</v>
      </c>
      <c r="L134" s="73">
        <f>K134/'Summary Baseline Data'!$D79</f>
        <v>-93.26046143902299</v>
      </c>
      <c r="M134" s="95">
        <f>K134/'Summary Baseline Data'!$G79</f>
        <v>-274.18575663072755</v>
      </c>
      <c r="N134" s="73">
        <f>K134/('Summary Baseline Data'!$D79-'Summary Baseline Data'!$D78)</f>
        <v>-4969.8161933774245</v>
      </c>
      <c r="O134" s="73">
        <f>K134/('Summary Baseline Data'!$G79-'Summary Baseline Data'!$G78)</f>
        <v>-14611.25960852959</v>
      </c>
      <c r="P134" s="71">
        <f t="shared" si="7"/>
        <v>403385339.30404711</v>
      </c>
      <c r="Q134" s="89"/>
      <c r="R134" s="73">
        <f t="shared" si="8"/>
        <v>-70984575.825473875</v>
      </c>
      <c r="S134" s="73">
        <f>R134/'Summary Baseline Data'!$D79</f>
        <v>-122.02302408754885</v>
      </c>
      <c r="T134" s="95">
        <f>R134/'Summary Baseline Data'!$G79</f>
        <v>-358.74769081739356</v>
      </c>
      <c r="U134" s="73">
        <f>R134/('Summary Baseline Data'!$D79-'Summary Baseline Data'!$D78)</f>
        <v>-6502.5627336370262</v>
      </c>
      <c r="V134" s="73">
        <f>R134/('Summary Baseline Data'!$G79-'Summary Baseline Data'!$G78)</f>
        <v>-19117.534436892805</v>
      </c>
      <c r="W134" s="73">
        <f t="shared" si="11"/>
        <v>504545706.68870735</v>
      </c>
      <c r="X134" s="88"/>
      <c r="Y134" s="73">
        <f t="shared" si="9"/>
        <v>-116957879.29183526</v>
      </c>
      <c r="Z134" s="73">
        <f>Y134/'Summary Baseline Data'!$D79</f>
        <v>-201.05148134074901</v>
      </c>
      <c r="AA134" s="95">
        <f>Y134/'Summary Baseline Data'!$G79</f>
        <v>-591.09135514180207</v>
      </c>
      <c r="AB134" s="73">
        <f>Y134/('Summary Baseline Data'!$D79-'Summary Baseline Data'!$D78)</f>
        <v>-10713.960581495503</v>
      </c>
      <c r="AC134" s="73">
        <f>Y134/('Summary Baseline Data'!$G79-'Summary Baseline Data'!$G78)</f>
        <v>-31499.044109596693</v>
      </c>
      <c r="AD134" s="71">
        <f t="shared" si="10"/>
        <v>762007746.91317725</v>
      </c>
      <c r="AE134" s="66"/>
    </row>
    <row r="135" spans="1:31" x14ac:dyDescent="0.2">
      <c r="A135" s="224">
        <v>2056</v>
      </c>
      <c r="B135" s="20">
        <v>68</v>
      </c>
      <c r="C135" s="89"/>
      <c r="D135" s="73">
        <f t="shared" si="4"/>
        <v>-40880434.259851158</v>
      </c>
      <c r="E135" s="83"/>
      <c r="F135" s="96"/>
      <c r="G135" s="83"/>
      <c r="H135" s="83"/>
      <c r="I135" s="73">
        <f t="shared" si="5"/>
        <v>286968065.07869661</v>
      </c>
      <c r="J135" s="89"/>
      <c r="K135" s="73">
        <f t="shared" si="6"/>
        <v>-54252501.493384279</v>
      </c>
      <c r="L135" s="83"/>
      <c r="M135" s="83"/>
      <c r="N135" s="83"/>
      <c r="O135" s="83"/>
      <c r="P135" s="71">
        <f t="shared" si="7"/>
        <v>365268251.38282472</v>
      </c>
      <c r="Q135" s="89"/>
      <c r="R135" s="73">
        <f t="shared" si="8"/>
        <v>-70984575.825473875</v>
      </c>
      <c r="S135" s="83"/>
      <c r="T135" s="83"/>
      <c r="U135" s="83"/>
      <c r="V135" s="83"/>
      <c r="W135" s="73">
        <f t="shared" si="11"/>
        <v>458788416.19766891</v>
      </c>
      <c r="X135" s="88"/>
      <c r="Y135" s="73">
        <f t="shared" si="9"/>
        <v>-116957879.29183526</v>
      </c>
      <c r="Z135" s="83"/>
      <c r="AA135" s="96"/>
      <c r="AB135" s="83"/>
      <c r="AC135" s="83"/>
      <c r="AD135" s="71">
        <f t="shared" si="10"/>
        <v>698390409.90526438</v>
      </c>
      <c r="AE135" s="66"/>
    </row>
    <row r="136" spans="1:31" ht="13.5" thickBot="1" x14ac:dyDescent="0.25">
      <c r="A136" s="224">
        <v>2057</v>
      </c>
      <c r="B136" s="208">
        <v>69</v>
      </c>
      <c r="C136" s="89"/>
      <c r="D136" s="73">
        <f t="shared" si="4"/>
        <v>-40880434.259851158</v>
      </c>
      <c r="E136" s="83"/>
      <c r="F136" s="96"/>
      <c r="G136" s="83"/>
      <c r="H136" s="83"/>
      <c r="I136" s="73">
        <f t="shared" si="5"/>
        <v>254696672.77120638</v>
      </c>
      <c r="J136" s="89"/>
      <c r="K136" s="73">
        <f t="shared" si="6"/>
        <v>-54252501.493384279</v>
      </c>
      <c r="L136" s="83"/>
      <c r="M136" s="83"/>
      <c r="N136" s="83"/>
      <c r="O136" s="83"/>
      <c r="P136" s="71">
        <f t="shared" si="7"/>
        <v>325626479.94475341</v>
      </c>
      <c r="Q136" s="89"/>
      <c r="R136" s="73">
        <f t="shared" si="8"/>
        <v>-70984575.825473875</v>
      </c>
      <c r="S136" s="83"/>
      <c r="T136" s="83"/>
      <c r="U136" s="83"/>
      <c r="V136" s="83"/>
      <c r="W136" s="73">
        <f t="shared" si="11"/>
        <v>410743261.18207848</v>
      </c>
      <c r="X136" s="88"/>
      <c r="Y136" s="73">
        <f t="shared" si="9"/>
        <v>-116957879.29183526</v>
      </c>
      <c r="Z136" s="83"/>
      <c r="AA136" s="96"/>
      <c r="AB136" s="83"/>
      <c r="AC136" s="83"/>
      <c r="AD136" s="71">
        <f t="shared" si="10"/>
        <v>630319859.30679762</v>
      </c>
      <c r="AE136" s="66"/>
    </row>
    <row r="137" spans="1:31" x14ac:dyDescent="0.2">
      <c r="A137" s="224">
        <v>2058</v>
      </c>
      <c r="B137" s="20">
        <v>70</v>
      </c>
      <c r="C137" s="89"/>
      <c r="D137" s="73">
        <f t="shared" si="4"/>
        <v>-40880434.259851158</v>
      </c>
      <c r="E137" s="83"/>
      <c r="F137" s="96"/>
      <c r="G137" s="83"/>
      <c r="H137" s="83"/>
      <c r="I137" s="73">
        <f t="shared" si="5"/>
        <v>221457138.69449142</v>
      </c>
      <c r="J137" s="89"/>
      <c r="K137" s="73">
        <f t="shared" si="6"/>
        <v>-54252501.493384279</v>
      </c>
      <c r="L137" s="83"/>
      <c r="M137" s="83"/>
      <c r="N137" s="83"/>
      <c r="O137" s="83"/>
      <c r="P137" s="71">
        <f t="shared" si="7"/>
        <v>284399037.64915925</v>
      </c>
      <c r="Q137" s="89"/>
      <c r="R137" s="73">
        <f t="shared" si="8"/>
        <v>-70984575.825473875</v>
      </c>
      <c r="S137" s="83"/>
      <c r="T137" s="83"/>
      <c r="U137" s="83"/>
      <c r="V137" s="83"/>
      <c r="W137" s="73">
        <f t="shared" si="11"/>
        <v>360295848.41570854</v>
      </c>
      <c r="X137" s="88"/>
      <c r="Y137" s="73">
        <f t="shared" si="9"/>
        <v>-116957879.29183526</v>
      </c>
      <c r="Z137" s="83"/>
      <c r="AA137" s="96"/>
      <c r="AB137" s="83"/>
      <c r="AC137" s="83"/>
      <c r="AD137" s="71">
        <f t="shared" si="10"/>
        <v>557484370.16643822</v>
      </c>
      <c r="AE137" s="66"/>
    </row>
    <row r="138" spans="1:31" ht="13.5" thickBot="1" x14ac:dyDescent="0.25">
      <c r="A138" s="224">
        <v>2059</v>
      </c>
      <c r="B138" s="208">
        <v>71</v>
      </c>
      <c r="C138" s="89"/>
      <c r="D138" s="73">
        <f t="shared" si="4"/>
        <v>-40880434.259851158</v>
      </c>
      <c r="E138" s="83"/>
      <c r="F138" s="96"/>
      <c r="G138" s="83"/>
      <c r="H138" s="83"/>
      <c r="I138" s="73">
        <f t="shared" si="5"/>
        <v>187220418.59547502</v>
      </c>
      <c r="J138" s="89"/>
      <c r="K138" s="73">
        <f t="shared" si="6"/>
        <v>-54252501.493384279</v>
      </c>
      <c r="L138" s="83"/>
      <c r="M138" s="83"/>
      <c r="N138" s="83"/>
      <c r="O138" s="83"/>
      <c r="P138" s="71">
        <f t="shared" si="7"/>
        <v>241522497.66174135</v>
      </c>
      <c r="Q138" s="89"/>
      <c r="R138" s="73">
        <f t="shared" si="8"/>
        <v>-70984575.825473875</v>
      </c>
      <c r="S138" s="83"/>
      <c r="T138" s="83"/>
      <c r="U138" s="83"/>
      <c r="V138" s="83"/>
      <c r="W138" s="73">
        <f t="shared" si="11"/>
        <v>307326065.01102006</v>
      </c>
      <c r="X138" s="88"/>
      <c r="Y138" s="73">
        <f t="shared" si="9"/>
        <v>-116957879.29183526</v>
      </c>
      <c r="Z138" s="83"/>
      <c r="AA138" s="96"/>
      <c r="AB138" s="83"/>
      <c r="AC138" s="83"/>
      <c r="AD138" s="71">
        <f t="shared" si="10"/>
        <v>479550396.78625363</v>
      </c>
      <c r="AE138" s="66"/>
    </row>
    <row r="139" spans="1:31" x14ac:dyDescent="0.2">
      <c r="A139" s="224">
        <v>2060</v>
      </c>
      <c r="B139" s="20">
        <v>72</v>
      </c>
      <c r="C139" s="89"/>
      <c r="D139" s="73">
        <f t="shared" si="4"/>
        <v>-40880434.259851158</v>
      </c>
      <c r="E139" s="83"/>
      <c r="F139" s="96"/>
      <c r="G139" s="83"/>
      <c r="H139" s="83"/>
      <c r="I139" s="73">
        <f t="shared" si="5"/>
        <v>151956596.89348811</v>
      </c>
      <c r="J139" s="89"/>
      <c r="K139" s="73">
        <f t="shared" si="6"/>
        <v>-54252501.493384279</v>
      </c>
      <c r="L139" s="83"/>
      <c r="M139" s="83"/>
      <c r="N139" s="83"/>
      <c r="O139" s="83"/>
      <c r="P139" s="71">
        <f t="shared" si="7"/>
        <v>196930896.07482675</v>
      </c>
      <c r="Q139" s="89"/>
      <c r="R139" s="73">
        <f t="shared" si="8"/>
        <v>-70984575.825473875</v>
      </c>
      <c r="S139" s="83"/>
      <c r="T139" s="83"/>
      <c r="U139" s="83"/>
      <c r="V139" s="83"/>
      <c r="W139" s="73">
        <f t="shared" si="11"/>
        <v>251707792.43609723</v>
      </c>
      <c r="X139" s="88"/>
      <c r="Y139" s="73">
        <f t="shared" si="9"/>
        <v>-116957879.29183526</v>
      </c>
      <c r="Z139" s="83"/>
      <c r="AA139" s="96"/>
      <c r="AB139" s="83"/>
      <c r="AC139" s="83"/>
      <c r="AD139" s="71">
        <f t="shared" si="10"/>
        <v>396161045.26945615</v>
      </c>
      <c r="AE139" s="66"/>
    </row>
    <row r="140" spans="1:31" ht="13.5" thickBot="1" x14ac:dyDescent="0.25">
      <c r="A140" s="224">
        <v>2061</v>
      </c>
      <c r="B140" s="208">
        <v>73</v>
      </c>
      <c r="C140" s="89"/>
      <c r="D140" s="73">
        <f t="shared" si="4"/>
        <v>-40880434.259851158</v>
      </c>
      <c r="E140" s="83"/>
      <c r="F140" s="96"/>
      <c r="G140" s="83"/>
      <c r="H140" s="83"/>
      <c r="I140" s="73">
        <f t="shared" si="5"/>
        <v>115634860.5404416</v>
      </c>
      <c r="J140" s="89"/>
      <c r="K140" s="73">
        <f t="shared" si="6"/>
        <v>-54252501.493384279</v>
      </c>
      <c r="L140" s="83"/>
      <c r="M140" s="83"/>
      <c r="N140" s="83"/>
      <c r="O140" s="83"/>
      <c r="P140" s="71">
        <f t="shared" si="7"/>
        <v>150555630.42443556</v>
      </c>
      <c r="Q140" s="89"/>
      <c r="R140" s="73">
        <f t="shared" si="8"/>
        <v>-70984575.825473875</v>
      </c>
      <c r="S140" s="83"/>
      <c r="T140" s="83"/>
      <c r="U140" s="83"/>
      <c r="V140" s="83"/>
      <c r="W140" s="73">
        <f t="shared" si="11"/>
        <v>193308606.23242822</v>
      </c>
      <c r="X140" s="88"/>
      <c r="Y140" s="73">
        <f t="shared" si="9"/>
        <v>-116957879.29183526</v>
      </c>
      <c r="Z140" s="83"/>
      <c r="AA140" s="96"/>
      <c r="AB140" s="83"/>
      <c r="AC140" s="83"/>
      <c r="AD140" s="71">
        <f t="shared" si="10"/>
        <v>306934439.14648283</v>
      </c>
      <c r="AE140" s="66"/>
    </row>
    <row r="141" spans="1:31" x14ac:dyDescent="0.2">
      <c r="A141" s="224">
        <v>2062</v>
      </c>
      <c r="B141" s="20">
        <v>74</v>
      </c>
      <c r="C141" s="89"/>
      <c r="D141" s="73">
        <f t="shared" si="4"/>
        <v>-40880434.259851158</v>
      </c>
      <c r="E141" s="83"/>
      <c r="F141" s="96"/>
      <c r="G141" s="83"/>
      <c r="H141" s="83"/>
      <c r="I141" s="73">
        <f t="shared" si="5"/>
        <v>78223472.096803695</v>
      </c>
      <c r="J141" s="89"/>
      <c r="K141" s="73">
        <f t="shared" si="6"/>
        <v>-54252501.493384279</v>
      </c>
      <c r="L141" s="83"/>
      <c r="M141" s="83"/>
      <c r="N141" s="83"/>
      <c r="O141" s="83"/>
      <c r="P141" s="71">
        <f t="shared" si="7"/>
        <v>102325354.1480287</v>
      </c>
      <c r="Q141" s="89"/>
      <c r="R141" s="73">
        <f t="shared" si="8"/>
        <v>-70984575.825473875</v>
      </c>
      <c r="S141" s="83"/>
      <c r="T141" s="83"/>
      <c r="U141" s="83"/>
      <c r="V141" s="83"/>
      <c r="W141" s="73">
        <f t="shared" si="11"/>
        <v>131989460.71857578</v>
      </c>
      <c r="X141" s="88"/>
      <c r="Y141" s="73">
        <f t="shared" si="9"/>
        <v>-116957879.29183526</v>
      </c>
      <c r="Z141" s="83"/>
      <c r="AA141" s="96"/>
      <c r="AB141" s="83"/>
      <c r="AC141" s="83"/>
      <c r="AD141" s="71">
        <f t="shared" si="10"/>
        <v>211461970.59490138</v>
      </c>
      <c r="AE141" s="66"/>
    </row>
    <row r="142" spans="1:31" ht="13.5" thickBot="1" x14ac:dyDescent="0.25">
      <c r="A142" s="224">
        <v>2063</v>
      </c>
      <c r="B142" s="208">
        <v>75</v>
      </c>
      <c r="C142" s="89"/>
      <c r="D142" s="73">
        <f t="shared" si="4"/>
        <v>-40880434.259851158</v>
      </c>
      <c r="E142" s="83"/>
      <c r="F142" s="96"/>
      <c r="G142" s="83"/>
      <c r="H142" s="83"/>
      <c r="I142" s="73">
        <f t="shared" si="5"/>
        <v>39689741.999856651</v>
      </c>
      <c r="J142" s="89"/>
      <c r="K142" s="73">
        <f t="shared" si="6"/>
        <v>-54252501.493384279</v>
      </c>
      <c r="L142" s="83"/>
      <c r="M142" s="83"/>
      <c r="N142" s="83"/>
      <c r="O142" s="83"/>
      <c r="P142" s="71">
        <f t="shared" si="7"/>
        <v>52165866.820565574</v>
      </c>
      <c r="Q142" s="89"/>
      <c r="R142" s="73">
        <f t="shared" si="8"/>
        <v>-70984575.825473875</v>
      </c>
      <c r="S142" s="83"/>
      <c r="T142" s="83"/>
      <c r="U142" s="83"/>
      <c r="V142" s="83"/>
      <c r="W142" s="73">
        <f t="shared" si="11"/>
        <v>67604357.929030687</v>
      </c>
      <c r="X142" s="88"/>
      <c r="Y142" s="73">
        <f t="shared" si="9"/>
        <v>-116957879.29183526</v>
      </c>
      <c r="Z142" s="83"/>
      <c r="AA142" s="96"/>
      <c r="AB142" s="83"/>
      <c r="AC142" s="83"/>
      <c r="AD142" s="71">
        <f t="shared" si="10"/>
        <v>109306429.24470924</v>
      </c>
      <c r="AE142" s="66"/>
    </row>
    <row r="143" spans="1:31" ht="13.5" thickBot="1" x14ac:dyDescent="0.25">
      <c r="A143" s="224">
        <v>2064</v>
      </c>
      <c r="B143" s="20">
        <v>76</v>
      </c>
      <c r="C143" s="90"/>
      <c r="D143" s="76">
        <f t="shared" si="4"/>
        <v>-40880434.259851158</v>
      </c>
      <c r="E143" s="84"/>
      <c r="F143" s="211"/>
      <c r="G143" s="84"/>
      <c r="H143" s="84"/>
      <c r="I143" s="76">
        <f t="shared" si="5"/>
        <v>1.1920928955078125E-6</v>
      </c>
      <c r="J143" s="90"/>
      <c r="K143" s="76">
        <f t="shared" si="6"/>
        <v>-54252501.493384279</v>
      </c>
      <c r="L143" s="84"/>
      <c r="M143" s="84"/>
      <c r="N143" s="84"/>
      <c r="O143" s="84"/>
      <c r="P143" s="77">
        <f t="shared" si="7"/>
        <v>3.9190053939819336E-6</v>
      </c>
      <c r="Q143" s="90"/>
      <c r="R143" s="76">
        <f t="shared" si="8"/>
        <v>-70984575.825473875</v>
      </c>
      <c r="S143" s="84"/>
      <c r="T143" s="84"/>
      <c r="U143" s="84"/>
      <c r="V143" s="84"/>
      <c r="W143" s="76">
        <f t="shared" si="11"/>
        <v>8.3446502685546875E-6</v>
      </c>
      <c r="X143" s="137"/>
      <c r="Y143" s="76">
        <f t="shared" si="9"/>
        <v>-116957879.29183526</v>
      </c>
      <c r="Z143" s="84"/>
      <c r="AA143" s="211"/>
      <c r="AB143" s="84"/>
      <c r="AC143" s="84"/>
      <c r="AD143" s="77">
        <f t="shared" si="10"/>
        <v>3.6358833312988281E-6</v>
      </c>
      <c r="AE143" s="66"/>
    </row>
    <row r="144" spans="1:31" ht="13.5" thickBot="1" x14ac:dyDescent="0.25">
      <c r="A144" s="224">
        <v>2065</v>
      </c>
      <c r="B144" s="208">
        <v>77</v>
      </c>
      <c r="C144" s="90"/>
      <c r="D144" s="76"/>
      <c r="E144" s="76"/>
      <c r="F144" s="76"/>
      <c r="G144" s="76"/>
      <c r="H144" s="76"/>
      <c r="I144" s="76"/>
      <c r="J144" s="91"/>
      <c r="K144" s="76"/>
      <c r="L144" s="76"/>
      <c r="M144" s="76"/>
      <c r="N144" s="76"/>
      <c r="O144" s="76"/>
      <c r="P144" s="75"/>
      <c r="Q144" s="92"/>
      <c r="R144" s="76"/>
      <c r="S144" s="76"/>
      <c r="T144" s="76"/>
      <c r="U144" s="76"/>
      <c r="V144" s="76"/>
      <c r="W144" s="76"/>
      <c r="X144" s="74"/>
      <c r="Y144" s="76"/>
      <c r="Z144" s="76"/>
      <c r="AA144" s="76"/>
      <c r="AB144" s="76"/>
      <c r="AC144" s="76"/>
      <c r="AD144" s="76"/>
      <c r="AE144" s="66"/>
    </row>
    <row r="145" spans="1:31" x14ac:dyDescent="0.2">
      <c r="A145" s="224">
        <v>2066</v>
      </c>
      <c r="B145" s="20">
        <v>78</v>
      </c>
      <c r="Q145" s="56"/>
      <c r="Y145" s="93"/>
      <c r="Z145" s="93"/>
      <c r="AA145" s="93"/>
      <c r="AB145" s="93"/>
      <c r="AC145" s="93"/>
      <c r="AD145" s="93"/>
      <c r="AE145" s="66"/>
    </row>
    <row r="146" spans="1:31" ht="13.5" thickBot="1" x14ac:dyDescent="0.25">
      <c r="A146" s="224">
        <v>2067</v>
      </c>
      <c r="B146" s="208">
        <v>79</v>
      </c>
      <c r="I146" s="94"/>
      <c r="Q146" s="56"/>
      <c r="Y146" s="93"/>
      <c r="Z146" s="93"/>
      <c r="AA146" s="93"/>
      <c r="AB146" s="93"/>
      <c r="AC146" s="93"/>
      <c r="AD146" s="93"/>
      <c r="AE146" s="66"/>
    </row>
    <row r="147" spans="1:31" x14ac:dyDescent="0.2">
      <c r="A147" s="224">
        <v>2068</v>
      </c>
      <c r="B147" s="20">
        <v>80</v>
      </c>
      <c r="Q147" s="56"/>
      <c r="Y147" s="80"/>
      <c r="Z147" s="80"/>
      <c r="AA147" s="80"/>
      <c r="AB147" s="80"/>
      <c r="AC147" s="80"/>
      <c r="AD147" s="80"/>
      <c r="AE147" s="66"/>
    </row>
    <row r="148" spans="1:31" ht="13.5" thickBot="1" x14ac:dyDescent="0.25">
      <c r="A148" s="225">
        <v>2069</v>
      </c>
      <c r="B148" s="208">
        <v>81</v>
      </c>
      <c r="Q148" s="56"/>
      <c r="Y148" s="80"/>
      <c r="Z148" s="80"/>
      <c r="AA148" s="80"/>
      <c r="AB148" s="80"/>
      <c r="AC148" s="80"/>
      <c r="AD148" s="80"/>
      <c r="AE148" s="66"/>
    </row>
    <row r="149" spans="1:31" x14ac:dyDescent="0.2">
      <c r="Q149" s="56"/>
      <c r="Y149" s="80"/>
      <c r="Z149" s="80"/>
      <c r="AA149" s="80"/>
      <c r="AB149" s="80"/>
      <c r="AC149" s="80"/>
      <c r="AD149" s="80"/>
      <c r="AE149" s="66"/>
    </row>
    <row r="150" spans="1:31" x14ac:dyDescent="0.2">
      <c r="Q150" s="56"/>
      <c r="Y150" s="80"/>
      <c r="Z150" s="80"/>
      <c r="AA150" s="80"/>
      <c r="AB150" s="80"/>
      <c r="AC150" s="80"/>
      <c r="AD150" s="80"/>
      <c r="AE150" s="66"/>
    </row>
    <row r="151" spans="1:31" x14ac:dyDescent="0.2">
      <c r="Q151" s="56"/>
      <c r="Y151" s="80"/>
      <c r="Z151" s="80"/>
      <c r="AA151" s="80"/>
      <c r="AB151" s="80"/>
      <c r="AC151" s="80"/>
      <c r="AD151" s="80"/>
      <c r="AE151" s="66"/>
    </row>
    <row r="152" spans="1:31" x14ac:dyDescent="0.2">
      <c r="Q152" s="56"/>
      <c r="Y152" s="80"/>
      <c r="Z152" s="80"/>
      <c r="AA152" s="80"/>
      <c r="AB152" s="80"/>
      <c r="AC152" s="80"/>
      <c r="AD152" s="80"/>
      <c r="AE152" s="66"/>
    </row>
    <row r="153" spans="1:31" x14ac:dyDescent="0.2">
      <c r="Q153" s="56"/>
      <c r="Y153" s="80"/>
      <c r="Z153" s="80"/>
      <c r="AA153" s="80"/>
      <c r="AB153" s="80"/>
      <c r="AC153" s="80"/>
      <c r="AD153" s="80"/>
      <c r="AE153" s="66"/>
    </row>
    <row r="154" spans="1:31" x14ac:dyDescent="0.2">
      <c r="Q154" s="56"/>
      <c r="Y154" s="80"/>
      <c r="Z154" s="80"/>
      <c r="AA154" s="80"/>
      <c r="AB154" s="80"/>
      <c r="AC154" s="80"/>
      <c r="AD154" s="80"/>
      <c r="AE154" s="66"/>
    </row>
    <row r="155" spans="1:31" x14ac:dyDescent="0.2">
      <c r="Q155" s="56"/>
      <c r="AE155" s="66"/>
    </row>
    <row r="156" spans="1:31" x14ac:dyDescent="0.2">
      <c r="Q156" s="56"/>
      <c r="AE156" s="66"/>
    </row>
    <row r="157" spans="1:31" x14ac:dyDescent="0.2">
      <c r="Q157" s="56"/>
      <c r="AE157" s="66"/>
    </row>
    <row r="158" spans="1:31" x14ac:dyDescent="0.2">
      <c r="AE158" s="66"/>
    </row>
    <row r="159" spans="1:31" x14ac:dyDescent="0.2">
      <c r="AE159" s="66"/>
    </row>
    <row r="160" spans="1:31" x14ac:dyDescent="0.2">
      <c r="AE160" s="66"/>
    </row>
    <row r="161" spans="31:31" x14ac:dyDescent="0.2">
      <c r="AE161" s="66"/>
    </row>
    <row r="162" spans="31:31" x14ac:dyDescent="0.2">
      <c r="AE162" s="66"/>
    </row>
    <row r="163" spans="31:31" x14ac:dyDescent="0.2">
      <c r="AE163" s="138"/>
    </row>
    <row r="164" spans="31:31" x14ac:dyDescent="0.2">
      <c r="AE164" s="138"/>
    </row>
    <row r="165" spans="31:31" x14ac:dyDescent="0.2">
      <c r="AE165" s="138"/>
    </row>
    <row r="166" spans="31:31" x14ac:dyDescent="0.2">
      <c r="AE166" s="138"/>
    </row>
    <row r="167" spans="31:31" x14ac:dyDescent="0.2">
      <c r="AE167" s="138"/>
    </row>
    <row r="168" spans="31:31" x14ac:dyDescent="0.2">
      <c r="AE168" s="138"/>
    </row>
    <row r="169" spans="31:31" x14ac:dyDescent="0.2">
      <c r="AE169" s="138"/>
    </row>
    <row r="170" spans="31:31" x14ac:dyDescent="0.2">
      <c r="AE170" s="138"/>
    </row>
    <row r="171" spans="31:31" x14ac:dyDescent="0.2">
      <c r="AE171" s="138"/>
    </row>
    <row r="172" spans="31:31" x14ac:dyDescent="0.2">
      <c r="AE172" s="138"/>
    </row>
    <row r="173" spans="31:31" x14ac:dyDescent="0.2">
      <c r="AE173" s="138"/>
    </row>
  </sheetData>
  <mergeCells count="9">
    <mergeCell ref="C3:P3"/>
    <mergeCell ref="C4:P4"/>
    <mergeCell ref="Q3:AD3"/>
    <mergeCell ref="Q4:AD4"/>
    <mergeCell ref="A5:A68"/>
    <mergeCell ref="J5:P5"/>
    <mergeCell ref="Q5:W5"/>
    <mergeCell ref="X5:AD5"/>
    <mergeCell ref="C5:I5"/>
  </mergeCells>
  <pageMargins left="0.7" right="0.7" top="0.75" bottom="0.75" header="0.3" footer="0.3"/>
  <pageSetup paperSize="17" scale="28" fitToHeight="0" orientation="landscape" r:id="rId1"/>
  <headerFooter>
    <oddFooter xml:space="preserve">&amp;L&amp;"-,Bold"&amp;9This is a preliminary draft document. It is intended for discussion purposes only. </oddFooter>
  </headerFooter>
  <colBreaks count="1" manualBreakCount="1">
    <brk id="1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1"/>
  <sheetViews>
    <sheetView view="pageBreakPreview" zoomScaleNormal="100" zoomScaleSheetLayoutView="100" workbookViewId="0">
      <selection activeCell="E10" sqref="E10"/>
    </sheetView>
  </sheetViews>
  <sheetFormatPr defaultRowHeight="12.75" x14ac:dyDescent="0.2"/>
  <cols>
    <col min="1" max="1" width="9.28515625" style="2" bestFit="1" customWidth="1"/>
    <col min="2" max="2" width="12.140625" style="2" customWidth="1"/>
    <col min="3" max="3" width="1.7109375" style="2" customWidth="1"/>
    <col min="4" max="4" width="14" style="2" customWidth="1"/>
    <col min="5" max="5" width="17.28515625" style="2" customWidth="1"/>
    <col min="6" max="6" width="9.42578125" style="2" bestFit="1" customWidth="1"/>
    <col min="7" max="7" width="9.28515625" style="2" bestFit="1" customWidth="1"/>
    <col min="8" max="8" width="9.140625" style="2"/>
    <col min="9" max="9" width="15.42578125" style="2" bestFit="1" customWidth="1"/>
    <col min="10" max="16384" width="9.140625" style="2"/>
  </cols>
  <sheetData>
    <row r="1" spans="1:6" x14ac:dyDescent="0.2">
      <c r="A1" s="155" t="s">
        <v>54</v>
      </c>
      <c r="B1" s="156"/>
      <c r="C1" s="156"/>
      <c r="D1" s="156"/>
      <c r="E1" s="157"/>
    </row>
    <row r="2" spans="1:6" x14ac:dyDescent="0.2">
      <c r="A2" s="284" t="s">
        <v>55</v>
      </c>
      <c r="B2" s="4"/>
      <c r="C2" s="4"/>
      <c r="D2" s="4"/>
      <c r="E2" s="285"/>
    </row>
    <row r="3" spans="1:6" x14ac:dyDescent="0.2">
      <c r="A3" s="155"/>
      <c r="B3" s="156"/>
      <c r="C3" s="156"/>
      <c r="D3" s="156"/>
      <c r="E3" s="156"/>
      <c r="F3" s="157"/>
    </row>
    <row r="4" spans="1:6" ht="13.5" thickBot="1" x14ac:dyDescent="0.25">
      <c r="A4" s="284" t="s">
        <v>15</v>
      </c>
      <c r="B4" s="4"/>
      <c r="C4" s="4"/>
      <c r="D4" s="4"/>
      <c r="E4" s="4">
        <v>0.89</v>
      </c>
      <c r="F4" s="285"/>
    </row>
    <row r="5" spans="1:6" ht="13.5" thickBot="1" x14ac:dyDescent="0.25">
      <c r="A5" s="284" t="s">
        <v>59</v>
      </c>
      <c r="B5" s="4"/>
      <c r="C5" s="4"/>
      <c r="D5" s="4"/>
      <c r="E5" s="53">
        <f>'LPP Cost'!I17</f>
        <v>969000000</v>
      </c>
      <c r="F5" s="285"/>
    </row>
    <row r="6" spans="1:6" x14ac:dyDescent="0.2">
      <c r="A6" s="286" t="s">
        <v>103</v>
      </c>
      <c r="B6" s="4"/>
      <c r="C6" s="4"/>
      <c r="D6" s="4"/>
      <c r="E6" s="254">
        <f>-'Economist Prepay (Plan 2)'!I14</f>
        <v>-125000000</v>
      </c>
      <c r="F6" s="285"/>
    </row>
    <row r="7" spans="1:6" x14ac:dyDescent="0.2">
      <c r="A7" s="286" t="s">
        <v>104</v>
      </c>
      <c r="B7" s="4"/>
      <c r="C7" s="4"/>
      <c r="D7" s="4"/>
      <c r="E7" s="254">
        <f>E5-E6</f>
        <v>1094000000</v>
      </c>
      <c r="F7" s="285"/>
    </row>
    <row r="8" spans="1:6" x14ac:dyDescent="0.2">
      <c r="A8" s="284" t="s">
        <v>60</v>
      </c>
      <c r="B8" s="4"/>
      <c r="C8" s="4"/>
      <c r="D8" s="4"/>
      <c r="E8" s="287">
        <f>'Construction Timing'!I23</f>
        <v>82249</v>
      </c>
      <c r="F8" s="285"/>
    </row>
    <row r="9" spans="1:6" x14ac:dyDescent="0.2">
      <c r="A9" s="284" t="s">
        <v>21</v>
      </c>
      <c r="B9" s="4"/>
      <c r="C9" s="4"/>
      <c r="D9" s="4"/>
      <c r="E9" s="288">
        <v>325851.4285714</v>
      </c>
      <c r="F9" s="285"/>
    </row>
    <row r="10" spans="1:6" x14ac:dyDescent="0.2">
      <c r="A10" s="284" t="s">
        <v>36</v>
      </c>
      <c r="B10" s="4"/>
      <c r="C10" s="4"/>
      <c r="D10" s="4"/>
      <c r="E10" s="4">
        <v>2.94</v>
      </c>
      <c r="F10" s="285"/>
    </row>
    <row r="11" spans="1:6" x14ac:dyDescent="0.2">
      <c r="A11" s="158" t="s">
        <v>61</v>
      </c>
      <c r="B11" s="159"/>
      <c r="C11" s="159"/>
      <c r="D11" s="159"/>
      <c r="E11" s="159">
        <v>365</v>
      </c>
      <c r="F11" s="285"/>
    </row>
    <row r="12" spans="1:6" x14ac:dyDescent="0.2">
      <c r="A12" s="411" t="s">
        <v>169</v>
      </c>
      <c r="E12" s="470">
        <f>'Interest Rate'!J16</f>
        <v>4.4999999999999998E-2</v>
      </c>
      <c r="F12" s="160"/>
    </row>
    <row r="13" spans="1:6" x14ac:dyDescent="0.2">
      <c r="A13" s="543" t="s">
        <v>347</v>
      </c>
      <c r="E13" s="2">
        <f>'Conservation Input'!I25</f>
        <v>10600</v>
      </c>
    </row>
    <row r="14" spans="1:6" ht="13.5" thickBot="1" x14ac:dyDescent="0.25">
      <c r="A14" s="543"/>
    </row>
    <row r="15" spans="1:6" x14ac:dyDescent="0.2">
      <c r="A15" s="771" t="s">
        <v>535</v>
      </c>
      <c r="B15" s="772"/>
      <c r="C15" s="772"/>
      <c r="D15" s="772"/>
      <c r="E15" s="772"/>
      <c r="F15" s="773"/>
    </row>
    <row r="16" spans="1:6" x14ac:dyDescent="0.2">
      <c r="A16" s="774"/>
      <c r="B16" s="1046" t="s">
        <v>536</v>
      </c>
      <c r="C16" s="1046"/>
      <c r="D16" s="1046"/>
      <c r="E16" s="156">
        <v>53</v>
      </c>
      <c r="F16" s="45">
        <f>E16/(E$20)</f>
        <v>0.25358851674641147</v>
      </c>
    </row>
    <row r="17" spans="1:6" x14ac:dyDescent="0.2">
      <c r="A17" s="775"/>
      <c r="B17" s="778" t="s">
        <v>540</v>
      </c>
      <c r="C17" s="778"/>
      <c r="D17" s="778"/>
      <c r="E17" s="4">
        <f>E18-E16</f>
        <v>89</v>
      </c>
      <c r="F17" s="45">
        <f>E17/(E$20)</f>
        <v>0.42583732057416268</v>
      </c>
    </row>
    <row r="18" spans="1:6" x14ac:dyDescent="0.2">
      <c r="A18" s="775"/>
      <c r="B18" s="1047" t="s">
        <v>537</v>
      </c>
      <c r="C18" s="1047"/>
      <c r="D18" s="1047"/>
      <c r="E18" s="4">
        <v>142</v>
      </c>
      <c r="F18" s="45">
        <f>E18/(E$20)</f>
        <v>0.67942583732057416</v>
      </c>
    </row>
    <row r="19" spans="1:6" x14ac:dyDescent="0.2">
      <c r="A19" s="775"/>
      <c r="B19" s="778" t="s">
        <v>539</v>
      </c>
      <c r="C19" s="778"/>
      <c r="D19" s="778"/>
      <c r="E19" s="4">
        <f>E20-E18</f>
        <v>67</v>
      </c>
      <c r="F19" s="45">
        <f>E19/(E$20)</f>
        <v>0.32057416267942584</v>
      </c>
    </row>
    <row r="20" spans="1:6" ht="15.75" customHeight="1" thickBot="1" x14ac:dyDescent="0.25">
      <c r="A20" s="776"/>
      <c r="B20" s="1048" t="s">
        <v>538</v>
      </c>
      <c r="C20" s="1048"/>
      <c r="D20" s="1048"/>
      <c r="E20" s="3">
        <v>209</v>
      </c>
      <c r="F20" s="777">
        <f>E20/(E$20)</f>
        <v>1</v>
      </c>
    </row>
    <row r="21" spans="1:6" x14ac:dyDescent="0.2">
      <c r="A21" s="543"/>
    </row>
    <row r="22" spans="1:6" x14ac:dyDescent="0.2">
      <c r="A22" s="543"/>
    </row>
    <row r="23" spans="1:6" x14ac:dyDescent="0.2">
      <c r="A23" s="543"/>
    </row>
    <row r="24" spans="1:6" x14ac:dyDescent="0.2">
      <c r="A24" s="543"/>
    </row>
    <row r="25" spans="1:6" ht="13.5" thickBot="1" x14ac:dyDescent="0.25"/>
    <row r="26" spans="1:6" ht="17.25" thickBot="1" x14ac:dyDescent="0.35">
      <c r="A26" s="1043" t="s">
        <v>20</v>
      </c>
      <c r="B26" s="1044"/>
      <c r="C26" s="1044"/>
      <c r="D26" s="1044"/>
      <c r="E26" s="1044"/>
      <c r="F26" s="1045"/>
    </row>
    <row r="27" spans="1:6" ht="15.75" customHeight="1" x14ac:dyDescent="0.2">
      <c r="A27" s="1040" t="s">
        <v>23</v>
      </c>
      <c r="B27" s="1041"/>
      <c r="C27" s="1041"/>
      <c r="D27" s="1041"/>
      <c r="E27" s="1041"/>
      <c r="F27" s="1042"/>
    </row>
    <row r="28" spans="1:6" ht="16.5" customHeight="1" thickBot="1" x14ac:dyDescent="0.25">
      <c r="A28" s="1040"/>
      <c r="B28" s="1041"/>
      <c r="C28" s="1041"/>
      <c r="D28" s="1041"/>
      <c r="E28" s="1041"/>
      <c r="F28" s="1042"/>
    </row>
    <row r="29" spans="1:6" ht="13.5" thickBot="1" x14ac:dyDescent="0.25">
      <c r="A29" s="102" t="s">
        <v>16</v>
      </c>
      <c r="B29" s="103"/>
      <c r="C29" s="103"/>
      <c r="D29" s="103"/>
      <c r="E29" s="104"/>
      <c r="F29" s="33">
        <v>245</v>
      </c>
    </row>
    <row r="30" spans="1:6" ht="13.5" thickBot="1" x14ac:dyDescent="0.25">
      <c r="A30" s="102" t="s">
        <v>18</v>
      </c>
      <c r="B30" s="103"/>
      <c r="C30" s="103"/>
      <c r="D30" s="103"/>
      <c r="E30" s="104"/>
      <c r="F30" s="44">
        <v>2025</v>
      </c>
    </row>
    <row r="31" spans="1:6" x14ac:dyDescent="0.2">
      <c r="A31" s="34"/>
      <c r="B31" s="4"/>
      <c r="C31" s="4"/>
      <c r="D31" s="4"/>
      <c r="E31" s="4"/>
      <c r="F31" s="45"/>
    </row>
    <row r="32" spans="1:6" s="1" customFormat="1" ht="26.25" customHeight="1" x14ac:dyDescent="0.2">
      <c r="A32" s="46" t="s">
        <v>10</v>
      </c>
      <c r="B32" s="47" t="s">
        <v>17</v>
      </c>
      <c r="C32" s="48"/>
      <c r="D32" s="48" t="s">
        <v>63</v>
      </c>
      <c r="E32" s="48" t="s">
        <v>62</v>
      </c>
      <c r="F32" s="49" t="s">
        <v>22</v>
      </c>
    </row>
    <row r="33" spans="1:7" ht="12" customHeight="1" x14ac:dyDescent="0.2">
      <c r="A33" s="34">
        <v>2013</v>
      </c>
      <c r="B33" s="35">
        <v>265</v>
      </c>
      <c r="C33" s="36" t="s">
        <v>14</v>
      </c>
      <c r="D33" s="37">
        <f t="shared" ref="D33:D80" si="0">(B33*365)/$E$9</f>
        <v>0.29683773498880267</v>
      </c>
      <c r="E33" s="37">
        <f>D33*$E$10</f>
        <v>0.87270294086707989</v>
      </c>
      <c r="F33" s="38">
        <f>D33*'Summary Baseline Data'!D32</f>
        <v>44912.476921727684</v>
      </c>
    </row>
    <row r="34" spans="1:7" ht="12" customHeight="1" x14ac:dyDescent="0.2">
      <c r="A34" s="34">
        <v>2014</v>
      </c>
      <c r="B34" s="39">
        <f t="shared" ref="B34:B80" si="1">IF(B33&lt;=$F$29,B33,(B33-(($B$33-$F$29)/($F$30-$A$33))))</f>
        <v>263.33333333333331</v>
      </c>
      <c r="C34" s="4"/>
      <c r="D34" s="37">
        <f t="shared" si="0"/>
        <v>0.29497083099516236</v>
      </c>
      <c r="E34" s="37">
        <f t="shared" ref="E34:E80" si="2">D34*$E$10</f>
        <v>0.86721424312577733</v>
      </c>
      <c r="F34" s="38">
        <f>D34*'Summary Baseline Data'!D33</f>
        <v>46545.585961251381</v>
      </c>
      <c r="G34" s="170"/>
    </row>
    <row r="35" spans="1:7" ht="12" customHeight="1" x14ac:dyDescent="0.2">
      <c r="A35" s="34">
        <v>2015</v>
      </c>
      <c r="B35" s="39">
        <f t="shared" si="1"/>
        <v>261.66666666666663</v>
      </c>
      <c r="C35" s="4"/>
      <c r="D35" s="37">
        <f t="shared" si="0"/>
        <v>0.2931039270015221</v>
      </c>
      <c r="E35" s="37">
        <f t="shared" si="2"/>
        <v>0.86172554538447499</v>
      </c>
      <c r="F35" s="38">
        <f>D35*'Summary Baseline Data'!D34</f>
        <v>48154.44718497969</v>
      </c>
      <c r="G35" s="170"/>
    </row>
    <row r="36" spans="1:7" x14ac:dyDescent="0.2">
      <c r="A36" s="34">
        <v>2016</v>
      </c>
      <c r="B36" s="39">
        <f t="shared" si="1"/>
        <v>259.99999999999994</v>
      </c>
      <c r="C36" s="4"/>
      <c r="D36" s="37">
        <f t="shared" si="0"/>
        <v>0.29123702300788185</v>
      </c>
      <c r="E36" s="37">
        <f t="shared" si="2"/>
        <v>0.85623684764317265</v>
      </c>
      <c r="F36" s="38">
        <f>D36*'Summary Baseline Data'!D35</f>
        <v>49739.060592912603</v>
      </c>
      <c r="G36" s="170"/>
    </row>
    <row r="37" spans="1:7" x14ac:dyDescent="0.2">
      <c r="A37" s="34">
        <v>2017</v>
      </c>
      <c r="B37" s="39">
        <f t="shared" si="1"/>
        <v>258.33333333333326</v>
      </c>
      <c r="C37" s="4"/>
      <c r="D37" s="37">
        <f t="shared" si="0"/>
        <v>0.28937011901424153</v>
      </c>
      <c r="E37" s="37">
        <f t="shared" si="2"/>
        <v>0.85074814990187009</v>
      </c>
      <c r="F37" s="38">
        <f>D37*'Summary Baseline Data'!D36</f>
        <v>51299.426185050106</v>
      </c>
      <c r="G37" s="170"/>
    </row>
    <row r="38" spans="1:7" x14ac:dyDescent="0.2">
      <c r="A38" s="34">
        <v>2018</v>
      </c>
      <c r="B38" s="39">
        <f t="shared" si="1"/>
        <v>256.66666666666657</v>
      </c>
      <c r="C38" s="4"/>
      <c r="D38" s="37">
        <f t="shared" si="0"/>
        <v>0.28750321502060122</v>
      </c>
      <c r="E38" s="37">
        <f t="shared" si="2"/>
        <v>0.84525945216056753</v>
      </c>
      <c r="F38" s="38">
        <f>D38*'Summary Baseline Data'!D37</f>
        <v>52835.543961392214</v>
      </c>
      <c r="G38" s="170"/>
    </row>
    <row r="39" spans="1:7" x14ac:dyDescent="0.2">
      <c r="A39" s="34">
        <v>2019</v>
      </c>
      <c r="B39" s="39">
        <f t="shared" si="1"/>
        <v>254.99999999999991</v>
      </c>
      <c r="C39" s="4"/>
      <c r="D39" s="37">
        <f t="shared" si="0"/>
        <v>0.28563631102696097</v>
      </c>
      <c r="E39" s="37">
        <f t="shared" si="2"/>
        <v>0.83977075441926519</v>
      </c>
      <c r="F39" s="38">
        <f>D39*'Summary Baseline Data'!D38</f>
        <v>54347.413921938933</v>
      </c>
      <c r="G39" s="170"/>
    </row>
    <row r="40" spans="1:7" x14ac:dyDescent="0.2">
      <c r="A40" s="34">
        <v>2020</v>
      </c>
      <c r="B40" s="39">
        <f t="shared" si="1"/>
        <v>253.33333333333326</v>
      </c>
      <c r="C40" s="4"/>
      <c r="D40" s="37">
        <f t="shared" si="0"/>
        <v>0.28376940703332071</v>
      </c>
      <c r="E40" s="37">
        <f t="shared" si="2"/>
        <v>0.83428205667796285</v>
      </c>
      <c r="F40" s="38">
        <f>D40*'Summary Baseline Data'!D40</f>
        <v>58212.910189866663</v>
      </c>
      <c r="G40" s="170"/>
    </row>
    <row r="41" spans="1:7" x14ac:dyDescent="0.2">
      <c r="A41" s="34">
        <v>2021</v>
      </c>
      <c r="B41" s="39">
        <f t="shared" si="1"/>
        <v>251.6666666666666</v>
      </c>
      <c r="C41" s="4"/>
      <c r="D41" s="37">
        <f t="shared" si="0"/>
        <v>0.28190250303968045</v>
      </c>
      <c r="E41" s="37">
        <f t="shared" si="2"/>
        <v>0.82879335893666051</v>
      </c>
      <c r="F41" s="38" t="e">
        <f>D41*'Summary Baseline Data'!#REF!</f>
        <v>#REF!</v>
      </c>
      <c r="G41" s="170"/>
    </row>
    <row r="42" spans="1:7" x14ac:dyDescent="0.2">
      <c r="A42" s="34">
        <v>2022</v>
      </c>
      <c r="B42" s="39">
        <f t="shared" si="1"/>
        <v>249.99999999999994</v>
      </c>
      <c r="C42" s="4"/>
      <c r="D42" s="37">
        <f t="shared" si="0"/>
        <v>0.2800355990460402</v>
      </c>
      <c r="E42" s="37">
        <f t="shared" si="2"/>
        <v>0.82330466119535817</v>
      </c>
      <c r="F42" s="38">
        <f>D42*'Summary Baseline Data'!D41</f>
        <v>59793.537151029363</v>
      </c>
      <c r="G42" s="170"/>
    </row>
    <row r="43" spans="1:7" x14ac:dyDescent="0.2">
      <c r="A43" s="34">
        <v>2023</v>
      </c>
      <c r="B43" s="39">
        <f t="shared" si="1"/>
        <v>248.33333333333329</v>
      </c>
      <c r="C43" s="4"/>
      <c r="D43" s="37">
        <f t="shared" si="0"/>
        <v>0.27816869505239994</v>
      </c>
      <c r="E43" s="37">
        <f t="shared" si="2"/>
        <v>0.81781596345405583</v>
      </c>
      <c r="F43" s="38">
        <f>D43*'Summary Baseline Data'!D42</f>
        <v>61725.855967083597</v>
      </c>
      <c r="G43" s="170"/>
    </row>
    <row r="44" spans="1:7" x14ac:dyDescent="0.2">
      <c r="A44" s="34">
        <v>2024</v>
      </c>
      <c r="B44" s="39">
        <f t="shared" si="1"/>
        <v>246.66666666666663</v>
      </c>
      <c r="C44" s="4"/>
      <c r="D44" s="37">
        <f t="shared" si="0"/>
        <v>0.27630179105875968</v>
      </c>
      <c r="E44" s="37">
        <f t="shared" si="2"/>
        <v>0.81232726571275349</v>
      </c>
      <c r="F44" s="38">
        <f>D44*'Summary Baseline Data'!D43</f>
        <v>63626.886965727608</v>
      </c>
      <c r="G44" s="170"/>
    </row>
    <row r="45" spans="1:7" x14ac:dyDescent="0.2">
      <c r="A45" s="34">
        <v>2025</v>
      </c>
      <c r="B45" s="39">
        <f t="shared" si="1"/>
        <v>244.99999999999997</v>
      </c>
      <c r="C45" s="4"/>
      <c r="D45" s="37">
        <f t="shared" si="0"/>
        <v>0.27443488706511943</v>
      </c>
      <c r="E45" s="37">
        <f t="shared" si="2"/>
        <v>0.80683856797145115</v>
      </c>
      <c r="F45" s="38">
        <f>D45*'Summary Baseline Data'!D44</f>
        <v>65496.630146961412</v>
      </c>
      <c r="G45" s="170"/>
    </row>
    <row r="46" spans="1:7" x14ac:dyDescent="0.2">
      <c r="A46" s="34">
        <v>2026</v>
      </c>
      <c r="B46" s="39">
        <f t="shared" si="1"/>
        <v>244.99999999999997</v>
      </c>
      <c r="C46" s="4"/>
      <c r="D46" s="37">
        <f t="shared" si="0"/>
        <v>0.27443488706511943</v>
      </c>
      <c r="E46" s="37">
        <f t="shared" si="2"/>
        <v>0.80683856797145115</v>
      </c>
      <c r="F46" s="38">
        <f>D46*'Summary Baseline Data'!D45</f>
        <v>67796.284726612284</v>
      </c>
      <c r="G46" s="170"/>
    </row>
    <row r="47" spans="1:7" x14ac:dyDescent="0.2">
      <c r="A47" s="34">
        <v>2027</v>
      </c>
      <c r="B47" s="39">
        <f t="shared" si="1"/>
        <v>244.99999999999997</v>
      </c>
      <c r="C47" s="4"/>
      <c r="D47" s="37">
        <f t="shared" si="0"/>
        <v>0.27443488706511943</v>
      </c>
      <c r="E47" s="37">
        <f t="shared" si="2"/>
        <v>0.80683856797145115</v>
      </c>
      <c r="F47" s="38">
        <f>D47*'Summary Baseline Data'!D46</f>
        <v>70095.939306263157</v>
      </c>
      <c r="G47" s="170"/>
    </row>
    <row r="48" spans="1:7" x14ac:dyDescent="0.2">
      <c r="A48" s="34">
        <v>2028</v>
      </c>
      <c r="B48" s="39">
        <f t="shared" si="1"/>
        <v>244.99999999999997</v>
      </c>
      <c r="C48" s="4"/>
      <c r="D48" s="37">
        <f t="shared" si="0"/>
        <v>0.27443488706511943</v>
      </c>
      <c r="E48" s="37">
        <f t="shared" si="2"/>
        <v>0.80683856797145115</v>
      </c>
      <c r="F48" s="38">
        <f>D48*'Summary Baseline Data'!D47</f>
        <v>72395.593885914044</v>
      </c>
      <c r="G48" s="170"/>
    </row>
    <row r="49" spans="1:7" x14ac:dyDescent="0.2">
      <c r="A49" s="34">
        <v>2029</v>
      </c>
      <c r="B49" s="39">
        <f t="shared" si="1"/>
        <v>244.99999999999997</v>
      </c>
      <c r="C49" s="4"/>
      <c r="D49" s="37">
        <f t="shared" si="0"/>
        <v>0.27443488706511943</v>
      </c>
      <c r="E49" s="37">
        <f t="shared" si="2"/>
        <v>0.80683856797145115</v>
      </c>
      <c r="F49" s="38">
        <f>D49*'Summary Baseline Data'!D48</f>
        <v>74695.248465564902</v>
      </c>
      <c r="G49" s="170"/>
    </row>
    <row r="50" spans="1:7" x14ac:dyDescent="0.2">
      <c r="A50" s="34">
        <v>2030</v>
      </c>
      <c r="B50" s="39">
        <f t="shared" si="1"/>
        <v>244.99999999999997</v>
      </c>
      <c r="C50" s="4"/>
      <c r="D50" s="37">
        <f t="shared" si="0"/>
        <v>0.27443488706511943</v>
      </c>
      <c r="E50" s="37">
        <f t="shared" si="2"/>
        <v>0.80683856797145115</v>
      </c>
      <c r="F50" s="38">
        <f>D50*'Summary Baseline Data'!D49</f>
        <v>76994.903045215775</v>
      </c>
      <c r="G50" s="170"/>
    </row>
    <row r="51" spans="1:7" x14ac:dyDescent="0.2">
      <c r="A51" s="34">
        <v>2031</v>
      </c>
      <c r="B51" s="39">
        <f t="shared" si="1"/>
        <v>244.99999999999997</v>
      </c>
      <c r="C51" s="4"/>
      <c r="D51" s="37">
        <f t="shared" si="0"/>
        <v>0.27443488706511943</v>
      </c>
      <c r="E51" s="37">
        <f t="shared" si="2"/>
        <v>0.80683856797145115</v>
      </c>
      <c r="F51" s="38">
        <f>D51*'Summary Baseline Data'!D50</f>
        <v>79497.33756291907</v>
      </c>
      <c r="G51" s="170"/>
    </row>
    <row r="52" spans="1:7" x14ac:dyDescent="0.2">
      <c r="A52" s="34">
        <v>2032</v>
      </c>
      <c r="B52" s="39">
        <f t="shared" si="1"/>
        <v>244.99999999999997</v>
      </c>
      <c r="C52" s="4"/>
      <c r="D52" s="37">
        <f t="shared" si="0"/>
        <v>0.27443488706511943</v>
      </c>
      <c r="E52" s="37">
        <f t="shared" si="2"/>
        <v>0.80683856797145115</v>
      </c>
      <c r="F52" s="38">
        <f>D52*'Summary Baseline Data'!D51</f>
        <v>81999.772080622366</v>
      </c>
      <c r="G52" s="170"/>
    </row>
    <row r="53" spans="1:7" x14ac:dyDescent="0.2">
      <c r="A53" s="34">
        <v>2033</v>
      </c>
      <c r="B53" s="39">
        <f t="shared" si="1"/>
        <v>244.99999999999997</v>
      </c>
      <c r="C53" s="4"/>
      <c r="D53" s="37">
        <f t="shared" si="0"/>
        <v>0.27443488706511943</v>
      </c>
      <c r="E53" s="37">
        <f t="shared" si="2"/>
        <v>0.80683856797145115</v>
      </c>
      <c r="F53" s="38">
        <f>D53*'Summary Baseline Data'!D52</f>
        <v>84502.206598325647</v>
      </c>
      <c r="G53" s="170"/>
    </row>
    <row r="54" spans="1:7" x14ac:dyDescent="0.2">
      <c r="A54" s="34">
        <v>2034</v>
      </c>
      <c r="B54" s="39">
        <f t="shared" si="1"/>
        <v>244.99999999999997</v>
      </c>
      <c r="C54" s="4"/>
      <c r="D54" s="37">
        <f t="shared" si="0"/>
        <v>0.27443488706511943</v>
      </c>
      <c r="E54" s="37">
        <f t="shared" si="2"/>
        <v>0.80683856797145115</v>
      </c>
      <c r="F54" s="38">
        <f>D54*'Summary Baseline Data'!D53</f>
        <v>87004.641116028943</v>
      </c>
      <c r="G54" s="170"/>
    </row>
    <row r="55" spans="1:7" x14ac:dyDescent="0.2">
      <c r="A55" s="34">
        <v>2035</v>
      </c>
      <c r="B55" s="39">
        <f t="shared" si="1"/>
        <v>244.99999999999997</v>
      </c>
      <c r="C55" s="4"/>
      <c r="D55" s="37">
        <f t="shared" si="0"/>
        <v>0.27443488706511943</v>
      </c>
      <c r="E55" s="37">
        <f t="shared" si="2"/>
        <v>0.80683856797145115</v>
      </c>
      <c r="F55" s="38">
        <f>D55*'Summary Baseline Data'!D54</f>
        <v>89507.075633732238</v>
      </c>
      <c r="G55" s="170"/>
    </row>
    <row r="56" spans="1:7" x14ac:dyDescent="0.2">
      <c r="A56" s="34">
        <v>2036</v>
      </c>
      <c r="B56" s="39">
        <f t="shared" si="1"/>
        <v>244.99999999999997</v>
      </c>
      <c r="C56" s="4"/>
      <c r="D56" s="37">
        <f t="shared" si="0"/>
        <v>0.27443488706511943</v>
      </c>
      <c r="E56" s="37">
        <f t="shared" si="2"/>
        <v>0.80683856797145115</v>
      </c>
      <c r="F56" s="38">
        <f>D56*'Summary Baseline Data'!D55</f>
        <v>92009.510151435519</v>
      </c>
      <c r="G56" s="170"/>
    </row>
    <row r="57" spans="1:7" x14ac:dyDescent="0.2">
      <c r="A57" s="34">
        <v>2037</v>
      </c>
      <c r="B57" s="39">
        <f t="shared" si="1"/>
        <v>244.99999999999997</v>
      </c>
      <c r="C57" s="4"/>
      <c r="D57" s="37">
        <f t="shared" si="0"/>
        <v>0.27443488706511943</v>
      </c>
      <c r="E57" s="37">
        <f t="shared" si="2"/>
        <v>0.80683856797145115</v>
      </c>
      <c r="F57" s="38">
        <f>D57*'Summary Baseline Data'!D56</f>
        <v>94511.944669138815</v>
      </c>
      <c r="G57" s="170"/>
    </row>
    <row r="58" spans="1:7" x14ac:dyDescent="0.2">
      <c r="A58" s="34">
        <v>2038</v>
      </c>
      <c r="B58" s="39">
        <f t="shared" si="1"/>
        <v>244.99999999999997</v>
      </c>
      <c r="C58" s="4"/>
      <c r="D58" s="37">
        <f t="shared" si="0"/>
        <v>0.27443488706511943</v>
      </c>
      <c r="E58" s="37">
        <f t="shared" si="2"/>
        <v>0.80683856797145115</v>
      </c>
      <c r="F58" s="38">
        <f>D58*'Summary Baseline Data'!D57</f>
        <v>97014.37918684211</v>
      </c>
    </row>
    <row r="59" spans="1:7" x14ac:dyDescent="0.2">
      <c r="A59" s="34">
        <v>2039</v>
      </c>
      <c r="B59" s="39">
        <f t="shared" si="1"/>
        <v>244.99999999999997</v>
      </c>
      <c r="C59" s="4"/>
      <c r="D59" s="37">
        <f t="shared" si="0"/>
        <v>0.27443488706511943</v>
      </c>
      <c r="E59" s="37">
        <f t="shared" si="2"/>
        <v>0.80683856797145115</v>
      </c>
      <c r="F59" s="38">
        <f>D59*'Summary Baseline Data'!D58</f>
        <v>99516.813704545406</v>
      </c>
    </row>
    <row r="60" spans="1:7" x14ac:dyDescent="0.2">
      <c r="A60" s="34">
        <v>2040</v>
      </c>
      <c r="B60" s="39">
        <f t="shared" si="1"/>
        <v>244.99999999999997</v>
      </c>
      <c r="C60" s="4"/>
      <c r="D60" s="37">
        <f t="shared" si="0"/>
        <v>0.27443488706511943</v>
      </c>
      <c r="E60" s="37">
        <f t="shared" si="2"/>
        <v>0.80683856797145115</v>
      </c>
      <c r="F60" s="38">
        <f>D60*'Summary Baseline Data'!D59</f>
        <v>102019.24822224869</v>
      </c>
    </row>
    <row r="61" spans="1:7" x14ac:dyDescent="0.2">
      <c r="A61" s="34">
        <v>2041</v>
      </c>
      <c r="B61" s="39">
        <f t="shared" si="1"/>
        <v>244.99999999999997</v>
      </c>
      <c r="C61" s="4"/>
      <c r="D61" s="37">
        <f t="shared" si="0"/>
        <v>0.27443488706511943</v>
      </c>
      <c r="E61" s="37">
        <f t="shared" si="2"/>
        <v>0.80683856797145115</v>
      </c>
      <c r="F61" s="38">
        <f>D61*'Summary Baseline Data'!D60</f>
        <v>104786.21052759406</v>
      </c>
    </row>
    <row r="62" spans="1:7" x14ac:dyDescent="0.2">
      <c r="A62" s="34">
        <v>2042</v>
      </c>
      <c r="B62" s="39">
        <f t="shared" si="1"/>
        <v>244.99999999999997</v>
      </c>
      <c r="C62" s="4"/>
      <c r="D62" s="37">
        <f t="shared" si="0"/>
        <v>0.27443488706511943</v>
      </c>
      <c r="E62" s="37">
        <f t="shared" si="2"/>
        <v>0.80683856797145115</v>
      </c>
      <c r="F62" s="38">
        <f>D62*'Summary Baseline Data'!D61</f>
        <v>107553.17283293942</v>
      </c>
    </row>
    <row r="63" spans="1:7" x14ac:dyDescent="0.2">
      <c r="A63" s="34">
        <v>2043</v>
      </c>
      <c r="B63" s="39">
        <f t="shared" si="1"/>
        <v>244.99999999999997</v>
      </c>
      <c r="C63" s="4"/>
      <c r="D63" s="37">
        <f t="shared" si="0"/>
        <v>0.27443488706511943</v>
      </c>
      <c r="E63" s="37">
        <f t="shared" si="2"/>
        <v>0.80683856797145115</v>
      </c>
      <c r="F63" s="38">
        <f>D63*'Summary Baseline Data'!D62</f>
        <v>110320.13513828479</v>
      </c>
    </row>
    <row r="64" spans="1:7" x14ac:dyDescent="0.2">
      <c r="A64" s="34">
        <v>2044</v>
      </c>
      <c r="B64" s="39">
        <f t="shared" si="1"/>
        <v>244.99999999999997</v>
      </c>
      <c r="C64" s="4"/>
      <c r="D64" s="37">
        <f t="shared" si="0"/>
        <v>0.27443488706511943</v>
      </c>
      <c r="E64" s="37">
        <f t="shared" si="2"/>
        <v>0.80683856797145115</v>
      </c>
      <c r="F64" s="38">
        <f>D64*'Summary Baseline Data'!D63</f>
        <v>113087.09744363016</v>
      </c>
    </row>
    <row r="65" spans="1:6" x14ac:dyDescent="0.2">
      <c r="A65" s="34">
        <v>2045</v>
      </c>
      <c r="B65" s="39">
        <f t="shared" si="1"/>
        <v>244.99999999999997</v>
      </c>
      <c r="C65" s="4"/>
      <c r="D65" s="37">
        <f t="shared" si="0"/>
        <v>0.27443488706511943</v>
      </c>
      <c r="E65" s="37">
        <f t="shared" si="2"/>
        <v>0.80683856797145115</v>
      </c>
      <c r="F65" s="38">
        <f>D65*'Summary Baseline Data'!D64</f>
        <v>115854.05974897552</v>
      </c>
    </row>
    <row r="66" spans="1:6" x14ac:dyDescent="0.2">
      <c r="A66" s="34">
        <v>2046</v>
      </c>
      <c r="B66" s="39">
        <f t="shared" si="1"/>
        <v>244.99999999999997</v>
      </c>
      <c r="C66" s="4"/>
      <c r="D66" s="37">
        <f t="shared" si="0"/>
        <v>0.27443488706511943</v>
      </c>
      <c r="E66" s="37">
        <f t="shared" si="2"/>
        <v>0.80683856797145115</v>
      </c>
      <c r="F66" s="38">
        <f>D66*'Summary Baseline Data'!D65</f>
        <v>118621.02205432089</v>
      </c>
    </row>
    <row r="67" spans="1:6" x14ac:dyDescent="0.2">
      <c r="A67" s="34">
        <v>2047</v>
      </c>
      <c r="B67" s="39">
        <f t="shared" si="1"/>
        <v>244.99999999999997</v>
      </c>
      <c r="C67" s="4"/>
      <c r="D67" s="37">
        <f t="shared" si="0"/>
        <v>0.27443488706511943</v>
      </c>
      <c r="E67" s="37">
        <f t="shared" si="2"/>
        <v>0.80683856797145115</v>
      </c>
      <c r="F67" s="38">
        <f>D67*'Summary Baseline Data'!D66</f>
        <v>121387.98435966625</v>
      </c>
    </row>
    <row r="68" spans="1:6" x14ac:dyDescent="0.2">
      <c r="A68" s="34">
        <v>2048</v>
      </c>
      <c r="B68" s="39">
        <f t="shared" si="1"/>
        <v>244.99999999999997</v>
      </c>
      <c r="C68" s="4"/>
      <c r="D68" s="37">
        <f t="shared" si="0"/>
        <v>0.27443488706511943</v>
      </c>
      <c r="E68" s="37">
        <f t="shared" si="2"/>
        <v>0.80683856797145115</v>
      </c>
      <c r="F68" s="38">
        <f>D68*'Summary Baseline Data'!D67</f>
        <v>124154.94666501162</v>
      </c>
    </row>
    <row r="69" spans="1:6" x14ac:dyDescent="0.2">
      <c r="A69" s="34">
        <v>2049</v>
      </c>
      <c r="B69" s="39">
        <f t="shared" si="1"/>
        <v>244.99999999999997</v>
      </c>
      <c r="C69" s="4"/>
      <c r="D69" s="37">
        <f t="shared" si="0"/>
        <v>0.27443488706511943</v>
      </c>
      <c r="E69" s="37">
        <f t="shared" si="2"/>
        <v>0.80683856797145115</v>
      </c>
      <c r="F69" s="38">
        <f>D69*'Summary Baseline Data'!D68</f>
        <v>126921.90897035699</v>
      </c>
    </row>
    <row r="70" spans="1:6" x14ac:dyDescent="0.2">
      <c r="A70" s="34">
        <v>2050</v>
      </c>
      <c r="B70" s="39">
        <f t="shared" si="1"/>
        <v>244.99999999999997</v>
      </c>
      <c r="C70" s="4"/>
      <c r="D70" s="37">
        <f t="shared" si="0"/>
        <v>0.27443488706511943</v>
      </c>
      <c r="E70" s="37">
        <f t="shared" si="2"/>
        <v>0.80683856797145115</v>
      </c>
      <c r="F70" s="38">
        <f>D70*'Summary Baseline Data'!D69</f>
        <v>129688.87127570229</v>
      </c>
    </row>
    <row r="71" spans="1:6" x14ac:dyDescent="0.2">
      <c r="A71" s="34">
        <v>2051</v>
      </c>
      <c r="B71" s="39">
        <f t="shared" si="1"/>
        <v>244.99999999999997</v>
      </c>
      <c r="C71" s="4"/>
      <c r="D71" s="37">
        <f t="shared" si="0"/>
        <v>0.27443488706511943</v>
      </c>
      <c r="E71" s="37">
        <f t="shared" si="2"/>
        <v>0.80683856797145115</v>
      </c>
      <c r="F71" s="38">
        <f>D71*'Summary Baseline Data'!D70</f>
        <v>132684.71227685997</v>
      </c>
    </row>
    <row r="72" spans="1:6" x14ac:dyDescent="0.2">
      <c r="A72" s="34">
        <v>2052</v>
      </c>
      <c r="B72" s="39">
        <f t="shared" si="1"/>
        <v>244.99999999999997</v>
      </c>
      <c r="C72" s="4"/>
      <c r="D72" s="37">
        <f t="shared" si="0"/>
        <v>0.27443488706511943</v>
      </c>
      <c r="E72" s="37">
        <f t="shared" si="2"/>
        <v>0.80683856797145115</v>
      </c>
      <c r="F72" s="38">
        <f>D72*'Summary Baseline Data'!D71</f>
        <v>135680.55327801764</v>
      </c>
    </row>
    <row r="73" spans="1:6" x14ac:dyDescent="0.2">
      <c r="A73" s="34">
        <v>2053</v>
      </c>
      <c r="B73" s="39">
        <f t="shared" si="1"/>
        <v>244.99999999999997</v>
      </c>
      <c r="C73" s="4"/>
      <c r="D73" s="37">
        <f t="shared" si="0"/>
        <v>0.27443488706511943</v>
      </c>
      <c r="E73" s="37">
        <f t="shared" si="2"/>
        <v>0.80683856797145115</v>
      </c>
      <c r="F73" s="38">
        <f>D73*'Summary Baseline Data'!D72</f>
        <v>138676.39427917532</v>
      </c>
    </row>
    <row r="74" spans="1:6" x14ac:dyDescent="0.2">
      <c r="A74" s="34">
        <v>2054</v>
      </c>
      <c r="B74" s="39">
        <f t="shared" si="1"/>
        <v>244.99999999999997</v>
      </c>
      <c r="C74" s="4"/>
      <c r="D74" s="37">
        <f t="shared" si="0"/>
        <v>0.27443488706511943</v>
      </c>
      <c r="E74" s="37">
        <f t="shared" si="2"/>
        <v>0.80683856797145115</v>
      </c>
      <c r="F74" s="38">
        <f>D74*'Summary Baseline Data'!D73</f>
        <v>141672.235280333</v>
      </c>
    </row>
    <row r="75" spans="1:6" x14ac:dyDescent="0.2">
      <c r="A75" s="34">
        <v>2055</v>
      </c>
      <c r="B75" s="39">
        <f t="shared" si="1"/>
        <v>244.99999999999997</v>
      </c>
      <c r="C75" s="4"/>
      <c r="D75" s="37">
        <f t="shared" si="0"/>
        <v>0.27443488706511943</v>
      </c>
      <c r="E75" s="37">
        <f t="shared" si="2"/>
        <v>0.80683856797145115</v>
      </c>
      <c r="F75" s="38">
        <f>D75*'Summary Baseline Data'!D74</f>
        <v>144668.07628149068</v>
      </c>
    </row>
    <row r="76" spans="1:6" x14ac:dyDescent="0.2">
      <c r="A76" s="34">
        <v>2056</v>
      </c>
      <c r="B76" s="39">
        <f t="shared" si="1"/>
        <v>244.99999999999997</v>
      </c>
      <c r="C76" s="4"/>
      <c r="D76" s="37">
        <f t="shared" si="0"/>
        <v>0.27443488706511943</v>
      </c>
      <c r="E76" s="37">
        <f t="shared" si="2"/>
        <v>0.80683856797145115</v>
      </c>
      <c r="F76" s="38">
        <f>D76*'Summary Baseline Data'!D75</f>
        <v>147663.91728264836</v>
      </c>
    </row>
    <row r="77" spans="1:6" x14ac:dyDescent="0.2">
      <c r="A77" s="34">
        <v>2057</v>
      </c>
      <c r="B77" s="39">
        <f t="shared" si="1"/>
        <v>244.99999999999997</v>
      </c>
      <c r="C77" s="4"/>
      <c r="D77" s="37">
        <f t="shared" si="0"/>
        <v>0.27443488706511943</v>
      </c>
      <c r="E77" s="37">
        <f t="shared" si="2"/>
        <v>0.80683856797145115</v>
      </c>
      <c r="F77" s="38">
        <f>D77*'Summary Baseline Data'!D76</f>
        <v>150659.75828380603</v>
      </c>
    </row>
    <row r="78" spans="1:6" x14ac:dyDescent="0.2">
      <c r="A78" s="34">
        <v>2058</v>
      </c>
      <c r="B78" s="39">
        <f t="shared" si="1"/>
        <v>244.99999999999997</v>
      </c>
      <c r="C78" s="4"/>
      <c r="D78" s="37">
        <f t="shared" si="0"/>
        <v>0.27443488706511943</v>
      </c>
      <c r="E78" s="37">
        <f t="shared" si="2"/>
        <v>0.80683856797145115</v>
      </c>
      <c r="F78" s="38">
        <f>D78*'Summary Baseline Data'!D77</f>
        <v>153655.59928496371</v>
      </c>
    </row>
    <row r="79" spans="1:6" x14ac:dyDescent="0.2">
      <c r="A79" s="34">
        <v>2059</v>
      </c>
      <c r="B79" s="39">
        <f t="shared" si="1"/>
        <v>244.99999999999997</v>
      </c>
      <c r="C79" s="4"/>
      <c r="D79" s="37">
        <f t="shared" si="0"/>
        <v>0.27443488706511943</v>
      </c>
      <c r="E79" s="37">
        <f t="shared" si="2"/>
        <v>0.80683856797145115</v>
      </c>
      <c r="F79" s="38">
        <f>D79*'Summary Baseline Data'!D78</f>
        <v>156651.44028612139</v>
      </c>
    </row>
    <row r="80" spans="1:6" ht="13.5" thickBot="1" x14ac:dyDescent="0.25">
      <c r="A80" s="40">
        <v>2060</v>
      </c>
      <c r="B80" s="41">
        <f t="shared" si="1"/>
        <v>244.99999999999997</v>
      </c>
      <c r="C80" s="3"/>
      <c r="D80" s="42">
        <f t="shared" si="0"/>
        <v>0.27443488706511943</v>
      </c>
      <c r="E80" s="42">
        <f t="shared" si="2"/>
        <v>0.80683856797145115</v>
      </c>
      <c r="F80" s="43">
        <f>D80*'Summary Baseline Data'!D79</f>
        <v>159647.28128727898</v>
      </c>
    </row>
    <row r="83" spans="1:6" ht="15" x14ac:dyDescent="0.2">
      <c r="A83" s="2" t="s">
        <v>19</v>
      </c>
    </row>
    <row r="89" spans="1:6" x14ac:dyDescent="0.2">
      <c r="A89" s="161" t="s">
        <v>56</v>
      </c>
      <c r="F89" s="161" t="s">
        <v>526</v>
      </c>
    </row>
    <row r="90" spans="1:6" x14ac:dyDescent="0.2">
      <c r="A90" s="128" t="s">
        <v>7</v>
      </c>
      <c r="F90" s="752" t="s">
        <v>298</v>
      </c>
    </row>
    <row r="91" spans="1:6" x14ac:dyDescent="0.2">
      <c r="A91" s="55" t="s">
        <v>38</v>
      </c>
      <c r="F91" s="752" t="s">
        <v>303</v>
      </c>
    </row>
    <row r="92" spans="1:6" x14ac:dyDescent="0.2">
      <c r="A92" s="55" t="s">
        <v>39</v>
      </c>
    </row>
    <row r="93" spans="1:6" x14ac:dyDescent="0.2">
      <c r="A93" s="128" t="s">
        <v>120</v>
      </c>
    </row>
    <row r="94" spans="1:6" x14ac:dyDescent="0.2">
      <c r="A94" s="128" t="s">
        <v>40</v>
      </c>
    </row>
    <row r="95" spans="1:6" x14ac:dyDescent="0.2">
      <c r="A95" s="55" t="s">
        <v>2</v>
      </c>
    </row>
    <row r="97" spans="1:1" x14ac:dyDescent="0.2">
      <c r="A97" s="161" t="s">
        <v>97</v>
      </c>
    </row>
    <row r="98" spans="1:1" x14ac:dyDescent="0.2">
      <c r="A98" s="255">
        <v>0.03</v>
      </c>
    </row>
    <row r="99" spans="1:1" x14ac:dyDescent="0.2">
      <c r="A99" s="256">
        <v>0.04</v>
      </c>
    </row>
    <row r="100" spans="1:1" x14ac:dyDescent="0.2">
      <c r="A100" s="255">
        <v>0.05</v>
      </c>
    </row>
    <row r="101" spans="1:1" x14ac:dyDescent="0.2">
      <c r="A101" s="255">
        <v>7.0000000000000007E-2</v>
      </c>
    </row>
  </sheetData>
  <mergeCells count="5">
    <mergeCell ref="A27:F28"/>
    <mergeCell ref="A26:F26"/>
    <mergeCell ref="B16:D16"/>
    <mergeCell ref="B18:D18"/>
    <mergeCell ref="B20:D20"/>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8"/>
  <sheetViews>
    <sheetView view="pageBreakPreview" zoomScale="135" zoomScaleNormal="100" zoomScaleSheetLayoutView="135" zoomScalePageLayoutView="40" workbookViewId="0">
      <selection activeCell="A60" sqref="A60:A62"/>
    </sheetView>
  </sheetViews>
  <sheetFormatPr defaultRowHeight="15.75" x14ac:dyDescent="0.25"/>
  <cols>
    <col min="1" max="16384" width="9.140625" style="195"/>
  </cols>
  <sheetData>
    <row r="1" spans="1:24" ht="16.5" thickBot="1" x14ac:dyDescent="0.3">
      <c r="A1" s="262" t="s">
        <v>43</v>
      </c>
      <c r="B1" s="264"/>
      <c r="C1" s="264"/>
      <c r="D1" s="264"/>
      <c r="E1" s="264"/>
      <c r="F1" s="264"/>
      <c r="G1" s="264"/>
      <c r="H1" s="264"/>
      <c r="I1" s="264"/>
      <c r="J1" s="264"/>
      <c r="K1" s="264"/>
      <c r="L1" s="264"/>
      <c r="M1" s="264"/>
      <c r="N1" s="264"/>
      <c r="O1" s="264"/>
      <c r="P1" s="264"/>
      <c r="Q1" s="264"/>
      <c r="R1" s="264"/>
      <c r="S1" s="264"/>
      <c r="T1" s="264"/>
      <c r="U1" s="264"/>
      <c r="V1" s="264"/>
      <c r="W1" s="264"/>
      <c r="X1" s="265"/>
    </row>
    <row r="2" spans="1:24" x14ac:dyDescent="0.25">
      <c r="A2" s="320" t="s">
        <v>112</v>
      </c>
      <c r="B2" s="194"/>
      <c r="C2" s="194"/>
      <c r="D2" s="194"/>
      <c r="E2" s="194"/>
      <c r="F2" s="194"/>
      <c r="G2" s="194"/>
      <c r="H2" s="194"/>
      <c r="I2" s="194"/>
      <c r="J2" s="194"/>
      <c r="K2" s="194"/>
      <c r="L2" s="194"/>
      <c r="M2" s="194"/>
      <c r="N2" s="194"/>
      <c r="O2" s="194"/>
      <c r="P2" s="194"/>
      <c r="Q2" s="194"/>
      <c r="R2" s="194"/>
      <c r="S2" s="194"/>
      <c r="T2" s="194"/>
      <c r="U2" s="194"/>
      <c r="V2" s="194"/>
      <c r="W2" s="194"/>
      <c r="X2" s="317"/>
    </row>
    <row r="3" spans="1:24" x14ac:dyDescent="0.25">
      <c r="A3" s="318" t="s">
        <v>118</v>
      </c>
      <c r="B3" s="194"/>
      <c r="C3" s="194"/>
      <c r="D3" s="194"/>
      <c r="E3" s="194"/>
      <c r="F3" s="194"/>
      <c r="G3" s="194"/>
      <c r="H3" s="194"/>
      <c r="I3" s="194"/>
      <c r="J3" s="194"/>
      <c r="K3" s="194"/>
      <c r="L3" s="194"/>
      <c r="M3" s="194"/>
      <c r="N3" s="194"/>
      <c r="O3" s="194"/>
      <c r="P3" s="194"/>
      <c r="Q3" s="194"/>
      <c r="R3" s="194"/>
      <c r="S3" s="194"/>
      <c r="T3" s="194"/>
      <c r="U3" s="194"/>
      <c r="V3" s="194"/>
      <c r="W3" s="194"/>
      <c r="X3" s="317"/>
    </row>
    <row r="4" spans="1:24" x14ac:dyDescent="0.25">
      <c r="A4" s="318" t="s">
        <v>76</v>
      </c>
      <c r="B4" s="194"/>
      <c r="C4" s="194"/>
      <c r="D4" s="194"/>
      <c r="E4" s="194"/>
      <c r="F4" s="194"/>
      <c r="G4" s="194"/>
      <c r="H4" s="194"/>
      <c r="I4" s="194"/>
      <c r="J4" s="194"/>
      <c r="K4" s="194"/>
      <c r="L4" s="194"/>
      <c r="M4" s="194"/>
      <c r="N4" s="194"/>
      <c r="O4" s="194"/>
      <c r="P4" s="194"/>
      <c r="Q4" s="194"/>
      <c r="R4" s="194"/>
      <c r="S4" s="194"/>
      <c r="T4" s="194"/>
      <c r="U4" s="194"/>
      <c r="V4" s="194"/>
      <c r="W4" s="194"/>
      <c r="X4" s="317"/>
    </row>
    <row r="5" spans="1:24" x14ac:dyDescent="0.25">
      <c r="A5" s="318" t="s">
        <v>113</v>
      </c>
      <c r="B5" s="194"/>
      <c r="C5" s="194"/>
      <c r="D5" s="194"/>
      <c r="E5" s="194"/>
      <c r="F5" s="194"/>
      <c r="G5" s="194"/>
      <c r="H5" s="194"/>
      <c r="I5" s="194"/>
      <c r="J5" s="194"/>
      <c r="K5" s="194"/>
      <c r="L5" s="194"/>
      <c r="M5" s="194"/>
      <c r="N5" s="194"/>
      <c r="O5" s="194"/>
      <c r="P5" s="194"/>
      <c r="Q5" s="194"/>
      <c r="R5" s="194"/>
      <c r="S5" s="194"/>
      <c r="T5" s="194"/>
      <c r="U5" s="194"/>
      <c r="V5" s="194"/>
      <c r="W5" s="194"/>
      <c r="X5" s="317"/>
    </row>
    <row r="6" spans="1:24" x14ac:dyDescent="0.25">
      <c r="A6" s="318" t="s">
        <v>116</v>
      </c>
      <c r="B6" s="194"/>
      <c r="C6" s="194"/>
      <c r="D6" s="194"/>
      <c r="E6" s="194"/>
      <c r="F6" s="194"/>
      <c r="G6" s="194"/>
      <c r="H6" s="194"/>
      <c r="I6" s="194"/>
      <c r="J6" s="194"/>
      <c r="K6" s="194"/>
      <c r="L6" s="194"/>
      <c r="M6" s="194"/>
      <c r="N6" s="194"/>
      <c r="O6" s="194"/>
      <c r="P6" s="194"/>
      <c r="Q6" s="194"/>
      <c r="R6" s="194"/>
      <c r="S6" s="194"/>
      <c r="T6" s="194"/>
      <c r="U6" s="194"/>
      <c r="V6" s="194"/>
      <c r="W6" s="194"/>
      <c r="X6" s="317"/>
    </row>
    <row r="7" spans="1:24" x14ac:dyDescent="0.25">
      <c r="A7" s="318" t="s">
        <v>119</v>
      </c>
      <c r="B7" s="194"/>
      <c r="C7" s="194"/>
      <c r="D7" s="194"/>
      <c r="E7" s="194"/>
      <c r="F7" s="194"/>
      <c r="G7" s="194"/>
      <c r="H7" s="194"/>
      <c r="I7" s="194"/>
      <c r="J7" s="194"/>
      <c r="K7" s="194"/>
      <c r="L7" s="194"/>
      <c r="M7" s="194"/>
      <c r="N7" s="194"/>
      <c r="O7" s="194"/>
      <c r="P7" s="194"/>
      <c r="Q7" s="194"/>
      <c r="R7" s="194"/>
      <c r="S7" s="194"/>
      <c r="T7" s="194"/>
      <c r="U7" s="194"/>
      <c r="V7" s="194"/>
      <c r="W7" s="194"/>
      <c r="X7" s="317"/>
    </row>
    <row r="8" spans="1:24" x14ac:dyDescent="0.25">
      <c r="A8" s="318" t="s">
        <v>117</v>
      </c>
      <c r="B8" s="194"/>
      <c r="C8" s="194"/>
      <c r="D8" s="194"/>
      <c r="E8" s="194"/>
      <c r="F8" s="194"/>
      <c r="G8" s="194"/>
      <c r="H8" s="194"/>
      <c r="I8" s="194"/>
      <c r="J8" s="194"/>
      <c r="K8" s="194"/>
      <c r="L8" s="194"/>
      <c r="M8" s="194"/>
      <c r="N8" s="194"/>
      <c r="O8" s="194"/>
      <c r="P8" s="194"/>
      <c r="Q8" s="194"/>
      <c r="R8" s="194"/>
      <c r="S8" s="194"/>
      <c r="T8" s="194"/>
      <c r="U8" s="194"/>
      <c r="V8" s="194"/>
      <c r="W8" s="194"/>
      <c r="X8" s="317"/>
    </row>
    <row r="9" spans="1:24" x14ac:dyDescent="0.25">
      <c r="A9" s="318" t="s">
        <v>77</v>
      </c>
      <c r="B9" s="194"/>
      <c r="C9" s="194"/>
      <c r="D9" s="194"/>
      <c r="E9" s="194"/>
      <c r="F9" s="194"/>
      <c r="G9" s="194"/>
      <c r="H9" s="194"/>
      <c r="I9" s="194"/>
      <c r="J9" s="194"/>
      <c r="K9" s="194"/>
      <c r="L9" s="194"/>
      <c r="M9" s="194"/>
      <c r="N9" s="194"/>
      <c r="O9" s="194"/>
      <c r="P9" s="194"/>
      <c r="Q9" s="194"/>
      <c r="R9" s="194"/>
      <c r="S9" s="194"/>
      <c r="T9" s="194"/>
      <c r="U9" s="194"/>
      <c r="V9" s="194"/>
      <c r="W9" s="194"/>
      <c r="X9" s="317"/>
    </row>
    <row r="10" spans="1:24" x14ac:dyDescent="0.25">
      <c r="A10" s="318" t="s">
        <v>78</v>
      </c>
      <c r="B10" s="194"/>
      <c r="C10" s="194"/>
      <c r="D10" s="194"/>
      <c r="E10" s="194"/>
      <c r="F10" s="194"/>
      <c r="G10" s="194"/>
      <c r="H10" s="194"/>
      <c r="I10" s="194"/>
      <c r="J10" s="194"/>
      <c r="K10" s="194"/>
      <c r="L10" s="194"/>
      <c r="M10" s="194"/>
      <c r="N10" s="194"/>
      <c r="O10" s="194"/>
      <c r="P10" s="194"/>
      <c r="Q10" s="194"/>
      <c r="R10" s="194"/>
      <c r="S10" s="194"/>
      <c r="T10" s="194"/>
      <c r="U10" s="194"/>
      <c r="V10" s="194"/>
      <c r="W10" s="194"/>
      <c r="X10" s="317"/>
    </row>
    <row r="11" spans="1:24" x14ac:dyDescent="0.25">
      <c r="A11" s="318" t="s">
        <v>115</v>
      </c>
      <c r="B11" s="194"/>
      <c r="C11" s="194"/>
      <c r="D11" s="194"/>
      <c r="E11" s="194"/>
      <c r="F11" s="194"/>
      <c r="G11" s="194"/>
      <c r="H11" s="194"/>
      <c r="I11" s="194"/>
      <c r="J11" s="194"/>
      <c r="K11" s="194"/>
      <c r="L11" s="194"/>
      <c r="M11" s="194"/>
      <c r="N11" s="194"/>
      <c r="O11" s="194"/>
      <c r="P11" s="194"/>
      <c r="Q11" s="194"/>
      <c r="R11" s="194"/>
      <c r="S11" s="194"/>
      <c r="T11" s="194"/>
      <c r="U11" s="194"/>
      <c r="V11" s="194"/>
      <c r="W11" s="194"/>
      <c r="X11" s="317"/>
    </row>
    <row r="12" spans="1:24" x14ac:dyDescent="0.25">
      <c r="A12" s="318" t="s">
        <v>88</v>
      </c>
      <c r="B12" s="194"/>
      <c r="C12" s="194"/>
      <c r="D12" s="194"/>
      <c r="E12" s="194"/>
      <c r="F12" s="194"/>
      <c r="G12" s="194"/>
      <c r="H12" s="194"/>
      <c r="I12" s="194"/>
      <c r="J12" s="194"/>
      <c r="K12" s="194"/>
      <c r="L12" s="194"/>
      <c r="M12" s="194"/>
      <c r="N12" s="194"/>
      <c r="O12" s="194"/>
      <c r="P12" s="194"/>
      <c r="Q12" s="194"/>
      <c r="R12" s="194"/>
      <c r="S12" s="194"/>
      <c r="T12" s="194"/>
      <c r="U12" s="194"/>
      <c r="V12" s="194"/>
      <c r="W12" s="194"/>
      <c r="X12" s="317"/>
    </row>
    <row r="13" spans="1:24" x14ac:dyDescent="0.25">
      <c r="A13" s="318" t="s">
        <v>114</v>
      </c>
      <c r="B13" s="194"/>
      <c r="C13" s="194"/>
      <c r="D13" s="194"/>
      <c r="E13" s="194"/>
      <c r="F13" s="194"/>
      <c r="G13" s="194"/>
      <c r="H13" s="194"/>
      <c r="I13" s="194"/>
      <c r="J13" s="194"/>
      <c r="K13" s="194"/>
      <c r="L13" s="194"/>
      <c r="M13" s="194"/>
      <c r="N13" s="194"/>
      <c r="O13" s="194"/>
      <c r="P13" s="194"/>
      <c r="Q13" s="194"/>
      <c r="R13" s="194"/>
      <c r="S13" s="194"/>
      <c r="T13" s="194"/>
      <c r="U13" s="194"/>
      <c r="V13" s="194"/>
      <c r="W13" s="194"/>
      <c r="X13" s="317"/>
    </row>
    <row r="14" spans="1:24" x14ac:dyDescent="0.25">
      <c r="A14" s="266"/>
      <c r="B14" s="194"/>
      <c r="C14" s="194"/>
      <c r="D14" s="194"/>
      <c r="E14" s="194"/>
      <c r="F14" s="194"/>
      <c r="G14" s="194"/>
      <c r="H14" s="194"/>
      <c r="I14" s="194"/>
      <c r="J14" s="194"/>
      <c r="K14" s="194"/>
      <c r="L14" s="194"/>
      <c r="M14" s="194"/>
      <c r="N14" s="194"/>
      <c r="O14" s="194"/>
      <c r="P14" s="194"/>
      <c r="Q14" s="194"/>
      <c r="R14" s="194"/>
      <c r="S14" s="194"/>
      <c r="T14" s="194"/>
      <c r="U14" s="194"/>
      <c r="V14" s="194"/>
      <c r="W14" s="194"/>
      <c r="X14" s="317"/>
    </row>
    <row r="15" spans="1:24" x14ac:dyDescent="0.25">
      <c r="A15" s="321" t="s">
        <v>111</v>
      </c>
      <c r="B15" s="194"/>
      <c r="C15" s="194"/>
      <c r="D15" s="194"/>
      <c r="E15" s="194"/>
      <c r="F15" s="194"/>
      <c r="G15" s="194"/>
      <c r="H15" s="194"/>
      <c r="I15" s="194"/>
      <c r="J15" s="194"/>
      <c r="K15" s="194"/>
      <c r="L15" s="194"/>
      <c r="M15" s="194"/>
      <c r="N15" s="194"/>
      <c r="O15" s="194"/>
      <c r="P15" s="194"/>
      <c r="Q15" s="194"/>
      <c r="R15" s="194"/>
      <c r="S15" s="194"/>
      <c r="T15" s="194"/>
      <c r="U15" s="194"/>
      <c r="V15" s="194"/>
      <c r="W15" s="194"/>
      <c r="X15" s="317"/>
    </row>
    <row r="16" spans="1:24" x14ac:dyDescent="0.25">
      <c r="A16" s="266"/>
      <c r="B16" s="194"/>
      <c r="C16" s="194"/>
      <c r="D16" s="194"/>
      <c r="E16" s="194"/>
      <c r="F16" s="194"/>
      <c r="G16" s="194"/>
      <c r="H16" s="194"/>
      <c r="I16" s="194"/>
      <c r="J16" s="194"/>
      <c r="K16" s="194"/>
      <c r="L16" s="194"/>
      <c r="M16" s="194"/>
      <c r="N16" s="194"/>
      <c r="O16" s="194"/>
      <c r="P16" s="194"/>
      <c r="Q16" s="194"/>
      <c r="R16" s="194"/>
      <c r="S16" s="194"/>
      <c r="T16" s="194"/>
      <c r="U16" s="194"/>
      <c r="V16" s="194"/>
      <c r="W16" s="194"/>
      <c r="X16" s="317"/>
    </row>
    <row r="17" spans="1:24" x14ac:dyDescent="0.25">
      <c r="A17" s="266"/>
      <c r="B17" s="194"/>
      <c r="C17" s="194"/>
      <c r="D17" s="194"/>
      <c r="E17" s="194"/>
      <c r="F17" s="194"/>
      <c r="G17" s="194"/>
      <c r="H17" s="194"/>
      <c r="I17" s="194"/>
      <c r="J17" s="194"/>
      <c r="K17" s="194"/>
      <c r="L17" s="194"/>
      <c r="M17" s="194"/>
      <c r="N17" s="194"/>
      <c r="O17" s="194"/>
      <c r="P17" s="194"/>
      <c r="Q17" s="194"/>
      <c r="R17" s="194"/>
      <c r="S17" s="194"/>
      <c r="T17" s="194"/>
      <c r="U17" s="194"/>
      <c r="V17" s="194"/>
      <c r="W17" s="194"/>
      <c r="X17" s="317"/>
    </row>
    <row r="18" spans="1:24" ht="16.5" thickBot="1" x14ac:dyDescent="0.3">
      <c r="A18" s="267"/>
      <c r="B18" s="218"/>
      <c r="C18" s="218"/>
      <c r="D18" s="218"/>
      <c r="E18" s="218"/>
      <c r="F18" s="218"/>
      <c r="G18" s="218"/>
      <c r="H18" s="218"/>
      <c r="I18" s="218"/>
      <c r="J18" s="218"/>
      <c r="K18" s="218"/>
      <c r="L18" s="218"/>
      <c r="M18" s="218"/>
      <c r="N18" s="218"/>
      <c r="O18" s="218"/>
      <c r="P18" s="218"/>
      <c r="Q18" s="218"/>
      <c r="R18" s="218"/>
      <c r="S18" s="218"/>
      <c r="T18" s="218"/>
      <c r="U18" s="218"/>
      <c r="V18" s="218"/>
      <c r="W18" s="218"/>
      <c r="X18" s="319"/>
    </row>
  </sheetData>
  <hyperlinks>
    <hyperlink ref="A5" location="'Dynamic Summary Page'!A1" display="Dynamic Summary Page: Compare finance models and annual costs of building the LPP."/>
    <hyperlink ref="A9" location="'Gov''s Pop and Conserv Project'!A1" display="2. Summary Baseline Data: All baseline population, water capacity, and water demand data and projections"/>
    <hyperlink ref="A10" location="'Economist Financing Model 1'!A1" display="3. Economist Financing Model 1: Replication of economists' first finance model for the LPP."/>
    <hyperlink ref="A11" location="'Economist Financing Model 2'!A1" display="3. Economist Financing Model 2: Replication of economists' second finance model ($95 million pre-paid, $20 million for 12 years, and straight-line payments for entire balance thereafter) for the LPP."/>
    <hyperlink ref="A12" location="'AA Financing Model 1'!A1" display="5. Applied Analysis Financing Analyses: Analyses of finance models under UC 73-28 (Additional capacity is paid for as it is needed and utilized)."/>
    <hyperlink ref="A13" location="Assumptions!A1" display="6. Assumptions: Key assumptions under which the above models are built."/>
    <hyperlink ref="A4" location="'Dynamic Capacity and Demand Sum'!A1" display="1. Dynamic Capacity and Demand Summary: Compare how population and conservation affect timeline to water demand reaching capacity. "/>
    <hyperlink ref="A6" location="'LPP Annual Financing Costs'!A1" display="LPP Annual Financing Costs: Compare finance models on annual finance costs."/>
    <hyperlink ref="A8" location="'LPP Cumulative Financing Costs'!A1" display="LPP Cumulative Financing Costs: Compare finance models on cumulative finance costs."/>
    <hyperlink ref="A3" location="'Dynamic Assumptions'!A1" display="Dynamic Assumptions: Vary key assumptions to modify later tables and charts. "/>
    <hyperlink ref="A7" location="'LPP Per Cap Annual Finan Costs'!A1" display="LPP Per Capita Annual Financing Costs: Compare per capita financing costs across finance models."/>
  </hyperlinks>
  <pageMargins left="0.7" right="0.7" top="0.75" bottom="0.75" header="0.3" footer="0.3"/>
  <pageSetup paperSize="17" scale="55" fitToHeight="0" orientation="landscape" r:id="rId1"/>
  <headerFooter>
    <oddFooter xml:space="preserve">&amp;L&amp;"-,Bold"&amp;9This is a preliminary draft document. It is intended for discussion purposes only.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2"/>
  <sheetViews>
    <sheetView topLeftCell="A77" workbookViewId="0">
      <selection activeCell="A60" sqref="A60:A62"/>
    </sheetView>
  </sheetViews>
  <sheetFormatPr defaultRowHeight="15" x14ac:dyDescent="0.25"/>
  <cols>
    <col min="2" max="2" width="11.28515625" customWidth="1"/>
    <col min="3" max="3" width="39.7109375" customWidth="1"/>
    <col min="5" max="5" width="16.28515625" customWidth="1"/>
    <col min="6" max="6" width="11.42578125" bestFit="1" customWidth="1"/>
    <col min="7" max="12" width="0" hidden="1" customWidth="1"/>
  </cols>
  <sheetData>
    <row r="1" spans="1:13" x14ac:dyDescent="0.25">
      <c r="A1" s="609" t="s">
        <v>389</v>
      </c>
      <c r="B1" s="609"/>
      <c r="C1" s="609"/>
      <c r="D1" s="609"/>
      <c r="E1" s="609"/>
      <c r="F1" s="609"/>
      <c r="G1" s="609"/>
      <c r="H1" s="609"/>
      <c r="I1" s="609"/>
      <c r="J1" s="609"/>
      <c r="K1" s="609"/>
      <c r="L1" s="609"/>
      <c r="M1" s="609"/>
    </row>
    <row r="2" spans="1:13" x14ac:dyDescent="0.25">
      <c r="A2" s="1095" t="s">
        <v>390</v>
      </c>
      <c r="B2" s="1095"/>
      <c r="C2" s="1095"/>
      <c r="D2" s="1095"/>
      <c r="E2" s="1095"/>
      <c r="F2" s="1095"/>
      <c r="G2" s="609"/>
      <c r="H2" s="609" t="s">
        <v>391</v>
      </c>
      <c r="I2" s="609"/>
      <c r="J2" s="609"/>
      <c r="K2" s="609"/>
      <c r="L2" s="609"/>
      <c r="M2" s="609"/>
    </row>
    <row r="3" spans="1:13" ht="64.5" x14ac:dyDescent="0.25">
      <c r="A3" s="703" t="s">
        <v>392</v>
      </c>
      <c r="B3" s="702" t="s">
        <v>393</v>
      </c>
      <c r="C3" s="702"/>
      <c r="D3" s="701" t="s">
        <v>394</v>
      </c>
      <c r="E3" s="700" t="s">
        <v>395</v>
      </c>
      <c r="F3" s="700" t="s">
        <v>396</v>
      </c>
      <c r="G3" s="699"/>
      <c r="H3" s="698"/>
      <c r="I3" s="698"/>
      <c r="J3" s="698"/>
      <c r="K3" s="698"/>
      <c r="L3" s="698"/>
      <c r="M3" s="698"/>
    </row>
    <row r="4" spans="1:13" ht="15.75" x14ac:dyDescent="0.25">
      <c r="A4" s="697" t="s">
        <v>397</v>
      </c>
      <c r="B4" s="654">
        <v>13.5</v>
      </c>
      <c r="C4" s="654"/>
      <c r="D4" s="654"/>
      <c r="E4" s="651"/>
      <c r="F4" s="654">
        <v>13.5</v>
      </c>
      <c r="G4" s="609"/>
      <c r="H4" s="616"/>
      <c r="I4" s="609"/>
      <c r="J4" s="609"/>
      <c r="K4" s="609"/>
      <c r="L4" s="609"/>
      <c r="M4" s="615" t="s">
        <v>398</v>
      </c>
    </row>
    <row r="5" spans="1:13" ht="15.75" x14ac:dyDescent="0.25">
      <c r="A5" s="1089"/>
      <c r="B5" s="1090"/>
      <c r="C5" s="654" t="s">
        <v>399</v>
      </c>
      <c r="D5" s="654">
        <v>4.7300000000000004</v>
      </c>
      <c r="E5" s="653">
        <v>5</v>
      </c>
      <c r="F5" s="650">
        <v>23.650000000000002</v>
      </c>
      <c r="G5" s="693">
        <v>3740.2597278245908</v>
      </c>
      <c r="H5" s="616"/>
      <c r="I5" s="609"/>
      <c r="J5" s="609">
        <v>1.3368055600000001E-3</v>
      </c>
      <c r="K5" s="609" t="s">
        <v>400</v>
      </c>
      <c r="L5" s="609"/>
      <c r="M5" s="609"/>
    </row>
    <row r="6" spans="1:13" ht="15.75" x14ac:dyDescent="0.25">
      <c r="A6" s="1091"/>
      <c r="B6" s="1092"/>
      <c r="C6" s="654" t="s">
        <v>401</v>
      </c>
      <c r="D6" s="654">
        <v>5.72</v>
      </c>
      <c r="E6" s="653">
        <v>13</v>
      </c>
      <c r="F6" s="650">
        <v>74.36</v>
      </c>
      <c r="G6" s="693">
        <v>9724.6752923439362</v>
      </c>
      <c r="H6" s="616"/>
      <c r="I6" s="609"/>
      <c r="J6" s="609"/>
      <c r="K6" s="609"/>
      <c r="L6" s="609"/>
      <c r="M6" s="609"/>
    </row>
    <row r="7" spans="1:13" ht="15.75" x14ac:dyDescent="0.25">
      <c r="A7" s="1091"/>
      <c r="B7" s="1092"/>
      <c r="C7" s="654" t="s">
        <v>402</v>
      </c>
      <c r="D7" s="654">
        <v>11.8</v>
      </c>
      <c r="E7" s="653">
        <v>22.104166800000002</v>
      </c>
      <c r="F7" s="650">
        <v>260.82916824000006</v>
      </c>
      <c r="G7" s="693">
        <v>16535.064979831473</v>
      </c>
      <c r="H7" s="609"/>
      <c r="I7" s="609"/>
      <c r="J7" s="609"/>
      <c r="K7" s="609"/>
      <c r="L7" s="609"/>
      <c r="M7" s="609"/>
    </row>
    <row r="8" spans="1:13" ht="15.75" x14ac:dyDescent="0.25">
      <c r="A8" s="1091"/>
      <c r="B8" s="1092"/>
      <c r="C8" s="668"/>
      <c r="D8" s="696"/>
      <c r="E8" s="652" t="s">
        <v>403</v>
      </c>
      <c r="F8" s="650">
        <v>372.33916824000005</v>
      </c>
      <c r="G8" s="610">
        <v>30000</v>
      </c>
      <c r="H8" s="616"/>
      <c r="I8" s="609"/>
      <c r="J8" s="609"/>
      <c r="K8" s="609"/>
      <c r="L8" s="609"/>
      <c r="M8" s="609"/>
    </row>
    <row r="9" spans="1:13" ht="15.75" x14ac:dyDescent="0.25">
      <c r="A9" s="1093"/>
      <c r="B9" s="1094"/>
      <c r="C9" s="665"/>
      <c r="D9" s="695"/>
      <c r="E9" s="651" t="s">
        <v>404</v>
      </c>
      <c r="F9" s="650">
        <v>12.411305608000001</v>
      </c>
      <c r="G9" s="609"/>
      <c r="H9" s="616"/>
      <c r="I9" s="609"/>
      <c r="J9" s="609">
        <v>40.104166800000002</v>
      </c>
      <c r="K9" s="609"/>
      <c r="L9" s="609"/>
      <c r="M9" s="609"/>
    </row>
    <row r="10" spans="1:13" ht="15.75" x14ac:dyDescent="0.25">
      <c r="A10" s="694" t="s">
        <v>405</v>
      </c>
      <c r="B10" s="644">
        <v>9.68</v>
      </c>
      <c r="C10" s="644"/>
      <c r="D10" s="644"/>
      <c r="E10" s="646"/>
      <c r="F10" s="644">
        <v>9.68</v>
      </c>
      <c r="G10" s="609"/>
      <c r="H10" s="609"/>
      <c r="I10" s="609"/>
      <c r="J10" s="609"/>
      <c r="K10" s="609"/>
      <c r="L10" s="609"/>
      <c r="M10" s="615" t="s">
        <v>406</v>
      </c>
    </row>
    <row r="11" spans="1:13" ht="15.75" x14ac:dyDescent="0.25">
      <c r="A11" s="1096"/>
      <c r="B11" s="1066"/>
      <c r="C11" s="644" t="s">
        <v>407</v>
      </c>
      <c r="D11" s="644">
        <v>1.29</v>
      </c>
      <c r="E11" s="646">
        <v>10</v>
      </c>
      <c r="F11" s="644">
        <v>12.9</v>
      </c>
      <c r="G11" s="693">
        <v>7480.5194556491815</v>
      </c>
      <c r="H11" s="609"/>
      <c r="I11" s="609"/>
      <c r="J11" s="609"/>
      <c r="K11" s="609"/>
      <c r="L11" s="609"/>
      <c r="M11" s="609"/>
    </row>
    <row r="12" spans="1:13" ht="15.75" x14ac:dyDescent="0.25">
      <c r="A12" s="1067"/>
      <c r="B12" s="1069"/>
      <c r="C12" s="644" t="s">
        <v>408</v>
      </c>
      <c r="D12" s="644">
        <v>2.68</v>
      </c>
      <c r="E12" s="646">
        <v>5</v>
      </c>
      <c r="F12" s="644">
        <v>13.4</v>
      </c>
      <c r="G12" s="693">
        <v>3740.2597278245908</v>
      </c>
      <c r="H12" s="609"/>
      <c r="I12" s="609"/>
      <c r="J12" s="609"/>
      <c r="K12" s="609"/>
      <c r="L12" s="609"/>
      <c r="M12" s="609"/>
    </row>
    <row r="13" spans="1:13" ht="15.75" x14ac:dyDescent="0.25">
      <c r="A13" s="692"/>
      <c r="B13" s="691"/>
      <c r="C13" s="644" t="s">
        <v>409</v>
      </c>
      <c r="D13" s="644">
        <v>6.87</v>
      </c>
      <c r="E13" s="646">
        <v>15</v>
      </c>
      <c r="F13" s="644">
        <v>103.05</v>
      </c>
      <c r="G13" s="693">
        <v>11220.779183473773</v>
      </c>
      <c r="H13" s="609"/>
      <c r="I13" s="609"/>
      <c r="J13" s="609"/>
      <c r="K13" s="609"/>
      <c r="L13" s="609"/>
      <c r="M13" s="609"/>
    </row>
    <row r="14" spans="1:13" ht="15.75" x14ac:dyDescent="0.25">
      <c r="A14" s="692"/>
      <c r="B14" s="691"/>
      <c r="C14" s="644" t="s">
        <v>410</v>
      </c>
      <c r="D14" s="644">
        <v>11.04</v>
      </c>
      <c r="E14" s="646">
        <v>10.104166800000003</v>
      </c>
      <c r="F14" s="644">
        <v>111.55000147200003</v>
      </c>
      <c r="G14" s="610">
        <v>7558.4416330524555</v>
      </c>
      <c r="H14" s="609"/>
      <c r="I14" s="609"/>
      <c r="J14" s="609"/>
      <c r="K14" s="609"/>
      <c r="L14" s="609"/>
      <c r="M14" s="609"/>
    </row>
    <row r="15" spans="1:13" ht="15.75" x14ac:dyDescent="0.25">
      <c r="A15" s="649" t="s">
        <v>411</v>
      </c>
      <c r="B15" s="644">
        <v>0.48</v>
      </c>
      <c r="C15" s="644" t="s">
        <v>412</v>
      </c>
      <c r="D15" s="642">
        <v>19.250000064000002</v>
      </c>
      <c r="E15" s="646">
        <v>40.104166800000002</v>
      </c>
      <c r="F15" s="644">
        <v>19.250000064000002</v>
      </c>
      <c r="G15" s="610">
        <v>30000</v>
      </c>
      <c r="H15" s="609"/>
      <c r="I15" s="609"/>
      <c r="J15" s="609"/>
      <c r="K15" s="609"/>
      <c r="L15" s="609"/>
      <c r="M15" s="609"/>
    </row>
    <row r="16" spans="1:13" ht="15.75" x14ac:dyDescent="0.25">
      <c r="A16" s="649" t="s">
        <v>413</v>
      </c>
      <c r="B16" s="644">
        <v>7.0000000000000007E-2</v>
      </c>
      <c r="C16" s="644" t="s">
        <v>412</v>
      </c>
      <c r="D16" s="642">
        <v>2.8072916760000002</v>
      </c>
      <c r="E16" s="646">
        <v>40.104166800000002</v>
      </c>
      <c r="F16" s="644">
        <v>2.8072916760000002</v>
      </c>
      <c r="G16" s="609"/>
      <c r="H16" s="609"/>
      <c r="I16" s="609"/>
      <c r="J16" s="609"/>
      <c r="K16" s="609"/>
      <c r="L16" s="609"/>
      <c r="M16" s="609"/>
    </row>
    <row r="17" spans="1:13" ht="15.75" x14ac:dyDescent="0.25">
      <c r="A17" s="1096"/>
      <c r="B17" s="1065"/>
      <c r="C17" s="1065"/>
      <c r="D17" s="1066"/>
      <c r="E17" s="645" t="s">
        <v>403</v>
      </c>
      <c r="F17" s="644">
        <v>272.63729321200003</v>
      </c>
      <c r="G17" s="609"/>
      <c r="H17" s="609"/>
      <c r="I17" s="609"/>
      <c r="J17" s="609"/>
      <c r="K17" s="609"/>
      <c r="L17" s="609"/>
      <c r="M17" s="609"/>
    </row>
    <row r="18" spans="1:13" ht="15.75" x14ac:dyDescent="0.25">
      <c r="A18" s="1067"/>
      <c r="B18" s="1068"/>
      <c r="C18" s="1068"/>
      <c r="D18" s="1069"/>
      <c r="E18" s="643" t="s">
        <v>404</v>
      </c>
      <c r="F18" s="642">
        <v>9.087909773733335</v>
      </c>
      <c r="G18" s="609"/>
      <c r="H18" s="609"/>
      <c r="I18" s="609"/>
      <c r="J18" s="609"/>
      <c r="K18" s="609"/>
      <c r="L18" s="609"/>
      <c r="M18" s="609"/>
    </row>
    <row r="19" spans="1:13" ht="15.75" x14ac:dyDescent="0.25">
      <c r="A19" s="690" t="s">
        <v>414</v>
      </c>
      <c r="B19" s="686">
        <v>6.33</v>
      </c>
      <c r="C19" s="689"/>
      <c r="D19" s="689"/>
      <c r="E19" s="688"/>
      <c r="F19" s="680">
        <v>6.33</v>
      </c>
      <c r="G19" s="609"/>
      <c r="H19" s="609"/>
      <c r="I19" s="609"/>
      <c r="J19" s="609"/>
      <c r="K19" s="609"/>
      <c r="L19" s="609"/>
      <c r="M19" s="615" t="s">
        <v>415</v>
      </c>
    </row>
    <row r="20" spans="1:13" ht="15.75" x14ac:dyDescent="0.25">
      <c r="A20" s="1106"/>
      <c r="B20" s="1107"/>
      <c r="C20" s="686" t="s">
        <v>416</v>
      </c>
      <c r="D20" s="686">
        <v>2.59</v>
      </c>
      <c r="E20" s="687">
        <v>11</v>
      </c>
      <c r="F20" s="680">
        <v>28.49</v>
      </c>
      <c r="G20" s="609"/>
      <c r="H20" s="609"/>
      <c r="I20" s="609"/>
      <c r="J20" s="609"/>
      <c r="K20" s="609"/>
      <c r="L20" s="609"/>
      <c r="M20" s="609"/>
    </row>
    <row r="21" spans="1:13" ht="15.75" x14ac:dyDescent="0.25">
      <c r="A21" s="1108"/>
      <c r="B21" s="1109"/>
      <c r="C21" s="686" t="s">
        <v>417</v>
      </c>
      <c r="D21" s="686">
        <v>5.18</v>
      </c>
      <c r="E21" s="687">
        <v>19</v>
      </c>
      <c r="F21" s="680">
        <v>98.419999999999987</v>
      </c>
      <c r="G21" s="609"/>
      <c r="H21" s="609"/>
      <c r="I21" s="609"/>
      <c r="J21" s="609"/>
      <c r="K21" s="609"/>
      <c r="L21" s="609"/>
      <c r="M21" s="609"/>
    </row>
    <row r="22" spans="1:13" ht="15.75" x14ac:dyDescent="0.25">
      <c r="A22" s="1108"/>
      <c r="B22" s="1109"/>
      <c r="C22" s="686" t="s">
        <v>418</v>
      </c>
      <c r="D22" s="686">
        <v>7.77</v>
      </c>
      <c r="E22" s="685">
        <v>10.1069519</v>
      </c>
      <c r="F22" s="680">
        <v>78.531016262999998</v>
      </c>
      <c r="G22" s="609"/>
      <c r="H22" s="609"/>
      <c r="I22" s="609"/>
      <c r="J22" s="609"/>
      <c r="K22" s="609"/>
      <c r="L22" s="609"/>
      <c r="M22" s="609"/>
    </row>
    <row r="23" spans="1:13" ht="15.75" x14ac:dyDescent="0.25">
      <c r="A23" s="1108"/>
      <c r="B23" s="1109"/>
      <c r="C23" s="684"/>
      <c r="D23" s="684"/>
      <c r="E23" s="683" t="s">
        <v>403</v>
      </c>
      <c r="F23" s="680">
        <v>211.77101626299998</v>
      </c>
      <c r="G23" s="609"/>
      <c r="H23" s="609"/>
      <c r="I23" s="609"/>
      <c r="J23" s="609"/>
      <c r="K23" s="609"/>
      <c r="L23" s="609"/>
      <c r="M23" s="609"/>
    </row>
    <row r="24" spans="1:13" ht="15.75" x14ac:dyDescent="0.25">
      <c r="A24" s="1110"/>
      <c r="B24" s="1111"/>
      <c r="C24" s="682"/>
      <c r="D24" s="682"/>
      <c r="E24" s="681" t="s">
        <v>404</v>
      </c>
      <c r="F24" s="680">
        <v>7.0590338754333324</v>
      </c>
      <c r="G24" s="609"/>
      <c r="H24" s="609"/>
      <c r="I24" s="609"/>
      <c r="J24" s="609"/>
      <c r="K24" s="609"/>
      <c r="L24" s="609"/>
      <c r="M24" s="609"/>
    </row>
    <row r="25" spans="1:13" ht="15.75" x14ac:dyDescent="0.25">
      <c r="A25" s="623" t="s">
        <v>419</v>
      </c>
      <c r="B25" s="622">
        <v>4.3600000000000003</v>
      </c>
      <c r="C25" s="622" t="s">
        <v>420</v>
      </c>
      <c r="D25" s="622"/>
      <c r="E25" s="623">
        <v>10</v>
      </c>
      <c r="F25" s="675">
        <v>4.3600000000000003</v>
      </c>
      <c r="G25" s="609"/>
      <c r="H25" s="609"/>
      <c r="I25" s="609"/>
      <c r="J25" s="609"/>
      <c r="K25" s="609"/>
      <c r="L25" s="609"/>
      <c r="M25" s="615" t="s">
        <v>421</v>
      </c>
    </row>
    <row r="26" spans="1:13" ht="15.75" x14ac:dyDescent="0.25">
      <c r="A26" s="1112"/>
      <c r="B26" s="1113"/>
      <c r="C26" s="622" t="s">
        <v>422</v>
      </c>
      <c r="D26" s="622">
        <v>3.77</v>
      </c>
      <c r="E26" s="625">
        <v>30.104166800000002</v>
      </c>
      <c r="F26" s="675">
        <v>113.49270883600001</v>
      </c>
      <c r="G26" s="609"/>
      <c r="H26" s="609"/>
      <c r="I26" s="609"/>
      <c r="J26" s="609"/>
      <c r="K26" s="609"/>
      <c r="L26" s="609"/>
      <c r="M26" s="609"/>
    </row>
    <row r="27" spans="1:13" ht="15.75" x14ac:dyDescent="0.25">
      <c r="A27" s="1114"/>
      <c r="B27" s="1115"/>
      <c r="C27" s="622" t="s">
        <v>423</v>
      </c>
      <c r="D27" s="622">
        <v>0.38</v>
      </c>
      <c r="E27" s="625">
        <v>40.104166800000002</v>
      </c>
      <c r="F27" s="675">
        <v>15.239583384000001</v>
      </c>
      <c r="G27" s="609"/>
      <c r="H27" s="609"/>
      <c r="I27" s="609"/>
      <c r="J27" s="609"/>
      <c r="K27" s="609"/>
      <c r="L27" s="609"/>
      <c r="M27" s="609"/>
    </row>
    <row r="28" spans="1:13" ht="15.75" x14ac:dyDescent="0.25">
      <c r="A28" s="1114"/>
      <c r="B28" s="1115"/>
      <c r="C28" s="679"/>
      <c r="D28" s="678"/>
      <c r="E28" s="624" t="s">
        <v>403</v>
      </c>
      <c r="F28" s="675">
        <v>133.09229222000002</v>
      </c>
      <c r="G28" s="609"/>
      <c r="H28" s="609"/>
      <c r="I28" s="609"/>
      <c r="J28" s="609"/>
      <c r="K28" s="609"/>
      <c r="L28" s="609"/>
      <c r="M28" s="609"/>
    </row>
    <row r="29" spans="1:13" ht="15.75" x14ac:dyDescent="0.25">
      <c r="A29" s="1116"/>
      <c r="B29" s="1117"/>
      <c r="C29" s="677"/>
      <c r="D29" s="676"/>
      <c r="E29" s="623" t="s">
        <v>404</v>
      </c>
      <c r="F29" s="675">
        <v>4.4364097406666669</v>
      </c>
      <c r="G29" s="609"/>
      <c r="H29" s="609"/>
      <c r="I29" s="609"/>
      <c r="J29" s="609"/>
      <c r="K29" s="609"/>
      <c r="L29" s="609"/>
      <c r="M29" s="609"/>
    </row>
    <row r="30" spans="1:13" ht="15.75" x14ac:dyDescent="0.25">
      <c r="A30" s="629" t="s">
        <v>424</v>
      </c>
      <c r="B30" s="631">
        <v>10.06</v>
      </c>
      <c r="C30" s="629"/>
      <c r="D30" s="629"/>
      <c r="E30" s="629"/>
      <c r="F30" s="628">
        <v>10.06</v>
      </c>
      <c r="G30" s="609"/>
      <c r="H30" s="609"/>
      <c r="I30" s="609"/>
      <c r="J30" s="609"/>
      <c r="K30" s="609"/>
      <c r="L30" s="609"/>
      <c r="M30" s="615" t="s">
        <v>425</v>
      </c>
    </row>
    <row r="31" spans="1:13" ht="15.75" x14ac:dyDescent="0.25">
      <c r="A31" s="1084"/>
      <c r="B31" s="1056"/>
      <c r="C31" s="629" t="s">
        <v>426</v>
      </c>
      <c r="D31" s="631">
        <v>1.1599999999999999</v>
      </c>
      <c r="E31" s="629">
        <v>5</v>
      </c>
      <c r="F31" s="628">
        <v>5.8</v>
      </c>
      <c r="G31" s="609"/>
      <c r="H31" s="609"/>
      <c r="I31" s="609"/>
      <c r="J31" s="609"/>
      <c r="K31" s="609"/>
      <c r="L31" s="609"/>
      <c r="M31" s="615" t="s">
        <v>427</v>
      </c>
    </row>
    <row r="32" spans="1:13" ht="15.75" x14ac:dyDescent="0.25">
      <c r="A32" s="1085"/>
      <c r="B32" s="1057"/>
      <c r="C32" s="629" t="s">
        <v>428</v>
      </c>
      <c r="D32" s="631">
        <v>2.08</v>
      </c>
      <c r="E32" s="629">
        <v>5</v>
      </c>
      <c r="F32" s="628">
        <v>10.4</v>
      </c>
      <c r="G32" s="609"/>
      <c r="H32" s="609"/>
      <c r="I32" s="609"/>
      <c r="J32" s="609"/>
      <c r="K32" s="609"/>
      <c r="L32" s="609"/>
      <c r="M32" s="609"/>
    </row>
    <row r="33" spans="1:13" ht="15.75" x14ac:dyDescent="0.25">
      <c r="A33" s="1085"/>
      <c r="B33" s="1057"/>
      <c r="C33" s="629" t="s">
        <v>429</v>
      </c>
      <c r="D33" s="631">
        <v>3.09</v>
      </c>
      <c r="E33" s="629">
        <v>10</v>
      </c>
      <c r="F33" s="628">
        <v>30.9</v>
      </c>
      <c r="G33" s="609"/>
      <c r="H33" s="609"/>
      <c r="I33" s="609"/>
      <c r="J33" s="609"/>
      <c r="K33" s="609"/>
      <c r="L33" s="609"/>
      <c r="M33" s="609"/>
    </row>
    <row r="34" spans="1:13" ht="15.75" x14ac:dyDescent="0.25">
      <c r="A34" s="1085"/>
      <c r="B34" s="1057"/>
      <c r="C34" s="629" t="s">
        <v>430</v>
      </c>
      <c r="D34" s="631">
        <v>4.58</v>
      </c>
      <c r="E34" s="629">
        <v>10</v>
      </c>
      <c r="F34" s="628">
        <v>45.8</v>
      </c>
      <c r="G34" s="609"/>
      <c r="H34" s="609"/>
      <c r="I34" s="609"/>
      <c r="J34" s="609"/>
      <c r="K34" s="609"/>
      <c r="L34" s="609"/>
      <c r="M34" s="609"/>
    </row>
    <row r="35" spans="1:13" ht="15.75" x14ac:dyDescent="0.25">
      <c r="A35" s="1085"/>
      <c r="B35" s="1057"/>
      <c r="C35" s="629"/>
      <c r="D35" s="631"/>
      <c r="E35" s="629"/>
      <c r="F35" s="628"/>
      <c r="G35" s="674"/>
      <c r="H35" s="609"/>
      <c r="I35" s="609"/>
      <c r="J35" s="609"/>
      <c r="K35" s="609"/>
      <c r="L35" s="609"/>
      <c r="M35" s="609"/>
    </row>
    <row r="36" spans="1:13" ht="15.75" x14ac:dyDescent="0.25">
      <c r="A36" s="1085"/>
      <c r="B36" s="1057"/>
      <c r="C36" s="628"/>
      <c r="D36" s="634" t="s">
        <v>431</v>
      </c>
      <c r="E36" s="629">
        <v>30</v>
      </c>
      <c r="F36" s="628">
        <v>102.96</v>
      </c>
      <c r="G36" s="609"/>
      <c r="H36" s="609"/>
      <c r="I36" s="609"/>
      <c r="J36" s="609"/>
      <c r="K36" s="609"/>
      <c r="L36" s="609"/>
      <c r="M36" s="609"/>
    </row>
    <row r="37" spans="1:13" ht="30.75" x14ac:dyDescent="0.25">
      <c r="A37" s="1085"/>
      <c r="B37" s="1057"/>
      <c r="C37" s="635" t="s">
        <v>432</v>
      </c>
      <c r="D37" s="628"/>
      <c r="E37" s="634"/>
      <c r="F37" s="628">
        <v>5</v>
      </c>
      <c r="G37" s="609"/>
      <c r="H37" s="609"/>
      <c r="I37" s="609"/>
      <c r="J37" s="609"/>
      <c r="K37" s="609"/>
      <c r="L37" s="609"/>
      <c r="M37" s="609"/>
    </row>
    <row r="38" spans="1:13" ht="30.75" x14ac:dyDescent="0.25">
      <c r="A38" s="1085"/>
      <c r="B38" s="1057"/>
      <c r="C38" s="635" t="s">
        <v>433</v>
      </c>
      <c r="D38" s="628"/>
      <c r="E38" s="634"/>
      <c r="F38" s="628">
        <v>9</v>
      </c>
      <c r="G38" s="609"/>
      <c r="H38" s="609"/>
      <c r="I38" s="609"/>
      <c r="J38" s="609"/>
      <c r="K38" s="609"/>
      <c r="L38" s="609"/>
      <c r="M38" s="609"/>
    </row>
    <row r="39" spans="1:13" ht="15.75" x14ac:dyDescent="0.25">
      <c r="A39" s="1085"/>
      <c r="B39" s="1057"/>
      <c r="C39" s="633" t="s">
        <v>434</v>
      </c>
      <c r="D39" s="632">
        <v>2.5000000000000001E-3</v>
      </c>
      <c r="E39" s="629"/>
      <c r="F39" s="631">
        <v>0.25739999999999996</v>
      </c>
      <c r="G39" s="609"/>
      <c r="H39" s="609"/>
      <c r="I39" s="609"/>
      <c r="J39" s="609"/>
      <c r="K39" s="609"/>
      <c r="L39" s="609"/>
      <c r="M39" s="609"/>
    </row>
    <row r="40" spans="1:13" ht="15.75" x14ac:dyDescent="0.25">
      <c r="A40" s="1085"/>
      <c r="B40" s="1057"/>
      <c r="C40" s="1056"/>
      <c r="D40" s="1087"/>
      <c r="E40" s="630" t="s">
        <v>403</v>
      </c>
      <c r="F40" s="628">
        <v>117.2174</v>
      </c>
      <c r="G40" s="609"/>
      <c r="H40" s="609"/>
      <c r="I40" s="609"/>
      <c r="J40" s="609"/>
      <c r="K40" s="609"/>
      <c r="L40" s="609"/>
      <c r="M40" s="609"/>
    </row>
    <row r="41" spans="1:13" ht="15.75" x14ac:dyDescent="0.25">
      <c r="A41" s="1086"/>
      <c r="B41" s="1058"/>
      <c r="C41" s="1058"/>
      <c r="D41" s="1088"/>
      <c r="E41" s="629" t="s">
        <v>404</v>
      </c>
      <c r="F41" s="628">
        <v>3.9072466666666665</v>
      </c>
      <c r="G41" s="609"/>
      <c r="H41" s="609"/>
      <c r="I41" s="609"/>
      <c r="J41" s="609"/>
      <c r="K41" s="609"/>
      <c r="L41" s="609"/>
      <c r="M41" s="609"/>
    </row>
    <row r="42" spans="1:13" ht="15.75" x14ac:dyDescent="0.25">
      <c r="A42" s="623" t="s">
        <v>435</v>
      </c>
      <c r="B42" s="622">
        <v>19.329999999999998</v>
      </c>
      <c r="C42" s="623"/>
      <c r="D42" s="623"/>
      <c r="E42" s="623"/>
      <c r="F42" s="622">
        <v>19.329999999999998</v>
      </c>
      <c r="G42" s="609"/>
      <c r="H42" s="609"/>
      <c r="I42" s="609"/>
      <c r="J42" s="609"/>
      <c r="K42" s="609"/>
      <c r="L42" s="609"/>
      <c r="M42" s="615" t="s">
        <v>436</v>
      </c>
    </row>
    <row r="43" spans="1:13" ht="15.75" x14ac:dyDescent="0.25">
      <c r="A43" s="1049"/>
      <c r="B43" s="1049"/>
      <c r="C43" s="623" t="s">
        <v>437</v>
      </c>
      <c r="D43" s="622">
        <v>3.6120000000000001</v>
      </c>
      <c r="E43" s="623">
        <v>7</v>
      </c>
      <c r="F43" s="622">
        <v>25.283999999999999</v>
      </c>
      <c r="G43" s="609"/>
      <c r="H43" s="609"/>
      <c r="I43" s="609"/>
      <c r="J43" s="609"/>
      <c r="K43" s="609"/>
      <c r="L43" s="609"/>
      <c r="M43" s="609"/>
    </row>
    <row r="44" spans="1:13" ht="15.75" x14ac:dyDescent="0.25">
      <c r="A44" s="1050"/>
      <c r="B44" s="1050"/>
      <c r="C44" s="623" t="s">
        <v>438</v>
      </c>
      <c r="D44" s="622">
        <v>3.9169999999999998</v>
      </c>
      <c r="E44" s="623">
        <v>7</v>
      </c>
      <c r="F44" s="622">
        <v>27.418999999999997</v>
      </c>
      <c r="G44" s="609"/>
      <c r="H44" s="609"/>
      <c r="I44" s="609"/>
      <c r="J44" s="609"/>
      <c r="K44" s="609"/>
      <c r="L44" s="609"/>
      <c r="M44" s="609"/>
    </row>
    <row r="45" spans="1:13" ht="15.75" x14ac:dyDescent="0.25">
      <c r="A45" s="1050"/>
      <c r="B45" s="1050"/>
      <c r="C45" s="623" t="s">
        <v>439</v>
      </c>
      <c r="D45" s="626">
        <v>4.3979999999999997</v>
      </c>
      <c r="E45" s="625">
        <v>26.104166800000002</v>
      </c>
      <c r="F45" s="622">
        <v>114.8061255864</v>
      </c>
      <c r="G45" s="609"/>
      <c r="H45" s="609"/>
      <c r="I45" s="609"/>
      <c r="J45" s="609"/>
      <c r="K45" s="609"/>
      <c r="L45" s="609"/>
      <c r="M45" s="609"/>
    </row>
    <row r="46" spans="1:13" ht="15.75" x14ac:dyDescent="0.25">
      <c r="A46" s="1050"/>
      <c r="B46" s="1050"/>
      <c r="C46" s="1052" t="s">
        <v>440</v>
      </c>
      <c r="D46" s="1053"/>
      <c r="E46" s="624" t="s">
        <v>403</v>
      </c>
      <c r="F46" s="622">
        <v>186.83912558639997</v>
      </c>
      <c r="G46" s="609"/>
      <c r="H46" s="609"/>
      <c r="I46" s="609"/>
      <c r="J46" s="609"/>
      <c r="K46" s="609"/>
      <c r="L46" s="609"/>
      <c r="M46" s="609"/>
    </row>
    <row r="47" spans="1:13" ht="15.75" x14ac:dyDescent="0.25">
      <c r="A47" s="1051"/>
      <c r="B47" s="1051"/>
      <c r="C47" s="1054"/>
      <c r="D47" s="1055"/>
      <c r="E47" s="623" t="s">
        <v>404</v>
      </c>
      <c r="F47" s="622">
        <v>6.2279708528799995</v>
      </c>
      <c r="G47" s="609"/>
      <c r="H47" s="609"/>
      <c r="I47" s="609"/>
      <c r="J47" s="609"/>
      <c r="K47" s="609"/>
      <c r="L47" s="609"/>
      <c r="M47" s="609"/>
    </row>
    <row r="48" spans="1:13" ht="15.75" x14ac:dyDescent="0.25">
      <c r="A48" s="671" t="s">
        <v>441</v>
      </c>
      <c r="B48" s="670">
        <v>22.47</v>
      </c>
      <c r="C48" s="671" t="s">
        <v>442</v>
      </c>
      <c r="D48" s="671"/>
      <c r="E48" s="671">
        <v>5</v>
      </c>
      <c r="F48" s="670">
        <v>22.47</v>
      </c>
      <c r="G48" s="609"/>
      <c r="H48" s="609"/>
      <c r="I48" s="609"/>
      <c r="J48" s="609"/>
      <c r="K48" s="609"/>
      <c r="L48" s="609"/>
      <c r="M48" s="615" t="s">
        <v>443</v>
      </c>
    </row>
    <row r="49" spans="1:13" ht="15.75" x14ac:dyDescent="0.25">
      <c r="A49" s="1100"/>
      <c r="B49" s="1101"/>
      <c r="C49" s="671" t="s">
        <v>444</v>
      </c>
      <c r="D49" s="670">
        <v>0.78</v>
      </c>
      <c r="E49" s="671">
        <v>5</v>
      </c>
      <c r="F49" s="670">
        <v>3.9000000000000004</v>
      </c>
      <c r="G49" s="609"/>
      <c r="H49" s="609"/>
      <c r="I49" s="609"/>
      <c r="J49" s="609"/>
      <c r="K49" s="609"/>
      <c r="L49" s="609"/>
      <c r="M49" s="609"/>
    </row>
    <row r="50" spans="1:13" ht="15.75" x14ac:dyDescent="0.25">
      <c r="A50" s="1102"/>
      <c r="B50" s="1103"/>
      <c r="C50" s="671" t="s">
        <v>444</v>
      </c>
      <c r="D50" s="670">
        <v>0.9</v>
      </c>
      <c r="E50" s="671">
        <v>5</v>
      </c>
      <c r="F50" s="670">
        <v>4.5</v>
      </c>
      <c r="G50" s="609"/>
      <c r="H50" s="609"/>
      <c r="I50" s="609"/>
      <c r="J50" s="609"/>
      <c r="K50" s="609"/>
      <c r="L50" s="609"/>
      <c r="M50" s="609"/>
    </row>
    <row r="51" spans="1:13" ht="15.75" x14ac:dyDescent="0.25">
      <c r="A51" s="1102"/>
      <c r="B51" s="1103"/>
      <c r="C51" s="671" t="s">
        <v>444</v>
      </c>
      <c r="D51" s="673">
        <v>1</v>
      </c>
      <c r="E51" s="671">
        <v>5</v>
      </c>
      <c r="F51" s="670">
        <v>5</v>
      </c>
      <c r="G51" s="609"/>
      <c r="H51" s="609"/>
      <c r="I51" s="609"/>
      <c r="J51" s="609"/>
      <c r="K51" s="609"/>
      <c r="L51" s="609"/>
      <c r="M51" s="609"/>
    </row>
    <row r="52" spans="1:13" ht="15.75" x14ac:dyDescent="0.25">
      <c r="A52" s="1102"/>
      <c r="B52" s="1103"/>
      <c r="C52" s="671" t="s">
        <v>444</v>
      </c>
      <c r="D52" s="673">
        <v>1.1100000000000001</v>
      </c>
      <c r="E52" s="671">
        <v>5</v>
      </c>
      <c r="F52" s="670">
        <v>5.5500000000000007</v>
      </c>
      <c r="G52" s="609"/>
      <c r="H52" s="609"/>
      <c r="I52" s="609"/>
      <c r="J52" s="609"/>
      <c r="K52" s="609"/>
      <c r="L52" s="609"/>
      <c r="M52" s="609"/>
    </row>
    <row r="53" spans="1:13" ht="15.75" x14ac:dyDescent="0.25">
      <c r="A53" s="1102"/>
      <c r="B53" s="1103"/>
      <c r="C53" s="671" t="s">
        <v>444</v>
      </c>
      <c r="D53" s="673">
        <v>1.22</v>
      </c>
      <c r="E53" s="671">
        <v>5</v>
      </c>
      <c r="F53" s="670">
        <v>6.1</v>
      </c>
      <c r="G53" s="609"/>
      <c r="H53" s="609"/>
      <c r="I53" s="609"/>
      <c r="J53" s="609"/>
      <c r="K53" s="609"/>
      <c r="L53" s="609"/>
      <c r="M53" s="609"/>
    </row>
    <row r="54" spans="1:13" ht="15.75" x14ac:dyDescent="0.25">
      <c r="A54" s="1102"/>
      <c r="B54" s="1103"/>
      <c r="C54" s="1101"/>
      <c r="D54" s="1104"/>
      <c r="E54" s="672" t="s">
        <v>403</v>
      </c>
      <c r="F54" s="670">
        <v>47.52</v>
      </c>
      <c r="G54" s="609"/>
      <c r="H54" s="609"/>
      <c r="I54" s="609"/>
      <c r="J54" s="609"/>
      <c r="K54" s="609"/>
      <c r="L54" s="609"/>
      <c r="M54" s="609"/>
    </row>
    <row r="55" spans="1:13" ht="15.75" x14ac:dyDescent="0.25">
      <c r="A55" s="1102"/>
      <c r="B55" s="1103"/>
      <c r="C55" s="1103"/>
      <c r="D55" s="1105"/>
      <c r="E55" s="671" t="s">
        <v>445</v>
      </c>
      <c r="F55" s="670">
        <v>1.5840000000000001</v>
      </c>
      <c r="G55" s="609"/>
      <c r="H55" s="609"/>
      <c r="I55" s="609"/>
      <c r="J55" s="609"/>
      <c r="K55" s="609"/>
      <c r="L55" s="609"/>
      <c r="M55" s="609"/>
    </row>
    <row r="56" spans="1:13" ht="15.75" x14ac:dyDescent="0.25">
      <c r="A56" s="1118" t="s">
        <v>446</v>
      </c>
      <c r="B56" s="663">
        <v>31.209</v>
      </c>
      <c r="C56" s="654" t="s">
        <v>447</v>
      </c>
      <c r="D56" s="654"/>
      <c r="E56" s="667">
        <v>0</v>
      </c>
      <c r="F56" s="654">
        <v>31.21</v>
      </c>
      <c r="G56" s="609"/>
      <c r="H56" s="669"/>
      <c r="I56" s="609"/>
      <c r="J56" s="609"/>
      <c r="K56" s="609"/>
      <c r="L56" s="609"/>
      <c r="M56" s="615" t="s">
        <v>448</v>
      </c>
    </row>
    <row r="57" spans="1:13" ht="15.75" x14ac:dyDescent="0.25">
      <c r="A57" s="1119"/>
      <c r="B57" s="668"/>
      <c r="C57" s="654" t="s">
        <v>449</v>
      </c>
      <c r="D57" s="654">
        <v>3.4409999999999998</v>
      </c>
      <c r="E57" s="667">
        <v>40.104166800000002</v>
      </c>
      <c r="F57" s="654">
        <v>137.9984379588</v>
      </c>
      <c r="G57" s="609"/>
      <c r="H57" s="609"/>
      <c r="I57" s="609"/>
      <c r="J57" s="609"/>
      <c r="K57" s="609"/>
      <c r="L57" s="609"/>
      <c r="M57" s="615" t="s">
        <v>450</v>
      </c>
    </row>
    <row r="58" spans="1:13" ht="15.75" x14ac:dyDescent="0.25">
      <c r="A58" s="666"/>
      <c r="B58" s="665"/>
      <c r="C58" s="664"/>
      <c r="D58" s="663"/>
      <c r="E58" s="662" t="s">
        <v>403</v>
      </c>
      <c r="F58" s="654">
        <v>169.2084379588</v>
      </c>
      <c r="G58" s="609"/>
      <c r="H58" s="609"/>
      <c r="I58" s="609"/>
      <c r="J58" s="609"/>
      <c r="K58" s="609"/>
      <c r="L58" s="609"/>
      <c r="M58" s="609"/>
    </row>
    <row r="59" spans="1:13" ht="15.75" x14ac:dyDescent="0.25">
      <c r="A59" s="661"/>
      <c r="B59" s="660"/>
      <c r="C59" s="1098"/>
      <c r="D59" s="1099"/>
      <c r="E59" s="654" t="s">
        <v>404</v>
      </c>
      <c r="F59" s="654">
        <v>5.6402812652933338</v>
      </c>
      <c r="G59" s="609"/>
      <c r="H59" s="609"/>
      <c r="I59" s="609"/>
      <c r="J59" s="609"/>
      <c r="K59" s="609"/>
      <c r="L59" s="609"/>
      <c r="M59" s="609"/>
    </row>
    <row r="60" spans="1:13" ht="15.75" x14ac:dyDescent="0.25">
      <c r="A60" s="1120" t="s">
        <v>451</v>
      </c>
      <c r="B60" s="644">
        <v>14.133000000000001</v>
      </c>
      <c r="C60" s="644" t="s">
        <v>452</v>
      </c>
      <c r="D60" s="644"/>
      <c r="E60" s="644"/>
      <c r="F60" s="644"/>
      <c r="G60" s="609"/>
      <c r="H60" s="609"/>
      <c r="I60" s="609"/>
      <c r="J60" s="609"/>
      <c r="K60" s="609"/>
      <c r="L60" s="609"/>
      <c r="M60" s="615" t="s">
        <v>453</v>
      </c>
    </row>
    <row r="61" spans="1:13" ht="15.75" x14ac:dyDescent="0.25">
      <c r="A61" s="1121"/>
      <c r="B61" s="644"/>
      <c r="C61" s="644" t="s">
        <v>454</v>
      </c>
      <c r="D61" s="644">
        <v>3.1099999999999999E-2</v>
      </c>
      <c r="E61" s="646">
        <v>999</v>
      </c>
      <c r="F61" s="644">
        <v>31.068899999999999</v>
      </c>
      <c r="G61" s="609"/>
      <c r="H61" s="609"/>
      <c r="I61" s="609"/>
      <c r="J61" s="609"/>
      <c r="K61" s="609"/>
      <c r="L61" s="609"/>
      <c r="M61" s="609"/>
    </row>
    <row r="62" spans="1:13" ht="15.75" x14ac:dyDescent="0.25">
      <c r="A62" s="1122"/>
      <c r="B62" s="644"/>
      <c r="C62" s="644" t="s">
        <v>455</v>
      </c>
      <c r="D62" s="644">
        <v>5.8400000000000001E-2</v>
      </c>
      <c r="E62" s="646">
        <v>2401</v>
      </c>
      <c r="F62" s="644">
        <v>140.2184</v>
      </c>
      <c r="G62" s="609"/>
      <c r="H62" s="609"/>
      <c r="I62" s="609"/>
      <c r="J62" s="609"/>
      <c r="K62" s="609"/>
      <c r="L62" s="609"/>
      <c r="M62" s="609"/>
    </row>
    <row r="63" spans="1:13" ht="15.75" x14ac:dyDescent="0.25">
      <c r="A63" s="644"/>
      <c r="B63" s="644"/>
      <c r="C63" s="644" t="s">
        <v>456</v>
      </c>
      <c r="D63" s="644">
        <v>0.1106</v>
      </c>
      <c r="E63" s="646">
        <v>610.41668000000027</v>
      </c>
      <c r="F63" s="644">
        <v>67.512084808000026</v>
      </c>
      <c r="G63" s="609"/>
      <c r="H63" s="609"/>
      <c r="I63" s="609"/>
      <c r="J63" s="609"/>
      <c r="K63" s="609"/>
      <c r="L63" s="609"/>
      <c r="M63" s="609"/>
    </row>
    <row r="64" spans="1:13" ht="15.75" x14ac:dyDescent="0.25">
      <c r="A64" s="644"/>
      <c r="B64" s="644"/>
      <c r="C64" s="644"/>
      <c r="D64" s="644"/>
      <c r="E64" s="659" t="s">
        <v>403</v>
      </c>
      <c r="F64" s="644">
        <v>238.79938480800004</v>
      </c>
      <c r="G64" s="609"/>
      <c r="H64" s="609"/>
      <c r="I64" s="609"/>
      <c r="J64" s="609"/>
      <c r="K64" s="609"/>
      <c r="L64" s="609"/>
      <c r="M64" s="609"/>
    </row>
    <row r="65" spans="1:13" ht="15.75" x14ac:dyDescent="0.25">
      <c r="A65" s="644"/>
      <c r="B65" s="644"/>
      <c r="C65" s="644" t="s">
        <v>457</v>
      </c>
      <c r="D65" s="644"/>
      <c r="E65" s="644" t="s">
        <v>404</v>
      </c>
      <c r="F65" s="644">
        <v>7.9599794936000015</v>
      </c>
      <c r="G65" s="609"/>
      <c r="H65" s="609"/>
      <c r="I65" s="609"/>
      <c r="J65" s="609"/>
      <c r="K65" s="609"/>
      <c r="L65" s="609"/>
      <c r="M65" s="609"/>
    </row>
    <row r="66" spans="1:13" ht="15.75" x14ac:dyDescent="0.25">
      <c r="A66" s="644"/>
      <c r="B66" s="644"/>
      <c r="C66" s="644"/>
      <c r="D66" s="644"/>
      <c r="E66" s="644"/>
      <c r="F66" s="644"/>
      <c r="G66" s="609"/>
      <c r="H66" s="609"/>
      <c r="I66" s="609"/>
      <c r="J66" s="609"/>
      <c r="K66" s="609"/>
      <c r="L66" s="609"/>
      <c r="M66" s="609"/>
    </row>
    <row r="69" spans="1:13" x14ac:dyDescent="0.25">
      <c r="A69" s="609" t="s">
        <v>458</v>
      </c>
      <c r="B69" s="609"/>
      <c r="C69" s="609"/>
      <c r="D69" s="609"/>
      <c r="E69" s="609"/>
      <c r="F69" s="609"/>
      <c r="G69" s="609"/>
      <c r="H69" s="609"/>
      <c r="I69" s="609"/>
      <c r="J69" s="609"/>
      <c r="K69" s="609"/>
      <c r="L69" s="609"/>
      <c r="M69" s="609"/>
    </row>
    <row r="71" spans="1:13" x14ac:dyDescent="0.25">
      <c r="A71" s="609" t="s">
        <v>459</v>
      </c>
      <c r="B71" s="609"/>
      <c r="C71" s="609"/>
      <c r="D71" s="609"/>
      <c r="E71" s="609"/>
      <c r="F71" s="609"/>
      <c r="G71" s="609"/>
      <c r="H71" s="609"/>
      <c r="I71" s="609"/>
      <c r="J71" s="609"/>
      <c r="K71" s="609"/>
      <c r="L71" s="609"/>
      <c r="M71" s="609"/>
    </row>
    <row r="72" spans="1:13" ht="15.75" x14ac:dyDescent="0.25">
      <c r="A72" s="651" t="s">
        <v>460</v>
      </c>
      <c r="B72" s="654">
        <v>0</v>
      </c>
      <c r="C72" s="654" t="s">
        <v>461</v>
      </c>
      <c r="D72" s="654"/>
      <c r="E72" s="651"/>
      <c r="F72" s="654">
        <v>0</v>
      </c>
      <c r="G72" s="609"/>
      <c r="H72" s="609"/>
      <c r="I72" s="609"/>
      <c r="J72" s="609"/>
      <c r="K72" s="609"/>
      <c r="L72" s="609"/>
      <c r="M72" s="615" t="s">
        <v>462</v>
      </c>
    </row>
    <row r="73" spans="1:13" ht="15.75" x14ac:dyDescent="0.25">
      <c r="A73" s="658"/>
      <c r="B73" s="657"/>
      <c r="C73" s="654" t="s">
        <v>463</v>
      </c>
      <c r="D73" s="654">
        <v>4.21</v>
      </c>
      <c r="E73" s="653">
        <v>32</v>
      </c>
      <c r="F73" s="650">
        <v>134.72</v>
      </c>
      <c r="G73" s="609"/>
      <c r="H73" s="609"/>
      <c r="I73" s="609"/>
      <c r="J73" s="609"/>
      <c r="K73" s="609"/>
      <c r="L73" s="609"/>
      <c r="M73" s="609"/>
    </row>
    <row r="74" spans="1:13" ht="15.75" x14ac:dyDescent="0.25">
      <c r="A74" s="656"/>
      <c r="B74" s="655"/>
      <c r="C74" s="654" t="s">
        <v>464</v>
      </c>
      <c r="D74" s="654">
        <v>5.8230000000000004</v>
      </c>
      <c r="E74" s="653">
        <v>8.1041668000000016</v>
      </c>
      <c r="F74" s="650">
        <v>47.190563276400013</v>
      </c>
      <c r="G74" s="609"/>
      <c r="H74" s="609"/>
      <c r="I74" s="609"/>
      <c r="J74" s="609"/>
      <c r="K74" s="609"/>
      <c r="L74" s="609"/>
      <c r="M74" s="609"/>
    </row>
    <row r="75" spans="1:13" ht="15.75" x14ac:dyDescent="0.25">
      <c r="A75" s="1123" t="s">
        <v>465</v>
      </c>
      <c r="B75" s="1124"/>
      <c r="C75" s="1124"/>
      <c r="D75" s="1125"/>
      <c r="E75" s="652" t="s">
        <v>403</v>
      </c>
      <c r="F75" s="650">
        <v>181.91056327640001</v>
      </c>
      <c r="G75" s="609"/>
      <c r="H75" s="609"/>
      <c r="I75" s="609"/>
      <c r="J75" s="609"/>
      <c r="K75" s="609"/>
      <c r="L75" s="609"/>
      <c r="M75" s="609"/>
    </row>
    <row r="76" spans="1:13" ht="15.75" x14ac:dyDescent="0.25">
      <c r="A76" s="1123"/>
      <c r="B76" s="1124"/>
      <c r="C76" s="1124"/>
      <c r="D76" s="1125"/>
      <c r="E76" s="651" t="s">
        <v>404</v>
      </c>
      <c r="F76" s="650">
        <v>6.0636854425466673</v>
      </c>
      <c r="G76" s="609"/>
      <c r="H76" s="609"/>
      <c r="I76" s="609"/>
      <c r="J76" s="609"/>
      <c r="K76" s="609"/>
      <c r="L76" s="609"/>
      <c r="M76" s="609"/>
    </row>
    <row r="77" spans="1:13" ht="15.75" x14ac:dyDescent="0.25">
      <c r="A77" s="649" t="s">
        <v>466</v>
      </c>
      <c r="B77" s="644">
        <v>12.9</v>
      </c>
      <c r="C77" s="644"/>
      <c r="D77" s="644"/>
      <c r="E77" s="646"/>
      <c r="F77" s="644">
        <v>12.9</v>
      </c>
      <c r="G77" s="609"/>
      <c r="H77" s="609"/>
      <c r="I77" s="609"/>
      <c r="J77" s="609"/>
      <c r="K77" s="609"/>
      <c r="L77" s="609"/>
      <c r="M77" s="615" t="s">
        <v>467</v>
      </c>
    </row>
    <row r="78" spans="1:13" ht="15.75" x14ac:dyDescent="0.25">
      <c r="A78" s="1096"/>
      <c r="B78" s="1066"/>
      <c r="C78" s="644" t="s">
        <v>468</v>
      </c>
      <c r="D78" s="644">
        <v>1.05</v>
      </c>
      <c r="E78" s="646">
        <v>40.104166800000002</v>
      </c>
      <c r="F78" s="644">
        <v>42.109375140000004</v>
      </c>
      <c r="G78" s="609"/>
      <c r="H78" s="609"/>
      <c r="I78" s="609"/>
      <c r="J78" s="609"/>
      <c r="K78" s="609"/>
      <c r="L78" s="609"/>
      <c r="M78" s="609"/>
    </row>
    <row r="79" spans="1:13" ht="15.75" x14ac:dyDescent="0.25">
      <c r="A79" s="1063"/>
      <c r="B79" s="1097"/>
      <c r="C79" s="644" t="s">
        <v>469</v>
      </c>
      <c r="D79" s="644">
        <v>0.09</v>
      </c>
      <c r="E79" s="646">
        <v>40.104166800000002</v>
      </c>
      <c r="F79" s="644">
        <v>3.6093750120000001</v>
      </c>
      <c r="G79" s="609"/>
      <c r="H79" s="609"/>
      <c r="I79" s="609"/>
      <c r="J79" s="609"/>
      <c r="K79" s="609"/>
      <c r="L79" s="609"/>
      <c r="M79" s="609"/>
    </row>
    <row r="80" spans="1:13" ht="15.75" x14ac:dyDescent="0.25">
      <c r="A80" s="648"/>
      <c r="B80" s="647"/>
      <c r="C80" s="644" t="s">
        <v>470</v>
      </c>
      <c r="D80" s="644">
        <v>0.14000000000000001</v>
      </c>
      <c r="E80" s="646">
        <v>40.104166800000002</v>
      </c>
      <c r="F80" s="644">
        <v>5.6145833520000004</v>
      </c>
      <c r="G80" s="609"/>
      <c r="H80" s="609"/>
      <c r="I80" s="609"/>
      <c r="J80" s="609"/>
      <c r="K80" s="609"/>
      <c r="L80" s="609"/>
      <c r="M80" s="609"/>
    </row>
    <row r="81" spans="1:13" ht="15.75" x14ac:dyDescent="0.25">
      <c r="A81" s="648"/>
      <c r="B81" s="647"/>
      <c r="C81" s="644" t="s">
        <v>413</v>
      </c>
      <c r="D81" s="644">
        <v>0.35</v>
      </c>
      <c r="E81" s="646">
        <v>8.1041668000000016</v>
      </c>
      <c r="F81" s="644">
        <v>2.8364583800000003</v>
      </c>
      <c r="G81" s="609"/>
      <c r="H81" s="609"/>
      <c r="I81" s="609"/>
      <c r="J81" s="609"/>
      <c r="K81" s="609"/>
      <c r="L81" s="609"/>
      <c r="M81" s="609"/>
    </row>
    <row r="82" spans="1:13" ht="15.75" x14ac:dyDescent="0.25">
      <c r="A82" s="1063"/>
      <c r="B82" s="1064"/>
      <c r="C82" s="1065"/>
      <c r="D82" s="1066"/>
      <c r="E82" s="645" t="s">
        <v>403</v>
      </c>
      <c r="F82" s="644">
        <v>67.069791883999997</v>
      </c>
      <c r="G82" s="609"/>
      <c r="H82" s="609"/>
      <c r="I82" s="609"/>
      <c r="J82" s="609"/>
      <c r="K82" s="609"/>
      <c r="L82" s="609"/>
      <c r="M82" s="609"/>
    </row>
    <row r="83" spans="1:13" ht="15.75" x14ac:dyDescent="0.25">
      <c r="A83" s="1067"/>
      <c r="B83" s="1068"/>
      <c r="C83" s="1068"/>
      <c r="D83" s="1069"/>
      <c r="E83" s="643" t="s">
        <v>404</v>
      </c>
      <c r="F83" s="642">
        <v>2.2356597294666667</v>
      </c>
      <c r="G83" s="609"/>
      <c r="H83" s="609"/>
      <c r="I83" s="609"/>
      <c r="J83" s="609"/>
      <c r="K83" s="609"/>
      <c r="L83" s="609"/>
      <c r="M83" s="609"/>
    </row>
    <row r="84" spans="1:13" ht="15.75" x14ac:dyDescent="0.25">
      <c r="A84" s="623" t="s">
        <v>471</v>
      </c>
      <c r="B84" s="622">
        <v>17.7</v>
      </c>
      <c r="C84" s="623"/>
      <c r="D84" s="623"/>
      <c r="E84" s="623"/>
      <c r="F84" s="622">
        <v>17.7</v>
      </c>
      <c r="G84" s="609"/>
      <c r="H84" s="609"/>
      <c r="I84" s="609"/>
      <c r="J84" s="609"/>
      <c r="K84" s="609"/>
      <c r="L84" s="609"/>
      <c r="M84" s="615" t="s">
        <v>472</v>
      </c>
    </row>
    <row r="85" spans="1:13" ht="15.75" x14ac:dyDescent="0.25">
      <c r="A85" s="1049"/>
      <c r="B85" s="1049"/>
      <c r="C85" s="623" t="s">
        <v>473</v>
      </c>
      <c r="D85" s="622">
        <v>2.6141000000000001</v>
      </c>
      <c r="E85" s="623">
        <v>13</v>
      </c>
      <c r="F85" s="622">
        <v>33.9833</v>
      </c>
      <c r="G85" s="609"/>
      <c r="H85" s="609"/>
      <c r="I85" s="609"/>
      <c r="J85" s="609"/>
      <c r="K85" s="609"/>
      <c r="L85" s="609"/>
      <c r="M85" s="609"/>
    </row>
    <row r="86" spans="1:13" ht="15.75" x14ac:dyDescent="0.25">
      <c r="A86" s="1050"/>
      <c r="B86" s="1050"/>
      <c r="C86" s="623" t="s">
        <v>474</v>
      </c>
      <c r="D86" s="626">
        <v>2.8744999999999998</v>
      </c>
      <c r="E86" s="625">
        <v>27.104166800000002</v>
      </c>
      <c r="F86" s="622">
        <v>77.9109274666</v>
      </c>
      <c r="G86" s="609"/>
      <c r="H86" s="609"/>
      <c r="I86" s="609"/>
      <c r="J86" s="609"/>
      <c r="K86" s="609"/>
      <c r="L86" s="609"/>
      <c r="M86" s="609"/>
    </row>
    <row r="87" spans="1:13" ht="15.75" x14ac:dyDescent="0.25">
      <c r="A87" s="1050"/>
      <c r="B87" s="1050"/>
      <c r="C87" s="623" t="s">
        <v>475</v>
      </c>
      <c r="D87" s="626"/>
      <c r="E87" s="625"/>
      <c r="F87" s="622">
        <v>0.06</v>
      </c>
      <c r="G87" s="609"/>
      <c r="H87" s="609"/>
      <c r="I87" s="609"/>
      <c r="J87" s="609"/>
      <c r="K87" s="609"/>
      <c r="L87" s="609"/>
      <c r="M87" s="609"/>
    </row>
    <row r="88" spans="1:13" ht="15.75" x14ac:dyDescent="0.25">
      <c r="A88" s="1050"/>
      <c r="B88" s="1050"/>
      <c r="C88" s="623" t="s">
        <v>476</v>
      </c>
      <c r="D88" s="626"/>
      <c r="E88" s="625"/>
      <c r="F88" s="622">
        <v>0.2</v>
      </c>
      <c r="G88" s="609"/>
      <c r="H88" s="609"/>
      <c r="I88" s="609"/>
      <c r="J88" s="609"/>
      <c r="K88" s="609"/>
      <c r="L88" s="609"/>
      <c r="M88" s="609"/>
    </row>
    <row r="89" spans="1:13" ht="15.75" x14ac:dyDescent="0.25">
      <c r="A89" s="1050"/>
      <c r="B89" s="1050"/>
      <c r="C89" s="623" t="s">
        <v>477</v>
      </c>
      <c r="D89" s="626">
        <v>0.44219999999999998</v>
      </c>
      <c r="E89" s="625">
        <v>40.104166800000002</v>
      </c>
      <c r="F89" s="622">
        <v>40.546366800000001</v>
      </c>
      <c r="G89" s="609"/>
      <c r="H89" s="609"/>
      <c r="I89" s="609"/>
      <c r="J89" s="609"/>
      <c r="K89" s="609"/>
      <c r="L89" s="609"/>
      <c r="M89" s="609"/>
    </row>
    <row r="90" spans="1:13" ht="15.75" x14ac:dyDescent="0.25">
      <c r="A90" s="1050"/>
      <c r="B90" s="1050"/>
      <c r="C90" s="1052"/>
      <c r="D90" s="1053"/>
      <c r="E90" s="624" t="s">
        <v>403</v>
      </c>
      <c r="F90" s="622">
        <v>170.40059426659997</v>
      </c>
      <c r="G90" s="609"/>
      <c r="H90" s="609"/>
      <c r="I90" s="609"/>
      <c r="J90" s="609"/>
      <c r="K90" s="609"/>
      <c r="L90" s="609"/>
      <c r="M90" s="609"/>
    </row>
    <row r="91" spans="1:13" ht="15.75" x14ac:dyDescent="0.25">
      <c r="A91" s="1051"/>
      <c r="B91" s="1051"/>
      <c r="C91" s="1054"/>
      <c r="D91" s="1055"/>
      <c r="E91" s="623" t="s">
        <v>404</v>
      </c>
      <c r="F91" s="622">
        <v>7.5941864844814715</v>
      </c>
      <c r="G91" s="609"/>
      <c r="H91" s="609"/>
      <c r="I91" s="609"/>
      <c r="J91" s="609"/>
      <c r="K91" s="609"/>
      <c r="L91" s="609"/>
      <c r="M91" s="609"/>
    </row>
    <row r="92" spans="1:13" ht="15.75" x14ac:dyDescent="0.25">
      <c r="A92" s="629" t="s">
        <v>478</v>
      </c>
      <c r="B92" s="631">
        <v>8.4</v>
      </c>
      <c r="C92" s="629"/>
      <c r="D92" s="629"/>
      <c r="E92" s="629"/>
      <c r="F92" s="631">
        <v>8.4</v>
      </c>
      <c r="G92" s="609"/>
      <c r="H92" s="609"/>
      <c r="I92" s="609"/>
      <c r="J92" s="609"/>
      <c r="K92" s="609"/>
      <c r="L92" s="609"/>
      <c r="M92" s="615" t="s">
        <v>479</v>
      </c>
    </row>
    <row r="93" spans="1:13" ht="15.75" x14ac:dyDescent="0.25">
      <c r="A93" s="1056"/>
      <c r="B93" s="1056"/>
      <c r="C93" s="629" t="s">
        <v>480</v>
      </c>
      <c r="D93" s="631">
        <v>4.2</v>
      </c>
      <c r="E93" s="629">
        <v>3</v>
      </c>
      <c r="F93" s="631">
        <v>12.600000000000001</v>
      </c>
      <c r="G93" s="609"/>
      <c r="H93" s="609"/>
      <c r="I93" s="609"/>
      <c r="J93" s="609"/>
      <c r="K93" s="609"/>
      <c r="L93" s="609"/>
      <c r="M93" s="609"/>
    </row>
    <row r="94" spans="1:13" ht="15.75" x14ac:dyDescent="0.25">
      <c r="A94" s="1057"/>
      <c r="B94" s="1057"/>
      <c r="C94" s="629" t="s">
        <v>481</v>
      </c>
      <c r="D94" s="641">
        <v>5.5</v>
      </c>
      <c r="E94" s="640">
        <v>37.104166800000002</v>
      </c>
      <c r="F94" s="631">
        <v>204.07291739999999</v>
      </c>
      <c r="G94" s="609"/>
      <c r="H94" s="609"/>
      <c r="I94" s="609"/>
      <c r="J94" s="609"/>
      <c r="K94" s="609"/>
      <c r="L94" s="609"/>
      <c r="M94" s="609"/>
    </row>
    <row r="95" spans="1:13" ht="15.75" x14ac:dyDescent="0.25">
      <c r="A95" s="1057"/>
      <c r="B95" s="1057"/>
      <c r="C95" s="1059"/>
      <c r="D95" s="1060"/>
      <c r="E95" s="630" t="s">
        <v>403</v>
      </c>
      <c r="F95" s="631">
        <v>225.07291739999999</v>
      </c>
      <c r="G95" s="609"/>
      <c r="H95" s="609"/>
      <c r="I95" s="609"/>
      <c r="J95" s="609"/>
      <c r="K95" s="609"/>
      <c r="L95" s="609"/>
      <c r="M95" s="609"/>
    </row>
    <row r="96" spans="1:13" ht="15.75" x14ac:dyDescent="0.25">
      <c r="A96" s="1058"/>
      <c r="B96" s="1058"/>
      <c r="C96" s="1061"/>
      <c r="D96" s="1062"/>
      <c r="E96" s="629" t="s">
        <v>404</v>
      </c>
      <c r="F96" s="631">
        <v>7.5024305799999995</v>
      </c>
      <c r="G96" s="609"/>
      <c r="H96" s="609"/>
      <c r="I96" s="609"/>
      <c r="J96" s="609"/>
      <c r="K96" s="609"/>
      <c r="L96" s="609"/>
      <c r="M96" s="609"/>
    </row>
    <row r="97" spans="1:13" ht="15.75" x14ac:dyDescent="0.25">
      <c r="A97" s="637" t="s">
        <v>482</v>
      </c>
      <c r="B97" s="636">
        <v>8.6300000000000008</v>
      </c>
      <c r="C97" s="637"/>
      <c r="D97" s="637"/>
      <c r="E97" s="637"/>
      <c r="F97" s="636">
        <v>8.6300000000000008</v>
      </c>
      <c r="G97" s="609"/>
      <c r="H97" s="609"/>
      <c r="I97" s="609"/>
      <c r="J97" s="609"/>
      <c r="K97" s="609"/>
      <c r="L97" s="609"/>
      <c r="M97" s="615" t="s">
        <v>483</v>
      </c>
    </row>
    <row r="98" spans="1:13" ht="15.75" x14ac:dyDescent="0.25">
      <c r="A98" s="1077"/>
      <c r="B98" s="1077"/>
      <c r="C98" s="637" t="s">
        <v>484</v>
      </c>
      <c r="D98" s="636">
        <v>1.677</v>
      </c>
      <c r="E98" s="639">
        <v>40.104166800000002</v>
      </c>
      <c r="F98" s="636">
        <v>67.2546877236</v>
      </c>
      <c r="G98" s="609"/>
      <c r="H98" s="609"/>
      <c r="I98" s="609"/>
      <c r="J98" s="609"/>
      <c r="K98" s="609"/>
      <c r="L98" s="609"/>
      <c r="M98" s="609"/>
    </row>
    <row r="99" spans="1:13" ht="15.75" x14ac:dyDescent="0.25">
      <c r="A99" s="1078"/>
      <c r="B99" s="1078"/>
      <c r="C99" s="1080"/>
      <c r="D99" s="1081"/>
      <c r="E99" s="638" t="s">
        <v>403</v>
      </c>
      <c r="F99" s="636">
        <v>75.884687723599995</v>
      </c>
      <c r="G99" s="609"/>
      <c r="H99" s="609"/>
      <c r="I99" s="609"/>
      <c r="J99" s="609"/>
      <c r="K99" s="609"/>
      <c r="L99" s="609"/>
      <c r="M99" s="609"/>
    </row>
    <row r="100" spans="1:13" ht="15.75" x14ac:dyDescent="0.25">
      <c r="A100" s="1079"/>
      <c r="B100" s="1079"/>
      <c r="C100" s="1082"/>
      <c r="D100" s="1083"/>
      <c r="E100" s="637" t="s">
        <v>404</v>
      </c>
      <c r="F100" s="636">
        <v>2.5294895907866666</v>
      </c>
      <c r="G100" s="609"/>
      <c r="H100" s="609"/>
      <c r="I100" s="609"/>
      <c r="J100" s="609"/>
      <c r="K100" s="609"/>
      <c r="L100" s="609"/>
      <c r="M100" s="609"/>
    </row>
    <row r="101" spans="1:13" ht="15.75" x14ac:dyDescent="0.25">
      <c r="A101" s="629" t="s">
        <v>485</v>
      </c>
      <c r="B101" s="631">
        <v>11.95</v>
      </c>
      <c r="C101" s="629"/>
      <c r="D101" s="629"/>
      <c r="E101" s="629"/>
      <c r="F101" s="628">
        <v>11.95</v>
      </c>
      <c r="G101" s="609"/>
      <c r="H101" s="609"/>
      <c r="I101" s="609"/>
      <c r="J101" s="609"/>
      <c r="K101" s="609"/>
      <c r="L101" s="609"/>
      <c r="M101" s="615" t="s">
        <v>486</v>
      </c>
    </row>
    <row r="102" spans="1:13" ht="15.75" x14ac:dyDescent="0.25">
      <c r="A102" s="1084"/>
      <c r="B102" s="1056"/>
      <c r="C102" s="629" t="s">
        <v>487</v>
      </c>
      <c r="D102" s="631">
        <v>1.46</v>
      </c>
      <c r="E102" s="629">
        <v>6</v>
      </c>
      <c r="F102" s="628">
        <v>8.76</v>
      </c>
      <c r="G102" s="609"/>
      <c r="H102" s="609"/>
      <c r="I102" s="609"/>
      <c r="J102" s="609"/>
      <c r="K102" s="609"/>
      <c r="L102" s="609"/>
      <c r="M102" s="615" t="s">
        <v>488</v>
      </c>
    </row>
    <row r="103" spans="1:13" ht="15.75" x14ac:dyDescent="0.25">
      <c r="A103" s="1085"/>
      <c r="B103" s="1057"/>
      <c r="C103" s="629" t="s">
        <v>489</v>
      </c>
      <c r="D103" s="631">
        <v>2.02</v>
      </c>
      <c r="E103" s="629">
        <v>10</v>
      </c>
      <c r="F103" s="628">
        <v>20.2</v>
      </c>
      <c r="G103" s="609"/>
      <c r="H103" s="609"/>
      <c r="I103" s="609"/>
      <c r="J103" s="609"/>
      <c r="K103" s="609"/>
      <c r="L103" s="609"/>
      <c r="M103" s="609"/>
    </row>
    <row r="104" spans="1:13" ht="15.75" x14ac:dyDescent="0.25">
      <c r="A104" s="1085"/>
      <c r="B104" s="1057"/>
      <c r="C104" s="629" t="s">
        <v>490</v>
      </c>
      <c r="D104" s="631">
        <v>2.67</v>
      </c>
      <c r="E104" s="629">
        <v>14</v>
      </c>
      <c r="F104" s="628">
        <v>37.379999999999995</v>
      </c>
      <c r="G104" s="609"/>
      <c r="H104" s="609"/>
      <c r="I104" s="609"/>
      <c r="J104" s="609"/>
      <c r="K104" s="609"/>
      <c r="L104" s="609"/>
      <c r="M104" s="609"/>
    </row>
    <row r="105" spans="1:13" ht="15.75" x14ac:dyDescent="0.25">
      <c r="A105" s="1085"/>
      <c r="B105" s="1057"/>
      <c r="C105" s="629"/>
      <c r="D105" s="631"/>
      <c r="E105" s="629"/>
      <c r="F105" s="628"/>
      <c r="G105" s="609"/>
      <c r="H105" s="609"/>
      <c r="I105" s="609"/>
      <c r="J105" s="609"/>
      <c r="K105" s="609"/>
      <c r="L105" s="609"/>
      <c r="M105" s="609"/>
    </row>
    <row r="106" spans="1:13" ht="15.75" x14ac:dyDescent="0.25">
      <c r="A106" s="1085"/>
      <c r="B106" s="1057"/>
      <c r="C106" s="628"/>
      <c r="D106" s="634" t="s">
        <v>431</v>
      </c>
      <c r="E106" s="629">
        <v>30</v>
      </c>
      <c r="F106" s="628">
        <v>78.289999999999992</v>
      </c>
      <c r="G106" s="609"/>
      <c r="H106" s="609"/>
      <c r="I106" s="609"/>
      <c r="J106" s="609"/>
      <c r="K106" s="609"/>
      <c r="L106" s="609"/>
      <c r="M106" s="609"/>
    </row>
    <row r="107" spans="1:13" ht="30.75" x14ac:dyDescent="0.25">
      <c r="A107" s="1085"/>
      <c r="B107" s="1057"/>
      <c r="C107" s="635" t="s">
        <v>432</v>
      </c>
      <c r="D107" s="628"/>
      <c r="E107" s="634"/>
      <c r="F107" s="628">
        <v>5</v>
      </c>
      <c r="G107" s="609"/>
      <c r="H107" s="609"/>
      <c r="I107" s="609"/>
      <c r="J107" s="609"/>
      <c r="K107" s="609"/>
      <c r="L107" s="609"/>
      <c r="M107" s="609"/>
    </row>
    <row r="108" spans="1:13" ht="30.75" x14ac:dyDescent="0.25">
      <c r="A108" s="1085"/>
      <c r="B108" s="1057"/>
      <c r="C108" s="635" t="s">
        <v>433</v>
      </c>
      <c r="D108" s="628"/>
      <c r="E108" s="634"/>
      <c r="F108" s="628">
        <v>9</v>
      </c>
      <c r="G108" s="609"/>
      <c r="H108" s="609"/>
      <c r="I108" s="609"/>
      <c r="J108" s="609"/>
      <c r="K108" s="609"/>
      <c r="L108" s="609"/>
      <c r="M108" s="609"/>
    </row>
    <row r="109" spans="1:13" ht="15.75" x14ac:dyDescent="0.25">
      <c r="A109" s="1085"/>
      <c r="B109" s="1057"/>
      <c r="C109" s="633" t="s">
        <v>434</v>
      </c>
      <c r="D109" s="632">
        <v>2.5000000000000001E-3</v>
      </c>
      <c r="E109" s="629"/>
      <c r="F109" s="631">
        <v>0.19572499999999998</v>
      </c>
      <c r="G109" s="609"/>
      <c r="H109" s="609"/>
      <c r="I109" s="609"/>
      <c r="J109" s="609"/>
      <c r="K109" s="609"/>
      <c r="L109" s="609"/>
      <c r="M109" s="609"/>
    </row>
    <row r="110" spans="1:13" ht="15.75" x14ac:dyDescent="0.25">
      <c r="A110" s="1085"/>
      <c r="B110" s="1057"/>
      <c r="C110" s="1056"/>
      <c r="D110" s="1087"/>
      <c r="E110" s="630" t="s">
        <v>403</v>
      </c>
      <c r="F110" s="628">
        <v>92.485724999999988</v>
      </c>
      <c r="G110" s="609"/>
      <c r="H110" s="609"/>
      <c r="I110" s="609"/>
      <c r="J110" s="609"/>
      <c r="K110" s="609"/>
      <c r="L110" s="609"/>
      <c r="M110" s="609"/>
    </row>
    <row r="111" spans="1:13" ht="15.75" x14ac:dyDescent="0.25">
      <c r="A111" s="1086"/>
      <c r="B111" s="1058"/>
      <c r="C111" s="1058"/>
      <c r="D111" s="1088"/>
      <c r="E111" s="629" t="s">
        <v>404</v>
      </c>
      <c r="F111" s="628">
        <v>3.0828574999999998</v>
      </c>
      <c r="G111" s="609"/>
      <c r="H111" s="609"/>
      <c r="I111" s="609"/>
      <c r="J111" s="609"/>
      <c r="K111" s="609"/>
      <c r="L111" s="609"/>
      <c r="M111" s="609"/>
    </row>
    <row r="112" spans="1:13" ht="15.75" x14ac:dyDescent="0.25">
      <c r="A112" s="623" t="s">
        <v>491</v>
      </c>
      <c r="B112" s="622">
        <v>9.14</v>
      </c>
      <c r="C112" s="623"/>
      <c r="D112" s="623"/>
      <c r="E112" s="623"/>
      <c r="F112" s="622">
        <v>9.14</v>
      </c>
      <c r="G112" s="609"/>
      <c r="H112" s="609"/>
      <c r="I112" s="609"/>
      <c r="J112" s="609"/>
      <c r="K112" s="609"/>
      <c r="L112" s="609"/>
      <c r="M112" s="615" t="s">
        <v>492</v>
      </c>
    </row>
    <row r="113" spans="1:13" ht="15.75" x14ac:dyDescent="0.25">
      <c r="A113" s="1049"/>
      <c r="B113" s="1049"/>
      <c r="C113" s="623" t="s">
        <v>493</v>
      </c>
      <c r="D113" s="622">
        <v>1.01</v>
      </c>
      <c r="E113" s="623">
        <v>10</v>
      </c>
      <c r="F113" s="622">
        <v>10.1</v>
      </c>
      <c r="G113" s="609"/>
      <c r="H113" s="609"/>
      <c r="I113" s="609"/>
      <c r="J113" s="609"/>
      <c r="K113" s="609"/>
      <c r="L113" s="609"/>
      <c r="M113" s="609"/>
    </row>
    <row r="114" spans="1:13" ht="15.75" x14ac:dyDescent="0.25">
      <c r="A114" s="1050"/>
      <c r="B114" s="1050"/>
      <c r="C114" s="627" t="s">
        <v>494</v>
      </c>
      <c r="D114" s="622">
        <v>1.55</v>
      </c>
      <c r="E114" s="623">
        <v>20</v>
      </c>
      <c r="F114" s="622">
        <v>31</v>
      </c>
      <c r="G114" s="609"/>
      <c r="H114" s="609"/>
      <c r="I114" s="609"/>
      <c r="J114" s="609"/>
      <c r="K114" s="609"/>
      <c r="L114" s="609"/>
      <c r="M114" s="609"/>
    </row>
    <row r="115" spans="1:13" ht="15.75" x14ac:dyDescent="0.25">
      <c r="A115" s="1050"/>
      <c r="B115" s="1050"/>
      <c r="C115" s="623" t="s">
        <v>495</v>
      </c>
      <c r="D115" s="626">
        <v>2.14</v>
      </c>
      <c r="E115" s="625">
        <v>10.104166800000002</v>
      </c>
      <c r="F115" s="622">
        <v>21.622916952000004</v>
      </c>
      <c r="G115" s="609"/>
      <c r="H115" s="609"/>
      <c r="I115" s="609"/>
      <c r="J115" s="609"/>
      <c r="K115" s="609"/>
      <c r="L115" s="609"/>
      <c r="M115" s="609"/>
    </row>
    <row r="116" spans="1:13" ht="15.75" x14ac:dyDescent="0.25">
      <c r="A116" s="1050"/>
      <c r="B116" s="1050"/>
      <c r="C116" s="1052"/>
      <c r="D116" s="1053"/>
      <c r="E116" s="624" t="s">
        <v>403</v>
      </c>
      <c r="F116" s="622">
        <v>71.862916952000006</v>
      </c>
      <c r="G116" s="609"/>
      <c r="H116" s="609"/>
      <c r="I116" s="609"/>
      <c r="J116" s="609"/>
      <c r="K116" s="609"/>
      <c r="L116" s="609"/>
      <c r="M116" s="609"/>
    </row>
    <row r="117" spans="1:13" ht="15.75" x14ac:dyDescent="0.25">
      <c r="A117" s="1051"/>
      <c r="B117" s="1051"/>
      <c r="C117" s="1054"/>
      <c r="D117" s="1055"/>
      <c r="E117" s="623" t="s">
        <v>404</v>
      </c>
      <c r="F117" s="622">
        <v>2.395430565066667</v>
      </c>
      <c r="G117" s="609"/>
      <c r="H117" s="609"/>
      <c r="I117" s="609"/>
      <c r="J117" s="609"/>
      <c r="K117" s="609"/>
      <c r="L117" s="609"/>
      <c r="M117" s="609"/>
    </row>
    <row r="118" spans="1:13" ht="15.75" x14ac:dyDescent="0.25">
      <c r="A118" s="618" t="s">
        <v>496</v>
      </c>
      <c r="B118" s="617">
        <v>10.4</v>
      </c>
      <c r="C118" s="618"/>
      <c r="D118" s="618"/>
      <c r="E118" s="618"/>
      <c r="F118" s="617">
        <v>10.4</v>
      </c>
      <c r="G118" s="609"/>
      <c r="H118" s="609"/>
      <c r="I118" s="609"/>
      <c r="J118" s="609"/>
      <c r="K118" s="609"/>
      <c r="L118" s="609"/>
      <c r="M118" s="615" t="s">
        <v>497</v>
      </c>
    </row>
    <row r="119" spans="1:13" ht="15.75" x14ac:dyDescent="0.25">
      <c r="A119" s="1070"/>
      <c r="B119" s="1070"/>
      <c r="C119" s="618" t="s">
        <v>498</v>
      </c>
      <c r="D119" s="617">
        <v>1.4646999999999999</v>
      </c>
      <c r="E119" s="618">
        <v>3</v>
      </c>
      <c r="F119" s="617">
        <v>4.3940999999999999</v>
      </c>
      <c r="G119" s="609"/>
      <c r="H119" s="609"/>
      <c r="I119" s="609"/>
      <c r="J119" s="609"/>
      <c r="K119" s="609"/>
      <c r="L119" s="609"/>
      <c r="M119" s="609"/>
    </row>
    <row r="120" spans="1:13" ht="15.75" x14ac:dyDescent="0.25">
      <c r="A120" s="1071"/>
      <c r="B120" s="1071"/>
      <c r="C120" s="618" t="s">
        <v>499</v>
      </c>
      <c r="D120" s="621">
        <v>1.831</v>
      </c>
      <c r="E120" s="620">
        <v>37.104166800000002</v>
      </c>
      <c r="F120" s="617">
        <v>67.937729410800003</v>
      </c>
      <c r="G120" s="609"/>
      <c r="H120" s="609"/>
      <c r="I120" s="609"/>
      <c r="J120" s="609"/>
      <c r="K120" s="609"/>
      <c r="L120" s="609"/>
      <c r="M120" s="609"/>
    </row>
    <row r="121" spans="1:13" ht="15.75" x14ac:dyDescent="0.25">
      <c r="A121" s="1071"/>
      <c r="B121" s="1071"/>
      <c r="C121" s="1073" t="s">
        <v>500</v>
      </c>
      <c r="D121" s="1074"/>
      <c r="E121" s="619" t="s">
        <v>403</v>
      </c>
      <c r="F121" s="617">
        <v>82.731829410800003</v>
      </c>
      <c r="G121" s="609"/>
      <c r="H121" s="609"/>
      <c r="I121" s="609"/>
      <c r="J121" s="609"/>
      <c r="K121" s="609"/>
      <c r="L121" s="609"/>
      <c r="M121" s="609"/>
    </row>
    <row r="122" spans="1:13" ht="15.75" x14ac:dyDescent="0.25">
      <c r="A122" s="1072"/>
      <c r="B122" s="1072"/>
      <c r="C122" s="1075"/>
      <c r="D122" s="1076"/>
      <c r="E122" s="618" t="s">
        <v>404</v>
      </c>
      <c r="F122" s="617">
        <v>3.6870818640746537</v>
      </c>
      <c r="G122" s="609"/>
      <c r="H122" s="609"/>
      <c r="I122" s="609"/>
      <c r="J122" s="609"/>
      <c r="K122" s="609"/>
      <c r="L122" s="609"/>
      <c r="M122" s="609"/>
    </row>
  </sheetData>
  <mergeCells count="30">
    <mergeCell ref="A78:B79"/>
    <mergeCell ref="C59:D59"/>
    <mergeCell ref="A49:B55"/>
    <mergeCell ref="C54:D55"/>
    <mergeCell ref="A20:B24"/>
    <mergeCell ref="A26:B29"/>
    <mergeCell ref="A31:B41"/>
    <mergeCell ref="C40:D41"/>
    <mergeCell ref="A56:A57"/>
    <mergeCell ref="A60:A62"/>
    <mergeCell ref="A75:D76"/>
    <mergeCell ref="A5:B9"/>
    <mergeCell ref="A2:F2"/>
    <mergeCell ref="A17:D18"/>
    <mergeCell ref="A11:B12"/>
    <mergeCell ref="A43:B47"/>
    <mergeCell ref="C46:D47"/>
    <mergeCell ref="A119:B122"/>
    <mergeCell ref="C121:D122"/>
    <mergeCell ref="A98:B100"/>
    <mergeCell ref="C99:D100"/>
    <mergeCell ref="A102:B111"/>
    <mergeCell ref="C110:D111"/>
    <mergeCell ref="A113:B117"/>
    <mergeCell ref="C116:D117"/>
    <mergeCell ref="A85:B91"/>
    <mergeCell ref="C90:D91"/>
    <mergeCell ref="A93:B96"/>
    <mergeCell ref="C95:D96"/>
    <mergeCell ref="A82:D83"/>
  </mergeCells>
  <hyperlinks>
    <hyperlink ref="M48" r:id="rId1"/>
    <hyperlink ref="M4" r:id="rId2"/>
    <hyperlink ref="M10" r:id="rId3"/>
    <hyperlink ref="M19" r:id="rId4"/>
    <hyperlink ref="M25" r:id="rId5"/>
    <hyperlink ref="M30" r:id="rId6"/>
    <hyperlink ref="M31" r:id="rId7"/>
    <hyperlink ref="M42" r:id="rId8"/>
    <hyperlink ref="M56" r:id="rId9"/>
    <hyperlink ref="M57" r:id="rId10"/>
    <hyperlink ref="M60" r:id="rId11"/>
    <hyperlink ref="M72" r:id="rId12" location="%40%3F_afrWindowId%3Dnull%26_afrLoop%3D408447866240455%26_afrWindowMode%3D0%26_adf.ctrl-state%3Daq9bqc1q1_46" display="https://www.ladwp.com/ladwp/faces/wcnav_externalId/a-fr-schedul-a-res?_adf.ctrl-state=uj6inlrzs_663&amp;_afrLoop=408447866240455&amp;_afrWindowMode=0&amp;_afrWindowId=null - %40%3F_afrWindowId%3Dnull%26_afrLoop%3D408447866240455%26_afrWindowMode%3D0%26_adf.ctrl-state%3Daq9bqc1q1_46"/>
    <hyperlink ref="M77" r:id="rId13"/>
    <hyperlink ref="M84" r:id="rId14"/>
    <hyperlink ref="M92" r:id="rId15"/>
    <hyperlink ref="M97" r:id="rId16"/>
    <hyperlink ref="M101" r:id="rId17"/>
    <hyperlink ref="M102" r:id="rId18"/>
    <hyperlink ref="M112" r:id="rId19" display="http://www.slcdocs.com/utilities/PDF Files/UtilityRates/Waterratesweb2013.pdf"/>
    <hyperlink ref="M118" r:id="rId20" display="http://www.unitedwater.com/uploadedFiles/Localized_Content/UW_Idaho/RB/2013 rates.pdf"/>
  </hyperlinks>
  <pageMargins left="0.7" right="0.7" top="0.75" bottom="0.75" header="0.3" footer="0.3"/>
  <pageSetup paperSize="17" scale="65" fitToHeight="0" orientation="landscape" r:id="rId21"/>
  <headerFooter>
    <oddFooter xml:space="preserve">&amp;L&amp;"-,Bold"&amp;9This is a preliminary draft document. It is intended for discussion purposes only.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2"/>
  <sheetViews>
    <sheetView topLeftCell="A26" workbookViewId="0">
      <selection activeCell="A60" sqref="A60:A62"/>
    </sheetView>
  </sheetViews>
  <sheetFormatPr defaultRowHeight="15" x14ac:dyDescent="0.25"/>
  <cols>
    <col min="1" max="1" width="9.140625" style="609"/>
    <col min="2" max="2" width="11.28515625" style="609" customWidth="1"/>
    <col min="3" max="3" width="39.7109375" style="609" customWidth="1"/>
    <col min="4" max="4" width="9.140625" style="609"/>
    <col min="5" max="5" width="16.28515625" style="609" customWidth="1"/>
    <col min="6" max="6" width="11.42578125" style="609" bestFit="1" customWidth="1"/>
    <col min="7" max="12" width="0" style="609" hidden="1" customWidth="1"/>
    <col min="13" max="16384" width="9.140625" style="609"/>
  </cols>
  <sheetData>
    <row r="1" spans="1:13" x14ac:dyDescent="0.25">
      <c r="A1" s="609" t="s">
        <v>389</v>
      </c>
    </row>
    <row r="2" spans="1:13" x14ac:dyDescent="0.25">
      <c r="A2" s="1095" t="s">
        <v>390</v>
      </c>
      <c r="B2" s="1095"/>
      <c r="C2" s="1095"/>
      <c r="D2" s="1095"/>
      <c r="E2" s="1095"/>
      <c r="F2" s="1095"/>
      <c r="H2" s="609" t="s">
        <v>391</v>
      </c>
    </row>
    <row r="3" spans="1:13" ht="64.5" x14ac:dyDescent="0.25">
      <c r="A3" s="703" t="s">
        <v>392</v>
      </c>
      <c r="B3" s="702" t="s">
        <v>393</v>
      </c>
      <c r="C3" s="702"/>
      <c r="D3" s="701" t="s">
        <v>394</v>
      </c>
      <c r="E3" s="700" t="s">
        <v>395</v>
      </c>
      <c r="F3" s="700" t="s">
        <v>396</v>
      </c>
      <c r="G3" s="699"/>
      <c r="H3" s="698"/>
      <c r="I3" s="698"/>
      <c r="J3" s="698"/>
      <c r="K3" s="698"/>
      <c r="L3" s="698"/>
      <c r="M3" s="698"/>
    </row>
    <row r="4" spans="1:13" ht="15.75" x14ac:dyDescent="0.25">
      <c r="A4" s="697" t="s">
        <v>397</v>
      </c>
      <c r="B4" s="654">
        <v>13.5</v>
      </c>
      <c r="C4" s="654"/>
      <c r="D4" s="654"/>
      <c r="E4" s="651"/>
      <c r="F4" s="654">
        <v>13.5</v>
      </c>
      <c r="H4" s="616"/>
      <c r="M4" s="615" t="s">
        <v>398</v>
      </c>
    </row>
    <row r="5" spans="1:13" ht="15.75" x14ac:dyDescent="0.25">
      <c r="A5" s="1089"/>
      <c r="B5" s="1090"/>
      <c r="C5" s="654" t="s">
        <v>399</v>
      </c>
      <c r="D5" s="654">
        <v>4.7300000000000004</v>
      </c>
      <c r="E5" s="653">
        <v>5</v>
      </c>
      <c r="F5" s="650">
        <v>23.650000000000002</v>
      </c>
      <c r="G5" s="693">
        <v>3740.2597278245908</v>
      </c>
      <c r="H5" s="616"/>
      <c r="J5" s="609">
        <v>1.3368055600000001E-3</v>
      </c>
      <c r="K5" s="609" t="s">
        <v>400</v>
      </c>
    </row>
    <row r="6" spans="1:13" ht="15.75" x14ac:dyDescent="0.25">
      <c r="A6" s="1091"/>
      <c r="B6" s="1092"/>
      <c r="C6" s="654" t="s">
        <v>401</v>
      </c>
      <c r="D6" s="654">
        <v>5.72</v>
      </c>
      <c r="E6" s="653">
        <v>13</v>
      </c>
      <c r="F6" s="650">
        <v>74.36</v>
      </c>
      <c r="G6" s="693">
        <v>9724.6752923439362</v>
      </c>
      <c r="H6" s="616"/>
    </row>
    <row r="7" spans="1:13" ht="15.75" x14ac:dyDescent="0.25">
      <c r="A7" s="1091"/>
      <c r="B7" s="1092"/>
      <c r="C7" s="654" t="s">
        <v>402</v>
      </c>
      <c r="D7" s="654">
        <v>11.8</v>
      </c>
      <c r="E7" s="653">
        <v>22.104166800000002</v>
      </c>
      <c r="F7" s="650">
        <v>260.82916824000006</v>
      </c>
      <c r="G7" s="693">
        <v>16535.064979831473</v>
      </c>
    </row>
    <row r="8" spans="1:13" ht="15.75" x14ac:dyDescent="0.25">
      <c r="A8" s="1091"/>
      <c r="B8" s="1092"/>
      <c r="C8" s="668"/>
      <c r="D8" s="696"/>
      <c r="E8" s="652" t="s">
        <v>403</v>
      </c>
      <c r="F8" s="650">
        <v>372.33916824000005</v>
      </c>
      <c r="G8" s="610">
        <v>30000</v>
      </c>
      <c r="H8" s="616"/>
    </row>
    <row r="9" spans="1:13" ht="15.75" x14ac:dyDescent="0.25">
      <c r="A9" s="1093"/>
      <c r="B9" s="1094"/>
      <c r="C9" s="665"/>
      <c r="D9" s="695"/>
      <c r="E9" s="651" t="s">
        <v>404</v>
      </c>
      <c r="F9" s="650">
        <v>12.411305608000001</v>
      </c>
      <c r="H9" s="616"/>
      <c r="J9" s="609">
        <v>40.104166800000002</v>
      </c>
    </row>
    <row r="10" spans="1:13" ht="15.75" x14ac:dyDescent="0.25">
      <c r="A10" s="694" t="s">
        <v>405</v>
      </c>
      <c r="B10" s="644">
        <v>9.68</v>
      </c>
      <c r="C10" s="644"/>
      <c r="D10" s="644"/>
      <c r="E10" s="646"/>
      <c r="F10" s="644">
        <v>9.68</v>
      </c>
      <c r="M10" s="615" t="s">
        <v>406</v>
      </c>
    </row>
    <row r="11" spans="1:13" ht="15.75" x14ac:dyDescent="0.25">
      <c r="A11" s="1096"/>
      <c r="B11" s="1066"/>
      <c r="C11" s="644" t="s">
        <v>407</v>
      </c>
      <c r="D11" s="644">
        <v>1.29</v>
      </c>
      <c r="E11" s="646">
        <v>10</v>
      </c>
      <c r="F11" s="644">
        <v>12.9</v>
      </c>
      <c r="G11" s="693">
        <v>7480.5194556491815</v>
      </c>
    </row>
    <row r="12" spans="1:13" ht="15.75" x14ac:dyDescent="0.25">
      <c r="A12" s="1067"/>
      <c r="B12" s="1069"/>
      <c r="C12" s="644" t="s">
        <v>408</v>
      </c>
      <c r="D12" s="644">
        <v>2.68</v>
      </c>
      <c r="E12" s="646">
        <v>5</v>
      </c>
      <c r="F12" s="644">
        <v>13.4</v>
      </c>
      <c r="G12" s="693">
        <v>3740.2597278245908</v>
      </c>
    </row>
    <row r="13" spans="1:13" ht="15.75" x14ac:dyDescent="0.25">
      <c r="A13" s="706"/>
      <c r="B13" s="707"/>
      <c r="C13" s="644" t="s">
        <v>409</v>
      </c>
      <c r="D13" s="644">
        <v>6.87</v>
      </c>
      <c r="E13" s="646">
        <v>15</v>
      </c>
      <c r="F13" s="644">
        <v>103.05</v>
      </c>
      <c r="G13" s="693">
        <v>11220.779183473773</v>
      </c>
    </row>
    <row r="14" spans="1:13" ht="15.75" x14ac:dyDescent="0.25">
      <c r="A14" s="706"/>
      <c r="B14" s="707"/>
      <c r="C14" s="644" t="s">
        <v>410</v>
      </c>
      <c r="D14" s="644">
        <v>11.04</v>
      </c>
      <c r="E14" s="646">
        <v>10.104166800000003</v>
      </c>
      <c r="F14" s="644">
        <v>111.55000147200003</v>
      </c>
      <c r="G14" s="610">
        <v>7558.4416330524555</v>
      </c>
    </row>
    <row r="15" spans="1:13" ht="15.75" x14ac:dyDescent="0.25">
      <c r="A15" s="649" t="s">
        <v>411</v>
      </c>
      <c r="B15" s="644">
        <v>0.48</v>
      </c>
      <c r="C15" s="644" t="s">
        <v>412</v>
      </c>
      <c r="D15" s="642">
        <v>19.250000064000002</v>
      </c>
      <c r="E15" s="646">
        <v>40.104166800000002</v>
      </c>
      <c r="F15" s="644">
        <v>19.250000064000002</v>
      </c>
      <c r="G15" s="610">
        <v>30000</v>
      </c>
    </row>
    <row r="16" spans="1:13" ht="15.75" x14ac:dyDescent="0.25">
      <c r="A16" s="649" t="s">
        <v>413</v>
      </c>
      <c r="B16" s="644">
        <v>7.0000000000000007E-2</v>
      </c>
      <c r="C16" s="644" t="s">
        <v>412</v>
      </c>
      <c r="D16" s="642">
        <v>2.8072916760000002</v>
      </c>
      <c r="E16" s="646">
        <v>40.104166800000002</v>
      </c>
      <c r="F16" s="644">
        <v>2.8072916760000002</v>
      </c>
    </row>
    <row r="17" spans="1:13" ht="15.75" x14ac:dyDescent="0.25">
      <c r="A17" s="1096"/>
      <c r="B17" s="1065"/>
      <c r="C17" s="1065"/>
      <c r="D17" s="1066"/>
      <c r="E17" s="645" t="s">
        <v>403</v>
      </c>
      <c r="F17" s="644">
        <v>272.63729321200003</v>
      </c>
    </row>
    <row r="18" spans="1:13" ht="15.75" x14ac:dyDescent="0.25">
      <c r="A18" s="1067"/>
      <c r="B18" s="1068"/>
      <c r="C18" s="1068"/>
      <c r="D18" s="1069"/>
      <c r="E18" s="643" t="s">
        <v>404</v>
      </c>
      <c r="F18" s="642">
        <v>9.087909773733335</v>
      </c>
    </row>
    <row r="19" spans="1:13" ht="15.75" x14ac:dyDescent="0.25">
      <c r="A19" s="690" t="s">
        <v>414</v>
      </c>
      <c r="B19" s="686">
        <v>6.33</v>
      </c>
      <c r="C19" s="689"/>
      <c r="D19" s="689"/>
      <c r="E19" s="688"/>
      <c r="F19" s="680">
        <v>6.33</v>
      </c>
      <c r="M19" s="615" t="s">
        <v>415</v>
      </c>
    </row>
    <row r="20" spans="1:13" ht="15.75" x14ac:dyDescent="0.25">
      <c r="A20" s="1106"/>
      <c r="B20" s="1107"/>
      <c r="C20" s="686" t="s">
        <v>416</v>
      </c>
      <c r="D20" s="686">
        <v>2.59</v>
      </c>
      <c r="E20" s="687">
        <v>11</v>
      </c>
      <c r="F20" s="680">
        <v>28.49</v>
      </c>
    </row>
    <row r="21" spans="1:13" ht="15.75" x14ac:dyDescent="0.25">
      <c r="A21" s="1108"/>
      <c r="B21" s="1109"/>
      <c r="C21" s="686" t="s">
        <v>417</v>
      </c>
      <c r="D21" s="686">
        <v>5.18</v>
      </c>
      <c r="E21" s="687">
        <v>19</v>
      </c>
      <c r="F21" s="680">
        <v>98.419999999999987</v>
      </c>
    </row>
    <row r="22" spans="1:13" ht="15.75" x14ac:dyDescent="0.25">
      <c r="A22" s="1108"/>
      <c r="B22" s="1109"/>
      <c r="C22" s="686" t="s">
        <v>418</v>
      </c>
      <c r="D22" s="686">
        <v>7.77</v>
      </c>
      <c r="E22" s="685">
        <v>10.1069519</v>
      </c>
      <c r="F22" s="680">
        <v>78.531016262999998</v>
      </c>
    </row>
    <row r="23" spans="1:13" ht="15.75" x14ac:dyDescent="0.25">
      <c r="A23" s="1108"/>
      <c r="B23" s="1109"/>
      <c r="C23" s="684"/>
      <c r="D23" s="684"/>
      <c r="E23" s="683" t="s">
        <v>403</v>
      </c>
      <c r="F23" s="680">
        <v>211.77101626299998</v>
      </c>
    </row>
    <row r="24" spans="1:13" ht="15.75" x14ac:dyDescent="0.25">
      <c r="A24" s="1110"/>
      <c r="B24" s="1111"/>
      <c r="C24" s="682"/>
      <c r="D24" s="682"/>
      <c r="E24" s="681" t="s">
        <v>404</v>
      </c>
      <c r="F24" s="680">
        <v>7.0590338754333324</v>
      </c>
    </row>
    <row r="25" spans="1:13" ht="15.75" x14ac:dyDescent="0.25">
      <c r="A25" s="623" t="s">
        <v>419</v>
      </c>
      <c r="B25" s="622">
        <v>4.3600000000000003</v>
      </c>
      <c r="C25" s="622" t="s">
        <v>420</v>
      </c>
      <c r="D25" s="622"/>
      <c r="E25" s="623">
        <v>10</v>
      </c>
      <c r="F25" s="675">
        <v>4.3600000000000003</v>
      </c>
      <c r="M25" s="615" t="s">
        <v>421</v>
      </c>
    </row>
    <row r="26" spans="1:13" ht="15.75" x14ac:dyDescent="0.25">
      <c r="A26" s="1112"/>
      <c r="B26" s="1113"/>
      <c r="C26" s="622" t="s">
        <v>422</v>
      </c>
      <c r="D26" s="622">
        <v>3.77</v>
      </c>
      <c r="E26" s="625">
        <v>30.104166800000002</v>
      </c>
      <c r="F26" s="675">
        <v>113.49270883600001</v>
      </c>
    </row>
    <row r="27" spans="1:13" ht="15.75" x14ac:dyDescent="0.25">
      <c r="A27" s="1114"/>
      <c r="B27" s="1115"/>
      <c r="C27" s="622" t="s">
        <v>423</v>
      </c>
      <c r="D27" s="622">
        <v>0.38</v>
      </c>
      <c r="E27" s="625">
        <v>40.104166800000002</v>
      </c>
      <c r="F27" s="675">
        <v>15.239583384000001</v>
      </c>
    </row>
    <row r="28" spans="1:13" ht="15.75" x14ac:dyDescent="0.25">
      <c r="A28" s="1114"/>
      <c r="B28" s="1115"/>
      <c r="C28" s="679"/>
      <c r="D28" s="678"/>
      <c r="E28" s="624" t="s">
        <v>403</v>
      </c>
      <c r="F28" s="675">
        <v>133.09229222000002</v>
      </c>
    </row>
    <row r="29" spans="1:13" ht="15.75" x14ac:dyDescent="0.25">
      <c r="A29" s="1116"/>
      <c r="B29" s="1117"/>
      <c r="C29" s="677"/>
      <c r="D29" s="676"/>
      <c r="E29" s="623" t="s">
        <v>404</v>
      </c>
      <c r="F29" s="675">
        <v>4.4364097406666669</v>
      </c>
    </row>
    <row r="30" spans="1:13" ht="15.75" x14ac:dyDescent="0.25">
      <c r="A30" s="629" t="s">
        <v>424</v>
      </c>
      <c r="B30" s="631">
        <v>10.06</v>
      </c>
      <c r="C30" s="629"/>
      <c r="D30" s="629"/>
      <c r="E30" s="629"/>
      <c r="F30" s="628">
        <v>10.06</v>
      </c>
      <c r="M30" s="615" t="s">
        <v>425</v>
      </c>
    </row>
    <row r="31" spans="1:13" ht="15.75" x14ac:dyDescent="0.25">
      <c r="A31" s="1084"/>
      <c r="B31" s="1056"/>
      <c r="C31" s="629" t="s">
        <v>426</v>
      </c>
      <c r="D31" s="631">
        <v>1.1599999999999999</v>
      </c>
      <c r="E31" s="629">
        <v>5</v>
      </c>
      <c r="F31" s="628">
        <v>5.8</v>
      </c>
      <c r="M31" s="615" t="s">
        <v>427</v>
      </c>
    </row>
    <row r="32" spans="1:13" ht="15.75" x14ac:dyDescent="0.25">
      <c r="A32" s="1085"/>
      <c r="B32" s="1057"/>
      <c r="C32" s="629" t="s">
        <v>428</v>
      </c>
      <c r="D32" s="631">
        <v>2.08</v>
      </c>
      <c r="E32" s="629">
        <v>5</v>
      </c>
      <c r="F32" s="628">
        <v>10.4</v>
      </c>
    </row>
    <row r="33" spans="1:13" ht="15.75" x14ac:dyDescent="0.25">
      <c r="A33" s="1085"/>
      <c r="B33" s="1057"/>
      <c r="C33" s="629" t="s">
        <v>429</v>
      </c>
      <c r="D33" s="631">
        <v>3.09</v>
      </c>
      <c r="E33" s="629">
        <v>10</v>
      </c>
      <c r="F33" s="628">
        <v>30.9</v>
      </c>
    </row>
    <row r="34" spans="1:13" ht="15.75" x14ac:dyDescent="0.25">
      <c r="A34" s="1085"/>
      <c r="B34" s="1057"/>
      <c r="C34" s="629" t="s">
        <v>430</v>
      </c>
      <c r="D34" s="631">
        <v>4.58</v>
      </c>
      <c r="E34" s="629">
        <v>10</v>
      </c>
      <c r="F34" s="628">
        <v>45.8</v>
      </c>
    </row>
    <row r="35" spans="1:13" ht="15.75" x14ac:dyDescent="0.25">
      <c r="A35" s="1085"/>
      <c r="B35" s="1057"/>
      <c r="C35" s="629"/>
      <c r="D35" s="631"/>
      <c r="E35" s="629"/>
      <c r="F35" s="628"/>
      <c r="G35" s="674"/>
    </row>
    <row r="36" spans="1:13" ht="15.75" x14ac:dyDescent="0.25">
      <c r="A36" s="1085"/>
      <c r="B36" s="1057"/>
      <c r="C36" s="628"/>
      <c r="D36" s="634" t="s">
        <v>431</v>
      </c>
      <c r="E36" s="629">
        <v>30</v>
      </c>
      <c r="F36" s="628">
        <v>102.96</v>
      </c>
    </row>
    <row r="37" spans="1:13" ht="30.75" x14ac:dyDescent="0.25">
      <c r="A37" s="1085"/>
      <c r="B37" s="1057"/>
      <c r="C37" s="635" t="s">
        <v>432</v>
      </c>
      <c r="D37" s="628"/>
      <c r="E37" s="634"/>
      <c r="F37" s="628">
        <v>5</v>
      </c>
    </row>
    <row r="38" spans="1:13" ht="30.75" x14ac:dyDescent="0.25">
      <c r="A38" s="1085"/>
      <c r="B38" s="1057"/>
      <c r="C38" s="635" t="s">
        <v>433</v>
      </c>
      <c r="D38" s="628"/>
      <c r="E38" s="634"/>
      <c r="F38" s="628">
        <v>9</v>
      </c>
    </row>
    <row r="39" spans="1:13" ht="15.75" x14ac:dyDescent="0.25">
      <c r="A39" s="1085"/>
      <c r="B39" s="1057"/>
      <c r="C39" s="633" t="s">
        <v>434</v>
      </c>
      <c r="D39" s="632">
        <v>2.5000000000000001E-3</v>
      </c>
      <c r="E39" s="629"/>
      <c r="F39" s="631">
        <v>0.25739999999999996</v>
      </c>
    </row>
    <row r="40" spans="1:13" ht="15.75" x14ac:dyDescent="0.25">
      <c r="A40" s="1085"/>
      <c r="B40" s="1057"/>
      <c r="C40" s="1056"/>
      <c r="D40" s="1087"/>
      <c r="E40" s="630" t="s">
        <v>403</v>
      </c>
      <c r="F40" s="628">
        <v>117.2174</v>
      </c>
    </row>
    <row r="41" spans="1:13" ht="15.75" x14ac:dyDescent="0.25">
      <c r="A41" s="1086"/>
      <c r="B41" s="1058"/>
      <c r="C41" s="1058"/>
      <c r="D41" s="1088"/>
      <c r="E41" s="629" t="s">
        <v>404</v>
      </c>
      <c r="F41" s="628">
        <v>3.9072466666666665</v>
      </c>
    </row>
    <row r="42" spans="1:13" ht="15.75" x14ac:dyDescent="0.25">
      <c r="A42" s="623" t="s">
        <v>435</v>
      </c>
      <c r="B42" s="622">
        <v>19.329999999999998</v>
      </c>
      <c r="C42" s="623"/>
      <c r="D42" s="623"/>
      <c r="E42" s="623"/>
      <c r="F42" s="622">
        <v>19.329999999999998</v>
      </c>
      <c r="M42" s="615" t="s">
        <v>436</v>
      </c>
    </row>
    <row r="43" spans="1:13" ht="15.75" x14ac:dyDescent="0.25">
      <c r="A43" s="1049"/>
      <c r="B43" s="1049"/>
      <c r="C43" s="623" t="s">
        <v>437</v>
      </c>
      <c r="D43" s="622">
        <v>3.6120000000000001</v>
      </c>
      <c r="E43" s="623">
        <v>7</v>
      </c>
      <c r="F43" s="622">
        <v>25.283999999999999</v>
      </c>
    </row>
    <row r="44" spans="1:13" ht="15.75" x14ac:dyDescent="0.25">
      <c r="A44" s="1050"/>
      <c r="B44" s="1050"/>
      <c r="C44" s="623" t="s">
        <v>438</v>
      </c>
      <c r="D44" s="622">
        <v>3.9169999999999998</v>
      </c>
      <c r="E44" s="623">
        <v>7</v>
      </c>
      <c r="F44" s="622">
        <v>27.418999999999997</v>
      </c>
    </row>
    <row r="45" spans="1:13" ht="15.75" x14ac:dyDescent="0.25">
      <c r="A45" s="1050"/>
      <c r="B45" s="1050"/>
      <c r="C45" s="623" t="s">
        <v>439</v>
      </c>
      <c r="D45" s="626">
        <v>4.3979999999999997</v>
      </c>
      <c r="E45" s="625">
        <v>26.104166800000002</v>
      </c>
      <c r="F45" s="622">
        <v>114.8061255864</v>
      </c>
    </row>
    <row r="46" spans="1:13" ht="15.75" x14ac:dyDescent="0.25">
      <c r="A46" s="1050"/>
      <c r="B46" s="1050"/>
      <c r="C46" s="1052" t="s">
        <v>440</v>
      </c>
      <c r="D46" s="1053"/>
      <c r="E46" s="624" t="s">
        <v>403</v>
      </c>
      <c r="F46" s="622">
        <v>186.83912558639997</v>
      </c>
    </row>
    <row r="47" spans="1:13" ht="15.75" x14ac:dyDescent="0.25">
      <c r="A47" s="1051"/>
      <c r="B47" s="1051"/>
      <c r="C47" s="1054"/>
      <c r="D47" s="1055"/>
      <c r="E47" s="623" t="s">
        <v>404</v>
      </c>
      <c r="F47" s="622">
        <v>6.2279708528799995</v>
      </c>
    </row>
    <row r="48" spans="1:13" ht="15.75" x14ac:dyDescent="0.25">
      <c r="A48" s="671" t="s">
        <v>441</v>
      </c>
      <c r="B48" s="670">
        <v>22.47</v>
      </c>
      <c r="C48" s="671" t="s">
        <v>442</v>
      </c>
      <c r="D48" s="671"/>
      <c r="E48" s="671">
        <v>5</v>
      </c>
      <c r="F48" s="670">
        <v>22.47</v>
      </c>
      <c r="M48" s="615" t="s">
        <v>443</v>
      </c>
    </row>
    <row r="49" spans="1:13" ht="15.75" x14ac:dyDescent="0.25">
      <c r="A49" s="1100"/>
      <c r="B49" s="1101"/>
      <c r="C49" s="671" t="s">
        <v>444</v>
      </c>
      <c r="D49" s="670">
        <v>0.78</v>
      </c>
      <c r="E49" s="671">
        <v>5</v>
      </c>
      <c r="F49" s="670">
        <v>3.9000000000000004</v>
      </c>
    </row>
    <row r="50" spans="1:13" ht="15.75" x14ac:dyDescent="0.25">
      <c r="A50" s="1102"/>
      <c r="B50" s="1103"/>
      <c r="C50" s="671" t="s">
        <v>444</v>
      </c>
      <c r="D50" s="670">
        <v>0.9</v>
      </c>
      <c r="E50" s="671">
        <v>5</v>
      </c>
      <c r="F50" s="670">
        <v>4.5</v>
      </c>
    </row>
    <row r="51" spans="1:13" ht="15.75" x14ac:dyDescent="0.25">
      <c r="A51" s="1102"/>
      <c r="B51" s="1103"/>
      <c r="C51" s="671" t="s">
        <v>444</v>
      </c>
      <c r="D51" s="673">
        <v>1</v>
      </c>
      <c r="E51" s="671">
        <v>5</v>
      </c>
      <c r="F51" s="670">
        <v>5</v>
      </c>
    </row>
    <row r="52" spans="1:13" ht="15.75" x14ac:dyDescent="0.25">
      <c r="A52" s="1102"/>
      <c r="B52" s="1103"/>
      <c r="C52" s="671" t="s">
        <v>444</v>
      </c>
      <c r="D52" s="673">
        <v>1.1100000000000001</v>
      </c>
      <c r="E52" s="671">
        <v>5</v>
      </c>
      <c r="F52" s="670">
        <v>5.5500000000000007</v>
      </c>
    </row>
    <row r="53" spans="1:13" ht="15.75" x14ac:dyDescent="0.25">
      <c r="A53" s="1102"/>
      <c r="B53" s="1103"/>
      <c r="C53" s="671" t="s">
        <v>444</v>
      </c>
      <c r="D53" s="673">
        <v>1.22</v>
      </c>
      <c r="E53" s="671">
        <v>5</v>
      </c>
      <c r="F53" s="670">
        <v>6.1</v>
      </c>
    </row>
    <row r="54" spans="1:13" ht="15.75" x14ac:dyDescent="0.25">
      <c r="A54" s="1102"/>
      <c r="B54" s="1103"/>
      <c r="C54" s="1101"/>
      <c r="D54" s="1104"/>
      <c r="E54" s="672" t="s">
        <v>403</v>
      </c>
      <c r="F54" s="670">
        <v>47.52</v>
      </c>
    </row>
    <row r="55" spans="1:13" ht="15.75" x14ac:dyDescent="0.25">
      <c r="A55" s="1102"/>
      <c r="B55" s="1103"/>
      <c r="C55" s="1103"/>
      <c r="D55" s="1105"/>
      <c r="E55" s="671" t="s">
        <v>445</v>
      </c>
      <c r="F55" s="670">
        <v>1.5840000000000001</v>
      </c>
    </row>
    <row r="56" spans="1:13" ht="15.75" x14ac:dyDescent="0.25">
      <c r="A56" s="1118" t="s">
        <v>524</v>
      </c>
      <c r="B56" s="663">
        <v>31.209</v>
      </c>
      <c r="C56" s="654" t="s">
        <v>447</v>
      </c>
      <c r="D56" s="654"/>
      <c r="E56" s="667">
        <v>0</v>
      </c>
      <c r="F56" s="654">
        <v>31.21</v>
      </c>
      <c r="H56" s="669"/>
      <c r="M56" s="615" t="s">
        <v>448</v>
      </c>
    </row>
    <row r="57" spans="1:13" ht="15.75" x14ac:dyDescent="0.25">
      <c r="A57" s="1119"/>
      <c r="B57" s="668"/>
      <c r="C57" s="654" t="s">
        <v>449</v>
      </c>
      <c r="D57" s="654">
        <v>3.4409999999999998</v>
      </c>
      <c r="E57" s="667">
        <v>40.104166800000002</v>
      </c>
      <c r="F57" s="654">
        <v>137.9984379588</v>
      </c>
      <c r="M57" s="615" t="s">
        <v>450</v>
      </c>
    </row>
    <row r="58" spans="1:13" ht="15.75" x14ac:dyDescent="0.25">
      <c r="A58" s="666"/>
      <c r="B58" s="665"/>
      <c r="C58" s="664"/>
      <c r="D58" s="663"/>
      <c r="E58" s="662" t="s">
        <v>403</v>
      </c>
      <c r="F58" s="654">
        <v>169.2084379588</v>
      </c>
    </row>
    <row r="59" spans="1:13" ht="15.75" x14ac:dyDescent="0.25">
      <c r="A59" s="661"/>
      <c r="B59" s="660"/>
      <c r="C59" s="1098"/>
      <c r="D59" s="1099"/>
      <c r="E59" s="654" t="s">
        <v>404</v>
      </c>
      <c r="F59" s="654">
        <v>5.6402812652933338</v>
      </c>
    </row>
    <row r="60" spans="1:13" ht="15.75" x14ac:dyDescent="0.25">
      <c r="A60" s="1120" t="s">
        <v>523</v>
      </c>
      <c r="B60" s="644">
        <v>14.133000000000001</v>
      </c>
      <c r="C60" s="644" t="s">
        <v>452</v>
      </c>
      <c r="D60" s="644"/>
      <c r="E60" s="644"/>
      <c r="F60" s="644"/>
      <c r="M60" s="615" t="s">
        <v>453</v>
      </c>
    </row>
    <row r="61" spans="1:13" ht="15.75" x14ac:dyDescent="0.25">
      <c r="A61" s="1121"/>
      <c r="B61" s="644"/>
      <c r="C61" s="644" t="s">
        <v>454</v>
      </c>
      <c r="D61" s="644">
        <v>3.1099999999999999E-2</v>
      </c>
      <c r="E61" s="646">
        <v>999</v>
      </c>
      <c r="F61" s="644">
        <v>31.068899999999999</v>
      </c>
    </row>
    <row r="62" spans="1:13" ht="15.75" x14ac:dyDescent="0.25">
      <c r="A62" s="1122"/>
      <c r="B62" s="644"/>
      <c r="C62" s="644" t="s">
        <v>455</v>
      </c>
      <c r="D62" s="644">
        <v>5.8400000000000001E-2</v>
      </c>
      <c r="E62" s="646">
        <v>2401</v>
      </c>
      <c r="F62" s="644">
        <v>140.2184</v>
      </c>
    </row>
    <row r="63" spans="1:13" ht="15.75" x14ac:dyDescent="0.25">
      <c r="A63" s="644"/>
      <c r="B63" s="644"/>
      <c r="C63" s="644" t="s">
        <v>456</v>
      </c>
      <c r="D63" s="644">
        <v>0.1106</v>
      </c>
      <c r="E63" s="646">
        <v>610.41668000000027</v>
      </c>
      <c r="F63" s="644">
        <v>67.512084808000026</v>
      </c>
    </row>
    <row r="64" spans="1:13" ht="15.75" x14ac:dyDescent="0.25">
      <c r="A64" s="644"/>
      <c r="B64" s="644"/>
      <c r="C64" s="644"/>
      <c r="D64" s="644"/>
      <c r="E64" s="659" t="s">
        <v>403</v>
      </c>
      <c r="F64" s="644">
        <v>238.79938480800004</v>
      </c>
    </row>
    <row r="65" spans="1:13" ht="15.75" x14ac:dyDescent="0.25">
      <c r="A65" s="644"/>
      <c r="B65" s="644"/>
      <c r="C65" s="644" t="s">
        <v>457</v>
      </c>
      <c r="D65" s="644"/>
      <c r="E65" s="644" t="s">
        <v>404</v>
      </c>
      <c r="F65" s="644">
        <v>7.9599794936000015</v>
      </c>
    </row>
    <row r="66" spans="1:13" ht="15.75" x14ac:dyDescent="0.25">
      <c r="A66" s="644"/>
      <c r="B66" s="644"/>
      <c r="C66" s="644"/>
      <c r="D66" s="644"/>
      <c r="E66" s="644"/>
      <c r="F66" s="644"/>
    </row>
    <row r="69" spans="1:13" x14ac:dyDescent="0.25">
      <c r="A69" s="609" t="s">
        <v>458</v>
      </c>
    </row>
    <row r="71" spans="1:13" x14ac:dyDescent="0.25">
      <c r="A71" s="609" t="s">
        <v>459</v>
      </c>
    </row>
    <row r="72" spans="1:13" ht="15.75" x14ac:dyDescent="0.25">
      <c r="A72" s="651" t="s">
        <v>460</v>
      </c>
      <c r="B72" s="654">
        <v>0</v>
      </c>
      <c r="C72" s="654" t="s">
        <v>461</v>
      </c>
      <c r="D72" s="654"/>
      <c r="E72" s="651"/>
      <c r="F72" s="654">
        <v>0</v>
      </c>
      <c r="M72" s="615" t="s">
        <v>462</v>
      </c>
    </row>
    <row r="73" spans="1:13" ht="15.75" x14ac:dyDescent="0.25">
      <c r="A73" s="658"/>
      <c r="B73" s="657"/>
      <c r="C73" s="654" t="s">
        <v>463</v>
      </c>
      <c r="D73" s="654">
        <v>4.21</v>
      </c>
      <c r="E73" s="653">
        <v>32</v>
      </c>
      <c r="F73" s="650">
        <v>134.72</v>
      </c>
    </row>
    <row r="74" spans="1:13" ht="15.75" x14ac:dyDescent="0.25">
      <c r="A74" s="656"/>
      <c r="B74" s="655"/>
      <c r="C74" s="654" t="s">
        <v>464</v>
      </c>
      <c r="D74" s="654">
        <v>5.8230000000000004</v>
      </c>
      <c r="E74" s="653">
        <v>8.1041668000000016</v>
      </c>
      <c r="F74" s="650">
        <v>47.190563276400013</v>
      </c>
    </row>
    <row r="75" spans="1:13" ht="15.75" x14ac:dyDescent="0.25">
      <c r="A75" s="1123" t="s">
        <v>465</v>
      </c>
      <c r="B75" s="1124"/>
      <c r="C75" s="1124"/>
      <c r="D75" s="1125"/>
      <c r="E75" s="652" t="s">
        <v>403</v>
      </c>
      <c r="F75" s="650">
        <v>181.91056327640001</v>
      </c>
    </row>
    <row r="76" spans="1:13" ht="15.75" x14ac:dyDescent="0.25">
      <c r="A76" s="1123"/>
      <c r="B76" s="1124"/>
      <c r="C76" s="1124"/>
      <c r="D76" s="1125"/>
      <c r="E76" s="651" t="s">
        <v>404</v>
      </c>
      <c r="F76" s="650">
        <v>6.0636854425466673</v>
      </c>
    </row>
    <row r="77" spans="1:13" ht="15.75" x14ac:dyDescent="0.25">
      <c r="A77" s="649" t="s">
        <v>466</v>
      </c>
      <c r="B77" s="644">
        <v>12.9</v>
      </c>
      <c r="C77" s="644"/>
      <c r="D77" s="644"/>
      <c r="E77" s="646"/>
      <c r="F77" s="644">
        <v>12.9</v>
      </c>
      <c r="M77" s="615" t="s">
        <v>467</v>
      </c>
    </row>
    <row r="78" spans="1:13" ht="15.75" x14ac:dyDescent="0.25">
      <c r="A78" s="1096"/>
      <c r="B78" s="1066"/>
      <c r="C78" s="644" t="s">
        <v>468</v>
      </c>
      <c r="D78" s="644">
        <v>1.05</v>
      </c>
      <c r="E78" s="646">
        <v>40.104166800000002</v>
      </c>
      <c r="F78" s="644">
        <v>42.109375140000004</v>
      </c>
    </row>
    <row r="79" spans="1:13" ht="15.75" x14ac:dyDescent="0.25">
      <c r="A79" s="1063"/>
      <c r="B79" s="1097"/>
      <c r="C79" s="644" t="s">
        <v>469</v>
      </c>
      <c r="D79" s="644">
        <v>0.09</v>
      </c>
      <c r="E79" s="646">
        <v>40.104166800000002</v>
      </c>
      <c r="F79" s="644">
        <v>3.6093750120000001</v>
      </c>
    </row>
    <row r="80" spans="1:13" ht="15.75" x14ac:dyDescent="0.25">
      <c r="A80" s="704"/>
      <c r="B80" s="705"/>
      <c r="C80" s="644" t="s">
        <v>470</v>
      </c>
      <c r="D80" s="644">
        <v>0.14000000000000001</v>
      </c>
      <c r="E80" s="646">
        <v>40.104166800000002</v>
      </c>
      <c r="F80" s="644">
        <v>5.6145833520000004</v>
      </c>
    </row>
    <row r="81" spans="1:13" ht="15.75" x14ac:dyDescent="0.25">
      <c r="A81" s="704"/>
      <c r="B81" s="705"/>
      <c r="C81" s="644" t="s">
        <v>413</v>
      </c>
      <c r="D81" s="644">
        <v>0.35</v>
      </c>
      <c r="E81" s="646">
        <v>8.1041668000000016</v>
      </c>
      <c r="F81" s="644">
        <v>2.8364583800000003</v>
      </c>
    </row>
    <row r="82" spans="1:13" ht="15.75" x14ac:dyDescent="0.25">
      <c r="A82" s="1063"/>
      <c r="B82" s="1064"/>
      <c r="C82" s="1065"/>
      <c r="D82" s="1066"/>
      <c r="E82" s="645" t="s">
        <v>403</v>
      </c>
      <c r="F82" s="644">
        <v>67.069791883999997</v>
      </c>
    </row>
    <row r="83" spans="1:13" ht="15.75" x14ac:dyDescent="0.25">
      <c r="A83" s="1067"/>
      <c r="B83" s="1068"/>
      <c r="C83" s="1068"/>
      <c r="D83" s="1069"/>
      <c r="E83" s="643" t="s">
        <v>404</v>
      </c>
      <c r="F83" s="642">
        <v>2.2356597294666667</v>
      </c>
    </row>
    <row r="84" spans="1:13" ht="15.75" x14ac:dyDescent="0.25">
      <c r="A84" s="623" t="s">
        <v>471</v>
      </c>
      <c r="B84" s="622">
        <v>17.7</v>
      </c>
      <c r="C84" s="623"/>
      <c r="D84" s="623"/>
      <c r="E84" s="623"/>
      <c r="F84" s="622">
        <v>17.7</v>
      </c>
      <c r="M84" s="615" t="s">
        <v>472</v>
      </c>
    </row>
    <row r="85" spans="1:13" ht="15.75" x14ac:dyDescent="0.25">
      <c r="A85" s="1049"/>
      <c r="B85" s="1049"/>
      <c r="C85" s="623" t="s">
        <v>473</v>
      </c>
      <c r="D85" s="622">
        <v>2.6141000000000001</v>
      </c>
      <c r="E85" s="623">
        <v>13</v>
      </c>
      <c r="F85" s="622">
        <v>33.9833</v>
      </c>
    </row>
    <row r="86" spans="1:13" ht="15.75" x14ac:dyDescent="0.25">
      <c r="A86" s="1050"/>
      <c r="B86" s="1050"/>
      <c r="C86" s="623" t="s">
        <v>474</v>
      </c>
      <c r="D86" s="626">
        <v>2.8744999999999998</v>
      </c>
      <c r="E86" s="625">
        <v>27.104166800000002</v>
      </c>
      <c r="F86" s="622">
        <v>77.9109274666</v>
      </c>
    </row>
    <row r="87" spans="1:13" ht="15.75" x14ac:dyDescent="0.25">
      <c r="A87" s="1050"/>
      <c r="B87" s="1050"/>
      <c r="C87" s="623" t="s">
        <v>475</v>
      </c>
      <c r="D87" s="626"/>
      <c r="E87" s="625"/>
      <c r="F87" s="622">
        <v>0.06</v>
      </c>
    </row>
    <row r="88" spans="1:13" ht="15.75" x14ac:dyDescent="0.25">
      <c r="A88" s="1050"/>
      <c r="B88" s="1050"/>
      <c r="C88" s="623" t="s">
        <v>476</v>
      </c>
      <c r="D88" s="626"/>
      <c r="E88" s="625"/>
      <c r="F88" s="622">
        <v>0.2</v>
      </c>
    </row>
    <row r="89" spans="1:13" ht="15.75" x14ac:dyDescent="0.25">
      <c r="A89" s="1050"/>
      <c r="B89" s="1050"/>
      <c r="C89" s="623" t="s">
        <v>477</v>
      </c>
      <c r="D89" s="626">
        <v>0.44219999999999998</v>
      </c>
      <c r="E89" s="625">
        <v>40.104166800000002</v>
      </c>
      <c r="F89" s="622">
        <v>40.546366800000001</v>
      </c>
    </row>
    <row r="90" spans="1:13" ht="15.75" x14ac:dyDescent="0.25">
      <c r="A90" s="1050"/>
      <c r="B90" s="1050"/>
      <c r="C90" s="1052"/>
      <c r="D90" s="1053"/>
      <c r="E90" s="624" t="s">
        <v>403</v>
      </c>
      <c r="F90" s="622">
        <v>170.40059426659997</v>
      </c>
    </row>
    <row r="91" spans="1:13" ht="15.75" x14ac:dyDescent="0.25">
      <c r="A91" s="1051"/>
      <c r="B91" s="1051"/>
      <c r="C91" s="1054"/>
      <c r="D91" s="1055"/>
      <c r="E91" s="623" t="s">
        <v>404</v>
      </c>
      <c r="F91" s="622">
        <v>7.5941864844814715</v>
      </c>
    </row>
    <row r="92" spans="1:13" ht="15.75" x14ac:dyDescent="0.25">
      <c r="A92" s="629" t="s">
        <v>478</v>
      </c>
      <c r="B92" s="631">
        <v>8.4</v>
      </c>
      <c r="C92" s="629"/>
      <c r="D92" s="629"/>
      <c r="E92" s="629"/>
      <c r="F92" s="631">
        <v>8.4</v>
      </c>
      <c r="M92" s="615" t="s">
        <v>479</v>
      </c>
    </row>
    <row r="93" spans="1:13" ht="15.75" x14ac:dyDescent="0.25">
      <c r="A93" s="1056"/>
      <c r="B93" s="1056"/>
      <c r="C93" s="629" t="s">
        <v>480</v>
      </c>
      <c r="D93" s="631">
        <v>4.2</v>
      </c>
      <c r="E93" s="629">
        <v>3</v>
      </c>
      <c r="F93" s="631">
        <v>12.600000000000001</v>
      </c>
    </row>
    <row r="94" spans="1:13" ht="15.75" x14ac:dyDescent="0.25">
      <c r="A94" s="1057"/>
      <c r="B94" s="1057"/>
      <c r="C94" s="629" t="s">
        <v>481</v>
      </c>
      <c r="D94" s="641">
        <v>5.5</v>
      </c>
      <c r="E94" s="640">
        <v>37.104166800000002</v>
      </c>
      <c r="F94" s="631">
        <v>204.07291739999999</v>
      </c>
    </row>
    <row r="95" spans="1:13" ht="15.75" x14ac:dyDescent="0.25">
      <c r="A95" s="1057"/>
      <c r="B95" s="1057"/>
      <c r="C95" s="1059"/>
      <c r="D95" s="1060"/>
      <c r="E95" s="630" t="s">
        <v>403</v>
      </c>
      <c r="F95" s="631">
        <v>225.07291739999999</v>
      </c>
    </row>
    <row r="96" spans="1:13" ht="15.75" x14ac:dyDescent="0.25">
      <c r="A96" s="1058"/>
      <c r="B96" s="1058"/>
      <c r="C96" s="1061"/>
      <c r="D96" s="1062"/>
      <c r="E96" s="629" t="s">
        <v>404</v>
      </c>
      <c r="F96" s="631">
        <v>7.5024305799999995</v>
      </c>
    </row>
    <row r="97" spans="1:13" ht="15.75" x14ac:dyDescent="0.25">
      <c r="A97" s="637" t="s">
        <v>482</v>
      </c>
      <c r="B97" s="636">
        <v>8.6300000000000008</v>
      </c>
      <c r="C97" s="637"/>
      <c r="D97" s="637"/>
      <c r="E97" s="637"/>
      <c r="F97" s="636">
        <v>8.6300000000000008</v>
      </c>
      <c r="M97" s="615" t="s">
        <v>483</v>
      </c>
    </row>
    <row r="98" spans="1:13" ht="15.75" x14ac:dyDescent="0.25">
      <c r="A98" s="1077"/>
      <c r="B98" s="1077"/>
      <c r="C98" s="637" t="s">
        <v>484</v>
      </c>
      <c r="D98" s="636">
        <v>1.677</v>
      </c>
      <c r="E98" s="639">
        <v>40.104166800000002</v>
      </c>
      <c r="F98" s="636">
        <v>67.2546877236</v>
      </c>
    </row>
    <row r="99" spans="1:13" ht="15.75" x14ac:dyDescent="0.25">
      <c r="A99" s="1078"/>
      <c r="B99" s="1078"/>
      <c r="C99" s="1080"/>
      <c r="D99" s="1081"/>
      <c r="E99" s="638" t="s">
        <v>403</v>
      </c>
      <c r="F99" s="636">
        <v>75.884687723599995</v>
      </c>
    </row>
    <row r="100" spans="1:13" ht="15.75" x14ac:dyDescent="0.25">
      <c r="A100" s="1079"/>
      <c r="B100" s="1079"/>
      <c r="C100" s="1082"/>
      <c r="D100" s="1083"/>
      <c r="E100" s="637" t="s">
        <v>404</v>
      </c>
      <c r="F100" s="636">
        <v>2.5294895907866666</v>
      </c>
    </row>
    <row r="101" spans="1:13" ht="15.75" x14ac:dyDescent="0.25">
      <c r="A101" s="629" t="s">
        <v>485</v>
      </c>
      <c r="B101" s="631">
        <v>11.95</v>
      </c>
      <c r="C101" s="629"/>
      <c r="D101" s="629"/>
      <c r="E101" s="629"/>
      <c r="F101" s="628">
        <v>11.95</v>
      </c>
      <c r="M101" s="615" t="s">
        <v>486</v>
      </c>
    </row>
    <row r="102" spans="1:13" ht="15.75" x14ac:dyDescent="0.25">
      <c r="A102" s="1084"/>
      <c r="B102" s="1056"/>
      <c r="C102" s="629" t="s">
        <v>487</v>
      </c>
      <c r="D102" s="631">
        <v>1.46</v>
      </c>
      <c r="E102" s="629">
        <v>6</v>
      </c>
      <c r="F102" s="628">
        <v>8.76</v>
      </c>
      <c r="M102" s="615" t="s">
        <v>488</v>
      </c>
    </row>
    <row r="103" spans="1:13" ht="15.75" x14ac:dyDescent="0.25">
      <c r="A103" s="1085"/>
      <c r="B103" s="1057"/>
      <c r="C103" s="629" t="s">
        <v>489</v>
      </c>
      <c r="D103" s="631">
        <v>2.02</v>
      </c>
      <c r="E103" s="629">
        <v>10</v>
      </c>
      <c r="F103" s="628">
        <v>20.2</v>
      </c>
    </row>
    <row r="104" spans="1:13" ht="15.75" x14ac:dyDescent="0.25">
      <c r="A104" s="1085"/>
      <c r="B104" s="1057"/>
      <c r="C104" s="629" t="s">
        <v>490</v>
      </c>
      <c r="D104" s="631">
        <v>2.67</v>
      </c>
      <c r="E104" s="629">
        <v>14</v>
      </c>
      <c r="F104" s="628">
        <v>37.379999999999995</v>
      </c>
    </row>
    <row r="105" spans="1:13" ht="15.75" x14ac:dyDescent="0.25">
      <c r="A105" s="1085"/>
      <c r="B105" s="1057"/>
      <c r="C105" s="629"/>
      <c r="D105" s="631"/>
      <c r="E105" s="629"/>
      <c r="F105" s="628"/>
    </row>
    <row r="106" spans="1:13" ht="15.75" x14ac:dyDescent="0.25">
      <c r="A106" s="1085"/>
      <c r="B106" s="1057"/>
      <c r="C106" s="628"/>
      <c r="D106" s="634" t="s">
        <v>431</v>
      </c>
      <c r="E106" s="629">
        <v>30</v>
      </c>
      <c r="F106" s="628">
        <v>78.289999999999992</v>
      </c>
    </row>
    <row r="107" spans="1:13" ht="30.75" x14ac:dyDescent="0.25">
      <c r="A107" s="1085"/>
      <c r="B107" s="1057"/>
      <c r="C107" s="635" t="s">
        <v>432</v>
      </c>
      <c r="D107" s="628"/>
      <c r="E107" s="634"/>
      <c r="F107" s="628">
        <v>5</v>
      </c>
    </row>
    <row r="108" spans="1:13" ht="30.75" x14ac:dyDescent="0.25">
      <c r="A108" s="1085"/>
      <c r="B108" s="1057"/>
      <c r="C108" s="635" t="s">
        <v>433</v>
      </c>
      <c r="D108" s="628"/>
      <c r="E108" s="634"/>
      <c r="F108" s="628">
        <v>9</v>
      </c>
    </row>
    <row r="109" spans="1:13" ht="15.75" x14ac:dyDescent="0.25">
      <c r="A109" s="1085"/>
      <c r="B109" s="1057"/>
      <c r="C109" s="633" t="s">
        <v>434</v>
      </c>
      <c r="D109" s="632">
        <v>2.5000000000000001E-3</v>
      </c>
      <c r="E109" s="629"/>
      <c r="F109" s="631">
        <v>0.19572499999999998</v>
      </c>
    </row>
    <row r="110" spans="1:13" ht="15.75" x14ac:dyDescent="0.25">
      <c r="A110" s="1085"/>
      <c r="B110" s="1057"/>
      <c r="C110" s="1056"/>
      <c r="D110" s="1087"/>
      <c r="E110" s="630" t="s">
        <v>403</v>
      </c>
      <c r="F110" s="628">
        <v>92.485724999999988</v>
      </c>
    </row>
    <row r="111" spans="1:13" ht="15.75" x14ac:dyDescent="0.25">
      <c r="A111" s="1086"/>
      <c r="B111" s="1058"/>
      <c r="C111" s="1058"/>
      <c r="D111" s="1088"/>
      <c r="E111" s="629" t="s">
        <v>404</v>
      </c>
      <c r="F111" s="628">
        <v>3.0828574999999998</v>
      </c>
    </row>
    <row r="112" spans="1:13" ht="15.75" x14ac:dyDescent="0.25">
      <c r="A112" s="623" t="s">
        <v>491</v>
      </c>
      <c r="B112" s="622">
        <v>9.14</v>
      </c>
      <c r="C112" s="623"/>
      <c r="D112" s="623"/>
      <c r="E112" s="623"/>
      <c r="F112" s="622">
        <v>9.14</v>
      </c>
      <c r="M112" s="615" t="s">
        <v>492</v>
      </c>
    </row>
    <row r="113" spans="1:13" ht="15.75" x14ac:dyDescent="0.25">
      <c r="A113" s="1049"/>
      <c r="B113" s="1049"/>
      <c r="C113" s="623" t="s">
        <v>493</v>
      </c>
      <c r="D113" s="622">
        <v>1.01</v>
      </c>
      <c r="E113" s="623">
        <v>10</v>
      </c>
      <c r="F113" s="622">
        <v>10.1</v>
      </c>
    </row>
    <row r="114" spans="1:13" ht="15.75" x14ac:dyDescent="0.25">
      <c r="A114" s="1050"/>
      <c r="B114" s="1050"/>
      <c r="C114" s="627" t="s">
        <v>494</v>
      </c>
      <c r="D114" s="622">
        <v>1.55</v>
      </c>
      <c r="E114" s="623">
        <v>20</v>
      </c>
      <c r="F114" s="622">
        <v>31</v>
      </c>
    </row>
    <row r="115" spans="1:13" ht="15.75" x14ac:dyDescent="0.25">
      <c r="A115" s="1050"/>
      <c r="B115" s="1050"/>
      <c r="C115" s="623" t="s">
        <v>495</v>
      </c>
      <c r="D115" s="626">
        <v>2.14</v>
      </c>
      <c r="E115" s="625">
        <v>10.104166800000002</v>
      </c>
      <c r="F115" s="622">
        <v>21.622916952000004</v>
      </c>
    </row>
    <row r="116" spans="1:13" ht="15.75" x14ac:dyDescent="0.25">
      <c r="A116" s="1050"/>
      <c r="B116" s="1050"/>
      <c r="C116" s="1052"/>
      <c r="D116" s="1053"/>
      <c r="E116" s="624" t="s">
        <v>403</v>
      </c>
      <c r="F116" s="622">
        <v>71.862916952000006</v>
      </c>
    </row>
    <row r="117" spans="1:13" ht="15.75" x14ac:dyDescent="0.25">
      <c r="A117" s="1051"/>
      <c r="B117" s="1051"/>
      <c r="C117" s="1054"/>
      <c r="D117" s="1055"/>
      <c r="E117" s="623" t="s">
        <v>404</v>
      </c>
      <c r="F117" s="622">
        <v>2.395430565066667</v>
      </c>
    </row>
    <row r="118" spans="1:13" ht="15.75" x14ac:dyDescent="0.25">
      <c r="A118" s="618" t="s">
        <v>496</v>
      </c>
      <c r="B118" s="617">
        <v>10.4</v>
      </c>
      <c r="C118" s="618"/>
      <c r="D118" s="618"/>
      <c r="E118" s="618"/>
      <c r="F118" s="617">
        <v>10.4</v>
      </c>
      <c r="M118" s="615" t="s">
        <v>497</v>
      </c>
    </row>
    <row r="119" spans="1:13" ht="15.75" x14ac:dyDescent="0.25">
      <c r="A119" s="1070"/>
      <c r="B119" s="1070"/>
      <c r="C119" s="618" t="s">
        <v>498</v>
      </c>
      <c r="D119" s="617">
        <v>1.4646999999999999</v>
      </c>
      <c r="E119" s="618">
        <v>3</v>
      </c>
      <c r="F119" s="617">
        <v>4.3940999999999999</v>
      </c>
    </row>
    <row r="120" spans="1:13" ht="15.75" x14ac:dyDescent="0.25">
      <c r="A120" s="1071"/>
      <c r="B120" s="1071"/>
      <c r="C120" s="618" t="s">
        <v>499</v>
      </c>
      <c r="D120" s="621">
        <v>1.831</v>
      </c>
      <c r="E120" s="620">
        <v>37.104166800000002</v>
      </c>
      <c r="F120" s="617">
        <v>67.937729410800003</v>
      </c>
    </row>
    <row r="121" spans="1:13" ht="15.75" x14ac:dyDescent="0.25">
      <c r="A121" s="1071"/>
      <c r="B121" s="1071"/>
      <c r="C121" s="1073" t="s">
        <v>500</v>
      </c>
      <c r="D121" s="1074"/>
      <c r="E121" s="619" t="s">
        <v>403</v>
      </c>
      <c r="F121" s="617">
        <v>82.731829410800003</v>
      </c>
    </row>
    <row r="122" spans="1:13" ht="15.75" x14ac:dyDescent="0.25">
      <c r="A122" s="1072"/>
      <c r="B122" s="1072"/>
      <c r="C122" s="1075"/>
      <c r="D122" s="1076"/>
      <c r="E122" s="618" t="s">
        <v>404</v>
      </c>
      <c r="F122" s="617">
        <v>3.6870818640746537</v>
      </c>
    </row>
  </sheetData>
  <mergeCells count="30">
    <mergeCell ref="A26:B29"/>
    <mergeCell ref="A2:F2"/>
    <mergeCell ref="A5:B9"/>
    <mergeCell ref="A11:B12"/>
    <mergeCell ref="A17:D18"/>
    <mergeCell ref="A20:B24"/>
    <mergeCell ref="A82:D83"/>
    <mergeCell ref="A31:B41"/>
    <mergeCell ref="C40:D41"/>
    <mergeCell ref="A43:B47"/>
    <mergeCell ref="C46:D47"/>
    <mergeCell ref="A49:B55"/>
    <mergeCell ref="C54:D55"/>
    <mergeCell ref="A56:A57"/>
    <mergeCell ref="C59:D59"/>
    <mergeCell ref="A60:A62"/>
    <mergeCell ref="A75:D76"/>
    <mergeCell ref="A78:B79"/>
    <mergeCell ref="A85:B91"/>
    <mergeCell ref="C90:D91"/>
    <mergeCell ref="A93:B96"/>
    <mergeCell ref="C95:D96"/>
    <mergeCell ref="A98:B100"/>
    <mergeCell ref="C99:D100"/>
    <mergeCell ref="A102:B111"/>
    <mergeCell ref="C110:D111"/>
    <mergeCell ref="A113:B117"/>
    <mergeCell ref="C116:D117"/>
    <mergeCell ref="A119:B122"/>
    <mergeCell ref="C121:D122"/>
  </mergeCells>
  <hyperlinks>
    <hyperlink ref="M48" r:id="rId1"/>
    <hyperlink ref="M4" r:id="rId2"/>
    <hyperlink ref="M10" r:id="rId3"/>
    <hyperlink ref="M19" r:id="rId4"/>
    <hyperlink ref="M25" r:id="rId5"/>
    <hyperlink ref="M30" r:id="rId6"/>
    <hyperlink ref="M31" r:id="rId7"/>
    <hyperlink ref="M42" r:id="rId8"/>
    <hyperlink ref="M56" r:id="rId9"/>
    <hyperlink ref="M57" r:id="rId10"/>
    <hyperlink ref="M60" r:id="rId11"/>
    <hyperlink ref="M72" r:id="rId12" location="%40%3F_afrWindowId%3Dnull%26_afrLoop%3D408447866240455%26_afrWindowMode%3D0%26_adf.ctrl-state%3Daq9bqc1q1_46" display="https://www.ladwp.com/ladwp/faces/wcnav_externalId/a-fr-schedul-a-res?_adf.ctrl-state=uj6inlrzs_663&amp;_afrLoop=408447866240455&amp;_afrWindowMode=0&amp;_afrWindowId=null - %40%3F_afrWindowId%3Dnull%26_afrLoop%3D408447866240455%26_afrWindowMode%3D0%26_adf.ctrl-state%3Daq9bqc1q1_46"/>
    <hyperlink ref="M77" r:id="rId13"/>
    <hyperlink ref="M84" r:id="rId14"/>
    <hyperlink ref="M92" r:id="rId15"/>
    <hyperlink ref="M97" r:id="rId16"/>
    <hyperlink ref="M101" r:id="rId17"/>
    <hyperlink ref="M102" r:id="rId18"/>
    <hyperlink ref="M112" r:id="rId19" display="http://www.slcdocs.com/utilities/PDF Files/UtilityRates/Waterratesweb2013.pdf"/>
    <hyperlink ref="M118" r:id="rId20" display="http://www.unitedwater.com/uploadedFiles/Localized_Content/UW_Idaho/RB/2013 rates.pdf"/>
  </hyperlinks>
  <pageMargins left="0.7" right="0.7" top="0.75" bottom="0.75" header="0.3" footer="0.3"/>
  <pageSetup paperSize="17" scale="65" fitToHeight="0" orientation="landscape" r:id="rId21"/>
  <headerFooter>
    <oddFooter xml:space="preserve">&amp;L&amp;"-,Bold"&amp;9This is a preliminary draft document. It is intended for discussion purposes only.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5:M19"/>
  <sheetViews>
    <sheetView zoomScale="125" zoomScaleNormal="125" workbookViewId="0">
      <selection activeCell="B3" sqref="A1:Y40"/>
    </sheetView>
  </sheetViews>
  <sheetFormatPr defaultRowHeight="12.75" x14ac:dyDescent="0.2"/>
  <cols>
    <col min="1" max="1" width="6.5703125" style="439" customWidth="1"/>
    <col min="2" max="2" width="7" style="439" customWidth="1"/>
    <col min="3" max="4" width="9.140625" style="439"/>
    <col min="5" max="5" width="13.42578125" style="439" customWidth="1"/>
    <col min="6" max="7" width="9.140625" style="439"/>
    <col min="8" max="8" width="18.28515625" style="439" customWidth="1"/>
    <col min="9" max="9" width="16.42578125" style="439" bestFit="1" customWidth="1"/>
    <col min="10" max="16384" width="9.140625" style="439"/>
  </cols>
  <sheetData>
    <row r="5" spans="2:13" ht="39.75" customHeight="1" x14ac:dyDescent="0.2"/>
    <row r="6" spans="2:13" ht="15.75" customHeight="1" x14ac:dyDescent="0.2">
      <c r="B6" s="811" t="s">
        <v>337</v>
      </c>
      <c r="C6" s="811"/>
      <c r="D6" s="811"/>
      <c r="E6" s="811"/>
      <c r="F6" s="811"/>
      <c r="G6" s="811"/>
      <c r="H6" s="811"/>
      <c r="I6" s="811"/>
      <c r="J6" s="811"/>
      <c r="K6" s="811"/>
      <c r="L6" s="811"/>
      <c r="M6" s="811"/>
    </row>
    <row r="7" spans="2:13" ht="12.75" customHeight="1" x14ac:dyDescent="0.2">
      <c r="B7" s="811"/>
      <c r="C7" s="811"/>
      <c r="D7" s="811"/>
      <c r="E7" s="811"/>
      <c r="F7" s="811"/>
      <c r="G7" s="811"/>
      <c r="H7" s="811"/>
      <c r="I7" s="811"/>
      <c r="J7" s="811"/>
      <c r="K7" s="811"/>
      <c r="L7" s="811"/>
      <c r="M7" s="811"/>
    </row>
    <row r="8" spans="2:13" ht="12.75" customHeight="1" x14ac:dyDescent="0.2">
      <c r="B8" s="811"/>
      <c r="C8" s="811"/>
      <c r="D8" s="811"/>
      <c r="E8" s="811"/>
      <c r="F8" s="811"/>
      <c r="G8" s="811"/>
      <c r="H8" s="811"/>
      <c r="I8" s="811"/>
      <c r="J8" s="811"/>
      <c r="K8" s="811"/>
      <c r="L8" s="811"/>
      <c r="M8" s="811"/>
    </row>
    <row r="9" spans="2:13" ht="15" customHeight="1" x14ac:dyDescent="0.2">
      <c r="B9" s="811"/>
      <c r="C9" s="811"/>
      <c r="D9" s="811"/>
      <c r="E9" s="811"/>
      <c r="F9" s="811"/>
      <c r="G9" s="811"/>
      <c r="H9" s="811"/>
      <c r="I9" s="811"/>
      <c r="J9" s="811"/>
      <c r="K9" s="811"/>
      <c r="L9" s="811"/>
      <c r="M9" s="811"/>
    </row>
    <row r="10" spans="2:13" ht="15" customHeight="1" x14ac:dyDescent="0.2">
      <c r="B10" s="811"/>
      <c r="C10" s="811"/>
      <c r="D10" s="811"/>
      <c r="E10" s="811"/>
      <c r="F10" s="811"/>
      <c r="G10" s="811"/>
      <c r="H10" s="811"/>
      <c r="I10" s="811"/>
      <c r="J10" s="811"/>
      <c r="K10" s="811"/>
      <c r="L10" s="811"/>
      <c r="M10" s="811"/>
    </row>
    <row r="11" spans="2:13" ht="51.75" customHeight="1" x14ac:dyDescent="0.2">
      <c r="B11" s="811"/>
      <c r="C11" s="811"/>
      <c r="D11" s="811"/>
      <c r="E11" s="811"/>
      <c r="F11" s="811"/>
      <c r="G11" s="811"/>
      <c r="H11" s="811"/>
      <c r="I11" s="811"/>
      <c r="J11" s="811"/>
      <c r="K11" s="811"/>
      <c r="L11" s="811"/>
      <c r="M11" s="811"/>
    </row>
    <row r="12" spans="2:13" ht="12.75" customHeight="1" x14ac:dyDescent="0.25">
      <c r="D12" s="440"/>
      <c r="E12" s="440"/>
      <c r="F12" s="440"/>
      <c r="G12" s="440"/>
      <c r="H12" s="440"/>
      <c r="I12" s="440"/>
      <c r="J12" s="440"/>
      <c r="K12" s="440"/>
    </row>
    <row r="13" spans="2:13" ht="12.75" customHeight="1" x14ac:dyDescent="0.25">
      <c r="D13" s="440"/>
      <c r="E13" s="440"/>
      <c r="F13" s="440"/>
      <c r="G13" s="440"/>
      <c r="H13" s="440"/>
      <c r="I13" s="440"/>
      <c r="J13" s="440"/>
      <c r="K13" s="440"/>
    </row>
    <row r="14" spans="2:13" ht="13.5" thickBot="1" x14ac:dyDescent="0.25"/>
    <row r="15" spans="2:13" ht="32.25" customHeight="1" thickTop="1" x14ac:dyDescent="0.2">
      <c r="E15" s="812" t="s">
        <v>338</v>
      </c>
      <c r="F15" s="812"/>
      <c r="G15" s="812"/>
      <c r="H15" s="812"/>
      <c r="I15" s="842">
        <v>0.05</v>
      </c>
      <c r="J15" s="843"/>
      <c r="K15" s="844"/>
    </row>
    <row r="16" spans="2:13" ht="13.5" customHeight="1" x14ac:dyDescent="0.2">
      <c r="E16" s="812"/>
      <c r="F16" s="812"/>
      <c r="G16" s="812"/>
      <c r="H16" s="812"/>
      <c r="I16" s="845"/>
      <c r="J16" s="846"/>
      <c r="K16" s="847"/>
    </row>
    <row r="17" spans="5:11" ht="13.5" customHeight="1" x14ac:dyDescent="0.2">
      <c r="E17" s="812"/>
      <c r="F17" s="812"/>
      <c r="G17" s="812"/>
      <c r="H17" s="812"/>
      <c r="I17" s="845"/>
      <c r="J17" s="846"/>
      <c r="K17" s="847"/>
    </row>
    <row r="18" spans="5:11" ht="13.5" thickBot="1" x14ac:dyDescent="0.25">
      <c r="E18" s="812"/>
      <c r="F18" s="812"/>
      <c r="G18" s="812"/>
      <c r="H18" s="812"/>
      <c r="I18" s="848"/>
      <c r="J18" s="849"/>
      <c r="K18" s="850"/>
    </row>
    <row r="19" spans="5:11" ht="13.5" thickTop="1" x14ac:dyDescent="0.2"/>
  </sheetData>
  <mergeCells count="3">
    <mergeCell ref="B6:M11"/>
    <mergeCell ref="E15:H18"/>
    <mergeCell ref="I15:K18"/>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5:M19"/>
  <sheetViews>
    <sheetView zoomScale="125" zoomScaleNormal="125" workbookViewId="0">
      <selection activeCell="B3" sqref="A1:Y40"/>
    </sheetView>
  </sheetViews>
  <sheetFormatPr defaultRowHeight="12.75" x14ac:dyDescent="0.2"/>
  <cols>
    <col min="1" max="1" width="6.5703125" style="439" customWidth="1"/>
    <col min="2" max="2" width="7" style="439" customWidth="1"/>
    <col min="3" max="4" width="9.140625" style="439"/>
    <col min="5" max="5" width="13.42578125" style="439" customWidth="1"/>
    <col min="6" max="7" width="9.140625" style="439"/>
    <col min="8" max="8" width="18.28515625" style="439" customWidth="1"/>
    <col min="9" max="9" width="16.42578125" style="439" bestFit="1" customWidth="1"/>
    <col min="10" max="10" width="9.140625" style="439"/>
    <col min="11" max="11" width="16.85546875" style="439" customWidth="1"/>
    <col min="12" max="16384" width="9.140625" style="439"/>
  </cols>
  <sheetData>
    <row r="5" spans="2:13" ht="39.75" customHeight="1" x14ac:dyDescent="0.2"/>
    <row r="6" spans="2:13" ht="15.75" customHeight="1" x14ac:dyDescent="0.2">
      <c r="B6" s="811" t="s">
        <v>380</v>
      </c>
      <c r="C6" s="811"/>
      <c r="D6" s="811"/>
      <c r="E6" s="811"/>
      <c r="F6" s="811"/>
      <c r="G6" s="811"/>
      <c r="H6" s="811"/>
      <c r="I6" s="811"/>
      <c r="J6" s="811"/>
      <c r="K6" s="811"/>
      <c r="L6" s="811"/>
      <c r="M6" s="583"/>
    </row>
    <row r="7" spans="2:13" ht="12.75" customHeight="1" x14ac:dyDescent="0.2">
      <c r="B7" s="811"/>
      <c r="C7" s="811"/>
      <c r="D7" s="811"/>
      <c r="E7" s="811"/>
      <c r="F7" s="811"/>
      <c r="G7" s="811"/>
      <c r="H7" s="811"/>
      <c r="I7" s="811"/>
      <c r="J7" s="811"/>
      <c r="K7" s="811"/>
      <c r="L7" s="811"/>
      <c r="M7" s="583"/>
    </row>
    <row r="8" spans="2:13" ht="12.75" customHeight="1" x14ac:dyDescent="0.2">
      <c r="B8" s="811"/>
      <c r="C8" s="811"/>
      <c r="D8" s="811"/>
      <c r="E8" s="811"/>
      <c r="F8" s="811"/>
      <c r="G8" s="811"/>
      <c r="H8" s="811"/>
      <c r="I8" s="811"/>
      <c r="J8" s="811"/>
      <c r="K8" s="811"/>
      <c r="L8" s="811"/>
      <c r="M8" s="583"/>
    </row>
    <row r="9" spans="2:13" ht="15" customHeight="1" x14ac:dyDescent="0.2">
      <c r="B9" s="811"/>
      <c r="C9" s="811"/>
      <c r="D9" s="811"/>
      <c r="E9" s="811"/>
      <c r="F9" s="811"/>
      <c r="G9" s="811"/>
      <c r="H9" s="811"/>
      <c r="I9" s="811"/>
      <c r="J9" s="811"/>
      <c r="K9" s="811"/>
      <c r="L9" s="811"/>
      <c r="M9" s="583"/>
    </row>
    <row r="10" spans="2:13" ht="15" customHeight="1" x14ac:dyDescent="0.2">
      <c r="B10" s="811"/>
      <c r="C10" s="811"/>
      <c r="D10" s="811"/>
      <c r="E10" s="811"/>
      <c r="F10" s="811"/>
      <c r="G10" s="811"/>
      <c r="H10" s="811"/>
      <c r="I10" s="811"/>
      <c r="J10" s="811"/>
      <c r="K10" s="811"/>
      <c r="L10" s="811"/>
      <c r="M10" s="583"/>
    </row>
    <row r="11" spans="2:13" ht="51.75" customHeight="1" x14ac:dyDescent="0.2">
      <c r="B11" s="811"/>
      <c r="C11" s="811"/>
      <c r="D11" s="811"/>
      <c r="E11" s="811"/>
      <c r="F11" s="811"/>
      <c r="G11" s="811"/>
      <c r="H11" s="811"/>
      <c r="I11" s="811"/>
      <c r="J11" s="811"/>
      <c r="K11" s="811"/>
      <c r="L11" s="811"/>
      <c r="M11" s="583"/>
    </row>
    <row r="12" spans="2:13" ht="12.75" customHeight="1" x14ac:dyDescent="0.25">
      <c r="D12" s="440"/>
      <c r="E12" s="440"/>
      <c r="F12" s="440"/>
      <c r="G12" s="440"/>
      <c r="H12" s="440"/>
      <c r="I12" s="440"/>
      <c r="J12" s="440"/>
      <c r="K12" s="440"/>
    </row>
    <row r="13" spans="2:13" ht="12.75" customHeight="1" x14ac:dyDescent="0.25">
      <c r="D13" s="440"/>
      <c r="E13" s="440"/>
      <c r="F13" s="440"/>
      <c r="G13" s="440"/>
      <c r="H13" s="440"/>
      <c r="I13" s="440"/>
      <c r="J13" s="440"/>
      <c r="K13" s="440"/>
    </row>
    <row r="14" spans="2:13" ht="13.5" thickBot="1" x14ac:dyDescent="0.25"/>
    <row r="15" spans="2:13" ht="32.25" customHeight="1" thickTop="1" x14ac:dyDescent="0.2">
      <c r="E15" s="812" t="s">
        <v>335</v>
      </c>
      <c r="F15" s="812"/>
      <c r="G15" s="812"/>
      <c r="H15" s="812"/>
      <c r="I15" s="851">
        <v>2</v>
      </c>
      <c r="J15" s="852"/>
      <c r="K15" s="853"/>
    </row>
    <row r="16" spans="2:13" ht="13.5" customHeight="1" x14ac:dyDescent="0.2">
      <c r="E16" s="812"/>
      <c r="F16" s="812"/>
      <c r="G16" s="812"/>
      <c r="H16" s="812"/>
      <c r="I16" s="854"/>
      <c r="J16" s="855"/>
      <c r="K16" s="856"/>
    </row>
    <row r="17" spans="5:11" ht="13.5" customHeight="1" x14ac:dyDescent="0.2">
      <c r="E17" s="812"/>
      <c r="F17" s="812"/>
      <c r="G17" s="812"/>
      <c r="H17" s="812"/>
      <c r="I17" s="854"/>
      <c r="J17" s="855"/>
      <c r="K17" s="856"/>
    </row>
    <row r="18" spans="5:11" ht="13.5" thickBot="1" x14ac:dyDescent="0.25">
      <c r="E18" s="812"/>
      <c r="F18" s="812"/>
      <c r="G18" s="812"/>
      <c r="H18" s="812"/>
      <c r="I18" s="857"/>
      <c r="J18" s="858"/>
      <c r="K18" s="859"/>
    </row>
    <row r="19" spans="5:11" ht="13.5" thickTop="1" x14ac:dyDescent="0.2"/>
  </sheetData>
  <mergeCells count="3">
    <mergeCell ref="E15:H18"/>
    <mergeCell ref="I15:K18"/>
    <mergeCell ref="B6:L11"/>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C1:T31"/>
  <sheetViews>
    <sheetView showGridLines="0" zoomScale="110" zoomScaleNormal="110" workbookViewId="0">
      <selection activeCell="B3" sqref="A1:Y40"/>
    </sheetView>
  </sheetViews>
  <sheetFormatPr defaultRowHeight="12.75" x14ac:dyDescent="0.2"/>
  <cols>
    <col min="1" max="2" width="0.28515625" style="438" customWidth="1"/>
    <col min="3" max="6" width="9.140625" style="438"/>
    <col min="7" max="7" width="24.140625" style="438" customWidth="1"/>
    <col min="8" max="8" width="4.7109375" style="438" customWidth="1"/>
    <col min="9" max="9" width="48.28515625" style="438" customWidth="1"/>
    <col min="10" max="10" width="2.7109375" style="438" customWidth="1"/>
    <col min="11" max="11" width="15.85546875" style="438" customWidth="1"/>
    <col min="12" max="12" width="21.140625" style="438" customWidth="1"/>
    <col min="13" max="13" width="11.140625" style="438" customWidth="1"/>
    <col min="14" max="14" width="8.85546875" style="438" customWidth="1"/>
    <col min="15" max="16384" width="9.140625" style="438"/>
  </cols>
  <sheetData>
    <row r="1" spans="3:13" x14ac:dyDescent="0.2">
      <c r="I1" s="544"/>
    </row>
    <row r="5" spans="3:13" ht="5.25" customHeight="1" x14ac:dyDescent="0.35">
      <c r="C5" s="861" t="s">
        <v>525</v>
      </c>
      <c r="D5" s="861"/>
      <c r="E5" s="861"/>
      <c r="F5" s="861"/>
      <c r="G5" s="861"/>
      <c r="H5" s="861"/>
      <c r="I5" s="861"/>
      <c r="J5" s="861"/>
      <c r="K5" s="861"/>
      <c r="L5" s="569"/>
      <c r="M5" s="569"/>
    </row>
    <row r="6" spans="3:13" ht="6" customHeight="1" x14ac:dyDescent="0.35">
      <c r="C6" s="861"/>
      <c r="D6" s="861"/>
      <c r="E6" s="861"/>
      <c r="F6" s="861"/>
      <c r="G6" s="861"/>
      <c r="H6" s="861"/>
      <c r="I6" s="861"/>
      <c r="J6" s="861"/>
      <c r="K6" s="861"/>
      <c r="L6" s="569"/>
      <c r="M6" s="569"/>
    </row>
    <row r="7" spans="3:13" ht="6.75" customHeight="1" x14ac:dyDescent="0.35">
      <c r="C7" s="861"/>
      <c r="D7" s="861"/>
      <c r="E7" s="861"/>
      <c r="F7" s="861"/>
      <c r="G7" s="861"/>
      <c r="H7" s="861"/>
      <c r="I7" s="861"/>
      <c r="J7" s="861"/>
      <c r="K7" s="861"/>
      <c r="L7" s="569"/>
      <c r="M7" s="569"/>
    </row>
    <row r="8" spans="3:13" ht="15" customHeight="1" x14ac:dyDescent="0.35">
      <c r="C8" s="861"/>
      <c r="D8" s="861"/>
      <c r="E8" s="861"/>
      <c r="F8" s="861"/>
      <c r="G8" s="861"/>
      <c r="H8" s="861"/>
      <c r="I8" s="861"/>
      <c r="J8" s="861"/>
      <c r="K8" s="861"/>
      <c r="L8" s="569"/>
      <c r="M8" s="569"/>
    </row>
    <row r="9" spans="3:13" ht="12.75" customHeight="1" x14ac:dyDescent="0.35">
      <c r="C9" s="861"/>
      <c r="D9" s="861"/>
      <c r="E9" s="861"/>
      <c r="F9" s="861"/>
      <c r="G9" s="861"/>
      <c r="H9" s="861"/>
      <c r="I9" s="861"/>
      <c r="J9" s="861"/>
      <c r="K9" s="861"/>
      <c r="L9" s="569"/>
      <c r="M9" s="569"/>
    </row>
    <row r="10" spans="3:13" ht="12.75" customHeight="1" x14ac:dyDescent="0.35">
      <c r="C10" s="861"/>
      <c r="D10" s="861"/>
      <c r="E10" s="861"/>
      <c r="F10" s="861"/>
      <c r="G10" s="861"/>
      <c r="H10" s="861"/>
      <c r="I10" s="861"/>
      <c r="J10" s="861"/>
      <c r="K10" s="861"/>
      <c r="L10" s="569"/>
      <c r="M10" s="569"/>
    </row>
    <row r="11" spans="3:13" ht="21" customHeight="1" x14ac:dyDescent="0.35">
      <c r="C11" s="861"/>
      <c r="D11" s="861"/>
      <c r="E11" s="861"/>
      <c r="F11" s="861"/>
      <c r="G11" s="861"/>
      <c r="H11" s="861"/>
      <c r="I11" s="861"/>
      <c r="J11" s="861"/>
      <c r="K11" s="861"/>
      <c r="L11" s="569"/>
      <c r="M11" s="569"/>
    </row>
    <row r="12" spans="3:13" ht="45.75" customHeight="1" x14ac:dyDescent="0.35">
      <c r="C12" s="861"/>
      <c r="D12" s="861"/>
      <c r="E12" s="861"/>
      <c r="F12" s="861"/>
      <c r="G12" s="861"/>
      <c r="H12" s="861"/>
      <c r="I12" s="861"/>
      <c r="J12" s="861"/>
      <c r="K12" s="861"/>
      <c r="L12" s="569"/>
      <c r="M12" s="569"/>
    </row>
    <row r="13" spans="3:13" ht="8.25" customHeight="1" x14ac:dyDescent="0.2"/>
    <row r="14" spans="3:13" ht="6" hidden="1" customHeight="1" x14ac:dyDescent="0.2"/>
    <row r="15" spans="3:13" hidden="1" x14ac:dyDescent="0.2"/>
    <row r="16" spans="3:13" ht="6.75" customHeight="1" thickBot="1" x14ac:dyDescent="0.25"/>
    <row r="17" spans="4:20" ht="30.75" customHeight="1" thickTop="1" x14ac:dyDescent="0.2">
      <c r="E17" s="866" t="s">
        <v>341</v>
      </c>
      <c r="F17" s="866"/>
      <c r="G17" s="866"/>
      <c r="H17" s="539"/>
      <c r="I17" s="864">
        <v>240</v>
      </c>
      <c r="J17" s="450"/>
      <c r="K17" s="451"/>
      <c r="N17" s="452"/>
      <c r="P17" s="453"/>
      <c r="Q17" s="453"/>
      <c r="R17" s="453"/>
      <c r="S17" s="453"/>
      <c r="T17" s="453"/>
    </row>
    <row r="18" spans="4:20" ht="40.5" customHeight="1" thickBot="1" x14ac:dyDescent="0.25">
      <c r="D18" s="441"/>
      <c r="E18" s="866"/>
      <c r="F18" s="866"/>
      <c r="G18" s="866"/>
      <c r="H18" s="539"/>
      <c r="I18" s="865"/>
      <c r="Q18" s="453"/>
      <c r="R18" s="453"/>
      <c r="S18" s="453"/>
      <c r="T18" s="453"/>
    </row>
    <row r="19" spans="4:20" ht="13.5" hidden="1" thickTop="1" x14ac:dyDescent="0.2"/>
    <row r="20" spans="4:20" ht="34.5" customHeight="1" thickTop="1" thickBot="1" x14ac:dyDescent="0.25">
      <c r="G20" s="565"/>
      <c r="H20" s="868">
        <f>(320-I17)/320</f>
        <v>0.25</v>
      </c>
      <c r="I20" s="868"/>
      <c r="J20" s="868"/>
      <c r="K20" s="567"/>
      <c r="L20" s="567"/>
      <c r="M20" s="566"/>
    </row>
    <row r="21" spans="4:20" ht="13.5" hidden="1" thickBot="1" x14ac:dyDescent="0.25"/>
    <row r="22" spans="4:20" ht="30.75" customHeight="1" thickTop="1" x14ac:dyDescent="0.5">
      <c r="E22" s="867" t="s">
        <v>342</v>
      </c>
      <c r="F22" s="867"/>
      <c r="G22" s="867"/>
      <c r="H22" s="540"/>
      <c r="I22" s="862">
        <v>225</v>
      </c>
      <c r="J22" s="450"/>
    </row>
    <row r="23" spans="4:20" ht="40.5" customHeight="1" thickBot="1" x14ac:dyDescent="0.55000000000000004">
      <c r="E23" s="867"/>
      <c r="F23" s="867"/>
      <c r="G23" s="867"/>
      <c r="H23" s="540"/>
      <c r="I23" s="863"/>
      <c r="J23" s="450"/>
      <c r="K23" s="452"/>
      <c r="L23" s="454"/>
      <c r="M23" s="451"/>
      <c r="N23" s="451"/>
      <c r="O23" s="451"/>
      <c r="P23" s="451"/>
      <c r="Q23" s="451"/>
    </row>
    <row r="24" spans="4:20" ht="34.5" customHeight="1" thickTop="1" thickBot="1" x14ac:dyDescent="0.25">
      <c r="H24" s="868">
        <f>(320-I22)/320</f>
        <v>0.296875</v>
      </c>
      <c r="I24" s="868"/>
      <c r="J24" s="868"/>
    </row>
    <row r="25" spans="4:20" ht="12.75" customHeight="1" thickTop="1" x14ac:dyDescent="0.2">
      <c r="E25" s="867" t="s">
        <v>348</v>
      </c>
      <c r="F25" s="867"/>
      <c r="G25" s="867"/>
      <c r="I25" s="870">
        <v>10600</v>
      </c>
    </row>
    <row r="26" spans="4:20" ht="12.75" customHeight="1" x14ac:dyDescent="0.2">
      <c r="E26" s="867"/>
      <c r="F26" s="867"/>
      <c r="G26" s="867"/>
      <c r="I26" s="871"/>
    </row>
    <row r="27" spans="4:20" ht="19.5" customHeight="1" x14ac:dyDescent="0.2">
      <c r="E27" s="867"/>
      <c r="F27" s="867"/>
      <c r="G27" s="867"/>
      <c r="I27" s="871"/>
    </row>
    <row r="28" spans="4:20" ht="15" customHeight="1" x14ac:dyDescent="0.5">
      <c r="E28" s="867"/>
      <c r="F28" s="867"/>
      <c r="G28" s="867"/>
      <c r="I28" s="871"/>
      <c r="J28" s="873"/>
      <c r="M28" s="869"/>
      <c r="N28" s="869"/>
      <c r="O28" s="869"/>
      <c r="P28" s="869"/>
      <c r="Q28" s="545"/>
      <c r="R28" s="545"/>
    </row>
    <row r="29" spans="4:20" ht="13.5" customHeight="1" thickBot="1" x14ac:dyDescent="0.55000000000000004">
      <c r="E29" s="867"/>
      <c r="F29" s="867"/>
      <c r="G29" s="867"/>
      <c r="I29" s="872"/>
      <c r="J29" s="873"/>
      <c r="M29" s="869"/>
      <c r="N29" s="869"/>
      <c r="O29" s="869"/>
      <c r="P29" s="869"/>
      <c r="Q29" s="545"/>
      <c r="R29" s="545"/>
    </row>
    <row r="30" spans="4:20" ht="13.5" customHeight="1" thickTop="1" x14ac:dyDescent="0.2">
      <c r="F30" s="860">
        <f>SUM('Dynamic Population'!M14:M57)</f>
        <v>236500007.17482835</v>
      </c>
      <c r="G30" s="860"/>
      <c r="H30" s="860"/>
      <c r="I30" s="860"/>
      <c r="J30" s="860"/>
      <c r="K30" s="860"/>
      <c r="L30" s="860"/>
    </row>
    <row r="31" spans="4:20" ht="12.75" customHeight="1" x14ac:dyDescent="0.2">
      <c r="F31" s="860"/>
      <c r="G31" s="860"/>
      <c r="H31" s="860"/>
      <c r="I31" s="860"/>
      <c r="J31" s="860"/>
      <c r="K31" s="860"/>
      <c r="L31" s="860"/>
    </row>
  </sheetData>
  <mergeCells count="12">
    <mergeCell ref="M28:P29"/>
    <mergeCell ref="E25:G29"/>
    <mergeCell ref="I25:I29"/>
    <mergeCell ref="J28:J29"/>
    <mergeCell ref="H24:J24"/>
    <mergeCell ref="F30:L31"/>
    <mergeCell ref="C5:K12"/>
    <mergeCell ref="I22:I23"/>
    <mergeCell ref="I17:I18"/>
    <mergeCell ref="E17:G18"/>
    <mergeCell ref="E22:G23"/>
    <mergeCell ref="H20:J20"/>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C5:T23"/>
  <sheetViews>
    <sheetView showGridLines="0" zoomScale="125" zoomScaleNormal="125" workbookViewId="0">
      <selection activeCell="I17" sqref="I17:P18"/>
    </sheetView>
  </sheetViews>
  <sheetFormatPr defaultRowHeight="12.75" x14ac:dyDescent="0.2"/>
  <cols>
    <col min="1" max="1" width="3.42578125" style="438" customWidth="1"/>
    <col min="2" max="2" width="0.85546875" style="438" customWidth="1"/>
    <col min="3" max="3" width="9.140625" style="438"/>
    <col min="4" max="4" width="1" style="438" customWidth="1"/>
    <col min="5" max="5" width="12.7109375" style="438" customWidth="1"/>
    <col min="6" max="6" width="9.140625" style="438"/>
    <col min="7" max="7" width="13.5703125" style="438" customWidth="1"/>
    <col min="8" max="8" width="1.7109375" style="438" customWidth="1"/>
    <col min="9" max="9" width="24" style="438" bestFit="1" customWidth="1"/>
    <col min="10" max="10" width="3.42578125" style="438" customWidth="1"/>
    <col min="11" max="11" width="10.85546875" style="438" customWidth="1"/>
    <col min="12" max="12" width="2.28515625" style="438" customWidth="1"/>
    <col min="13" max="13" width="8.28515625" style="438" customWidth="1"/>
    <col min="14" max="14" width="2.85546875" style="438" customWidth="1"/>
    <col min="15" max="15" width="9.140625" style="438"/>
    <col min="16" max="16" width="14.42578125" style="438" customWidth="1"/>
    <col min="17" max="16384" width="9.140625" style="438"/>
  </cols>
  <sheetData>
    <row r="5" spans="3:16" ht="4.5" customHeight="1" x14ac:dyDescent="0.2">
      <c r="C5" s="861" t="s">
        <v>544</v>
      </c>
      <c r="D5" s="861"/>
      <c r="E5" s="861"/>
      <c r="F5" s="861"/>
      <c r="G5" s="861"/>
      <c r="H5" s="861"/>
      <c r="I5" s="861"/>
      <c r="J5" s="861"/>
      <c r="K5" s="861"/>
      <c r="L5" s="861"/>
      <c r="M5" s="861"/>
      <c r="N5" s="861"/>
      <c r="O5" s="861"/>
      <c r="P5" s="861"/>
    </row>
    <row r="6" spans="3:16" ht="15" hidden="1" customHeight="1" x14ac:dyDescent="0.2">
      <c r="C6" s="861"/>
      <c r="D6" s="861"/>
      <c r="E6" s="861"/>
      <c r="F6" s="861"/>
      <c r="G6" s="861"/>
      <c r="H6" s="861"/>
      <c r="I6" s="861"/>
      <c r="J6" s="861"/>
      <c r="K6" s="861"/>
      <c r="L6" s="861"/>
      <c r="M6" s="861"/>
      <c r="N6" s="861"/>
      <c r="O6" s="861"/>
      <c r="P6" s="861"/>
    </row>
    <row r="7" spans="3:16" ht="15" customHeight="1" x14ac:dyDescent="0.2">
      <c r="C7" s="861"/>
      <c r="D7" s="861"/>
      <c r="E7" s="861"/>
      <c r="F7" s="861"/>
      <c r="G7" s="861"/>
      <c r="H7" s="861"/>
      <c r="I7" s="861"/>
      <c r="J7" s="861"/>
      <c r="K7" s="861"/>
      <c r="L7" s="861"/>
      <c r="M7" s="861"/>
      <c r="N7" s="861"/>
      <c r="O7" s="861"/>
      <c r="P7" s="861"/>
    </row>
    <row r="8" spans="3:16" ht="15" customHeight="1" x14ac:dyDescent="0.2">
      <c r="C8" s="861"/>
      <c r="D8" s="861"/>
      <c r="E8" s="861"/>
      <c r="F8" s="861"/>
      <c r="G8" s="861"/>
      <c r="H8" s="861"/>
      <c r="I8" s="861"/>
      <c r="J8" s="861"/>
      <c r="K8" s="861"/>
      <c r="L8" s="861"/>
      <c r="M8" s="861"/>
      <c r="N8" s="861"/>
      <c r="O8" s="861"/>
      <c r="P8" s="861"/>
    </row>
    <row r="9" spans="3:16" ht="12.75" customHeight="1" x14ac:dyDescent="0.2">
      <c r="C9" s="861"/>
      <c r="D9" s="861"/>
      <c r="E9" s="861"/>
      <c r="F9" s="861"/>
      <c r="G9" s="861"/>
      <c r="H9" s="861"/>
      <c r="I9" s="861"/>
      <c r="J9" s="861"/>
      <c r="K9" s="861"/>
      <c r="L9" s="861"/>
      <c r="M9" s="861"/>
      <c r="N9" s="861"/>
      <c r="O9" s="861"/>
      <c r="P9" s="861"/>
    </row>
    <row r="10" spans="3:16" ht="12.75" customHeight="1" x14ac:dyDescent="0.2">
      <c r="C10" s="861"/>
      <c r="D10" s="861"/>
      <c r="E10" s="861"/>
      <c r="F10" s="861"/>
      <c r="G10" s="861"/>
      <c r="H10" s="861"/>
      <c r="I10" s="861"/>
      <c r="J10" s="861"/>
      <c r="K10" s="861"/>
      <c r="L10" s="861"/>
      <c r="M10" s="861"/>
      <c r="N10" s="861"/>
      <c r="O10" s="861"/>
      <c r="P10" s="861"/>
    </row>
    <row r="11" spans="3:16" ht="36" customHeight="1" x14ac:dyDescent="0.2">
      <c r="C11" s="861"/>
      <c r="D11" s="861"/>
      <c r="E11" s="861"/>
      <c r="F11" s="861"/>
      <c r="G11" s="861"/>
      <c r="H11" s="861"/>
      <c r="I11" s="861"/>
      <c r="J11" s="861"/>
      <c r="K11" s="861"/>
      <c r="L11" s="861"/>
      <c r="M11" s="861"/>
      <c r="N11" s="861"/>
      <c r="O11" s="861"/>
      <c r="P11" s="861"/>
    </row>
    <row r="12" spans="3:16" ht="27" customHeight="1" x14ac:dyDescent="0.2">
      <c r="C12" s="861"/>
      <c r="D12" s="861"/>
      <c r="E12" s="861"/>
      <c r="F12" s="861"/>
      <c r="G12" s="861"/>
      <c r="H12" s="861"/>
      <c r="I12" s="861"/>
      <c r="J12" s="861"/>
      <c r="K12" s="861"/>
      <c r="L12" s="861"/>
      <c r="M12" s="861"/>
      <c r="N12" s="861"/>
      <c r="O12" s="861"/>
      <c r="P12" s="861"/>
    </row>
    <row r="16" spans="3:16" ht="13.5" thickBot="1" x14ac:dyDescent="0.25"/>
    <row r="17" spans="4:20" ht="30.75" customHeight="1" thickTop="1" x14ac:dyDescent="0.2">
      <c r="E17" s="866" t="s">
        <v>349</v>
      </c>
      <c r="F17" s="866"/>
      <c r="G17" s="866"/>
      <c r="H17" s="539"/>
      <c r="I17" s="874">
        <v>969000000</v>
      </c>
      <c r="J17" s="875"/>
      <c r="K17" s="875"/>
      <c r="L17" s="875"/>
      <c r="M17" s="875"/>
      <c r="N17" s="875"/>
      <c r="O17" s="875"/>
      <c r="P17" s="875"/>
      <c r="Q17" s="453"/>
      <c r="R17" s="453"/>
      <c r="S17" s="453"/>
      <c r="T17" s="453"/>
    </row>
    <row r="18" spans="4:20" ht="40.5" customHeight="1" thickBot="1" x14ac:dyDescent="0.25">
      <c r="D18" s="441"/>
      <c r="E18" s="866"/>
      <c r="F18" s="866"/>
      <c r="G18" s="866"/>
      <c r="H18" s="539"/>
      <c r="I18" s="876"/>
      <c r="J18" s="877"/>
      <c r="K18" s="877"/>
      <c r="L18" s="877"/>
      <c r="M18" s="877"/>
      <c r="N18" s="877"/>
      <c r="O18" s="877"/>
      <c r="P18" s="877"/>
      <c r="Q18" s="453"/>
      <c r="R18" s="453"/>
      <c r="S18" s="453"/>
      <c r="T18" s="453"/>
    </row>
    <row r="19" spans="4:20" ht="13.5" thickTop="1" x14ac:dyDescent="0.2"/>
    <row r="22" spans="4:20" ht="30.75" customHeight="1" x14ac:dyDescent="0.2">
      <c r="F22" s="867"/>
      <c r="G22" s="867"/>
      <c r="H22" s="867"/>
      <c r="I22" s="867"/>
    </row>
    <row r="23" spans="4:20" ht="40.5" customHeight="1" x14ac:dyDescent="0.2">
      <c r="F23" s="867"/>
      <c r="G23" s="867"/>
      <c r="H23" s="867"/>
      <c r="I23" s="867"/>
    </row>
  </sheetData>
  <mergeCells count="5">
    <mergeCell ref="F22:H23"/>
    <mergeCell ref="I22:I23"/>
    <mergeCell ref="I17:P18"/>
    <mergeCell ref="E17:G18"/>
    <mergeCell ref="C5:P12"/>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6:N17"/>
  <sheetViews>
    <sheetView showGridLines="0" topLeftCell="A8" zoomScale="125" zoomScaleNormal="125" workbookViewId="0">
      <selection activeCell="K16" sqref="K16"/>
    </sheetView>
  </sheetViews>
  <sheetFormatPr defaultRowHeight="12.75" x14ac:dyDescent="0.2"/>
  <cols>
    <col min="1" max="2" width="9.140625" style="438"/>
    <col min="3" max="3" width="7.140625" style="438" customWidth="1"/>
    <col min="4" max="4" width="10.28515625" style="438" hidden="1" customWidth="1"/>
    <col min="5" max="7" width="9.140625" style="438"/>
    <col min="8" max="8" width="9.42578125" style="438" customWidth="1"/>
    <col min="9" max="9" width="17.42578125" style="438" customWidth="1"/>
    <col min="10" max="10" width="25" style="438" bestFit="1" customWidth="1"/>
    <col min="11" max="11" width="9.140625" style="438"/>
    <col min="12" max="12" width="5.28515625" style="438" customWidth="1"/>
    <col min="13" max="13" width="4.42578125" style="438" customWidth="1"/>
    <col min="14" max="14" width="2.140625" style="438" customWidth="1"/>
    <col min="15" max="16384" width="9.140625" style="438"/>
  </cols>
  <sheetData>
    <row r="6" spans="2:14" ht="15" customHeight="1" x14ac:dyDescent="0.2">
      <c r="B6" s="861" t="s">
        <v>376</v>
      </c>
      <c r="C6" s="861"/>
      <c r="D6" s="861"/>
      <c r="E6" s="861"/>
      <c r="F6" s="861"/>
      <c r="G6" s="861"/>
      <c r="H6" s="861"/>
      <c r="I6" s="861"/>
      <c r="J6" s="861"/>
      <c r="K6" s="861"/>
      <c r="L6" s="568"/>
      <c r="M6" s="568"/>
      <c r="N6" s="568"/>
    </row>
    <row r="7" spans="2:14" ht="15" customHeight="1" x14ac:dyDescent="0.2">
      <c r="B7" s="861"/>
      <c r="C7" s="861"/>
      <c r="D7" s="861"/>
      <c r="E7" s="861"/>
      <c r="F7" s="861"/>
      <c r="G7" s="861"/>
      <c r="H7" s="861"/>
      <c r="I7" s="861"/>
      <c r="J7" s="861"/>
      <c r="K7" s="861"/>
      <c r="L7" s="568"/>
      <c r="M7" s="568"/>
      <c r="N7" s="568"/>
    </row>
    <row r="8" spans="2:14" ht="15" customHeight="1" x14ac:dyDescent="0.2">
      <c r="B8" s="861"/>
      <c r="C8" s="861"/>
      <c r="D8" s="861"/>
      <c r="E8" s="861"/>
      <c r="F8" s="861"/>
      <c r="G8" s="861"/>
      <c r="H8" s="861"/>
      <c r="I8" s="861"/>
      <c r="J8" s="861"/>
      <c r="K8" s="861"/>
      <c r="L8" s="568"/>
      <c r="M8" s="568"/>
      <c r="N8" s="568"/>
    </row>
    <row r="9" spans="2:14" ht="12.75" customHeight="1" x14ac:dyDescent="0.2">
      <c r="B9" s="861"/>
      <c r="C9" s="861"/>
      <c r="D9" s="861"/>
      <c r="E9" s="861"/>
      <c r="F9" s="861"/>
      <c r="G9" s="861"/>
      <c r="H9" s="861"/>
      <c r="I9" s="861"/>
      <c r="J9" s="861"/>
      <c r="K9" s="861"/>
      <c r="L9" s="568"/>
      <c r="M9" s="568"/>
      <c r="N9" s="568"/>
    </row>
    <row r="10" spans="2:14" ht="12.75" customHeight="1" x14ac:dyDescent="0.2">
      <c r="B10" s="861"/>
      <c r="C10" s="861"/>
      <c r="D10" s="861"/>
      <c r="E10" s="861"/>
      <c r="F10" s="861"/>
      <c r="G10" s="861"/>
      <c r="H10" s="861"/>
      <c r="I10" s="861"/>
      <c r="J10" s="861"/>
      <c r="K10" s="861"/>
      <c r="L10" s="568"/>
      <c r="M10" s="568"/>
      <c r="N10" s="568"/>
    </row>
    <row r="11" spans="2:14" ht="12.75" customHeight="1" x14ac:dyDescent="0.2">
      <c r="B11" s="861"/>
      <c r="C11" s="861"/>
      <c r="D11" s="861"/>
      <c r="E11" s="861"/>
      <c r="F11" s="861"/>
      <c r="G11" s="861"/>
      <c r="H11" s="861"/>
      <c r="I11" s="861"/>
      <c r="J11" s="861"/>
      <c r="K11" s="861"/>
      <c r="L11" s="568"/>
      <c r="M11" s="568"/>
      <c r="N11" s="568"/>
    </row>
    <row r="12" spans="2:14" ht="12.75" customHeight="1" x14ac:dyDescent="0.2">
      <c r="B12" s="861"/>
      <c r="C12" s="861"/>
      <c r="D12" s="861"/>
      <c r="E12" s="861"/>
      <c r="F12" s="861"/>
      <c r="G12" s="861"/>
      <c r="H12" s="861"/>
      <c r="I12" s="861"/>
      <c r="J12" s="861"/>
      <c r="K12" s="861"/>
      <c r="L12" s="568"/>
      <c r="M12" s="568"/>
      <c r="N12" s="568"/>
    </row>
    <row r="13" spans="2:14" ht="30.75" customHeight="1" x14ac:dyDescent="0.2">
      <c r="B13" s="861"/>
      <c r="C13" s="861"/>
      <c r="D13" s="861"/>
      <c r="E13" s="861"/>
      <c r="F13" s="861"/>
      <c r="G13" s="861"/>
      <c r="H13" s="861"/>
      <c r="I13" s="861"/>
      <c r="J13" s="861"/>
      <c r="K13" s="861"/>
      <c r="L13" s="568"/>
      <c r="M13" s="568"/>
      <c r="N13" s="568"/>
    </row>
    <row r="14" spans="2:14" ht="12.75" customHeight="1" x14ac:dyDescent="0.2">
      <c r="I14" s="439"/>
      <c r="J14" s="439"/>
    </row>
    <row r="15" spans="2:14" ht="15" customHeight="1" thickBot="1" x14ac:dyDescent="0.55000000000000004">
      <c r="D15" s="572"/>
      <c r="E15" s="572"/>
      <c r="F15" s="572"/>
      <c r="G15" s="572"/>
      <c r="H15" s="572"/>
      <c r="I15" s="572"/>
      <c r="J15" s="439"/>
    </row>
    <row r="16" spans="2:14" ht="75.75" thickTop="1" thickBot="1" x14ac:dyDescent="1">
      <c r="D16" s="572"/>
      <c r="E16" s="572"/>
      <c r="F16" s="878" t="s">
        <v>350</v>
      </c>
      <c r="G16" s="878"/>
      <c r="H16" s="878"/>
      <c r="I16" s="879"/>
      <c r="J16" s="751">
        <v>4.4999999999999998E-2</v>
      </c>
    </row>
    <row r="17" spans="7:10" ht="13.5" thickTop="1" x14ac:dyDescent="0.2">
      <c r="G17" s="439"/>
      <c r="H17" s="439"/>
      <c r="I17" s="439"/>
      <c r="J17" s="439"/>
    </row>
  </sheetData>
  <mergeCells count="2">
    <mergeCell ref="B6:K13"/>
    <mergeCell ref="F16:I16"/>
  </mergeCells>
  <pageMargins left="0.7" right="0.7" top="0.75" bottom="0.75" header="0.3" footer="0.3"/>
  <pageSetup paperSize="17" fitToHeight="0" orientation="landscape" r:id="rId1"/>
  <headerFooter>
    <oddFooter xml:space="preserve">&amp;L&amp;"-,Bold"&amp;9This is a preliminary draft document. It is intended for discussion purposes only.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CX63"/>
  <sheetViews>
    <sheetView view="pageBreakPreview" zoomScaleNormal="100" zoomScaleSheetLayoutView="100" workbookViewId="0">
      <selection activeCell="BR8" sqref="BR8"/>
    </sheetView>
  </sheetViews>
  <sheetFormatPr defaultColWidth="5.5703125" defaultRowHeight="15" x14ac:dyDescent="0.25"/>
  <cols>
    <col min="1" max="1" width="2.28515625" customWidth="1"/>
    <col min="2" max="2" width="47" bestFit="1" customWidth="1"/>
    <col min="3" max="3" width="11.42578125" customWidth="1"/>
    <col min="4" max="4" width="15.28515625" bestFit="1" customWidth="1"/>
    <col min="5" max="80" width="12.5703125" bestFit="1" customWidth="1"/>
    <col min="81" max="101" width="7.42578125" bestFit="1" customWidth="1"/>
    <col min="102" max="102" width="8.42578125" bestFit="1" customWidth="1"/>
  </cols>
  <sheetData>
    <row r="1" spans="1:102" s="481" customFormat="1" ht="21" x14ac:dyDescent="0.35">
      <c r="A1" s="481" t="s">
        <v>385</v>
      </c>
    </row>
    <row r="2" spans="1:102" s="481" customFormat="1" ht="21" x14ac:dyDescent="0.35">
      <c r="A2" s="481" t="s">
        <v>387</v>
      </c>
    </row>
    <row r="3" spans="1:102" ht="6.75" customHeight="1" thickBot="1" x14ac:dyDescent="0.3">
      <c r="A3" s="591"/>
      <c r="B3" s="591"/>
      <c r="C3" s="591"/>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c r="AY3" s="591"/>
      <c r="AZ3" s="591"/>
      <c r="BA3" s="591"/>
    </row>
    <row r="4" spans="1:102" s="472" customFormat="1" x14ac:dyDescent="0.25">
      <c r="D4" s="473" t="s">
        <v>170</v>
      </c>
      <c r="E4" s="473" t="s">
        <v>171</v>
      </c>
      <c r="F4" s="473" t="s">
        <v>172</v>
      </c>
      <c r="G4" s="473" t="s">
        <v>173</v>
      </c>
      <c r="H4" s="473" t="s">
        <v>174</v>
      </c>
      <c r="I4" s="473" t="s">
        <v>175</v>
      </c>
      <c r="J4" s="473" t="s">
        <v>176</v>
      </c>
      <c r="K4" s="473" t="s">
        <v>177</v>
      </c>
      <c r="L4" s="473" t="s">
        <v>178</v>
      </c>
      <c r="M4" s="473" t="s">
        <v>179</v>
      </c>
      <c r="N4" s="473" t="s">
        <v>180</v>
      </c>
      <c r="O4" s="473" t="s">
        <v>181</v>
      </c>
      <c r="P4" s="473" t="s">
        <v>182</v>
      </c>
      <c r="Q4" s="473" t="s">
        <v>183</v>
      </c>
      <c r="R4" s="473" t="s">
        <v>184</v>
      </c>
      <c r="S4" s="473" t="s">
        <v>185</v>
      </c>
      <c r="T4" s="473" t="s">
        <v>186</v>
      </c>
      <c r="U4" s="473" t="s">
        <v>187</v>
      </c>
      <c r="V4" s="473" t="s">
        <v>188</v>
      </c>
      <c r="W4" s="473" t="s">
        <v>189</v>
      </c>
      <c r="X4" s="473" t="s">
        <v>190</v>
      </c>
      <c r="Y4" s="473" t="s">
        <v>191</v>
      </c>
      <c r="Z4" s="473" t="s">
        <v>192</v>
      </c>
      <c r="AA4" s="473" t="s">
        <v>193</v>
      </c>
      <c r="AB4" s="473" t="s">
        <v>194</v>
      </c>
      <c r="AC4" s="473" t="s">
        <v>195</v>
      </c>
      <c r="AD4" s="473" t="s">
        <v>196</v>
      </c>
      <c r="AE4" s="473" t="s">
        <v>197</v>
      </c>
      <c r="AF4" s="473" t="s">
        <v>198</v>
      </c>
      <c r="AG4" s="473" t="s">
        <v>199</v>
      </c>
      <c r="AH4" s="473" t="s">
        <v>200</v>
      </c>
      <c r="AI4" s="473" t="s">
        <v>201</v>
      </c>
      <c r="AJ4" s="473" t="s">
        <v>202</v>
      </c>
      <c r="AK4" s="473" t="s">
        <v>203</v>
      </c>
      <c r="AL4" s="473" t="s">
        <v>204</v>
      </c>
      <c r="AM4" s="473" t="s">
        <v>205</v>
      </c>
      <c r="AN4" s="473" t="s">
        <v>206</v>
      </c>
      <c r="AO4" s="473" t="s">
        <v>207</v>
      </c>
      <c r="AP4" s="473" t="s">
        <v>208</v>
      </c>
      <c r="AQ4" s="473" t="s">
        <v>209</v>
      </c>
      <c r="AR4" s="473" t="s">
        <v>210</v>
      </c>
      <c r="AS4" s="473" t="s">
        <v>211</v>
      </c>
      <c r="AT4" s="473" t="s">
        <v>212</v>
      </c>
      <c r="AU4" s="473" t="s">
        <v>213</v>
      </c>
      <c r="AV4" s="473" t="s">
        <v>214</v>
      </c>
      <c r="AW4" s="473" t="s">
        <v>215</v>
      </c>
      <c r="AX4" s="473" t="s">
        <v>216</v>
      </c>
      <c r="AY4" s="473" t="s">
        <v>217</v>
      </c>
      <c r="AZ4" s="473" t="s">
        <v>218</v>
      </c>
      <c r="BA4" s="473" t="s">
        <v>219</v>
      </c>
      <c r="BB4" s="612" t="s">
        <v>225</v>
      </c>
      <c r="BC4" s="612" t="s">
        <v>226</v>
      </c>
      <c r="BD4" s="612" t="s">
        <v>227</v>
      </c>
      <c r="BE4" s="612" t="s">
        <v>228</v>
      </c>
      <c r="BF4" s="612" t="s">
        <v>229</v>
      </c>
      <c r="BG4" s="612" t="s">
        <v>230</v>
      </c>
      <c r="BH4" s="612" t="s">
        <v>231</v>
      </c>
      <c r="BI4" s="612" t="s">
        <v>232</v>
      </c>
      <c r="BJ4" s="612" t="s">
        <v>233</v>
      </c>
      <c r="BK4" s="612" t="s">
        <v>234</v>
      </c>
      <c r="BL4" s="612" t="s">
        <v>235</v>
      </c>
      <c r="BM4" s="612" t="s">
        <v>236</v>
      </c>
      <c r="BN4" s="612" t="s">
        <v>237</v>
      </c>
      <c r="BO4" s="612" t="s">
        <v>238</v>
      </c>
      <c r="BP4" s="612" t="s">
        <v>239</v>
      </c>
      <c r="BQ4" s="612" t="s">
        <v>240</v>
      </c>
      <c r="BR4" s="473"/>
      <c r="BS4" s="473"/>
      <c r="BT4" s="473"/>
      <c r="BU4" s="473"/>
      <c r="BV4" s="473"/>
      <c r="BW4" s="473"/>
      <c r="BX4" s="473"/>
      <c r="BY4" s="473"/>
      <c r="BZ4" s="473"/>
      <c r="CA4" s="473"/>
      <c r="CB4" s="473"/>
      <c r="CC4" s="473"/>
      <c r="CD4" s="473"/>
      <c r="CE4" s="473"/>
      <c r="CF4" s="473"/>
      <c r="CG4" s="473"/>
      <c r="CH4" s="473"/>
      <c r="CI4" s="473"/>
      <c r="CJ4" s="473"/>
      <c r="CK4" s="473"/>
      <c r="CL4" s="473"/>
      <c r="CM4" s="473"/>
      <c r="CN4" s="473"/>
      <c r="CO4" s="473"/>
      <c r="CP4" s="473"/>
      <c r="CQ4" s="473"/>
      <c r="CR4" s="473"/>
      <c r="CS4" s="473"/>
      <c r="CT4" s="473"/>
      <c r="CU4" s="473"/>
      <c r="CV4" s="473"/>
      <c r="CW4" s="473"/>
      <c r="CX4" s="473"/>
    </row>
    <row r="5" spans="1:102" x14ac:dyDescent="0.25">
      <c r="A5" s="590"/>
      <c r="B5" s="590"/>
      <c r="C5" s="590"/>
      <c r="D5" s="590">
        <v>2014</v>
      </c>
      <c r="E5" s="590">
        <f>D5+1</f>
        <v>2015</v>
      </c>
      <c r="F5" s="590">
        <f t="shared" ref="F5:BA5" si="0">E5+1</f>
        <v>2016</v>
      </c>
      <c r="G5" s="590">
        <f t="shared" si="0"/>
        <v>2017</v>
      </c>
      <c r="H5" s="590">
        <f t="shared" si="0"/>
        <v>2018</v>
      </c>
      <c r="I5" s="590">
        <f t="shared" si="0"/>
        <v>2019</v>
      </c>
      <c r="J5" s="590">
        <f t="shared" si="0"/>
        <v>2020</v>
      </c>
      <c r="K5" s="590">
        <f t="shared" si="0"/>
        <v>2021</v>
      </c>
      <c r="L5" s="590">
        <f t="shared" si="0"/>
        <v>2022</v>
      </c>
      <c r="M5" s="590">
        <f t="shared" si="0"/>
        <v>2023</v>
      </c>
      <c r="N5" s="590">
        <f t="shared" si="0"/>
        <v>2024</v>
      </c>
      <c r="O5" s="590">
        <f t="shared" si="0"/>
        <v>2025</v>
      </c>
      <c r="P5" s="590">
        <f t="shared" si="0"/>
        <v>2026</v>
      </c>
      <c r="Q5" s="590">
        <f t="shared" si="0"/>
        <v>2027</v>
      </c>
      <c r="R5" s="590">
        <f t="shared" si="0"/>
        <v>2028</v>
      </c>
      <c r="S5" s="590">
        <f t="shared" si="0"/>
        <v>2029</v>
      </c>
      <c r="T5" s="590">
        <f t="shared" si="0"/>
        <v>2030</v>
      </c>
      <c r="U5" s="590">
        <f t="shared" si="0"/>
        <v>2031</v>
      </c>
      <c r="V5" s="590">
        <f t="shared" si="0"/>
        <v>2032</v>
      </c>
      <c r="W5" s="590">
        <f t="shared" si="0"/>
        <v>2033</v>
      </c>
      <c r="X5" s="590">
        <f t="shared" si="0"/>
        <v>2034</v>
      </c>
      <c r="Y5" s="590">
        <f t="shared" si="0"/>
        <v>2035</v>
      </c>
      <c r="Z5" s="590">
        <f t="shared" si="0"/>
        <v>2036</v>
      </c>
      <c r="AA5" s="590">
        <f t="shared" si="0"/>
        <v>2037</v>
      </c>
      <c r="AB5" s="590">
        <f t="shared" si="0"/>
        <v>2038</v>
      </c>
      <c r="AC5" s="590">
        <f t="shared" si="0"/>
        <v>2039</v>
      </c>
      <c r="AD5" s="590">
        <f t="shared" si="0"/>
        <v>2040</v>
      </c>
      <c r="AE5" s="590">
        <f t="shared" si="0"/>
        <v>2041</v>
      </c>
      <c r="AF5" s="590">
        <f t="shared" si="0"/>
        <v>2042</v>
      </c>
      <c r="AG5" s="590">
        <f t="shared" si="0"/>
        <v>2043</v>
      </c>
      <c r="AH5" s="590">
        <f t="shared" si="0"/>
        <v>2044</v>
      </c>
      <c r="AI5" s="590">
        <f t="shared" si="0"/>
        <v>2045</v>
      </c>
      <c r="AJ5" s="590">
        <f t="shared" si="0"/>
        <v>2046</v>
      </c>
      <c r="AK5" s="590">
        <f t="shared" si="0"/>
        <v>2047</v>
      </c>
      <c r="AL5" s="590">
        <f t="shared" si="0"/>
        <v>2048</v>
      </c>
      <c r="AM5" s="590">
        <f t="shared" si="0"/>
        <v>2049</v>
      </c>
      <c r="AN5" s="590">
        <f t="shared" si="0"/>
        <v>2050</v>
      </c>
      <c r="AO5" s="590">
        <f t="shared" si="0"/>
        <v>2051</v>
      </c>
      <c r="AP5" s="590">
        <f t="shared" si="0"/>
        <v>2052</v>
      </c>
      <c r="AQ5" s="590">
        <f t="shared" si="0"/>
        <v>2053</v>
      </c>
      <c r="AR5" s="590">
        <f t="shared" si="0"/>
        <v>2054</v>
      </c>
      <c r="AS5" s="590">
        <f t="shared" si="0"/>
        <v>2055</v>
      </c>
      <c r="AT5" s="590">
        <f t="shared" si="0"/>
        <v>2056</v>
      </c>
      <c r="AU5" s="590">
        <f t="shared" si="0"/>
        <v>2057</v>
      </c>
      <c r="AV5" s="590">
        <f t="shared" si="0"/>
        <v>2058</v>
      </c>
      <c r="AW5" s="590">
        <f t="shared" si="0"/>
        <v>2059</v>
      </c>
      <c r="AX5" s="590">
        <f t="shared" si="0"/>
        <v>2060</v>
      </c>
      <c r="AY5" s="590">
        <f t="shared" si="0"/>
        <v>2061</v>
      </c>
      <c r="AZ5" s="590">
        <f t="shared" si="0"/>
        <v>2062</v>
      </c>
      <c r="BA5" s="590">
        <f t="shared" si="0"/>
        <v>2063</v>
      </c>
      <c r="BB5" s="590">
        <f t="shared" ref="BB5" si="1">BA5+1</f>
        <v>2064</v>
      </c>
      <c r="BC5" s="590">
        <f t="shared" ref="BC5" si="2">BB5+1</f>
        <v>2065</v>
      </c>
      <c r="BD5" s="590">
        <f t="shared" ref="BD5" si="3">BC5+1</f>
        <v>2066</v>
      </c>
      <c r="BE5" s="590">
        <f t="shared" ref="BE5" si="4">BD5+1</f>
        <v>2067</v>
      </c>
      <c r="BF5" s="590">
        <f t="shared" ref="BF5" si="5">BE5+1</f>
        <v>2068</v>
      </c>
      <c r="BG5" s="590">
        <f t="shared" ref="BG5" si="6">BF5+1</f>
        <v>2069</v>
      </c>
      <c r="BH5" s="590">
        <f t="shared" ref="BH5" si="7">BG5+1</f>
        <v>2070</v>
      </c>
      <c r="BI5" s="590">
        <f t="shared" ref="BI5" si="8">BH5+1</f>
        <v>2071</v>
      </c>
      <c r="BJ5" s="590">
        <f t="shared" ref="BJ5" si="9">BI5+1</f>
        <v>2072</v>
      </c>
      <c r="BK5" s="590">
        <f t="shared" ref="BK5" si="10">BJ5+1</f>
        <v>2073</v>
      </c>
      <c r="BL5" s="590">
        <f t="shared" ref="BL5" si="11">BK5+1</f>
        <v>2074</v>
      </c>
      <c r="BM5" s="590">
        <f t="shared" ref="BM5" si="12">BL5+1</f>
        <v>2075</v>
      </c>
      <c r="BN5" s="590">
        <f t="shared" ref="BN5" si="13">BM5+1</f>
        <v>2076</v>
      </c>
      <c r="BO5" s="590">
        <f t="shared" ref="BO5" si="14">BN5+1</f>
        <v>2077</v>
      </c>
      <c r="BP5" s="590">
        <f t="shared" ref="BP5" si="15">BO5+1</f>
        <v>2078</v>
      </c>
      <c r="BQ5" s="590">
        <f t="shared" ref="BQ5" si="16">BP5+1</f>
        <v>2079</v>
      </c>
      <c r="BR5" s="590">
        <f t="shared" ref="BR5" si="17">BQ5+1</f>
        <v>2080</v>
      </c>
      <c r="BS5" s="590">
        <f t="shared" ref="BS5" si="18">BR5+1</f>
        <v>2081</v>
      </c>
      <c r="BT5" s="590">
        <f t="shared" ref="BT5" si="19">BS5+1</f>
        <v>2082</v>
      </c>
      <c r="BU5" s="590">
        <f t="shared" ref="BU5" si="20">BT5+1</f>
        <v>2083</v>
      </c>
      <c r="BV5" s="590">
        <f t="shared" ref="BV5" si="21">BU5+1</f>
        <v>2084</v>
      </c>
      <c r="BW5" s="590">
        <f t="shared" ref="BW5" si="22">BV5+1</f>
        <v>2085</v>
      </c>
      <c r="BX5" s="590">
        <f t="shared" ref="BX5" si="23">BW5+1</f>
        <v>2086</v>
      </c>
      <c r="BY5" s="590">
        <f t="shared" ref="BY5" si="24">BX5+1</f>
        <v>2087</v>
      </c>
      <c r="BZ5" s="590">
        <f t="shared" ref="BZ5" si="25">BY5+1</f>
        <v>2088</v>
      </c>
      <c r="CA5" s="590">
        <f t="shared" ref="CA5" si="26">BZ5+1</f>
        <v>2089</v>
      </c>
      <c r="CB5" s="590">
        <f t="shared" ref="CB5" si="27">CA5+1</f>
        <v>2090</v>
      </c>
    </row>
    <row r="6" spans="1:102" x14ac:dyDescent="0.25">
      <c r="A6" s="472" t="s">
        <v>222</v>
      </c>
      <c r="BB6" s="609"/>
      <c r="BC6" s="609"/>
      <c r="BD6" s="609"/>
      <c r="BE6" s="609"/>
      <c r="BF6" s="609"/>
      <c r="BG6" s="609"/>
      <c r="BH6" s="609"/>
      <c r="BI6" s="609"/>
      <c r="BJ6" s="609"/>
      <c r="BK6" s="609"/>
      <c r="BL6" s="609"/>
      <c r="BM6" s="609"/>
      <c r="BN6" s="609"/>
      <c r="BO6" s="609"/>
      <c r="BP6" s="609"/>
      <c r="BQ6" s="609"/>
    </row>
    <row r="7" spans="1:102" x14ac:dyDescent="0.25">
      <c r="B7" t="s">
        <v>66</v>
      </c>
      <c r="D7" s="414">
        <f>VLOOKUP(D$5,'Dynamic Population'!$A$14:$AA$97,3,FALSE)</f>
        <v>155615.26406250001</v>
      </c>
      <c r="E7" s="414">
        <f>VLOOKUP(E$5,'Dynamic Population'!$A$14:$AA$97,3,FALSE)</f>
        <v>160050.29908828126</v>
      </c>
      <c r="F7" s="414">
        <f>VLOOKUP(F$5,'Dynamic Population'!$A$14:$AA$97,3,FALSE)</f>
        <v>164611.73261229726</v>
      </c>
      <c r="G7" s="414">
        <f>VLOOKUP(G$5,'Dynamic Population'!$A$14:$AA$97,3,FALSE)</f>
        <v>169303.16699174771</v>
      </c>
      <c r="H7" s="414">
        <f>VLOOKUP(H$5,'Dynamic Population'!$A$14:$AA$97,3,FALSE)</f>
        <v>174128.30725101251</v>
      </c>
      <c r="I7" s="414">
        <f>VLOOKUP(I$5,'Dynamic Population'!$A$14:$AA$97,3,FALSE)</f>
        <v>179090.96400766636</v>
      </c>
      <c r="J7" s="414">
        <f>VLOOKUP(J$5,'Dynamic Population'!$A$14:$AA$97,3,FALSE)</f>
        <v>184195.05648188485</v>
      </c>
      <c r="K7" s="414">
        <f>VLOOKUP(K$5,'Dynamic Population'!$A$14:$AA$97,3,FALSE)</f>
        <v>189444.61559161855</v>
      </c>
      <c r="L7" s="414">
        <f>VLOOKUP(L$5,'Dynamic Population'!$A$14:$AA$97,3,FALSE)</f>
        <v>194843.78713597968</v>
      </c>
      <c r="M7" s="414">
        <f>VLOOKUP(M$5,'Dynamic Population'!$A$14:$AA$97,3,FALSE)</f>
        <v>200396.83506935509</v>
      </c>
      <c r="N7" s="414">
        <f>VLOOKUP(N$5,'Dynamic Population'!$A$14:$AA$97,3,FALSE)</f>
        <v>206108.1448688317</v>
      </c>
      <c r="O7" s="414">
        <f>VLOOKUP(O$5,'Dynamic Population'!$A$14:$AA$97,3,FALSE)</f>
        <v>211982.22699759339</v>
      </c>
      <c r="P7" s="414">
        <f>VLOOKUP(P$5,'Dynamic Population'!$A$14:$AA$97,3,FALSE)</f>
        <v>218023.7204670248</v>
      </c>
      <c r="Q7" s="414">
        <f>VLOOKUP(Q$5,'Dynamic Population'!$A$14:$AA$97,3,FALSE)</f>
        <v>224237.39650033502</v>
      </c>
      <c r="R7" s="414">
        <f>VLOOKUP(R$5,'Dynamic Population'!$A$14:$AA$97,3,FALSE)</f>
        <v>230628.16230059456</v>
      </c>
      <c r="S7" s="414">
        <f>VLOOKUP(S$5,'Dynamic Population'!$A$14:$AA$97,3,FALSE)</f>
        <v>237201.06492616149</v>
      </c>
      <c r="T7" s="414">
        <f>VLOOKUP(T$5,'Dynamic Population'!$A$14:$AA$97,3,FALSE)</f>
        <v>243961.2952765571</v>
      </c>
      <c r="U7" s="414">
        <f>VLOOKUP(U$5,'Dynamic Population'!$A$14:$AA$97,3,FALSE)</f>
        <v>250914.19219193896</v>
      </c>
      <c r="V7" s="414">
        <f>VLOOKUP(V$5,'Dynamic Population'!$A$14:$AA$97,3,FALSE)</f>
        <v>258065.24666940921</v>
      </c>
      <c r="W7" s="414">
        <f>VLOOKUP(W$5,'Dynamic Population'!$A$14:$AA$97,3,FALSE)</f>
        <v>265420.10619948735</v>
      </c>
      <c r="X7" s="414">
        <f>VLOOKUP(X$5,'Dynamic Population'!$A$14:$AA$97,3,FALSE)</f>
        <v>272984.5792261727</v>
      </c>
      <c r="Y7" s="414">
        <f>VLOOKUP(Y$5,'Dynamic Population'!$A$14:$AA$97,3,FALSE)</f>
        <v>280764.63973411859</v>
      </c>
      <c r="Z7" s="414">
        <f>VLOOKUP(Z$5,'Dynamic Population'!$A$14:$AA$97,3,FALSE)</f>
        <v>288766.43196654099</v>
      </c>
      <c r="AA7" s="414">
        <f>VLOOKUP(AA$5,'Dynamic Population'!$A$14:$AA$97,3,FALSE)</f>
        <v>296996.27527758741</v>
      </c>
      <c r="AB7" s="414">
        <f>VLOOKUP(AB$5,'Dynamic Population'!$A$14:$AA$97,3,FALSE)</f>
        <v>305460.66912299866</v>
      </c>
      <c r="AC7" s="414">
        <f>VLOOKUP(AC$5,'Dynamic Population'!$A$14:$AA$97,3,FALSE)</f>
        <v>314166.2981930041</v>
      </c>
      <c r="AD7" s="414">
        <f>VLOOKUP(AD$5,'Dynamic Population'!$A$14:$AA$97,3,FALSE)</f>
        <v>323120.03769150469</v>
      </c>
      <c r="AE7" s="414">
        <f>VLOOKUP(AE$5,'Dynamic Population'!$A$14:$AA$97,3,FALSE)</f>
        <v>332328.95876571257</v>
      </c>
      <c r="AF7" s="414">
        <f>VLOOKUP(AF$5,'Dynamic Population'!$A$14:$AA$97,3,FALSE)</f>
        <v>341800.33409053535</v>
      </c>
      <c r="AG7" s="414">
        <f>VLOOKUP(AG$5,'Dynamic Population'!$A$14:$AA$97,3,FALSE)</f>
        <v>351541.64361211559</v>
      </c>
      <c r="AH7" s="414">
        <f>VLOOKUP(AH$5,'Dynamic Population'!$A$14:$AA$97,3,FALSE)</f>
        <v>361560.58045506087</v>
      </c>
      <c r="AI7" s="414">
        <f>VLOOKUP(AI$5,'Dynamic Population'!$A$14:$AA$97,3,FALSE)</f>
        <v>371865.05699803011</v>
      </c>
      <c r="AJ7" s="414">
        <f>VLOOKUP(AJ$5,'Dynamic Population'!$A$14:$AA$97,3,FALSE)</f>
        <v>382463.21112247393</v>
      </c>
      <c r="AK7" s="414">
        <f>VLOOKUP(AK$5,'Dynamic Population'!$A$14:$AA$97,3,FALSE)</f>
        <v>393363.41263946443</v>
      </c>
      <c r="AL7" s="414">
        <f>VLOOKUP(AL$5,'Dynamic Population'!$A$14:$AA$97,3,FALSE)</f>
        <v>404574.26989968913</v>
      </c>
      <c r="AM7" s="414">
        <f>VLOOKUP(AM$5,'Dynamic Population'!$A$14:$AA$97,3,FALSE)</f>
        <v>416104.63659183023</v>
      </c>
      <c r="AN7" s="414">
        <f>VLOOKUP(AN$5,'Dynamic Population'!$A$14:$AA$97,3,FALSE)</f>
        <v>427963.6187346974</v>
      </c>
      <c r="AO7" s="414">
        <f>VLOOKUP(AO$5,'Dynamic Population'!$A$14:$AA$97,3,FALSE)</f>
        <v>440160.58186863625</v>
      </c>
      <c r="AP7" s="414">
        <f>VLOOKUP(AP$5,'Dynamic Population'!$A$14:$AA$97,3,FALSE)</f>
        <v>452705.15845189238</v>
      </c>
      <c r="AQ7" s="414">
        <f>VLOOKUP(AQ$5,'Dynamic Population'!$A$14:$AA$97,3,FALSE)</f>
        <v>465607.25546777132</v>
      </c>
      <c r="AR7" s="414">
        <f>VLOOKUP(AR$5,'Dynamic Population'!$A$14:$AA$97,3,FALSE)</f>
        <v>478877.0622486028</v>
      </c>
      <c r="AS7" s="414">
        <f>VLOOKUP(AS$5,'Dynamic Population'!$A$14:$AA$97,3,FALSE)</f>
        <v>492525.05852268799</v>
      </c>
      <c r="AT7" s="414">
        <f>VLOOKUP(AT$5,'Dynamic Population'!$A$14:$AA$97,3,FALSE)</f>
        <v>506562.02269058459</v>
      </c>
      <c r="AU7" s="414">
        <f>VLOOKUP(AU$5,'Dynamic Population'!$A$14:$AA$97,3,FALSE)</f>
        <v>520999.04033726623</v>
      </c>
      <c r="AV7" s="414">
        <f>VLOOKUP(AV$5,'Dynamic Population'!$A$14:$AA$97,3,FALSE)</f>
        <v>535847.51298687828</v>
      </c>
      <c r="AW7" s="414">
        <f>VLOOKUP(AW$5,'Dynamic Population'!$A$14:$AA$97,3,FALSE)</f>
        <v>551119.16710700432</v>
      </c>
      <c r="AX7" s="414">
        <f>VLOOKUP(AX$5,'Dynamic Population'!$A$14:$AA$97,3,FALSE)</f>
        <v>566826.06336955389</v>
      </c>
      <c r="AY7" s="414">
        <f>VLOOKUP(AY$5,'Dynamic Population'!$A$14:$AA$97,3,FALSE)</f>
        <v>582980.60617558612</v>
      </c>
      <c r="AZ7" s="414">
        <f>VLOOKUP(AZ$5,'Dynamic Population'!$A$14:$AA$97,3,FALSE)</f>
        <v>599595.55345159036</v>
      </c>
      <c r="BA7" s="414">
        <f>VLOOKUP(BA$5,'Dynamic Population'!$A$14:$AA$97,3,FALSE)</f>
        <v>616684.02672496065</v>
      </c>
      <c r="BB7" s="611">
        <f>VLOOKUP(BB$5,'Dynamic Population'!$A$14:$AA$97,3,FALSE)</f>
        <v>634259.52148662205</v>
      </c>
      <c r="BC7" s="611">
        <f>VLOOKUP(BC$5,'Dynamic Population'!$A$14:$AA$97,3,FALSE)</f>
        <v>652335.91784899076</v>
      </c>
      <c r="BD7" s="611">
        <f>VLOOKUP(BD$5,'Dynamic Population'!$A$14:$AA$97,3,FALSE)</f>
        <v>670927.49150768702</v>
      </c>
      <c r="BE7" s="611">
        <f>VLOOKUP(BE$5,'Dynamic Population'!$A$14:$AA$97,3,FALSE)</f>
        <v>690048.92501565604</v>
      </c>
      <c r="BF7" s="611">
        <f>VLOOKUP(BF$5,'Dynamic Population'!$A$14:$AA$97,3,FALSE)</f>
        <v>709715.3193786022</v>
      </c>
      <c r="BG7" s="611">
        <f>VLOOKUP(BG$5,'Dynamic Population'!$A$14:$AA$97,3,FALSE)</f>
        <v>729942.20598089229</v>
      </c>
      <c r="BH7" s="611">
        <f>VLOOKUP(BH$5,'Dynamic Population'!$A$14:$AA$97,3,FALSE)</f>
        <v>750745.55885134765</v>
      </c>
      <c r="BI7" s="611">
        <f>VLOOKUP(BI$5,'Dynamic Population'!$A$14:$AA$97,3,FALSE)</f>
        <v>772141.807278611</v>
      </c>
      <c r="BJ7" s="611">
        <f>VLOOKUP(BJ$5,'Dynamic Population'!$A$14:$AA$97,3,FALSE)</f>
        <v>794147.84878605139</v>
      </c>
      <c r="BK7" s="611">
        <f>VLOOKUP(BK$5,'Dynamic Population'!$A$14:$AA$97,3,FALSE)</f>
        <v>816781.06247645384</v>
      </c>
      <c r="BL7" s="611">
        <f>VLOOKUP(BL$5,'Dynamic Population'!$A$14:$AA$97,3,FALSE)</f>
        <v>840059.3227570327</v>
      </c>
      <c r="BM7" s="611">
        <f>VLOOKUP(BM$5,'Dynamic Population'!$A$14:$AA$97,3,FALSE)</f>
        <v>864001.01345560816</v>
      </c>
      <c r="BN7" s="611">
        <f>VLOOKUP(BN$5,'Dynamic Population'!$A$14:$AA$97,3,FALSE)</f>
        <v>888625.04233909294</v>
      </c>
      <c r="BO7" s="611">
        <f>VLOOKUP(BO$5,'Dynamic Population'!$A$14:$AA$97,3,FALSE)</f>
        <v>913950.85604575707</v>
      </c>
      <c r="BP7" s="611">
        <f>VLOOKUP(BP$5,'Dynamic Population'!$A$14:$AA$97,3,FALSE)</f>
        <v>939998.45544306107</v>
      </c>
      <c r="BQ7" s="611">
        <f>VLOOKUP(BQ$5,'Dynamic Population'!$A$14:$AA$97,3,FALSE)</f>
        <v>966788.41142318828</v>
      </c>
      <c r="BR7" s="611">
        <f>VLOOKUP(BR$5,'Dynamic Population'!$A$14:$AA$97,3,FALSE)</f>
        <v>994341.88114874915</v>
      </c>
      <c r="BS7" s="611">
        <f>VLOOKUP(BS$5,'Dynamic Population'!$A$14:$AA$97,3,FALSE)</f>
        <v>1022680.6247614885</v>
      </c>
      <c r="BT7" s="611">
        <f>VLOOKUP(BT$5,'Dynamic Population'!$A$14:$AA$97,3,FALSE)</f>
        <v>1051827.0225671909</v>
      </c>
      <c r="BU7" s="611">
        <f>VLOOKUP(BU$5,'Dynamic Population'!$A$14:$AA$97,3,FALSE)</f>
        <v>1081804.0927103558</v>
      </c>
      <c r="BV7" s="611">
        <f>VLOOKUP(BV$5,'Dynamic Population'!$A$14:$AA$97,3,FALSE)</f>
        <v>1112635.5093526009</v>
      </c>
      <c r="BW7" s="611">
        <f>VLOOKUP(BW$5,'Dynamic Population'!$A$14:$AA$97,3,FALSE)</f>
        <v>1144345.62136915</v>
      </c>
      <c r="BX7" s="611">
        <f>VLOOKUP(BX$5,'Dynamic Population'!$A$14:$AA$97,3,FALSE)</f>
        <v>1176959.4715781708</v>
      </c>
      <c r="BY7" s="611">
        <f>VLOOKUP(BY$5,'Dynamic Population'!$A$14:$AA$97,3,FALSE)</f>
        <v>1210502.8165181486</v>
      </c>
      <c r="BZ7" s="611">
        <f>VLOOKUP(BZ$5,'Dynamic Population'!$A$14:$AA$97,3,FALSE)</f>
        <v>1245002.1467889159</v>
      </c>
      <c r="CA7" s="611">
        <f>VLOOKUP(CA$5,'Dynamic Population'!$A$14:$AA$97,3,FALSE)</f>
        <v>1280484.7079723999</v>
      </c>
      <c r="CB7" s="611">
        <f>VLOOKUP(CB$5,'Dynamic Population'!$A$14:$AA$97,3,FALSE)</f>
        <v>1316978.5221496134</v>
      </c>
    </row>
    <row r="8" spans="1:102" x14ac:dyDescent="0.25">
      <c r="B8" t="s">
        <v>281</v>
      </c>
      <c r="D8" s="414">
        <f>('Economist Plan 1'!D7-'Dynamic Population'!C19)/'Underlying Assumptions'!E10</f>
        <v>1466.7139668367367</v>
      </c>
      <c r="E8" s="414">
        <f>(E7-D7)/'Underlying Assumptions'!$E10</f>
        <v>1508.5153148915829</v>
      </c>
      <c r="F8" s="414">
        <f>(F7-E7)/'Underlying Assumptions'!$E10</f>
        <v>1551.5080013659863</v>
      </c>
      <c r="G8" s="414">
        <f>(G7-F7)/'Underlying Assumptions'!$E10</f>
        <v>1595.725979404916</v>
      </c>
      <c r="H8" s="414">
        <f>(H7-G7)/'Underlying Assumptions'!$E10</f>
        <v>1641.2041698179571</v>
      </c>
      <c r="I8" s="414">
        <f>(I7-H7)/'Underlying Assumptions'!$E10</f>
        <v>1687.9784886577747</v>
      </c>
      <c r="J8" s="414">
        <f>(J7-I7)/'Underlying Assumptions'!$E10</f>
        <v>1736.0858755845195</v>
      </c>
      <c r="K8" s="414">
        <f>(K7-J7)/'Underlying Assumptions'!$E10</f>
        <v>1785.564323038674</v>
      </c>
      <c r="L8" s="414">
        <f>(L7-K7)/'Underlying Assumptions'!$E10</f>
        <v>1836.452906245283</v>
      </c>
      <c r="M8" s="414">
        <f>(M7-L7)/'Underlying Assumptions'!$E10</f>
        <v>1888.791814073267</v>
      </c>
      <c r="N8" s="414">
        <f>(N7-M7)/'Underlying Assumptions'!$E10</f>
        <v>1942.6223807743586</v>
      </c>
      <c r="O8" s="414">
        <f>(O7-N7)/'Underlying Assumptions'!$E10</f>
        <v>1997.9871186264236</v>
      </c>
      <c r="P8" s="414">
        <f>(P7-O7)/'Underlying Assumptions'!$E10</f>
        <v>2054.929751507284</v>
      </c>
      <c r="Q8" s="414">
        <f>(Q7-P7)/'Underlying Assumptions'!$E10</f>
        <v>2113.4952494252429</v>
      </c>
      <c r="R8" s="414">
        <f>(R7-Q7)/'Underlying Assumptions'!$E10</f>
        <v>2173.7298640338577</v>
      </c>
      <c r="S8" s="414">
        <f>(S7-R7)/'Underlying Assumptions'!$E10</f>
        <v>2235.68116515882</v>
      </c>
      <c r="T8" s="414">
        <f>(T7-S7)/'Underlying Assumptions'!$E10</f>
        <v>2299.3980783658526</v>
      </c>
      <c r="U8" s="414">
        <f>(U7-T7)/'Underlying Assumptions'!$E10</f>
        <v>2364.9309235992728</v>
      </c>
      <c r="V8" s="414">
        <f>(V7-U7)/'Underlying Assumptions'!$E10</f>
        <v>2432.3314549218562</v>
      </c>
      <c r="W8" s="414">
        <f>(W7-V7)/'Underlying Assumptions'!$E10</f>
        <v>2501.6529013871195</v>
      </c>
      <c r="X8" s="414">
        <f>(X7-W7)/'Underlying Assumptions'!$E10</f>
        <v>2572.9500090766528</v>
      </c>
      <c r="Y8" s="414">
        <f>(Y7-X7)/'Underlying Assumptions'!$E10</f>
        <v>2646.2790843353373</v>
      </c>
      <c r="Z8" s="414">
        <f>(Z7-Y7)/'Underlying Assumptions'!$E10</f>
        <v>2721.6980382389083</v>
      </c>
      <c r="AA8" s="414">
        <f>(AA7-Z7)/'Underlying Assumptions'!$E10</f>
        <v>2799.2664323287158</v>
      </c>
      <c r="AB8" s="414">
        <f>(AB7-AA7)/'Underlying Assumptions'!$E10</f>
        <v>2879.0455256500854</v>
      </c>
      <c r="AC8" s="414">
        <f>(AC7-AB7)/'Underlying Assumptions'!$E10</f>
        <v>2961.0983231311016</v>
      </c>
      <c r="AD8" s="414">
        <f>(AD7-AC7)/'Underlying Assumptions'!$E10</f>
        <v>3045.489625340339</v>
      </c>
      <c r="AE8" s="414">
        <f>(AE7-AD7)/'Underlying Assumptions'!$E10</f>
        <v>3132.2860796625414</v>
      </c>
      <c r="AF8" s="414">
        <f>(AF7-AE7)/'Underlying Assumptions'!$E10</f>
        <v>3221.5562329329209</v>
      </c>
      <c r="AG8" s="414">
        <f>(AG7-AF7)/'Underlying Assumptions'!$E10</f>
        <v>3313.3705855715075</v>
      </c>
      <c r="AH8" s="414">
        <f>(AH7-AG7)/'Underlying Assumptions'!$E10</f>
        <v>3407.8016472603022</v>
      </c>
      <c r="AI8" s="414">
        <f>(AI7-AH7)/'Underlying Assumptions'!$E10</f>
        <v>3504.9239942072227</v>
      </c>
      <c r="AJ8" s="414">
        <f>(AJ7-AI7)/'Underlying Assumptions'!$E10</f>
        <v>3604.8143280421182</v>
      </c>
      <c r="AK8" s="414">
        <f>(AK7-AJ7)/'Underlying Assumptions'!$E10</f>
        <v>3707.5515363913237</v>
      </c>
      <c r="AL8" s="414">
        <f>(AL7-AK7)/'Underlying Assumptions'!$E10</f>
        <v>3813.2167551784696</v>
      </c>
      <c r="AM8" s="414">
        <f>(AM7-AL7)/'Underlying Assumptions'!$E10</f>
        <v>3921.8934327010566</v>
      </c>
      <c r="AN8" s="414">
        <f>(AN7-AM7)/'Underlying Assumptions'!$E10</f>
        <v>4033.6673955330516</v>
      </c>
      <c r="AO8" s="414">
        <f>(AO7-AN7)/'Underlying Assumptions'!$E10</f>
        <v>4148.6269163057295</v>
      </c>
      <c r="AP8" s="414">
        <f>(AP7-AO7)/'Underlying Assumptions'!$E10</f>
        <v>4266.8627834204526</v>
      </c>
      <c r="AQ8" s="414">
        <f>(AQ7-AP7)/'Underlying Assumptions'!$E10</f>
        <v>4388.4683727479396</v>
      </c>
      <c r="AR8" s="414">
        <f>(AR7-AQ7)/'Underlying Assumptions'!$E10</f>
        <v>4513.5397213712522</v>
      </c>
      <c r="AS8" s="414">
        <f>(AS7-AR7)/'Underlying Assumptions'!$E10</f>
        <v>4642.1756034303371</v>
      </c>
      <c r="AT8" s="414">
        <f>(AT7-AS7)/'Underlying Assumptions'!$E10</f>
        <v>4774.4776081280952</v>
      </c>
      <c r="AU8" s="414">
        <f>(AU7-AT7)/'Underlying Assumptions'!$E10</f>
        <v>4910.5502199597395</v>
      </c>
      <c r="AV8" s="414">
        <f>(AV7-AU7)/'Underlying Assumptions'!$E10</f>
        <v>5050.5009012285909</v>
      </c>
      <c r="AW8" s="414">
        <f>(AW7-AV7)/'Underlying Assumptions'!$E10</f>
        <v>5194.4401769136193</v>
      </c>
      <c r="AX8" s="414">
        <f>(AX7-AW7)/'Underlying Assumptions'!$E10</f>
        <v>5342.4817219556335</v>
      </c>
      <c r="AY8" s="414">
        <f>(AY7-AX7)/'Underlying Assumptions'!$E10</f>
        <v>5494.7424510313713</v>
      </c>
      <c r="AZ8" s="414">
        <f>(AZ7-AY7)/'Underlying Assumptions'!$E10</f>
        <v>5651.3426108857966</v>
      </c>
      <c r="BA8" s="414">
        <f>(BA7-AZ7)/'Underlying Assumptions'!$E10</f>
        <v>5812.40587529602</v>
      </c>
      <c r="BB8" s="611">
        <f>(BB7-BA7)/'Underlying Assumptions'!$E10</f>
        <v>5978.059442741971</v>
      </c>
      <c r="BC8" s="611">
        <f>(BC7-BB7)/'Underlying Assumptions'!$E10</f>
        <v>6148.4341368601072</v>
      </c>
      <c r="BD8" s="611">
        <f>(BD7-BC7)/'Underlying Assumptions'!$E10</f>
        <v>6323.6645097606324</v>
      </c>
      <c r="BE8" s="611">
        <f>(BE7-BD7)/'Underlying Assumptions'!$E10</f>
        <v>6503.8889482887826</v>
      </c>
      <c r="BF8" s="611">
        <f>(BF7-BE7)/'Underlying Assumptions'!$E10</f>
        <v>6689.2497833150201</v>
      </c>
      <c r="BG8" s="611">
        <f>(BG7-BF7)/'Underlying Assumptions'!$E10</f>
        <v>6879.8934021394871</v>
      </c>
      <c r="BH8" s="611">
        <f>(BH7-BG7)/'Underlying Assumptions'!$E10</f>
        <v>7075.9703641004635</v>
      </c>
      <c r="BI8" s="611">
        <f>(BI7-BH7)/'Underlying Assumptions'!$E10</f>
        <v>7277.6355194773287</v>
      </c>
      <c r="BJ8" s="611">
        <f>(BJ7-BI7)/'Underlying Assumptions'!$E10</f>
        <v>7485.0481317824442</v>
      </c>
      <c r="BK8" s="611">
        <f>(BK7-BJ7)/'Underlying Assumptions'!$E10</f>
        <v>7698.3720035382494</v>
      </c>
      <c r="BL8" s="611">
        <f>(BL7-BK7)/'Underlying Assumptions'!$E10</f>
        <v>7917.775605639069</v>
      </c>
      <c r="BM8" s="611">
        <f>(BM7-BL7)/'Underlying Assumptions'!$E10</f>
        <v>8143.4322103998165</v>
      </c>
      <c r="BN8" s="611">
        <f>(BN7-BM7)/'Underlying Assumptions'!$E10</f>
        <v>8375.5200283961822</v>
      </c>
      <c r="BO8" s="611">
        <f>(BO7-BN7)/'Underlying Assumptions'!$E10</f>
        <v>8614.2223492054891</v>
      </c>
      <c r="BP8" s="611">
        <f>(BP7-BO7)/'Underlying Assumptions'!$E10</f>
        <v>8859.7276861578248</v>
      </c>
      <c r="BQ8" s="611">
        <f>(BQ7-BP7)/'Underlying Assumptions'!$E10</f>
        <v>9112.229925213338</v>
      </c>
      <c r="BR8" s="611">
        <f>(BR7-BQ7)/'Underlying Assumptions'!$E10</f>
        <v>9371.9284780819271</v>
      </c>
      <c r="BS8" s="611">
        <f>(BS7-BR7)/'Underlying Assumptions'!$E10</f>
        <v>9639.0284397072701</v>
      </c>
      <c r="BT8" s="611">
        <f>(BT7-BS7)/'Underlying Assumptions'!$E10</f>
        <v>9913.7407502389142</v>
      </c>
      <c r="BU8" s="611">
        <f>(BU7-BT7)/'Underlying Assumptions'!$E10</f>
        <v>10196.282361620692</v>
      </c>
      <c r="BV8" s="611">
        <f>(BV7-BU7)/'Underlying Assumptions'!$E10</f>
        <v>10486.876408926917</v>
      </c>
      <c r="BW8" s="611">
        <f>(BW7-BV7)/'Underlying Assumptions'!$E10</f>
        <v>10785.752386581327</v>
      </c>
      <c r="BX8" s="611">
        <f>(BX7-BW7)/'Underlying Assumptions'!$E10</f>
        <v>11093.146329598903</v>
      </c>
      <c r="BY8" s="611">
        <f>(BY7-BX7)/'Underlying Assumptions'!$E10</f>
        <v>11409.300999992471</v>
      </c>
      <c r="BZ8" s="611">
        <f>(BZ7-BY7)/'Underlying Assumptions'!$E10</f>
        <v>11734.466078492249</v>
      </c>
      <c r="CA8" s="611">
        <f>(CA7-BZ7)/'Underlying Assumptions'!$E10</f>
        <v>12068.898361729265</v>
      </c>
      <c r="CB8" s="611">
        <f>(CB7-CA7)/'Underlying Assumptions'!$E10</f>
        <v>12412.861965038595</v>
      </c>
    </row>
    <row r="9" spans="1:102" x14ac:dyDescent="0.25">
      <c r="B9" t="s">
        <v>220</v>
      </c>
      <c r="D9" s="414">
        <f>VLOOKUP(D$5,'Dynamic Population'!$A$14:$AA$97,10,FALSE)</f>
        <v>269.48020983554437</v>
      </c>
      <c r="E9" s="414">
        <f>VLOOKUP(E$5,'Dynamic Population'!$A$14:$AA$97,10,FALSE)</f>
        <v>266.8001907595858</v>
      </c>
      <c r="F9" s="414">
        <f>VLOOKUP(F$5,'Dynamic Population'!$A$14:$AA$97,10,FALSE)</f>
        <v>264.12017168362723</v>
      </c>
      <c r="G9" s="414">
        <f>VLOOKUP(G$5,'Dynamic Population'!$A$14:$AA$97,10,FALSE)</f>
        <v>261.44015260766867</v>
      </c>
      <c r="H9" s="414">
        <f>VLOOKUP(H$5,'Dynamic Population'!$A$14:$AA$97,10,FALSE)</f>
        <v>258.7601335317101</v>
      </c>
      <c r="I9" s="414">
        <f>VLOOKUP(I$5,'Dynamic Population'!$A$14:$AA$97,10,FALSE)</f>
        <v>256.08011445575153</v>
      </c>
      <c r="J9" s="414">
        <f>VLOOKUP(J$5,'Dynamic Population'!$A$14:$AA$97,10,FALSE)</f>
        <v>253.40009537979296</v>
      </c>
      <c r="K9" s="414">
        <f>VLOOKUP(K$5,'Dynamic Population'!$A$14:$AA$97,10,FALSE)</f>
        <v>250.72007630383439</v>
      </c>
      <c r="L9" s="414">
        <f>VLOOKUP(L$5,'Dynamic Population'!$A$14:$AA$97,10,FALSE)</f>
        <v>248.04005722787582</v>
      </c>
      <c r="M9" s="414">
        <f>VLOOKUP(M$5,'Dynamic Population'!$A$14:$AA$97,10,FALSE)</f>
        <v>245.36003815191725</v>
      </c>
      <c r="N9" s="414">
        <f>VLOOKUP(N$5,'Dynamic Population'!$A$14:$AA$97,10,FALSE)</f>
        <v>242.68001907595868</v>
      </c>
      <c r="O9" s="414">
        <f>VLOOKUP(O$5,'Dynamic Population'!$A$14:$AA$97,10,FALSE)</f>
        <v>240.00000000000011</v>
      </c>
      <c r="P9" s="414">
        <f>VLOOKUP(P$5,'Dynamic Population'!$A$14:$AA$97,10,FALSE)</f>
        <v>239.40000000000012</v>
      </c>
      <c r="Q9" s="414">
        <f>VLOOKUP(Q$5,'Dynamic Population'!$A$14:$AA$97,10,FALSE)</f>
        <v>238.80000000000013</v>
      </c>
      <c r="R9" s="414">
        <f>VLOOKUP(R$5,'Dynamic Population'!$A$14:$AA$97,10,FALSE)</f>
        <v>238.20000000000013</v>
      </c>
      <c r="S9" s="414">
        <f>VLOOKUP(S$5,'Dynamic Population'!$A$14:$AA$97,10,FALSE)</f>
        <v>237.60000000000014</v>
      </c>
      <c r="T9" s="414">
        <f>VLOOKUP(T$5,'Dynamic Population'!$A$14:$AA$97,10,FALSE)</f>
        <v>237.00000000000014</v>
      </c>
      <c r="U9" s="414">
        <f>VLOOKUP(U$5,'Dynamic Population'!$A$14:$AA$97,10,FALSE)</f>
        <v>236.40000000000015</v>
      </c>
      <c r="V9" s="414">
        <f>VLOOKUP(V$5,'Dynamic Population'!$A$14:$AA$97,10,FALSE)</f>
        <v>235.80000000000015</v>
      </c>
      <c r="W9" s="414">
        <f>VLOOKUP(W$5,'Dynamic Population'!$A$14:$AA$97,10,FALSE)</f>
        <v>235.20000000000016</v>
      </c>
      <c r="X9" s="414">
        <f>VLOOKUP(X$5,'Dynamic Population'!$A$14:$AA$97,10,FALSE)</f>
        <v>234.60000000000016</v>
      </c>
      <c r="Y9" s="414">
        <f>VLOOKUP(Y$5,'Dynamic Population'!$A$14:$AA$97,10,FALSE)</f>
        <v>234.00000000000017</v>
      </c>
      <c r="Z9" s="414">
        <f>VLOOKUP(Z$5,'Dynamic Population'!$A$14:$AA$97,10,FALSE)</f>
        <v>233.40000000000018</v>
      </c>
      <c r="AA9" s="414">
        <f>VLOOKUP(AA$5,'Dynamic Population'!$A$14:$AA$97,10,FALSE)</f>
        <v>232.80000000000018</v>
      </c>
      <c r="AB9" s="414">
        <f>VLOOKUP(AB$5,'Dynamic Population'!$A$14:$AA$97,10,FALSE)</f>
        <v>232.20000000000019</v>
      </c>
      <c r="AC9" s="414">
        <f>VLOOKUP(AC$5,'Dynamic Population'!$A$14:$AA$97,10,FALSE)</f>
        <v>231.60000000000019</v>
      </c>
      <c r="AD9" s="414">
        <f>VLOOKUP(AD$5,'Dynamic Population'!$A$14:$AA$97,10,FALSE)</f>
        <v>231.0000000000002</v>
      </c>
      <c r="AE9" s="414">
        <f>VLOOKUP(AE$5,'Dynamic Population'!$A$14:$AA$97,10,FALSE)</f>
        <v>230.4000000000002</v>
      </c>
      <c r="AF9" s="414">
        <f>VLOOKUP(AF$5,'Dynamic Population'!$A$14:$AA$97,10,FALSE)</f>
        <v>229.80000000000021</v>
      </c>
      <c r="AG9" s="414">
        <f>VLOOKUP(AG$5,'Dynamic Population'!$A$14:$AA$97,10,FALSE)</f>
        <v>229.20000000000022</v>
      </c>
      <c r="AH9" s="414">
        <f>VLOOKUP(AH$5,'Dynamic Population'!$A$14:$AA$97,10,FALSE)</f>
        <v>228.60000000000022</v>
      </c>
      <c r="AI9" s="414">
        <f>VLOOKUP(AI$5,'Dynamic Population'!$A$14:$AA$97,10,FALSE)</f>
        <v>228.00000000000023</v>
      </c>
      <c r="AJ9" s="414">
        <f>VLOOKUP(AJ$5,'Dynamic Population'!$A$14:$AA$97,10,FALSE)</f>
        <v>227.40000000000023</v>
      </c>
      <c r="AK9" s="414">
        <f>VLOOKUP(AK$5,'Dynamic Population'!$A$14:$AA$97,10,FALSE)</f>
        <v>226.80000000000024</v>
      </c>
      <c r="AL9" s="414">
        <f>VLOOKUP(AL$5,'Dynamic Population'!$A$14:$AA$97,10,FALSE)</f>
        <v>226.20000000000024</v>
      </c>
      <c r="AM9" s="414">
        <f>VLOOKUP(AM$5,'Dynamic Population'!$A$14:$AA$97,10,FALSE)</f>
        <v>225.60000000000025</v>
      </c>
      <c r="AN9" s="414">
        <f>VLOOKUP(AN$5,'Dynamic Population'!$A$14:$AA$97,10,FALSE)</f>
        <v>225.00000000000026</v>
      </c>
      <c r="AO9" s="414">
        <f>VLOOKUP(AO$5,'Dynamic Population'!$A$14:$AA$97,10,FALSE)</f>
        <v>225.00000000000026</v>
      </c>
      <c r="AP9" s="414">
        <f>VLOOKUP(AP$5,'Dynamic Population'!$A$14:$AA$97,10,FALSE)</f>
        <v>225.00000000000026</v>
      </c>
      <c r="AQ9" s="414">
        <f>VLOOKUP(AQ$5,'Dynamic Population'!$A$14:$AA$97,10,FALSE)</f>
        <v>225.00000000000026</v>
      </c>
      <c r="AR9" s="414">
        <f>VLOOKUP(AR$5,'Dynamic Population'!$A$14:$AA$97,10,FALSE)</f>
        <v>225.00000000000026</v>
      </c>
      <c r="AS9" s="414">
        <f>VLOOKUP(AS$5,'Dynamic Population'!$A$14:$AA$97,10,FALSE)</f>
        <v>225.00000000000026</v>
      </c>
      <c r="AT9" s="414">
        <f>VLOOKUP(AT$5,'Dynamic Population'!$A$14:$AA$97,10,FALSE)</f>
        <v>225.00000000000026</v>
      </c>
      <c r="AU9" s="414">
        <f>VLOOKUP(AU$5,'Dynamic Population'!$A$14:$AA$97,10,FALSE)</f>
        <v>225.00000000000026</v>
      </c>
      <c r="AV9" s="414">
        <f>VLOOKUP(AV$5,'Dynamic Population'!$A$14:$AA$97,10,FALSE)</f>
        <v>225.00000000000026</v>
      </c>
      <c r="AW9" s="414">
        <f>VLOOKUP(AW$5,'Dynamic Population'!$A$14:$AA$97,10,FALSE)</f>
        <v>225.00000000000026</v>
      </c>
      <c r="AX9" s="414">
        <f>VLOOKUP(AX$5,'Dynamic Population'!$A$14:$AA$97,10,FALSE)</f>
        <v>225.00000000000026</v>
      </c>
      <c r="AY9" s="414">
        <f>VLOOKUP(AY$5,'Dynamic Population'!$A$14:$AA$97,10,FALSE)</f>
        <v>225.00000000000026</v>
      </c>
      <c r="AZ9" s="414">
        <f>VLOOKUP(AZ$5,'Dynamic Population'!$A$14:$AA$97,10,FALSE)</f>
        <v>225.00000000000026</v>
      </c>
      <c r="BA9" s="414">
        <f>VLOOKUP(BA$5,'Dynamic Population'!$A$14:$AA$97,10,FALSE)</f>
        <v>225.00000000000026</v>
      </c>
      <c r="BB9" s="611">
        <f>VLOOKUP(BB$5,'Dynamic Population'!$A$14:$AA$97,10,FALSE)</f>
        <v>225.00000000000026</v>
      </c>
      <c r="BC9" s="611">
        <f>VLOOKUP(BC$5,'Dynamic Population'!$A$14:$AA$97,10,FALSE)</f>
        <v>225.00000000000026</v>
      </c>
      <c r="BD9" s="611">
        <f>VLOOKUP(BD$5,'Dynamic Population'!$A$14:$AA$97,10,FALSE)</f>
        <v>225.00000000000026</v>
      </c>
      <c r="BE9" s="611">
        <f>VLOOKUP(BE$5,'Dynamic Population'!$A$14:$AA$97,10,FALSE)</f>
        <v>225.00000000000026</v>
      </c>
      <c r="BF9" s="611">
        <f>VLOOKUP(BF$5,'Dynamic Population'!$A$14:$AA$97,10,FALSE)</f>
        <v>225.00000000000026</v>
      </c>
      <c r="BG9" s="611">
        <f>VLOOKUP(BG$5,'Dynamic Population'!$A$14:$AA$97,10,FALSE)</f>
        <v>225.00000000000026</v>
      </c>
      <c r="BH9" s="611">
        <f>VLOOKUP(BH$5,'Dynamic Population'!$A$14:$AA$97,10,FALSE)</f>
        <v>225.00000000000026</v>
      </c>
      <c r="BI9" s="611">
        <f>VLOOKUP(BI$5,'Dynamic Population'!$A$14:$AA$97,10,FALSE)</f>
        <v>225.00000000000026</v>
      </c>
      <c r="BJ9" s="611">
        <f>VLOOKUP(BJ$5,'Dynamic Population'!$A$14:$AA$97,10,FALSE)</f>
        <v>225.00000000000026</v>
      </c>
      <c r="BK9" s="611">
        <f>VLOOKUP(BK$5,'Dynamic Population'!$A$14:$AA$97,10,FALSE)</f>
        <v>225.00000000000026</v>
      </c>
      <c r="BL9" s="611">
        <f>VLOOKUP(BL$5,'Dynamic Population'!$A$14:$AA$97,10,FALSE)</f>
        <v>225.00000000000026</v>
      </c>
      <c r="BM9" s="611">
        <f>VLOOKUP(BM$5,'Dynamic Population'!$A$14:$AA$97,10,FALSE)</f>
        <v>225.00000000000026</v>
      </c>
      <c r="BN9" s="611">
        <f>VLOOKUP(BN$5,'Dynamic Population'!$A$14:$AA$97,10,FALSE)</f>
        <v>225.00000000000026</v>
      </c>
      <c r="BO9" s="611">
        <f>VLOOKUP(BO$5,'Dynamic Population'!$A$14:$AA$97,10,FALSE)</f>
        <v>225.00000000000026</v>
      </c>
      <c r="BP9" s="611">
        <f>VLOOKUP(BP$5,'Dynamic Population'!$A$14:$AA$97,10,FALSE)</f>
        <v>225.00000000000026</v>
      </c>
      <c r="BQ9" s="611">
        <f>VLOOKUP(BQ$5,'Dynamic Population'!$A$14:$AA$97,10,FALSE)</f>
        <v>225.00000000000026</v>
      </c>
      <c r="BR9" s="611">
        <f>VLOOKUP(BR$5,'Dynamic Population'!$A$14:$AA$97,10,FALSE)</f>
        <v>225.00000000000026</v>
      </c>
      <c r="BS9" s="611">
        <f>VLOOKUP(BS$5,'Dynamic Population'!$A$14:$AA$97,10,FALSE)</f>
        <v>225.00000000000026</v>
      </c>
      <c r="BT9" s="611">
        <f>VLOOKUP(BT$5,'Dynamic Population'!$A$14:$AA$97,10,FALSE)</f>
        <v>225.00000000000026</v>
      </c>
      <c r="BU9" s="611">
        <f>VLOOKUP(BU$5,'Dynamic Population'!$A$14:$AA$97,10,FALSE)</f>
        <v>225.00000000000026</v>
      </c>
      <c r="BV9" s="611">
        <f>VLOOKUP(BV$5,'Dynamic Population'!$A$14:$AA$97,10,FALSE)</f>
        <v>225.00000000000026</v>
      </c>
      <c r="BW9" s="611">
        <f>VLOOKUP(BW$5,'Dynamic Population'!$A$14:$AA$97,10,FALSE)</f>
        <v>225.00000000000026</v>
      </c>
      <c r="BX9" s="611">
        <f>VLOOKUP(BX$5,'Dynamic Population'!$A$14:$AA$97,10,FALSE)</f>
        <v>225.00000000000026</v>
      </c>
      <c r="BY9" s="611">
        <f>VLOOKUP(BY$5,'Dynamic Population'!$A$14:$AA$97,10,FALSE)</f>
        <v>225.00000000000026</v>
      </c>
      <c r="BZ9" s="611">
        <f>VLOOKUP(BZ$5,'Dynamic Population'!$A$14:$AA$97,10,FALSE)</f>
        <v>225.00000000000026</v>
      </c>
      <c r="CA9" s="611">
        <f>VLOOKUP(CA$5,'Dynamic Population'!$A$14:$AA$97,10,FALSE)</f>
        <v>225.00000000000026</v>
      </c>
      <c r="CB9" s="611">
        <f>VLOOKUP(CB$5,'Dynamic Population'!$A$14:$AA$97,10,FALSE)</f>
        <v>225.00000000000026</v>
      </c>
    </row>
    <row r="10" spans="1:102" x14ac:dyDescent="0.25">
      <c r="B10" t="s">
        <v>221</v>
      </c>
      <c r="D10" s="475">
        <f>D7*D9*365/1000000</f>
        <v>15306.360414809296</v>
      </c>
      <c r="E10" s="475">
        <f t="shared" ref="E10:BA10" si="28">E7*E9*365/1000000</f>
        <v>15586.029369677004</v>
      </c>
      <c r="F10" s="475">
        <f t="shared" si="28"/>
        <v>15869.206863725241</v>
      </c>
      <c r="G10" s="475">
        <f t="shared" si="28"/>
        <v>16155.865722578708</v>
      </c>
      <c r="H10" s="475">
        <f t="shared" si="28"/>
        <v>16445.974373111763</v>
      </c>
      <c r="I10" s="475">
        <f t="shared" si="28"/>
        <v>16739.496614792039</v>
      </c>
      <c r="J10" s="475">
        <f t="shared" si="28"/>
        <v>17036.391381563531</v>
      </c>
      <c r="K10" s="475">
        <f t="shared" si="28"/>
        <v>17336.612493915629</v>
      </c>
      <c r="L10" s="475">
        <f t="shared" si="28"/>
        <v>17640.108400772126</v>
      </c>
      <c r="M10" s="475">
        <f t="shared" si="28"/>
        <v>17946.821910821258</v>
      </c>
      <c r="N10" s="475">
        <f t="shared" si="28"/>
        <v>18256.689912894664</v>
      </c>
      <c r="O10" s="475">
        <f t="shared" si="28"/>
        <v>18569.643084989188</v>
      </c>
      <c r="P10" s="475">
        <f t="shared" si="28"/>
        <v>19051.130718129105</v>
      </c>
      <c r="Q10" s="475">
        <f t="shared" si="28"/>
        <v>19544.979953762209</v>
      </c>
      <c r="R10" s="475">
        <f t="shared" si="28"/>
        <v>20051.504314900605</v>
      </c>
      <c r="S10" s="475">
        <f t="shared" si="28"/>
        <v>20571.02515465644</v>
      </c>
      <c r="T10" s="475">
        <f t="shared" si="28"/>
        <v>21103.871847898587</v>
      </c>
      <c r="U10" s="475">
        <f t="shared" si="28"/>
        <v>21650.381987473658</v>
      </c>
      <c r="V10" s="475">
        <f t="shared" si="28"/>
        <v>22210.901585096057</v>
      </c>
      <c r="W10" s="475">
        <f t="shared" si="28"/>
        <v>22785.785277013601</v>
      </c>
      <c r="X10" s="475">
        <f t="shared" si="28"/>
        <v>23375.39653455796</v>
      </c>
      <c r="Y10" s="475">
        <f t="shared" si="28"/>
        <v>23980.107879691084</v>
      </c>
      <c r="Z10" s="475">
        <f t="shared" si="28"/>
        <v>24600.301105661612</v>
      </c>
      <c r="AA10" s="475">
        <f t="shared" si="28"/>
        <v>25236.36750288718</v>
      </c>
      <c r="AB10" s="475">
        <f t="shared" si="28"/>
        <v>25888.708090181528</v>
      </c>
      <c r="AC10" s="475">
        <f t="shared" si="28"/>
        <v>26557.733851447432</v>
      </c>
      <c r="AD10" s="475">
        <f t="shared" si="28"/>
        <v>27243.865977959245</v>
      </c>
      <c r="AE10" s="475">
        <f t="shared" si="28"/>
        <v>27947.536116361385</v>
      </c>
      <c r="AF10" s="475">
        <f t="shared" si="28"/>
        <v>28669.186622511861</v>
      </c>
      <c r="AG10" s="475">
        <f t="shared" si="28"/>
        <v>29409.270821302391</v>
      </c>
      <c r="AH10" s="475">
        <f t="shared" si="28"/>
        <v>30168.253272589856</v>
      </c>
      <c r="AI10" s="475">
        <f t="shared" si="28"/>
        <v>30946.610043376095</v>
      </c>
      <c r="AJ10" s="475">
        <f t="shared" si="28"/>
        <v>31744.828986376491</v>
      </c>
      <c r="AK10" s="475">
        <f t="shared" si="28"/>
        <v>32563.410025120174</v>
      </c>
      <c r="AL10" s="475">
        <f t="shared" si="28"/>
        <v>33402.865445728072</v>
      </c>
      <c r="AM10" s="475">
        <f t="shared" si="28"/>
        <v>34263.720195517708</v>
      </c>
      <c r="AN10" s="475">
        <f t="shared" si="28"/>
        <v>35146.512188587069</v>
      </c>
      <c r="AO10" s="475">
        <f t="shared" si="28"/>
        <v>36148.187785961789</v>
      </c>
      <c r="AP10" s="475">
        <f t="shared" si="28"/>
        <v>37178.411137861702</v>
      </c>
      <c r="AQ10" s="475">
        <f t="shared" si="28"/>
        <v>38237.995855290763</v>
      </c>
      <c r="AR10" s="475">
        <f t="shared" si="28"/>
        <v>39327.778737166547</v>
      </c>
      <c r="AS10" s="475">
        <f t="shared" si="28"/>
        <v>40448.620431175797</v>
      </c>
      <c r="AT10" s="475">
        <f t="shared" si="28"/>
        <v>41601.406113464313</v>
      </c>
      <c r="AU10" s="475">
        <f t="shared" si="28"/>
        <v>42787.046187698033</v>
      </c>
      <c r="AV10" s="475">
        <f t="shared" si="28"/>
        <v>44006.477004047432</v>
      </c>
      <c r="AW10" s="475">
        <f t="shared" si="28"/>
        <v>45260.66159866278</v>
      </c>
      <c r="AX10" s="475">
        <f t="shared" si="28"/>
        <v>46550.590454224672</v>
      </c>
      <c r="AY10" s="475">
        <f t="shared" si="28"/>
        <v>47877.282282170068</v>
      </c>
      <c r="AZ10" s="475">
        <f t="shared" si="28"/>
        <v>49241.784827211915</v>
      </c>
      <c r="BA10" s="475">
        <f t="shared" si="28"/>
        <v>50645.175694787453</v>
      </c>
      <c r="BB10" s="613">
        <f t="shared" ref="BB10:BF10" si="29">BB7*BB9*365/1000000</f>
        <v>52088.563202088895</v>
      </c>
      <c r="BC10" s="613">
        <f t="shared" si="29"/>
        <v>53573.087253348436</v>
      </c>
      <c r="BD10" s="613">
        <f t="shared" si="29"/>
        <v>55099.920240068866</v>
      </c>
      <c r="BE10" s="613">
        <f t="shared" si="29"/>
        <v>56670.267966910811</v>
      </c>
      <c r="BF10" s="613">
        <f t="shared" si="29"/>
        <v>58285.370603967771</v>
      </c>
      <c r="BG10" s="613">
        <f t="shared" ref="BG10:BQ10" si="30">BG7*BG9*365/1000000</f>
        <v>59946.503666180848</v>
      </c>
      <c r="BH10" s="613">
        <f t="shared" si="30"/>
        <v>61654.979020667</v>
      </c>
      <c r="BI10" s="613">
        <f t="shared" si="30"/>
        <v>63412.145922756004</v>
      </c>
      <c r="BJ10" s="613">
        <f t="shared" si="30"/>
        <v>65219.39208155455</v>
      </c>
      <c r="BK10" s="613">
        <f t="shared" si="30"/>
        <v>67078.14475587885</v>
      </c>
      <c r="BL10" s="613">
        <f t="shared" si="30"/>
        <v>68989.871881421393</v>
      </c>
      <c r="BM10" s="613">
        <f t="shared" si="30"/>
        <v>70956.083230041899</v>
      </c>
      <c r="BN10" s="613">
        <f t="shared" si="30"/>
        <v>72978.331602098086</v>
      </c>
      <c r="BO10" s="613">
        <f t="shared" si="30"/>
        <v>75058.214052757874</v>
      </c>
      <c r="BP10" s="613">
        <f t="shared" si="30"/>
        <v>77197.373153261477</v>
      </c>
      <c r="BQ10" s="613">
        <f t="shared" si="30"/>
        <v>79397.498288129427</v>
      </c>
      <c r="BR10" s="475"/>
      <c r="BS10" s="475"/>
      <c r="BT10" s="475"/>
      <c r="BU10" s="475"/>
      <c r="BV10" s="475"/>
      <c r="BW10" s="475"/>
      <c r="BX10" s="475"/>
      <c r="BY10" s="475"/>
      <c r="BZ10" s="475"/>
      <c r="CA10" s="475"/>
    </row>
    <row r="11" spans="1:102" x14ac:dyDescent="0.25">
      <c r="B11" t="s">
        <v>223</v>
      </c>
      <c r="D11" s="414">
        <f>VLOOKUP(D$5,'Dynamic Population'!$A$14:$AA$97,19,FALSE)*'Underlying Assumptions'!$E$9/1000000</f>
        <v>20275.609848683933</v>
      </c>
      <c r="E11" s="414">
        <f>VLOOKUP(E$5,'Dynamic Population'!$A$14:$AA$97,19,FALSE)*'Underlying Assumptions'!$E$9/1000000</f>
        <v>21823.404134398086</v>
      </c>
      <c r="F11" s="414">
        <f>VLOOKUP(F$5,'Dynamic Population'!$A$14:$AA$97,19,FALSE)*'Underlying Assumptions'!$E$9/1000000</f>
        <v>21823.404134398086</v>
      </c>
      <c r="G11" s="414">
        <f>VLOOKUP(G$5,'Dynamic Population'!$A$14:$AA$97,19,FALSE)*'Underlying Assumptions'!$E$9/1000000</f>
        <v>21823.404134398086</v>
      </c>
      <c r="H11" s="414">
        <f>VLOOKUP(H$5,'Dynamic Population'!$A$14:$AA$97,19,FALSE)*'Underlying Assumptions'!$E$9/1000000</f>
        <v>21823.404134398086</v>
      </c>
      <c r="I11" s="414">
        <f>VLOOKUP(I$5,'Dynamic Population'!$A$14:$AA$97,19,FALSE)*'Underlying Assumptions'!$E$9/1000000</f>
        <v>23061.639562969405</v>
      </c>
      <c r="J11" s="414">
        <f>VLOOKUP(J$5,'Dynamic Population'!$A$14:$AA$97,19,FALSE)*'Underlying Assumptions'!$E$9/1000000</f>
        <v>23061.639562969405</v>
      </c>
      <c r="K11" s="414">
        <f>VLOOKUP(K$5,'Dynamic Population'!$A$14:$AA$97,19,FALSE)*'Underlying Assumptions'!$E$9/1000000</f>
        <v>23061.639562969405</v>
      </c>
      <c r="L11" s="414">
        <f>VLOOKUP(L$5,'Dynamic Population'!$A$14:$AA$97,19,FALSE)*'Underlying Assumptions'!$E$9/1000000</f>
        <v>23061.639562969405</v>
      </c>
      <c r="M11" s="414">
        <f>VLOOKUP(M$5,'Dynamic Population'!$A$14:$AA$97,19,FALSE)*'Underlying Assumptions'!$E$9/1000000</f>
        <v>23061.639562969405</v>
      </c>
      <c r="N11" s="414">
        <f>VLOOKUP(N$5,'Dynamic Population'!$A$14:$AA$97,19,FALSE)*'Underlying Assumptions'!$E$9/1000000</f>
        <v>23061.639562969405</v>
      </c>
      <c r="O11" s="414">
        <f>VLOOKUP(O$5,'Dynamic Population'!$A$14:$AA$97,19,FALSE)*'Underlying Assumptions'!$E$9/1000000</f>
        <v>23061.639562969405</v>
      </c>
      <c r="P11" s="414">
        <f>VLOOKUP(P$5,'Dynamic Population'!$A$14:$AA$97,19,FALSE)*'Underlying Assumptions'!$E$9/1000000</f>
        <v>23061.639562969405</v>
      </c>
      <c r="Q11" s="414">
        <f>VLOOKUP(Q$5,'Dynamic Population'!$A$14:$AA$97,19,FALSE)*'Underlying Assumptions'!$E$9/1000000</f>
        <v>23061.639562969405</v>
      </c>
      <c r="R11" s="414">
        <f>VLOOKUP(R$5,'Dynamic Population'!$A$14:$AA$97,19,FALSE)*'Underlying Assumptions'!$E$9/1000000</f>
        <v>23061.639562969405</v>
      </c>
      <c r="S11" s="414">
        <f>VLOOKUP(S$5,'Dynamic Population'!$A$14:$AA$97,19,FALSE)*'Underlying Assumptions'!$E$9/1000000</f>
        <v>23061.639562969405</v>
      </c>
      <c r="T11" s="414">
        <f>VLOOKUP(T$5,'Dynamic Population'!$A$14:$AA$97,19,FALSE)*'Underlying Assumptions'!$E$9/1000000</f>
        <v>23061.639562969405</v>
      </c>
      <c r="U11" s="414">
        <f>VLOOKUP(U$5,'Dynamic Population'!$A$14:$AA$97,19,FALSE)*'Underlying Assumptions'!$E$9/1000000</f>
        <v>23061.639562969405</v>
      </c>
      <c r="V11" s="414">
        <f>VLOOKUP(V$5,'Dynamic Population'!$A$14:$AA$97,19,FALSE)*'Underlying Assumptions'!$E$9/1000000</f>
        <v>23061.639562969405</v>
      </c>
      <c r="W11" s="414">
        <f>VLOOKUP(W$5,'Dynamic Population'!$A$14:$AA$97,19,FALSE)*'Underlying Assumptions'!$E$9/1000000</f>
        <v>23061.639562969405</v>
      </c>
      <c r="X11" s="414">
        <f>VLOOKUP(X$5,'Dynamic Population'!$A$14:$AA$97,19,FALSE)*'Underlying Assumptions'!$E$9/1000000</f>
        <v>23061.639562969405</v>
      </c>
      <c r="Y11" s="414">
        <f>VLOOKUP(Y$5,'Dynamic Population'!$A$14:$AA$97,19,FALSE)*'Underlying Assumptions'!$E$9/1000000</f>
        <v>23061.639562969405</v>
      </c>
      <c r="Z11" s="414">
        <f>VLOOKUP(Z$5,'Dynamic Population'!$A$14:$AA$97,19,FALSE)*'Underlying Assumptions'!$E$9/1000000</f>
        <v>23061.639562969405</v>
      </c>
      <c r="AA11" s="414">
        <f>VLOOKUP(AA$5,'Dynamic Population'!$A$14:$AA$97,19,FALSE)*'Underlying Assumptions'!$E$9/1000000</f>
        <v>23061.639562969405</v>
      </c>
      <c r="AB11" s="414">
        <f>VLOOKUP(AB$5,'Dynamic Population'!$A$14:$AA$97,19,FALSE)*'Underlying Assumptions'!$E$9/1000000</f>
        <v>23061.639562969405</v>
      </c>
      <c r="AC11" s="414">
        <f>VLOOKUP(AC$5,'Dynamic Population'!$A$14:$AA$97,19,FALSE)*'Underlying Assumptions'!$E$9/1000000</f>
        <v>23061.639562969405</v>
      </c>
      <c r="AD11" s="414">
        <f>VLOOKUP(AD$5,'Dynamic Population'!$A$14:$AA$97,19,FALSE)*'Underlying Assumptions'!$E$9/1000000</f>
        <v>23061.639562969405</v>
      </c>
      <c r="AE11" s="414">
        <f>VLOOKUP(AE$5,'Dynamic Population'!$A$14:$AA$97,19,FALSE)*'Underlying Assumptions'!$E$9/1000000</f>
        <v>23061.639562969405</v>
      </c>
      <c r="AF11" s="414">
        <f>VLOOKUP(AF$5,'Dynamic Population'!$A$14:$AA$97,19,FALSE)*'Underlying Assumptions'!$E$9/1000000</f>
        <v>23061.639562969405</v>
      </c>
      <c r="AG11" s="414">
        <f>VLOOKUP(AG$5,'Dynamic Population'!$A$14:$AA$97,19,FALSE)*'Underlying Assumptions'!$E$9/1000000</f>
        <v>23061.639562969405</v>
      </c>
      <c r="AH11" s="414">
        <f>VLOOKUP(AH$5,'Dynamic Population'!$A$14:$AA$97,19,FALSE)*'Underlying Assumptions'!$E$9/1000000</f>
        <v>23061.639562969405</v>
      </c>
      <c r="AI11" s="414">
        <f>VLOOKUP(AI$5,'Dynamic Population'!$A$14:$AA$97,19,FALSE)*'Underlying Assumptions'!$E$9/1000000</f>
        <v>23061.639562969405</v>
      </c>
      <c r="AJ11" s="414">
        <f>VLOOKUP(AJ$5,'Dynamic Population'!$A$14:$AA$97,19,FALSE)*'Underlying Assumptions'!$E$9/1000000</f>
        <v>23061.639562969405</v>
      </c>
      <c r="AK11" s="414">
        <f>VLOOKUP(AK$5,'Dynamic Population'!$A$14:$AA$97,19,FALSE)*'Underlying Assumptions'!$E$9/1000000</f>
        <v>23061.639562969405</v>
      </c>
      <c r="AL11" s="414">
        <f>VLOOKUP(AL$5,'Dynamic Population'!$A$14:$AA$97,19,FALSE)*'Underlying Assumptions'!$E$9/1000000</f>
        <v>23061.639562969405</v>
      </c>
      <c r="AM11" s="414">
        <f>VLOOKUP(AM$5,'Dynamic Population'!$A$14:$AA$97,19,FALSE)*'Underlying Assumptions'!$E$9/1000000</f>
        <v>23061.639562969405</v>
      </c>
      <c r="AN11" s="414">
        <f>VLOOKUP(AN$5,'Dynamic Population'!$A$14:$AA$97,19,FALSE)*'Underlying Assumptions'!$E$9/1000000</f>
        <v>23061.639562969405</v>
      </c>
      <c r="AO11" s="414">
        <f>VLOOKUP(AO$5,'Dynamic Population'!$A$14:$AA$97,19,FALSE)*'Underlying Assumptions'!$E$9/1000000</f>
        <v>23061.639562969405</v>
      </c>
      <c r="AP11" s="414">
        <f>VLOOKUP(AP$5,'Dynamic Population'!$A$14:$AA$97,19,FALSE)*'Underlying Assumptions'!$E$9/1000000</f>
        <v>23061.639562969405</v>
      </c>
      <c r="AQ11" s="414">
        <f>VLOOKUP(AQ$5,'Dynamic Population'!$A$14:$AA$97,19,FALSE)*'Underlying Assumptions'!$E$9/1000000</f>
        <v>23061.639562969405</v>
      </c>
      <c r="AR11" s="414">
        <f>VLOOKUP(AR$5,'Dynamic Population'!$A$14:$AA$97,19,FALSE)*'Underlying Assumptions'!$E$9/1000000</f>
        <v>23061.639562969405</v>
      </c>
      <c r="AS11" s="414">
        <f>VLOOKUP(AS$5,'Dynamic Population'!$A$14:$AA$97,19,FALSE)*'Underlying Assumptions'!$E$9/1000000</f>
        <v>23061.639562969405</v>
      </c>
      <c r="AT11" s="414">
        <f>VLOOKUP(AT$5,'Dynamic Population'!$A$14:$AA$97,19,FALSE)*'Underlying Assumptions'!$E$9/1000000</f>
        <v>23061.639562969405</v>
      </c>
      <c r="AU11" s="414">
        <f>VLOOKUP(AU$5,'Dynamic Population'!$A$14:$AA$97,19,FALSE)*'Underlying Assumptions'!$E$9/1000000</f>
        <v>23061.639562969405</v>
      </c>
      <c r="AV11" s="414">
        <f>VLOOKUP(AV$5,'Dynamic Population'!$A$14:$AA$97,19,FALSE)*'Underlying Assumptions'!$E$9/1000000</f>
        <v>23061.639562969405</v>
      </c>
      <c r="AW11" s="414">
        <f>VLOOKUP(AW$5,'Dynamic Population'!$A$14:$AA$97,19,FALSE)*'Underlying Assumptions'!$E$9/1000000</f>
        <v>23061.639562969405</v>
      </c>
      <c r="AX11" s="414">
        <f>VLOOKUP(AX$5,'Dynamic Population'!$A$14:$AA$97,19,FALSE)*'Underlying Assumptions'!$E$9/1000000</f>
        <v>23061.639562969405</v>
      </c>
      <c r="AY11" s="414">
        <f>VLOOKUP(AY$5,'Dynamic Population'!$A$14:$AA$97,19,FALSE)*'Underlying Assumptions'!$E$9/1000000</f>
        <v>23061.639562969405</v>
      </c>
      <c r="AZ11" s="414">
        <f>VLOOKUP(AZ$5,'Dynamic Population'!$A$14:$AA$97,19,FALSE)*'Underlying Assumptions'!$E$9/1000000</f>
        <v>23061.639562969405</v>
      </c>
      <c r="BA11" s="414">
        <f>VLOOKUP(BA$5,'Dynamic Population'!$A$14:$AA$97,19,FALSE)*'Underlying Assumptions'!$E$9/1000000</f>
        <v>23061.639562969405</v>
      </c>
      <c r="BB11" s="611">
        <f>VLOOKUP(BB$5,'Dynamic Population'!$A$14:$AA$97,19,FALSE)*'Underlying Assumptions'!$E$9/1000000</f>
        <v>23061.639562969405</v>
      </c>
      <c r="BC11" s="611">
        <f>VLOOKUP(BC$5,'Dynamic Population'!$A$14:$AA$97,19,FALSE)*'Underlying Assumptions'!$E$9/1000000</f>
        <v>23061.639562969405</v>
      </c>
      <c r="BD11" s="611">
        <f>VLOOKUP(BD$5,'Dynamic Population'!$A$14:$AA$97,19,FALSE)*'Underlying Assumptions'!$E$9/1000000</f>
        <v>23061.639562969405</v>
      </c>
      <c r="BE11" s="611">
        <f>VLOOKUP(BE$5,'Dynamic Population'!$A$14:$AA$97,19,FALSE)*'Underlying Assumptions'!$E$9/1000000</f>
        <v>23061.639562969405</v>
      </c>
      <c r="BF11" s="611">
        <f>VLOOKUP(BF$5,'Dynamic Population'!$A$14:$AA$97,19,FALSE)*'Underlying Assumptions'!$E$9/1000000</f>
        <v>23061.639562969405</v>
      </c>
      <c r="BG11" s="611">
        <f>VLOOKUP(BG$5,'Dynamic Population'!$A$14:$AA$97,19,FALSE)*'Underlying Assumptions'!$E$9/1000000</f>
        <v>23061.639562969405</v>
      </c>
      <c r="BH11" s="611">
        <f>VLOOKUP(BH$5,'Dynamic Population'!$A$14:$AA$97,19,FALSE)*'Underlying Assumptions'!$E$9/1000000</f>
        <v>23061.639562969405</v>
      </c>
      <c r="BI11" s="611">
        <f>VLOOKUP(BI$5,'Dynamic Population'!$A$14:$AA$97,19,FALSE)*'Underlying Assumptions'!$E$9/1000000</f>
        <v>23061.639562969405</v>
      </c>
      <c r="BJ11" s="611">
        <f>VLOOKUP(BJ$5,'Dynamic Population'!$A$14:$AA$97,19,FALSE)*'Underlying Assumptions'!$E$9/1000000</f>
        <v>23061.639562969405</v>
      </c>
      <c r="BK11" s="611">
        <f>VLOOKUP(BK$5,'Dynamic Population'!$A$14:$AA$97,19,FALSE)*'Underlying Assumptions'!$E$9/1000000</f>
        <v>23061.639562969405</v>
      </c>
      <c r="BL11" s="611">
        <f>VLOOKUP(BL$5,'Dynamic Population'!$A$14:$AA$97,19,FALSE)*'Underlying Assumptions'!$E$9/1000000</f>
        <v>23061.639562969405</v>
      </c>
      <c r="BM11" s="611">
        <f>VLOOKUP(BM$5,'Dynamic Population'!$A$14:$AA$97,19,FALSE)*'Underlying Assumptions'!$E$9/1000000</f>
        <v>23061.639562969405</v>
      </c>
      <c r="BN11" s="611">
        <f>VLOOKUP(BN$5,'Dynamic Population'!$A$14:$AA$97,19,FALSE)*'Underlying Assumptions'!$E$9/1000000</f>
        <v>23061.639562969405</v>
      </c>
      <c r="BO11" s="611">
        <f>VLOOKUP(BO$5,'Dynamic Population'!$A$14:$AA$97,19,FALSE)*'Underlying Assumptions'!$E$9/1000000</f>
        <v>23061.639562969405</v>
      </c>
      <c r="BP11" s="611">
        <f>VLOOKUP(BP$5,'Dynamic Population'!$A$14:$AA$97,19,FALSE)*'Underlying Assumptions'!$E$9/1000000</f>
        <v>23061.639562969405</v>
      </c>
      <c r="BQ11" s="611">
        <f>VLOOKUP(BQ$5,'Dynamic Population'!$A$14:$AA$97,19,FALSE)*'Underlying Assumptions'!$E$9/1000000</f>
        <v>23061.639562969405</v>
      </c>
      <c r="BR11" s="414"/>
      <c r="BS11" s="414"/>
      <c r="BT11" s="414"/>
      <c r="BU11" s="414"/>
      <c r="BV11" s="414"/>
      <c r="BW11" s="414"/>
      <c r="BX11" s="414"/>
      <c r="BY11" s="414"/>
      <c r="BZ11" s="414"/>
      <c r="CA11" s="414"/>
    </row>
    <row r="12" spans="1:102" x14ac:dyDescent="0.25">
      <c r="B12" t="s">
        <v>224</v>
      </c>
      <c r="D12" s="476">
        <f>D11-D10</f>
        <v>4969.2494338746365</v>
      </c>
      <c r="E12" s="476">
        <f>E11-E10</f>
        <v>6237.3747647210821</v>
      </c>
      <c r="F12" s="476">
        <f t="shared" ref="F12:BA12" si="31">F11-F10</f>
        <v>5954.1972706728448</v>
      </c>
      <c r="G12" s="476">
        <f t="shared" si="31"/>
        <v>5667.5384118193779</v>
      </c>
      <c r="H12" s="476">
        <f t="shared" si="31"/>
        <v>5377.4297612863229</v>
      </c>
      <c r="I12" s="476">
        <f t="shared" si="31"/>
        <v>6322.1429481773666</v>
      </c>
      <c r="J12" s="476">
        <f t="shared" si="31"/>
        <v>6025.2481814058738</v>
      </c>
      <c r="K12" s="476">
        <f t="shared" si="31"/>
        <v>5725.0270690537764</v>
      </c>
      <c r="L12" s="476">
        <f t="shared" si="31"/>
        <v>5421.5311621972796</v>
      </c>
      <c r="M12" s="476">
        <f t="shared" si="31"/>
        <v>5114.8176521481473</v>
      </c>
      <c r="N12" s="476">
        <f t="shared" si="31"/>
        <v>4804.9496500747409</v>
      </c>
      <c r="O12" s="476">
        <f t="shared" si="31"/>
        <v>4491.9964779802176</v>
      </c>
      <c r="P12" s="476">
        <f t="shared" si="31"/>
        <v>4010.5088448403003</v>
      </c>
      <c r="Q12" s="476">
        <f t="shared" si="31"/>
        <v>3516.6596092071959</v>
      </c>
      <c r="R12" s="476">
        <f t="shared" si="31"/>
        <v>3010.1352480688001</v>
      </c>
      <c r="S12" s="476">
        <f t="shared" si="31"/>
        <v>2490.6144083129657</v>
      </c>
      <c r="T12" s="476">
        <f t="shared" si="31"/>
        <v>1957.7677150708187</v>
      </c>
      <c r="U12" s="476">
        <f t="shared" si="31"/>
        <v>1411.257575495747</v>
      </c>
      <c r="V12" s="476">
        <f t="shared" si="31"/>
        <v>850.73797787334843</v>
      </c>
      <c r="W12" s="476">
        <f t="shared" si="31"/>
        <v>275.85428595580379</v>
      </c>
      <c r="X12" s="476">
        <f t="shared" si="31"/>
        <v>-313.75697158855473</v>
      </c>
      <c r="Y12" s="476">
        <f t="shared" si="31"/>
        <v>-918.468316721679</v>
      </c>
      <c r="Z12" s="476">
        <f t="shared" si="31"/>
        <v>-1538.6615426922071</v>
      </c>
      <c r="AA12" s="476">
        <f t="shared" si="31"/>
        <v>-2174.7279399177751</v>
      </c>
      <c r="AB12" s="476">
        <f t="shared" si="31"/>
        <v>-2827.0685272121227</v>
      </c>
      <c r="AC12" s="476">
        <f t="shared" si="31"/>
        <v>-3496.094288478027</v>
      </c>
      <c r="AD12" s="476">
        <f t="shared" si="31"/>
        <v>-4182.2264149898401</v>
      </c>
      <c r="AE12" s="476">
        <f t="shared" si="31"/>
        <v>-4885.89655339198</v>
      </c>
      <c r="AF12" s="476">
        <f t="shared" si="31"/>
        <v>-5607.5470595424558</v>
      </c>
      <c r="AG12" s="476">
        <f t="shared" si="31"/>
        <v>-6347.6312583329855</v>
      </c>
      <c r="AH12" s="476">
        <f t="shared" si="31"/>
        <v>-7106.6137096204511</v>
      </c>
      <c r="AI12" s="476">
        <f t="shared" si="31"/>
        <v>-7884.9704804066896</v>
      </c>
      <c r="AJ12" s="476">
        <f t="shared" si="31"/>
        <v>-8683.189423407086</v>
      </c>
      <c r="AK12" s="476">
        <f t="shared" si="31"/>
        <v>-9501.7704621507692</v>
      </c>
      <c r="AL12" s="476">
        <f t="shared" si="31"/>
        <v>-10341.225882758667</v>
      </c>
      <c r="AM12" s="476">
        <f t="shared" si="31"/>
        <v>-11202.080632548303</v>
      </c>
      <c r="AN12" s="476">
        <f t="shared" si="31"/>
        <v>-12084.872625617663</v>
      </c>
      <c r="AO12" s="476">
        <f t="shared" si="31"/>
        <v>-13086.548222992384</v>
      </c>
      <c r="AP12" s="476">
        <f t="shared" si="31"/>
        <v>-14116.771574892296</v>
      </c>
      <c r="AQ12" s="476">
        <f t="shared" si="31"/>
        <v>-15176.356292321358</v>
      </c>
      <c r="AR12" s="476">
        <f t="shared" si="31"/>
        <v>-16266.139174197142</v>
      </c>
      <c r="AS12" s="476">
        <f t="shared" si="31"/>
        <v>-17386.980868206392</v>
      </c>
      <c r="AT12" s="476">
        <f t="shared" si="31"/>
        <v>-18539.766550494907</v>
      </c>
      <c r="AU12" s="476">
        <f t="shared" si="31"/>
        <v>-19725.406624728628</v>
      </c>
      <c r="AV12" s="476">
        <f t="shared" si="31"/>
        <v>-20944.837441078027</v>
      </c>
      <c r="AW12" s="476">
        <f t="shared" si="31"/>
        <v>-22199.022035693375</v>
      </c>
      <c r="AX12" s="476">
        <f t="shared" si="31"/>
        <v>-23488.950891255266</v>
      </c>
      <c r="AY12" s="476">
        <f t="shared" si="31"/>
        <v>-24815.642719200663</v>
      </c>
      <c r="AZ12" s="476">
        <f t="shared" si="31"/>
        <v>-26180.14526424251</v>
      </c>
      <c r="BA12" s="476">
        <f t="shared" si="31"/>
        <v>-27583.536131818048</v>
      </c>
      <c r="BB12" s="614">
        <f t="shared" ref="BB12:BF12" si="32">BB11-BB10</f>
        <v>-29026.92363911949</v>
      </c>
      <c r="BC12" s="614">
        <f t="shared" si="32"/>
        <v>-30511.447690379031</v>
      </c>
      <c r="BD12" s="614">
        <f t="shared" si="32"/>
        <v>-32038.280677099461</v>
      </c>
      <c r="BE12" s="614">
        <f t="shared" si="32"/>
        <v>-33608.628403941402</v>
      </c>
      <c r="BF12" s="614">
        <f t="shared" si="32"/>
        <v>-35223.731040998362</v>
      </c>
      <c r="BG12" s="614">
        <f t="shared" ref="BG12:BQ12" si="33">BG11-BG10</f>
        <v>-36884.864103211439</v>
      </c>
      <c r="BH12" s="614">
        <f t="shared" si="33"/>
        <v>-38593.339457697599</v>
      </c>
      <c r="BI12" s="614">
        <f t="shared" si="33"/>
        <v>-40350.506359786596</v>
      </c>
      <c r="BJ12" s="614">
        <f t="shared" si="33"/>
        <v>-42157.752518585141</v>
      </c>
      <c r="BK12" s="614">
        <f t="shared" si="33"/>
        <v>-44016.505192909448</v>
      </c>
      <c r="BL12" s="614">
        <f t="shared" si="33"/>
        <v>-45928.232318451992</v>
      </c>
      <c r="BM12" s="614">
        <f t="shared" si="33"/>
        <v>-47894.443667072497</v>
      </c>
      <c r="BN12" s="614">
        <f t="shared" si="33"/>
        <v>-49916.692039128684</v>
      </c>
      <c r="BO12" s="614">
        <f t="shared" si="33"/>
        <v>-51996.574489788472</v>
      </c>
      <c r="BP12" s="614">
        <f t="shared" si="33"/>
        <v>-54135.733590292075</v>
      </c>
      <c r="BQ12" s="614">
        <f t="shared" si="33"/>
        <v>-56335.858725160026</v>
      </c>
      <c r="BR12" s="476"/>
      <c r="BS12" s="476"/>
      <c r="BT12" s="476"/>
      <c r="BU12" s="476"/>
      <c r="BV12" s="476"/>
      <c r="BW12" s="476"/>
      <c r="BX12" s="476"/>
      <c r="BY12" s="476"/>
      <c r="BZ12" s="476"/>
      <c r="CA12" s="476"/>
    </row>
    <row r="13" spans="1:102" ht="6" customHeight="1" x14ac:dyDescent="0.25"/>
    <row r="14" spans="1:102" x14ac:dyDescent="0.25">
      <c r="A14" s="472" t="s">
        <v>275</v>
      </c>
    </row>
    <row r="15" spans="1:102" x14ac:dyDescent="0.25">
      <c r="B15" t="s">
        <v>276</v>
      </c>
      <c r="D15" s="477">
        <f>'Underlying Assumptions'!E5</f>
        <v>969000000</v>
      </c>
      <c r="E15" s="477">
        <v>0</v>
      </c>
      <c r="F15" s="477">
        <v>0</v>
      </c>
      <c r="G15" s="477">
        <v>0</v>
      </c>
      <c r="H15" s="477">
        <v>0</v>
      </c>
      <c r="I15" s="477">
        <v>0</v>
      </c>
      <c r="J15" s="477">
        <v>0</v>
      </c>
      <c r="K15" s="477">
        <v>0</v>
      </c>
      <c r="L15" s="477">
        <v>0</v>
      </c>
      <c r="M15" s="477">
        <v>0</v>
      </c>
      <c r="N15" s="477">
        <v>0</v>
      </c>
      <c r="O15" s="477">
        <v>0</v>
      </c>
      <c r="P15" s="477">
        <v>0</v>
      </c>
      <c r="Q15" s="477">
        <v>0</v>
      </c>
      <c r="R15" s="477">
        <v>0</v>
      </c>
      <c r="S15" s="477">
        <v>0</v>
      </c>
      <c r="T15" s="477">
        <v>0</v>
      </c>
      <c r="U15" s="477">
        <v>0</v>
      </c>
      <c r="V15" s="477">
        <v>0</v>
      </c>
      <c r="W15" s="477">
        <v>0</v>
      </c>
      <c r="X15" s="477">
        <v>0</v>
      </c>
      <c r="Y15" s="477">
        <v>0</v>
      </c>
      <c r="Z15" s="477">
        <v>0</v>
      </c>
      <c r="AA15" s="477">
        <v>0</v>
      </c>
      <c r="AB15" s="477">
        <v>0</v>
      </c>
      <c r="AC15" s="477">
        <v>0</v>
      </c>
      <c r="AD15" s="477">
        <v>0</v>
      </c>
      <c r="AE15" s="477">
        <v>0</v>
      </c>
      <c r="AF15" s="477">
        <v>0</v>
      </c>
      <c r="AG15" s="477">
        <v>0</v>
      </c>
      <c r="AH15" s="477">
        <v>0</v>
      </c>
      <c r="AI15" s="477">
        <v>0</v>
      </c>
      <c r="AJ15" s="477">
        <v>0</v>
      </c>
      <c r="AK15" s="477">
        <v>0</v>
      </c>
      <c r="AL15" s="477">
        <v>0</v>
      </c>
      <c r="AM15" s="477">
        <v>0</v>
      </c>
      <c r="AN15" s="477">
        <v>0</v>
      </c>
      <c r="AO15" s="477">
        <v>0</v>
      </c>
      <c r="AP15" s="477">
        <v>0</v>
      </c>
      <c r="AQ15" s="477">
        <v>0</v>
      </c>
      <c r="AR15" s="477">
        <v>0</v>
      </c>
      <c r="AS15" s="477">
        <v>0</v>
      </c>
      <c r="AT15" s="477">
        <v>0</v>
      </c>
      <c r="AU15" s="477">
        <v>0</v>
      </c>
      <c r="AV15" s="477">
        <v>0</v>
      </c>
      <c r="AW15" s="477">
        <v>0</v>
      </c>
      <c r="AX15" s="477">
        <v>0</v>
      </c>
      <c r="AY15" s="477">
        <v>0</v>
      </c>
      <c r="AZ15" s="477">
        <v>0</v>
      </c>
      <c r="BA15" s="477">
        <v>0</v>
      </c>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477"/>
      <c r="CI15" s="477"/>
      <c r="CJ15" s="477"/>
      <c r="CK15" s="477"/>
      <c r="CL15" s="477"/>
      <c r="CM15" s="477"/>
      <c r="CN15" s="477"/>
      <c r="CO15" s="477"/>
      <c r="CP15" s="477"/>
      <c r="CQ15" s="477"/>
      <c r="CR15" s="477"/>
      <c r="CS15" s="477"/>
      <c r="CT15" s="477"/>
      <c r="CU15" s="477"/>
      <c r="CV15" s="477"/>
      <c r="CW15" s="477"/>
      <c r="CX15" s="477"/>
    </row>
    <row r="17" spans="1:79" s="609" customFormat="1" ht="18.75" x14ac:dyDescent="0.3">
      <c r="A17" s="709" t="s">
        <v>502</v>
      </c>
    </row>
    <row r="18" spans="1:79" x14ac:dyDescent="0.25">
      <c r="A18" s="472" t="s">
        <v>381</v>
      </c>
    </row>
    <row r="19" spans="1:79" x14ac:dyDescent="0.25">
      <c r="B19" s="480" t="str">
        <f>CONCATENATE("Series ",D$5," Bonds (at ",'Interest Rate'!J16*100,"% Interest)")</f>
        <v>Series 2014 Bonds (at 4.5% Interest)</v>
      </c>
      <c r="C19" s="480"/>
      <c r="D19" s="477">
        <f>-PMT('Underlying Assumptions'!$E$12,50,'Economist Plan 1'!$D$15)</f>
        <v>49033479.333623461</v>
      </c>
      <c r="E19" s="477">
        <f>-PMT('Underlying Assumptions'!$E$12,50,'Economist Plan 1'!$D$15)</f>
        <v>49033479.333623461</v>
      </c>
      <c r="F19" s="477">
        <f>-PMT('Underlying Assumptions'!$E$12,50,'Economist Plan 1'!$D$15)</f>
        <v>49033479.333623461</v>
      </c>
      <c r="G19" s="477">
        <f>-PMT('Underlying Assumptions'!$E$12,50,'Economist Plan 1'!$D$15)</f>
        <v>49033479.333623461</v>
      </c>
      <c r="H19" s="477">
        <f>-PMT('Underlying Assumptions'!$E$12,50,'Economist Plan 1'!$D$15)</f>
        <v>49033479.333623461</v>
      </c>
      <c r="I19" s="477">
        <f>-PMT('Underlying Assumptions'!$E$12,50,'Economist Plan 1'!$D$15)</f>
        <v>49033479.333623461</v>
      </c>
      <c r="J19" s="477">
        <f>-PMT('Underlying Assumptions'!$E$12,50,'Economist Plan 1'!$D$15)</f>
        <v>49033479.333623461</v>
      </c>
      <c r="K19" s="477">
        <f>-PMT('Underlying Assumptions'!$E$12,50,'Economist Plan 1'!$D$15)</f>
        <v>49033479.333623461</v>
      </c>
      <c r="L19" s="477">
        <f>-PMT('Underlying Assumptions'!$E$12,50,'Economist Plan 1'!$D$15)</f>
        <v>49033479.333623461</v>
      </c>
      <c r="M19" s="477">
        <f>-PMT('Underlying Assumptions'!$E$12,50,'Economist Plan 1'!$D$15)</f>
        <v>49033479.333623461</v>
      </c>
      <c r="N19" s="477">
        <f>-PMT('Underlying Assumptions'!$E$12,50,'Economist Plan 1'!$D$15)</f>
        <v>49033479.333623461</v>
      </c>
      <c r="O19" s="477">
        <f>-PMT('Underlying Assumptions'!$E$12,50,'Economist Plan 1'!$D$15)</f>
        <v>49033479.333623461</v>
      </c>
      <c r="P19" s="477">
        <f>-PMT('Underlying Assumptions'!$E$12,50,'Economist Plan 1'!$D$15)</f>
        <v>49033479.333623461</v>
      </c>
      <c r="Q19" s="477">
        <f>-PMT('Underlying Assumptions'!$E$12,50,'Economist Plan 1'!$D$15)</f>
        <v>49033479.333623461</v>
      </c>
      <c r="R19" s="477">
        <f>-PMT('Underlying Assumptions'!$E$12,50,'Economist Plan 1'!$D$15)</f>
        <v>49033479.333623461</v>
      </c>
      <c r="S19" s="477">
        <f>-PMT('Underlying Assumptions'!$E$12,50,'Economist Plan 1'!$D$15)</f>
        <v>49033479.333623461</v>
      </c>
      <c r="T19" s="477">
        <f>-PMT('Underlying Assumptions'!$E$12,50,'Economist Plan 1'!$D$15)</f>
        <v>49033479.333623461</v>
      </c>
      <c r="U19" s="477">
        <f>-PMT('Underlying Assumptions'!$E$12,50,'Economist Plan 1'!$D$15)</f>
        <v>49033479.333623461</v>
      </c>
      <c r="V19" s="477">
        <f>-PMT('Underlying Assumptions'!$E$12,50,'Economist Plan 1'!$D$15)</f>
        <v>49033479.333623461</v>
      </c>
      <c r="W19" s="477">
        <f>-PMT('Underlying Assumptions'!$E$12,50,'Economist Plan 1'!$D$15)</f>
        <v>49033479.333623461</v>
      </c>
      <c r="X19" s="477">
        <f>-PMT('Underlying Assumptions'!$E$12,50,'Economist Plan 1'!$D$15)</f>
        <v>49033479.333623461</v>
      </c>
      <c r="Y19" s="477">
        <f>-PMT('Underlying Assumptions'!$E$12,50,'Economist Plan 1'!$D$15)</f>
        <v>49033479.333623461</v>
      </c>
      <c r="Z19" s="477">
        <f>-PMT('Underlying Assumptions'!$E$12,50,'Economist Plan 1'!$D$15)</f>
        <v>49033479.333623461</v>
      </c>
      <c r="AA19" s="477">
        <f>-PMT('Underlying Assumptions'!$E$12,50,'Economist Plan 1'!$D$15)</f>
        <v>49033479.333623461</v>
      </c>
      <c r="AB19" s="477">
        <f>-PMT('Underlying Assumptions'!$E$12,50,'Economist Plan 1'!$D$15)</f>
        <v>49033479.333623461</v>
      </c>
      <c r="AC19" s="477">
        <f>-PMT('Underlying Assumptions'!$E$12,50,'Economist Plan 1'!$D$15)</f>
        <v>49033479.333623461</v>
      </c>
      <c r="AD19" s="477">
        <f>-PMT('Underlying Assumptions'!$E$12,50,'Economist Plan 1'!$D$15)</f>
        <v>49033479.333623461</v>
      </c>
      <c r="AE19" s="477">
        <f>-PMT('Underlying Assumptions'!$E$12,50,'Economist Plan 1'!$D$15)</f>
        <v>49033479.333623461</v>
      </c>
      <c r="AF19" s="477">
        <f>-PMT('Underlying Assumptions'!$E$12,50,'Economist Plan 1'!$D$15)</f>
        <v>49033479.333623461</v>
      </c>
      <c r="AG19" s="477">
        <f>-PMT('Underlying Assumptions'!$E$12,50,'Economist Plan 1'!$D$15)</f>
        <v>49033479.333623461</v>
      </c>
      <c r="AH19" s="477">
        <f>-PMT('Underlying Assumptions'!$E$12,50,'Economist Plan 1'!$D$15)</f>
        <v>49033479.333623461</v>
      </c>
      <c r="AI19" s="477">
        <f>-PMT('Underlying Assumptions'!$E$12,50,'Economist Plan 1'!$D$15)</f>
        <v>49033479.333623461</v>
      </c>
      <c r="AJ19" s="477">
        <f>-PMT('Underlying Assumptions'!$E$12,50,'Economist Plan 1'!$D$15)</f>
        <v>49033479.333623461</v>
      </c>
      <c r="AK19" s="477">
        <f>-PMT('Underlying Assumptions'!$E$12,50,'Economist Plan 1'!$D$15)</f>
        <v>49033479.333623461</v>
      </c>
      <c r="AL19" s="477">
        <f>-PMT('Underlying Assumptions'!$E$12,50,'Economist Plan 1'!$D$15)</f>
        <v>49033479.333623461</v>
      </c>
      <c r="AM19" s="477">
        <f>-PMT('Underlying Assumptions'!$E$12,50,'Economist Plan 1'!$D$15)</f>
        <v>49033479.333623461</v>
      </c>
      <c r="AN19" s="477">
        <f>-PMT('Underlying Assumptions'!$E$12,50,'Economist Plan 1'!$D$15)</f>
        <v>49033479.333623461</v>
      </c>
      <c r="AO19" s="477">
        <f>-PMT('Underlying Assumptions'!$E$12,50,'Economist Plan 1'!$D$15)</f>
        <v>49033479.333623461</v>
      </c>
      <c r="AP19" s="477">
        <f>-PMT('Underlying Assumptions'!$E$12,50,'Economist Plan 1'!$D$15)</f>
        <v>49033479.333623461</v>
      </c>
      <c r="AQ19" s="477">
        <f>-PMT('Underlying Assumptions'!$E$12,50,'Economist Plan 1'!$D$15)</f>
        <v>49033479.333623461</v>
      </c>
      <c r="AR19" s="477">
        <f>-PMT('Underlying Assumptions'!$E$12,50,'Economist Plan 1'!$D$15)</f>
        <v>49033479.333623461</v>
      </c>
      <c r="AS19" s="477">
        <f>-PMT('Underlying Assumptions'!$E$12,50,'Economist Plan 1'!$D$15)</f>
        <v>49033479.333623461</v>
      </c>
      <c r="AT19" s="477">
        <f>-PMT('Underlying Assumptions'!$E$12,50,'Economist Plan 1'!$D$15)</f>
        <v>49033479.333623461</v>
      </c>
      <c r="AU19" s="477">
        <f>-PMT('Underlying Assumptions'!$E$12,50,'Economist Plan 1'!$D$15)</f>
        <v>49033479.333623461</v>
      </c>
      <c r="AV19" s="477">
        <f>-PMT('Underlying Assumptions'!$E$12,50,'Economist Plan 1'!$D$15)</f>
        <v>49033479.333623461</v>
      </c>
      <c r="AW19" s="477">
        <f>-PMT('Underlying Assumptions'!$E$12,50,'Economist Plan 1'!$D$15)</f>
        <v>49033479.333623461</v>
      </c>
      <c r="AX19" s="477">
        <f>-PMT('Underlying Assumptions'!$E$12,50,'Economist Plan 1'!$D$15)</f>
        <v>49033479.333623461</v>
      </c>
      <c r="AY19" s="477">
        <f>-PMT('Underlying Assumptions'!$E$12,50,'Economist Plan 1'!$D$15)</f>
        <v>49033479.333623461</v>
      </c>
      <c r="AZ19" s="477">
        <f>-PMT('Underlying Assumptions'!$E$12,50,'Economist Plan 1'!$D$15)</f>
        <v>49033479.333623461</v>
      </c>
      <c r="BA19" s="477">
        <f>-PMT('Underlying Assumptions'!$E$12,50,'Economist Plan 1'!$D$15)</f>
        <v>49033479.333623461</v>
      </c>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77"/>
      <c r="CA19" s="477"/>
    </row>
    <row r="20" spans="1:79" s="609" customFormat="1" x14ac:dyDescent="0.25">
      <c r="B20" s="480"/>
      <c r="C20" s="480"/>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7"/>
      <c r="BL20" s="477"/>
      <c r="BM20" s="477"/>
      <c r="BN20" s="477"/>
      <c r="BO20" s="477"/>
      <c r="BP20" s="477"/>
      <c r="BQ20" s="477"/>
      <c r="BR20" s="477"/>
      <c r="BS20" s="477"/>
      <c r="BT20" s="477"/>
      <c r="BU20" s="477"/>
      <c r="BV20" s="477"/>
      <c r="BW20" s="477"/>
      <c r="BX20" s="477"/>
      <c r="BY20" s="477"/>
      <c r="BZ20" s="477"/>
      <c r="CA20" s="477"/>
    </row>
    <row r="21" spans="1:79" s="609" customFormat="1" x14ac:dyDescent="0.25">
      <c r="B21" s="480" t="str">
        <f>B27</f>
        <v>Per 1,000 Gallon of Water Consumed (Water Rates)</v>
      </c>
      <c r="C21" s="480"/>
      <c r="D21" s="479">
        <f>$C$27</f>
        <v>3.2034708451123572</v>
      </c>
      <c r="E21" s="479">
        <f t="shared" ref="E21:BA21" si="34">$C$27</f>
        <v>3.2034708451123572</v>
      </c>
      <c r="F21" s="479">
        <f t="shared" si="34"/>
        <v>3.2034708451123572</v>
      </c>
      <c r="G21" s="479">
        <f t="shared" si="34"/>
        <v>3.2034708451123572</v>
      </c>
      <c r="H21" s="479">
        <f t="shared" si="34"/>
        <v>3.2034708451123572</v>
      </c>
      <c r="I21" s="479">
        <f t="shared" si="34"/>
        <v>3.2034708451123572</v>
      </c>
      <c r="J21" s="479">
        <f t="shared" si="34"/>
        <v>3.2034708451123572</v>
      </c>
      <c r="K21" s="479">
        <f t="shared" si="34"/>
        <v>3.2034708451123572</v>
      </c>
      <c r="L21" s="479">
        <f t="shared" si="34"/>
        <v>3.2034708451123572</v>
      </c>
      <c r="M21" s="479">
        <f t="shared" si="34"/>
        <v>3.2034708451123572</v>
      </c>
      <c r="N21" s="479">
        <f t="shared" si="34"/>
        <v>3.2034708451123572</v>
      </c>
      <c r="O21" s="479">
        <f t="shared" si="34"/>
        <v>3.2034708451123572</v>
      </c>
      <c r="P21" s="479">
        <f t="shared" si="34"/>
        <v>3.2034708451123572</v>
      </c>
      <c r="Q21" s="479">
        <f t="shared" si="34"/>
        <v>3.2034708451123572</v>
      </c>
      <c r="R21" s="479">
        <f t="shared" si="34"/>
        <v>3.2034708451123572</v>
      </c>
      <c r="S21" s="479">
        <f t="shared" si="34"/>
        <v>3.2034708451123572</v>
      </c>
      <c r="T21" s="479">
        <f t="shared" si="34"/>
        <v>3.2034708451123572</v>
      </c>
      <c r="U21" s="479">
        <f t="shared" si="34"/>
        <v>3.2034708451123572</v>
      </c>
      <c r="V21" s="479">
        <f t="shared" si="34"/>
        <v>3.2034708451123572</v>
      </c>
      <c r="W21" s="479">
        <f t="shared" si="34"/>
        <v>3.2034708451123572</v>
      </c>
      <c r="X21" s="479">
        <f t="shared" si="34"/>
        <v>3.2034708451123572</v>
      </c>
      <c r="Y21" s="479">
        <f t="shared" si="34"/>
        <v>3.2034708451123572</v>
      </c>
      <c r="Z21" s="479">
        <f t="shared" si="34"/>
        <v>3.2034708451123572</v>
      </c>
      <c r="AA21" s="479">
        <f t="shared" si="34"/>
        <v>3.2034708451123572</v>
      </c>
      <c r="AB21" s="479">
        <f t="shared" si="34"/>
        <v>3.2034708451123572</v>
      </c>
      <c r="AC21" s="479">
        <f t="shared" si="34"/>
        <v>3.2034708451123572</v>
      </c>
      <c r="AD21" s="479">
        <f t="shared" si="34"/>
        <v>3.2034708451123572</v>
      </c>
      <c r="AE21" s="479">
        <f t="shared" si="34"/>
        <v>3.2034708451123572</v>
      </c>
      <c r="AF21" s="479">
        <f t="shared" si="34"/>
        <v>3.2034708451123572</v>
      </c>
      <c r="AG21" s="479">
        <f t="shared" si="34"/>
        <v>3.2034708451123572</v>
      </c>
      <c r="AH21" s="479">
        <f t="shared" si="34"/>
        <v>3.2034708451123572</v>
      </c>
      <c r="AI21" s="479">
        <f t="shared" si="34"/>
        <v>3.2034708451123572</v>
      </c>
      <c r="AJ21" s="479">
        <f t="shared" si="34"/>
        <v>3.2034708451123572</v>
      </c>
      <c r="AK21" s="479">
        <f t="shared" si="34"/>
        <v>3.2034708451123572</v>
      </c>
      <c r="AL21" s="479">
        <f t="shared" si="34"/>
        <v>3.2034708451123572</v>
      </c>
      <c r="AM21" s="479">
        <f t="shared" si="34"/>
        <v>3.2034708451123572</v>
      </c>
      <c r="AN21" s="479">
        <f t="shared" si="34"/>
        <v>3.2034708451123572</v>
      </c>
      <c r="AO21" s="479">
        <f t="shared" si="34"/>
        <v>3.2034708451123572</v>
      </c>
      <c r="AP21" s="479">
        <f t="shared" si="34"/>
        <v>3.2034708451123572</v>
      </c>
      <c r="AQ21" s="479">
        <f t="shared" si="34"/>
        <v>3.2034708451123572</v>
      </c>
      <c r="AR21" s="479">
        <f t="shared" si="34"/>
        <v>3.2034708451123572</v>
      </c>
      <c r="AS21" s="479">
        <f t="shared" si="34"/>
        <v>3.2034708451123572</v>
      </c>
      <c r="AT21" s="479">
        <f t="shared" si="34"/>
        <v>3.2034708451123572</v>
      </c>
      <c r="AU21" s="479">
        <f t="shared" si="34"/>
        <v>3.2034708451123572</v>
      </c>
      <c r="AV21" s="479">
        <f t="shared" si="34"/>
        <v>3.2034708451123572</v>
      </c>
      <c r="AW21" s="479">
        <f t="shared" si="34"/>
        <v>3.2034708451123572</v>
      </c>
      <c r="AX21" s="479">
        <f t="shared" si="34"/>
        <v>3.2034708451123572</v>
      </c>
      <c r="AY21" s="479">
        <f t="shared" si="34"/>
        <v>3.2034708451123572</v>
      </c>
      <c r="AZ21" s="479">
        <f t="shared" si="34"/>
        <v>3.2034708451123572</v>
      </c>
      <c r="BA21" s="479">
        <f t="shared" si="34"/>
        <v>3.2034708451123572</v>
      </c>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row>
    <row r="22" spans="1:79" s="609" customFormat="1" x14ac:dyDescent="0.25">
      <c r="B22" s="480" t="str">
        <f>B28</f>
        <v>Per Capita Annual Cost</v>
      </c>
      <c r="C22" s="480"/>
      <c r="D22" s="479">
        <f t="shared" ref="D22:AI22" si="35">$C$28</f>
        <v>315.09427837316827</v>
      </c>
      <c r="E22" s="479">
        <f t="shared" si="35"/>
        <v>315.09427837316827</v>
      </c>
      <c r="F22" s="479">
        <f t="shared" si="35"/>
        <v>315.09427837316827</v>
      </c>
      <c r="G22" s="479">
        <f t="shared" si="35"/>
        <v>315.09427837316827</v>
      </c>
      <c r="H22" s="479">
        <f t="shared" si="35"/>
        <v>315.09427837316827</v>
      </c>
      <c r="I22" s="479">
        <f t="shared" si="35"/>
        <v>315.09427837316827</v>
      </c>
      <c r="J22" s="479">
        <f t="shared" si="35"/>
        <v>315.09427837316827</v>
      </c>
      <c r="K22" s="479">
        <f t="shared" si="35"/>
        <v>315.09427837316827</v>
      </c>
      <c r="L22" s="479">
        <f t="shared" si="35"/>
        <v>315.09427837316827</v>
      </c>
      <c r="M22" s="479">
        <f t="shared" si="35"/>
        <v>315.09427837316827</v>
      </c>
      <c r="N22" s="479">
        <f t="shared" si="35"/>
        <v>315.09427837316827</v>
      </c>
      <c r="O22" s="479">
        <f t="shared" si="35"/>
        <v>315.09427837316827</v>
      </c>
      <c r="P22" s="479">
        <f t="shared" si="35"/>
        <v>315.09427837316827</v>
      </c>
      <c r="Q22" s="479">
        <f t="shared" si="35"/>
        <v>315.09427837316827</v>
      </c>
      <c r="R22" s="479">
        <f t="shared" si="35"/>
        <v>315.09427837316827</v>
      </c>
      <c r="S22" s="479">
        <f t="shared" si="35"/>
        <v>315.09427837316827</v>
      </c>
      <c r="T22" s="479">
        <f t="shared" si="35"/>
        <v>315.09427837316827</v>
      </c>
      <c r="U22" s="479">
        <f t="shared" si="35"/>
        <v>315.09427837316827</v>
      </c>
      <c r="V22" s="479">
        <f t="shared" si="35"/>
        <v>315.09427837316827</v>
      </c>
      <c r="W22" s="479">
        <f t="shared" si="35"/>
        <v>315.09427837316827</v>
      </c>
      <c r="X22" s="479">
        <f t="shared" si="35"/>
        <v>315.09427837316827</v>
      </c>
      <c r="Y22" s="479">
        <f t="shared" si="35"/>
        <v>315.09427837316827</v>
      </c>
      <c r="Z22" s="479">
        <f t="shared" si="35"/>
        <v>315.09427837316827</v>
      </c>
      <c r="AA22" s="479">
        <f t="shared" si="35"/>
        <v>315.09427837316827</v>
      </c>
      <c r="AB22" s="479">
        <f t="shared" si="35"/>
        <v>315.09427837316827</v>
      </c>
      <c r="AC22" s="479">
        <f t="shared" si="35"/>
        <v>315.09427837316827</v>
      </c>
      <c r="AD22" s="479">
        <f t="shared" si="35"/>
        <v>315.09427837316827</v>
      </c>
      <c r="AE22" s="479">
        <f t="shared" si="35"/>
        <v>315.09427837316827</v>
      </c>
      <c r="AF22" s="479">
        <f t="shared" si="35"/>
        <v>315.09427837316827</v>
      </c>
      <c r="AG22" s="479">
        <f t="shared" si="35"/>
        <v>315.09427837316827</v>
      </c>
      <c r="AH22" s="479">
        <f t="shared" si="35"/>
        <v>315.09427837316827</v>
      </c>
      <c r="AI22" s="479">
        <f t="shared" si="35"/>
        <v>315.09427837316827</v>
      </c>
      <c r="AJ22" s="479">
        <f t="shared" ref="AJ22:BA22" si="36">$C$28</f>
        <v>315.09427837316827</v>
      </c>
      <c r="AK22" s="479">
        <f t="shared" si="36"/>
        <v>315.09427837316827</v>
      </c>
      <c r="AL22" s="479">
        <f t="shared" si="36"/>
        <v>315.09427837316827</v>
      </c>
      <c r="AM22" s="479">
        <f t="shared" si="36"/>
        <v>315.09427837316827</v>
      </c>
      <c r="AN22" s="479">
        <f t="shared" si="36"/>
        <v>315.09427837316827</v>
      </c>
      <c r="AO22" s="479">
        <f t="shared" si="36"/>
        <v>315.09427837316827</v>
      </c>
      <c r="AP22" s="479">
        <f t="shared" si="36"/>
        <v>315.09427837316827</v>
      </c>
      <c r="AQ22" s="479">
        <f t="shared" si="36"/>
        <v>315.09427837316827</v>
      </c>
      <c r="AR22" s="479">
        <f t="shared" si="36"/>
        <v>315.09427837316827</v>
      </c>
      <c r="AS22" s="479">
        <f t="shared" si="36"/>
        <v>315.09427837316827</v>
      </c>
      <c r="AT22" s="479">
        <f t="shared" si="36"/>
        <v>315.09427837316827</v>
      </c>
      <c r="AU22" s="479">
        <f t="shared" si="36"/>
        <v>315.09427837316827</v>
      </c>
      <c r="AV22" s="479">
        <f t="shared" si="36"/>
        <v>315.09427837316827</v>
      </c>
      <c r="AW22" s="479">
        <f t="shared" si="36"/>
        <v>315.09427837316827</v>
      </c>
      <c r="AX22" s="479">
        <f t="shared" si="36"/>
        <v>315.09427837316827</v>
      </c>
      <c r="AY22" s="479">
        <f t="shared" si="36"/>
        <v>315.09427837316827</v>
      </c>
      <c r="AZ22" s="479">
        <f t="shared" si="36"/>
        <v>315.09427837316827</v>
      </c>
      <c r="BA22" s="479">
        <f t="shared" si="36"/>
        <v>315.09427837316827</v>
      </c>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row>
    <row r="23" spans="1:79" s="609" customFormat="1" x14ac:dyDescent="0.25">
      <c r="B23" s="480" t="str">
        <f>B29</f>
        <v>Cost Per Household Per Month</v>
      </c>
      <c r="C23" s="480"/>
      <c r="D23" s="479">
        <f>$C$29</f>
        <v>73.521998287072591</v>
      </c>
      <c r="E23" s="479">
        <f t="shared" ref="E23:BA23" si="37">$C$29</f>
        <v>73.521998287072591</v>
      </c>
      <c r="F23" s="479">
        <f t="shared" si="37"/>
        <v>73.521998287072591</v>
      </c>
      <c r="G23" s="479">
        <f t="shared" si="37"/>
        <v>73.521998287072591</v>
      </c>
      <c r="H23" s="479">
        <f t="shared" si="37"/>
        <v>73.521998287072591</v>
      </c>
      <c r="I23" s="479">
        <f t="shared" si="37"/>
        <v>73.521998287072591</v>
      </c>
      <c r="J23" s="479">
        <f t="shared" si="37"/>
        <v>73.521998287072591</v>
      </c>
      <c r="K23" s="479">
        <f t="shared" si="37"/>
        <v>73.521998287072591</v>
      </c>
      <c r="L23" s="479">
        <f t="shared" si="37"/>
        <v>73.521998287072591</v>
      </c>
      <c r="M23" s="479">
        <f t="shared" si="37"/>
        <v>73.521998287072591</v>
      </c>
      <c r="N23" s="479">
        <f t="shared" si="37"/>
        <v>73.521998287072591</v>
      </c>
      <c r="O23" s="479">
        <f t="shared" si="37"/>
        <v>73.521998287072591</v>
      </c>
      <c r="P23" s="479">
        <f t="shared" si="37"/>
        <v>73.521998287072591</v>
      </c>
      <c r="Q23" s="479">
        <f t="shared" si="37"/>
        <v>73.521998287072591</v>
      </c>
      <c r="R23" s="479">
        <f t="shared" si="37"/>
        <v>73.521998287072591</v>
      </c>
      <c r="S23" s="479">
        <f t="shared" si="37"/>
        <v>73.521998287072591</v>
      </c>
      <c r="T23" s="479">
        <f t="shared" si="37"/>
        <v>73.521998287072591</v>
      </c>
      <c r="U23" s="479">
        <f t="shared" si="37"/>
        <v>73.521998287072591</v>
      </c>
      <c r="V23" s="479">
        <f t="shared" si="37"/>
        <v>73.521998287072591</v>
      </c>
      <c r="W23" s="479">
        <f t="shared" si="37"/>
        <v>73.521998287072591</v>
      </c>
      <c r="X23" s="479">
        <f t="shared" si="37"/>
        <v>73.521998287072591</v>
      </c>
      <c r="Y23" s="479">
        <f t="shared" si="37"/>
        <v>73.521998287072591</v>
      </c>
      <c r="Z23" s="479">
        <f t="shared" si="37"/>
        <v>73.521998287072591</v>
      </c>
      <c r="AA23" s="479">
        <f t="shared" si="37"/>
        <v>73.521998287072591</v>
      </c>
      <c r="AB23" s="479">
        <f t="shared" si="37"/>
        <v>73.521998287072591</v>
      </c>
      <c r="AC23" s="479">
        <f t="shared" si="37"/>
        <v>73.521998287072591</v>
      </c>
      <c r="AD23" s="479">
        <f t="shared" si="37"/>
        <v>73.521998287072591</v>
      </c>
      <c r="AE23" s="479">
        <f t="shared" si="37"/>
        <v>73.521998287072591</v>
      </c>
      <c r="AF23" s="479">
        <f t="shared" si="37"/>
        <v>73.521998287072591</v>
      </c>
      <c r="AG23" s="479">
        <f t="shared" si="37"/>
        <v>73.521998287072591</v>
      </c>
      <c r="AH23" s="479">
        <f t="shared" si="37"/>
        <v>73.521998287072591</v>
      </c>
      <c r="AI23" s="479">
        <f t="shared" si="37"/>
        <v>73.521998287072591</v>
      </c>
      <c r="AJ23" s="479">
        <f t="shared" si="37"/>
        <v>73.521998287072591</v>
      </c>
      <c r="AK23" s="479">
        <f t="shared" si="37"/>
        <v>73.521998287072591</v>
      </c>
      <c r="AL23" s="479">
        <f t="shared" si="37"/>
        <v>73.521998287072591</v>
      </c>
      <c r="AM23" s="479">
        <f t="shared" si="37"/>
        <v>73.521998287072591</v>
      </c>
      <c r="AN23" s="479">
        <f t="shared" si="37"/>
        <v>73.521998287072591</v>
      </c>
      <c r="AO23" s="479">
        <f t="shared" si="37"/>
        <v>73.521998287072591</v>
      </c>
      <c r="AP23" s="479">
        <f t="shared" si="37"/>
        <v>73.521998287072591</v>
      </c>
      <c r="AQ23" s="479">
        <f t="shared" si="37"/>
        <v>73.521998287072591</v>
      </c>
      <c r="AR23" s="479">
        <f t="shared" si="37"/>
        <v>73.521998287072591</v>
      </c>
      <c r="AS23" s="479">
        <f t="shared" si="37"/>
        <v>73.521998287072591</v>
      </c>
      <c r="AT23" s="479">
        <f t="shared" si="37"/>
        <v>73.521998287072591</v>
      </c>
      <c r="AU23" s="479">
        <f t="shared" si="37"/>
        <v>73.521998287072591</v>
      </c>
      <c r="AV23" s="479">
        <f t="shared" si="37"/>
        <v>73.521998287072591</v>
      </c>
      <c r="AW23" s="479">
        <f t="shared" si="37"/>
        <v>73.521998287072591</v>
      </c>
      <c r="AX23" s="479">
        <f t="shared" si="37"/>
        <v>73.521998287072591</v>
      </c>
      <c r="AY23" s="479">
        <f t="shared" si="37"/>
        <v>73.521998287072591</v>
      </c>
      <c r="AZ23" s="479">
        <f t="shared" si="37"/>
        <v>73.521998287072591</v>
      </c>
      <c r="BA23" s="479">
        <f t="shared" si="37"/>
        <v>73.521998287072591</v>
      </c>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477"/>
    </row>
    <row r="24" spans="1:79" s="609" customFormat="1" x14ac:dyDescent="0.25">
      <c r="B24" s="480" t="s">
        <v>379</v>
      </c>
      <c r="C24" s="480"/>
      <c r="D24" s="477">
        <f>$C$30</f>
        <v>33430.839579017585</v>
      </c>
      <c r="E24" s="477">
        <f t="shared" ref="E24:BA24" si="38">$C$30</f>
        <v>33430.839579017585</v>
      </c>
      <c r="F24" s="477">
        <f t="shared" si="38"/>
        <v>33430.839579017585</v>
      </c>
      <c r="G24" s="477">
        <f t="shared" si="38"/>
        <v>33430.839579017585</v>
      </c>
      <c r="H24" s="477">
        <f t="shared" si="38"/>
        <v>33430.839579017585</v>
      </c>
      <c r="I24" s="477">
        <f t="shared" si="38"/>
        <v>33430.839579017585</v>
      </c>
      <c r="J24" s="477">
        <f t="shared" si="38"/>
        <v>33430.839579017585</v>
      </c>
      <c r="K24" s="477">
        <f t="shared" si="38"/>
        <v>33430.839579017585</v>
      </c>
      <c r="L24" s="477">
        <f t="shared" si="38"/>
        <v>33430.839579017585</v>
      </c>
      <c r="M24" s="477">
        <f t="shared" si="38"/>
        <v>33430.839579017585</v>
      </c>
      <c r="N24" s="477">
        <f t="shared" si="38"/>
        <v>33430.839579017585</v>
      </c>
      <c r="O24" s="477">
        <f t="shared" si="38"/>
        <v>33430.839579017585</v>
      </c>
      <c r="P24" s="477">
        <f t="shared" si="38"/>
        <v>33430.839579017585</v>
      </c>
      <c r="Q24" s="477">
        <f t="shared" si="38"/>
        <v>33430.839579017585</v>
      </c>
      <c r="R24" s="477">
        <f t="shared" si="38"/>
        <v>33430.839579017585</v>
      </c>
      <c r="S24" s="477">
        <f t="shared" si="38"/>
        <v>33430.839579017585</v>
      </c>
      <c r="T24" s="477">
        <f t="shared" si="38"/>
        <v>33430.839579017585</v>
      </c>
      <c r="U24" s="477">
        <f t="shared" si="38"/>
        <v>33430.839579017585</v>
      </c>
      <c r="V24" s="477">
        <f t="shared" si="38"/>
        <v>33430.839579017585</v>
      </c>
      <c r="W24" s="477">
        <f t="shared" si="38"/>
        <v>33430.839579017585</v>
      </c>
      <c r="X24" s="477">
        <f t="shared" si="38"/>
        <v>33430.839579017585</v>
      </c>
      <c r="Y24" s="477">
        <f t="shared" si="38"/>
        <v>33430.839579017585</v>
      </c>
      <c r="Z24" s="477">
        <f t="shared" si="38"/>
        <v>33430.839579017585</v>
      </c>
      <c r="AA24" s="477">
        <f t="shared" si="38"/>
        <v>33430.839579017585</v>
      </c>
      <c r="AB24" s="477">
        <f t="shared" si="38"/>
        <v>33430.839579017585</v>
      </c>
      <c r="AC24" s="477">
        <f t="shared" si="38"/>
        <v>33430.839579017585</v>
      </c>
      <c r="AD24" s="477">
        <f t="shared" si="38"/>
        <v>33430.839579017585</v>
      </c>
      <c r="AE24" s="477">
        <f t="shared" si="38"/>
        <v>33430.839579017585</v>
      </c>
      <c r="AF24" s="477">
        <f t="shared" si="38"/>
        <v>33430.839579017585</v>
      </c>
      <c r="AG24" s="477">
        <f t="shared" si="38"/>
        <v>33430.839579017585</v>
      </c>
      <c r="AH24" s="477">
        <f t="shared" si="38"/>
        <v>33430.839579017585</v>
      </c>
      <c r="AI24" s="477">
        <f t="shared" si="38"/>
        <v>33430.839579017585</v>
      </c>
      <c r="AJ24" s="477">
        <f t="shared" si="38"/>
        <v>33430.839579017585</v>
      </c>
      <c r="AK24" s="477">
        <f t="shared" si="38"/>
        <v>33430.839579017585</v>
      </c>
      <c r="AL24" s="477">
        <f t="shared" si="38"/>
        <v>33430.839579017585</v>
      </c>
      <c r="AM24" s="477">
        <f t="shared" si="38"/>
        <v>33430.839579017585</v>
      </c>
      <c r="AN24" s="477">
        <f t="shared" si="38"/>
        <v>33430.839579017585</v>
      </c>
      <c r="AO24" s="477">
        <f t="shared" si="38"/>
        <v>33430.839579017585</v>
      </c>
      <c r="AP24" s="477">
        <f t="shared" si="38"/>
        <v>33430.839579017585</v>
      </c>
      <c r="AQ24" s="477">
        <f t="shared" si="38"/>
        <v>33430.839579017585</v>
      </c>
      <c r="AR24" s="477">
        <f t="shared" si="38"/>
        <v>33430.839579017585</v>
      </c>
      <c r="AS24" s="477">
        <f t="shared" si="38"/>
        <v>33430.839579017585</v>
      </c>
      <c r="AT24" s="477">
        <f t="shared" si="38"/>
        <v>33430.839579017585</v>
      </c>
      <c r="AU24" s="477">
        <f t="shared" si="38"/>
        <v>33430.839579017585</v>
      </c>
      <c r="AV24" s="477">
        <f t="shared" si="38"/>
        <v>33430.839579017585</v>
      </c>
      <c r="AW24" s="477">
        <f t="shared" si="38"/>
        <v>33430.839579017585</v>
      </c>
      <c r="AX24" s="477">
        <f t="shared" si="38"/>
        <v>33430.839579017585</v>
      </c>
      <c r="AY24" s="477">
        <f t="shared" si="38"/>
        <v>33430.839579017585</v>
      </c>
      <c r="AZ24" s="477">
        <f t="shared" si="38"/>
        <v>33430.839579017585</v>
      </c>
      <c r="BA24" s="477">
        <f t="shared" si="38"/>
        <v>33430.839579017585</v>
      </c>
      <c r="BB24" s="477"/>
      <c r="BC24" s="477"/>
      <c r="BD24" s="477"/>
      <c r="BE24" s="477"/>
      <c r="BF24" s="477"/>
      <c r="BG24" s="477"/>
      <c r="BH24" s="477"/>
      <c r="BI24" s="477"/>
      <c r="BJ24" s="477"/>
      <c r="BK24" s="477"/>
      <c r="BL24" s="477"/>
      <c r="BM24" s="477"/>
      <c r="BN24" s="477"/>
      <c r="BO24" s="477"/>
      <c r="BP24" s="477"/>
      <c r="BQ24" s="477"/>
      <c r="BR24" s="477"/>
      <c r="BS24" s="477"/>
      <c r="BT24" s="477"/>
      <c r="BU24" s="477"/>
      <c r="BV24" s="477"/>
      <c r="BW24" s="477"/>
      <c r="BX24" s="477"/>
      <c r="BY24" s="477"/>
      <c r="BZ24" s="477"/>
      <c r="CA24" s="477"/>
    </row>
    <row r="25" spans="1:79" s="609" customFormat="1" x14ac:dyDescent="0.25">
      <c r="B25" s="480"/>
      <c r="C25" s="480"/>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P25" s="477"/>
      <c r="AQ25" s="477"/>
      <c r="AR25" s="477"/>
      <c r="AS25" s="477"/>
      <c r="AT25" s="477"/>
      <c r="AU25" s="477"/>
      <c r="AV25" s="477"/>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77"/>
      <c r="CA25" s="477"/>
    </row>
    <row r="26" spans="1:79" s="609" customFormat="1" ht="15.75" thickBot="1" x14ac:dyDescent="0.3">
      <c r="A26" s="472" t="s">
        <v>278</v>
      </c>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c r="BH26" s="477"/>
      <c r="BI26" s="477"/>
      <c r="BJ26" s="477"/>
      <c r="BK26" s="477"/>
      <c r="BL26" s="477"/>
      <c r="BM26" s="477"/>
      <c r="BN26" s="477"/>
      <c r="BO26" s="477"/>
      <c r="BP26" s="477"/>
      <c r="BQ26" s="477"/>
      <c r="BR26" s="477"/>
      <c r="BS26" s="477"/>
      <c r="BT26" s="477"/>
      <c r="BU26" s="477"/>
      <c r="BV26" s="477"/>
      <c r="BW26" s="477"/>
      <c r="BX26" s="477"/>
      <c r="BY26" s="477"/>
      <c r="BZ26" s="477"/>
      <c r="CA26" s="477"/>
    </row>
    <row r="27" spans="1:79" s="609" customFormat="1" x14ac:dyDescent="0.25">
      <c r="A27" s="472"/>
      <c r="B27" s="609" t="s">
        <v>283</v>
      </c>
      <c r="C27" s="487">
        <f>D19/(D$10*1000000)*1000</f>
        <v>3.2034708451123572</v>
      </c>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row>
    <row r="28" spans="1:79" s="609" customFormat="1" x14ac:dyDescent="0.25">
      <c r="B28" s="609" t="s">
        <v>279</v>
      </c>
      <c r="C28" s="488">
        <f>D19/D$7</f>
        <v>315.09427837316827</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row>
    <row r="29" spans="1:79" s="609" customFormat="1" x14ac:dyDescent="0.25">
      <c r="B29" s="609" t="s">
        <v>280</v>
      </c>
      <c r="C29" s="488">
        <f>C28/12*2.8</f>
        <v>73.521998287072591</v>
      </c>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477"/>
      <c r="BY29" s="477"/>
      <c r="BZ29" s="477"/>
      <c r="CA29" s="477"/>
    </row>
    <row r="30" spans="1:79" s="609" customFormat="1" ht="15.75" thickBot="1" x14ac:dyDescent="0.3">
      <c r="B30" s="609" t="s">
        <v>282</v>
      </c>
      <c r="C30" s="489">
        <f>D19/D$8</f>
        <v>33430.839579017585</v>
      </c>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77"/>
      <c r="BF30" s="477"/>
      <c r="BG30" s="477"/>
      <c r="BH30" s="477"/>
      <c r="BI30" s="477"/>
      <c r="BJ30" s="477"/>
      <c r="BK30" s="477"/>
      <c r="BL30" s="477"/>
      <c r="BM30" s="477"/>
      <c r="BN30" s="477"/>
      <c r="BO30" s="477"/>
      <c r="BP30" s="477"/>
      <c r="BQ30" s="477"/>
      <c r="BR30" s="477"/>
      <c r="BS30" s="477"/>
      <c r="BT30" s="477"/>
      <c r="BU30" s="477"/>
      <c r="BV30" s="477"/>
      <c r="BW30" s="477"/>
      <c r="BX30" s="477"/>
      <c r="BY30" s="477"/>
      <c r="BZ30" s="477"/>
      <c r="CA30" s="477"/>
    </row>
    <row r="31" spans="1:79" s="609" customFormat="1" hidden="1" x14ac:dyDescent="0.25">
      <c r="C31" s="592"/>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c r="BH31" s="477"/>
      <c r="BI31" s="477"/>
      <c r="BJ31" s="477"/>
      <c r="BK31" s="477"/>
      <c r="BL31" s="477"/>
      <c r="BM31" s="477"/>
      <c r="BN31" s="477"/>
      <c r="BO31" s="477"/>
      <c r="BP31" s="477"/>
      <c r="BQ31" s="477"/>
      <c r="BR31" s="477"/>
      <c r="BS31" s="477"/>
      <c r="BT31" s="477"/>
      <c r="BU31" s="477"/>
      <c r="BV31" s="477"/>
      <c r="BW31" s="477"/>
      <c r="BX31" s="477"/>
      <c r="BY31" s="477"/>
      <c r="BZ31" s="477"/>
      <c r="CA31" s="477"/>
    </row>
    <row r="32" spans="1:79" s="609" customFormat="1" ht="18.75" hidden="1" x14ac:dyDescent="0.3">
      <c r="A32" s="709" t="s">
        <v>543</v>
      </c>
      <c r="B32" s="480"/>
      <c r="C32" s="480"/>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c r="AU32" s="477"/>
      <c r="AV32" s="477"/>
      <c r="AW32" s="477"/>
      <c r="AX32" s="477"/>
      <c r="AY32" s="477"/>
      <c r="AZ32" s="477"/>
      <c r="BA32" s="477"/>
      <c r="BB32" s="477"/>
      <c r="BC32" s="477"/>
      <c r="BD32" s="477"/>
      <c r="BE32" s="477"/>
      <c r="BF32" s="477"/>
      <c r="BG32" s="477"/>
      <c r="BH32" s="477"/>
      <c r="BI32" s="477"/>
      <c r="BJ32" s="477"/>
      <c r="BK32" s="477"/>
      <c r="BL32" s="477"/>
      <c r="BM32" s="477"/>
      <c r="BN32" s="477"/>
      <c r="BO32" s="477"/>
      <c r="BP32" s="477"/>
      <c r="BQ32" s="477"/>
      <c r="BR32" s="477"/>
      <c r="BS32" s="477"/>
      <c r="BT32" s="477"/>
      <c r="BU32" s="477"/>
      <c r="BV32" s="477"/>
      <c r="BW32" s="477"/>
      <c r="BX32" s="477"/>
      <c r="BY32" s="477"/>
      <c r="BZ32" s="477"/>
      <c r="CA32" s="477"/>
    </row>
    <row r="33" spans="1:81" hidden="1" x14ac:dyDescent="0.25">
      <c r="A33" s="472" t="s">
        <v>381</v>
      </c>
      <c r="B33" s="480"/>
      <c r="C33" s="480"/>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row>
    <row r="34" spans="1:81" hidden="1" x14ac:dyDescent="0.25">
      <c r="B34" s="480" t="str">
        <f>CONCATENATE("Series ",D$5," Bonds (at 3","% Interest)")</f>
        <v>Series 2014 Bonds (at 3% Interest)</v>
      </c>
      <c r="C34" s="480"/>
      <c r="D34" s="477">
        <f>-PMT(3%,50,'Economist Plan 1'!$D$15)</f>
        <v>37660664.113983564</v>
      </c>
      <c r="E34" s="477">
        <f>-PMT(3%,50,'Economist Plan 1'!$D$15)</f>
        <v>37660664.113983564</v>
      </c>
      <c r="F34" s="477">
        <f>-PMT(3%,50,'Economist Plan 1'!$D$15)</f>
        <v>37660664.113983564</v>
      </c>
      <c r="G34" s="477">
        <f>-PMT(3%,50,'Economist Plan 1'!$D$15)</f>
        <v>37660664.113983564</v>
      </c>
      <c r="H34" s="477">
        <f>-PMT(3%,50,'Economist Plan 1'!$D$15)</f>
        <v>37660664.113983564</v>
      </c>
      <c r="I34" s="477">
        <f>-PMT(3%,50,'Economist Plan 1'!$D$15)</f>
        <v>37660664.113983564</v>
      </c>
      <c r="J34" s="477">
        <f>-PMT(3%,50,'Economist Plan 1'!$D$15)</f>
        <v>37660664.113983564</v>
      </c>
      <c r="K34" s="477">
        <f>-PMT(3%,50,'Economist Plan 1'!$D$15)</f>
        <v>37660664.113983564</v>
      </c>
      <c r="L34" s="477">
        <f>-PMT(3%,50,'Economist Plan 1'!$D$15)</f>
        <v>37660664.113983564</v>
      </c>
      <c r="M34" s="477">
        <f>-PMT(3%,50,'Economist Plan 1'!$D$15)</f>
        <v>37660664.113983564</v>
      </c>
      <c r="N34" s="477">
        <f>-PMT(3%,50,'Economist Plan 1'!$D$15)</f>
        <v>37660664.113983564</v>
      </c>
      <c r="O34" s="477">
        <f>-PMT(3%,50,'Economist Plan 1'!$D$15)</f>
        <v>37660664.113983564</v>
      </c>
      <c r="P34" s="477">
        <f>-PMT(3%,50,'Economist Plan 1'!$D$15)</f>
        <v>37660664.113983564</v>
      </c>
      <c r="Q34" s="477">
        <f>-PMT(3%,50,'Economist Plan 1'!$D$15)</f>
        <v>37660664.113983564</v>
      </c>
      <c r="R34" s="477">
        <f>-PMT(3%,50,'Economist Plan 1'!$D$15)</f>
        <v>37660664.113983564</v>
      </c>
      <c r="S34" s="477">
        <f>-PMT(3%,50,'Economist Plan 1'!$D$15)</f>
        <v>37660664.113983564</v>
      </c>
      <c r="T34" s="477">
        <f>-PMT(3%,50,'Economist Plan 1'!$D$15)</f>
        <v>37660664.113983564</v>
      </c>
      <c r="U34" s="477">
        <f>-PMT(3%,50,'Economist Plan 1'!$D$15)</f>
        <v>37660664.113983564</v>
      </c>
      <c r="V34" s="477">
        <f>-PMT(3%,50,'Economist Plan 1'!$D$15)</f>
        <v>37660664.113983564</v>
      </c>
      <c r="W34" s="477">
        <f>-PMT(3%,50,'Economist Plan 1'!$D$15)</f>
        <v>37660664.113983564</v>
      </c>
      <c r="X34" s="477">
        <f>-PMT(3%,50,'Economist Plan 1'!$D$15)</f>
        <v>37660664.113983564</v>
      </c>
      <c r="Y34" s="477">
        <f>-PMT(3%,50,'Economist Plan 1'!$D$15)</f>
        <v>37660664.113983564</v>
      </c>
      <c r="Z34" s="477">
        <f>-PMT(3%,50,'Economist Plan 1'!$D$15)</f>
        <v>37660664.113983564</v>
      </c>
      <c r="AA34" s="477">
        <f>-PMT(3%,50,'Economist Plan 1'!$D$15)</f>
        <v>37660664.113983564</v>
      </c>
      <c r="AB34" s="477">
        <f>-PMT(3%,50,'Economist Plan 1'!$D$15)</f>
        <v>37660664.113983564</v>
      </c>
      <c r="AC34" s="477">
        <f>-PMT(3%,50,'Economist Plan 1'!$D$15)</f>
        <v>37660664.113983564</v>
      </c>
      <c r="AD34" s="477">
        <f>-PMT(3%,50,'Economist Plan 1'!$D$15)</f>
        <v>37660664.113983564</v>
      </c>
      <c r="AE34" s="477">
        <f>-PMT(3%,50,'Economist Plan 1'!$D$15)</f>
        <v>37660664.113983564</v>
      </c>
      <c r="AF34" s="477">
        <f>-PMT(3%,50,'Economist Plan 1'!$D$15)</f>
        <v>37660664.113983564</v>
      </c>
      <c r="AG34" s="477">
        <f>-PMT(3%,50,'Economist Plan 1'!$D$15)</f>
        <v>37660664.113983564</v>
      </c>
      <c r="AH34" s="477">
        <f>-PMT(3%,50,'Economist Plan 1'!$D$15)</f>
        <v>37660664.113983564</v>
      </c>
      <c r="AI34" s="477">
        <f>-PMT(3%,50,'Economist Plan 1'!$D$15)</f>
        <v>37660664.113983564</v>
      </c>
      <c r="AJ34" s="477">
        <f>-PMT(3%,50,'Economist Plan 1'!$D$15)</f>
        <v>37660664.113983564</v>
      </c>
      <c r="AK34" s="477">
        <f>-PMT(3%,50,'Economist Plan 1'!$D$15)</f>
        <v>37660664.113983564</v>
      </c>
      <c r="AL34" s="477">
        <f>-PMT(3%,50,'Economist Plan 1'!$D$15)</f>
        <v>37660664.113983564</v>
      </c>
      <c r="AM34" s="477">
        <f>-PMT(3%,50,'Economist Plan 1'!$D$15)</f>
        <v>37660664.113983564</v>
      </c>
      <c r="AN34" s="477">
        <f>-PMT(3%,50,'Economist Plan 1'!$D$15)</f>
        <v>37660664.113983564</v>
      </c>
      <c r="AO34" s="477">
        <f>-PMT(3%,50,'Economist Plan 1'!$D$15)</f>
        <v>37660664.113983564</v>
      </c>
      <c r="AP34" s="477">
        <f>-PMT(3%,50,'Economist Plan 1'!$D$15)</f>
        <v>37660664.113983564</v>
      </c>
      <c r="AQ34" s="477">
        <f>-PMT(3%,50,'Economist Plan 1'!$D$15)</f>
        <v>37660664.113983564</v>
      </c>
      <c r="AR34" s="477">
        <f>-PMT(3%,50,'Economist Plan 1'!$D$15)</f>
        <v>37660664.113983564</v>
      </c>
      <c r="AS34" s="477">
        <f>-PMT(3%,50,'Economist Plan 1'!$D$15)</f>
        <v>37660664.113983564</v>
      </c>
      <c r="AT34" s="477">
        <f>-PMT(3%,50,'Economist Plan 1'!$D$15)</f>
        <v>37660664.113983564</v>
      </c>
      <c r="AU34" s="477">
        <f>-PMT(3%,50,'Economist Plan 1'!$D$15)</f>
        <v>37660664.113983564</v>
      </c>
      <c r="AV34" s="477">
        <f>-PMT(3%,50,'Economist Plan 1'!$D$15)</f>
        <v>37660664.113983564</v>
      </c>
      <c r="AW34" s="477">
        <f>-PMT(3%,50,'Economist Plan 1'!$D$15)</f>
        <v>37660664.113983564</v>
      </c>
      <c r="AX34" s="477">
        <f>-PMT(3%,50,'Economist Plan 1'!$D$15)</f>
        <v>37660664.113983564</v>
      </c>
      <c r="AY34" s="477">
        <f>-PMT(3%,50,'Economist Plan 1'!$D$15)</f>
        <v>37660664.113983564</v>
      </c>
      <c r="AZ34" s="477">
        <f>-PMT(3%,50,'Economist Plan 1'!$D$15)</f>
        <v>37660664.113983564</v>
      </c>
      <c r="BA34" s="477">
        <f>-PMT(3%,50,'Economist Plan 1'!$D$15)</f>
        <v>37660664.113983564</v>
      </c>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row>
    <row r="35" spans="1:81" ht="15.75" hidden="1" thickBot="1" x14ac:dyDescent="0.3">
      <c r="A35" s="472" t="s">
        <v>278</v>
      </c>
      <c r="D35" s="477"/>
    </row>
    <row r="36" spans="1:81" hidden="1" x14ac:dyDescent="0.25">
      <c r="A36" s="472"/>
      <c r="B36" t="s">
        <v>283</v>
      </c>
      <c r="C36" s="487">
        <f>D34/(D$10*1000000)*1000</f>
        <v>2.4604584691175773</v>
      </c>
    </row>
    <row r="37" spans="1:81" hidden="1" x14ac:dyDescent="0.25">
      <c r="B37" t="s">
        <v>279</v>
      </c>
      <c r="C37" s="488">
        <f>D34/D$7</f>
        <v>242.01137556054817</v>
      </c>
      <c r="V37" s="574"/>
    </row>
    <row r="38" spans="1:81" hidden="1" x14ac:dyDescent="0.25">
      <c r="B38" t="s">
        <v>280</v>
      </c>
      <c r="C38" s="488">
        <f>C37/12*2.8</f>
        <v>56.469320964127903</v>
      </c>
    </row>
    <row r="39" spans="1:81" ht="15.75" hidden="1" thickBot="1" x14ac:dyDescent="0.3">
      <c r="B39" t="s">
        <v>282</v>
      </c>
      <c r="C39" s="489">
        <f>D34/D$8</f>
        <v>25676.897449341366</v>
      </c>
    </row>
    <row r="40" spans="1:81" hidden="1" x14ac:dyDescent="0.25"/>
    <row r="41" spans="1:81" hidden="1" x14ac:dyDescent="0.25">
      <c r="A41" s="472" t="s">
        <v>382</v>
      </c>
    </row>
    <row r="42" spans="1:81" hidden="1" x14ac:dyDescent="0.25">
      <c r="B42" s="480" t="str">
        <f>CONCATENATE("Series ",D$5," Bonds (at 4","% Interest)")</f>
        <v>Series 2014 Bonds (at 4% Interest)</v>
      </c>
      <c r="C42" s="480"/>
      <c r="D42" s="477">
        <f>-PMT(4%,50,'Economist Plan 1'!$D$15)</f>
        <v>45107144.235605747</v>
      </c>
      <c r="E42" s="477">
        <f>-PMT(4%,50,'Economist Plan 1'!$D$15)</f>
        <v>45107144.235605747</v>
      </c>
      <c r="F42" s="477">
        <f>-PMT(4%,50,'Economist Plan 1'!$D$15)</f>
        <v>45107144.235605747</v>
      </c>
      <c r="G42" s="477">
        <f>-PMT(4%,50,'Economist Plan 1'!$D$15)</f>
        <v>45107144.235605747</v>
      </c>
      <c r="H42" s="477">
        <f>-PMT(4%,50,'Economist Plan 1'!$D$15)</f>
        <v>45107144.235605747</v>
      </c>
      <c r="I42" s="477">
        <f>-PMT(4%,50,'Economist Plan 1'!$D$15)</f>
        <v>45107144.235605747</v>
      </c>
      <c r="J42" s="477">
        <f>-PMT(4%,50,'Economist Plan 1'!$D$15)</f>
        <v>45107144.235605747</v>
      </c>
      <c r="K42" s="477">
        <f>-PMT(4%,50,'Economist Plan 1'!$D$15)</f>
        <v>45107144.235605747</v>
      </c>
      <c r="L42" s="477">
        <f>-PMT(4%,50,'Economist Plan 1'!$D$15)</f>
        <v>45107144.235605747</v>
      </c>
      <c r="M42" s="477">
        <f>-PMT(4%,50,'Economist Plan 1'!$D$15)</f>
        <v>45107144.235605747</v>
      </c>
      <c r="N42" s="477">
        <f>-PMT(4%,50,'Economist Plan 1'!$D$15)</f>
        <v>45107144.235605747</v>
      </c>
      <c r="O42" s="477">
        <f>-PMT(4%,50,'Economist Plan 1'!$D$15)</f>
        <v>45107144.235605747</v>
      </c>
      <c r="P42" s="477">
        <f>-PMT(4%,50,'Economist Plan 1'!$D$15)</f>
        <v>45107144.235605747</v>
      </c>
      <c r="Q42" s="477">
        <f>-PMT(4%,50,'Economist Plan 1'!$D$15)</f>
        <v>45107144.235605747</v>
      </c>
      <c r="R42" s="477">
        <f>-PMT(4%,50,'Economist Plan 1'!$D$15)</f>
        <v>45107144.235605747</v>
      </c>
      <c r="S42" s="477">
        <f>-PMT(4%,50,'Economist Plan 1'!$D$15)</f>
        <v>45107144.235605747</v>
      </c>
      <c r="T42" s="477">
        <f>-PMT(4%,50,'Economist Plan 1'!$D$15)</f>
        <v>45107144.235605747</v>
      </c>
      <c r="U42" s="477">
        <f>-PMT(4%,50,'Economist Plan 1'!$D$15)</f>
        <v>45107144.235605747</v>
      </c>
      <c r="V42" s="477">
        <f>-PMT(4%,50,'Economist Plan 1'!$D$15)</f>
        <v>45107144.235605747</v>
      </c>
      <c r="W42" s="477">
        <f>-PMT(4%,50,'Economist Plan 1'!$D$15)</f>
        <v>45107144.235605747</v>
      </c>
      <c r="X42" s="477">
        <f>-PMT(4%,50,'Economist Plan 1'!$D$15)</f>
        <v>45107144.235605747</v>
      </c>
      <c r="Y42" s="477">
        <f>-PMT(4%,50,'Economist Plan 1'!$D$15)</f>
        <v>45107144.235605747</v>
      </c>
      <c r="Z42" s="477">
        <f>-PMT(4%,50,'Economist Plan 1'!$D$15)</f>
        <v>45107144.235605747</v>
      </c>
      <c r="AA42" s="477">
        <f>-PMT(4%,50,'Economist Plan 1'!$D$15)</f>
        <v>45107144.235605747</v>
      </c>
      <c r="AB42" s="477">
        <f>-PMT(4%,50,'Economist Plan 1'!$D$15)</f>
        <v>45107144.235605747</v>
      </c>
      <c r="AC42" s="477">
        <f>-PMT(4%,50,'Economist Plan 1'!$D$15)</f>
        <v>45107144.235605747</v>
      </c>
      <c r="AD42" s="477">
        <f>-PMT(4%,50,'Economist Plan 1'!$D$15)</f>
        <v>45107144.235605747</v>
      </c>
      <c r="AE42" s="477">
        <f>-PMT(4%,50,'Economist Plan 1'!$D$15)</f>
        <v>45107144.235605747</v>
      </c>
      <c r="AF42" s="477">
        <f>-PMT(4%,50,'Economist Plan 1'!$D$15)</f>
        <v>45107144.235605747</v>
      </c>
      <c r="AG42" s="477">
        <f>-PMT(4%,50,'Economist Plan 1'!$D$15)</f>
        <v>45107144.235605747</v>
      </c>
      <c r="AH42" s="477">
        <f>-PMT(4%,50,'Economist Plan 1'!$D$15)</f>
        <v>45107144.235605747</v>
      </c>
      <c r="AI42" s="477">
        <f>-PMT(4%,50,'Economist Plan 1'!$D$15)</f>
        <v>45107144.235605747</v>
      </c>
      <c r="AJ42" s="477">
        <f>-PMT(4%,50,'Economist Plan 1'!$D$15)</f>
        <v>45107144.235605747</v>
      </c>
      <c r="AK42" s="477">
        <f>-PMT(4%,50,'Economist Plan 1'!$D$15)</f>
        <v>45107144.235605747</v>
      </c>
      <c r="AL42" s="477">
        <f>-PMT(4%,50,'Economist Plan 1'!$D$15)</f>
        <v>45107144.235605747</v>
      </c>
      <c r="AM42" s="477">
        <f>-PMT(4%,50,'Economist Plan 1'!$D$15)</f>
        <v>45107144.235605747</v>
      </c>
      <c r="AN42" s="477">
        <f>-PMT(4%,50,'Economist Plan 1'!$D$15)</f>
        <v>45107144.235605747</v>
      </c>
      <c r="AO42" s="477">
        <f>-PMT(4%,50,'Economist Plan 1'!$D$15)</f>
        <v>45107144.235605747</v>
      </c>
      <c r="AP42" s="477">
        <f>-PMT(4%,50,'Economist Plan 1'!$D$15)</f>
        <v>45107144.235605747</v>
      </c>
      <c r="AQ42" s="477">
        <f>-PMT(4%,50,'Economist Plan 1'!$D$15)</f>
        <v>45107144.235605747</v>
      </c>
      <c r="AR42" s="477">
        <f>-PMT(4%,50,'Economist Plan 1'!$D$15)</f>
        <v>45107144.235605747</v>
      </c>
      <c r="AS42" s="477">
        <f>-PMT(4%,50,'Economist Plan 1'!$D$15)</f>
        <v>45107144.235605747</v>
      </c>
      <c r="AT42" s="477">
        <f>-PMT(4%,50,'Economist Plan 1'!$D$15)</f>
        <v>45107144.235605747</v>
      </c>
      <c r="AU42" s="477">
        <f>-PMT(4%,50,'Economist Plan 1'!$D$15)</f>
        <v>45107144.235605747</v>
      </c>
      <c r="AV42" s="477">
        <f>-PMT(4%,50,'Economist Plan 1'!$D$15)</f>
        <v>45107144.235605747</v>
      </c>
      <c r="AW42" s="477">
        <f>-PMT(4%,50,'Economist Plan 1'!$D$15)</f>
        <v>45107144.235605747</v>
      </c>
      <c r="AX42" s="477">
        <f>-PMT(4%,50,'Economist Plan 1'!$D$15)</f>
        <v>45107144.235605747</v>
      </c>
      <c r="AY42" s="477">
        <f>-PMT(4%,50,'Economist Plan 1'!$D$15)</f>
        <v>45107144.235605747</v>
      </c>
      <c r="AZ42" s="477">
        <f>-PMT(4%,50,'Economist Plan 1'!$D$15)</f>
        <v>45107144.235605747</v>
      </c>
      <c r="BA42" s="477">
        <f>-PMT(4%,50,'Economist Plan 1'!$D$15)</f>
        <v>45107144.235605747</v>
      </c>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row>
    <row r="43" spans="1:81" ht="15.75" hidden="1" thickBot="1" x14ac:dyDescent="0.3">
      <c r="A43" s="472" t="s">
        <v>278</v>
      </c>
      <c r="D43" s="477"/>
    </row>
    <row r="44" spans="1:81" hidden="1" x14ac:dyDescent="0.25">
      <c r="A44" s="472"/>
      <c r="B44" t="s">
        <v>283</v>
      </c>
      <c r="C44" s="487">
        <f>D42/(D10*1000000)*1000</f>
        <v>2.9469542734642147</v>
      </c>
    </row>
    <row r="45" spans="1:81" hidden="1" x14ac:dyDescent="0.25">
      <c r="B45" t="s">
        <v>279</v>
      </c>
      <c r="C45" s="488">
        <f>D42/D7</f>
        <v>289.86323743594517</v>
      </c>
      <c r="V45" s="574"/>
    </row>
    <row r="46" spans="1:81" hidden="1" x14ac:dyDescent="0.25">
      <c r="B46" t="s">
        <v>280</v>
      </c>
      <c r="C46" s="488">
        <f>C45/12*2.8</f>
        <v>67.634755401720525</v>
      </c>
    </row>
    <row r="47" spans="1:81" ht="15.75" hidden="1" thickBot="1" x14ac:dyDescent="0.3">
      <c r="B47" t="s">
        <v>282</v>
      </c>
      <c r="C47" s="489">
        <f>D42/D8</f>
        <v>30753.879253559138</v>
      </c>
    </row>
    <row r="48" spans="1:81" hidden="1" x14ac:dyDescent="0.25">
      <c r="C48" s="592"/>
    </row>
    <row r="49" spans="1:79" hidden="1" x14ac:dyDescent="0.25">
      <c r="A49" s="472" t="s">
        <v>383</v>
      </c>
    </row>
    <row r="50" spans="1:79" hidden="1" x14ac:dyDescent="0.25">
      <c r="B50" s="480" t="str">
        <f>CONCATENATE("Series ",D$5," Bonds (at 5","% Interest)")</f>
        <v>Series 2014 Bonds (at 5% Interest)</v>
      </c>
      <c r="C50" s="480"/>
      <c r="D50" s="477">
        <f>-PMT(5%,50,'Economist Plan 1'!$D$15)</f>
        <v>53078656.685678646</v>
      </c>
      <c r="E50" s="477">
        <f>-PMT(5%,50,'Economist Plan 1'!$D$15)</f>
        <v>53078656.685678646</v>
      </c>
      <c r="F50" s="477">
        <f>-PMT(5%,50,'Economist Plan 1'!$D$15)</f>
        <v>53078656.685678646</v>
      </c>
      <c r="G50" s="477">
        <f>-PMT(5%,50,'Economist Plan 1'!$D$15)</f>
        <v>53078656.685678646</v>
      </c>
      <c r="H50" s="477">
        <f>-PMT(5%,50,'Economist Plan 1'!$D$15)</f>
        <v>53078656.685678646</v>
      </c>
      <c r="I50" s="477">
        <f>-PMT(5%,50,'Economist Plan 1'!$D$15)</f>
        <v>53078656.685678646</v>
      </c>
      <c r="J50" s="477">
        <f>-PMT(5%,50,'Economist Plan 1'!$D$15)</f>
        <v>53078656.685678646</v>
      </c>
      <c r="K50" s="477">
        <f>-PMT(5%,50,'Economist Plan 1'!$D$15)</f>
        <v>53078656.685678646</v>
      </c>
      <c r="L50" s="477">
        <f>-PMT(5%,50,'Economist Plan 1'!$D$15)</f>
        <v>53078656.685678646</v>
      </c>
      <c r="M50" s="477">
        <f>-PMT(5%,50,'Economist Plan 1'!$D$15)</f>
        <v>53078656.685678646</v>
      </c>
      <c r="N50" s="477">
        <f>-PMT(5%,50,'Economist Plan 1'!$D$15)</f>
        <v>53078656.685678646</v>
      </c>
      <c r="O50" s="477">
        <f>-PMT(5%,50,'Economist Plan 1'!$D$15)</f>
        <v>53078656.685678646</v>
      </c>
      <c r="P50" s="477">
        <f>-PMT(5%,50,'Economist Plan 1'!$D$15)</f>
        <v>53078656.685678646</v>
      </c>
      <c r="Q50" s="477">
        <f>-PMT(5%,50,'Economist Plan 1'!$D$15)</f>
        <v>53078656.685678646</v>
      </c>
      <c r="R50" s="477">
        <f>-PMT(5%,50,'Economist Plan 1'!$D$15)</f>
        <v>53078656.685678646</v>
      </c>
      <c r="S50" s="477">
        <f>-PMT(5%,50,'Economist Plan 1'!$D$15)</f>
        <v>53078656.685678646</v>
      </c>
      <c r="T50" s="477">
        <f>-PMT(5%,50,'Economist Plan 1'!$D$15)</f>
        <v>53078656.685678646</v>
      </c>
      <c r="U50" s="477">
        <f>-PMT(5%,50,'Economist Plan 1'!$D$15)</f>
        <v>53078656.685678646</v>
      </c>
      <c r="V50" s="477">
        <f>-PMT(5%,50,'Economist Plan 1'!$D$15)</f>
        <v>53078656.685678646</v>
      </c>
      <c r="W50" s="477">
        <f>-PMT(5%,50,'Economist Plan 1'!$D$15)</f>
        <v>53078656.685678646</v>
      </c>
      <c r="X50" s="477">
        <f>-PMT(5%,50,'Economist Plan 1'!$D$15)</f>
        <v>53078656.685678646</v>
      </c>
      <c r="Y50" s="477">
        <f>-PMT(5%,50,'Economist Plan 1'!$D$15)</f>
        <v>53078656.685678646</v>
      </c>
      <c r="Z50" s="477">
        <f>-PMT(5%,50,'Economist Plan 1'!$D$15)</f>
        <v>53078656.685678646</v>
      </c>
      <c r="AA50" s="477">
        <f>-PMT(5%,50,'Economist Plan 1'!$D$15)</f>
        <v>53078656.685678646</v>
      </c>
      <c r="AB50" s="477">
        <f>-PMT(5%,50,'Economist Plan 1'!$D$15)</f>
        <v>53078656.685678646</v>
      </c>
      <c r="AC50" s="477">
        <f>-PMT(5%,50,'Economist Plan 1'!$D$15)</f>
        <v>53078656.685678646</v>
      </c>
      <c r="AD50" s="477">
        <f>-PMT(5%,50,'Economist Plan 1'!$D$15)</f>
        <v>53078656.685678646</v>
      </c>
      <c r="AE50" s="477">
        <f>-PMT(5%,50,'Economist Plan 1'!$D$15)</f>
        <v>53078656.685678646</v>
      </c>
      <c r="AF50" s="477">
        <f>-PMT(5%,50,'Economist Plan 1'!$D$15)</f>
        <v>53078656.685678646</v>
      </c>
      <c r="AG50" s="477">
        <f>-PMT(5%,50,'Economist Plan 1'!$D$15)</f>
        <v>53078656.685678646</v>
      </c>
      <c r="AH50" s="477">
        <f>-PMT(5%,50,'Economist Plan 1'!$D$15)</f>
        <v>53078656.685678646</v>
      </c>
      <c r="AI50" s="477">
        <f>-PMT(5%,50,'Economist Plan 1'!$D$15)</f>
        <v>53078656.685678646</v>
      </c>
      <c r="AJ50" s="477">
        <f>-PMT(5%,50,'Economist Plan 1'!$D$15)</f>
        <v>53078656.685678646</v>
      </c>
      <c r="AK50" s="477">
        <f>-PMT(5%,50,'Economist Plan 1'!$D$15)</f>
        <v>53078656.685678646</v>
      </c>
      <c r="AL50" s="477">
        <f>-PMT(5%,50,'Economist Plan 1'!$D$15)</f>
        <v>53078656.685678646</v>
      </c>
      <c r="AM50" s="477">
        <f>-PMT(5%,50,'Economist Plan 1'!$D$15)</f>
        <v>53078656.685678646</v>
      </c>
      <c r="AN50" s="477">
        <f>-PMT(5%,50,'Economist Plan 1'!$D$15)</f>
        <v>53078656.685678646</v>
      </c>
      <c r="AO50" s="477">
        <f>-PMT(5%,50,'Economist Plan 1'!$D$15)</f>
        <v>53078656.685678646</v>
      </c>
      <c r="AP50" s="477">
        <f>-PMT(5%,50,'Economist Plan 1'!$D$15)</f>
        <v>53078656.685678646</v>
      </c>
      <c r="AQ50" s="477">
        <f>-PMT(5%,50,'Economist Plan 1'!$D$15)</f>
        <v>53078656.685678646</v>
      </c>
      <c r="AR50" s="477">
        <f>-PMT(5%,50,'Economist Plan 1'!$D$15)</f>
        <v>53078656.685678646</v>
      </c>
      <c r="AS50" s="477">
        <f>-PMT(5%,50,'Economist Plan 1'!$D$15)</f>
        <v>53078656.685678646</v>
      </c>
      <c r="AT50" s="477">
        <f>-PMT(5%,50,'Economist Plan 1'!$D$15)</f>
        <v>53078656.685678646</v>
      </c>
      <c r="AU50" s="477">
        <f>-PMT(5%,50,'Economist Plan 1'!$D$15)</f>
        <v>53078656.685678646</v>
      </c>
      <c r="AV50" s="477">
        <f>-PMT(5%,50,'Economist Plan 1'!$D$15)</f>
        <v>53078656.685678646</v>
      </c>
      <c r="AW50" s="477">
        <f>-PMT(5%,50,'Economist Plan 1'!$D$15)</f>
        <v>53078656.685678646</v>
      </c>
      <c r="AX50" s="477">
        <f>-PMT(5%,50,'Economist Plan 1'!$D$15)</f>
        <v>53078656.685678646</v>
      </c>
      <c r="AY50" s="477">
        <f>-PMT(5%,50,'Economist Plan 1'!$D$15)</f>
        <v>53078656.685678646</v>
      </c>
      <c r="AZ50" s="477">
        <f>-PMT(5%,50,'Economist Plan 1'!$D$15)</f>
        <v>53078656.685678646</v>
      </c>
      <c r="BA50" s="477">
        <f>-PMT(5%,50,'Economist Plan 1'!$D$15)</f>
        <v>53078656.685678646</v>
      </c>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row>
    <row r="51" spans="1:79" ht="15.75" hidden="1" thickBot="1" x14ac:dyDescent="0.3">
      <c r="A51" s="472" t="s">
        <v>278</v>
      </c>
      <c r="D51" s="477"/>
    </row>
    <row r="52" spans="1:79" hidden="1" x14ac:dyDescent="0.25">
      <c r="A52" s="472"/>
      <c r="B52" t="s">
        <v>283</v>
      </c>
      <c r="C52" s="487">
        <f>D50/(D10*1000000)*1000</f>
        <v>3.4677516566461928</v>
      </c>
    </row>
    <row r="53" spans="1:79" hidden="1" x14ac:dyDescent="0.25">
      <c r="B53" t="s">
        <v>279</v>
      </c>
      <c r="C53" s="488">
        <f>D50/D7</f>
        <v>341.08901209305907</v>
      </c>
      <c r="V53" s="574"/>
    </row>
    <row r="54" spans="1:79" hidden="1" x14ac:dyDescent="0.25">
      <c r="B54" t="s">
        <v>280</v>
      </c>
      <c r="C54" s="488">
        <f>C53/12*2.8</f>
        <v>79.587436155047115</v>
      </c>
    </row>
    <row r="55" spans="1:79" ht="15.75" hidden="1" thickBot="1" x14ac:dyDescent="0.3">
      <c r="B55" t="s">
        <v>282</v>
      </c>
      <c r="C55" s="489">
        <f>D50/D8</f>
        <v>36188.826100942795</v>
      </c>
    </row>
    <row r="56" spans="1:79" hidden="1" x14ac:dyDescent="0.25"/>
    <row r="57" spans="1:79" hidden="1" x14ac:dyDescent="0.25">
      <c r="A57" s="472" t="s">
        <v>384</v>
      </c>
    </row>
    <row r="58" spans="1:79" hidden="1" x14ac:dyDescent="0.25">
      <c r="B58" s="480" t="str">
        <f>CONCATENATE("Series ",D$5," Bonds (at 7","% Interest)")</f>
        <v>Series 2014 Bonds (at 7% Interest)</v>
      </c>
      <c r="C58" s="480"/>
      <c r="D58" s="477">
        <f>-PMT(7%,50,'Economist Plan 1'!$D$15)</f>
        <v>70213594.203879833</v>
      </c>
      <c r="E58" s="477">
        <f>-PMT(7%,50,'Economist Plan 1'!$D$15)</f>
        <v>70213594.203879833</v>
      </c>
      <c r="F58" s="477">
        <f>-PMT(7%,50,'Economist Plan 1'!$D$15)</f>
        <v>70213594.203879833</v>
      </c>
      <c r="G58" s="477">
        <f>-PMT(7%,50,'Economist Plan 1'!$D$15)</f>
        <v>70213594.203879833</v>
      </c>
      <c r="H58" s="477">
        <f>-PMT(7%,50,'Economist Plan 1'!$D$15)</f>
        <v>70213594.203879833</v>
      </c>
      <c r="I58" s="477">
        <f>-PMT(7%,50,'Economist Plan 1'!$D$15)</f>
        <v>70213594.203879833</v>
      </c>
      <c r="J58" s="477">
        <f>-PMT(7%,50,'Economist Plan 1'!$D$15)</f>
        <v>70213594.203879833</v>
      </c>
      <c r="K58" s="477">
        <f>-PMT(7%,50,'Economist Plan 1'!$D$15)</f>
        <v>70213594.203879833</v>
      </c>
      <c r="L58" s="477">
        <f>-PMT(7%,50,'Economist Plan 1'!$D$15)</f>
        <v>70213594.203879833</v>
      </c>
      <c r="M58" s="477">
        <f>-PMT(7%,50,'Economist Plan 1'!$D$15)</f>
        <v>70213594.203879833</v>
      </c>
      <c r="N58" s="477">
        <f>-PMT(7%,50,'Economist Plan 1'!$D$15)</f>
        <v>70213594.203879833</v>
      </c>
      <c r="O58" s="477">
        <f>-PMT(7%,50,'Economist Plan 1'!$D$15)</f>
        <v>70213594.203879833</v>
      </c>
      <c r="P58" s="477">
        <f>-PMT(7%,50,'Economist Plan 1'!$D$15)</f>
        <v>70213594.203879833</v>
      </c>
      <c r="Q58" s="477">
        <f>-PMT(7%,50,'Economist Plan 1'!$D$15)</f>
        <v>70213594.203879833</v>
      </c>
      <c r="R58" s="477">
        <f>-PMT(7%,50,'Economist Plan 1'!$D$15)</f>
        <v>70213594.203879833</v>
      </c>
      <c r="S58" s="477">
        <f>-PMT(7%,50,'Economist Plan 1'!$D$15)</f>
        <v>70213594.203879833</v>
      </c>
      <c r="T58" s="477">
        <f>-PMT(7%,50,'Economist Plan 1'!$D$15)</f>
        <v>70213594.203879833</v>
      </c>
      <c r="U58" s="477">
        <f>-PMT(7%,50,'Economist Plan 1'!$D$15)</f>
        <v>70213594.203879833</v>
      </c>
      <c r="V58" s="477">
        <f>-PMT(7%,50,'Economist Plan 1'!$D$15)</f>
        <v>70213594.203879833</v>
      </c>
      <c r="W58" s="477">
        <f>-PMT(7%,50,'Economist Plan 1'!$D$15)</f>
        <v>70213594.203879833</v>
      </c>
      <c r="X58" s="477">
        <f>-PMT(7%,50,'Economist Plan 1'!$D$15)</f>
        <v>70213594.203879833</v>
      </c>
      <c r="Y58" s="477">
        <f>-PMT(7%,50,'Economist Plan 1'!$D$15)</f>
        <v>70213594.203879833</v>
      </c>
      <c r="Z58" s="477">
        <f>-PMT(7%,50,'Economist Plan 1'!$D$15)</f>
        <v>70213594.203879833</v>
      </c>
      <c r="AA58" s="477">
        <f>-PMT(7%,50,'Economist Plan 1'!$D$15)</f>
        <v>70213594.203879833</v>
      </c>
      <c r="AB58" s="477">
        <f>-PMT(7%,50,'Economist Plan 1'!$D$15)</f>
        <v>70213594.203879833</v>
      </c>
      <c r="AC58" s="477">
        <f>-PMT(7%,50,'Economist Plan 1'!$D$15)</f>
        <v>70213594.203879833</v>
      </c>
      <c r="AD58" s="477">
        <f>-PMT(7%,50,'Economist Plan 1'!$D$15)</f>
        <v>70213594.203879833</v>
      </c>
      <c r="AE58" s="477">
        <f>-PMT(7%,50,'Economist Plan 1'!$D$15)</f>
        <v>70213594.203879833</v>
      </c>
      <c r="AF58" s="477">
        <f>-PMT(7%,50,'Economist Plan 1'!$D$15)</f>
        <v>70213594.203879833</v>
      </c>
      <c r="AG58" s="477">
        <f>-PMT(7%,50,'Economist Plan 1'!$D$15)</f>
        <v>70213594.203879833</v>
      </c>
      <c r="AH58" s="477">
        <f>-PMT(7%,50,'Economist Plan 1'!$D$15)</f>
        <v>70213594.203879833</v>
      </c>
      <c r="AI58" s="477">
        <f>-PMT(7%,50,'Economist Plan 1'!$D$15)</f>
        <v>70213594.203879833</v>
      </c>
      <c r="AJ58" s="477">
        <f>-PMT(7%,50,'Economist Plan 1'!$D$15)</f>
        <v>70213594.203879833</v>
      </c>
      <c r="AK58" s="477">
        <f>-PMT(7%,50,'Economist Plan 1'!$D$15)</f>
        <v>70213594.203879833</v>
      </c>
      <c r="AL58" s="477">
        <f>-PMT(7%,50,'Economist Plan 1'!$D$15)</f>
        <v>70213594.203879833</v>
      </c>
      <c r="AM58" s="477">
        <f>-PMT(7%,50,'Economist Plan 1'!$D$15)</f>
        <v>70213594.203879833</v>
      </c>
      <c r="AN58" s="477">
        <f>-PMT(7%,50,'Economist Plan 1'!$D$15)</f>
        <v>70213594.203879833</v>
      </c>
      <c r="AO58" s="477">
        <f>-PMT(7%,50,'Economist Plan 1'!$D$15)</f>
        <v>70213594.203879833</v>
      </c>
      <c r="AP58" s="477">
        <f>-PMT(7%,50,'Economist Plan 1'!$D$15)</f>
        <v>70213594.203879833</v>
      </c>
      <c r="AQ58" s="477">
        <f>-PMT(7%,50,'Economist Plan 1'!$D$15)</f>
        <v>70213594.203879833</v>
      </c>
      <c r="AR58" s="477">
        <f>-PMT(7%,50,'Economist Plan 1'!$D$15)</f>
        <v>70213594.203879833</v>
      </c>
      <c r="AS58" s="477">
        <f>-PMT(7%,50,'Economist Plan 1'!$D$15)</f>
        <v>70213594.203879833</v>
      </c>
      <c r="AT58" s="477">
        <f>-PMT(7%,50,'Economist Plan 1'!$D$15)</f>
        <v>70213594.203879833</v>
      </c>
      <c r="AU58" s="477">
        <f>-PMT(7%,50,'Economist Plan 1'!$D$15)</f>
        <v>70213594.203879833</v>
      </c>
      <c r="AV58" s="477">
        <f>-PMT(7%,50,'Economist Plan 1'!$D$15)</f>
        <v>70213594.203879833</v>
      </c>
      <c r="AW58" s="477">
        <f>-PMT(7%,50,'Economist Plan 1'!$D$15)</f>
        <v>70213594.203879833</v>
      </c>
      <c r="AX58" s="477">
        <f>-PMT(7%,50,'Economist Plan 1'!$D$15)</f>
        <v>70213594.203879833</v>
      </c>
      <c r="AY58" s="477">
        <f>-PMT(7%,50,'Economist Plan 1'!$D$15)</f>
        <v>70213594.203879833</v>
      </c>
      <c r="AZ58" s="477">
        <f>-PMT(7%,50,'Economist Plan 1'!$D$15)</f>
        <v>70213594.203879833</v>
      </c>
      <c r="BA58" s="477">
        <f>-PMT(7%,50,'Economist Plan 1'!$D$15)</f>
        <v>70213594.203879833</v>
      </c>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477"/>
    </row>
    <row r="59" spans="1:79" ht="15.75" hidden="1" thickBot="1" x14ac:dyDescent="0.3">
      <c r="A59" s="472" t="s">
        <v>278</v>
      </c>
      <c r="D59" s="477"/>
    </row>
    <row r="60" spans="1:79" hidden="1" x14ac:dyDescent="0.25">
      <c r="A60" s="472"/>
      <c r="B60" t="s">
        <v>283</v>
      </c>
      <c r="C60" s="487">
        <f>D58/(D10*1000000)*1000</f>
        <v>4.5872168367305912</v>
      </c>
    </row>
    <row r="61" spans="1:79" hidden="1" x14ac:dyDescent="0.25">
      <c r="B61" t="s">
        <v>279</v>
      </c>
      <c r="C61" s="488">
        <f>D58/D7</f>
        <v>451.1999168390052</v>
      </c>
      <c r="V61" s="574"/>
    </row>
    <row r="62" spans="1:79" hidden="1" x14ac:dyDescent="0.25">
      <c r="B62" t="s">
        <v>280</v>
      </c>
      <c r="C62" s="488">
        <f>C61/12*2.8</f>
        <v>105.27998059576787</v>
      </c>
    </row>
    <row r="63" spans="1:79" ht="15.75" hidden="1" thickBot="1" x14ac:dyDescent="0.3">
      <c r="B63" t="s">
        <v>282</v>
      </c>
      <c r="C63" s="489">
        <f>D58/D8</f>
        <v>47871.36128205662</v>
      </c>
    </row>
  </sheetData>
  <pageMargins left="0.7" right="0.7" top="0.75" bottom="0.75" header="0.3" footer="0.3"/>
  <pageSetup paperSize="17" scale="51" fitToWidth="4" fitToHeight="0" orientation="landscape" r:id="rId1"/>
  <headerFooter>
    <oddFooter xml:space="preserve">&amp;L&amp;"-,Bold"&amp;9This is a preliminary draft document. It is intended for discussion purposes only.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36</vt:i4>
      </vt:variant>
      <vt:variant>
        <vt:lpstr>Charts</vt:lpstr>
      </vt:variant>
      <vt:variant>
        <vt:i4>20</vt:i4>
      </vt:variant>
      <vt:variant>
        <vt:lpstr>Named Ranges</vt:lpstr>
      </vt:variant>
      <vt:variant>
        <vt:i4>45</vt:i4>
      </vt:variant>
    </vt:vector>
  </HeadingPairs>
  <TitlesOfParts>
    <vt:vector size="101" baseType="lpstr">
      <vt:lpstr>Cover</vt:lpstr>
      <vt:lpstr>Population Input</vt:lpstr>
      <vt:lpstr>Supply Input</vt:lpstr>
      <vt:lpstr>Water Supply Evaporation</vt:lpstr>
      <vt:lpstr>Effective Capacity</vt:lpstr>
      <vt:lpstr>Conservation Input</vt:lpstr>
      <vt:lpstr>LPP Cost</vt:lpstr>
      <vt:lpstr>Interest Rate</vt:lpstr>
      <vt:lpstr>Economist Plan 1</vt:lpstr>
      <vt:lpstr>Economist Prepay (Plan 2)</vt:lpstr>
      <vt:lpstr>Economist Plan 2</vt:lpstr>
      <vt:lpstr>Econ Plan 2 Comps</vt:lpstr>
      <vt:lpstr>Construction Timing</vt:lpstr>
      <vt:lpstr>LPP Act Financing Plan</vt:lpstr>
      <vt:lpstr>LPP Act Financing Plan (2)</vt:lpstr>
      <vt:lpstr>LPP Act Financing Plan (3)</vt:lpstr>
      <vt:lpstr>Initial Capital Payment</vt:lpstr>
      <vt:lpstr>Incremental Repayments</vt:lpstr>
      <vt:lpstr>LPP &amp; Econ Summ</vt:lpstr>
      <vt:lpstr>LPP &amp; Oth Jur</vt:lpstr>
      <vt:lpstr>Dynamic Assumptions</vt:lpstr>
      <vt:lpstr>Summary Financial</vt:lpstr>
      <vt:lpstr>Dynamic Summary Financial</vt:lpstr>
      <vt:lpstr>Dynamic Population</vt:lpstr>
      <vt:lpstr>Dynamic Financing Summary</vt:lpstr>
      <vt:lpstr>LPP Annual Financing Costs</vt:lpstr>
      <vt:lpstr>Exhibit Data</vt:lpstr>
      <vt:lpstr>LPP Per Cap Annual Finan Costs</vt:lpstr>
      <vt:lpstr>LPP Cumulative Financing Costs</vt:lpstr>
      <vt:lpstr>Summary Baseline Data</vt:lpstr>
      <vt:lpstr>Economist Financing Model 1</vt:lpstr>
      <vt:lpstr>Economist Financing Model 2</vt:lpstr>
      <vt:lpstr>Underlying Assumptions</vt:lpstr>
      <vt:lpstr>Table of Contents</vt:lpstr>
      <vt:lpstr>Sheet1</vt:lpstr>
      <vt:lpstr>Rates in Oth Jurisdictions</vt:lpstr>
      <vt:lpstr>Population Comparison</vt:lpstr>
      <vt:lpstr>Water Supply Summary</vt:lpstr>
      <vt:lpstr>Water Supply and Demand</vt:lpstr>
      <vt:lpstr>Water Supply Evaporation Summ</vt:lpstr>
      <vt:lpstr>Water Evaporation and Demand</vt:lpstr>
      <vt:lpstr>Water Supply, Demand, Buffer</vt:lpstr>
      <vt:lpstr>Water Conservation</vt:lpstr>
      <vt:lpstr>Conservation Adj S-D Balance</vt:lpstr>
      <vt:lpstr>Water Supply, Demand, Buff, Con</vt:lpstr>
      <vt:lpstr>Conservation Cost</vt:lpstr>
      <vt:lpstr>Economist Plan Exhibit</vt:lpstr>
      <vt:lpstr>Economist Plan Exhibit Cumul</vt:lpstr>
      <vt:lpstr>Economist Plan 2 Exhibit</vt:lpstr>
      <vt:lpstr>Economist Plan 2 Cumul Exhibit</vt:lpstr>
      <vt:lpstr>Supply &amp; Demand</vt:lpstr>
      <vt:lpstr>LPP Act Plan Exhibit</vt:lpstr>
      <vt:lpstr>Rate Costs</vt:lpstr>
      <vt:lpstr>Per Cap Fees</vt:lpstr>
      <vt:lpstr>Household Fees</vt:lpstr>
      <vt:lpstr>Impact Fees</vt:lpstr>
      <vt:lpstr>Categories</vt:lpstr>
      <vt:lpstr>DataCategoriesforSummaryPage</vt:lpstr>
      <vt:lpstr>EcomomistInterestOptions</vt:lpstr>
      <vt:lpstr>PayDebt</vt:lpstr>
      <vt:lpstr>'Conservation Input'!Print_Area</vt:lpstr>
      <vt:lpstr>'Construction Timing'!Print_Area</vt:lpstr>
      <vt:lpstr>Cover!Print_Area</vt:lpstr>
      <vt:lpstr>'Dynamic Assumptions'!Print_Area</vt:lpstr>
      <vt:lpstr>'Dynamic Financing Summary'!Print_Area</vt:lpstr>
      <vt:lpstr>'Dynamic Population'!Print_Area</vt:lpstr>
      <vt:lpstr>'Econ Plan 2 Comps'!Print_Area</vt:lpstr>
      <vt:lpstr>'Economist Financing Model 1'!Print_Area</vt:lpstr>
      <vt:lpstr>'Economist Financing Model 2'!Print_Area</vt:lpstr>
      <vt:lpstr>'Economist Plan 1'!Print_Area</vt:lpstr>
      <vt:lpstr>'Economist Plan 2'!Print_Area</vt:lpstr>
      <vt:lpstr>'Economist Prepay (Plan 2)'!Print_Area</vt:lpstr>
      <vt:lpstr>'Effective Capacity'!Print_Area</vt:lpstr>
      <vt:lpstr>'Incremental Repayments'!Print_Area</vt:lpstr>
      <vt:lpstr>'Initial Capital Payment'!Print_Area</vt:lpstr>
      <vt:lpstr>'Interest Rate'!Print_Area</vt:lpstr>
      <vt:lpstr>'LPP &amp; Econ Summ'!Print_Area</vt:lpstr>
      <vt:lpstr>'LPP &amp; Oth Jur'!Print_Area</vt:lpstr>
      <vt:lpstr>'LPP Annual Financing Costs'!Print_Area</vt:lpstr>
      <vt:lpstr>'LPP Cost'!Print_Area</vt:lpstr>
      <vt:lpstr>'LPP Cumulative Financing Costs'!Print_Area</vt:lpstr>
      <vt:lpstr>'LPP Per Cap Annual Finan Costs'!Print_Area</vt:lpstr>
      <vt:lpstr>'Population Input'!Print_Area</vt:lpstr>
      <vt:lpstr>'Summary Baseline Data'!Print_Area</vt:lpstr>
      <vt:lpstr>'Supply Input'!Print_Area</vt:lpstr>
      <vt:lpstr>'Table of Contents'!Print_Area</vt:lpstr>
      <vt:lpstr>'Underlying Assumptions'!Print_Area</vt:lpstr>
      <vt:lpstr>'Water Supply Evaporation'!Print_Area</vt:lpstr>
      <vt:lpstr>'Dynamic Financing Summary'!Print_Titles</vt:lpstr>
      <vt:lpstr>'Dynamic Population'!Print_Titles</vt:lpstr>
      <vt:lpstr>'Economist Financing Model 1'!Print_Titles</vt:lpstr>
      <vt:lpstr>'Economist Financing Model 2'!Print_Titles</vt:lpstr>
      <vt:lpstr>'Economist Plan 1'!Print_Titles</vt:lpstr>
      <vt:lpstr>'Economist Plan 2'!Print_Titles</vt:lpstr>
      <vt:lpstr>'LPP Act Financing Plan'!Print_Titles</vt:lpstr>
      <vt:lpstr>'LPP Act Financing Plan (2)'!Print_Titles</vt:lpstr>
      <vt:lpstr>'LPP Act Financing Plan (3)'!Print_Titles</vt:lpstr>
      <vt:lpstr>'LPP Annual Financing Costs'!Print_Titles</vt:lpstr>
      <vt:lpstr>'LPP Cumulative Financing Costs'!Print_Titles</vt:lpstr>
      <vt:lpstr>'LPP Per Cap Annual Finan Costs'!Print_Titles</vt:lpstr>
      <vt:lpstr>'Summary Baseline Data'!Print_Titles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Lovitt</dc:creator>
  <cp:lastModifiedBy>Gabriel Lozada</cp:lastModifiedBy>
  <cp:lastPrinted>2016-06-18T20:44:13Z</cp:lastPrinted>
  <dcterms:created xsi:type="dcterms:W3CDTF">2013-11-04T19:39:46Z</dcterms:created>
  <dcterms:modified xsi:type="dcterms:W3CDTF">2016-09-06T05:00:19Z</dcterms:modified>
</cp:coreProperties>
</file>